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8625"/>
  <workbookPr/>
  <mc:AlternateContent xmlns:mc="http://schemas.openxmlformats.org/markup-compatibility/2006">
    <mc:Choice Requires="x15">
      <x15ac:absPath xmlns:x15ac="http://schemas.microsoft.com/office/spreadsheetml/2010/11/ac" url="I:\FactBooks\5_FacultyAdms\"/>
    </mc:Choice>
  </mc:AlternateContent>
  <bookViews>
    <workbookView xWindow="10785" yWindow="-15" windowWidth="10830" windowHeight="10155" xr2:uid="{00000000-000D-0000-FFFF-FFFF00000000}"/>
  </bookViews>
  <sheets>
    <sheet name="TABLE 80 (81)" sheetId="22" r:id="rId1"/>
    <sheet name="FB 15 TABLE 80 (81)" sheetId="30" r:id="rId2"/>
    <sheet name="2015-16" sheetId="27" r:id="rId3"/>
    <sheet name="2014-15" sheetId="29" r:id="rId4"/>
    <sheet name="2013-14" sheetId="25" r:id="rId5"/>
    <sheet name="2012-13" sheetId="24" r:id="rId6"/>
    <sheet name="2011-12" sheetId="23" r:id="rId7"/>
    <sheet name="2010-11 IPEDS ONLY" sheetId="28" r:id="rId8"/>
    <sheet name="2010-11" sheetId="21" r:id="rId9"/>
    <sheet name="2009-10" sheetId="20" r:id="rId10"/>
    <sheet name="2008-09" sheetId="19" r:id="rId11"/>
    <sheet name="2007-08" sheetId="18" r:id="rId12"/>
    <sheet name="2006-07" sheetId="17" r:id="rId13"/>
    <sheet name="2005-06" sheetId="16" r:id="rId14"/>
    <sheet name="2004-05" sheetId="15" r:id="rId15"/>
    <sheet name="2003-04" sheetId="13" r:id="rId16"/>
    <sheet name="2002-03" sheetId="14" r:id="rId17"/>
    <sheet name="2001-02" sheetId="10" r:id="rId18"/>
    <sheet name="2000-01" sheetId="9" r:id="rId19"/>
    <sheet name="1999-00" sheetId="7" r:id="rId20"/>
    <sheet name="1998-99" sheetId="6" r:id="rId21"/>
    <sheet name="1997-98" sheetId="3" r:id="rId22"/>
    <sheet name="1996-97" sheetId="11" r:id="rId23"/>
    <sheet name="1995-96" sheetId="2" r:id="rId24"/>
    <sheet name="1994-95" sheetId="8" r:id="rId25"/>
    <sheet name="1993-94" sheetId="1" r:id="rId26"/>
    <sheet name="1992-93" sheetId="5" r:id="rId27"/>
  </sheets>
  <definedNames>
    <definedName name="\E">'1996-97'!$B$5</definedName>
    <definedName name="_BOB10">'1996-97'!$H$317:$H$331</definedName>
    <definedName name="_BOB11">'1996-97'!$I$317:$I$331</definedName>
    <definedName name="_BOB12">'1996-97'!$H$348:$H$362</definedName>
    <definedName name="_BOB13">'1996-97'!$I$348:$I$362</definedName>
    <definedName name="_BOB14">'1996-97'!$H$379:$H$393</definedName>
    <definedName name="_BOB15">'1996-97'!$I$379:$I$393</definedName>
    <definedName name="_BOB2">'1996-97'!$H$193:$H$206</definedName>
    <definedName name="_BOB3">'1996-97'!$I$193:$I$207</definedName>
    <definedName name="_BOB4">'1996-97'!$H$223:$H$237</definedName>
    <definedName name="_BOB5">'1996-97'!$I$223:$I$237</definedName>
    <definedName name="_BOB6">'1996-97'!$H$255:$H$269</definedName>
    <definedName name="_BOB7">'1996-97'!$I$255:$I$269</definedName>
    <definedName name="_BOB8">'1996-97'!$H$286:$H$300</definedName>
    <definedName name="_BOB9">'1996-97'!$I$286:$I$300</definedName>
    <definedName name="_Order1" hidden="1">255</definedName>
    <definedName name="_Order2" hidden="1">255</definedName>
    <definedName name="_Sort" hidden="1">'1996-97'!$A$25:$V$720</definedName>
    <definedName name="A" localSheetId="22">'1996-97'!$D$698</definedName>
    <definedName name="A">'1995-96'!$B$22:$P$22</definedName>
    <definedName name="ARBAC">'1996-97'!$I$315:$I$331</definedName>
    <definedName name="ARDI">'1996-97'!$I$23:$I$160</definedName>
    <definedName name="ARDII">'1996-97'!$I$191:$I$207</definedName>
    <definedName name="ARDIII">'1996-97'!$I$221:$I$237</definedName>
    <definedName name="ARMI">'1996-97'!$I$253:$I$269</definedName>
    <definedName name="ARMII">'1996-97'!$I$284:$I$300</definedName>
    <definedName name="ARTI">'1996-97'!$I$346:$I$362</definedName>
    <definedName name="ARTII">'1996-97'!$I$377:$I$393</definedName>
    <definedName name="B">'1995-96'!$B$25:$P$25</definedName>
    <definedName name="BAC">'1996-97'!$H$66:$H$82</definedName>
    <definedName name="BOB">'1996-97'!$H$23:$H$162</definedName>
    <definedName name="COMBSALS">'1996-97'!$B$1:$I$627</definedName>
    <definedName name="DATA">'1993-94'!$A$2:$P$187</definedName>
    <definedName name="DOCI">'1996-97'!$B$66:$B$82</definedName>
    <definedName name="G_1">'1996-97'!$A$3:$C$79</definedName>
    <definedName name="MASTII">'1996-97'!$G$66:$G$82</definedName>
    <definedName name="N_19">'1996-97'!$B$32:$I$41</definedName>
    <definedName name="N_20">'1996-97'!$B$66:$H$82</definedName>
    <definedName name="N_21">'1996-97'!$B$98:$E$114</definedName>
    <definedName name="N_22">'1996-97'!$B$129:$I$145</definedName>
    <definedName name="N_23">'1996-97'!$B$23:$I$160</definedName>
    <definedName name="N_24">'1996-97'!$B$191:$I$207</definedName>
    <definedName name="N_25">'1996-97'!$B$221:$I$237</definedName>
    <definedName name="N_26">'1996-97'!$B$253:$I$269</definedName>
    <definedName name="N_27">'1996-97'!$B$284:$I$300</definedName>
    <definedName name="N_28">'1996-97'!$B$315:$I$331</definedName>
    <definedName name="N_29">'1996-97'!$B$346:$I$362</definedName>
    <definedName name="N_30">'1996-97'!$B$377:$I$393</definedName>
    <definedName name="PETE1">'1996-97'!$B$23:$B$162</definedName>
    <definedName name="PETE11">'1996-97'!$H$193:$H$207</definedName>
    <definedName name="PETE12">'1996-97'!$I$193:$I$207</definedName>
    <definedName name="PETE13">'1996-97'!$B$223:$B$237</definedName>
    <definedName name="PETE17">'1996-97'!$H$223:$H$237</definedName>
    <definedName name="PETE19">'1996-97'!$H$223:$H$237</definedName>
    <definedName name="PETE20">'1996-97'!$I$223:$I$237</definedName>
    <definedName name="PETE21">'1996-97'!$B$255:$B$269</definedName>
    <definedName name="PETE25">'1996-97'!$H$255:$H$269</definedName>
    <definedName name="PETE26">'1996-97'!$B$286:$B$300</definedName>
    <definedName name="PETE5">'1996-97'!$H$23:$H$162</definedName>
    <definedName name="PETE6">'1996-97'!$I$23:$I$162</definedName>
    <definedName name="PETE7">'1996-97'!$B$193:$B$207</definedName>
    <definedName name="Print" localSheetId="1">'FB 15 TABLE 80 (81)'!$A$1:$G$26</definedName>
    <definedName name="Print">'TABLE 80 (81)'!$A$1:$G$26</definedName>
    <definedName name="_xlnm.Print_Area" localSheetId="22">'1996-97'!$A$16:$P$168</definedName>
    <definedName name="_xlnm.Print_Area" localSheetId="18">'2000-01'!$A$1:$V$152</definedName>
    <definedName name="_xlnm.Print_Area" localSheetId="7">#REF!</definedName>
    <definedName name="_xlnm.Print_Area" localSheetId="3">#REF!</definedName>
    <definedName name="_xlnm.Print_Area" localSheetId="2">#REF!</definedName>
    <definedName name="_xlnm.Print_Area" localSheetId="1">'FB 15 TABLE 80 (81)'!$A$1:$L$72</definedName>
    <definedName name="_xlnm.Print_Area" localSheetId="0">'TABLE 80 (81)'!$A$1:$L$73</definedName>
    <definedName name="_xlnm.Print_Area">#REF!</definedName>
    <definedName name="Print_Area_MI" localSheetId="22">'1996-97'!$A$54:$H$84</definedName>
    <definedName name="_xlnm.Print_Titles" localSheetId="22">'1996-97'!$1:$6</definedName>
    <definedName name="Print_Titles_MI" localSheetId="22">'1996-97'!$1:$6</definedName>
    <definedName name="TAB_19">'1996-97'!$B$52:$I$637</definedName>
    <definedName name="TAB_20">'1996-97'!$A$54:$H$84</definedName>
    <definedName name="TAB_21">'1996-97'!$B$79:$IN$8173</definedName>
    <definedName name="TAB_25">'1996-97'!$B$98:$IN$8173</definedName>
    <definedName name="TAB_27">'1996-97'!$A$24:$I$147</definedName>
    <definedName name="TAB_28">'1996-97'!$B$142:$IN$8173</definedName>
    <definedName name="TAB_29">'1996-97'!$B$160:$IN$8173</definedName>
    <definedName name="TAB_30">'1996-97'!$B$178:$IN$8173</definedName>
    <definedName name="TAB_31">'1996-97'!$B$205:$IN$8173</definedName>
    <definedName name="TAB_32">'1996-97'!$B$236:$IN$8173</definedName>
    <definedName name="TAB_33">'1996-97'!$B$265:$IN$8173</definedName>
    <definedName name="TAB_34">'1996-97'!$B$295:$I$1056</definedName>
    <definedName name="TABLE" localSheetId="7">#REF!</definedName>
    <definedName name="TABLE" localSheetId="3">#REF!</definedName>
    <definedName name="TABLE" localSheetId="2">#REF!</definedName>
    <definedName name="TABLE" localSheetId="1">'FB 15 TABLE 80 (81)'!$A$1:$G$26</definedName>
    <definedName name="TABLE" localSheetId="0">'TABLE 80 (81)'!$A$1:$G$26</definedName>
    <definedName name="TABLE">#REF!</definedName>
    <definedName name="TABLES">'1996-97'!$B$1:$I$1056</definedName>
    <definedName name="TI">'1996-97'!$B$98:$B$114</definedName>
  </definedNames>
  <calcPr calcId="171027"/>
</workbook>
</file>

<file path=xl/calcChain.xml><?xml version="1.0" encoding="utf-8"?>
<calcChain xmlns="http://schemas.openxmlformats.org/spreadsheetml/2006/main">
  <c r="G32" i="22" l="1"/>
  <c r="L66" i="30" l="1"/>
  <c r="O66" i="30" s="1"/>
  <c r="K66" i="30"/>
  <c r="J66" i="30"/>
  <c r="I66" i="30"/>
  <c r="H66" i="30"/>
  <c r="G66" i="30"/>
  <c r="F66" i="30"/>
  <c r="E66" i="30"/>
  <c r="D66" i="30"/>
  <c r="P66" i="30" s="1"/>
  <c r="C66" i="30"/>
  <c r="L65" i="30"/>
  <c r="K65" i="30"/>
  <c r="J65" i="30"/>
  <c r="I65" i="30"/>
  <c r="H65" i="30"/>
  <c r="O65" i="30" s="1"/>
  <c r="G65" i="30"/>
  <c r="F65" i="30"/>
  <c r="E65" i="30"/>
  <c r="D65" i="30"/>
  <c r="P65" i="30" s="1"/>
  <c r="C65" i="30"/>
  <c r="L64" i="30"/>
  <c r="O64" i="30" s="1"/>
  <c r="K64" i="30"/>
  <c r="J64" i="30"/>
  <c r="I64" i="30"/>
  <c r="H64" i="30"/>
  <c r="G64" i="30"/>
  <c r="F64" i="30"/>
  <c r="E64" i="30"/>
  <c r="D64" i="30"/>
  <c r="P64" i="30" s="1"/>
  <c r="C64" i="30"/>
  <c r="L63" i="30"/>
  <c r="K63" i="30"/>
  <c r="J63" i="30"/>
  <c r="I63" i="30"/>
  <c r="H63" i="30"/>
  <c r="O63" i="30" s="1"/>
  <c r="G63" i="30"/>
  <c r="F63" i="30"/>
  <c r="E63" i="30"/>
  <c r="D63" i="30"/>
  <c r="P63" i="30" s="1"/>
  <c r="C63" i="30"/>
  <c r="L62" i="30"/>
  <c r="O62" i="30" s="1"/>
  <c r="K62" i="30"/>
  <c r="J62" i="30"/>
  <c r="I62" i="30"/>
  <c r="H62" i="30"/>
  <c r="G62" i="30"/>
  <c r="F62" i="30"/>
  <c r="E62" i="30"/>
  <c r="D62" i="30"/>
  <c r="P62" i="30" s="1"/>
  <c r="C62" i="30"/>
  <c r="L61" i="30"/>
  <c r="K61" i="30"/>
  <c r="J61" i="30"/>
  <c r="I61" i="30"/>
  <c r="H61" i="30"/>
  <c r="O61" i="30" s="1"/>
  <c r="G61" i="30"/>
  <c r="F61" i="30"/>
  <c r="E61" i="30"/>
  <c r="D61" i="30"/>
  <c r="P61" i="30" s="1"/>
  <c r="C61" i="30"/>
  <c r="L60" i="30"/>
  <c r="O60" i="30" s="1"/>
  <c r="K60" i="30"/>
  <c r="J60" i="30"/>
  <c r="I60" i="30"/>
  <c r="H60" i="30"/>
  <c r="G60" i="30"/>
  <c r="F60" i="30"/>
  <c r="E60" i="30"/>
  <c r="D60" i="30"/>
  <c r="P60" i="30" s="1"/>
  <c r="C60" i="30"/>
  <c r="L59" i="30"/>
  <c r="K59" i="30"/>
  <c r="J59" i="30"/>
  <c r="I59" i="30"/>
  <c r="H59" i="30"/>
  <c r="O59" i="30" s="1"/>
  <c r="G59" i="30"/>
  <c r="F59" i="30"/>
  <c r="E59" i="30"/>
  <c r="D59" i="30"/>
  <c r="P59" i="30" s="1"/>
  <c r="C59" i="30"/>
  <c r="L58" i="30"/>
  <c r="O58" i="30" s="1"/>
  <c r="K58" i="30"/>
  <c r="J58" i="30"/>
  <c r="I58" i="30"/>
  <c r="H58" i="30"/>
  <c r="G58" i="30"/>
  <c r="F58" i="30"/>
  <c r="E58" i="30"/>
  <c r="D58" i="30"/>
  <c r="P58" i="30" s="1"/>
  <c r="C58" i="30"/>
  <c r="L57" i="30"/>
  <c r="K57" i="30"/>
  <c r="J57" i="30"/>
  <c r="I57" i="30"/>
  <c r="H57" i="30"/>
  <c r="O57" i="30" s="1"/>
  <c r="G57" i="30"/>
  <c r="F57" i="30"/>
  <c r="E57" i="30"/>
  <c r="D57" i="30"/>
  <c r="P57" i="30" s="1"/>
  <c r="C57" i="30"/>
  <c r="O55" i="30"/>
  <c r="N55" i="30"/>
  <c r="L55" i="30"/>
  <c r="K55" i="30"/>
  <c r="J55" i="30"/>
  <c r="I55" i="30"/>
  <c r="H55" i="30"/>
  <c r="G55" i="30"/>
  <c r="F55" i="30"/>
  <c r="P55" i="30" s="1"/>
  <c r="E55" i="30"/>
  <c r="D55" i="30"/>
  <c r="M55" i="30" s="1"/>
  <c r="C55" i="30"/>
  <c r="L54" i="30"/>
  <c r="K54" i="30"/>
  <c r="J54" i="30"/>
  <c r="I54" i="30"/>
  <c r="H54" i="30"/>
  <c r="O54" i="30" s="1"/>
  <c r="G54" i="30"/>
  <c r="F54" i="30"/>
  <c r="E54" i="30"/>
  <c r="D54" i="30"/>
  <c r="C54" i="30"/>
  <c r="P54" i="30" s="1"/>
  <c r="L53" i="30"/>
  <c r="K53" i="30"/>
  <c r="J53" i="30"/>
  <c r="I53" i="30"/>
  <c r="H53" i="30"/>
  <c r="O53" i="30" s="1"/>
  <c r="G53" i="30"/>
  <c r="F53" i="30"/>
  <c r="P53" i="30" s="1"/>
  <c r="E53" i="30"/>
  <c r="D53" i="30"/>
  <c r="C53" i="30"/>
  <c r="L52" i="30"/>
  <c r="K52" i="30"/>
  <c r="J52" i="30"/>
  <c r="I52" i="30"/>
  <c r="H52" i="30"/>
  <c r="O52" i="30" s="1"/>
  <c r="G52" i="30"/>
  <c r="F52" i="30"/>
  <c r="E52" i="30"/>
  <c r="D52" i="30"/>
  <c r="C52" i="30"/>
  <c r="P52" i="30" s="1"/>
  <c r="L51" i="30"/>
  <c r="K51" i="30"/>
  <c r="J51" i="30"/>
  <c r="I51" i="30"/>
  <c r="H51" i="30"/>
  <c r="O51" i="30" s="1"/>
  <c r="G51" i="30"/>
  <c r="F51" i="30"/>
  <c r="P51" i="30" s="1"/>
  <c r="E51" i="30"/>
  <c r="D51" i="30"/>
  <c r="C51" i="30"/>
  <c r="L50" i="30"/>
  <c r="K50" i="30"/>
  <c r="J50" i="30"/>
  <c r="I50" i="30"/>
  <c r="H50" i="30"/>
  <c r="O50" i="30" s="1"/>
  <c r="G50" i="30"/>
  <c r="F50" i="30"/>
  <c r="E50" i="30"/>
  <c r="D50" i="30"/>
  <c r="C50" i="30"/>
  <c r="P50" i="30" s="1"/>
  <c r="L49" i="30"/>
  <c r="K49" i="30"/>
  <c r="J49" i="30"/>
  <c r="I49" i="30"/>
  <c r="H49" i="30"/>
  <c r="O49" i="30" s="1"/>
  <c r="G49" i="30"/>
  <c r="F49" i="30"/>
  <c r="P49" i="30" s="1"/>
  <c r="E49" i="30"/>
  <c r="D49" i="30"/>
  <c r="C49" i="30"/>
  <c r="L48" i="30"/>
  <c r="K48" i="30"/>
  <c r="J48" i="30"/>
  <c r="I48" i="30"/>
  <c r="H48" i="30"/>
  <c r="O48" i="30" s="1"/>
  <c r="G48" i="30"/>
  <c r="F48" i="30"/>
  <c r="E48" i="30"/>
  <c r="D48" i="30"/>
  <c r="C48" i="30"/>
  <c r="P48" i="30" s="1"/>
  <c r="L47" i="30"/>
  <c r="K47" i="30"/>
  <c r="J47" i="30"/>
  <c r="I47" i="30"/>
  <c r="H47" i="30"/>
  <c r="O47" i="30" s="1"/>
  <c r="G47" i="30"/>
  <c r="F47" i="30"/>
  <c r="P47" i="30" s="1"/>
  <c r="E47" i="30"/>
  <c r="D47" i="30"/>
  <c r="C47" i="30"/>
  <c r="L46" i="30"/>
  <c r="K46" i="30"/>
  <c r="J46" i="30"/>
  <c r="I46" i="30"/>
  <c r="H46" i="30"/>
  <c r="O46" i="30" s="1"/>
  <c r="G46" i="30"/>
  <c r="F46" i="30"/>
  <c r="E46" i="30"/>
  <c r="D46" i="30"/>
  <c r="C46" i="30"/>
  <c r="P46" i="30" s="1"/>
  <c r="L45" i="30"/>
  <c r="K45" i="30"/>
  <c r="J45" i="30"/>
  <c r="I45" i="30"/>
  <c r="H45" i="30"/>
  <c r="O45" i="30" s="1"/>
  <c r="G45" i="30"/>
  <c r="F45" i="30"/>
  <c r="P45" i="30" s="1"/>
  <c r="E45" i="30"/>
  <c r="D45" i="30"/>
  <c r="C45" i="30"/>
  <c r="L44" i="30"/>
  <c r="K44" i="30"/>
  <c r="J44" i="30"/>
  <c r="I44" i="30"/>
  <c r="H44" i="30"/>
  <c r="O44" i="30" s="1"/>
  <c r="G44" i="30"/>
  <c r="F44" i="30"/>
  <c r="E44" i="30"/>
  <c r="D44" i="30"/>
  <c r="C44" i="30"/>
  <c r="P44" i="30" s="1"/>
  <c r="L43" i="30"/>
  <c r="K43" i="30"/>
  <c r="J43" i="30"/>
  <c r="I43" i="30"/>
  <c r="H43" i="30"/>
  <c r="O43" i="30" s="1"/>
  <c r="G43" i="30"/>
  <c r="F43" i="30"/>
  <c r="P43" i="30" s="1"/>
  <c r="E43" i="30"/>
  <c r="D43" i="30"/>
  <c r="C43" i="30"/>
  <c r="L41" i="30"/>
  <c r="K41" i="30"/>
  <c r="J41" i="30"/>
  <c r="I41" i="30"/>
  <c r="H41" i="30"/>
  <c r="O41" i="30" s="1"/>
  <c r="G41" i="30"/>
  <c r="F41" i="30"/>
  <c r="E41" i="30"/>
  <c r="D41" i="30"/>
  <c r="P41" i="30" s="1"/>
  <c r="C41" i="30"/>
  <c r="L40" i="30"/>
  <c r="K40" i="30"/>
  <c r="J40" i="30"/>
  <c r="I40" i="30"/>
  <c r="H40" i="30"/>
  <c r="O40" i="30" s="1"/>
  <c r="G40" i="30"/>
  <c r="F40" i="30"/>
  <c r="E40" i="30"/>
  <c r="D40" i="30"/>
  <c r="P40" i="30" s="1"/>
  <c r="C40" i="30"/>
  <c r="L39" i="30"/>
  <c r="O39" i="30" s="1"/>
  <c r="K39" i="30"/>
  <c r="J39" i="30"/>
  <c r="I39" i="30"/>
  <c r="H39" i="30"/>
  <c r="G39" i="30"/>
  <c r="F39" i="30"/>
  <c r="E39" i="30"/>
  <c r="D39" i="30"/>
  <c r="P39" i="30" s="1"/>
  <c r="C39" i="30"/>
  <c r="L38" i="30"/>
  <c r="K38" i="30"/>
  <c r="J38" i="30"/>
  <c r="I38" i="30"/>
  <c r="H38" i="30"/>
  <c r="O38" i="30" s="1"/>
  <c r="G38" i="30"/>
  <c r="F38" i="30"/>
  <c r="E38" i="30"/>
  <c r="D38" i="30"/>
  <c r="P38" i="30" s="1"/>
  <c r="C38" i="30"/>
  <c r="L37" i="30"/>
  <c r="O37" i="30" s="1"/>
  <c r="K37" i="30"/>
  <c r="J37" i="30"/>
  <c r="I37" i="30"/>
  <c r="H37" i="30"/>
  <c r="G37" i="30"/>
  <c r="F37" i="30"/>
  <c r="E37" i="30"/>
  <c r="D37" i="30"/>
  <c r="P37" i="30" s="1"/>
  <c r="C37" i="30"/>
  <c r="L36" i="30"/>
  <c r="K36" i="30"/>
  <c r="J36" i="30"/>
  <c r="I36" i="30"/>
  <c r="H36" i="30"/>
  <c r="O36" i="30" s="1"/>
  <c r="G36" i="30"/>
  <c r="F36" i="30"/>
  <c r="E36" i="30"/>
  <c r="D36" i="30"/>
  <c r="P36" i="30" s="1"/>
  <c r="C36" i="30"/>
  <c r="L35" i="30"/>
  <c r="O35" i="30" s="1"/>
  <c r="K35" i="30"/>
  <c r="J35" i="30"/>
  <c r="I35" i="30"/>
  <c r="H35" i="30"/>
  <c r="G35" i="30"/>
  <c r="F35" i="30"/>
  <c r="E35" i="30"/>
  <c r="D35" i="30"/>
  <c r="P35" i="30" s="1"/>
  <c r="C35" i="30"/>
  <c r="L34" i="30"/>
  <c r="K34" i="30"/>
  <c r="J34" i="30"/>
  <c r="I34" i="30"/>
  <c r="H34" i="30"/>
  <c r="O34" i="30" s="1"/>
  <c r="G34" i="30"/>
  <c r="F34" i="30"/>
  <c r="E34" i="30"/>
  <c r="D34" i="30"/>
  <c r="P34" i="30" s="1"/>
  <c r="C34" i="30"/>
  <c r="L33" i="30"/>
  <c r="O33" i="30" s="1"/>
  <c r="K33" i="30"/>
  <c r="J33" i="30"/>
  <c r="I33" i="30"/>
  <c r="H33" i="30"/>
  <c r="G33" i="30"/>
  <c r="F33" i="30"/>
  <c r="E33" i="30"/>
  <c r="D33" i="30"/>
  <c r="P33" i="30" s="1"/>
  <c r="C33" i="30"/>
  <c r="L32" i="30"/>
  <c r="K32" i="30"/>
  <c r="J32" i="30"/>
  <c r="I32" i="30"/>
  <c r="H32" i="30"/>
  <c r="O32" i="30" s="1"/>
  <c r="G32" i="30"/>
  <c r="F32" i="30"/>
  <c r="E32" i="30"/>
  <c r="D32" i="30"/>
  <c r="P32" i="30" s="1"/>
  <c r="C32" i="30"/>
  <c r="L31" i="30"/>
  <c r="O31" i="30" s="1"/>
  <c r="K31" i="30"/>
  <c r="J31" i="30"/>
  <c r="I31" i="30"/>
  <c r="H31" i="30"/>
  <c r="G31" i="30"/>
  <c r="F31" i="30"/>
  <c r="E31" i="30"/>
  <c r="D31" i="30"/>
  <c r="P31" i="30" s="1"/>
  <c r="C31" i="30"/>
  <c r="L30" i="30"/>
  <c r="K30" i="30"/>
  <c r="J30" i="30"/>
  <c r="I30" i="30"/>
  <c r="H30" i="30"/>
  <c r="O30" i="30" s="1"/>
  <c r="G30" i="30"/>
  <c r="F30" i="30"/>
  <c r="E30" i="30"/>
  <c r="D30" i="30"/>
  <c r="P30" i="30" s="1"/>
  <c r="C30" i="30"/>
  <c r="L29" i="30"/>
  <c r="O29" i="30" s="1"/>
  <c r="K29" i="30"/>
  <c r="J29" i="30"/>
  <c r="I29" i="30"/>
  <c r="H29" i="30"/>
  <c r="G29" i="30"/>
  <c r="F29" i="30"/>
  <c r="E29" i="30"/>
  <c r="D29" i="30"/>
  <c r="P29" i="30" s="1"/>
  <c r="C29" i="30"/>
  <c r="L28" i="30"/>
  <c r="K28" i="30"/>
  <c r="J28" i="30"/>
  <c r="I28" i="30"/>
  <c r="H28" i="30"/>
  <c r="O28" i="30" s="1"/>
  <c r="G28" i="30"/>
  <c r="F28" i="30"/>
  <c r="E28" i="30"/>
  <c r="D28" i="30"/>
  <c r="P28" i="30" s="1"/>
  <c r="C28" i="30"/>
  <c r="O26" i="30"/>
  <c r="N26" i="30"/>
  <c r="L26" i="30"/>
  <c r="K26" i="30"/>
  <c r="J26" i="30"/>
  <c r="I26" i="30"/>
  <c r="H26" i="30"/>
  <c r="G26" i="30"/>
  <c r="F26" i="30"/>
  <c r="P26" i="30" s="1"/>
  <c r="E26" i="30"/>
  <c r="D26" i="30"/>
  <c r="M26" i="30" s="1"/>
  <c r="C26" i="30"/>
  <c r="L25" i="30"/>
  <c r="K25" i="30"/>
  <c r="J25" i="30"/>
  <c r="I25" i="30"/>
  <c r="H25" i="30"/>
  <c r="O25" i="30" s="1"/>
  <c r="G25" i="30"/>
  <c r="F25" i="30"/>
  <c r="E25" i="30"/>
  <c r="D25" i="30"/>
  <c r="C25" i="30"/>
  <c r="P25" i="30" s="1"/>
  <c r="L24" i="30"/>
  <c r="K24" i="30"/>
  <c r="J24" i="30"/>
  <c r="I24" i="30"/>
  <c r="H24" i="30"/>
  <c r="O24" i="30" s="1"/>
  <c r="G24" i="30"/>
  <c r="F24" i="30"/>
  <c r="P24" i="30" s="1"/>
  <c r="E24" i="30"/>
  <c r="D24" i="30"/>
  <c r="C24" i="30"/>
  <c r="L23" i="30"/>
  <c r="K23" i="30"/>
  <c r="J23" i="30"/>
  <c r="I23" i="30"/>
  <c r="H23" i="30"/>
  <c r="O23" i="30" s="1"/>
  <c r="G23" i="30"/>
  <c r="F23" i="30"/>
  <c r="E23" i="30"/>
  <c r="D23" i="30"/>
  <c r="C23" i="30"/>
  <c r="P23" i="30" s="1"/>
  <c r="P22" i="30"/>
  <c r="L22" i="30"/>
  <c r="K22" i="30"/>
  <c r="J22" i="30"/>
  <c r="I22" i="30"/>
  <c r="H22" i="30"/>
  <c r="O22" i="30" s="1"/>
  <c r="G22" i="30"/>
  <c r="F22" i="30"/>
  <c r="E22" i="30"/>
  <c r="D22" i="30"/>
  <c r="C22" i="30"/>
  <c r="L21" i="30"/>
  <c r="K21" i="30"/>
  <c r="J21" i="30"/>
  <c r="I21" i="30"/>
  <c r="H21" i="30"/>
  <c r="O21" i="30" s="1"/>
  <c r="G21" i="30"/>
  <c r="F21" i="30"/>
  <c r="E21" i="30"/>
  <c r="D21" i="30"/>
  <c r="C21" i="30"/>
  <c r="P21" i="30" s="1"/>
  <c r="L20" i="30"/>
  <c r="K20" i="30"/>
  <c r="J20" i="30"/>
  <c r="I20" i="30"/>
  <c r="H20" i="30"/>
  <c r="O20" i="30" s="1"/>
  <c r="G20" i="30"/>
  <c r="F20" i="30"/>
  <c r="P20" i="30" s="1"/>
  <c r="E20" i="30"/>
  <c r="D20" i="30"/>
  <c r="C20" i="30"/>
  <c r="L19" i="30"/>
  <c r="K19" i="30"/>
  <c r="J19" i="30"/>
  <c r="I19" i="30"/>
  <c r="H19" i="30"/>
  <c r="O19" i="30" s="1"/>
  <c r="G19" i="30"/>
  <c r="F19" i="30"/>
  <c r="E19" i="30"/>
  <c r="D19" i="30"/>
  <c r="C19" i="30"/>
  <c r="P19" i="30" s="1"/>
  <c r="P18" i="30"/>
  <c r="L18" i="30"/>
  <c r="K18" i="30"/>
  <c r="J18" i="30"/>
  <c r="I18" i="30"/>
  <c r="H18" i="30"/>
  <c r="O18" i="30" s="1"/>
  <c r="G18" i="30"/>
  <c r="F18" i="30"/>
  <c r="E18" i="30"/>
  <c r="D18" i="30"/>
  <c r="C18" i="30"/>
  <c r="L17" i="30"/>
  <c r="K17" i="30"/>
  <c r="J17" i="30"/>
  <c r="I17" i="30"/>
  <c r="H17" i="30"/>
  <c r="O17" i="30" s="1"/>
  <c r="G17" i="30"/>
  <c r="F17" i="30"/>
  <c r="E17" i="30"/>
  <c r="D17" i="30"/>
  <c r="C17" i="30"/>
  <c r="P17" i="30" s="1"/>
  <c r="L16" i="30"/>
  <c r="K16" i="30"/>
  <c r="J16" i="30"/>
  <c r="I16" i="30"/>
  <c r="H16" i="30"/>
  <c r="O16" i="30" s="1"/>
  <c r="G16" i="30"/>
  <c r="F16" i="30"/>
  <c r="P16" i="30" s="1"/>
  <c r="E16" i="30"/>
  <c r="D16" i="30"/>
  <c r="C16" i="30"/>
  <c r="L15" i="30"/>
  <c r="K15" i="30"/>
  <c r="J15" i="30"/>
  <c r="I15" i="30"/>
  <c r="H15" i="30"/>
  <c r="O15" i="30" s="1"/>
  <c r="G15" i="30"/>
  <c r="F15" i="30"/>
  <c r="E15" i="30"/>
  <c r="D15" i="30"/>
  <c r="C15" i="30"/>
  <c r="P15" i="30" s="1"/>
  <c r="L14" i="30"/>
  <c r="K14" i="30"/>
  <c r="J14" i="30"/>
  <c r="I14" i="30"/>
  <c r="H14" i="30"/>
  <c r="O14" i="30" s="1"/>
  <c r="G14" i="30"/>
  <c r="F14" i="30"/>
  <c r="P14" i="30" s="1"/>
  <c r="E14" i="30"/>
  <c r="D14" i="30"/>
  <c r="C14" i="30"/>
  <c r="L13" i="30"/>
  <c r="K13" i="30"/>
  <c r="J13" i="30"/>
  <c r="I13" i="30"/>
  <c r="H13" i="30"/>
  <c r="O13" i="30" s="1"/>
  <c r="G13" i="30"/>
  <c r="F13" i="30"/>
  <c r="E13" i="30"/>
  <c r="D13" i="30"/>
  <c r="C13" i="30"/>
  <c r="P13" i="30" s="1"/>
  <c r="P12" i="30"/>
  <c r="L12" i="30"/>
  <c r="K12" i="30"/>
  <c r="J12" i="30"/>
  <c r="I12" i="30"/>
  <c r="H12" i="30"/>
  <c r="O12" i="30" s="1"/>
  <c r="G12" i="30"/>
  <c r="F12" i="30"/>
  <c r="E12" i="30"/>
  <c r="D12" i="30"/>
  <c r="C12" i="30"/>
  <c r="L11" i="30"/>
  <c r="K11" i="30"/>
  <c r="J11" i="30"/>
  <c r="I11" i="30"/>
  <c r="H11" i="30"/>
  <c r="O11" i="30" s="1"/>
  <c r="G11" i="30"/>
  <c r="F11" i="30"/>
  <c r="E11" i="30"/>
  <c r="D11" i="30"/>
  <c r="C11" i="30"/>
  <c r="P11" i="30" s="1"/>
  <c r="P10" i="30"/>
  <c r="L10" i="30"/>
  <c r="K10" i="30"/>
  <c r="J10" i="30"/>
  <c r="I10" i="30"/>
  <c r="H10" i="30"/>
  <c r="O10" i="30" s="1"/>
  <c r="G10" i="30"/>
  <c r="F10" i="30"/>
  <c r="E10" i="30"/>
  <c r="D10" i="30"/>
  <c r="C10" i="30"/>
  <c r="L8" i="30"/>
  <c r="K8" i="30"/>
  <c r="J8" i="30"/>
  <c r="I8" i="30"/>
  <c r="H8" i="30"/>
  <c r="O8" i="30" s="1"/>
  <c r="G8" i="30"/>
  <c r="F8" i="30"/>
  <c r="E8" i="30"/>
  <c r="D8" i="30"/>
  <c r="P8" i="30" s="1"/>
  <c r="C8" i="30"/>
  <c r="N7" i="30"/>
  <c r="L7" i="30"/>
  <c r="K7" i="30"/>
  <c r="J7" i="30"/>
  <c r="I7" i="30"/>
  <c r="H7" i="30"/>
  <c r="O7" i="30" s="1"/>
  <c r="G7" i="30"/>
  <c r="F7" i="30"/>
  <c r="E7" i="30"/>
  <c r="D7" i="30"/>
  <c r="M7" i="30" s="1"/>
  <c r="C7" i="30"/>
  <c r="P7" i="30" s="1"/>
  <c r="M8" i="30" l="1"/>
  <c r="M41" i="30"/>
  <c r="N8" i="30"/>
  <c r="N41" i="30"/>
  <c r="Y355" i="29" l="1"/>
  <c r="V355" i="29"/>
  <c r="T355" i="29"/>
  <c r="S355" i="29"/>
  <c r="Y349" i="29"/>
  <c r="X349" i="29"/>
  <c r="W349" i="29"/>
  <c r="V349" i="29"/>
  <c r="Y343" i="29"/>
  <c r="V343" i="29"/>
  <c r="S343" i="29"/>
  <c r="AE337" i="29"/>
  <c r="Y337" i="29"/>
  <c r="X337" i="29"/>
  <c r="W337" i="29"/>
  <c r="V337" i="29"/>
  <c r="U337" i="29"/>
  <c r="T337" i="29"/>
  <c r="S337" i="29"/>
  <c r="AE331" i="29"/>
  <c r="Y331" i="29"/>
  <c r="X331" i="29"/>
  <c r="W331" i="29"/>
  <c r="V331" i="29"/>
  <c r="U331" i="29"/>
  <c r="T331" i="29"/>
  <c r="S331" i="29"/>
  <c r="AE325" i="29"/>
  <c r="Y325" i="29"/>
  <c r="W325" i="29"/>
  <c r="V325" i="29"/>
  <c r="U325" i="29"/>
  <c r="T325" i="29"/>
  <c r="S325" i="29"/>
  <c r="Y319" i="29"/>
  <c r="X319" i="29"/>
  <c r="W319" i="29"/>
  <c r="V319" i="29"/>
  <c r="T319" i="29"/>
  <c r="Y313" i="29"/>
  <c r="X313" i="29"/>
  <c r="W313" i="29"/>
  <c r="V313" i="29"/>
  <c r="T313" i="29"/>
  <c r="S313" i="29"/>
  <c r="Y307" i="29"/>
  <c r="X307" i="29"/>
  <c r="W307" i="29"/>
  <c r="V307" i="29"/>
  <c r="Y301" i="29"/>
  <c r="X301" i="29"/>
  <c r="W301" i="29"/>
  <c r="V301" i="29"/>
  <c r="Y289" i="29"/>
  <c r="X289" i="29"/>
  <c r="V289" i="29"/>
  <c r="T289" i="29"/>
  <c r="S289" i="29"/>
  <c r="AE283" i="29"/>
  <c r="Y283" i="29"/>
  <c r="W283" i="29"/>
  <c r="AE277" i="29"/>
  <c r="Y277" i="29"/>
  <c r="X277" i="29"/>
  <c r="W277" i="29"/>
  <c r="V277" i="29"/>
  <c r="U277" i="29"/>
  <c r="T277" i="29"/>
  <c r="S277" i="29"/>
  <c r="Y271" i="29"/>
  <c r="X271" i="29"/>
  <c r="W271" i="29"/>
  <c r="V271" i="29"/>
  <c r="T271" i="29"/>
  <c r="Y265" i="29"/>
  <c r="X265" i="29"/>
  <c r="W265" i="29"/>
  <c r="U265" i="29"/>
  <c r="AE259" i="29"/>
  <c r="Y259" i="29"/>
  <c r="X259" i="29"/>
  <c r="W259" i="29"/>
  <c r="V259" i="29"/>
  <c r="U259" i="29"/>
  <c r="T259" i="29"/>
  <c r="S259" i="29"/>
  <c r="Y151" i="29"/>
  <c r="X151" i="29"/>
  <c r="W151" i="29"/>
  <c r="V151" i="29"/>
  <c r="U151" i="29"/>
  <c r="T151" i="29"/>
  <c r="S151" i="29"/>
  <c r="AE205" i="29"/>
  <c r="Y205" i="29"/>
  <c r="W205" i="29"/>
  <c r="V205" i="29"/>
  <c r="U205" i="29"/>
  <c r="S205" i="29"/>
  <c r="AE199" i="29"/>
  <c r="Y199" i="29"/>
  <c r="W199" i="29"/>
  <c r="V199" i="29"/>
  <c r="S199" i="29"/>
  <c r="Y193" i="29"/>
  <c r="X193" i="29"/>
  <c r="W193" i="29"/>
  <c r="V193" i="29"/>
  <c r="U193" i="29"/>
  <c r="S193" i="29"/>
  <c r="AH187" i="29"/>
  <c r="AE187" i="29"/>
  <c r="Y187" i="29"/>
  <c r="W187" i="29"/>
  <c r="U187" i="29"/>
  <c r="S187" i="29"/>
  <c r="Y181" i="29"/>
  <c r="X181" i="29"/>
  <c r="W181" i="29"/>
  <c r="S181" i="29"/>
  <c r="Y175" i="29"/>
  <c r="X175" i="29"/>
  <c r="T175" i="29"/>
  <c r="Y169" i="29"/>
  <c r="X169" i="29"/>
  <c r="U169" i="29"/>
  <c r="T169" i="29"/>
  <c r="Y163" i="29"/>
  <c r="X163" i="29"/>
  <c r="W163" i="29"/>
  <c r="Y157" i="29"/>
  <c r="X157" i="29"/>
  <c r="W157" i="29"/>
  <c r="V157" i="29"/>
  <c r="S157" i="29"/>
  <c r="AE151" i="29"/>
  <c r="I151" i="29"/>
  <c r="AE145" i="29"/>
  <c r="Y145" i="29"/>
  <c r="X145" i="29"/>
  <c r="W145" i="29"/>
  <c r="V145" i="29"/>
  <c r="S145" i="29"/>
  <c r="AH139" i="29"/>
  <c r="Y139" i="29"/>
  <c r="W139" i="29"/>
  <c r="C151" i="29"/>
  <c r="D151" i="29"/>
  <c r="E151" i="29"/>
  <c r="C157" i="29"/>
  <c r="I157" i="29"/>
  <c r="I169" i="29"/>
  <c r="C187" i="29"/>
  <c r="I187" i="29"/>
  <c r="F199" i="29"/>
  <c r="E205" i="29"/>
  <c r="G205" i="29"/>
  <c r="S213" i="29"/>
  <c r="T213" i="29"/>
  <c r="U213" i="29"/>
  <c r="V213" i="29"/>
  <c r="W213" i="29"/>
  <c r="X213" i="29"/>
  <c r="Y213" i="29"/>
  <c r="Z213" i="29"/>
  <c r="AA213" i="29"/>
  <c r="AB213" i="29"/>
  <c r="AC213" i="29"/>
  <c r="AC4" i="29" s="1"/>
  <c r="AD213" i="29"/>
  <c r="AE213" i="29"/>
  <c r="AF213" i="29"/>
  <c r="AF4" i="29" s="1"/>
  <c r="AG213" i="29"/>
  <c r="AH213" i="29"/>
  <c r="S214" i="29"/>
  <c r="T214" i="29"/>
  <c r="U214" i="29"/>
  <c r="V214" i="29"/>
  <c r="W214" i="29"/>
  <c r="X214" i="29"/>
  <c r="Y214" i="29"/>
  <c r="Z214" i="29"/>
  <c r="AA214" i="29"/>
  <c r="AB214" i="29"/>
  <c r="AC214" i="29"/>
  <c r="AD214" i="29"/>
  <c r="AE214" i="29"/>
  <c r="AF214" i="29"/>
  <c r="AG214" i="29"/>
  <c r="AH214" i="29"/>
  <c r="S215" i="29"/>
  <c r="T215" i="29"/>
  <c r="U215" i="29"/>
  <c r="V215" i="29"/>
  <c r="W215" i="29"/>
  <c r="X215" i="29"/>
  <c r="Y215" i="29"/>
  <c r="Z215" i="29"/>
  <c r="AA215" i="29"/>
  <c r="AB215" i="29"/>
  <c r="AC215" i="29"/>
  <c r="AD215" i="29"/>
  <c r="AE215" i="29"/>
  <c r="AF215" i="29"/>
  <c r="AF6" i="29" s="1"/>
  <c r="AG215" i="29"/>
  <c r="AH215" i="29"/>
  <c r="S216" i="29"/>
  <c r="T216" i="29"/>
  <c r="U216" i="29"/>
  <c r="V216" i="29"/>
  <c r="W216" i="29"/>
  <c r="X216" i="29"/>
  <c r="Y216" i="29"/>
  <c r="Z216" i="29"/>
  <c r="AA216" i="29"/>
  <c r="AB216" i="29"/>
  <c r="AC216" i="29"/>
  <c r="AD216" i="29"/>
  <c r="AE216" i="29"/>
  <c r="AF216" i="29"/>
  <c r="AG216" i="29"/>
  <c r="AG7" i="29" s="1"/>
  <c r="AH216" i="29"/>
  <c r="W217" i="29"/>
  <c r="Z217" i="29"/>
  <c r="AA217" i="29"/>
  <c r="AB217" i="29"/>
  <c r="AC217" i="29"/>
  <c r="AD217" i="29"/>
  <c r="AF217" i="29"/>
  <c r="AG217" i="29"/>
  <c r="S218" i="29"/>
  <c r="C215" i="29" s="1"/>
  <c r="T218" i="29"/>
  <c r="U218" i="29"/>
  <c r="V218" i="29"/>
  <c r="F216" i="29" s="1"/>
  <c r="W218" i="29"/>
  <c r="X218" i="29"/>
  <c r="H215" i="29" s="1"/>
  <c r="Y218" i="29"/>
  <c r="I214" i="29" s="1"/>
  <c r="Z218" i="29"/>
  <c r="J214" i="29" s="1"/>
  <c r="AA218" i="29"/>
  <c r="K218" i="29" s="1"/>
  <c r="AB218" i="29"/>
  <c r="L217" i="29" s="1"/>
  <c r="AC218" i="29"/>
  <c r="M216" i="29" s="1"/>
  <c r="AD218" i="29"/>
  <c r="AE218" i="29"/>
  <c r="N215" i="29" s="1"/>
  <c r="AF218" i="29"/>
  <c r="O213" i="29" s="1"/>
  <c r="AG218" i="29"/>
  <c r="P213" i="29" s="1"/>
  <c r="AH218" i="29"/>
  <c r="Q213" i="29" s="1"/>
  <c r="S217" i="29"/>
  <c r="T217" i="29"/>
  <c r="U217" i="29"/>
  <c r="Y217" i="29"/>
  <c r="C229" i="29"/>
  <c r="D229" i="29"/>
  <c r="C235" i="29"/>
  <c r="N235" i="29"/>
  <c r="D241" i="29"/>
  <c r="I241" i="29"/>
  <c r="Q241" i="29"/>
  <c r="C247" i="29"/>
  <c r="V217" i="29"/>
  <c r="I247" i="29"/>
  <c r="C259" i="29"/>
  <c r="D259" i="29"/>
  <c r="I259" i="29"/>
  <c r="AE217" i="29"/>
  <c r="H271" i="29"/>
  <c r="E277" i="29"/>
  <c r="H277" i="29"/>
  <c r="D283" i="29"/>
  <c r="I289" i="29"/>
  <c r="Q356" i="29"/>
  <c r="P356" i="29"/>
  <c r="O356" i="29"/>
  <c r="N356" i="29"/>
  <c r="M356" i="29"/>
  <c r="L356" i="29"/>
  <c r="K356" i="29"/>
  <c r="J356" i="29"/>
  <c r="I356" i="29"/>
  <c r="H356" i="29"/>
  <c r="G356" i="29"/>
  <c r="F356" i="29"/>
  <c r="E356" i="29"/>
  <c r="D356" i="29"/>
  <c r="C356" i="29"/>
  <c r="I355" i="29"/>
  <c r="F355" i="29"/>
  <c r="Q355" i="29"/>
  <c r="P355" i="29"/>
  <c r="O355" i="29"/>
  <c r="N355" i="29"/>
  <c r="M355" i="29"/>
  <c r="L355" i="29"/>
  <c r="K355" i="29"/>
  <c r="J355" i="29"/>
  <c r="H355" i="29"/>
  <c r="G355" i="29"/>
  <c r="E355" i="29"/>
  <c r="D355" i="29"/>
  <c r="C355" i="29"/>
  <c r="Q354" i="29"/>
  <c r="P354" i="29"/>
  <c r="O354" i="29"/>
  <c r="N354" i="29"/>
  <c r="M354" i="29"/>
  <c r="L354" i="29"/>
  <c r="K354" i="29"/>
  <c r="J354" i="29"/>
  <c r="I354" i="29"/>
  <c r="H354" i="29"/>
  <c r="G354" i="29"/>
  <c r="F354" i="29"/>
  <c r="E354" i="29"/>
  <c r="D354" i="29"/>
  <c r="C354" i="29"/>
  <c r="Q353" i="29"/>
  <c r="P353" i="29"/>
  <c r="O353" i="29"/>
  <c r="N353" i="29"/>
  <c r="M353" i="29"/>
  <c r="L353" i="29"/>
  <c r="K353" i="29"/>
  <c r="J353" i="29"/>
  <c r="I353" i="29"/>
  <c r="H353" i="29"/>
  <c r="G353" i="29"/>
  <c r="F353" i="29"/>
  <c r="E353" i="29"/>
  <c r="D353" i="29"/>
  <c r="C353" i="29"/>
  <c r="Q352" i="29"/>
  <c r="P352" i="29"/>
  <c r="O352" i="29"/>
  <c r="N352" i="29"/>
  <c r="M352" i="29"/>
  <c r="L352" i="29"/>
  <c r="K352" i="29"/>
  <c r="J352" i="29"/>
  <c r="I352" i="29"/>
  <c r="H352" i="29"/>
  <c r="G352" i="29"/>
  <c r="F352" i="29"/>
  <c r="E352" i="29"/>
  <c r="D352" i="29"/>
  <c r="C352" i="29"/>
  <c r="Q351" i="29"/>
  <c r="P351" i="29"/>
  <c r="O351" i="29"/>
  <c r="N351" i="29"/>
  <c r="M351" i="29"/>
  <c r="L351" i="29"/>
  <c r="K351" i="29"/>
  <c r="J351" i="29"/>
  <c r="I351" i="29"/>
  <c r="H351" i="29"/>
  <c r="G351" i="29"/>
  <c r="F351" i="29"/>
  <c r="E351" i="29"/>
  <c r="D351" i="29"/>
  <c r="C351" i="29"/>
  <c r="Q350" i="29"/>
  <c r="P350" i="29"/>
  <c r="O350" i="29"/>
  <c r="N350" i="29"/>
  <c r="M350" i="29"/>
  <c r="L350" i="29"/>
  <c r="K350" i="29"/>
  <c r="J350" i="29"/>
  <c r="I350" i="29"/>
  <c r="H350" i="29"/>
  <c r="G350" i="29"/>
  <c r="F350" i="29"/>
  <c r="E350" i="29"/>
  <c r="D350" i="29"/>
  <c r="C350" i="29"/>
  <c r="Q349" i="29"/>
  <c r="P349" i="29"/>
  <c r="O349" i="29"/>
  <c r="N349" i="29"/>
  <c r="M349" i="29"/>
  <c r="L349" i="29"/>
  <c r="K349" i="29"/>
  <c r="J349" i="29"/>
  <c r="I349" i="29"/>
  <c r="H349" i="29"/>
  <c r="G349" i="29"/>
  <c r="F349" i="29"/>
  <c r="E349" i="29"/>
  <c r="D349" i="29"/>
  <c r="C349" i="29"/>
  <c r="Q348" i="29"/>
  <c r="P348" i="29"/>
  <c r="O348" i="29"/>
  <c r="N348" i="29"/>
  <c r="M348" i="29"/>
  <c r="L348" i="29"/>
  <c r="K348" i="29"/>
  <c r="J348" i="29"/>
  <c r="I348" i="29"/>
  <c r="H348" i="29"/>
  <c r="G348" i="29"/>
  <c r="F348" i="29"/>
  <c r="E348" i="29"/>
  <c r="D348" i="29"/>
  <c r="C348" i="29"/>
  <c r="Q347" i="29"/>
  <c r="P347" i="29"/>
  <c r="O347" i="29"/>
  <c r="N347" i="29"/>
  <c r="M347" i="29"/>
  <c r="L347" i="29"/>
  <c r="K347" i="29"/>
  <c r="J347" i="29"/>
  <c r="I347" i="29"/>
  <c r="H347" i="29"/>
  <c r="G347" i="29"/>
  <c r="F347" i="29"/>
  <c r="E347" i="29"/>
  <c r="D347" i="29"/>
  <c r="C347" i="29"/>
  <c r="Q346" i="29"/>
  <c r="P346" i="29"/>
  <c r="O346" i="29"/>
  <c r="N346" i="29"/>
  <c r="M346" i="29"/>
  <c r="L346" i="29"/>
  <c r="K346" i="29"/>
  <c r="J346" i="29"/>
  <c r="I346" i="29"/>
  <c r="H346" i="29"/>
  <c r="G346" i="29"/>
  <c r="F346" i="29"/>
  <c r="E346" i="29"/>
  <c r="D346" i="29"/>
  <c r="C346" i="29"/>
  <c r="Q345" i="29"/>
  <c r="P345" i="29"/>
  <c r="O345" i="29"/>
  <c r="N345" i="29"/>
  <c r="M345" i="29"/>
  <c r="L345" i="29"/>
  <c r="K345" i="29"/>
  <c r="J345" i="29"/>
  <c r="I345" i="29"/>
  <c r="H345" i="29"/>
  <c r="G345" i="29"/>
  <c r="F345" i="29"/>
  <c r="E345" i="29"/>
  <c r="D345" i="29"/>
  <c r="C345" i="29"/>
  <c r="Q344" i="29"/>
  <c r="P344" i="29"/>
  <c r="O344" i="29"/>
  <c r="N344" i="29"/>
  <c r="M344" i="29"/>
  <c r="L344" i="29"/>
  <c r="K344" i="29"/>
  <c r="J344" i="29"/>
  <c r="I344" i="29"/>
  <c r="H344" i="29"/>
  <c r="G344" i="29"/>
  <c r="F344" i="29"/>
  <c r="E344" i="29"/>
  <c r="D344" i="29"/>
  <c r="C344" i="29"/>
  <c r="Q343" i="29"/>
  <c r="P343" i="29"/>
  <c r="O343" i="29"/>
  <c r="N343" i="29"/>
  <c r="M343" i="29"/>
  <c r="L343" i="29"/>
  <c r="K343" i="29"/>
  <c r="J343" i="29"/>
  <c r="I343" i="29"/>
  <c r="H343" i="29"/>
  <c r="G343" i="29"/>
  <c r="F343" i="29"/>
  <c r="E343" i="29"/>
  <c r="D343" i="29"/>
  <c r="C343" i="29"/>
  <c r="Q342" i="29"/>
  <c r="P342" i="29"/>
  <c r="O342" i="29"/>
  <c r="N342" i="29"/>
  <c r="M342" i="29"/>
  <c r="L342" i="29"/>
  <c r="K342" i="29"/>
  <c r="J342" i="29"/>
  <c r="I342" i="29"/>
  <c r="H342" i="29"/>
  <c r="G342" i="29"/>
  <c r="F342" i="29"/>
  <c r="E342" i="29"/>
  <c r="D342" i="29"/>
  <c r="C342" i="29"/>
  <c r="Q341" i="29"/>
  <c r="P341" i="29"/>
  <c r="O341" i="29"/>
  <c r="N341" i="29"/>
  <c r="M341" i="29"/>
  <c r="L341" i="29"/>
  <c r="K341" i="29"/>
  <c r="J341" i="29"/>
  <c r="I341" i="29"/>
  <c r="H341" i="29"/>
  <c r="G341" i="29"/>
  <c r="F341" i="29"/>
  <c r="E341" i="29"/>
  <c r="D341" i="29"/>
  <c r="C341" i="29"/>
  <c r="Q340" i="29"/>
  <c r="P340" i="29"/>
  <c r="O340" i="29"/>
  <c r="N340" i="29"/>
  <c r="M340" i="29"/>
  <c r="L340" i="29"/>
  <c r="K340" i="29"/>
  <c r="J340" i="29"/>
  <c r="I340" i="29"/>
  <c r="H340" i="29"/>
  <c r="G340" i="29"/>
  <c r="F340" i="29"/>
  <c r="E340" i="29"/>
  <c r="D340" i="29"/>
  <c r="C340" i="29"/>
  <c r="Q339" i="29"/>
  <c r="P339" i="29"/>
  <c r="O339" i="29"/>
  <c r="N339" i="29"/>
  <c r="M339" i="29"/>
  <c r="L339" i="29"/>
  <c r="K339" i="29"/>
  <c r="J339" i="29"/>
  <c r="I339" i="29"/>
  <c r="H339" i="29"/>
  <c r="G339" i="29"/>
  <c r="F339" i="29"/>
  <c r="E339" i="29"/>
  <c r="D339" i="29"/>
  <c r="C339" i="29"/>
  <c r="Q338" i="29"/>
  <c r="P338" i="29"/>
  <c r="O338" i="29"/>
  <c r="N338" i="29"/>
  <c r="M338" i="29"/>
  <c r="L338" i="29"/>
  <c r="K338" i="29"/>
  <c r="J338" i="29"/>
  <c r="I338" i="29"/>
  <c r="H338" i="29"/>
  <c r="G338" i="29"/>
  <c r="F338" i="29"/>
  <c r="E338" i="29"/>
  <c r="D338" i="29"/>
  <c r="C338" i="29"/>
  <c r="Q337" i="29"/>
  <c r="P337" i="29"/>
  <c r="O337" i="29"/>
  <c r="N337" i="29"/>
  <c r="M337" i="29"/>
  <c r="L337" i="29"/>
  <c r="K337" i="29"/>
  <c r="J337" i="29"/>
  <c r="I337" i="29"/>
  <c r="H337" i="29"/>
  <c r="G337" i="29"/>
  <c r="F337" i="29"/>
  <c r="E337" i="29"/>
  <c r="D337" i="29"/>
  <c r="C337" i="29"/>
  <c r="Q336" i="29"/>
  <c r="P336" i="29"/>
  <c r="O336" i="29"/>
  <c r="N336" i="29"/>
  <c r="M336" i="29"/>
  <c r="L336" i="29"/>
  <c r="K336" i="29"/>
  <c r="J336" i="29"/>
  <c r="I336" i="29"/>
  <c r="H336" i="29"/>
  <c r="G336" i="29"/>
  <c r="F336" i="29"/>
  <c r="E336" i="29"/>
  <c r="D336" i="29"/>
  <c r="C336" i="29"/>
  <c r="Q335" i="29"/>
  <c r="P335" i="29"/>
  <c r="O335" i="29"/>
  <c r="N335" i="29"/>
  <c r="M335" i="29"/>
  <c r="L335" i="29"/>
  <c r="K335" i="29"/>
  <c r="J335" i="29"/>
  <c r="I335" i="29"/>
  <c r="H335" i="29"/>
  <c r="G335" i="29"/>
  <c r="F335" i="29"/>
  <c r="E335" i="29"/>
  <c r="D335" i="29"/>
  <c r="C335" i="29"/>
  <c r="Q334" i="29"/>
  <c r="P334" i="29"/>
  <c r="O334" i="29"/>
  <c r="N334" i="29"/>
  <c r="M334" i="29"/>
  <c r="L334" i="29"/>
  <c r="K334" i="29"/>
  <c r="J334" i="29"/>
  <c r="I334" i="29"/>
  <c r="H334" i="29"/>
  <c r="G334" i="29"/>
  <c r="F334" i="29"/>
  <c r="E334" i="29"/>
  <c r="D334" i="29"/>
  <c r="C334" i="29"/>
  <c r="Q333" i="29"/>
  <c r="P333" i="29"/>
  <c r="O333" i="29"/>
  <c r="N333" i="29"/>
  <c r="M333" i="29"/>
  <c r="L333" i="29"/>
  <c r="K333" i="29"/>
  <c r="J333" i="29"/>
  <c r="I333" i="29"/>
  <c r="H333" i="29"/>
  <c r="G333" i="29"/>
  <c r="F333" i="29"/>
  <c r="E333" i="29"/>
  <c r="D333" i="29"/>
  <c r="C333" i="29"/>
  <c r="Q332" i="29"/>
  <c r="P332" i="29"/>
  <c r="O332" i="29"/>
  <c r="N332" i="29"/>
  <c r="M332" i="29"/>
  <c r="L332" i="29"/>
  <c r="K332" i="29"/>
  <c r="J332" i="29"/>
  <c r="I332" i="29"/>
  <c r="H332" i="29"/>
  <c r="G332" i="29"/>
  <c r="F332" i="29"/>
  <c r="E332" i="29"/>
  <c r="D332" i="29"/>
  <c r="C332" i="29"/>
  <c r="Q331" i="29"/>
  <c r="P331" i="29"/>
  <c r="O331" i="29"/>
  <c r="N331" i="29"/>
  <c r="M331" i="29"/>
  <c r="L331" i="29"/>
  <c r="K331" i="29"/>
  <c r="J331" i="29"/>
  <c r="I331" i="29"/>
  <c r="H331" i="29"/>
  <c r="G331" i="29"/>
  <c r="F331" i="29"/>
  <c r="E331" i="29"/>
  <c r="D331" i="29"/>
  <c r="C331" i="29"/>
  <c r="Q330" i="29"/>
  <c r="P330" i="29"/>
  <c r="O330" i="29"/>
  <c r="N330" i="29"/>
  <c r="M330" i="29"/>
  <c r="L330" i="29"/>
  <c r="K330" i="29"/>
  <c r="J330" i="29"/>
  <c r="I330" i="29"/>
  <c r="H330" i="29"/>
  <c r="G330" i="29"/>
  <c r="F330" i="29"/>
  <c r="E330" i="29"/>
  <c r="D330" i="29"/>
  <c r="C330" i="29"/>
  <c r="Q329" i="29"/>
  <c r="P329" i="29"/>
  <c r="O329" i="29"/>
  <c r="N329" i="29"/>
  <c r="M329" i="29"/>
  <c r="L329" i="29"/>
  <c r="K329" i="29"/>
  <c r="J329" i="29"/>
  <c r="I329" i="29"/>
  <c r="H329" i="29"/>
  <c r="G329" i="29"/>
  <c r="F329" i="29"/>
  <c r="E329" i="29"/>
  <c r="D329" i="29"/>
  <c r="C329" i="29"/>
  <c r="Q328" i="29"/>
  <c r="P328" i="29"/>
  <c r="O328" i="29"/>
  <c r="N328" i="29"/>
  <c r="M328" i="29"/>
  <c r="L328" i="29"/>
  <c r="K328" i="29"/>
  <c r="J328" i="29"/>
  <c r="I328" i="29"/>
  <c r="H328" i="29"/>
  <c r="G328" i="29"/>
  <c r="F328" i="29"/>
  <c r="E328" i="29"/>
  <c r="D328" i="29"/>
  <c r="C328" i="29"/>
  <c r="Q327" i="29"/>
  <c r="P327" i="29"/>
  <c r="O327" i="29"/>
  <c r="N327" i="29"/>
  <c r="M327" i="29"/>
  <c r="L327" i="29"/>
  <c r="K327" i="29"/>
  <c r="J327" i="29"/>
  <c r="I327" i="29"/>
  <c r="H327" i="29"/>
  <c r="G327" i="29"/>
  <c r="F327" i="29"/>
  <c r="E327" i="29"/>
  <c r="D327" i="29"/>
  <c r="C327" i="29"/>
  <c r="Q326" i="29"/>
  <c r="P326" i="29"/>
  <c r="O326" i="29"/>
  <c r="N326" i="29"/>
  <c r="M326" i="29"/>
  <c r="L326" i="29"/>
  <c r="K326" i="29"/>
  <c r="J326" i="29"/>
  <c r="I326" i="29"/>
  <c r="H326" i="29"/>
  <c r="G326" i="29"/>
  <c r="F326" i="29"/>
  <c r="E326" i="29"/>
  <c r="D326" i="29"/>
  <c r="C326" i="29"/>
  <c r="Q325" i="29"/>
  <c r="P325" i="29"/>
  <c r="O325" i="29"/>
  <c r="N325" i="29"/>
  <c r="M325" i="29"/>
  <c r="L325" i="29"/>
  <c r="K325" i="29"/>
  <c r="J325" i="29"/>
  <c r="I325" i="29"/>
  <c r="H325" i="29"/>
  <c r="G325" i="29"/>
  <c r="F325" i="29"/>
  <c r="E325" i="29"/>
  <c r="D325" i="29"/>
  <c r="C325" i="29"/>
  <c r="Q324" i="29"/>
  <c r="P324" i="29"/>
  <c r="O324" i="29"/>
  <c r="N324" i="29"/>
  <c r="M324" i="29"/>
  <c r="L324" i="29"/>
  <c r="K324" i="29"/>
  <c r="J324" i="29"/>
  <c r="I324" i="29"/>
  <c r="H324" i="29"/>
  <c r="G324" i="29"/>
  <c r="F324" i="29"/>
  <c r="E324" i="29"/>
  <c r="D324" i="29"/>
  <c r="C324" i="29"/>
  <c r="Q323" i="29"/>
  <c r="P323" i="29"/>
  <c r="O323" i="29"/>
  <c r="N323" i="29"/>
  <c r="M323" i="29"/>
  <c r="L323" i="29"/>
  <c r="K323" i="29"/>
  <c r="J323" i="29"/>
  <c r="I323" i="29"/>
  <c r="H323" i="29"/>
  <c r="G323" i="29"/>
  <c r="F323" i="29"/>
  <c r="E323" i="29"/>
  <c r="D323" i="29"/>
  <c r="C323" i="29"/>
  <c r="Q322" i="29"/>
  <c r="P322" i="29"/>
  <c r="O322" i="29"/>
  <c r="N322" i="29"/>
  <c r="M322" i="29"/>
  <c r="L322" i="29"/>
  <c r="K322" i="29"/>
  <c r="J322" i="29"/>
  <c r="I322" i="29"/>
  <c r="H322" i="29"/>
  <c r="G322" i="29"/>
  <c r="F322" i="29"/>
  <c r="E322" i="29"/>
  <c r="D322" i="29"/>
  <c r="C322" i="29"/>
  <c r="Q321" i="29"/>
  <c r="P321" i="29"/>
  <c r="O321" i="29"/>
  <c r="N321" i="29"/>
  <c r="M321" i="29"/>
  <c r="L321" i="29"/>
  <c r="K321" i="29"/>
  <c r="J321" i="29"/>
  <c r="I321" i="29"/>
  <c r="H321" i="29"/>
  <c r="G321" i="29"/>
  <c r="F321" i="29"/>
  <c r="E321" i="29"/>
  <c r="D321" i="29"/>
  <c r="C321" i="29"/>
  <c r="Q320" i="29"/>
  <c r="P320" i="29"/>
  <c r="O320" i="29"/>
  <c r="N320" i="29"/>
  <c r="M320" i="29"/>
  <c r="L320" i="29"/>
  <c r="K320" i="29"/>
  <c r="J320" i="29"/>
  <c r="I320" i="29"/>
  <c r="H320" i="29"/>
  <c r="G320" i="29"/>
  <c r="F320" i="29"/>
  <c r="E320" i="29"/>
  <c r="D320" i="29"/>
  <c r="C320" i="29"/>
  <c r="Q319" i="29"/>
  <c r="P319" i="29"/>
  <c r="O319" i="29"/>
  <c r="N319" i="29"/>
  <c r="M319" i="29"/>
  <c r="L319" i="29"/>
  <c r="K319" i="29"/>
  <c r="J319" i="29"/>
  <c r="I319" i="29"/>
  <c r="H319" i="29"/>
  <c r="G319" i="29"/>
  <c r="F319" i="29"/>
  <c r="E319" i="29"/>
  <c r="D319" i="29"/>
  <c r="C319" i="29"/>
  <c r="Q318" i="29"/>
  <c r="P318" i="29"/>
  <c r="O318" i="29"/>
  <c r="N318" i="29"/>
  <c r="M318" i="29"/>
  <c r="L318" i="29"/>
  <c r="K318" i="29"/>
  <c r="J318" i="29"/>
  <c r="I318" i="29"/>
  <c r="H318" i="29"/>
  <c r="G318" i="29"/>
  <c r="F318" i="29"/>
  <c r="E318" i="29"/>
  <c r="D318" i="29"/>
  <c r="C318" i="29"/>
  <c r="Q317" i="29"/>
  <c r="P317" i="29"/>
  <c r="O317" i="29"/>
  <c r="N317" i="29"/>
  <c r="M317" i="29"/>
  <c r="L317" i="29"/>
  <c r="K317" i="29"/>
  <c r="J317" i="29"/>
  <c r="I317" i="29"/>
  <c r="H317" i="29"/>
  <c r="G317" i="29"/>
  <c r="F317" i="29"/>
  <c r="E317" i="29"/>
  <c r="D317" i="29"/>
  <c r="C317" i="29"/>
  <c r="Q316" i="29"/>
  <c r="P316" i="29"/>
  <c r="O316" i="29"/>
  <c r="N316" i="29"/>
  <c r="M316" i="29"/>
  <c r="L316" i="29"/>
  <c r="K316" i="29"/>
  <c r="J316" i="29"/>
  <c r="I316" i="29"/>
  <c r="H316" i="29"/>
  <c r="G316" i="29"/>
  <c r="F316" i="29"/>
  <c r="E316" i="29"/>
  <c r="D316" i="29"/>
  <c r="C316" i="29"/>
  <c r="Q315" i="29"/>
  <c r="P315" i="29"/>
  <c r="O315" i="29"/>
  <c r="N315" i="29"/>
  <c r="M315" i="29"/>
  <c r="L315" i="29"/>
  <c r="K315" i="29"/>
  <c r="J315" i="29"/>
  <c r="I315" i="29"/>
  <c r="H315" i="29"/>
  <c r="G315" i="29"/>
  <c r="F315" i="29"/>
  <c r="E315" i="29"/>
  <c r="D315" i="29"/>
  <c r="C315" i="29"/>
  <c r="Q314" i="29"/>
  <c r="P314" i="29"/>
  <c r="O314" i="29"/>
  <c r="N314" i="29"/>
  <c r="M314" i="29"/>
  <c r="L314" i="29"/>
  <c r="K314" i="29"/>
  <c r="J314" i="29"/>
  <c r="I314" i="29"/>
  <c r="H314" i="29"/>
  <c r="G314" i="29"/>
  <c r="F314" i="29"/>
  <c r="E314" i="29"/>
  <c r="D314" i="29"/>
  <c r="C314" i="29"/>
  <c r="I313" i="29"/>
  <c r="Q313" i="29"/>
  <c r="P313" i="29"/>
  <c r="O313" i="29"/>
  <c r="N313" i="29"/>
  <c r="M313" i="29"/>
  <c r="L313" i="29"/>
  <c r="K313" i="29"/>
  <c r="J313" i="29"/>
  <c r="H313" i="29"/>
  <c r="G313" i="29"/>
  <c r="F313" i="29"/>
  <c r="E313" i="29"/>
  <c r="C313" i="29"/>
  <c r="Q312" i="29"/>
  <c r="P312" i="29"/>
  <c r="O312" i="29"/>
  <c r="N312" i="29"/>
  <c r="M312" i="29"/>
  <c r="L312" i="29"/>
  <c r="K312" i="29"/>
  <c r="J312" i="29"/>
  <c r="I312" i="29"/>
  <c r="H312" i="29"/>
  <c r="G312" i="29"/>
  <c r="F312" i="29"/>
  <c r="E312" i="29"/>
  <c r="D312" i="29"/>
  <c r="C312" i="29"/>
  <c r="Q311" i="29"/>
  <c r="P311" i="29"/>
  <c r="O311" i="29"/>
  <c r="N311" i="29"/>
  <c r="M311" i="29"/>
  <c r="L311" i="29"/>
  <c r="K311" i="29"/>
  <c r="J311" i="29"/>
  <c r="I311" i="29"/>
  <c r="H311" i="29"/>
  <c r="G311" i="29"/>
  <c r="F311" i="29"/>
  <c r="E311" i="29"/>
  <c r="D311" i="29"/>
  <c r="C311" i="29"/>
  <c r="Q310" i="29"/>
  <c r="P310" i="29"/>
  <c r="O310" i="29"/>
  <c r="N310" i="29"/>
  <c r="M310" i="29"/>
  <c r="L310" i="29"/>
  <c r="K310" i="29"/>
  <c r="J310" i="29"/>
  <c r="I310" i="29"/>
  <c r="H310" i="29"/>
  <c r="G310" i="29"/>
  <c r="F310" i="29"/>
  <c r="E310" i="29"/>
  <c r="D310" i="29"/>
  <c r="C310" i="29"/>
  <c r="Q309" i="29"/>
  <c r="P309" i="29"/>
  <c r="O309" i="29"/>
  <c r="N309" i="29"/>
  <c r="M309" i="29"/>
  <c r="L309" i="29"/>
  <c r="K309" i="29"/>
  <c r="J309" i="29"/>
  <c r="I309" i="29"/>
  <c r="H309" i="29"/>
  <c r="G309" i="29"/>
  <c r="F309" i="29"/>
  <c r="E309" i="29"/>
  <c r="D309" i="29"/>
  <c r="C309" i="29"/>
  <c r="Q308" i="29"/>
  <c r="P308" i="29"/>
  <c r="O308" i="29"/>
  <c r="N308" i="29"/>
  <c r="M308" i="29"/>
  <c r="L308" i="29"/>
  <c r="K308" i="29"/>
  <c r="J308" i="29"/>
  <c r="I308" i="29"/>
  <c r="H308" i="29"/>
  <c r="G308" i="29"/>
  <c r="F308" i="29"/>
  <c r="E308" i="29"/>
  <c r="D308" i="29"/>
  <c r="C308" i="29"/>
  <c r="I307" i="29"/>
  <c r="Q307" i="29"/>
  <c r="P307" i="29"/>
  <c r="O307" i="29"/>
  <c r="N307" i="29"/>
  <c r="M307" i="29"/>
  <c r="L307" i="29"/>
  <c r="K307" i="29"/>
  <c r="J307" i="29"/>
  <c r="H307" i="29"/>
  <c r="G307" i="29"/>
  <c r="F307" i="29"/>
  <c r="E307" i="29"/>
  <c r="D307" i="29"/>
  <c r="C307" i="29"/>
  <c r="Q306" i="29"/>
  <c r="P306" i="29"/>
  <c r="O306" i="29"/>
  <c r="N306" i="29"/>
  <c r="M306" i="29"/>
  <c r="L306" i="29"/>
  <c r="K306" i="29"/>
  <c r="J306" i="29"/>
  <c r="I306" i="29"/>
  <c r="H306" i="29"/>
  <c r="G306" i="29"/>
  <c r="F306" i="29"/>
  <c r="E306" i="29"/>
  <c r="D306" i="29"/>
  <c r="C306" i="29"/>
  <c r="Q305" i="29"/>
  <c r="P305" i="29"/>
  <c r="O305" i="29"/>
  <c r="N305" i="29"/>
  <c r="M305" i="29"/>
  <c r="L305" i="29"/>
  <c r="K305" i="29"/>
  <c r="J305" i="29"/>
  <c r="I305" i="29"/>
  <c r="H305" i="29"/>
  <c r="G305" i="29"/>
  <c r="F305" i="29"/>
  <c r="E305" i="29"/>
  <c r="D305" i="29"/>
  <c r="C305" i="29"/>
  <c r="Q304" i="29"/>
  <c r="P304" i="29"/>
  <c r="O304" i="29"/>
  <c r="N304" i="29"/>
  <c r="M304" i="29"/>
  <c r="L304" i="29"/>
  <c r="K304" i="29"/>
  <c r="J304" i="29"/>
  <c r="I304" i="29"/>
  <c r="H304" i="29"/>
  <c r="G304" i="29"/>
  <c r="F304" i="29"/>
  <c r="E304" i="29"/>
  <c r="D304" i="29"/>
  <c r="C304" i="29"/>
  <c r="Q303" i="29"/>
  <c r="P303" i="29"/>
  <c r="O303" i="29"/>
  <c r="N303" i="29"/>
  <c r="M303" i="29"/>
  <c r="L303" i="29"/>
  <c r="K303" i="29"/>
  <c r="J303" i="29"/>
  <c r="I303" i="29"/>
  <c r="H303" i="29"/>
  <c r="G303" i="29"/>
  <c r="F303" i="29"/>
  <c r="E303" i="29"/>
  <c r="D303" i="29"/>
  <c r="C303" i="29"/>
  <c r="Q302" i="29"/>
  <c r="P302" i="29"/>
  <c r="O302" i="29"/>
  <c r="N302" i="29"/>
  <c r="M302" i="29"/>
  <c r="L302" i="29"/>
  <c r="K302" i="29"/>
  <c r="J302" i="29"/>
  <c r="I302" i="29"/>
  <c r="H302" i="29"/>
  <c r="G302" i="29"/>
  <c r="F302" i="29"/>
  <c r="E302" i="29"/>
  <c r="D302" i="29"/>
  <c r="C302" i="29"/>
  <c r="P301" i="29"/>
  <c r="O301" i="29"/>
  <c r="N301" i="29"/>
  <c r="M301" i="29"/>
  <c r="L301" i="29"/>
  <c r="K301" i="29"/>
  <c r="J301" i="29"/>
  <c r="I301" i="29"/>
  <c r="H301" i="29"/>
  <c r="G301" i="29"/>
  <c r="F301" i="29"/>
  <c r="E301" i="29"/>
  <c r="D301" i="29"/>
  <c r="C301" i="29"/>
  <c r="Q300" i="29"/>
  <c r="P300" i="29"/>
  <c r="O300" i="29"/>
  <c r="N300" i="29"/>
  <c r="M300" i="29"/>
  <c r="L300" i="29"/>
  <c r="K300" i="29"/>
  <c r="J300" i="29"/>
  <c r="I300" i="29"/>
  <c r="H300" i="29"/>
  <c r="G300" i="29"/>
  <c r="F300" i="29"/>
  <c r="E300" i="29"/>
  <c r="D300" i="29"/>
  <c r="C300" i="29"/>
  <c r="Q299" i="29"/>
  <c r="P299" i="29"/>
  <c r="O299" i="29"/>
  <c r="N299" i="29"/>
  <c r="M299" i="29"/>
  <c r="L299" i="29"/>
  <c r="K299" i="29"/>
  <c r="J299" i="29"/>
  <c r="I299" i="29"/>
  <c r="H299" i="29"/>
  <c r="G299" i="29"/>
  <c r="F299" i="29"/>
  <c r="E299" i="29"/>
  <c r="D299" i="29"/>
  <c r="C299" i="29"/>
  <c r="Q298" i="29"/>
  <c r="P298" i="29"/>
  <c r="O298" i="29"/>
  <c r="N298" i="29"/>
  <c r="M298" i="29"/>
  <c r="L298" i="29"/>
  <c r="K298" i="29"/>
  <c r="J298" i="29"/>
  <c r="I298" i="29"/>
  <c r="H298" i="29"/>
  <c r="G298" i="29"/>
  <c r="F298" i="29"/>
  <c r="E298" i="29"/>
  <c r="D298" i="29"/>
  <c r="C298" i="29"/>
  <c r="Q297" i="29"/>
  <c r="P297" i="29"/>
  <c r="O297" i="29"/>
  <c r="N297" i="29"/>
  <c r="M297" i="29"/>
  <c r="L297" i="29"/>
  <c r="K297" i="29"/>
  <c r="J297" i="29"/>
  <c r="I297" i="29"/>
  <c r="H297" i="29"/>
  <c r="G297" i="29"/>
  <c r="F297" i="29"/>
  <c r="E297" i="29"/>
  <c r="D297" i="29"/>
  <c r="C297" i="29"/>
  <c r="AH296" i="29"/>
  <c r="AE296" i="29"/>
  <c r="AD296" i="29"/>
  <c r="AC296" i="29"/>
  <c r="M296" i="29" s="1"/>
  <c r="AB296" i="29"/>
  <c r="AA296" i="29"/>
  <c r="K292" i="29" s="1"/>
  <c r="Z296" i="29"/>
  <c r="J293" i="29" s="1"/>
  <c r="Y296" i="29"/>
  <c r="I296" i="29" s="1"/>
  <c r="X296" i="29"/>
  <c r="H296" i="29" s="1"/>
  <c r="W296" i="29"/>
  <c r="V296" i="29"/>
  <c r="F296" i="29" s="1"/>
  <c r="U296" i="29"/>
  <c r="E296" i="29" s="1"/>
  <c r="T296" i="29"/>
  <c r="S296" i="29"/>
  <c r="P296" i="29"/>
  <c r="O296" i="29"/>
  <c r="K296" i="29"/>
  <c r="AE295" i="29"/>
  <c r="AD295" i="29"/>
  <c r="AC295" i="29"/>
  <c r="AB295" i="29"/>
  <c r="AA295" i="29"/>
  <c r="Z295" i="29"/>
  <c r="X295" i="29"/>
  <c r="W295" i="29"/>
  <c r="V295" i="29"/>
  <c r="U295" i="29"/>
  <c r="S295" i="29"/>
  <c r="P295" i="29"/>
  <c r="O295" i="29"/>
  <c r="M295" i="29"/>
  <c r="K295" i="29"/>
  <c r="AH294" i="29"/>
  <c r="AE294" i="29"/>
  <c r="AD294" i="29"/>
  <c r="AC294" i="29"/>
  <c r="AB294" i="29"/>
  <c r="AA294" i="29"/>
  <c r="Z294" i="29"/>
  <c r="Y294" i="29"/>
  <c r="X294" i="29"/>
  <c r="W294" i="29"/>
  <c r="V294" i="29"/>
  <c r="U294" i="29"/>
  <c r="T294" i="29"/>
  <c r="S294" i="29"/>
  <c r="P294" i="29"/>
  <c r="O294" i="29"/>
  <c r="M294" i="29"/>
  <c r="K294" i="29"/>
  <c r="AH293" i="29"/>
  <c r="AE293" i="29"/>
  <c r="AD293" i="29"/>
  <c r="AC293" i="29"/>
  <c r="AB293" i="29"/>
  <c r="AA293" i="29"/>
  <c r="Z293" i="29"/>
  <c r="Y293" i="29"/>
  <c r="X293" i="29"/>
  <c r="W293" i="29"/>
  <c r="V293" i="29"/>
  <c r="U293" i="29"/>
  <c r="T293" i="29"/>
  <c r="S293" i="29"/>
  <c r="P293" i="29"/>
  <c r="O293" i="29"/>
  <c r="M293" i="29"/>
  <c r="K293" i="29"/>
  <c r="AH292" i="29"/>
  <c r="AE292" i="29"/>
  <c r="AD292" i="29"/>
  <c r="AC292" i="29"/>
  <c r="AB292" i="29"/>
  <c r="AA292" i="29"/>
  <c r="Z292" i="29"/>
  <c r="Y292" i="29"/>
  <c r="X292" i="29"/>
  <c r="W292" i="29"/>
  <c r="V292" i="29"/>
  <c r="U292" i="29"/>
  <c r="T292" i="29"/>
  <c r="S292" i="29"/>
  <c r="P292" i="29"/>
  <c r="O292" i="29"/>
  <c r="M292" i="29"/>
  <c r="AH291" i="29"/>
  <c r="AE291" i="29"/>
  <c r="AD291" i="29"/>
  <c r="AC291" i="29"/>
  <c r="AB291" i="29"/>
  <c r="AA291" i="29"/>
  <c r="Z291" i="29"/>
  <c r="Y291" i="29"/>
  <c r="X291" i="29"/>
  <c r="W291" i="29"/>
  <c r="V291" i="29"/>
  <c r="U291" i="29"/>
  <c r="T291" i="29"/>
  <c r="S291" i="29"/>
  <c r="P291" i="29"/>
  <c r="O291" i="29"/>
  <c r="M291" i="29"/>
  <c r="L291" i="29"/>
  <c r="K291" i="29"/>
  <c r="Q290" i="29"/>
  <c r="P290" i="29"/>
  <c r="O290" i="29"/>
  <c r="N290" i="29"/>
  <c r="M290" i="29"/>
  <c r="L290" i="29"/>
  <c r="K290" i="29"/>
  <c r="J290" i="29"/>
  <c r="I290" i="29"/>
  <c r="H290" i="29"/>
  <c r="G290" i="29"/>
  <c r="F290" i="29"/>
  <c r="E290" i="29"/>
  <c r="D290" i="29"/>
  <c r="C290" i="29"/>
  <c r="G289" i="29"/>
  <c r="C289" i="29"/>
  <c r="Q289" i="29"/>
  <c r="P289" i="29"/>
  <c r="O289" i="29"/>
  <c r="N289" i="29"/>
  <c r="M289" i="29"/>
  <c r="L289" i="29"/>
  <c r="K289" i="29"/>
  <c r="J289" i="29"/>
  <c r="H289" i="29"/>
  <c r="F289" i="29"/>
  <c r="E289" i="29"/>
  <c r="D289" i="29"/>
  <c r="Q288" i="29"/>
  <c r="P288" i="29"/>
  <c r="O288" i="29"/>
  <c r="N288" i="29"/>
  <c r="M288" i="29"/>
  <c r="L288" i="29"/>
  <c r="K288" i="29"/>
  <c r="J288" i="29"/>
  <c r="I288" i="29"/>
  <c r="H288" i="29"/>
  <c r="G288" i="29"/>
  <c r="F288" i="29"/>
  <c r="E288" i="29"/>
  <c r="D288" i="29"/>
  <c r="C288" i="29"/>
  <c r="Q287" i="29"/>
  <c r="P287" i="29"/>
  <c r="O287" i="29"/>
  <c r="N287" i="29"/>
  <c r="M287" i="29"/>
  <c r="L287" i="29"/>
  <c r="K287" i="29"/>
  <c r="J287" i="29"/>
  <c r="I287" i="29"/>
  <c r="H287" i="29"/>
  <c r="G287" i="29"/>
  <c r="F287" i="29"/>
  <c r="E287" i="29"/>
  <c r="D287" i="29"/>
  <c r="C287" i="29"/>
  <c r="Q286" i="29"/>
  <c r="P286" i="29"/>
  <c r="O286" i="29"/>
  <c r="N286" i="29"/>
  <c r="M286" i="29"/>
  <c r="L286" i="29"/>
  <c r="K286" i="29"/>
  <c r="J286" i="29"/>
  <c r="I286" i="29"/>
  <c r="H286" i="29"/>
  <c r="G286" i="29"/>
  <c r="F286" i="29"/>
  <c r="E286" i="29"/>
  <c r="D286" i="29"/>
  <c r="C286" i="29"/>
  <c r="Q285" i="29"/>
  <c r="P285" i="29"/>
  <c r="O285" i="29"/>
  <c r="N285" i="29"/>
  <c r="M285" i="29"/>
  <c r="L285" i="29"/>
  <c r="K285" i="29"/>
  <c r="J285" i="29"/>
  <c r="I285" i="29"/>
  <c r="H285" i="29"/>
  <c r="G285" i="29"/>
  <c r="F285" i="29"/>
  <c r="E285" i="29"/>
  <c r="D285" i="29"/>
  <c r="C285" i="29"/>
  <c r="Q284" i="29"/>
  <c r="P284" i="29"/>
  <c r="O284" i="29"/>
  <c r="N284" i="29"/>
  <c r="M284" i="29"/>
  <c r="L284" i="29"/>
  <c r="K284" i="29"/>
  <c r="J284" i="29"/>
  <c r="I284" i="29"/>
  <c r="H284" i="29"/>
  <c r="G284" i="29"/>
  <c r="F284" i="29"/>
  <c r="E284" i="29"/>
  <c r="D284" i="29"/>
  <c r="C284" i="29"/>
  <c r="Q283" i="29"/>
  <c r="P283" i="29"/>
  <c r="O283" i="29"/>
  <c r="N283" i="29"/>
  <c r="M283" i="29"/>
  <c r="L283" i="29"/>
  <c r="K283" i="29"/>
  <c r="J283" i="29"/>
  <c r="I283" i="29"/>
  <c r="H283" i="29"/>
  <c r="G283" i="29"/>
  <c r="F283" i="29"/>
  <c r="E283" i="29"/>
  <c r="C283" i="29"/>
  <c r="Q282" i="29"/>
  <c r="P282" i="29"/>
  <c r="O282" i="29"/>
  <c r="N282" i="29"/>
  <c r="M282" i="29"/>
  <c r="L282" i="29"/>
  <c r="K282" i="29"/>
  <c r="J282" i="29"/>
  <c r="I282" i="29"/>
  <c r="H282" i="29"/>
  <c r="G282" i="29"/>
  <c r="F282" i="29"/>
  <c r="E282" i="29"/>
  <c r="D282" i="29"/>
  <c r="C282" i="29"/>
  <c r="Q281" i="29"/>
  <c r="P281" i="29"/>
  <c r="O281" i="29"/>
  <c r="N281" i="29"/>
  <c r="M281" i="29"/>
  <c r="L281" i="29"/>
  <c r="K281" i="29"/>
  <c r="J281" i="29"/>
  <c r="I281" i="29"/>
  <c r="H281" i="29"/>
  <c r="G281" i="29"/>
  <c r="F281" i="29"/>
  <c r="E281" i="29"/>
  <c r="D281" i="29"/>
  <c r="C281" i="29"/>
  <c r="Q280" i="29"/>
  <c r="P280" i="29"/>
  <c r="O280" i="29"/>
  <c r="N280" i="29"/>
  <c r="M280" i="29"/>
  <c r="L280" i="29"/>
  <c r="K280" i="29"/>
  <c r="J280" i="29"/>
  <c r="I280" i="29"/>
  <c r="H280" i="29"/>
  <c r="G280" i="29"/>
  <c r="F280" i="29"/>
  <c r="E280" i="29"/>
  <c r="D280" i="29"/>
  <c r="C280" i="29"/>
  <c r="Q279" i="29"/>
  <c r="P279" i="29"/>
  <c r="O279" i="29"/>
  <c r="N279" i="29"/>
  <c r="M279" i="29"/>
  <c r="L279" i="29"/>
  <c r="K279" i="29"/>
  <c r="J279" i="29"/>
  <c r="I279" i="29"/>
  <c r="H279" i="29"/>
  <c r="G279" i="29"/>
  <c r="F279" i="29"/>
  <c r="E279" i="29"/>
  <c r="D279" i="29"/>
  <c r="C279" i="29"/>
  <c r="Q278" i="29"/>
  <c r="P278" i="29"/>
  <c r="O278" i="29"/>
  <c r="N278" i="29"/>
  <c r="M278" i="29"/>
  <c r="L278" i="29"/>
  <c r="K278" i="29"/>
  <c r="J278" i="29"/>
  <c r="I278" i="29"/>
  <c r="H278" i="29"/>
  <c r="G278" i="29"/>
  <c r="F278" i="29"/>
  <c r="E278" i="29"/>
  <c r="D278" i="29"/>
  <c r="C278" i="29"/>
  <c r="I277" i="29"/>
  <c r="C277" i="29"/>
  <c r="Q277" i="29"/>
  <c r="P277" i="29"/>
  <c r="O277" i="29"/>
  <c r="N277" i="29"/>
  <c r="M277" i="29"/>
  <c r="L277" i="29"/>
  <c r="K277" i="29"/>
  <c r="J277" i="29"/>
  <c r="G277" i="29"/>
  <c r="F277" i="29"/>
  <c r="D277" i="29"/>
  <c r="Q276" i="29"/>
  <c r="P276" i="29"/>
  <c r="O276" i="29"/>
  <c r="N276" i="29"/>
  <c r="M276" i="29"/>
  <c r="L276" i="29"/>
  <c r="K276" i="29"/>
  <c r="J276" i="29"/>
  <c r="I276" i="29"/>
  <c r="H276" i="29"/>
  <c r="G276" i="29"/>
  <c r="F276" i="29"/>
  <c r="E276" i="29"/>
  <c r="D276" i="29"/>
  <c r="C276" i="29"/>
  <c r="Q275" i="29"/>
  <c r="P275" i="29"/>
  <c r="O275" i="29"/>
  <c r="N275" i="29"/>
  <c r="M275" i="29"/>
  <c r="L275" i="29"/>
  <c r="K275" i="29"/>
  <c r="J275" i="29"/>
  <c r="I275" i="29"/>
  <c r="H275" i="29"/>
  <c r="G275" i="29"/>
  <c r="F275" i="29"/>
  <c r="E275" i="29"/>
  <c r="D275" i="29"/>
  <c r="C275" i="29"/>
  <c r="Q274" i="29"/>
  <c r="P274" i="29"/>
  <c r="O274" i="29"/>
  <c r="N274" i="29"/>
  <c r="M274" i="29"/>
  <c r="L274" i="29"/>
  <c r="K274" i="29"/>
  <c r="J274" i="29"/>
  <c r="I274" i="29"/>
  <c r="H274" i="29"/>
  <c r="G274" i="29"/>
  <c r="F274" i="29"/>
  <c r="E274" i="29"/>
  <c r="D274" i="29"/>
  <c r="C274" i="29"/>
  <c r="Q273" i="29"/>
  <c r="P273" i="29"/>
  <c r="O273" i="29"/>
  <c r="N273" i="29"/>
  <c r="M273" i="29"/>
  <c r="L273" i="29"/>
  <c r="K273" i="29"/>
  <c r="J273" i="29"/>
  <c r="I273" i="29"/>
  <c r="H273" i="29"/>
  <c r="G273" i="29"/>
  <c r="F273" i="29"/>
  <c r="E273" i="29"/>
  <c r="D273" i="29"/>
  <c r="C273" i="29"/>
  <c r="Q272" i="29"/>
  <c r="P272" i="29"/>
  <c r="O272" i="29"/>
  <c r="N272" i="29"/>
  <c r="M272" i="29"/>
  <c r="L272" i="29"/>
  <c r="K272" i="29"/>
  <c r="J272" i="29"/>
  <c r="I272" i="29"/>
  <c r="H272" i="29"/>
  <c r="G272" i="29"/>
  <c r="F272" i="29"/>
  <c r="E272" i="29"/>
  <c r="D272" i="29"/>
  <c r="C272" i="29"/>
  <c r="I271" i="29"/>
  <c r="Q271" i="29"/>
  <c r="P271" i="29"/>
  <c r="O271" i="29"/>
  <c r="N271" i="29"/>
  <c r="M271" i="29"/>
  <c r="L271" i="29"/>
  <c r="K271" i="29"/>
  <c r="J271" i="29"/>
  <c r="G271" i="29"/>
  <c r="F271" i="29"/>
  <c r="E271" i="29"/>
  <c r="D271" i="29"/>
  <c r="C271" i="29"/>
  <c r="Q270" i="29"/>
  <c r="P270" i="29"/>
  <c r="O270" i="29"/>
  <c r="N270" i="29"/>
  <c r="M270" i="29"/>
  <c r="L270" i="29"/>
  <c r="K270" i="29"/>
  <c r="J270" i="29"/>
  <c r="I270" i="29"/>
  <c r="H270" i="29"/>
  <c r="G270" i="29"/>
  <c r="F270" i="29"/>
  <c r="E270" i="29"/>
  <c r="D270" i="29"/>
  <c r="C270" i="29"/>
  <c r="Q269" i="29"/>
  <c r="P269" i="29"/>
  <c r="O269" i="29"/>
  <c r="N269" i="29"/>
  <c r="M269" i="29"/>
  <c r="L269" i="29"/>
  <c r="K269" i="29"/>
  <c r="J269" i="29"/>
  <c r="I269" i="29"/>
  <c r="H269" i="29"/>
  <c r="G269" i="29"/>
  <c r="F269" i="29"/>
  <c r="E269" i="29"/>
  <c r="D269" i="29"/>
  <c r="C269" i="29"/>
  <c r="Q268" i="29"/>
  <c r="P268" i="29"/>
  <c r="O268" i="29"/>
  <c r="N268" i="29"/>
  <c r="M268" i="29"/>
  <c r="L268" i="29"/>
  <c r="K268" i="29"/>
  <c r="J268" i="29"/>
  <c r="I268" i="29"/>
  <c r="H268" i="29"/>
  <c r="G268" i="29"/>
  <c r="F268" i="29"/>
  <c r="E268" i="29"/>
  <c r="D268" i="29"/>
  <c r="C268" i="29"/>
  <c r="Q267" i="29"/>
  <c r="P267" i="29"/>
  <c r="O267" i="29"/>
  <c r="N267" i="29"/>
  <c r="M267" i="29"/>
  <c r="L267" i="29"/>
  <c r="K267" i="29"/>
  <c r="J267" i="29"/>
  <c r="I267" i="29"/>
  <c r="H267" i="29"/>
  <c r="G267" i="29"/>
  <c r="F267" i="29"/>
  <c r="E267" i="29"/>
  <c r="D267" i="29"/>
  <c r="C267" i="29"/>
  <c r="Q266" i="29"/>
  <c r="P266" i="29"/>
  <c r="O266" i="29"/>
  <c r="N266" i="29"/>
  <c r="M266" i="29"/>
  <c r="L266" i="29"/>
  <c r="K266" i="29"/>
  <c r="J266" i="29"/>
  <c r="I266" i="29"/>
  <c r="H266" i="29"/>
  <c r="G266" i="29"/>
  <c r="F266" i="29"/>
  <c r="E266" i="29"/>
  <c r="D266" i="29"/>
  <c r="C266" i="29"/>
  <c r="Q265" i="29"/>
  <c r="P265" i="29"/>
  <c r="O265" i="29"/>
  <c r="N265" i="29"/>
  <c r="M265" i="29"/>
  <c r="L265" i="29"/>
  <c r="K265" i="29"/>
  <c r="J265" i="29"/>
  <c r="I265" i="29"/>
  <c r="H265" i="29"/>
  <c r="G265" i="29"/>
  <c r="F265" i="29"/>
  <c r="E265" i="29"/>
  <c r="D265" i="29"/>
  <c r="C265" i="29"/>
  <c r="Q264" i="29"/>
  <c r="P264" i="29"/>
  <c r="O264" i="29"/>
  <c r="N264" i="29"/>
  <c r="M264" i="29"/>
  <c r="L264" i="29"/>
  <c r="K264" i="29"/>
  <c r="J264" i="29"/>
  <c r="I264" i="29"/>
  <c r="H264" i="29"/>
  <c r="G264" i="29"/>
  <c r="F264" i="29"/>
  <c r="E264" i="29"/>
  <c r="D264" i="29"/>
  <c r="C264" i="29"/>
  <c r="Q263" i="29"/>
  <c r="P263" i="29"/>
  <c r="O263" i="29"/>
  <c r="N263" i="29"/>
  <c r="M263" i="29"/>
  <c r="L263" i="29"/>
  <c r="K263" i="29"/>
  <c r="J263" i="29"/>
  <c r="I263" i="29"/>
  <c r="H263" i="29"/>
  <c r="G263" i="29"/>
  <c r="F263" i="29"/>
  <c r="E263" i="29"/>
  <c r="D263" i="29"/>
  <c r="C263" i="29"/>
  <c r="Q262" i="29"/>
  <c r="P262" i="29"/>
  <c r="O262" i="29"/>
  <c r="N262" i="29"/>
  <c r="M262" i="29"/>
  <c r="L262" i="29"/>
  <c r="K262" i="29"/>
  <c r="J262" i="29"/>
  <c r="I262" i="29"/>
  <c r="H262" i="29"/>
  <c r="G262" i="29"/>
  <c r="F262" i="29"/>
  <c r="E262" i="29"/>
  <c r="D262" i="29"/>
  <c r="C262" i="29"/>
  <c r="Q261" i="29"/>
  <c r="P261" i="29"/>
  <c r="O261" i="29"/>
  <c r="N261" i="29"/>
  <c r="M261" i="29"/>
  <c r="L261" i="29"/>
  <c r="K261" i="29"/>
  <c r="J261" i="29"/>
  <c r="I261" i="29"/>
  <c r="H261" i="29"/>
  <c r="G261" i="29"/>
  <c r="F261" i="29"/>
  <c r="E261" i="29"/>
  <c r="D261" i="29"/>
  <c r="C261" i="29"/>
  <c r="Q260" i="29"/>
  <c r="P260" i="29"/>
  <c r="O260" i="29"/>
  <c r="N260" i="29"/>
  <c r="M260" i="29"/>
  <c r="L260" i="29"/>
  <c r="K260" i="29"/>
  <c r="J260" i="29"/>
  <c r="I260" i="29"/>
  <c r="H260" i="29"/>
  <c r="G260" i="29"/>
  <c r="F260" i="29"/>
  <c r="E260" i="29"/>
  <c r="D260" i="29"/>
  <c r="C260" i="29"/>
  <c r="N259" i="29"/>
  <c r="Q259" i="29"/>
  <c r="P259" i="29"/>
  <c r="O259" i="29"/>
  <c r="M259" i="29"/>
  <c r="L259" i="29"/>
  <c r="K259" i="29"/>
  <c r="J259" i="29"/>
  <c r="H259" i="29"/>
  <c r="G259" i="29"/>
  <c r="F259" i="29"/>
  <c r="E259" i="29"/>
  <c r="Q258" i="29"/>
  <c r="P258" i="29"/>
  <c r="O258" i="29"/>
  <c r="N258" i="29"/>
  <c r="M258" i="29"/>
  <c r="L258" i="29"/>
  <c r="K258" i="29"/>
  <c r="J258" i="29"/>
  <c r="I258" i="29"/>
  <c r="H258" i="29"/>
  <c r="G258" i="29"/>
  <c r="F258" i="29"/>
  <c r="E258" i="29"/>
  <c r="D258" i="29"/>
  <c r="C258" i="29"/>
  <c r="Q257" i="29"/>
  <c r="P257" i="29"/>
  <c r="O257" i="29"/>
  <c r="N257" i="29"/>
  <c r="M257" i="29"/>
  <c r="L257" i="29"/>
  <c r="K257" i="29"/>
  <c r="J257" i="29"/>
  <c r="I257" i="29"/>
  <c r="H257" i="29"/>
  <c r="G257" i="29"/>
  <c r="F257" i="29"/>
  <c r="E257" i="29"/>
  <c r="D257" i="29"/>
  <c r="C257" i="29"/>
  <c r="Q256" i="29"/>
  <c r="P256" i="29"/>
  <c r="O256" i="29"/>
  <c r="N256" i="29"/>
  <c r="M256" i="29"/>
  <c r="L256" i="29"/>
  <c r="K256" i="29"/>
  <c r="J256" i="29"/>
  <c r="I256" i="29"/>
  <c r="H256" i="29"/>
  <c r="G256" i="29"/>
  <c r="F256" i="29"/>
  <c r="E256" i="29"/>
  <c r="D256" i="29"/>
  <c r="C256" i="29"/>
  <c r="Q255" i="29"/>
  <c r="P255" i="29"/>
  <c r="O255" i="29"/>
  <c r="N255" i="29"/>
  <c r="M255" i="29"/>
  <c r="L255" i="29"/>
  <c r="K255" i="29"/>
  <c r="J255" i="29"/>
  <c r="I255" i="29"/>
  <c r="H255" i="29"/>
  <c r="G255" i="29"/>
  <c r="F255" i="29"/>
  <c r="E255" i="29"/>
  <c r="D255" i="29"/>
  <c r="C255" i="29"/>
  <c r="Q254" i="29"/>
  <c r="P254" i="29"/>
  <c r="O254" i="29"/>
  <c r="N254" i="29"/>
  <c r="M254" i="29"/>
  <c r="L254" i="29"/>
  <c r="K254" i="29"/>
  <c r="J254" i="29"/>
  <c r="I254" i="29"/>
  <c r="H254" i="29"/>
  <c r="G254" i="29"/>
  <c r="F254" i="29"/>
  <c r="E254" i="29"/>
  <c r="D254" i="29"/>
  <c r="C254" i="29"/>
  <c r="Q253" i="29"/>
  <c r="P253" i="29"/>
  <c r="O253" i="29"/>
  <c r="N253" i="29"/>
  <c r="M253" i="29"/>
  <c r="L253" i="29"/>
  <c r="K253" i="29"/>
  <c r="J253" i="29"/>
  <c r="I253" i="29"/>
  <c r="H253" i="29"/>
  <c r="G253" i="29"/>
  <c r="F253" i="29"/>
  <c r="E253" i="29"/>
  <c r="D253" i="29"/>
  <c r="C253" i="29"/>
  <c r="Q252" i="29"/>
  <c r="P252" i="29"/>
  <c r="O252" i="29"/>
  <c r="N252" i="29"/>
  <c r="M252" i="29"/>
  <c r="L252" i="29"/>
  <c r="K252" i="29"/>
  <c r="J252" i="29"/>
  <c r="I252" i="29"/>
  <c r="H252" i="29"/>
  <c r="G252" i="29"/>
  <c r="F252" i="29"/>
  <c r="E252" i="29"/>
  <c r="D252" i="29"/>
  <c r="C252" i="29"/>
  <c r="Q251" i="29"/>
  <c r="P251" i="29"/>
  <c r="O251" i="29"/>
  <c r="N251" i="29"/>
  <c r="M251" i="29"/>
  <c r="L251" i="29"/>
  <c r="K251" i="29"/>
  <c r="J251" i="29"/>
  <c r="I251" i="29"/>
  <c r="H251" i="29"/>
  <c r="G251" i="29"/>
  <c r="F251" i="29"/>
  <c r="E251" i="29"/>
  <c r="D251" i="29"/>
  <c r="C251" i="29"/>
  <c r="Q250" i="29"/>
  <c r="P250" i="29"/>
  <c r="O250" i="29"/>
  <c r="N250" i="29"/>
  <c r="M250" i="29"/>
  <c r="L250" i="29"/>
  <c r="K250" i="29"/>
  <c r="J250" i="29"/>
  <c r="I250" i="29"/>
  <c r="H250" i="29"/>
  <c r="G250" i="29"/>
  <c r="F250" i="29"/>
  <c r="E250" i="29"/>
  <c r="D250" i="29"/>
  <c r="C250" i="29"/>
  <c r="Q249" i="29"/>
  <c r="P249" i="29"/>
  <c r="O249" i="29"/>
  <c r="N249" i="29"/>
  <c r="M249" i="29"/>
  <c r="L249" i="29"/>
  <c r="K249" i="29"/>
  <c r="J249" i="29"/>
  <c r="I249" i="29"/>
  <c r="H249" i="29"/>
  <c r="G249" i="29"/>
  <c r="F249" i="29"/>
  <c r="E249" i="29"/>
  <c r="D249" i="29"/>
  <c r="C249" i="29"/>
  <c r="Q248" i="29"/>
  <c r="P248" i="29"/>
  <c r="O248" i="29"/>
  <c r="N248" i="29"/>
  <c r="M248" i="29"/>
  <c r="L248" i="29"/>
  <c r="K248" i="29"/>
  <c r="J248" i="29"/>
  <c r="I248" i="29"/>
  <c r="H248" i="29"/>
  <c r="G248" i="29"/>
  <c r="F248" i="29"/>
  <c r="E248" i="29"/>
  <c r="D248" i="29"/>
  <c r="C248" i="29"/>
  <c r="H247" i="29"/>
  <c r="D247" i="29"/>
  <c r="Q247" i="29"/>
  <c r="P247" i="29"/>
  <c r="O247" i="29"/>
  <c r="N247" i="29"/>
  <c r="M247" i="29"/>
  <c r="L247" i="29"/>
  <c r="K247" i="29"/>
  <c r="J247" i="29"/>
  <c r="G247" i="29"/>
  <c r="F247" i="29"/>
  <c r="E247" i="29"/>
  <c r="Q246" i="29"/>
  <c r="P246" i="29"/>
  <c r="O246" i="29"/>
  <c r="N246" i="29"/>
  <c r="M246" i="29"/>
  <c r="L246" i="29"/>
  <c r="K246" i="29"/>
  <c r="J246" i="29"/>
  <c r="I246" i="29"/>
  <c r="H246" i="29"/>
  <c r="G246" i="29"/>
  <c r="F246" i="29"/>
  <c r="E246" i="29"/>
  <c r="D246" i="29"/>
  <c r="C246" i="29"/>
  <c r="Q245" i="29"/>
  <c r="P245" i="29"/>
  <c r="O245" i="29"/>
  <c r="N245" i="29"/>
  <c r="M245" i="29"/>
  <c r="L245" i="29"/>
  <c r="K245" i="29"/>
  <c r="J245" i="29"/>
  <c r="I245" i="29"/>
  <c r="H245" i="29"/>
  <c r="G245" i="29"/>
  <c r="F245" i="29"/>
  <c r="E245" i="29"/>
  <c r="D245" i="29"/>
  <c r="C245" i="29"/>
  <c r="Q244" i="29"/>
  <c r="P244" i="29"/>
  <c r="O244" i="29"/>
  <c r="N244" i="29"/>
  <c r="M244" i="29"/>
  <c r="L244" i="29"/>
  <c r="K244" i="29"/>
  <c r="J244" i="29"/>
  <c r="I244" i="29"/>
  <c r="H244" i="29"/>
  <c r="G244" i="29"/>
  <c r="F244" i="29"/>
  <c r="E244" i="29"/>
  <c r="D244" i="29"/>
  <c r="C244" i="29"/>
  <c r="Q243" i="29"/>
  <c r="P243" i="29"/>
  <c r="O243" i="29"/>
  <c r="N243" i="29"/>
  <c r="M243" i="29"/>
  <c r="L243" i="29"/>
  <c r="K243" i="29"/>
  <c r="J243" i="29"/>
  <c r="I243" i="29"/>
  <c r="H243" i="29"/>
  <c r="G243" i="29"/>
  <c r="F243" i="29"/>
  <c r="E243" i="29"/>
  <c r="D243" i="29"/>
  <c r="C243" i="29"/>
  <c r="Q242" i="29"/>
  <c r="P242" i="29"/>
  <c r="O242" i="29"/>
  <c r="N242" i="29"/>
  <c r="M242" i="29"/>
  <c r="L242" i="29"/>
  <c r="K242" i="29"/>
  <c r="J242" i="29"/>
  <c r="I242" i="29"/>
  <c r="H242" i="29"/>
  <c r="G242" i="29"/>
  <c r="F242" i="29"/>
  <c r="E242" i="29"/>
  <c r="D242" i="29"/>
  <c r="C242" i="29"/>
  <c r="P241" i="29"/>
  <c r="O241" i="29"/>
  <c r="N241" i="29"/>
  <c r="M241" i="29"/>
  <c r="L241" i="29"/>
  <c r="K241" i="29"/>
  <c r="J241" i="29"/>
  <c r="H241" i="29"/>
  <c r="G241" i="29"/>
  <c r="F241" i="29"/>
  <c r="E241" i="29"/>
  <c r="C241" i="29"/>
  <c r="Q240" i="29"/>
  <c r="P240" i="29"/>
  <c r="O240" i="29"/>
  <c r="N240" i="29"/>
  <c r="M240" i="29"/>
  <c r="L240" i="29"/>
  <c r="K240" i="29"/>
  <c r="J240" i="29"/>
  <c r="I240" i="29"/>
  <c r="H240" i="29"/>
  <c r="G240" i="29"/>
  <c r="F240" i="29"/>
  <c r="E240" i="29"/>
  <c r="D240" i="29"/>
  <c r="C240" i="29"/>
  <c r="Q239" i="29"/>
  <c r="P239" i="29"/>
  <c r="O239" i="29"/>
  <c r="N239" i="29"/>
  <c r="M239" i="29"/>
  <c r="L239" i="29"/>
  <c r="K239" i="29"/>
  <c r="J239" i="29"/>
  <c r="I239" i="29"/>
  <c r="H239" i="29"/>
  <c r="G239" i="29"/>
  <c r="F239" i="29"/>
  <c r="E239" i="29"/>
  <c r="D239" i="29"/>
  <c r="C239" i="29"/>
  <c r="Q238" i="29"/>
  <c r="P238" i="29"/>
  <c r="O238" i="29"/>
  <c r="N238" i="29"/>
  <c r="M238" i="29"/>
  <c r="L238" i="29"/>
  <c r="K238" i="29"/>
  <c r="J238" i="29"/>
  <c r="I238" i="29"/>
  <c r="H238" i="29"/>
  <c r="G238" i="29"/>
  <c r="F238" i="29"/>
  <c r="E238" i="29"/>
  <c r="D238" i="29"/>
  <c r="C238" i="29"/>
  <c r="Q237" i="29"/>
  <c r="P237" i="29"/>
  <c r="O237" i="29"/>
  <c r="N237" i="29"/>
  <c r="M237" i="29"/>
  <c r="L237" i="29"/>
  <c r="K237" i="29"/>
  <c r="J237" i="29"/>
  <c r="I237" i="29"/>
  <c r="H237" i="29"/>
  <c r="G237" i="29"/>
  <c r="F237" i="29"/>
  <c r="E237" i="29"/>
  <c r="D237" i="29"/>
  <c r="C237" i="29"/>
  <c r="Q236" i="29"/>
  <c r="P236" i="29"/>
  <c r="O236" i="29"/>
  <c r="N236" i="29"/>
  <c r="M236" i="29"/>
  <c r="L236" i="29"/>
  <c r="K236" i="29"/>
  <c r="J236" i="29"/>
  <c r="I236" i="29"/>
  <c r="H236" i="29"/>
  <c r="G236" i="29"/>
  <c r="F236" i="29"/>
  <c r="E236" i="29"/>
  <c r="D236" i="29"/>
  <c r="C236" i="29"/>
  <c r="I235" i="29"/>
  <c r="Q235" i="29"/>
  <c r="P235" i="29"/>
  <c r="O235" i="29"/>
  <c r="M235" i="29"/>
  <c r="L235" i="29"/>
  <c r="K235" i="29"/>
  <c r="J235" i="29"/>
  <c r="H235" i="29"/>
  <c r="G235" i="29"/>
  <c r="F235" i="29"/>
  <c r="E235" i="29"/>
  <c r="D235" i="29"/>
  <c r="Q234" i="29"/>
  <c r="P234" i="29"/>
  <c r="O234" i="29"/>
  <c r="N234" i="29"/>
  <c r="M234" i="29"/>
  <c r="L234" i="29"/>
  <c r="K234" i="29"/>
  <c r="J234" i="29"/>
  <c r="I234" i="29"/>
  <c r="H234" i="29"/>
  <c r="G234" i="29"/>
  <c r="F234" i="29"/>
  <c r="E234" i="29"/>
  <c r="D234" i="29"/>
  <c r="C234" i="29"/>
  <c r="Q233" i="29"/>
  <c r="P233" i="29"/>
  <c r="O233" i="29"/>
  <c r="N233" i="29"/>
  <c r="M233" i="29"/>
  <c r="L233" i="29"/>
  <c r="K233" i="29"/>
  <c r="J233" i="29"/>
  <c r="I233" i="29"/>
  <c r="H233" i="29"/>
  <c r="G233" i="29"/>
  <c r="F233" i="29"/>
  <c r="E233" i="29"/>
  <c r="D233" i="29"/>
  <c r="C233" i="29"/>
  <c r="Q232" i="29"/>
  <c r="P232" i="29"/>
  <c r="O232" i="29"/>
  <c r="N232" i="29"/>
  <c r="M232" i="29"/>
  <c r="L232" i="29"/>
  <c r="K232" i="29"/>
  <c r="J232" i="29"/>
  <c r="I232" i="29"/>
  <c r="H232" i="29"/>
  <c r="G232" i="29"/>
  <c r="F232" i="29"/>
  <c r="E232" i="29"/>
  <c r="D232" i="29"/>
  <c r="C232" i="29"/>
  <c r="Q231" i="29"/>
  <c r="P231" i="29"/>
  <c r="O231" i="29"/>
  <c r="N231" i="29"/>
  <c r="M231" i="29"/>
  <c r="L231" i="29"/>
  <c r="K231" i="29"/>
  <c r="J231" i="29"/>
  <c r="I231" i="29"/>
  <c r="H231" i="29"/>
  <c r="G231" i="29"/>
  <c r="F231" i="29"/>
  <c r="E231" i="29"/>
  <c r="D231" i="29"/>
  <c r="C231" i="29"/>
  <c r="Q230" i="29"/>
  <c r="P230" i="29"/>
  <c r="O230" i="29"/>
  <c r="N230" i="29"/>
  <c r="M230" i="29"/>
  <c r="L230" i="29"/>
  <c r="K230" i="29"/>
  <c r="J230" i="29"/>
  <c r="I230" i="29"/>
  <c r="H230" i="29"/>
  <c r="G230" i="29"/>
  <c r="F230" i="29"/>
  <c r="E230" i="29"/>
  <c r="D230" i="29"/>
  <c r="C230" i="29"/>
  <c r="I229" i="29"/>
  <c r="Q229" i="29"/>
  <c r="P229" i="29"/>
  <c r="O229" i="29"/>
  <c r="M229" i="29"/>
  <c r="L229" i="29"/>
  <c r="K229" i="29"/>
  <c r="J229" i="29"/>
  <c r="H229" i="29"/>
  <c r="G229" i="29"/>
  <c r="F229" i="29"/>
  <c r="E229" i="29"/>
  <c r="Q228" i="29"/>
  <c r="P228" i="29"/>
  <c r="O228" i="29"/>
  <c r="N228" i="29"/>
  <c r="M228" i="29"/>
  <c r="L228" i="29"/>
  <c r="K228" i="29"/>
  <c r="J228" i="29"/>
  <c r="I228" i="29"/>
  <c r="H228" i="29"/>
  <c r="G228" i="29"/>
  <c r="F228" i="29"/>
  <c r="E228" i="29"/>
  <c r="D228" i="29"/>
  <c r="C228" i="29"/>
  <c r="Q227" i="29"/>
  <c r="P227" i="29"/>
  <c r="O227" i="29"/>
  <c r="N227" i="29"/>
  <c r="M227" i="29"/>
  <c r="L227" i="29"/>
  <c r="K227" i="29"/>
  <c r="J227" i="29"/>
  <c r="I227" i="29"/>
  <c r="H227" i="29"/>
  <c r="G227" i="29"/>
  <c r="F227" i="29"/>
  <c r="E227" i="29"/>
  <c r="D227" i="29"/>
  <c r="C227" i="29"/>
  <c r="Q226" i="29"/>
  <c r="P226" i="29"/>
  <c r="O226" i="29"/>
  <c r="N226" i="29"/>
  <c r="M226" i="29"/>
  <c r="L226" i="29"/>
  <c r="K226" i="29"/>
  <c r="J226" i="29"/>
  <c r="I226" i="29"/>
  <c r="H226" i="29"/>
  <c r="G226" i="29"/>
  <c r="F226" i="29"/>
  <c r="E226" i="29"/>
  <c r="D226" i="29"/>
  <c r="C226" i="29"/>
  <c r="Q225" i="29"/>
  <c r="P225" i="29"/>
  <c r="O225" i="29"/>
  <c r="N225" i="29"/>
  <c r="M225" i="29"/>
  <c r="L225" i="29"/>
  <c r="K225" i="29"/>
  <c r="J225" i="29"/>
  <c r="I225" i="29"/>
  <c r="H225" i="29"/>
  <c r="G225" i="29"/>
  <c r="F225" i="29"/>
  <c r="E225" i="29"/>
  <c r="D225" i="29"/>
  <c r="C225" i="29"/>
  <c r="Q224" i="29"/>
  <c r="P224" i="29"/>
  <c r="O224" i="29"/>
  <c r="N224" i="29"/>
  <c r="M224" i="29"/>
  <c r="L224" i="29"/>
  <c r="K224" i="29"/>
  <c r="J224" i="29"/>
  <c r="I224" i="29"/>
  <c r="H224" i="29"/>
  <c r="G224" i="29"/>
  <c r="F224" i="29"/>
  <c r="E224" i="29"/>
  <c r="D224" i="29"/>
  <c r="C224" i="29"/>
  <c r="I223" i="29"/>
  <c r="Q223" i="29"/>
  <c r="P223" i="29"/>
  <c r="O223" i="29"/>
  <c r="N223" i="29"/>
  <c r="M223" i="29"/>
  <c r="L223" i="29"/>
  <c r="K223" i="29"/>
  <c r="J223" i="29"/>
  <c r="H223" i="29"/>
  <c r="G223" i="29"/>
  <c r="F223" i="29"/>
  <c r="E223" i="29"/>
  <c r="Q222" i="29"/>
  <c r="P222" i="29"/>
  <c r="O222" i="29"/>
  <c r="N222" i="29"/>
  <c r="M222" i="29"/>
  <c r="L222" i="29"/>
  <c r="K222" i="29"/>
  <c r="J222" i="29"/>
  <c r="I222" i="29"/>
  <c r="H222" i="29"/>
  <c r="G222" i="29"/>
  <c r="F222" i="29"/>
  <c r="E222" i="29"/>
  <c r="D222" i="29"/>
  <c r="C222" i="29"/>
  <c r="Q221" i="29"/>
  <c r="P221" i="29"/>
  <c r="O221" i="29"/>
  <c r="N221" i="29"/>
  <c r="M221" i="29"/>
  <c r="L221" i="29"/>
  <c r="K221" i="29"/>
  <c r="J221" i="29"/>
  <c r="I221" i="29"/>
  <c r="H221" i="29"/>
  <c r="G221" i="29"/>
  <c r="F221" i="29"/>
  <c r="E221" i="29"/>
  <c r="D221" i="29"/>
  <c r="C221" i="29"/>
  <c r="Q220" i="29"/>
  <c r="P220" i="29"/>
  <c r="O220" i="29"/>
  <c r="N220" i="29"/>
  <c r="M220" i="29"/>
  <c r="L220" i="29"/>
  <c r="K220" i="29"/>
  <c r="J220" i="29"/>
  <c r="I220" i="29"/>
  <c r="H220" i="29"/>
  <c r="G220" i="29"/>
  <c r="F220" i="29"/>
  <c r="E220" i="29"/>
  <c r="D220" i="29"/>
  <c r="C220" i="29"/>
  <c r="Q219" i="29"/>
  <c r="P219" i="29"/>
  <c r="O219" i="29"/>
  <c r="N219" i="29"/>
  <c r="M219" i="29"/>
  <c r="L219" i="29"/>
  <c r="K219" i="29"/>
  <c r="J219" i="29"/>
  <c r="I219" i="29"/>
  <c r="H219" i="29"/>
  <c r="G219" i="29"/>
  <c r="F219" i="29"/>
  <c r="E219" i="29"/>
  <c r="D219" i="29"/>
  <c r="C219" i="29"/>
  <c r="L214" i="29"/>
  <c r="Q212" i="29"/>
  <c r="P212" i="29"/>
  <c r="O212" i="29"/>
  <c r="N212" i="29"/>
  <c r="M212" i="29"/>
  <c r="L212" i="29"/>
  <c r="K212" i="29"/>
  <c r="J212" i="29"/>
  <c r="I212" i="29"/>
  <c r="H212" i="29"/>
  <c r="G212" i="29"/>
  <c r="F212" i="29"/>
  <c r="E212" i="29"/>
  <c r="D212" i="29"/>
  <c r="C212" i="29"/>
  <c r="Q211" i="29"/>
  <c r="P211" i="29"/>
  <c r="O211" i="29"/>
  <c r="N211" i="29"/>
  <c r="M211" i="29"/>
  <c r="L211" i="29"/>
  <c r="K211" i="29"/>
  <c r="J211" i="29"/>
  <c r="I211" i="29"/>
  <c r="H211" i="29"/>
  <c r="G211" i="29"/>
  <c r="F211" i="29"/>
  <c r="E211" i="29"/>
  <c r="D211" i="29"/>
  <c r="C211" i="29"/>
  <c r="Q210" i="29"/>
  <c r="P210" i="29"/>
  <c r="O210" i="29"/>
  <c r="N210" i="29"/>
  <c r="M210" i="29"/>
  <c r="L210" i="29"/>
  <c r="K210" i="29"/>
  <c r="J210" i="29"/>
  <c r="I210" i="29"/>
  <c r="H210" i="29"/>
  <c r="G210" i="29"/>
  <c r="F210" i="29"/>
  <c r="E210" i="29"/>
  <c r="D210" i="29"/>
  <c r="C210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Q208" i="29"/>
  <c r="P208" i="29"/>
  <c r="O208" i="29"/>
  <c r="N208" i="29"/>
  <c r="M208" i="29"/>
  <c r="L208" i="29"/>
  <c r="K208" i="29"/>
  <c r="J208" i="29"/>
  <c r="I208" i="29"/>
  <c r="H208" i="29"/>
  <c r="G208" i="29"/>
  <c r="F208" i="29"/>
  <c r="E208" i="29"/>
  <c r="D208" i="29"/>
  <c r="C208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Q206" i="29"/>
  <c r="P206" i="29"/>
  <c r="O206" i="29"/>
  <c r="N206" i="29"/>
  <c r="M206" i="29"/>
  <c r="L206" i="29"/>
  <c r="K206" i="29"/>
  <c r="J206" i="29"/>
  <c r="I206" i="29"/>
  <c r="H206" i="29"/>
  <c r="G206" i="29"/>
  <c r="F206" i="29"/>
  <c r="E206" i="29"/>
  <c r="D206" i="29"/>
  <c r="C206" i="29"/>
  <c r="Q205" i="29"/>
  <c r="P205" i="29"/>
  <c r="O205" i="29"/>
  <c r="N205" i="29"/>
  <c r="M205" i="29"/>
  <c r="L205" i="29"/>
  <c r="K205" i="29"/>
  <c r="J205" i="29"/>
  <c r="I205" i="29"/>
  <c r="H205" i="29"/>
  <c r="F205" i="29"/>
  <c r="D205" i="29"/>
  <c r="C205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Q203" i="29"/>
  <c r="P203" i="29"/>
  <c r="O203" i="29"/>
  <c r="N203" i="29"/>
  <c r="M203" i="29"/>
  <c r="L203" i="29"/>
  <c r="K203" i="29"/>
  <c r="J203" i="29"/>
  <c r="I203" i="29"/>
  <c r="H203" i="29"/>
  <c r="G203" i="29"/>
  <c r="F203" i="29"/>
  <c r="E203" i="29"/>
  <c r="D203" i="29"/>
  <c r="C203" i="29"/>
  <c r="Q202" i="29"/>
  <c r="P202" i="29"/>
  <c r="O202" i="29"/>
  <c r="N202" i="29"/>
  <c r="M202" i="29"/>
  <c r="L202" i="29"/>
  <c r="K202" i="29"/>
  <c r="J202" i="29"/>
  <c r="I202" i="29"/>
  <c r="H202" i="29"/>
  <c r="G202" i="29"/>
  <c r="F202" i="29"/>
  <c r="E202" i="29"/>
  <c r="D202" i="29"/>
  <c r="C202" i="29"/>
  <c r="Q201" i="29"/>
  <c r="P201" i="29"/>
  <c r="O201" i="29"/>
  <c r="N201" i="29"/>
  <c r="M201" i="29"/>
  <c r="L201" i="29"/>
  <c r="K201" i="29"/>
  <c r="J201" i="29"/>
  <c r="I201" i="29"/>
  <c r="H201" i="29"/>
  <c r="G201" i="29"/>
  <c r="F201" i="29"/>
  <c r="E201" i="29"/>
  <c r="D201" i="29"/>
  <c r="C201" i="29"/>
  <c r="Q200" i="29"/>
  <c r="P200" i="29"/>
  <c r="O200" i="29"/>
  <c r="N200" i="29"/>
  <c r="M200" i="29"/>
  <c r="L200" i="29"/>
  <c r="K200" i="29"/>
  <c r="J200" i="29"/>
  <c r="I200" i="29"/>
  <c r="H200" i="29"/>
  <c r="G200" i="29"/>
  <c r="F200" i="29"/>
  <c r="E200" i="29"/>
  <c r="D200" i="29"/>
  <c r="C200" i="29"/>
  <c r="I199" i="29"/>
  <c r="Q199" i="29"/>
  <c r="P199" i="29"/>
  <c r="O199" i="29"/>
  <c r="N199" i="29"/>
  <c r="M199" i="29"/>
  <c r="L199" i="29"/>
  <c r="K199" i="29"/>
  <c r="J199" i="29"/>
  <c r="H199" i="29"/>
  <c r="G199" i="29"/>
  <c r="E199" i="29"/>
  <c r="D199" i="29"/>
  <c r="C199" i="29"/>
  <c r="Q198" i="29"/>
  <c r="P198" i="29"/>
  <c r="O198" i="29"/>
  <c r="N198" i="29"/>
  <c r="M198" i="29"/>
  <c r="L198" i="29"/>
  <c r="K198" i="29"/>
  <c r="J198" i="29"/>
  <c r="I198" i="29"/>
  <c r="H198" i="29"/>
  <c r="G198" i="29"/>
  <c r="F198" i="29"/>
  <c r="E198" i="29"/>
  <c r="D198" i="29"/>
  <c r="C198" i="29"/>
  <c r="Q197" i="29"/>
  <c r="P197" i="29"/>
  <c r="O197" i="29"/>
  <c r="N197" i="29"/>
  <c r="M197" i="29"/>
  <c r="L197" i="29"/>
  <c r="K197" i="29"/>
  <c r="J197" i="29"/>
  <c r="I197" i="29"/>
  <c r="H197" i="29"/>
  <c r="G197" i="29"/>
  <c r="F197" i="29"/>
  <c r="E197" i="29"/>
  <c r="D197" i="29"/>
  <c r="C197" i="29"/>
  <c r="Q196" i="29"/>
  <c r="P196" i="29"/>
  <c r="O196" i="29"/>
  <c r="N196" i="29"/>
  <c r="M196" i="29"/>
  <c r="L196" i="29"/>
  <c r="K196" i="29"/>
  <c r="J196" i="29"/>
  <c r="I196" i="29"/>
  <c r="H196" i="29"/>
  <c r="G196" i="29"/>
  <c r="F196" i="29"/>
  <c r="E196" i="29"/>
  <c r="D196" i="29"/>
  <c r="C196" i="29"/>
  <c r="Q195" i="29"/>
  <c r="P195" i="29"/>
  <c r="O195" i="29"/>
  <c r="N195" i="29"/>
  <c r="M195" i="29"/>
  <c r="L195" i="29"/>
  <c r="K195" i="29"/>
  <c r="J195" i="29"/>
  <c r="I195" i="29"/>
  <c r="H195" i="29"/>
  <c r="G195" i="29"/>
  <c r="F195" i="29"/>
  <c r="E195" i="29"/>
  <c r="D195" i="29"/>
  <c r="C195" i="29"/>
  <c r="Q194" i="29"/>
  <c r="P194" i="29"/>
  <c r="O194" i="29"/>
  <c r="N194" i="29"/>
  <c r="M194" i="29"/>
  <c r="L194" i="29"/>
  <c r="K194" i="29"/>
  <c r="J194" i="29"/>
  <c r="I194" i="29"/>
  <c r="H194" i="29"/>
  <c r="G194" i="29"/>
  <c r="F194" i="29"/>
  <c r="E194" i="29"/>
  <c r="D194" i="29"/>
  <c r="C194" i="29"/>
  <c r="N193" i="29"/>
  <c r="F193" i="29"/>
  <c r="D193" i="29"/>
  <c r="Q193" i="29"/>
  <c r="P193" i="29"/>
  <c r="O193" i="29"/>
  <c r="M193" i="29"/>
  <c r="L193" i="29"/>
  <c r="K193" i="29"/>
  <c r="J193" i="29"/>
  <c r="I193" i="29"/>
  <c r="H193" i="29"/>
  <c r="G193" i="29"/>
  <c r="E193" i="29"/>
  <c r="C193" i="29"/>
  <c r="Q192" i="29"/>
  <c r="P192" i="29"/>
  <c r="O192" i="29"/>
  <c r="N192" i="29"/>
  <c r="M192" i="29"/>
  <c r="L192" i="29"/>
  <c r="K192" i="29"/>
  <c r="J192" i="29"/>
  <c r="I192" i="29"/>
  <c r="H192" i="29"/>
  <c r="G192" i="29"/>
  <c r="F192" i="29"/>
  <c r="E192" i="29"/>
  <c r="D192" i="29"/>
  <c r="C192" i="29"/>
  <c r="Q191" i="29"/>
  <c r="P191" i="29"/>
  <c r="O191" i="29"/>
  <c r="N191" i="29"/>
  <c r="M191" i="29"/>
  <c r="L191" i="29"/>
  <c r="K191" i="29"/>
  <c r="J191" i="29"/>
  <c r="I191" i="29"/>
  <c r="H191" i="29"/>
  <c r="G191" i="29"/>
  <c r="F191" i="29"/>
  <c r="E191" i="29"/>
  <c r="D191" i="29"/>
  <c r="C191" i="29"/>
  <c r="Q190" i="29"/>
  <c r="P190" i="29"/>
  <c r="O190" i="29"/>
  <c r="N190" i="29"/>
  <c r="M190" i="29"/>
  <c r="L190" i="29"/>
  <c r="K190" i="29"/>
  <c r="J190" i="29"/>
  <c r="I190" i="29"/>
  <c r="H190" i="29"/>
  <c r="G190" i="29"/>
  <c r="F190" i="29"/>
  <c r="E190" i="29"/>
  <c r="D190" i="29"/>
  <c r="C190" i="29"/>
  <c r="Q189" i="29"/>
  <c r="P189" i="29"/>
  <c r="O189" i="29"/>
  <c r="N189" i="29"/>
  <c r="M189" i="29"/>
  <c r="L189" i="29"/>
  <c r="K189" i="29"/>
  <c r="J189" i="29"/>
  <c r="I189" i="29"/>
  <c r="H189" i="29"/>
  <c r="G189" i="29"/>
  <c r="F189" i="29"/>
  <c r="E189" i="29"/>
  <c r="D189" i="29"/>
  <c r="C189" i="29"/>
  <c r="Q188" i="29"/>
  <c r="P188" i="29"/>
  <c r="O188" i="29"/>
  <c r="N188" i="29"/>
  <c r="M188" i="29"/>
  <c r="L188" i="29"/>
  <c r="K188" i="29"/>
  <c r="J188" i="29"/>
  <c r="I188" i="29"/>
  <c r="H188" i="29"/>
  <c r="G188" i="29"/>
  <c r="F188" i="29"/>
  <c r="E188" i="29"/>
  <c r="D188" i="29"/>
  <c r="C188" i="29"/>
  <c r="F187" i="29"/>
  <c r="Q187" i="29"/>
  <c r="P187" i="29"/>
  <c r="O187" i="29"/>
  <c r="N187" i="29"/>
  <c r="M187" i="29"/>
  <c r="L187" i="29"/>
  <c r="K187" i="29"/>
  <c r="J187" i="29"/>
  <c r="H187" i="29"/>
  <c r="G187" i="29"/>
  <c r="E187" i="29"/>
  <c r="D187" i="29"/>
  <c r="Q186" i="29"/>
  <c r="P186" i="29"/>
  <c r="O186" i="29"/>
  <c r="N186" i="29"/>
  <c r="M186" i="29"/>
  <c r="L186" i="29"/>
  <c r="K186" i="29"/>
  <c r="J186" i="29"/>
  <c r="I186" i="29"/>
  <c r="H186" i="29"/>
  <c r="G186" i="29"/>
  <c r="F186" i="29"/>
  <c r="E186" i="29"/>
  <c r="D186" i="29"/>
  <c r="C186" i="29"/>
  <c r="Q185" i="29"/>
  <c r="P185" i="29"/>
  <c r="O185" i="29"/>
  <c r="N185" i="29"/>
  <c r="M185" i="29"/>
  <c r="L185" i="29"/>
  <c r="K185" i="29"/>
  <c r="J185" i="29"/>
  <c r="I185" i="29"/>
  <c r="H185" i="29"/>
  <c r="G185" i="29"/>
  <c r="F185" i="29"/>
  <c r="E185" i="29"/>
  <c r="D185" i="29"/>
  <c r="C185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Q182" i="29"/>
  <c r="P182" i="29"/>
  <c r="O182" i="29"/>
  <c r="N182" i="29"/>
  <c r="M182" i="29"/>
  <c r="L182" i="29"/>
  <c r="K182" i="29"/>
  <c r="J182" i="29"/>
  <c r="I182" i="29"/>
  <c r="H182" i="29"/>
  <c r="G182" i="29"/>
  <c r="F182" i="29"/>
  <c r="E182" i="29"/>
  <c r="D182" i="29"/>
  <c r="C182" i="29"/>
  <c r="I181" i="29"/>
  <c r="Q181" i="29"/>
  <c r="P181" i="29"/>
  <c r="O181" i="29"/>
  <c r="N181" i="29"/>
  <c r="M181" i="29"/>
  <c r="L181" i="29"/>
  <c r="K181" i="29"/>
  <c r="J181" i="29"/>
  <c r="H181" i="29"/>
  <c r="G181" i="29"/>
  <c r="F181" i="29"/>
  <c r="E181" i="29"/>
  <c r="D181" i="29"/>
  <c r="C181" i="29"/>
  <c r="Q180" i="29"/>
  <c r="P180" i="29"/>
  <c r="O180" i="29"/>
  <c r="N180" i="29"/>
  <c r="M180" i="29"/>
  <c r="L180" i="29"/>
  <c r="K180" i="29"/>
  <c r="J180" i="29"/>
  <c r="I180" i="29"/>
  <c r="H180" i="29"/>
  <c r="G180" i="29"/>
  <c r="F180" i="29"/>
  <c r="E180" i="29"/>
  <c r="D180" i="29"/>
  <c r="C180" i="29"/>
  <c r="Q179" i="29"/>
  <c r="P179" i="29"/>
  <c r="O179" i="29"/>
  <c r="N179" i="29"/>
  <c r="M179" i="29"/>
  <c r="L179" i="29"/>
  <c r="K179" i="29"/>
  <c r="J179" i="29"/>
  <c r="I179" i="29"/>
  <c r="H179" i="29"/>
  <c r="G179" i="29"/>
  <c r="F179" i="29"/>
  <c r="E179" i="29"/>
  <c r="D179" i="29"/>
  <c r="C179" i="29"/>
  <c r="Q178" i="29"/>
  <c r="P178" i="29"/>
  <c r="O178" i="29"/>
  <c r="N178" i="29"/>
  <c r="M178" i="29"/>
  <c r="L178" i="29"/>
  <c r="K178" i="29"/>
  <c r="J178" i="29"/>
  <c r="I178" i="29"/>
  <c r="H178" i="29"/>
  <c r="G178" i="29"/>
  <c r="F178" i="29"/>
  <c r="E178" i="29"/>
  <c r="D178" i="29"/>
  <c r="C178" i="29"/>
  <c r="Q177" i="29"/>
  <c r="P177" i="29"/>
  <c r="O177" i="29"/>
  <c r="N177" i="29"/>
  <c r="M177" i="29"/>
  <c r="L177" i="29"/>
  <c r="K177" i="29"/>
  <c r="J177" i="29"/>
  <c r="I177" i="29"/>
  <c r="H177" i="29"/>
  <c r="G177" i="29"/>
  <c r="F177" i="29"/>
  <c r="E177" i="29"/>
  <c r="D177" i="29"/>
  <c r="C177" i="29"/>
  <c r="Q176" i="29"/>
  <c r="P176" i="29"/>
  <c r="O176" i="29"/>
  <c r="N176" i="29"/>
  <c r="M176" i="29"/>
  <c r="L176" i="29"/>
  <c r="K176" i="29"/>
  <c r="J176" i="29"/>
  <c r="I176" i="29"/>
  <c r="H176" i="29"/>
  <c r="G176" i="29"/>
  <c r="F176" i="29"/>
  <c r="E176" i="29"/>
  <c r="D176" i="29"/>
  <c r="C176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Q169" i="29"/>
  <c r="P169" i="29"/>
  <c r="O169" i="29"/>
  <c r="N169" i="29"/>
  <c r="M169" i="29"/>
  <c r="L169" i="29"/>
  <c r="K169" i="29"/>
  <c r="J169" i="29"/>
  <c r="H169" i="29"/>
  <c r="G169" i="29"/>
  <c r="F169" i="29"/>
  <c r="E169" i="29"/>
  <c r="D169" i="29"/>
  <c r="C169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Q166" i="29"/>
  <c r="P166" i="29"/>
  <c r="O166" i="29"/>
  <c r="N166" i="29"/>
  <c r="M166" i="29"/>
  <c r="L166" i="29"/>
  <c r="K166" i="29"/>
  <c r="J166" i="29"/>
  <c r="I166" i="29"/>
  <c r="H166" i="29"/>
  <c r="G166" i="29"/>
  <c r="F166" i="29"/>
  <c r="E166" i="29"/>
  <c r="D166" i="29"/>
  <c r="C166" i="29"/>
  <c r="Q165" i="29"/>
  <c r="P165" i="29"/>
  <c r="O165" i="29"/>
  <c r="N165" i="29"/>
  <c r="M165" i="29"/>
  <c r="L165" i="29"/>
  <c r="K165" i="29"/>
  <c r="J165" i="29"/>
  <c r="I165" i="29"/>
  <c r="H165" i="29"/>
  <c r="G165" i="29"/>
  <c r="F165" i="29"/>
  <c r="E165" i="29"/>
  <c r="D165" i="29"/>
  <c r="C165" i="29"/>
  <c r="Q164" i="29"/>
  <c r="P164" i="29"/>
  <c r="O164" i="29"/>
  <c r="N164" i="29"/>
  <c r="M164" i="29"/>
  <c r="L164" i="29"/>
  <c r="K164" i="29"/>
  <c r="J164" i="29"/>
  <c r="I164" i="29"/>
  <c r="H164" i="29"/>
  <c r="G164" i="29"/>
  <c r="F164" i="29"/>
  <c r="E164" i="29"/>
  <c r="D164" i="29"/>
  <c r="C164" i="29"/>
  <c r="Q163" i="29"/>
  <c r="P163" i="29"/>
  <c r="O163" i="29"/>
  <c r="N163" i="29"/>
  <c r="M163" i="29"/>
  <c r="L163" i="29"/>
  <c r="K163" i="29"/>
  <c r="J163" i="29"/>
  <c r="I163" i="29"/>
  <c r="H163" i="29"/>
  <c r="G163" i="29"/>
  <c r="F163" i="29"/>
  <c r="E163" i="29"/>
  <c r="D163" i="29"/>
  <c r="C163" i="29"/>
  <c r="Q162" i="29"/>
  <c r="P162" i="29"/>
  <c r="O162" i="29"/>
  <c r="N162" i="29"/>
  <c r="M162" i="29"/>
  <c r="L162" i="29"/>
  <c r="K162" i="29"/>
  <c r="J162" i="29"/>
  <c r="I162" i="29"/>
  <c r="H162" i="29"/>
  <c r="G162" i="29"/>
  <c r="F162" i="29"/>
  <c r="E162" i="29"/>
  <c r="D162" i="29"/>
  <c r="C162" i="29"/>
  <c r="Q161" i="29"/>
  <c r="P161" i="29"/>
  <c r="O161" i="29"/>
  <c r="N161" i="29"/>
  <c r="M161" i="29"/>
  <c r="L161" i="29"/>
  <c r="K161" i="29"/>
  <c r="J161" i="29"/>
  <c r="I161" i="29"/>
  <c r="H161" i="29"/>
  <c r="G161" i="29"/>
  <c r="F161" i="29"/>
  <c r="E161" i="29"/>
  <c r="D161" i="29"/>
  <c r="C161" i="29"/>
  <c r="Q160" i="29"/>
  <c r="P160" i="29"/>
  <c r="O160" i="29"/>
  <c r="N160" i="29"/>
  <c r="M160" i="29"/>
  <c r="L160" i="29"/>
  <c r="K160" i="29"/>
  <c r="J160" i="29"/>
  <c r="I160" i="29"/>
  <c r="H160" i="29"/>
  <c r="G160" i="29"/>
  <c r="F160" i="29"/>
  <c r="E160" i="29"/>
  <c r="D160" i="29"/>
  <c r="C160" i="29"/>
  <c r="Q159" i="29"/>
  <c r="P159" i="29"/>
  <c r="O159" i="29"/>
  <c r="N159" i="29"/>
  <c r="M159" i="29"/>
  <c r="L159" i="29"/>
  <c r="K159" i="29"/>
  <c r="J159" i="29"/>
  <c r="I159" i="29"/>
  <c r="H159" i="29"/>
  <c r="G159" i="29"/>
  <c r="F159" i="29"/>
  <c r="E159" i="29"/>
  <c r="D159" i="29"/>
  <c r="C159" i="29"/>
  <c r="Q158" i="29"/>
  <c r="P158" i="29"/>
  <c r="O158" i="29"/>
  <c r="N158" i="29"/>
  <c r="M158" i="29"/>
  <c r="L158" i="29"/>
  <c r="K158" i="29"/>
  <c r="J158" i="29"/>
  <c r="I158" i="29"/>
  <c r="H158" i="29"/>
  <c r="G158" i="29"/>
  <c r="F158" i="29"/>
  <c r="E158" i="29"/>
  <c r="D158" i="29"/>
  <c r="C158" i="29"/>
  <c r="H157" i="29"/>
  <c r="E157" i="29"/>
  <c r="Q157" i="29"/>
  <c r="P157" i="29"/>
  <c r="O157" i="29"/>
  <c r="N157" i="29"/>
  <c r="M157" i="29"/>
  <c r="L157" i="29"/>
  <c r="K157" i="29"/>
  <c r="J157" i="29"/>
  <c r="F157" i="29"/>
  <c r="D157" i="29"/>
  <c r="Q156" i="29"/>
  <c r="P156" i="29"/>
  <c r="O156" i="29"/>
  <c r="N156" i="29"/>
  <c r="M156" i="29"/>
  <c r="L156" i="29"/>
  <c r="K156" i="29"/>
  <c r="J156" i="29"/>
  <c r="I156" i="29"/>
  <c r="H156" i="29"/>
  <c r="G156" i="29"/>
  <c r="F156" i="29"/>
  <c r="E156" i="29"/>
  <c r="D156" i="29"/>
  <c r="C156" i="29"/>
  <c r="Q155" i="29"/>
  <c r="P155" i="29"/>
  <c r="O155" i="29"/>
  <c r="N155" i="29"/>
  <c r="M155" i="29"/>
  <c r="L155" i="29"/>
  <c r="K155" i="29"/>
  <c r="J155" i="29"/>
  <c r="I155" i="29"/>
  <c r="H155" i="29"/>
  <c r="G155" i="29"/>
  <c r="F155" i="29"/>
  <c r="E155" i="29"/>
  <c r="D155" i="29"/>
  <c r="C155" i="29"/>
  <c r="Q154" i="29"/>
  <c r="P154" i="29"/>
  <c r="O154" i="29"/>
  <c r="N154" i="29"/>
  <c r="M154" i="29"/>
  <c r="L154" i="29"/>
  <c r="K154" i="29"/>
  <c r="J154" i="29"/>
  <c r="I154" i="29"/>
  <c r="H154" i="29"/>
  <c r="G154" i="29"/>
  <c r="F154" i="29"/>
  <c r="E154" i="29"/>
  <c r="D154" i="29"/>
  <c r="C154" i="29"/>
  <c r="Q153" i="29"/>
  <c r="P153" i="29"/>
  <c r="O153" i="29"/>
  <c r="N153" i="29"/>
  <c r="M153" i="29"/>
  <c r="L153" i="29"/>
  <c r="K153" i="29"/>
  <c r="J153" i="29"/>
  <c r="I153" i="29"/>
  <c r="H153" i="29"/>
  <c r="G153" i="29"/>
  <c r="F153" i="29"/>
  <c r="E153" i="29"/>
  <c r="D153" i="29"/>
  <c r="C153" i="29"/>
  <c r="Q152" i="29"/>
  <c r="P152" i="29"/>
  <c r="O152" i="29"/>
  <c r="N152" i="29"/>
  <c r="M152" i="29"/>
  <c r="L152" i="29"/>
  <c r="K152" i="29"/>
  <c r="J152" i="29"/>
  <c r="I152" i="29"/>
  <c r="H152" i="29"/>
  <c r="G152" i="29"/>
  <c r="F152" i="29"/>
  <c r="E152" i="29"/>
  <c r="D152" i="29"/>
  <c r="C152" i="29"/>
  <c r="Q151" i="29"/>
  <c r="P151" i="29"/>
  <c r="O151" i="29"/>
  <c r="N151" i="29"/>
  <c r="M151" i="29"/>
  <c r="L151" i="29"/>
  <c r="K151" i="29"/>
  <c r="J151" i="29"/>
  <c r="H151" i="29"/>
  <c r="G151" i="29"/>
  <c r="Q150" i="29"/>
  <c r="P150" i="29"/>
  <c r="O150" i="29"/>
  <c r="N150" i="29"/>
  <c r="M150" i="29"/>
  <c r="L150" i="29"/>
  <c r="K150" i="29"/>
  <c r="J150" i="29"/>
  <c r="I150" i="29"/>
  <c r="H150" i="29"/>
  <c r="G150" i="29"/>
  <c r="F150" i="29"/>
  <c r="E150" i="29"/>
  <c r="D150" i="29"/>
  <c r="C150" i="29"/>
  <c r="Q149" i="29"/>
  <c r="P149" i="29"/>
  <c r="O149" i="29"/>
  <c r="N149" i="29"/>
  <c r="M149" i="29"/>
  <c r="L149" i="29"/>
  <c r="K149" i="29"/>
  <c r="J149" i="29"/>
  <c r="I149" i="29"/>
  <c r="H149" i="29"/>
  <c r="G149" i="29"/>
  <c r="F149" i="29"/>
  <c r="E149" i="29"/>
  <c r="D149" i="29"/>
  <c r="C149" i="29"/>
  <c r="Q148" i="29"/>
  <c r="P148" i="29"/>
  <c r="O148" i="29"/>
  <c r="N148" i="29"/>
  <c r="M148" i="29"/>
  <c r="L148" i="29"/>
  <c r="K148" i="29"/>
  <c r="J148" i="29"/>
  <c r="I148" i="29"/>
  <c r="H148" i="29"/>
  <c r="G148" i="29"/>
  <c r="F148" i="29"/>
  <c r="E148" i="29"/>
  <c r="D148" i="29"/>
  <c r="C148" i="29"/>
  <c r="Q147" i="29"/>
  <c r="P147" i="29"/>
  <c r="O147" i="29"/>
  <c r="N147" i="29"/>
  <c r="M147" i="29"/>
  <c r="L147" i="29"/>
  <c r="K147" i="29"/>
  <c r="J147" i="29"/>
  <c r="I147" i="29"/>
  <c r="H147" i="29"/>
  <c r="G147" i="29"/>
  <c r="F147" i="29"/>
  <c r="E147" i="29"/>
  <c r="D147" i="29"/>
  <c r="C147" i="29"/>
  <c r="Q146" i="29"/>
  <c r="P146" i="29"/>
  <c r="O146" i="29"/>
  <c r="N146" i="29"/>
  <c r="M146" i="29"/>
  <c r="L146" i="29"/>
  <c r="K146" i="29"/>
  <c r="J146" i="29"/>
  <c r="I146" i="29"/>
  <c r="H146" i="29"/>
  <c r="G146" i="29"/>
  <c r="F146" i="29"/>
  <c r="E146" i="29"/>
  <c r="D146" i="29"/>
  <c r="C146" i="29"/>
  <c r="I145" i="29"/>
  <c r="Q145" i="29"/>
  <c r="P145" i="29"/>
  <c r="O145" i="29"/>
  <c r="N145" i="29"/>
  <c r="M145" i="29"/>
  <c r="L145" i="29"/>
  <c r="K145" i="29"/>
  <c r="J145" i="29"/>
  <c r="H145" i="29"/>
  <c r="G145" i="29"/>
  <c r="F145" i="29"/>
  <c r="E145" i="29"/>
  <c r="D145" i="29"/>
  <c r="C145" i="29"/>
  <c r="Q144" i="29"/>
  <c r="P144" i="29"/>
  <c r="O144" i="29"/>
  <c r="N144" i="29"/>
  <c r="M144" i="29"/>
  <c r="L144" i="29"/>
  <c r="K144" i="29"/>
  <c r="J144" i="29"/>
  <c r="I144" i="29"/>
  <c r="H144" i="29"/>
  <c r="G144" i="29"/>
  <c r="F144" i="29"/>
  <c r="E144" i="29"/>
  <c r="D144" i="29"/>
  <c r="C144" i="29"/>
  <c r="Q143" i="29"/>
  <c r="P143" i="29"/>
  <c r="O143" i="29"/>
  <c r="N143" i="29"/>
  <c r="M143" i="29"/>
  <c r="L143" i="29"/>
  <c r="K143" i="29"/>
  <c r="J143" i="29"/>
  <c r="I143" i="29"/>
  <c r="H143" i="29"/>
  <c r="G143" i="29"/>
  <c r="F143" i="29"/>
  <c r="E143" i="29"/>
  <c r="D143" i="29"/>
  <c r="C143" i="29"/>
  <c r="Q142" i="29"/>
  <c r="P142" i="29"/>
  <c r="O142" i="29"/>
  <c r="N142" i="29"/>
  <c r="M142" i="29"/>
  <c r="L142" i="29"/>
  <c r="K142" i="29"/>
  <c r="J142" i="29"/>
  <c r="I142" i="29"/>
  <c r="H142" i="29"/>
  <c r="G142" i="29"/>
  <c r="F142" i="29"/>
  <c r="E142" i="29"/>
  <c r="D142" i="29"/>
  <c r="C142" i="29"/>
  <c r="Q141" i="29"/>
  <c r="P141" i="29"/>
  <c r="O141" i="29"/>
  <c r="N141" i="29"/>
  <c r="M141" i="29"/>
  <c r="L141" i="29"/>
  <c r="K141" i="29"/>
  <c r="J141" i="29"/>
  <c r="I141" i="29"/>
  <c r="H141" i="29"/>
  <c r="G141" i="29"/>
  <c r="F141" i="29"/>
  <c r="E141" i="29"/>
  <c r="D141" i="29"/>
  <c r="C141" i="29"/>
  <c r="Q140" i="29"/>
  <c r="P140" i="29"/>
  <c r="O140" i="29"/>
  <c r="N140" i="29"/>
  <c r="M140" i="29"/>
  <c r="L140" i="29"/>
  <c r="K140" i="29"/>
  <c r="J140" i="29"/>
  <c r="I140" i="29"/>
  <c r="H140" i="29"/>
  <c r="G140" i="29"/>
  <c r="F140" i="29"/>
  <c r="E140" i="29"/>
  <c r="D140" i="29"/>
  <c r="C140" i="29"/>
  <c r="Q139" i="29"/>
  <c r="P139" i="29"/>
  <c r="O139" i="29"/>
  <c r="N139" i="29"/>
  <c r="M139" i="29"/>
  <c r="L139" i="29"/>
  <c r="K139" i="29"/>
  <c r="J139" i="29"/>
  <c r="I139" i="29"/>
  <c r="H139" i="29"/>
  <c r="G139" i="29"/>
  <c r="F139" i="29"/>
  <c r="E139" i="29"/>
  <c r="D139" i="29"/>
  <c r="C139" i="29"/>
  <c r="Q138" i="29"/>
  <c r="P138" i="29"/>
  <c r="O138" i="29"/>
  <c r="N138" i="29"/>
  <c r="M138" i="29"/>
  <c r="L138" i="29"/>
  <c r="K138" i="29"/>
  <c r="J138" i="29"/>
  <c r="I138" i="29"/>
  <c r="H138" i="29"/>
  <c r="G138" i="29"/>
  <c r="F138" i="29"/>
  <c r="E138" i="29"/>
  <c r="D138" i="29"/>
  <c r="C138" i="29"/>
  <c r="Q137" i="29"/>
  <c r="P137" i="29"/>
  <c r="O137" i="29"/>
  <c r="N137" i="29"/>
  <c r="M137" i="29"/>
  <c r="L137" i="29"/>
  <c r="K137" i="29"/>
  <c r="J137" i="29"/>
  <c r="I137" i="29"/>
  <c r="H137" i="29"/>
  <c r="G137" i="29"/>
  <c r="F137" i="29"/>
  <c r="E137" i="29"/>
  <c r="D137" i="29"/>
  <c r="C137" i="29"/>
  <c r="Q136" i="29"/>
  <c r="P136" i="29"/>
  <c r="O136" i="29"/>
  <c r="N136" i="29"/>
  <c r="M136" i="29"/>
  <c r="L136" i="29"/>
  <c r="K136" i="29"/>
  <c r="J136" i="29"/>
  <c r="I136" i="29"/>
  <c r="H136" i="29"/>
  <c r="G136" i="29"/>
  <c r="F136" i="29"/>
  <c r="E136" i="29"/>
  <c r="D136" i="29"/>
  <c r="C136" i="29"/>
  <c r="Q135" i="29"/>
  <c r="P135" i="29"/>
  <c r="O135" i="29"/>
  <c r="N135" i="29"/>
  <c r="M135" i="29"/>
  <c r="L135" i="29"/>
  <c r="K135" i="29"/>
  <c r="J135" i="29"/>
  <c r="I135" i="29"/>
  <c r="H135" i="29"/>
  <c r="G135" i="29"/>
  <c r="F135" i="29"/>
  <c r="E135" i="29"/>
  <c r="D135" i="29"/>
  <c r="C135" i="29"/>
  <c r="AH134" i="29"/>
  <c r="AE134" i="29"/>
  <c r="AD134" i="29"/>
  <c r="AC134" i="29"/>
  <c r="M129" i="29" s="1"/>
  <c r="AB134" i="29"/>
  <c r="L132" i="29" s="1"/>
  <c r="AA134" i="29"/>
  <c r="K134" i="29" s="1"/>
  <c r="Z134" i="29"/>
  <c r="J130" i="29" s="1"/>
  <c r="Y134" i="29"/>
  <c r="I134" i="29" s="1"/>
  <c r="X134" i="29"/>
  <c r="W134" i="29"/>
  <c r="V134" i="29"/>
  <c r="F134" i="29" s="1"/>
  <c r="U134" i="29"/>
  <c r="T134" i="29"/>
  <c r="D134" i="29" s="1"/>
  <c r="S134" i="29"/>
  <c r="C134" i="29" s="1"/>
  <c r="P134" i="29"/>
  <c r="O134" i="29"/>
  <c r="AH133" i="29"/>
  <c r="AD133" i="29"/>
  <c r="AC133" i="29"/>
  <c r="AB133" i="29"/>
  <c r="AA133" i="29"/>
  <c r="Z133" i="29"/>
  <c r="X133" i="29"/>
  <c r="P133" i="29"/>
  <c r="O133" i="29"/>
  <c r="AH132" i="29"/>
  <c r="AE132" i="29"/>
  <c r="AD132" i="29"/>
  <c r="AD7" i="29" s="1"/>
  <c r="AC132" i="29"/>
  <c r="AB132" i="29"/>
  <c r="AA132" i="29"/>
  <c r="Z132" i="29"/>
  <c r="Y132" i="29"/>
  <c r="X132" i="29"/>
  <c r="W132" i="29"/>
  <c r="V132" i="29"/>
  <c r="U132" i="29"/>
  <c r="T132" i="29"/>
  <c r="S132" i="29"/>
  <c r="P132" i="29"/>
  <c r="O132" i="29"/>
  <c r="AH131" i="29"/>
  <c r="AE131" i="29"/>
  <c r="AD131" i="29"/>
  <c r="AC131" i="29"/>
  <c r="AB131" i="29"/>
  <c r="AA131" i="29"/>
  <c r="Z131" i="29"/>
  <c r="Z6" i="29" s="1"/>
  <c r="Y131" i="29"/>
  <c r="X131" i="29"/>
  <c r="W131" i="29"/>
  <c r="V131" i="29"/>
  <c r="U131" i="29"/>
  <c r="T131" i="29"/>
  <c r="S131" i="29"/>
  <c r="P131" i="29"/>
  <c r="O131" i="29"/>
  <c r="M131" i="29"/>
  <c r="AH130" i="29"/>
  <c r="AE130" i="29"/>
  <c r="AD130" i="29"/>
  <c r="AC130" i="29"/>
  <c r="AB130" i="29"/>
  <c r="AA130" i="29"/>
  <c r="Z130" i="29"/>
  <c r="Y130" i="29"/>
  <c r="X130" i="29"/>
  <c r="W130" i="29"/>
  <c r="V130" i="29"/>
  <c r="U130" i="29"/>
  <c r="T130" i="29"/>
  <c r="S130" i="29"/>
  <c r="P130" i="29"/>
  <c r="O130" i="29"/>
  <c r="AH129" i="29"/>
  <c r="AE129" i="29"/>
  <c r="AD129" i="29"/>
  <c r="AC129" i="29"/>
  <c r="AB129" i="29"/>
  <c r="AA129" i="29"/>
  <c r="Z129" i="29"/>
  <c r="Y129" i="29"/>
  <c r="X129" i="29"/>
  <c r="W129" i="29"/>
  <c r="V129" i="29"/>
  <c r="U129" i="29"/>
  <c r="T129" i="29"/>
  <c r="S129" i="29"/>
  <c r="P129" i="29"/>
  <c r="O129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Q123" i="29"/>
  <c r="P123" i="29"/>
  <c r="O123" i="29"/>
  <c r="N123" i="29"/>
  <c r="M123" i="29"/>
  <c r="L123" i="29"/>
  <c r="K123" i="29"/>
  <c r="J123" i="29"/>
  <c r="I123" i="29"/>
  <c r="H123" i="29"/>
  <c r="G123" i="29"/>
  <c r="F123" i="29"/>
  <c r="E123" i="29"/>
  <c r="D123" i="29"/>
  <c r="C123" i="29"/>
  <c r="Q122" i="29"/>
  <c r="P122" i="29"/>
  <c r="O122" i="29"/>
  <c r="N122" i="29"/>
  <c r="M122" i="29"/>
  <c r="L122" i="29"/>
  <c r="K122" i="29"/>
  <c r="J122" i="29"/>
  <c r="I122" i="29"/>
  <c r="H122" i="29"/>
  <c r="G122" i="29"/>
  <c r="F122" i="29"/>
  <c r="E122" i="29"/>
  <c r="D122" i="29"/>
  <c r="C122" i="29"/>
  <c r="Q121" i="29"/>
  <c r="P121" i="29"/>
  <c r="O121" i="29"/>
  <c r="N121" i="29"/>
  <c r="M121" i="29"/>
  <c r="L121" i="29"/>
  <c r="K121" i="29"/>
  <c r="J121" i="29"/>
  <c r="I121" i="29"/>
  <c r="H121" i="29"/>
  <c r="G121" i="29"/>
  <c r="F121" i="29"/>
  <c r="E121" i="29"/>
  <c r="D121" i="29"/>
  <c r="C121" i="29"/>
  <c r="Q120" i="29"/>
  <c r="P120" i="29"/>
  <c r="O120" i="29"/>
  <c r="N120" i="29"/>
  <c r="M120" i="29"/>
  <c r="L120" i="29"/>
  <c r="K120" i="29"/>
  <c r="J120" i="29"/>
  <c r="I120" i="29"/>
  <c r="H120" i="29"/>
  <c r="G120" i="29"/>
  <c r="F120" i="29"/>
  <c r="E120" i="29"/>
  <c r="D120" i="29"/>
  <c r="C120" i="29"/>
  <c r="Q119" i="29"/>
  <c r="P119" i="29"/>
  <c r="O119" i="29"/>
  <c r="N119" i="29"/>
  <c r="M119" i="29"/>
  <c r="L119" i="29"/>
  <c r="K119" i="29"/>
  <c r="J119" i="29"/>
  <c r="I119" i="29"/>
  <c r="H119" i="29"/>
  <c r="G119" i="29"/>
  <c r="F119" i="29"/>
  <c r="E119" i="29"/>
  <c r="D119" i="29"/>
  <c r="C119" i="29"/>
  <c r="Q118" i="29"/>
  <c r="P118" i="29"/>
  <c r="O118" i="29"/>
  <c r="N118" i="29"/>
  <c r="M118" i="29"/>
  <c r="L118" i="29"/>
  <c r="K118" i="29"/>
  <c r="J118" i="29"/>
  <c r="I118" i="29"/>
  <c r="H118" i="29"/>
  <c r="G118" i="29"/>
  <c r="F118" i="29"/>
  <c r="E118" i="29"/>
  <c r="D118" i="29"/>
  <c r="C118" i="29"/>
  <c r="Q117" i="29"/>
  <c r="P117" i="29"/>
  <c r="O117" i="29"/>
  <c r="N117" i="29"/>
  <c r="M117" i="29"/>
  <c r="L117" i="29"/>
  <c r="K117" i="29"/>
  <c r="J117" i="29"/>
  <c r="I117" i="29"/>
  <c r="H117" i="29"/>
  <c r="G117" i="29"/>
  <c r="F117" i="29"/>
  <c r="E117" i="29"/>
  <c r="D117" i="29"/>
  <c r="C117" i="29"/>
  <c r="Q116" i="29"/>
  <c r="P116" i="29"/>
  <c r="O116" i="29"/>
  <c r="N116" i="29"/>
  <c r="M116" i="29"/>
  <c r="L116" i="29"/>
  <c r="K116" i="29"/>
  <c r="J116" i="29"/>
  <c r="I116" i="29"/>
  <c r="H116" i="29"/>
  <c r="G116" i="29"/>
  <c r="F116" i="29"/>
  <c r="E116" i="29"/>
  <c r="D116" i="29"/>
  <c r="C116" i="29"/>
  <c r="Q115" i="29"/>
  <c r="P115" i="29"/>
  <c r="O115" i="29"/>
  <c r="N115" i="29"/>
  <c r="M115" i="29"/>
  <c r="L115" i="29"/>
  <c r="K115" i="29"/>
  <c r="J115" i="29"/>
  <c r="I115" i="29"/>
  <c r="H115" i="29"/>
  <c r="G115" i="29"/>
  <c r="F115" i="29"/>
  <c r="E115" i="29"/>
  <c r="D115" i="29"/>
  <c r="C115" i="29"/>
  <c r="Q114" i="29"/>
  <c r="P114" i="29"/>
  <c r="O114" i="29"/>
  <c r="N114" i="29"/>
  <c r="M114" i="29"/>
  <c r="L114" i="29"/>
  <c r="K114" i="29"/>
  <c r="J114" i="29"/>
  <c r="I114" i="29"/>
  <c r="H114" i="29"/>
  <c r="G114" i="29"/>
  <c r="F114" i="29"/>
  <c r="E114" i="29"/>
  <c r="D114" i="29"/>
  <c r="C114" i="29"/>
  <c r="Q113" i="29"/>
  <c r="P113" i="29"/>
  <c r="O113" i="29"/>
  <c r="N113" i="29"/>
  <c r="M113" i="29"/>
  <c r="L113" i="29"/>
  <c r="K113" i="29"/>
  <c r="J113" i="29"/>
  <c r="I113" i="29"/>
  <c r="H113" i="29"/>
  <c r="G113" i="29"/>
  <c r="F113" i="29"/>
  <c r="E113" i="29"/>
  <c r="D113" i="29"/>
  <c r="C113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E112" i="29"/>
  <c r="D112" i="29"/>
  <c r="C112" i="29"/>
  <c r="Q111" i="29"/>
  <c r="P111" i="29"/>
  <c r="O111" i="29"/>
  <c r="N111" i="29"/>
  <c r="M111" i="29"/>
  <c r="L111" i="29"/>
  <c r="K111" i="29"/>
  <c r="J111" i="29"/>
  <c r="I111" i="29"/>
  <c r="H111" i="29"/>
  <c r="G111" i="29"/>
  <c r="F111" i="29"/>
  <c r="E111" i="29"/>
  <c r="D111" i="29"/>
  <c r="C111" i="29"/>
  <c r="Q110" i="29"/>
  <c r="P110" i="29"/>
  <c r="O110" i="29"/>
  <c r="N110" i="29"/>
  <c r="M110" i="29"/>
  <c r="L110" i="29"/>
  <c r="K110" i="29"/>
  <c r="J110" i="29"/>
  <c r="I110" i="29"/>
  <c r="H110" i="29"/>
  <c r="G110" i="29"/>
  <c r="F110" i="29"/>
  <c r="E110" i="29"/>
  <c r="D110" i="29"/>
  <c r="C110" i="29"/>
  <c r="Q109" i="29"/>
  <c r="P109" i="29"/>
  <c r="O109" i="29"/>
  <c r="N109" i="29"/>
  <c r="M109" i="29"/>
  <c r="L109" i="29"/>
  <c r="K109" i="29"/>
  <c r="J109" i="29"/>
  <c r="I109" i="29"/>
  <c r="H109" i="29"/>
  <c r="G109" i="29"/>
  <c r="F109" i="29"/>
  <c r="E109" i="29"/>
  <c r="D109" i="29"/>
  <c r="C109" i="29"/>
  <c r="Q108" i="29"/>
  <c r="P108" i="29"/>
  <c r="O108" i="29"/>
  <c r="N108" i="29"/>
  <c r="M108" i="29"/>
  <c r="L108" i="29"/>
  <c r="K108" i="29"/>
  <c r="J108" i="29"/>
  <c r="I108" i="29"/>
  <c r="H108" i="29"/>
  <c r="G108" i="29"/>
  <c r="F108" i="29"/>
  <c r="E108" i="29"/>
  <c r="D108" i="29"/>
  <c r="C108" i="29"/>
  <c r="Q107" i="29"/>
  <c r="P107" i="29"/>
  <c r="O107" i="29"/>
  <c r="N107" i="29"/>
  <c r="M107" i="29"/>
  <c r="L107" i="29"/>
  <c r="K107" i="29"/>
  <c r="J107" i="29"/>
  <c r="I107" i="29"/>
  <c r="H107" i="29"/>
  <c r="G107" i="29"/>
  <c r="F107" i="29"/>
  <c r="E107" i="29"/>
  <c r="D107" i="29"/>
  <c r="C107" i="29"/>
  <c r="Q106" i="29"/>
  <c r="P106" i="29"/>
  <c r="O106" i="29"/>
  <c r="N106" i="29"/>
  <c r="M106" i="29"/>
  <c r="L106" i="29"/>
  <c r="K106" i="29"/>
  <c r="J106" i="29"/>
  <c r="I106" i="29"/>
  <c r="H106" i="29"/>
  <c r="G106" i="29"/>
  <c r="F106" i="29"/>
  <c r="E106" i="29"/>
  <c r="D106" i="29"/>
  <c r="C106" i="29"/>
  <c r="Q105" i="29"/>
  <c r="P105" i="29"/>
  <c r="O105" i="29"/>
  <c r="N105" i="29"/>
  <c r="M105" i="29"/>
  <c r="L105" i="29"/>
  <c r="K105" i="29"/>
  <c r="J105" i="29"/>
  <c r="I105" i="29"/>
  <c r="H105" i="29"/>
  <c r="G105" i="29"/>
  <c r="F105" i="29"/>
  <c r="E105" i="29"/>
  <c r="D105" i="29"/>
  <c r="C105" i="29"/>
  <c r="Q104" i="29"/>
  <c r="P104" i="29"/>
  <c r="O104" i="29"/>
  <c r="N104" i="29"/>
  <c r="M104" i="29"/>
  <c r="L104" i="29"/>
  <c r="K104" i="29"/>
  <c r="J104" i="29"/>
  <c r="I104" i="29"/>
  <c r="H104" i="29"/>
  <c r="G104" i="29"/>
  <c r="F104" i="29"/>
  <c r="E104" i="29"/>
  <c r="D104" i="29"/>
  <c r="C104" i="29"/>
  <c r="Q103" i="29"/>
  <c r="P103" i="29"/>
  <c r="O103" i="29"/>
  <c r="N103" i="29"/>
  <c r="M103" i="29"/>
  <c r="L103" i="29"/>
  <c r="K103" i="29"/>
  <c r="J103" i="29"/>
  <c r="I103" i="29"/>
  <c r="H103" i="29"/>
  <c r="G103" i="29"/>
  <c r="F103" i="29"/>
  <c r="E103" i="29"/>
  <c r="D103" i="29"/>
  <c r="C103" i="29"/>
  <c r="Q102" i="29"/>
  <c r="P102" i="29"/>
  <c r="O102" i="29"/>
  <c r="N102" i="29"/>
  <c r="M102" i="29"/>
  <c r="L102" i="29"/>
  <c r="K102" i="29"/>
  <c r="J102" i="29"/>
  <c r="I102" i="29"/>
  <c r="H102" i="29"/>
  <c r="G102" i="29"/>
  <c r="F102" i="29"/>
  <c r="E102" i="29"/>
  <c r="D102" i="29"/>
  <c r="C102" i="29"/>
  <c r="Q101" i="29"/>
  <c r="P101" i="29"/>
  <c r="O101" i="29"/>
  <c r="N101" i="29"/>
  <c r="M101" i="29"/>
  <c r="L101" i="29"/>
  <c r="K101" i="29"/>
  <c r="J101" i="29"/>
  <c r="I101" i="29"/>
  <c r="H101" i="29"/>
  <c r="G101" i="29"/>
  <c r="F101" i="29"/>
  <c r="E101" i="29"/>
  <c r="D101" i="29"/>
  <c r="C101" i="29"/>
  <c r="Q100" i="29"/>
  <c r="P100" i="29"/>
  <c r="O100" i="29"/>
  <c r="N100" i="29"/>
  <c r="M100" i="29"/>
  <c r="L100" i="29"/>
  <c r="K100" i="29"/>
  <c r="J100" i="29"/>
  <c r="I100" i="29"/>
  <c r="H100" i="29"/>
  <c r="G100" i="29"/>
  <c r="F100" i="29"/>
  <c r="E100" i="29"/>
  <c r="D100" i="29"/>
  <c r="C100" i="29"/>
  <c r="Q99" i="29"/>
  <c r="P99" i="29"/>
  <c r="O99" i="29"/>
  <c r="N99" i="29"/>
  <c r="M99" i="29"/>
  <c r="L99" i="29"/>
  <c r="K99" i="29"/>
  <c r="J99" i="29"/>
  <c r="I99" i="29"/>
  <c r="H99" i="29"/>
  <c r="G99" i="29"/>
  <c r="F99" i="29"/>
  <c r="E99" i="29"/>
  <c r="D99" i="29"/>
  <c r="C99" i="29"/>
  <c r="Q98" i="29"/>
  <c r="P98" i="29"/>
  <c r="O98" i="29"/>
  <c r="N98" i="29"/>
  <c r="M98" i="29"/>
  <c r="L98" i="29"/>
  <c r="K98" i="29"/>
  <c r="J98" i="29"/>
  <c r="I98" i="29"/>
  <c r="H98" i="29"/>
  <c r="G98" i="29"/>
  <c r="F98" i="29"/>
  <c r="E98" i="29"/>
  <c r="D98" i="29"/>
  <c r="C98" i="29"/>
  <c r="Q97" i="29"/>
  <c r="P97" i="29"/>
  <c r="O97" i="29"/>
  <c r="N97" i="29"/>
  <c r="M97" i="29"/>
  <c r="L97" i="29"/>
  <c r="K97" i="29"/>
  <c r="J97" i="29"/>
  <c r="I97" i="29"/>
  <c r="H97" i="29"/>
  <c r="G97" i="29"/>
  <c r="F97" i="29"/>
  <c r="E97" i="29"/>
  <c r="D97" i="29"/>
  <c r="C97" i="29"/>
  <c r="Q96" i="29"/>
  <c r="P96" i="29"/>
  <c r="O96" i="29"/>
  <c r="N96" i="29"/>
  <c r="M96" i="29"/>
  <c r="L96" i="29"/>
  <c r="K96" i="29"/>
  <c r="J96" i="29"/>
  <c r="I96" i="29"/>
  <c r="H96" i="29"/>
  <c r="G96" i="29"/>
  <c r="F96" i="29"/>
  <c r="E96" i="29"/>
  <c r="D96" i="29"/>
  <c r="C96" i="29"/>
  <c r="Q95" i="29"/>
  <c r="P95" i="29"/>
  <c r="O95" i="29"/>
  <c r="N95" i="29"/>
  <c r="M95" i="29"/>
  <c r="L95" i="29"/>
  <c r="K95" i="29"/>
  <c r="J95" i="29"/>
  <c r="I95" i="29"/>
  <c r="H95" i="29"/>
  <c r="G95" i="29"/>
  <c r="F95" i="29"/>
  <c r="E95" i="29"/>
  <c r="D95" i="29"/>
  <c r="C95" i="29"/>
  <c r="Q94" i="29"/>
  <c r="P94" i="29"/>
  <c r="O94" i="29"/>
  <c r="N94" i="29"/>
  <c r="M94" i="29"/>
  <c r="L94" i="29"/>
  <c r="K94" i="29"/>
  <c r="J94" i="29"/>
  <c r="I94" i="29"/>
  <c r="H94" i="29"/>
  <c r="G94" i="29"/>
  <c r="F94" i="29"/>
  <c r="E94" i="29"/>
  <c r="D94" i="29"/>
  <c r="C94" i="29"/>
  <c r="Q93" i="29"/>
  <c r="P93" i="29"/>
  <c r="O93" i="29"/>
  <c r="N93" i="29"/>
  <c r="M93" i="29"/>
  <c r="L93" i="29"/>
  <c r="K93" i="29"/>
  <c r="J93" i="29"/>
  <c r="I93" i="29"/>
  <c r="H93" i="29"/>
  <c r="G93" i="29"/>
  <c r="F93" i="29"/>
  <c r="E93" i="29"/>
  <c r="D93" i="29"/>
  <c r="C93" i="29"/>
  <c r="Q92" i="29"/>
  <c r="P92" i="29"/>
  <c r="O92" i="29"/>
  <c r="N92" i="29"/>
  <c r="M92" i="29"/>
  <c r="L92" i="29"/>
  <c r="K92" i="29"/>
  <c r="J92" i="29"/>
  <c r="I92" i="29"/>
  <c r="H92" i="29"/>
  <c r="G92" i="29"/>
  <c r="F92" i="29"/>
  <c r="E92" i="29"/>
  <c r="D92" i="29"/>
  <c r="C92" i="29"/>
  <c r="Q91" i="29"/>
  <c r="P91" i="29"/>
  <c r="O91" i="29"/>
  <c r="N91" i="29"/>
  <c r="M91" i="29"/>
  <c r="L91" i="29"/>
  <c r="K91" i="29"/>
  <c r="J91" i="29"/>
  <c r="I91" i="29"/>
  <c r="H91" i="29"/>
  <c r="G91" i="29"/>
  <c r="F91" i="29"/>
  <c r="E91" i="29"/>
  <c r="D91" i="29"/>
  <c r="C91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Q81" i="29"/>
  <c r="P81" i="29"/>
  <c r="O81" i="29"/>
  <c r="N81" i="29"/>
  <c r="M81" i="29"/>
  <c r="L81" i="29"/>
  <c r="K81" i="29"/>
  <c r="J81" i="29"/>
  <c r="I81" i="29"/>
  <c r="H81" i="29"/>
  <c r="G81" i="29"/>
  <c r="F81" i="29"/>
  <c r="E81" i="29"/>
  <c r="D81" i="29"/>
  <c r="C81" i="29"/>
  <c r="Q80" i="29"/>
  <c r="P80" i="29"/>
  <c r="O80" i="29"/>
  <c r="N80" i="29"/>
  <c r="M80" i="29"/>
  <c r="L80" i="29"/>
  <c r="K80" i="29"/>
  <c r="J80" i="29"/>
  <c r="I80" i="29"/>
  <c r="H80" i="29"/>
  <c r="G80" i="29"/>
  <c r="F80" i="29"/>
  <c r="E80" i="29"/>
  <c r="D80" i="29"/>
  <c r="C80" i="29"/>
  <c r="Q79" i="29"/>
  <c r="P79" i="29"/>
  <c r="O79" i="29"/>
  <c r="N79" i="29"/>
  <c r="M79" i="29"/>
  <c r="L79" i="29"/>
  <c r="K79" i="29"/>
  <c r="J79" i="29"/>
  <c r="I79" i="29"/>
  <c r="H79" i="29"/>
  <c r="G79" i="29"/>
  <c r="F79" i="29"/>
  <c r="E79" i="29"/>
  <c r="D79" i="29"/>
  <c r="C79" i="29"/>
  <c r="Q78" i="29"/>
  <c r="P78" i="29"/>
  <c r="O78" i="29"/>
  <c r="N78" i="29"/>
  <c r="M78" i="29"/>
  <c r="L78" i="29"/>
  <c r="K78" i="29"/>
  <c r="J78" i="29"/>
  <c r="I78" i="29"/>
  <c r="H78" i="29"/>
  <c r="G78" i="29"/>
  <c r="F78" i="29"/>
  <c r="E78" i="29"/>
  <c r="D78" i="29"/>
  <c r="C78" i="29"/>
  <c r="Q77" i="29"/>
  <c r="P77" i="29"/>
  <c r="O77" i="29"/>
  <c r="N77" i="29"/>
  <c r="M77" i="29"/>
  <c r="L77" i="29"/>
  <c r="K77" i="29"/>
  <c r="J77" i="29"/>
  <c r="I77" i="29"/>
  <c r="H77" i="29"/>
  <c r="G77" i="29"/>
  <c r="F77" i="29"/>
  <c r="E77" i="29"/>
  <c r="D77" i="29"/>
  <c r="C77" i="29"/>
  <c r="Q76" i="29"/>
  <c r="P76" i="29"/>
  <c r="O76" i="29"/>
  <c r="N76" i="29"/>
  <c r="M76" i="29"/>
  <c r="L76" i="29"/>
  <c r="K76" i="29"/>
  <c r="J76" i="29"/>
  <c r="I76" i="29"/>
  <c r="H76" i="29"/>
  <c r="G76" i="29"/>
  <c r="F76" i="29"/>
  <c r="E76" i="29"/>
  <c r="D76" i="29"/>
  <c r="C76" i="29"/>
  <c r="Q75" i="29"/>
  <c r="P75" i="29"/>
  <c r="O75" i="29"/>
  <c r="N75" i="29"/>
  <c r="M75" i="29"/>
  <c r="L75" i="29"/>
  <c r="K75" i="29"/>
  <c r="J75" i="29"/>
  <c r="I75" i="29"/>
  <c r="H75" i="29"/>
  <c r="G75" i="29"/>
  <c r="F75" i="29"/>
  <c r="E75" i="29"/>
  <c r="D75" i="29"/>
  <c r="C75" i="29"/>
  <c r="Q74" i="29"/>
  <c r="P74" i="29"/>
  <c r="O74" i="29"/>
  <c r="N74" i="29"/>
  <c r="M74" i="29"/>
  <c r="L74" i="29"/>
  <c r="K74" i="29"/>
  <c r="J74" i="29"/>
  <c r="I74" i="29"/>
  <c r="H74" i="29"/>
  <c r="G74" i="29"/>
  <c r="F74" i="29"/>
  <c r="E74" i="29"/>
  <c r="D74" i="29"/>
  <c r="C74" i="29"/>
  <c r="Q73" i="29"/>
  <c r="P73" i="29"/>
  <c r="O73" i="29"/>
  <c r="N73" i="29"/>
  <c r="M73" i="29"/>
  <c r="L73" i="29"/>
  <c r="K73" i="29"/>
  <c r="J73" i="29"/>
  <c r="I73" i="29"/>
  <c r="H73" i="29"/>
  <c r="G73" i="29"/>
  <c r="F73" i="29"/>
  <c r="E73" i="29"/>
  <c r="D73" i="29"/>
  <c r="C73" i="29"/>
  <c r="Q72" i="29"/>
  <c r="P72" i="29"/>
  <c r="O72" i="29"/>
  <c r="N72" i="29"/>
  <c r="M72" i="29"/>
  <c r="L72" i="29"/>
  <c r="K72" i="29"/>
  <c r="J72" i="29"/>
  <c r="I72" i="29"/>
  <c r="H72" i="29"/>
  <c r="G72" i="29"/>
  <c r="F72" i="29"/>
  <c r="E72" i="29"/>
  <c r="D72" i="29"/>
  <c r="C72" i="29"/>
  <c r="Q71" i="29"/>
  <c r="P71" i="29"/>
  <c r="O71" i="29"/>
  <c r="N71" i="29"/>
  <c r="M71" i="29"/>
  <c r="L71" i="29"/>
  <c r="K71" i="29"/>
  <c r="J71" i="29"/>
  <c r="I71" i="29"/>
  <c r="H71" i="29"/>
  <c r="G71" i="29"/>
  <c r="F71" i="29"/>
  <c r="E71" i="29"/>
  <c r="D71" i="29"/>
  <c r="C71" i="29"/>
  <c r="Q70" i="29"/>
  <c r="P70" i="29"/>
  <c r="O70" i="29"/>
  <c r="N70" i="29"/>
  <c r="M70" i="29"/>
  <c r="L70" i="29"/>
  <c r="K70" i="29"/>
  <c r="J70" i="29"/>
  <c r="I70" i="29"/>
  <c r="H70" i="29"/>
  <c r="G70" i="29"/>
  <c r="F70" i="29"/>
  <c r="E70" i="29"/>
  <c r="D70" i="29"/>
  <c r="C70" i="29"/>
  <c r="Q69" i="29"/>
  <c r="P69" i="29"/>
  <c r="O69" i="29"/>
  <c r="N69" i="29"/>
  <c r="M69" i="29"/>
  <c r="L69" i="29"/>
  <c r="K69" i="29"/>
  <c r="J69" i="29"/>
  <c r="I69" i="29"/>
  <c r="H69" i="29"/>
  <c r="G69" i="29"/>
  <c r="F69" i="29"/>
  <c r="E69" i="29"/>
  <c r="D69" i="29"/>
  <c r="C69" i="29"/>
  <c r="Q68" i="29"/>
  <c r="P68" i="29"/>
  <c r="O68" i="29"/>
  <c r="N68" i="29"/>
  <c r="M68" i="29"/>
  <c r="L68" i="29"/>
  <c r="K68" i="29"/>
  <c r="J68" i="29"/>
  <c r="I68" i="29"/>
  <c r="H68" i="29"/>
  <c r="G68" i="29"/>
  <c r="F68" i="29"/>
  <c r="E68" i="29"/>
  <c r="D68" i="29"/>
  <c r="C68" i="29"/>
  <c r="Q67" i="29"/>
  <c r="P67" i="29"/>
  <c r="O67" i="29"/>
  <c r="N67" i="29"/>
  <c r="M67" i="29"/>
  <c r="L67" i="29"/>
  <c r="K67" i="29"/>
  <c r="J67" i="29"/>
  <c r="I67" i="29"/>
  <c r="H67" i="29"/>
  <c r="G67" i="29"/>
  <c r="F67" i="29"/>
  <c r="E67" i="29"/>
  <c r="D67" i="29"/>
  <c r="C67" i="29"/>
  <c r="Q66" i="29"/>
  <c r="P66" i="29"/>
  <c r="O66" i="29"/>
  <c r="N66" i="29"/>
  <c r="M66" i="29"/>
  <c r="L66" i="29"/>
  <c r="K66" i="29"/>
  <c r="J66" i="29"/>
  <c r="I66" i="29"/>
  <c r="H66" i="29"/>
  <c r="G66" i="29"/>
  <c r="F66" i="29"/>
  <c r="E66" i="29"/>
  <c r="D66" i="29"/>
  <c r="C66" i="29"/>
  <c r="Q65" i="29"/>
  <c r="P65" i="29"/>
  <c r="O65" i="29"/>
  <c r="N65" i="29"/>
  <c r="M65" i="29"/>
  <c r="L65" i="29"/>
  <c r="K65" i="29"/>
  <c r="J65" i="29"/>
  <c r="I65" i="29"/>
  <c r="H65" i="29"/>
  <c r="G65" i="29"/>
  <c r="F65" i="29"/>
  <c r="E65" i="29"/>
  <c r="D65" i="29"/>
  <c r="C65" i="29"/>
  <c r="Q64" i="29"/>
  <c r="P64" i="29"/>
  <c r="O64" i="29"/>
  <c r="N64" i="29"/>
  <c r="M64" i="29"/>
  <c r="L64" i="29"/>
  <c r="K64" i="29"/>
  <c r="J64" i="29"/>
  <c r="I64" i="29"/>
  <c r="H64" i="29"/>
  <c r="G64" i="29"/>
  <c r="F64" i="29"/>
  <c r="E64" i="29"/>
  <c r="D64" i="29"/>
  <c r="C64" i="29"/>
  <c r="Q63" i="29"/>
  <c r="P63" i="29"/>
  <c r="O63" i="29"/>
  <c r="N63" i="29"/>
  <c r="M63" i="29"/>
  <c r="L63" i="29"/>
  <c r="K63" i="29"/>
  <c r="J63" i="29"/>
  <c r="I63" i="29"/>
  <c r="H63" i="29"/>
  <c r="G63" i="29"/>
  <c r="F63" i="29"/>
  <c r="E63" i="29"/>
  <c r="D63" i="29"/>
  <c r="C63" i="29"/>
  <c r="Q62" i="29"/>
  <c r="P62" i="29"/>
  <c r="O62" i="29"/>
  <c r="N62" i="29"/>
  <c r="M62" i="29"/>
  <c r="L62" i="29"/>
  <c r="K62" i="29"/>
  <c r="J62" i="29"/>
  <c r="I62" i="29"/>
  <c r="H62" i="29"/>
  <c r="G62" i="29"/>
  <c r="F62" i="29"/>
  <c r="E62" i="29"/>
  <c r="D62" i="29"/>
  <c r="C62" i="29"/>
  <c r="Q61" i="29"/>
  <c r="P61" i="29"/>
  <c r="O61" i="29"/>
  <c r="N61" i="29"/>
  <c r="M61" i="29"/>
  <c r="L61" i="29"/>
  <c r="K61" i="29"/>
  <c r="J61" i="29"/>
  <c r="I61" i="29"/>
  <c r="H61" i="29"/>
  <c r="G61" i="29"/>
  <c r="F61" i="29"/>
  <c r="E61" i="29"/>
  <c r="D61" i="29"/>
  <c r="C61" i="29"/>
  <c r="Q60" i="29"/>
  <c r="P60" i="29"/>
  <c r="O60" i="29"/>
  <c r="N60" i="29"/>
  <c r="M60" i="29"/>
  <c r="L60" i="29"/>
  <c r="K60" i="29"/>
  <c r="J60" i="29"/>
  <c r="I60" i="29"/>
  <c r="H60" i="29"/>
  <c r="G60" i="29"/>
  <c r="F60" i="29"/>
  <c r="E60" i="29"/>
  <c r="D60" i="29"/>
  <c r="C60" i="29"/>
  <c r="Q59" i="29"/>
  <c r="P59" i="29"/>
  <c r="O59" i="29"/>
  <c r="N59" i="29"/>
  <c r="M59" i="29"/>
  <c r="L59" i="29"/>
  <c r="K59" i="29"/>
  <c r="J59" i="29"/>
  <c r="I59" i="29"/>
  <c r="H59" i="29"/>
  <c r="G59" i="29"/>
  <c r="F59" i="29"/>
  <c r="E59" i="29"/>
  <c r="D59" i="29"/>
  <c r="C59" i="29"/>
  <c r="Q58" i="29"/>
  <c r="P58" i="29"/>
  <c r="O58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7" i="29"/>
  <c r="C57" i="29"/>
  <c r="Q56" i="29"/>
  <c r="P56" i="29"/>
  <c r="O56" i="29"/>
  <c r="N56" i="29"/>
  <c r="M56" i="29"/>
  <c r="L56" i="29"/>
  <c r="K56" i="29"/>
  <c r="J56" i="29"/>
  <c r="I56" i="29"/>
  <c r="H56" i="29"/>
  <c r="G56" i="29"/>
  <c r="F56" i="29"/>
  <c r="E56" i="29"/>
  <c r="D56" i="29"/>
  <c r="C56" i="29"/>
  <c r="Q55" i="29"/>
  <c r="P55" i="29"/>
  <c r="O55" i="29"/>
  <c r="N55" i="29"/>
  <c r="M55" i="29"/>
  <c r="L55" i="29"/>
  <c r="K55" i="29"/>
  <c r="J55" i="29"/>
  <c r="I55" i="29"/>
  <c r="H55" i="29"/>
  <c r="G55" i="29"/>
  <c r="F55" i="29"/>
  <c r="E55" i="29"/>
  <c r="D55" i="29"/>
  <c r="C55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Q53" i="29"/>
  <c r="P53" i="29"/>
  <c r="O53" i="29"/>
  <c r="N53" i="29"/>
  <c r="M53" i="29"/>
  <c r="L53" i="29"/>
  <c r="K53" i="29"/>
  <c r="J53" i="29"/>
  <c r="I53" i="29"/>
  <c r="H53" i="29"/>
  <c r="G53" i="29"/>
  <c r="F53" i="29"/>
  <c r="E53" i="29"/>
  <c r="D53" i="29"/>
  <c r="C53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Q49" i="29"/>
  <c r="P49" i="29"/>
  <c r="O49" i="29"/>
  <c r="N49" i="29"/>
  <c r="M49" i="29"/>
  <c r="L49" i="29"/>
  <c r="K49" i="29"/>
  <c r="J49" i="29"/>
  <c r="I49" i="29"/>
  <c r="H49" i="29"/>
  <c r="G49" i="29"/>
  <c r="F49" i="29"/>
  <c r="E49" i="29"/>
  <c r="D49" i="29"/>
  <c r="C49" i="29"/>
  <c r="Q48" i="29"/>
  <c r="P48" i="29"/>
  <c r="O48" i="29"/>
  <c r="N48" i="29"/>
  <c r="M48" i="29"/>
  <c r="L48" i="29"/>
  <c r="K48" i="29"/>
  <c r="J48" i="29"/>
  <c r="I48" i="29"/>
  <c r="H48" i="29"/>
  <c r="G48" i="29"/>
  <c r="F48" i="29"/>
  <c r="E48" i="29"/>
  <c r="D48" i="29"/>
  <c r="C48" i="29"/>
  <c r="Q47" i="29"/>
  <c r="P47" i="29"/>
  <c r="O47" i="29"/>
  <c r="N47" i="29"/>
  <c r="M47" i="29"/>
  <c r="L47" i="29"/>
  <c r="K47" i="29"/>
  <c r="J47" i="29"/>
  <c r="I47" i="29"/>
  <c r="H47" i="29"/>
  <c r="G47" i="29"/>
  <c r="F47" i="29"/>
  <c r="E47" i="29"/>
  <c r="D47" i="29"/>
  <c r="C47" i="29"/>
  <c r="Q46" i="29"/>
  <c r="P46" i="29"/>
  <c r="O46" i="29"/>
  <c r="N46" i="29"/>
  <c r="M46" i="29"/>
  <c r="L46" i="29"/>
  <c r="K46" i="29"/>
  <c r="J46" i="29"/>
  <c r="I46" i="29"/>
  <c r="H46" i="29"/>
  <c r="G46" i="29"/>
  <c r="F46" i="29"/>
  <c r="E46" i="29"/>
  <c r="D46" i="29"/>
  <c r="C46" i="29"/>
  <c r="Q45" i="29"/>
  <c r="P45" i="29"/>
  <c r="O45" i="29"/>
  <c r="N45" i="29"/>
  <c r="M45" i="29"/>
  <c r="L45" i="29"/>
  <c r="K45" i="29"/>
  <c r="J45" i="29"/>
  <c r="I45" i="29"/>
  <c r="H45" i="29"/>
  <c r="G45" i="29"/>
  <c r="F45" i="29"/>
  <c r="E45" i="29"/>
  <c r="D45" i="29"/>
  <c r="C45" i="29"/>
  <c r="Q44" i="29"/>
  <c r="P44" i="29"/>
  <c r="O44" i="29"/>
  <c r="N44" i="29"/>
  <c r="M44" i="29"/>
  <c r="L44" i="29"/>
  <c r="K44" i="29"/>
  <c r="J44" i="29"/>
  <c r="I44" i="29"/>
  <c r="H44" i="29"/>
  <c r="G44" i="29"/>
  <c r="F44" i="29"/>
  <c r="E44" i="29"/>
  <c r="D44" i="29"/>
  <c r="C44" i="29"/>
  <c r="Q43" i="29"/>
  <c r="P43" i="29"/>
  <c r="O43" i="29"/>
  <c r="N43" i="29"/>
  <c r="M43" i="29"/>
  <c r="L43" i="29"/>
  <c r="K43" i="29"/>
  <c r="J43" i="29"/>
  <c r="I43" i="29"/>
  <c r="H43" i="29"/>
  <c r="G43" i="29"/>
  <c r="F43" i="29"/>
  <c r="E43" i="29"/>
  <c r="D43" i="29"/>
  <c r="C43" i="29"/>
  <c r="Q42" i="29"/>
  <c r="P42" i="29"/>
  <c r="O42" i="29"/>
  <c r="N42" i="29"/>
  <c r="M42" i="29"/>
  <c r="L42" i="29"/>
  <c r="K42" i="29"/>
  <c r="J42" i="29"/>
  <c r="I42" i="29"/>
  <c r="H42" i="29"/>
  <c r="G42" i="29"/>
  <c r="F42" i="29"/>
  <c r="E42" i="29"/>
  <c r="D42" i="29"/>
  <c r="C42" i="29"/>
  <c r="Q41" i="29"/>
  <c r="P41" i="29"/>
  <c r="O41" i="29"/>
  <c r="N41" i="29"/>
  <c r="M41" i="29"/>
  <c r="L41" i="29"/>
  <c r="K41" i="29"/>
  <c r="J41" i="29"/>
  <c r="I41" i="29"/>
  <c r="H41" i="29"/>
  <c r="G41" i="29"/>
  <c r="F41" i="29"/>
  <c r="E41" i="29"/>
  <c r="D41" i="29"/>
  <c r="C41" i="29"/>
  <c r="Q40" i="29"/>
  <c r="P40" i="29"/>
  <c r="O40" i="29"/>
  <c r="N40" i="29"/>
  <c r="M40" i="29"/>
  <c r="L40" i="29"/>
  <c r="K40" i="29"/>
  <c r="J40" i="29"/>
  <c r="I40" i="29"/>
  <c r="H40" i="29"/>
  <c r="G40" i="29"/>
  <c r="F40" i="29"/>
  <c r="E40" i="29"/>
  <c r="D40" i="29"/>
  <c r="C40" i="29"/>
  <c r="Q39" i="29"/>
  <c r="P39" i="29"/>
  <c r="O39" i="29"/>
  <c r="N39" i="29"/>
  <c r="M39" i="29"/>
  <c r="L39" i="29"/>
  <c r="K39" i="29"/>
  <c r="J39" i="29"/>
  <c r="I39" i="29"/>
  <c r="H39" i="29"/>
  <c r="G39" i="29"/>
  <c r="F39" i="29"/>
  <c r="E39" i="29"/>
  <c r="D39" i="29"/>
  <c r="C39" i="29"/>
  <c r="Q38" i="29"/>
  <c r="P38" i="29"/>
  <c r="O38" i="29"/>
  <c r="N38" i="29"/>
  <c r="M38" i="29"/>
  <c r="L38" i="29"/>
  <c r="K38" i="29"/>
  <c r="J38" i="29"/>
  <c r="I38" i="29"/>
  <c r="H38" i="29"/>
  <c r="G38" i="29"/>
  <c r="F38" i="29"/>
  <c r="E38" i="29"/>
  <c r="D38" i="29"/>
  <c r="C38" i="29"/>
  <c r="Q37" i="29"/>
  <c r="P37" i="29"/>
  <c r="O37" i="29"/>
  <c r="N37" i="29"/>
  <c r="M37" i="29"/>
  <c r="L37" i="29"/>
  <c r="K37" i="29"/>
  <c r="J37" i="29"/>
  <c r="I37" i="29"/>
  <c r="H37" i="29"/>
  <c r="G37" i="29"/>
  <c r="F37" i="29"/>
  <c r="E37" i="29"/>
  <c r="D37" i="29"/>
  <c r="C37" i="29"/>
  <c r="Q36" i="29"/>
  <c r="P36" i="29"/>
  <c r="O36" i="29"/>
  <c r="N36" i="29"/>
  <c r="M36" i="29"/>
  <c r="L36" i="29"/>
  <c r="K36" i="29"/>
  <c r="J36" i="29"/>
  <c r="I36" i="29"/>
  <c r="H36" i="29"/>
  <c r="G36" i="29"/>
  <c r="F36" i="29"/>
  <c r="E36" i="29"/>
  <c r="D36" i="29"/>
  <c r="C36" i="29"/>
  <c r="Q35" i="29"/>
  <c r="P35" i="29"/>
  <c r="O35" i="29"/>
  <c r="N35" i="29"/>
  <c r="M35" i="29"/>
  <c r="L35" i="29"/>
  <c r="K35" i="29"/>
  <c r="J35" i="29"/>
  <c r="I35" i="29"/>
  <c r="H35" i="29"/>
  <c r="G35" i="29"/>
  <c r="F35" i="29"/>
  <c r="E35" i="29"/>
  <c r="D35" i="29"/>
  <c r="C35" i="29"/>
  <c r="Q34" i="29"/>
  <c r="P34" i="29"/>
  <c r="O34" i="29"/>
  <c r="N34" i="29"/>
  <c r="M34" i="29"/>
  <c r="L34" i="29"/>
  <c r="K34" i="29"/>
  <c r="J34" i="29"/>
  <c r="I34" i="29"/>
  <c r="H34" i="29"/>
  <c r="G34" i="29"/>
  <c r="F34" i="29"/>
  <c r="E34" i="29"/>
  <c r="D34" i="29"/>
  <c r="C34" i="29"/>
  <c r="Q33" i="29"/>
  <c r="P33" i="29"/>
  <c r="O33" i="29"/>
  <c r="N33" i="29"/>
  <c r="M33" i="29"/>
  <c r="L33" i="29"/>
  <c r="K33" i="29"/>
  <c r="J33" i="29"/>
  <c r="I33" i="29"/>
  <c r="H33" i="29"/>
  <c r="G33" i="29"/>
  <c r="F33" i="29"/>
  <c r="E33" i="29"/>
  <c r="D33" i="29"/>
  <c r="C33" i="29"/>
  <c r="Q32" i="29"/>
  <c r="P32" i="29"/>
  <c r="O32" i="29"/>
  <c r="N32" i="29"/>
  <c r="M32" i="29"/>
  <c r="L32" i="29"/>
  <c r="K32" i="29"/>
  <c r="J32" i="29"/>
  <c r="I32" i="29"/>
  <c r="H32" i="29"/>
  <c r="G32" i="29"/>
  <c r="F32" i="29"/>
  <c r="E32" i="29"/>
  <c r="D32" i="29"/>
  <c r="C32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E28" i="29"/>
  <c r="D28" i="29"/>
  <c r="C28" i="29"/>
  <c r="Q27" i="29"/>
  <c r="P27" i="29"/>
  <c r="O27" i="29"/>
  <c r="N27" i="29"/>
  <c r="M27" i="29"/>
  <c r="L27" i="29"/>
  <c r="K27" i="29"/>
  <c r="J27" i="29"/>
  <c r="I27" i="29"/>
  <c r="H27" i="29"/>
  <c r="G27" i="29"/>
  <c r="F27" i="29"/>
  <c r="E27" i="29"/>
  <c r="D27" i="29"/>
  <c r="C27" i="29"/>
  <c r="Q26" i="29"/>
  <c r="P26" i="29"/>
  <c r="O26" i="29"/>
  <c r="N26" i="29"/>
  <c r="M26" i="29"/>
  <c r="L26" i="29"/>
  <c r="K26" i="29"/>
  <c r="J26" i="29"/>
  <c r="I26" i="29"/>
  <c r="H26" i="29"/>
  <c r="G26" i="29"/>
  <c r="F26" i="29"/>
  <c r="E26" i="29"/>
  <c r="D26" i="29"/>
  <c r="C26" i="29"/>
  <c r="Q25" i="29"/>
  <c r="P25" i="29"/>
  <c r="O25" i="29"/>
  <c r="N25" i="29"/>
  <c r="M25" i="29"/>
  <c r="L25" i="29"/>
  <c r="K25" i="29"/>
  <c r="J25" i="29"/>
  <c r="I25" i="29"/>
  <c r="H25" i="29"/>
  <c r="G25" i="29"/>
  <c r="F25" i="29"/>
  <c r="E25" i="29"/>
  <c r="D25" i="29"/>
  <c r="C25" i="29"/>
  <c r="Q24" i="29"/>
  <c r="P24" i="29"/>
  <c r="O24" i="29"/>
  <c r="N24" i="29"/>
  <c r="M24" i="29"/>
  <c r="L24" i="29"/>
  <c r="K24" i="29"/>
  <c r="J24" i="29"/>
  <c r="I24" i="29"/>
  <c r="H24" i="29"/>
  <c r="G24" i="29"/>
  <c r="F24" i="29"/>
  <c r="E24" i="29"/>
  <c r="D24" i="29"/>
  <c r="C24" i="29"/>
  <c r="Q23" i="29"/>
  <c r="P23" i="29"/>
  <c r="O23" i="29"/>
  <c r="N23" i="29"/>
  <c r="M23" i="29"/>
  <c r="L23" i="29"/>
  <c r="K23" i="29"/>
  <c r="J23" i="29"/>
  <c r="I23" i="29"/>
  <c r="H23" i="29"/>
  <c r="G23" i="29"/>
  <c r="F23" i="29"/>
  <c r="E23" i="29"/>
  <c r="D23" i="29"/>
  <c r="C23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D20" i="29"/>
  <c r="C20" i="29"/>
  <c r="Q19" i="29"/>
  <c r="P19" i="29"/>
  <c r="O19" i="29"/>
  <c r="N19" i="29"/>
  <c r="M19" i="29"/>
  <c r="L19" i="29"/>
  <c r="K19" i="29"/>
  <c r="J19" i="29"/>
  <c r="I19" i="29"/>
  <c r="H19" i="29"/>
  <c r="G19" i="29"/>
  <c r="F19" i="29"/>
  <c r="E19" i="29"/>
  <c r="D19" i="29"/>
  <c r="C19" i="29"/>
  <c r="Q18" i="29"/>
  <c r="P18" i="29"/>
  <c r="O18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Q17" i="29"/>
  <c r="P17" i="29"/>
  <c r="O17" i="29"/>
  <c r="N17" i="29"/>
  <c r="M17" i="29"/>
  <c r="L17" i="29"/>
  <c r="K17" i="29"/>
  <c r="J17" i="29"/>
  <c r="I17" i="29"/>
  <c r="H17" i="29"/>
  <c r="G17" i="29"/>
  <c r="F17" i="29"/>
  <c r="E17" i="29"/>
  <c r="D17" i="29"/>
  <c r="C17" i="29"/>
  <c r="AH16" i="29"/>
  <c r="AG16" i="29"/>
  <c r="P12" i="29" s="1"/>
  <c r="AF16" i="29"/>
  <c r="O16" i="29" s="1"/>
  <c r="AE16" i="29"/>
  <c r="AD16" i="29"/>
  <c r="AC16" i="29"/>
  <c r="M14" i="29" s="1"/>
  <c r="AB16" i="29"/>
  <c r="L16" i="29" s="1"/>
  <c r="AA16" i="29"/>
  <c r="K15" i="29" s="1"/>
  <c r="Z16" i="29"/>
  <c r="J16" i="29" s="1"/>
  <c r="Y16" i="29"/>
  <c r="X16" i="29"/>
  <c r="W16" i="29"/>
  <c r="V16" i="29"/>
  <c r="F16" i="29" s="1"/>
  <c r="U16" i="29"/>
  <c r="T16" i="29"/>
  <c r="S16" i="29"/>
  <c r="P16" i="29"/>
  <c r="AH15" i="29"/>
  <c r="AG15" i="29"/>
  <c r="AF15" i="29"/>
  <c r="AE15" i="29"/>
  <c r="AD15" i="29"/>
  <c r="AC15" i="29"/>
  <c r="AB15" i="29"/>
  <c r="AA15" i="29"/>
  <c r="Z15" i="29"/>
  <c r="Y15" i="29"/>
  <c r="X15" i="29"/>
  <c r="W15" i="29"/>
  <c r="V15" i="29"/>
  <c r="U15" i="29"/>
  <c r="T15" i="29"/>
  <c r="S15" i="29"/>
  <c r="O15" i="29"/>
  <c r="AH14" i="29"/>
  <c r="AG14" i="29"/>
  <c r="AF14" i="29"/>
  <c r="AE14" i="29"/>
  <c r="AD14" i="29"/>
  <c r="AC14" i="29"/>
  <c r="AB14" i="29"/>
  <c r="AA14" i="29"/>
  <c r="Z14" i="29"/>
  <c r="Y14" i="29"/>
  <c r="X14" i="29"/>
  <c r="W14" i="29"/>
  <c r="V14" i="29"/>
  <c r="U14" i="29"/>
  <c r="T14" i="29"/>
  <c r="S14" i="29"/>
  <c r="L14" i="29"/>
  <c r="J14" i="29"/>
  <c r="AH13" i="29"/>
  <c r="AG13" i="29"/>
  <c r="AF13" i="29"/>
  <c r="AE13" i="29"/>
  <c r="AD13" i="29"/>
  <c r="AC13" i="29"/>
  <c r="AB13" i="29"/>
  <c r="AA13" i="29"/>
  <c r="Z13" i="29"/>
  <c r="Y13" i="29"/>
  <c r="X13" i="29"/>
  <c r="W13" i="29"/>
  <c r="V13" i="29"/>
  <c r="U13" i="29"/>
  <c r="T13" i="29"/>
  <c r="S13" i="29"/>
  <c r="O13" i="29"/>
  <c r="AH12" i="29"/>
  <c r="AG12" i="29"/>
  <c r="AF12" i="29"/>
  <c r="AE12" i="29"/>
  <c r="AD12" i="29"/>
  <c r="AC12" i="29"/>
  <c r="AB12" i="29"/>
  <c r="AB6" i="29" s="1"/>
  <c r="AA12" i="29"/>
  <c r="Z12" i="29"/>
  <c r="Y12" i="29"/>
  <c r="X12" i="29"/>
  <c r="W12" i="29"/>
  <c r="V12" i="29"/>
  <c r="U12" i="29"/>
  <c r="T12" i="29"/>
  <c r="S12" i="29"/>
  <c r="AH11" i="29"/>
  <c r="AG11" i="29"/>
  <c r="AF11" i="29"/>
  <c r="AE11" i="29"/>
  <c r="AD11" i="29"/>
  <c r="AC11" i="29"/>
  <c r="AB11" i="29"/>
  <c r="AA11" i="29"/>
  <c r="Z11" i="29"/>
  <c r="Y11" i="29"/>
  <c r="X11" i="29"/>
  <c r="W11" i="29"/>
  <c r="V11" i="29"/>
  <c r="U11" i="29"/>
  <c r="T11" i="29"/>
  <c r="S11" i="29"/>
  <c r="O11" i="29"/>
  <c r="L11" i="29"/>
  <c r="AH10" i="29"/>
  <c r="AG10" i="29"/>
  <c r="AF10" i="29"/>
  <c r="AE10" i="29"/>
  <c r="AD10" i="29"/>
  <c r="AC10" i="29"/>
  <c r="AB10" i="29"/>
  <c r="AA10" i="29"/>
  <c r="Z10" i="29"/>
  <c r="Y10" i="29"/>
  <c r="X10" i="29"/>
  <c r="W10" i="29"/>
  <c r="V10" i="29"/>
  <c r="U10" i="29"/>
  <c r="T10" i="29"/>
  <c r="S10" i="29"/>
  <c r="L10" i="29"/>
  <c r="K10" i="29"/>
  <c r="J10" i="29"/>
  <c r="Z10" i="27"/>
  <c r="AA10" i="27"/>
  <c r="AB10" i="27"/>
  <c r="AC10" i="27"/>
  <c r="AD10" i="27"/>
  <c r="AE10" i="27"/>
  <c r="AF10" i="27"/>
  <c r="AG10" i="27"/>
  <c r="AH10" i="27"/>
  <c r="Z11" i="27"/>
  <c r="AA11" i="27"/>
  <c r="AB11" i="27"/>
  <c r="AC11" i="27"/>
  <c r="AD11" i="27"/>
  <c r="AE11" i="27"/>
  <c r="AF11" i="27"/>
  <c r="AG11" i="27"/>
  <c r="AH11" i="27"/>
  <c r="Z12" i="27"/>
  <c r="AA12" i="27"/>
  <c r="AB12" i="27"/>
  <c r="AC12" i="27"/>
  <c r="AD12" i="27"/>
  <c r="AE12" i="27"/>
  <c r="AF12" i="27"/>
  <c r="AG12" i="27"/>
  <c r="AH12" i="27"/>
  <c r="Z13" i="27"/>
  <c r="AA13" i="27"/>
  <c r="AB13" i="27"/>
  <c r="AC13" i="27"/>
  <c r="AD13" i="27"/>
  <c r="AE13" i="27"/>
  <c r="AF13" i="27"/>
  <c r="AG13" i="27"/>
  <c r="AH13" i="27"/>
  <c r="Z14" i="27"/>
  <c r="AA14" i="27"/>
  <c r="AB14" i="27"/>
  <c r="AC14" i="27"/>
  <c r="AD14" i="27"/>
  <c r="AE14" i="27"/>
  <c r="AF14" i="27"/>
  <c r="AG14" i="27"/>
  <c r="AH14" i="27"/>
  <c r="Z15" i="27"/>
  <c r="AA15" i="27"/>
  <c r="AB15" i="27"/>
  <c r="AC15" i="27"/>
  <c r="AD15" i="27"/>
  <c r="AE15" i="27"/>
  <c r="AF15" i="27"/>
  <c r="AG15" i="27"/>
  <c r="AH15" i="27"/>
  <c r="Z16" i="27"/>
  <c r="AA16" i="27"/>
  <c r="AB16" i="27"/>
  <c r="AC16" i="27"/>
  <c r="AD16" i="27"/>
  <c r="AE16" i="27"/>
  <c r="AF16" i="27"/>
  <c r="AG16" i="27"/>
  <c r="AH16" i="27"/>
  <c r="W16" i="27"/>
  <c r="S11" i="27"/>
  <c r="T11" i="27"/>
  <c r="U11" i="27"/>
  <c r="V11" i="27"/>
  <c r="W11" i="27"/>
  <c r="X11" i="27"/>
  <c r="Y11" i="27"/>
  <c r="S12" i="27"/>
  <c r="T12" i="27"/>
  <c r="U12" i="27"/>
  <c r="V12" i="27"/>
  <c r="W12" i="27"/>
  <c r="X12" i="27"/>
  <c r="Y12" i="27"/>
  <c r="S13" i="27"/>
  <c r="T13" i="27"/>
  <c r="U13" i="27"/>
  <c r="V13" i="27"/>
  <c r="W13" i="27"/>
  <c r="X13" i="27"/>
  <c r="Y13" i="27"/>
  <c r="S14" i="27"/>
  <c r="T14" i="27"/>
  <c r="U14" i="27"/>
  <c r="V14" i="27"/>
  <c r="W14" i="27"/>
  <c r="X14" i="27"/>
  <c r="Y14" i="27"/>
  <c r="S15" i="27"/>
  <c r="T15" i="27"/>
  <c r="U15" i="27"/>
  <c r="V15" i="27"/>
  <c r="W15" i="27"/>
  <c r="X15" i="27"/>
  <c r="Y15" i="27"/>
  <c r="S16" i="27"/>
  <c r="T16" i="27"/>
  <c r="U16" i="27"/>
  <c r="V16" i="27"/>
  <c r="X16" i="27"/>
  <c r="Y16" i="27"/>
  <c r="T10" i="27"/>
  <c r="U10" i="27"/>
  <c r="V10" i="27"/>
  <c r="W10" i="27"/>
  <c r="X10" i="27"/>
  <c r="Y10" i="27"/>
  <c r="S10" i="27"/>
  <c r="C292" i="29" l="1"/>
  <c r="Q294" i="29"/>
  <c r="N292" i="29"/>
  <c r="D291" i="29"/>
  <c r="E295" i="29"/>
  <c r="D292" i="29"/>
  <c r="E293" i="29"/>
  <c r="E292" i="29"/>
  <c r="F292" i="29"/>
  <c r="Q291" i="29"/>
  <c r="Q293" i="29"/>
  <c r="N296" i="29"/>
  <c r="C293" i="29"/>
  <c r="F295" i="29"/>
  <c r="C295" i="29"/>
  <c r="F293" i="29"/>
  <c r="C291" i="29"/>
  <c r="C294" i="29"/>
  <c r="C296" i="29"/>
  <c r="F291" i="29"/>
  <c r="G295" i="29"/>
  <c r="E291" i="29"/>
  <c r="E294" i="29"/>
  <c r="F294" i="29"/>
  <c r="J215" i="29"/>
  <c r="Q218" i="29"/>
  <c r="P218" i="29"/>
  <c r="L213" i="29"/>
  <c r="AG5" i="29"/>
  <c r="L216" i="29"/>
  <c r="AG6" i="29"/>
  <c r="AB4" i="29"/>
  <c r="E213" i="29"/>
  <c r="D213" i="29"/>
  <c r="E217" i="29"/>
  <c r="Q216" i="29"/>
  <c r="Q214" i="29"/>
  <c r="D216" i="29"/>
  <c r="E216" i="29"/>
  <c r="E218" i="29"/>
  <c r="W133" i="29"/>
  <c r="W8" i="29" s="1"/>
  <c r="N132" i="29"/>
  <c r="H132" i="29"/>
  <c r="Q133" i="29"/>
  <c r="F130" i="29"/>
  <c r="H129" i="29"/>
  <c r="E130" i="29"/>
  <c r="U4" i="29"/>
  <c r="T6" i="29"/>
  <c r="G15" i="29"/>
  <c r="N13" i="29"/>
  <c r="F12" i="29"/>
  <c r="AH6" i="29"/>
  <c r="D11" i="29"/>
  <c r="C12" i="29"/>
  <c r="D14" i="29"/>
  <c r="D13" i="29"/>
  <c r="D16" i="29"/>
  <c r="H10" i="29"/>
  <c r="I11" i="29"/>
  <c r="F13" i="29"/>
  <c r="Y6" i="29"/>
  <c r="AH5" i="29"/>
  <c r="Q13" i="29"/>
  <c r="Q11" i="29"/>
  <c r="N12" i="29"/>
  <c r="F10" i="29"/>
  <c r="H12" i="29"/>
  <c r="F15" i="29"/>
  <c r="H15" i="29"/>
  <c r="E14" i="29"/>
  <c r="F11" i="29"/>
  <c r="Z7" i="29"/>
  <c r="G291" i="29"/>
  <c r="H292" i="29"/>
  <c r="Q292" i="29"/>
  <c r="H294" i="29"/>
  <c r="N295" i="29"/>
  <c r="Q296" i="29"/>
  <c r="J294" i="29"/>
  <c r="H295" i="29"/>
  <c r="G292" i="29"/>
  <c r="AC5" i="29"/>
  <c r="G293" i="29"/>
  <c r="W6" i="29"/>
  <c r="AE6" i="29"/>
  <c r="H293" i="29"/>
  <c r="X5" i="29"/>
  <c r="H291" i="29"/>
  <c r="N294" i="29"/>
  <c r="X6" i="29"/>
  <c r="M213" i="29"/>
  <c r="E214" i="29"/>
  <c r="AG8" i="29"/>
  <c r="E215" i="29"/>
  <c r="J217" i="29"/>
  <c r="U6" i="29"/>
  <c r="AC6" i="29"/>
  <c r="D214" i="29"/>
  <c r="M215" i="29"/>
  <c r="M217" i="29"/>
  <c r="M218" i="29"/>
  <c r="Z5" i="29"/>
  <c r="W5" i="29"/>
  <c r="M214" i="29"/>
  <c r="I129" i="29"/>
  <c r="N131" i="29"/>
  <c r="I132" i="29"/>
  <c r="Y4" i="29"/>
  <c r="D130" i="29"/>
  <c r="K215" i="29"/>
  <c r="N216" i="29"/>
  <c r="O217" i="29"/>
  <c r="O218" i="29"/>
  <c r="AH217" i="29"/>
  <c r="Q217" i="29" s="1"/>
  <c r="AF9" i="29"/>
  <c r="O5" i="29" s="1"/>
  <c r="U7" i="29"/>
  <c r="AC7" i="29"/>
  <c r="I130" i="29"/>
  <c r="O214" i="29"/>
  <c r="O216" i="29"/>
  <c r="N130" i="29"/>
  <c r="Q131" i="29"/>
  <c r="C213" i="29"/>
  <c r="X217" i="29"/>
  <c r="H217" i="29" s="1"/>
  <c r="C214" i="29"/>
  <c r="C216" i="29"/>
  <c r="C218" i="29"/>
  <c r="C223" i="29"/>
  <c r="G129" i="29"/>
  <c r="AA9" i="29"/>
  <c r="K5" i="29" s="1"/>
  <c r="V7" i="29"/>
  <c r="Q134" i="29"/>
  <c r="W4" i="29"/>
  <c r="AA4" i="29"/>
  <c r="H130" i="29"/>
  <c r="AF7" i="29"/>
  <c r="H214" i="29"/>
  <c r="Y7" i="29"/>
  <c r="L131" i="29"/>
  <c r="E129" i="29"/>
  <c r="G157" i="29"/>
  <c r="K213" i="29"/>
  <c r="K216" i="29"/>
  <c r="K217" i="29"/>
  <c r="H218" i="29"/>
  <c r="N129" i="29"/>
  <c r="S9" i="29"/>
  <c r="C9" i="29" s="1"/>
  <c r="H131" i="29"/>
  <c r="Q132" i="29"/>
  <c r="H213" i="29"/>
  <c r="Z4" i="29"/>
  <c r="AH4" i="29"/>
  <c r="AF5" i="29"/>
  <c r="AD6" i="29"/>
  <c r="AH7" i="29"/>
  <c r="G134" i="29"/>
  <c r="K214" i="29"/>
  <c r="AB9" i="29"/>
  <c r="L7" i="29" s="1"/>
  <c r="Z8" i="29"/>
  <c r="M130" i="29"/>
  <c r="I131" i="29"/>
  <c r="C132" i="29"/>
  <c r="L130" i="29"/>
  <c r="T5" i="29"/>
  <c r="AB5" i="29"/>
  <c r="AA8" i="29"/>
  <c r="F129" i="29"/>
  <c r="E131" i="29"/>
  <c r="D132" i="29"/>
  <c r="T9" i="29"/>
  <c r="D129" i="29"/>
  <c r="L133" i="29"/>
  <c r="N134" i="29"/>
  <c r="L129" i="29"/>
  <c r="F131" i="29"/>
  <c r="F132" i="29"/>
  <c r="L134" i="29"/>
  <c r="AE5" i="29"/>
  <c r="X7" i="29"/>
  <c r="D131" i="29"/>
  <c r="V5" i="29"/>
  <c r="AD5" i="29"/>
  <c r="P10" i="29"/>
  <c r="K13" i="29"/>
  <c r="P14" i="29"/>
  <c r="AE4" i="29"/>
  <c r="J12" i="29"/>
  <c r="L13" i="29"/>
  <c r="C15" i="29"/>
  <c r="AF8" i="29"/>
  <c r="P15" i="29"/>
  <c r="I15" i="29"/>
  <c r="Q16" i="29"/>
  <c r="I13" i="29"/>
  <c r="Q15" i="29"/>
  <c r="AD4" i="29"/>
  <c r="Y5" i="29"/>
  <c r="T7" i="29"/>
  <c r="AA6" i="29"/>
  <c r="C10" i="29"/>
  <c r="C11" i="29"/>
  <c r="K12" i="29"/>
  <c r="I16" i="29"/>
  <c r="X4" i="29"/>
  <c r="AD9" i="29"/>
  <c r="AB7" i="29"/>
  <c r="AH9" i="29"/>
  <c r="Q9" i="29" s="1"/>
  <c r="Q10" i="29"/>
  <c r="AG4" i="29"/>
  <c r="D10" i="29"/>
  <c r="L12" i="29"/>
  <c r="AC8" i="29"/>
  <c r="I10" i="29"/>
  <c r="AD8" i="29"/>
  <c r="L15" i="29"/>
  <c r="W7" i="29"/>
  <c r="AE7" i="29"/>
  <c r="M11" i="29"/>
  <c r="F215" i="29"/>
  <c r="G218" i="29"/>
  <c r="G213" i="29"/>
  <c r="G215" i="29"/>
  <c r="T295" i="29"/>
  <c r="D295" i="29" s="1"/>
  <c r="D313" i="29"/>
  <c r="G10" i="29"/>
  <c r="W9" i="29"/>
  <c r="G12" i="29"/>
  <c r="H11" i="29"/>
  <c r="H13" i="29"/>
  <c r="K129" i="29"/>
  <c r="K130" i="29"/>
  <c r="G216" i="29"/>
  <c r="I215" i="29"/>
  <c r="P214" i="29"/>
  <c r="P216" i="29"/>
  <c r="J296" i="29"/>
  <c r="J292" i="29"/>
  <c r="J295" i="29"/>
  <c r="T4" i="29"/>
  <c r="S6" i="29"/>
  <c r="V9" i="29"/>
  <c r="AG9" i="29"/>
  <c r="G11" i="29"/>
  <c r="S5" i="29"/>
  <c r="AA5" i="29"/>
  <c r="M12" i="29"/>
  <c r="O14" i="29"/>
  <c r="D15" i="29"/>
  <c r="AB8" i="29"/>
  <c r="I12" i="29"/>
  <c r="I14" i="29"/>
  <c r="P11" i="29"/>
  <c r="P13" i="29"/>
  <c r="K131" i="29"/>
  <c r="S7" i="29"/>
  <c r="AA7" i="29"/>
  <c r="J134" i="29"/>
  <c r="E134" i="29"/>
  <c r="E132" i="29"/>
  <c r="M133" i="29"/>
  <c r="M134" i="29"/>
  <c r="M132" i="29"/>
  <c r="F213" i="29"/>
  <c r="I216" i="29"/>
  <c r="P217" i="29"/>
  <c r="F218" i="29"/>
  <c r="J213" i="29"/>
  <c r="J216" i="29"/>
  <c r="J218" i="29"/>
  <c r="Q215" i="29"/>
  <c r="N229" i="29"/>
  <c r="Y295" i="29"/>
  <c r="I295" i="29" s="1"/>
  <c r="Q301" i="29"/>
  <c r="AH295" i="29"/>
  <c r="Q295" i="29" s="1"/>
  <c r="E16" i="29"/>
  <c r="E10" i="29"/>
  <c r="U9" i="29"/>
  <c r="N218" i="29"/>
  <c r="N16" i="29"/>
  <c r="J129" i="29"/>
  <c r="V133" i="29"/>
  <c r="F133" i="29" s="1"/>
  <c r="F151" i="29"/>
  <c r="N213" i="29"/>
  <c r="S4" i="29"/>
  <c r="E11" i="29"/>
  <c r="U5" i="29"/>
  <c r="D12" i="29"/>
  <c r="F14" i="29"/>
  <c r="G16" i="29"/>
  <c r="J13" i="29"/>
  <c r="J15" i="29"/>
  <c r="D294" i="29"/>
  <c r="D293" i="29"/>
  <c r="D296" i="29"/>
  <c r="L294" i="29"/>
  <c r="L295" i="29"/>
  <c r="L293" i="29"/>
  <c r="L296" i="29"/>
  <c r="K4" i="29"/>
  <c r="V6" i="29"/>
  <c r="Y9" i="29"/>
  <c r="E12" i="29"/>
  <c r="K14" i="29"/>
  <c r="K16" i="29"/>
  <c r="C129" i="29"/>
  <c r="C130" i="29"/>
  <c r="K132" i="29"/>
  <c r="U133" i="29"/>
  <c r="U8" i="29" s="1"/>
  <c r="AE133" i="29"/>
  <c r="N133" i="29" s="1"/>
  <c r="G131" i="29"/>
  <c r="G132" i="29"/>
  <c r="G130" i="29"/>
  <c r="Y133" i="29"/>
  <c r="I133" i="29" s="1"/>
  <c r="I213" i="29"/>
  <c r="I218" i="29"/>
  <c r="D215" i="29"/>
  <c r="D218" i="29"/>
  <c r="L215" i="29"/>
  <c r="L218" i="29"/>
  <c r="J291" i="29"/>
  <c r="L292" i="29"/>
  <c r="M16" i="29"/>
  <c r="M10" i="29"/>
  <c r="AC9" i="29"/>
  <c r="F217" i="29"/>
  <c r="F214" i="29"/>
  <c r="E13" i="29"/>
  <c r="J132" i="29"/>
  <c r="J133" i="29"/>
  <c r="J131" i="29"/>
  <c r="I217" i="29"/>
  <c r="N217" i="29"/>
  <c r="N214" i="29"/>
  <c r="AE9" i="29"/>
  <c r="N11" i="29"/>
  <c r="I293" i="29"/>
  <c r="I294" i="29"/>
  <c r="I292" i="29"/>
  <c r="G13" i="29"/>
  <c r="N14" i="29"/>
  <c r="O10" i="29"/>
  <c r="O12" i="29"/>
  <c r="K9" i="29"/>
  <c r="X9" i="29"/>
  <c r="Q12" i="29"/>
  <c r="Q14" i="29"/>
  <c r="T133" i="29"/>
  <c r="D133" i="29" s="1"/>
  <c r="C217" i="29"/>
  <c r="I291" i="29"/>
  <c r="V4" i="29"/>
  <c r="K7" i="29"/>
  <c r="N10" i="29"/>
  <c r="J11" i="29"/>
  <c r="G14" i="29"/>
  <c r="M15" i="29"/>
  <c r="H16" i="29"/>
  <c r="C14" i="29"/>
  <c r="C16" i="29"/>
  <c r="O9" i="29"/>
  <c r="Z9" i="29"/>
  <c r="K11" i="29"/>
  <c r="C13" i="29"/>
  <c r="M13" i="29"/>
  <c r="H14" i="29"/>
  <c r="E15" i="29"/>
  <c r="N15" i="29"/>
  <c r="C131" i="29"/>
  <c r="K133" i="29"/>
  <c r="H134" i="29"/>
  <c r="H133" i="29"/>
  <c r="Q129" i="29"/>
  <c r="Q130" i="29"/>
  <c r="S133" i="29"/>
  <c r="G214" i="29"/>
  <c r="P215" i="29"/>
  <c r="D223" i="29"/>
  <c r="D217" i="29"/>
  <c r="O215" i="29"/>
  <c r="H216" i="29"/>
  <c r="N291" i="29"/>
  <c r="G294" i="29"/>
  <c r="N293" i="29"/>
  <c r="G296" i="29"/>
  <c r="Y313" i="27"/>
  <c r="T313" i="27"/>
  <c r="Y307" i="27"/>
  <c r="X307" i="27"/>
  <c r="T307" i="27"/>
  <c r="AH301" i="27"/>
  <c r="Y289" i="27"/>
  <c r="W289" i="27"/>
  <c r="S289" i="27"/>
  <c r="Y283" i="27"/>
  <c r="T283" i="27"/>
  <c r="AE277" i="27"/>
  <c r="Y277" i="27"/>
  <c r="X277" i="27"/>
  <c r="U277" i="27"/>
  <c r="T277" i="27"/>
  <c r="S277" i="27"/>
  <c r="AE271" i="27"/>
  <c r="Y271" i="27"/>
  <c r="X271" i="27"/>
  <c r="V271" i="27"/>
  <c r="T271" i="27"/>
  <c r="AE259" i="27"/>
  <c r="Y259" i="27"/>
  <c r="W259" i="27"/>
  <c r="U259" i="27"/>
  <c r="T259" i="27"/>
  <c r="S259" i="27"/>
  <c r="AE247" i="27"/>
  <c r="Y247" i="27"/>
  <c r="X247" i="27"/>
  <c r="V247" i="27"/>
  <c r="U247" i="27"/>
  <c r="T247" i="27"/>
  <c r="S247" i="27"/>
  <c r="AH241" i="27"/>
  <c r="AE241" i="27"/>
  <c r="Y241" i="27"/>
  <c r="T241" i="27"/>
  <c r="AE235" i="27"/>
  <c r="Y235" i="27"/>
  <c r="U235" i="27"/>
  <c r="S235" i="27"/>
  <c r="AE229" i="27"/>
  <c r="Y229" i="27"/>
  <c r="T229" i="27"/>
  <c r="S229" i="27"/>
  <c r="Y223" i="27"/>
  <c r="U223" i="27"/>
  <c r="T223" i="27"/>
  <c r="S223" i="27"/>
  <c r="S213" i="27"/>
  <c r="T213" i="27"/>
  <c r="U213" i="27"/>
  <c r="V213" i="27"/>
  <c r="W213" i="27"/>
  <c r="X213" i="27"/>
  <c r="Y213" i="27"/>
  <c r="AE205" i="27"/>
  <c r="Y205" i="27"/>
  <c r="W205" i="27"/>
  <c r="U205" i="27"/>
  <c r="S205" i="27"/>
  <c r="AE199" i="27"/>
  <c r="Y199" i="27"/>
  <c r="V199" i="27"/>
  <c r="S199" i="27"/>
  <c r="AE193" i="27"/>
  <c r="Y193" i="27"/>
  <c r="V193" i="27"/>
  <c r="T193" i="27"/>
  <c r="AH187" i="27"/>
  <c r="AE187" i="27"/>
  <c r="Y187" i="27"/>
  <c r="V187" i="27"/>
  <c r="U187" i="27"/>
  <c r="S187" i="27"/>
  <c r="Y181" i="27"/>
  <c r="S181" i="27"/>
  <c r="Y175" i="27"/>
  <c r="T175" i="27"/>
  <c r="Y169" i="27"/>
  <c r="U169" i="27"/>
  <c r="T169" i="27"/>
  <c r="Y157" i="27"/>
  <c r="X157" i="27"/>
  <c r="W157" i="27"/>
  <c r="V157" i="27"/>
  <c r="U157" i="27"/>
  <c r="S157" i="27"/>
  <c r="Y151" i="27"/>
  <c r="V151" i="27"/>
  <c r="U151" i="27"/>
  <c r="T151" i="27"/>
  <c r="S151" i="27"/>
  <c r="Y145" i="27"/>
  <c r="S145" i="27"/>
  <c r="L4" i="29" l="1"/>
  <c r="L8" i="29"/>
  <c r="X8" i="29"/>
  <c r="H8" i="29" s="1"/>
  <c r="G133" i="29"/>
  <c r="AE8" i="29"/>
  <c r="N8" i="29" s="1"/>
  <c r="K8" i="29"/>
  <c r="K6" i="29"/>
  <c r="L9" i="29"/>
  <c r="D5" i="29"/>
  <c r="L6" i="29"/>
  <c r="L5" i="29"/>
  <c r="C5" i="29"/>
  <c r="C4" i="29"/>
  <c r="C6" i="29"/>
  <c r="O4" i="29"/>
  <c r="O8" i="29"/>
  <c r="O6" i="29"/>
  <c r="O7" i="29"/>
  <c r="C7" i="29"/>
  <c r="D9" i="29"/>
  <c r="D6" i="29"/>
  <c r="V8" i="29"/>
  <c r="F8" i="29" s="1"/>
  <c r="D7" i="29"/>
  <c r="D4" i="29"/>
  <c r="Q6" i="29"/>
  <c r="Q4" i="29"/>
  <c r="Q7" i="29"/>
  <c r="Q5" i="29"/>
  <c r="N9" i="29"/>
  <c r="N6" i="29"/>
  <c r="N7" i="29"/>
  <c r="N5" i="29"/>
  <c r="N4" i="29"/>
  <c r="E8" i="29"/>
  <c r="E9" i="29"/>
  <c r="E5" i="29"/>
  <c r="E7" i="29"/>
  <c r="E6" i="29"/>
  <c r="E4" i="29"/>
  <c r="G217" i="29"/>
  <c r="I4" i="29"/>
  <c r="I6" i="29"/>
  <c r="I9" i="29"/>
  <c r="I7" i="29"/>
  <c r="I5" i="29"/>
  <c r="E133" i="29"/>
  <c r="H5" i="29"/>
  <c r="H6" i="29"/>
  <c r="H7" i="29"/>
  <c r="H4" i="29"/>
  <c r="H9" i="29"/>
  <c r="G4" i="29"/>
  <c r="G8" i="29"/>
  <c r="G6" i="29"/>
  <c r="G5" i="29"/>
  <c r="G7" i="29"/>
  <c r="G9" i="29"/>
  <c r="J5" i="29"/>
  <c r="J7" i="29"/>
  <c r="J6" i="29"/>
  <c r="J8" i="29"/>
  <c r="J4" i="29"/>
  <c r="J9" i="29"/>
  <c r="S8" i="29"/>
  <c r="C8" i="29" s="1"/>
  <c r="C133" i="29"/>
  <c r="M8" i="29"/>
  <c r="M7" i="29"/>
  <c r="M9" i="29"/>
  <c r="M6" i="29"/>
  <c r="M5" i="29"/>
  <c r="M4" i="29"/>
  <c r="T8" i="29"/>
  <c r="D8" i="29" s="1"/>
  <c r="F9" i="29"/>
  <c r="F6" i="29"/>
  <c r="F5" i="29"/>
  <c r="F4" i="29"/>
  <c r="F7" i="29"/>
  <c r="Y8" i="29"/>
  <c r="I8" i="29" s="1"/>
  <c r="P5" i="29"/>
  <c r="P4" i="29"/>
  <c r="P7" i="29"/>
  <c r="P8" i="29"/>
  <c r="P6" i="29"/>
  <c r="P9" i="29"/>
  <c r="AH8" i="29"/>
  <c r="Q8" i="29" s="1"/>
  <c r="Q356" i="28"/>
  <c r="P356" i="28"/>
  <c r="O356" i="28"/>
  <c r="N356" i="28"/>
  <c r="M356" i="28"/>
  <c r="L356" i="28"/>
  <c r="K356" i="28"/>
  <c r="J356" i="28"/>
  <c r="I356" i="28"/>
  <c r="H356" i="28"/>
  <c r="G356" i="28"/>
  <c r="F356" i="28"/>
  <c r="E356" i="28"/>
  <c r="D356" i="28"/>
  <c r="C356" i="28"/>
  <c r="Q355" i="28"/>
  <c r="P355" i="28"/>
  <c r="O355" i="28"/>
  <c r="N355" i="28"/>
  <c r="M355" i="28"/>
  <c r="L355" i="28"/>
  <c r="K355" i="28"/>
  <c r="J355" i="28"/>
  <c r="I355" i="28"/>
  <c r="H355" i="28"/>
  <c r="G355" i="28"/>
  <c r="F355" i="28"/>
  <c r="E355" i="28"/>
  <c r="D355" i="28"/>
  <c r="C355" i="28"/>
  <c r="Q354" i="28"/>
  <c r="P354" i="28"/>
  <c r="O354" i="28"/>
  <c r="N354" i="28"/>
  <c r="M354" i="28"/>
  <c r="L354" i="28"/>
  <c r="K354" i="28"/>
  <c r="J354" i="28"/>
  <c r="I354" i="28"/>
  <c r="H354" i="28"/>
  <c r="G354" i="28"/>
  <c r="F354" i="28"/>
  <c r="E354" i="28"/>
  <c r="D354" i="28"/>
  <c r="C354" i="28"/>
  <c r="Q353" i="28"/>
  <c r="P353" i="28"/>
  <c r="O353" i="28"/>
  <c r="N353" i="28"/>
  <c r="M353" i="28"/>
  <c r="L353" i="28"/>
  <c r="K353" i="28"/>
  <c r="J353" i="28"/>
  <c r="I353" i="28"/>
  <c r="H353" i="28"/>
  <c r="G353" i="28"/>
  <c r="F353" i="28"/>
  <c r="E353" i="28"/>
  <c r="D353" i="28"/>
  <c r="C353" i="28"/>
  <c r="Q352" i="28"/>
  <c r="P352" i="28"/>
  <c r="O352" i="28"/>
  <c r="N352" i="28"/>
  <c r="M352" i="28"/>
  <c r="L352" i="28"/>
  <c r="K352" i="28"/>
  <c r="J352" i="28"/>
  <c r="I352" i="28"/>
  <c r="H352" i="28"/>
  <c r="G352" i="28"/>
  <c r="F352" i="28"/>
  <c r="E352" i="28"/>
  <c r="D352" i="28"/>
  <c r="C352" i="28"/>
  <c r="Q351" i="28"/>
  <c r="P351" i="28"/>
  <c r="O351" i="28"/>
  <c r="N351" i="28"/>
  <c r="M351" i="28"/>
  <c r="L351" i="28"/>
  <c r="K351" i="28"/>
  <c r="J351" i="28"/>
  <c r="I351" i="28"/>
  <c r="H351" i="28"/>
  <c r="G351" i="28"/>
  <c r="F351" i="28"/>
  <c r="E351" i="28"/>
  <c r="D351" i="28"/>
  <c r="C351" i="28"/>
  <c r="Q350" i="28"/>
  <c r="P350" i="28"/>
  <c r="O350" i="28"/>
  <c r="N350" i="28"/>
  <c r="M350" i="28"/>
  <c r="L350" i="28"/>
  <c r="K350" i="28"/>
  <c r="J350" i="28"/>
  <c r="I350" i="28"/>
  <c r="H350" i="28"/>
  <c r="G350" i="28"/>
  <c r="F350" i="28"/>
  <c r="E350" i="28"/>
  <c r="D350" i="28"/>
  <c r="C350" i="28"/>
  <c r="Q349" i="28"/>
  <c r="P349" i="28"/>
  <c r="O349" i="28"/>
  <c r="N349" i="28"/>
  <c r="M349" i="28"/>
  <c r="L349" i="28"/>
  <c r="K349" i="28"/>
  <c r="J349" i="28"/>
  <c r="I349" i="28"/>
  <c r="H349" i="28"/>
  <c r="G349" i="28"/>
  <c r="F349" i="28"/>
  <c r="E349" i="28"/>
  <c r="D349" i="28"/>
  <c r="C349" i="28"/>
  <c r="Q348" i="28"/>
  <c r="P348" i="28"/>
  <c r="O348" i="28"/>
  <c r="N348" i="28"/>
  <c r="M348" i="28"/>
  <c r="L348" i="28"/>
  <c r="K348" i="28"/>
  <c r="J348" i="28"/>
  <c r="I348" i="28"/>
  <c r="H348" i="28"/>
  <c r="G348" i="28"/>
  <c r="F348" i="28"/>
  <c r="E348" i="28"/>
  <c r="D348" i="28"/>
  <c r="C348" i="28"/>
  <c r="Q347" i="28"/>
  <c r="P347" i="28"/>
  <c r="O347" i="28"/>
  <c r="N347" i="28"/>
  <c r="M347" i="28"/>
  <c r="L347" i="28"/>
  <c r="K347" i="28"/>
  <c r="J347" i="28"/>
  <c r="I347" i="28"/>
  <c r="H347" i="28"/>
  <c r="G347" i="28"/>
  <c r="F347" i="28"/>
  <c r="E347" i="28"/>
  <c r="D347" i="28"/>
  <c r="C347" i="28"/>
  <c r="Q346" i="28"/>
  <c r="P346" i="28"/>
  <c r="O346" i="28"/>
  <c r="N346" i="28"/>
  <c r="M346" i="28"/>
  <c r="L346" i="28"/>
  <c r="K346" i="28"/>
  <c r="J346" i="28"/>
  <c r="I346" i="28"/>
  <c r="H346" i="28"/>
  <c r="G346" i="28"/>
  <c r="F346" i="28"/>
  <c r="E346" i="28"/>
  <c r="D346" i="28"/>
  <c r="C346" i="28"/>
  <c r="Q345" i="28"/>
  <c r="P345" i="28"/>
  <c r="O345" i="28"/>
  <c r="N345" i="28"/>
  <c r="M345" i="28"/>
  <c r="L345" i="28"/>
  <c r="K345" i="28"/>
  <c r="J345" i="28"/>
  <c r="I345" i="28"/>
  <c r="H345" i="28"/>
  <c r="G345" i="28"/>
  <c r="F345" i="28"/>
  <c r="E345" i="28"/>
  <c r="D345" i="28"/>
  <c r="C345" i="28"/>
  <c r="Q344" i="28"/>
  <c r="P344" i="28"/>
  <c r="O344" i="28"/>
  <c r="N344" i="28"/>
  <c r="M344" i="28"/>
  <c r="L344" i="28"/>
  <c r="K344" i="28"/>
  <c r="J344" i="28"/>
  <c r="I344" i="28"/>
  <c r="H344" i="28"/>
  <c r="G344" i="28"/>
  <c r="F344" i="28"/>
  <c r="E344" i="28"/>
  <c r="D344" i="28"/>
  <c r="C344" i="28"/>
  <c r="Q343" i="28"/>
  <c r="P343" i="28"/>
  <c r="O343" i="28"/>
  <c r="N343" i="28"/>
  <c r="M343" i="28"/>
  <c r="L343" i="28"/>
  <c r="K343" i="28"/>
  <c r="J343" i="28"/>
  <c r="I343" i="28"/>
  <c r="H343" i="28"/>
  <c r="G343" i="28"/>
  <c r="F343" i="28"/>
  <c r="E343" i="28"/>
  <c r="D343" i="28"/>
  <c r="C343" i="28"/>
  <c r="Q342" i="28"/>
  <c r="P342" i="28"/>
  <c r="O342" i="28"/>
  <c r="N342" i="28"/>
  <c r="M342" i="28"/>
  <c r="L342" i="28"/>
  <c r="K342" i="28"/>
  <c r="J342" i="28"/>
  <c r="I342" i="28"/>
  <c r="H342" i="28"/>
  <c r="G342" i="28"/>
  <c r="F342" i="28"/>
  <c r="E342" i="28"/>
  <c r="D342" i="28"/>
  <c r="C342" i="28"/>
  <c r="Q341" i="28"/>
  <c r="P341" i="28"/>
  <c r="O341" i="28"/>
  <c r="N341" i="28"/>
  <c r="M341" i="28"/>
  <c r="L341" i="28"/>
  <c r="K341" i="28"/>
  <c r="J341" i="28"/>
  <c r="I341" i="28"/>
  <c r="H341" i="28"/>
  <c r="G341" i="28"/>
  <c r="F341" i="28"/>
  <c r="E341" i="28"/>
  <c r="D341" i="28"/>
  <c r="C341" i="28"/>
  <c r="Q340" i="28"/>
  <c r="P340" i="28"/>
  <c r="O340" i="28"/>
  <c r="N340" i="28"/>
  <c r="M340" i="28"/>
  <c r="L340" i="28"/>
  <c r="K340" i="28"/>
  <c r="J340" i="28"/>
  <c r="I340" i="28"/>
  <c r="H340" i="28"/>
  <c r="G340" i="28"/>
  <c r="F340" i="28"/>
  <c r="E340" i="28"/>
  <c r="D340" i="28"/>
  <c r="C340" i="28"/>
  <c r="Q339" i="28"/>
  <c r="P339" i="28"/>
  <c r="O339" i="28"/>
  <c r="N339" i="28"/>
  <c r="M339" i="28"/>
  <c r="L339" i="28"/>
  <c r="K339" i="28"/>
  <c r="J339" i="28"/>
  <c r="I339" i="28"/>
  <c r="H339" i="28"/>
  <c r="G339" i="28"/>
  <c r="F339" i="28"/>
  <c r="E339" i="28"/>
  <c r="D339" i="28"/>
  <c r="C339" i="28"/>
  <c r="Q338" i="28"/>
  <c r="P338" i="28"/>
  <c r="O338" i="28"/>
  <c r="N338" i="28"/>
  <c r="M338" i="28"/>
  <c r="L338" i="28"/>
  <c r="K338" i="28"/>
  <c r="J338" i="28"/>
  <c r="I338" i="28"/>
  <c r="H338" i="28"/>
  <c r="G338" i="28"/>
  <c r="F338" i="28"/>
  <c r="E338" i="28"/>
  <c r="D338" i="28"/>
  <c r="C338" i="28"/>
  <c r="Q337" i="28"/>
  <c r="P337" i="28"/>
  <c r="O337" i="28"/>
  <c r="N337" i="28"/>
  <c r="M337" i="28"/>
  <c r="L337" i="28"/>
  <c r="K337" i="28"/>
  <c r="J337" i="28"/>
  <c r="I337" i="28"/>
  <c r="H337" i="28"/>
  <c r="G337" i="28"/>
  <c r="F337" i="28"/>
  <c r="E337" i="28"/>
  <c r="D337" i="28"/>
  <c r="C337" i="28"/>
  <c r="Q336" i="28"/>
  <c r="P336" i="28"/>
  <c r="O336" i="28"/>
  <c r="N336" i="28"/>
  <c r="M336" i="28"/>
  <c r="L336" i="28"/>
  <c r="K336" i="28"/>
  <c r="J336" i="28"/>
  <c r="I336" i="28"/>
  <c r="H336" i="28"/>
  <c r="G336" i="28"/>
  <c r="F336" i="28"/>
  <c r="E336" i="28"/>
  <c r="D336" i="28"/>
  <c r="C336" i="28"/>
  <c r="Q335" i="28"/>
  <c r="P335" i="28"/>
  <c r="O335" i="28"/>
  <c r="N335" i="28"/>
  <c r="M335" i="28"/>
  <c r="L335" i="28"/>
  <c r="K335" i="28"/>
  <c r="J335" i="28"/>
  <c r="I335" i="28"/>
  <c r="H335" i="28"/>
  <c r="G335" i="28"/>
  <c r="F335" i="28"/>
  <c r="E335" i="28"/>
  <c r="D335" i="28"/>
  <c r="C335" i="28"/>
  <c r="Q334" i="28"/>
  <c r="P334" i="28"/>
  <c r="O334" i="28"/>
  <c r="N334" i="28"/>
  <c r="M334" i="28"/>
  <c r="L334" i="28"/>
  <c r="K334" i="28"/>
  <c r="J334" i="28"/>
  <c r="I334" i="28"/>
  <c r="H334" i="28"/>
  <c r="G334" i="28"/>
  <c r="F334" i="28"/>
  <c r="E334" i="28"/>
  <c r="D334" i="28"/>
  <c r="C334" i="28"/>
  <c r="Q333" i="28"/>
  <c r="P333" i="28"/>
  <c r="O333" i="28"/>
  <c r="N333" i="28"/>
  <c r="M333" i="28"/>
  <c r="L333" i="28"/>
  <c r="K333" i="28"/>
  <c r="J333" i="28"/>
  <c r="I333" i="28"/>
  <c r="H333" i="28"/>
  <c r="G333" i="28"/>
  <c r="F333" i="28"/>
  <c r="E333" i="28"/>
  <c r="D333" i="28"/>
  <c r="C333" i="28"/>
  <c r="Q332" i="28"/>
  <c r="P332" i="28"/>
  <c r="O332" i="28"/>
  <c r="N332" i="28"/>
  <c r="M332" i="28"/>
  <c r="L332" i="28"/>
  <c r="K332" i="28"/>
  <c r="J332" i="28"/>
  <c r="I332" i="28"/>
  <c r="H332" i="28"/>
  <c r="G332" i="28"/>
  <c r="F332" i="28"/>
  <c r="E332" i="28"/>
  <c r="D332" i="28"/>
  <c r="C332" i="28"/>
  <c r="Q331" i="28"/>
  <c r="P331" i="28"/>
  <c r="O331" i="28"/>
  <c r="N331" i="28"/>
  <c r="M331" i="28"/>
  <c r="L331" i="28"/>
  <c r="K331" i="28"/>
  <c r="J331" i="28"/>
  <c r="I331" i="28"/>
  <c r="H331" i="28"/>
  <c r="G331" i="28"/>
  <c r="F331" i="28"/>
  <c r="E331" i="28"/>
  <c r="D331" i="28"/>
  <c r="C331" i="28"/>
  <c r="Q330" i="28"/>
  <c r="P330" i="28"/>
  <c r="O330" i="28"/>
  <c r="N330" i="28"/>
  <c r="M330" i="28"/>
  <c r="L330" i="28"/>
  <c r="K330" i="28"/>
  <c r="J330" i="28"/>
  <c r="I330" i="28"/>
  <c r="H330" i="28"/>
  <c r="G330" i="28"/>
  <c r="F330" i="28"/>
  <c r="E330" i="28"/>
  <c r="D330" i="28"/>
  <c r="C330" i="28"/>
  <c r="Q329" i="28"/>
  <c r="P329" i="28"/>
  <c r="O329" i="28"/>
  <c r="N329" i="28"/>
  <c r="M329" i="28"/>
  <c r="L329" i="28"/>
  <c r="K329" i="28"/>
  <c r="J329" i="28"/>
  <c r="I329" i="28"/>
  <c r="H329" i="28"/>
  <c r="G329" i="28"/>
  <c r="F329" i="28"/>
  <c r="E329" i="28"/>
  <c r="D329" i="28"/>
  <c r="C329" i="28"/>
  <c r="Q328" i="28"/>
  <c r="P328" i="28"/>
  <c r="O328" i="28"/>
  <c r="N328" i="28"/>
  <c r="M328" i="28"/>
  <c r="L328" i="28"/>
  <c r="K328" i="28"/>
  <c r="J328" i="28"/>
  <c r="I328" i="28"/>
  <c r="H328" i="28"/>
  <c r="G328" i="28"/>
  <c r="F328" i="28"/>
  <c r="E328" i="28"/>
  <c r="D328" i="28"/>
  <c r="C328" i="28"/>
  <c r="Q327" i="28"/>
  <c r="P327" i="28"/>
  <c r="O327" i="28"/>
  <c r="N327" i="28"/>
  <c r="M327" i="28"/>
  <c r="L327" i="28"/>
  <c r="K327" i="28"/>
  <c r="J327" i="28"/>
  <c r="I327" i="28"/>
  <c r="H327" i="28"/>
  <c r="G327" i="28"/>
  <c r="F327" i="28"/>
  <c r="E327" i="28"/>
  <c r="D327" i="28"/>
  <c r="C327" i="28"/>
  <c r="Q326" i="28"/>
  <c r="P326" i="28"/>
  <c r="O326" i="28"/>
  <c r="N326" i="28"/>
  <c r="M326" i="28"/>
  <c r="L326" i="28"/>
  <c r="K326" i="28"/>
  <c r="J326" i="28"/>
  <c r="I326" i="28"/>
  <c r="H326" i="28"/>
  <c r="G326" i="28"/>
  <c r="F326" i="28"/>
  <c r="E326" i="28"/>
  <c r="D326" i="28"/>
  <c r="C326" i="28"/>
  <c r="Q325" i="28"/>
  <c r="P325" i="28"/>
  <c r="O325" i="28"/>
  <c r="N325" i="28"/>
  <c r="M325" i="28"/>
  <c r="L325" i="28"/>
  <c r="K325" i="28"/>
  <c r="J325" i="28"/>
  <c r="I325" i="28"/>
  <c r="H325" i="28"/>
  <c r="G325" i="28"/>
  <c r="F325" i="28"/>
  <c r="E325" i="28"/>
  <c r="D325" i="28"/>
  <c r="C325" i="28"/>
  <c r="Q324" i="28"/>
  <c r="P324" i="28"/>
  <c r="O324" i="28"/>
  <c r="N324" i="28"/>
  <c r="M324" i="28"/>
  <c r="L324" i="28"/>
  <c r="K324" i="28"/>
  <c r="J324" i="28"/>
  <c r="I324" i="28"/>
  <c r="H324" i="28"/>
  <c r="G324" i="28"/>
  <c r="F324" i="28"/>
  <c r="E324" i="28"/>
  <c r="D324" i="28"/>
  <c r="C324" i="28"/>
  <c r="Q323" i="28"/>
  <c r="P323" i="28"/>
  <c r="O323" i="28"/>
  <c r="N323" i="28"/>
  <c r="M323" i="28"/>
  <c r="L323" i="28"/>
  <c r="K323" i="28"/>
  <c r="J323" i="28"/>
  <c r="I323" i="28"/>
  <c r="H323" i="28"/>
  <c r="G323" i="28"/>
  <c r="F323" i="28"/>
  <c r="E323" i="28"/>
  <c r="D323" i="28"/>
  <c r="C323" i="28"/>
  <c r="Q322" i="28"/>
  <c r="P322" i="28"/>
  <c r="O322" i="28"/>
  <c r="N322" i="28"/>
  <c r="M322" i="28"/>
  <c r="L322" i="28"/>
  <c r="K322" i="28"/>
  <c r="J322" i="28"/>
  <c r="I322" i="28"/>
  <c r="H322" i="28"/>
  <c r="G322" i="28"/>
  <c r="F322" i="28"/>
  <c r="E322" i="28"/>
  <c r="D322" i="28"/>
  <c r="C322" i="28"/>
  <c r="Q321" i="28"/>
  <c r="P321" i="28"/>
  <c r="O321" i="28"/>
  <c r="N321" i="28"/>
  <c r="M321" i="28"/>
  <c r="L321" i="28"/>
  <c r="K321" i="28"/>
  <c r="J321" i="28"/>
  <c r="I321" i="28"/>
  <c r="H321" i="28"/>
  <c r="G321" i="28"/>
  <c r="F321" i="28"/>
  <c r="E321" i="28"/>
  <c r="D321" i="28"/>
  <c r="C321" i="28"/>
  <c r="Q320" i="28"/>
  <c r="P320" i="28"/>
  <c r="O320" i="28"/>
  <c r="N320" i="28"/>
  <c r="M320" i="28"/>
  <c r="L320" i="28"/>
  <c r="K320" i="28"/>
  <c r="J320" i="28"/>
  <c r="I320" i="28"/>
  <c r="H320" i="28"/>
  <c r="G320" i="28"/>
  <c r="F320" i="28"/>
  <c r="E320" i="28"/>
  <c r="D320" i="28"/>
  <c r="C320" i="28"/>
  <c r="Q319" i="28"/>
  <c r="P319" i="28"/>
  <c r="O319" i="28"/>
  <c r="N319" i="28"/>
  <c r="M319" i="28"/>
  <c r="L319" i="28"/>
  <c r="K319" i="28"/>
  <c r="J319" i="28"/>
  <c r="I319" i="28"/>
  <c r="H319" i="28"/>
  <c r="G319" i="28"/>
  <c r="F319" i="28"/>
  <c r="E319" i="28"/>
  <c r="D319" i="28"/>
  <c r="C319" i="28"/>
  <c r="Q318" i="28"/>
  <c r="P318" i="28"/>
  <c r="O318" i="28"/>
  <c r="N318" i="28"/>
  <c r="M318" i="28"/>
  <c r="L318" i="28"/>
  <c r="K318" i="28"/>
  <c r="J318" i="28"/>
  <c r="I318" i="28"/>
  <c r="H318" i="28"/>
  <c r="G318" i="28"/>
  <c r="F318" i="28"/>
  <c r="E318" i="28"/>
  <c r="D318" i="28"/>
  <c r="C318" i="28"/>
  <c r="Q317" i="28"/>
  <c r="P317" i="28"/>
  <c r="O317" i="28"/>
  <c r="N317" i="28"/>
  <c r="M317" i="28"/>
  <c r="L317" i="28"/>
  <c r="K317" i="28"/>
  <c r="J317" i="28"/>
  <c r="I317" i="28"/>
  <c r="H317" i="28"/>
  <c r="G317" i="28"/>
  <c r="F317" i="28"/>
  <c r="E317" i="28"/>
  <c r="D317" i="28"/>
  <c r="C317" i="28"/>
  <c r="Q316" i="28"/>
  <c r="P316" i="28"/>
  <c r="O316" i="28"/>
  <c r="N316" i="28"/>
  <c r="M316" i="28"/>
  <c r="L316" i="28"/>
  <c r="K316" i="28"/>
  <c r="J316" i="28"/>
  <c r="I316" i="28"/>
  <c r="H316" i="28"/>
  <c r="G316" i="28"/>
  <c r="F316" i="28"/>
  <c r="E316" i="28"/>
  <c r="D316" i="28"/>
  <c r="C316" i="28"/>
  <c r="Q315" i="28"/>
  <c r="P315" i="28"/>
  <c r="O315" i="28"/>
  <c r="N315" i="28"/>
  <c r="M315" i="28"/>
  <c r="L315" i="28"/>
  <c r="K315" i="28"/>
  <c r="J315" i="28"/>
  <c r="I315" i="28"/>
  <c r="H315" i="28"/>
  <c r="G315" i="28"/>
  <c r="F315" i="28"/>
  <c r="E315" i="28"/>
  <c r="D315" i="28"/>
  <c r="C315" i="28"/>
  <c r="Q314" i="28"/>
  <c r="P314" i="28"/>
  <c r="O314" i="28"/>
  <c r="N314" i="28"/>
  <c r="M314" i="28"/>
  <c r="L314" i="28"/>
  <c r="K314" i="28"/>
  <c r="J314" i="28"/>
  <c r="I314" i="28"/>
  <c r="H314" i="28"/>
  <c r="G314" i="28"/>
  <c r="F314" i="28"/>
  <c r="E314" i="28"/>
  <c r="D314" i="28"/>
  <c r="C314" i="28"/>
  <c r="Q313" i="28"/>
  <c r="P313" i="28"/>
  <c r="O313" i="28"/>
  <c r="N313" i="28"/>
  <c r="M313" i="28"/>
  <c r="L313" i="28"/>
  <c r="K313" i="28"/>
  <c r="J313" i="28"/>
  <c r="I313" i="28"/>
  <c r="H313" i="28"/>
  <c r="G313" i="28"/>
  <c r="F313" i="28"/>
  <c r="E313" i="28"/>
  <c r="D313" i="28"/>
  <c r="C313" i="28"/>
  <c r="Q312" i="28"/>
  <c r="P312" i="28"/>
  <c r="O312" i="28"/>
  <c r="N312" i="28"/>
  <c r="M312" i="28"/>
  <c r="L312" i="28"/>
  <c r="K312" i="28"/>
  <c r="J312" i="28"/>
  <c r="I312" i="28"/>
  <c r="H312" i="28"/>
  <c r="G312" i="28"/>
  <c r="F312" i="28"/>
  <c r="E312" i="28"/>
  <c r="D312" i="28"/>
  <c r="C312" i="28"/>
  <c r="Q311" i="28"/>
  <c r="P311" i="28"/>
  <c r="O311" i="28"/>
  <c r="N311" i="28"/>
  <c r="M311" i="28"/>
  <c r="L311" i="28"/>
  <c r="K311" i="28"/>
  <c r="J311" i="28"/>
  <c r="I311" i="28"/>
  <c r="H311" i="28"/>
  <c r="G311" i="28"/>
  <c r="F311" i="28"/>
  <c r="E311" i="28"/>
  <c r="D311" i="28"/>
  <c r="C311" i="28"/>
  <c r="Q310" i="28"/>
  <c r="P310" i="28"/>
  <c r="O310" i="28"/>
  <c r="N310" i="28"/>
  <c r="M310" i="28"/>
  <c r="L310" i="28"/>
  <c r="K310" i="28"/>
  <c r="J310" i="28"/>
  <c r="I310" i="28"/>
  <c r="H310" i="28"/>
  <c r="G310" i="28"/>
  <c r="F310" i="28"/>
  <c r="E310" i="28"/>
  <c r="D310" i="28"/>
  <c r="C310" i="28"/>
  <c r="Q309" i="28"/>
  <c r="P309" i="28"/>
  <c r="O309" i="28"/>
  <c r="N309" i="28"/>
  <c r="M309" i="28"/>
  <c r="L309" i="28"/>
  <c r="K309" i="28"/>
  <c r="J309" i="28"/>
  <c r="I309" i="28"/>
  <c r="H309" i="28"/>
  <c r="G309" i="28"/>
  <c r="F309" i="28"/>
  <c r="E309" i="28"/>
  <c r="D309" i="28"/>
  <c r="C309" i="28"/>
  <c r="Q308" i="28"/>
  <c r="P308" i="28"/>
  <c r="O308" i="28"/>
  <c r="N308" i="28"/>
  <c r="M308" i="28"/>
  <c r="L308" i="28"/>
  <c r="K308" i="28"/>
  <c r="J308" i="28"/>
  <c r="I308" i="28"/>
  <c r="H308" i="28"/>
  <c r="G308" i="28"/>
  <c r="F308" i="28"/>
  <c r="E308" i="28"/>
  <c r="D308" i="28"/>
  <c r="C308" i="28"/>
  <c r="Q307" i="28"/>
  <c r="P307" i="28"/>
  <c r="O307" i="28"/>
  <c r="N307" i="28"/>
  <c r="M307" i="28"/>
  <c r="L307" i="28"/>
  <c r="K307" i="28"/>
  <c r="J307" i="28"/>
  <c r="I307" i="28"/>
  <c r="H307" i="28"/>
  <c r="G307" i="28"/>
  <c r="F307" i="28"/>
  <c r="E307" i="28"/>
  <c r="D307" i="28"/>
  <c r="C307" i="28"/>
  <c r="Q306" i="28"/>
  <c r="P306" i="28"/>
  <c r="O306" i="28"/>
  <c r="N306" i="28"/>
  <c r="M306" i="28"/>
  <c r="L306" i="28"/>
  <c r="K306" i="28"/>
  <c r="J306" i="28"/>
  <c r="I306" i="28"/>
  <c r="H306" i="28"/>
  <c r="G306" i="28"/>
  <c r="F306" i="28"/>
  <c r="E306" i="28"/>
  <c r="D306" i="28"/>
  <c r="C306" i="28"/>
  <c r="Q305" i="28"/>
  <c r="P305" i="28"/>
  <c r="O305" i="28"/>
  <c r="N305" i="28"/>
  <c r="M305" i="28"/>
  <c r="L305" i="28"/>
  <c r="K305" i="28"/>
  <c r="J305" i="28"/>
  <c r="I305" i="28"/>
  <c r="H305" i="28"/>
  <c r="G305" i="28"/>
  <c r="F305" i="28"/>
  <c r="E305" i="28"/>
  <c r="D305" i="28"/>
  <c r="C305" i="28"/>
  <c r="Q304" i="28"/>
  <c r="P304" i="28"/>
  <c r="O304" i="28"/>
  <c r="N304" i="28"/>
  <c r="M304" i="28"/>
  <c r="L304" i="28"/>
  <c r="K304" i="28"/>
  <c r="J304" i="28"/>
  <c r="I304" i="28"/>
  <c r="H304" i="28"/>
  <c r="G304" i="28"/>
  <c r="F304" i="28"/>
  <c r="E304" i="28"/>
  <c r="D304" i="28"/>
  <c r="C304" i="28"/>
  <c r="Q303" i="28"/>
  <c r="P303" i="28"/>
  <c r="O303" i="28"/>
  <c r="N303" i="28"/>
  <c r="M303" i="28"/>
  <c r="L303" i="28"/>
  <c r="K303" i="28"/>
  <c r="J303" i="28"/>
  <c r="I303" i="28"/>
  <c r="H303" i="28"/>
  <c r="G303" i="28"/>
  <c r="F303" i="28"/>
  <c r="E303" i="28"/>
  <c r="D303" i="28"/>
  <c r="C303" i="28"/>
  <c r="Q302" i="28"/>
  <c r="P302" i="28"/>
  <c r="O302" i="28"/>
  <c r="N302" i="28"/>
  <c r="M302" i="28"/>
  <c r="L302" i="28"/>
  <c r="K302" i="28"/>
  <c r="J302" i="28"/>
  <c r="I302" i="28"/>
  <c r="H302" i="28"/>
  <c r="G302" i="28"/>
  <c r="F302" i="28"/>
  <c r="E302" i="28"/>
  <c r="D302" i="28"/>
  <c r="C302" i="28"/>
  <c r="Q301" i="28"/>
  <c r="P301" i="28"/>
  <c r="O301" i="28"/>
  <c r="N301" i="28"/>
  <c r="M301" i="28"/>
  <c r="L301" i="28"/>
  <c r="K301" i="28"/>
  <c r="J301" i="28"/>
  <c r="I301" i="28"/>
  <c r="H301" i="28"/>
  <c r="G301" i="28"/>
  <c r="F301" i="28"/>
  <c r="E301" i="28"/>
  <c r="D301" i="28"/>
  <c r="C301" i="28"/>
  <c r="Q300" i="28"/>
  <c r="P300" i="28"/>
  <c r="O300" i="28"/>
  <c r="N300" i="28"/>
  <c r="M300" i="28"/>
  <c r="L300" i="28"/>
  <c r="K300" i="28"/>
  <c r="J300" i="28"/>
  <c r="I300" i="28"/>
  <c r="H300" i="28"/>
  <c r="G300" i="28"/>
  <c r="F300" i="28"/>
  <c r="E300" i="28"/>
  <c r="D300" i="28"/>
  <c r="C300" i="28"/>
  <c r="Q299" i="28"/>
  <c r="P299" i="28"/>
  <c r="O299" i="28"/>
  <c r="N299" i="28"/>
  <c r="M299" i="28"/>
  <c r="L299" i="28"/>
  <c r="K299" i="28"/>
  <c r="J299" i="28"/>
  <c r="I299" i="28"/>
  <c r="H299" i="28"/>
  <c r="G299" i="28"/>
  <c r="F299" i="28"/>
  <c r="E299" i="28"/>
  <c r="D299" i="28"/>
  <c r="C299" i="28"/>
  <c r="Q298" i="28"/>
  <c r="P298" i="28"/>
  <c r="O298" i="28"/>
  <c r="N298" i="28"/>
  <c r="M298" i="28"/>
  <c r="L298" i="28"/>
  <c r="K298" i="28"/>
  <c r="J298" i="28"/>
  <c r="I298" i="28"/>
  <c r="H298" i="28"/>
  <c r="G298" i="28"/>
  <c r="F298" i="28"/>
  <c r="E298" i="28"/>
  <c r="D298" i="28"/>
  <c r="C298" i="28"/>
  <c r="Q297" i="28"/>
  <c r="P297" i="28"/>
  <c r="O297" i="28"/>
  <c r="N297" i="28"/>
  <c r="M297" i="28"/>
  <c r="L297" i="28"/>
  <c r="K297" i="28"/>
  <c r="J297" i="28"/>
  <c r="I297" i="28"/>
  <c r="H297" i="28"/>
  <c r="G297" i="28"/>
  <c r="F297" i="28"/>
  <c r="E297" i="28"/>
  <c r="D297" i="28"/>
  <c r="C297" i="28"/>
  <c r="AE296" i="28"/>
  <c r="AD296" i="28"/>
  <c r="AC296" i="28"/>
  <c r="M295" i="28" s="1"/>
  <c r="AB296" i="28"/>
  <c r="AA296" i="28"/>
  <c r="K296" i="28" s="1"/>
  <c r="Z296" i="28"/>
  <c r="J296" i="28" s="1"/>
  <c r="Y296" i="28"/>
  <c r="I296" i="28" s="1"/>
  <c r="X296" i="28"/>
  <c r="W296" i="28"/>
  <c r="G292" i="28" s="1"/>
  <c r="V296" i="28"/>
  <c r="F296" i="28" s="1"/>
  <c r="U296" i="28"/>
  <c r="E295" i="28" s="1"/>
  <c r="T296" i="28"/>
  <c r="S296" i="28"/>
  <c r="C296" i="28" s="1"/>
  <c r="Q296" i="28"/>
  <c r="P296" i="28"/>
  <c r="O296" i="28"/>
  <c r="N296" i="28"/>
  <c r="G296" i="28"/>
  <c r="AE295" i="28"/>
  <c r="AD295" i="28"/>
  <c r="AC295" i="28"/>
  <c r="AB295" i="28"/>
  <c r="AA295" i="28"/>
  <c r="Z295" i="28"/>
  <c r="Y295" i="28"/>
  <c r="X295" i="28"/>
  <c r="W295" i="28"/>
  <c r="V295" i="28"/>
  <c r="U295" i="28"/>
  <c r="T295" i="28"/>
  <c r="S295" i="28"/>
  <c r="Q295" i="28"/>
  <c r="P295" i="28"/>
  <c r="O295" i="28"/>
  <c r="K295" i="28"/>
  <c r="J295" i="28"/>
  <c r="G295" i="28"/>
  <c r="F295" i="28"/>
  <c r="AE294" i="28"/>
  <c r="AD294" i="28"/>
  <c r="AC294" i="28"/>
  <c r="AB294" i="28"/>
  <c r="AA294" i="28"/>
  <c r="Z294" i="28"/>
  <c r="Y294" i="28"/>
  <c r="X294" i="28"/>
  <c r="W294" i="28"/>
  <c r="V294" i="28"/>
  <c r="U294" i="28"/>
  <c r="T294" i="28"/>
  <c r="S294" i="28"/>
  <c r="Q294" i="28"/>
  <c r="P294" i="28"/>
  <c r="O294" i="28"/>
  <c r="AE293" i="28"/>
  <c r="AD293" i="28"/>
  <c r="AC293" i="28"/>
  <c r="AB293" i="28"/>
  <c r="AA293" i="28"/>
  <c r="Z293" i="28"/>
  <c r="Y293" i="28"/>
  <c r="X293" i="28"/>
  <c r="W293" i="28"/>
  <c r="V293" i="28"/>
  <c r="U293" i="28"/>
  <c r="T293" i="28"/>
  <c r="S293" i="28"/>
  <c r="Q293" i="28"/>
  <c r="P293" i="28"/>
  <c r="O293" i="28"/>
  <c r="K293" i="28"/>
  <c r="J293" i="28"/>
  <c r="G293" i="28"/>
  <c r="F293" i="28"/>
  <c r="AE292" i="28"/>
  <c r="AD292" i="28"/>
  <c r="AC292" i="28"/>
  <c r="AB292" i="28"/>
  <c r="AA292" i="28"/>
  <c r="Z292" i="28"/>
  <c r="Y292" i="28"/>
  <c r="X292" i="28"/>
  <c r="W292" i="28"/>
  <c r="V292" i="28"/>
  <c r="U292" i="28"/>
  <c r="T292" i="28"/>
  <c r="S292" i="28"/>
  <c r="Q292" i="28"/>
  <c r="P292" i="28"/>
  <c r="O292" i="28"/>
  <c r="AE291" i="28"/>
  <c r="AD291" i="28"/>
  <c r="AC291" i="28"/>
  <c r="AB291" i="28"/>
  <c r="AA291" i="28"/>
  <c r="Z291" i="28"/>
  <c r="Y291" i="28"/>
  <c r="X291" i="28"/>
  <c r="W291" i="28"/>
  <c r="V291" i="28"/>
  <c r="U291" i="28"/>
  <c r="T291" i="28"/>
  <c r="S291" i="28"/>
  <c r="Q291" i="28"/>
  <c r="P291" i="28"/>
  <c r="O291" i="28"/>
  <c r="K291" i="28"/>
  <c r="J291" i="28"/>
  <c r="F291" i="28"/>
  <c r="C291" i="28"/>
  <c r="Q290" i="28"/>
  <c r="P290" i="28"/>
  <c r="O290" i="28"/>
  <c r="N290" i="28"/>
  <c r="M290" i="28"/>
  <c r="L290" i="28"/>
  <c r="K290" i="28"/>
  <c r="J290" i="28"/>
  <c r="I290" i="28"/>
  <c r="H290" i="28"/>
  <c r="G290" i="28"/>
  <c r="F290" i="28"/>
  <c r="E290" i="28"/>
  <c r="D290" i="28"/>
  <c r="C290" i="28"/>
  <c r="Q289" i="28"/>
  <c r="P289" i="28"/>
  <c r="O289" i="28"/>
  <c r="N289" i="28"/>
  <c r="M289" i="28"/>
  <c r="L289" i="28"/>
  <c r="K289" i="28"/>
  <c r="J289" i="28"/>
  <c r="I289" i="28"/>
  <c r="H289" i="28"/>
  <c r="G289" i="28"/>
  <c r="F289" i="28"/>
  <c r="E289" i="28"/>
  <c r="D289" i="28"/>
  <c r="C289" i="28"/>
  <c r="Q288" i="28"/>
  <c r="P288" i="28"/>
  <c r="O288" i="28"/>
  <c r="N288" i="28"/>
  <c r="M288" i="28"/>
  <c r="L288" i="28"/>
  <c r="K288" i="28"/>
  <c r="J288" i="28"/>
  <c r="I288" i="28"/>
  <c r="H288" i="28"/>
  <c r="G288" i="28"/>
  <c r="F288" i="28"/>
  <c r="E288" i="28"/>
  <c r="D288" i="28"/>
  <c r="C288" i="28"/>
  <c r="Q287" i="28"/>
  <c r="P287" i="28"/>
  <c r="O287" i="28"/>
  <c r="N287" i="28"/>
  <c r="M287" i="28"/>
  <c r="L287" i="28"/>
  <c r="K287" i="28"/>
  <c r="J287" i="28"/>
  <c r="I287" i="28"/>
  <c r="H287" i="28"/>
  <c r="G287" i="28"/>
  <c r="F287" i="28"/>
  <c r="E287" i="28"/>
  <c r="D287" i="28"/>
  <c r="C287" i="28"/>
  <c r="Q286" i="28"/>
  <c r="P286" i="28"/>
  <c r="O286" i="28"/>
  <c r="N286" i="28"/>
  <c r="M286" i="28"/>
  <c r="L286" i="28"/>
  <c r="K286" i="28"/>
  <c r="J286" i="28"/>
  <c r="I286" i="28"/>
  <c r="H286" i="28"/>
  <c r="G286" i="28"/>
  <c r="F286" i="28"/>
  <c r="E286" i="28"/>
  <c r="D286" i="28"/>
  <c r="C286" i="28"/>
  <c r="Q285" i="28"/>
  <c r="P285" i="28"/>
  <c r="O285" i="28"/>
  <c r="N285" i="28"/>
  <c r="M285" i="28"/>
  <c r="L285" i="28"/>
  <c r="K285" i="28"/>
  <c r="J285" i="28"/>
  <c r="I285" i="28"/>
  <c r="H285" i="28"/>
  <c r="G285" i="28"/>
  <c r="F285" i="28"/>
  <c r="E285" i="28"/>
  <c r="D285" i="28"/>
  <c r="C285" i="28"/>
  <c r="Q284" i="28"/>
  <c r="P284" i="28"/>
  <c r="O284" i="28"/>
  <c r="N284" i="28"/>
  <c r="M284" i="28"/>
  <c r="L284" i="28"/>
  <c r="K284" i="28"/>
  <c r="J284" i="28"/>
  <c r="I284" i="28"/>
  <c r="H284" i="28"/>
  <c r="G284" i="28"/>
  <c r="F284" i="28"/>
  <c r="E284" i="28"/>
  <c r="D284" i="28"/>
  <c r="C284" i="28"/>
  <c r="Q283" i="28"/>
  <c r="P283" i="28"/>
  <c r="O283" i="28"/>
  <c r="N283" i="28"/>
  <c r="M283" i="28"/>
  <c r="L283" i="28"/>
  <c r="K283" i="28"/>
  <c r="J283" i="28"/>
  <c r="I283" i="28"/>
  <c r="H283" i="28"/>
  <c r="G283" i="28"/>
  <c r="F283" i="28"/>
  <c r="E283" i="28"/>
  <c r="D283" i="28"/>
  <c r="C283" i="28"/>
  <c r="Q282" i="28"/>
  <c r="P282" i="28"/>
  <c r="O282" i="28"/>
  <c r="N282" i="28"/>
  <c r="M282" i="28"/>
  <c r="L282" i="28"/>
  <c r="K282" i="28"/>
  <c r="J282" i="28"/>
  <c r="I282" i="28"/>
  <c r="H282" i="28"/>
  <c r="G282" i="28"/>
  <c r="F282" i="28"/>
  <c r="E282" i="28"/>
  <c r="D282" i="28"/>
  <c r="C282" i="28"/>
  <c r="Q281" i="28"/>
  <c r="P281" i="28"/>
  <c r="O281" i="28"/>
  <c r="N281" i="28"/>
  <c r="M281" i="28"/>
  <c r="L281" i="28"/>
  <c r="K281" i="28"/>
  <c r="J281" i="28"/>
  <c r="I281" i="28"/>
  <c r="H281" i="28"/>
  <c r="G281" i="28"/>
  <c r="F281" i="28"/>
  <c r="E281" i="28"/>
  <c r="D281" i="28"/>
  <c r="C281" i="28"/>
  <c r="Q280" i="28"/>
  <c r="P280" i="28"/>
  <c r="O280" i="28"/>
  <c r="N280" i="28"/>
  <c r="M280" i="28"/>
  <c r="L280" i="28"/>
  <c r="K280" i="28"/>
  <c r="J280" i="28"/>
  <c r="I280" i="28"/>
  <c r="H280" i="28"/>
  <c r="G280" i="28"/>
  <c r="F280" i="28"/>
  <c r="E280" i="28"/>
  <c r="D280" i="28"/>
  <c r="C280" i="28"/>
  <c r="Q279" i="28"/>
  <c r="P279" i="28"/>
  <c r="O279" i="28"/>
  <c r="N279" i="28"/>
  <c r="M279" i="28"/>
  <c r="L279" i="28"/>
  <c r="K279" i="28"/>
  <c r="J279" i="28"/>
  <c r="I279" i="28"/>
  <c r="H279" i="28"/>
  <c r="G279" i="28"/>
  <c r="F279" i="28"/>
  <c r="E279" i="28"/>
  <c r="D279" i="28"/>
  <c r="C279" i="28"/>
  <c r="Q278" i="28"/>
  <c r="P278" i="28"/>
  <c r="O278" i="28"/>
  <c r="N278" i="28"/>
  <c r="M278" i="28"/>
  <c r="L278" i="28"/>
  <c r="K278" i="28"/>
  <c r="J278" i="28"/>
  <c r="I278" i="28"/>
  <c r="H278" i="28"/>
  <c r="G278" i="28"/>
  <c r="F278" i="28"/>
  <c r="E278" i="28"/>
  <c r="D278" i="28"/>
  <c r="C278" i="28"/>
  <c r="Q277" i="28"/>
  <c r="P277" i="28"/>
  <c r="O277" i="28"/>
  <c r="N277" i="28"/>
  <c r="M277" i="28"/>
  <c r="L277" i="28"/>
  <c r="K277" i="28"/>
  <c r="J277" i="28"/>
  <c r="I277" i="28"/>
  <c r="H277" i="28"/>
  <c r="G277" i="28"/>
  <c r="F277" i="28"/>
  <c r="E277" i="28"/>
  <c r="D277" i="28"/>
  <c r="C277" i="28"/>
  <c r="Q276" i="28"/>
  <c r="P276" i="28"/>
  <c r="O276" i="28"/>
  <c r="N276" i="28"/>
  <c r="M276" i="28"/>
  <c r="L276" i="28"/>
  <c r="K276" i="28"/>
  <c r="J276" i="28"/>
  <c r="I276" i="28"/>
  <c r="H276" i="28"/>
  <c r="G276" i="28"/>
  <c r="F276" i="28"/>
  <c r="E276" i="28"/>
  <c r="D276" i="28"/>
  <c r="C276" i="28"/>
  <c r="Q275" i="28"/>
  <c r="P275" i="28"/>
  <c r="O275" i="28"/>
  <c r="N275" i="28"/>
  <c r="M275" i="28"/>
  <c r="L275" i="28"/>
  <c r="K275" i="28"/>
  <c r="J275" i="28"/>
  <c r="I275" i="28"/>
  <c r="H275" i="28"/>
  <c r="G275" i="28"/>
  <c r="F275" i="28"/>
  <c r="E275" i="28"/>
  <c r="D275" i="28"/>
  <c r="C275" i="28"/>
  <c r="Q274" i="28"/>
  <c r="P274" i="28"/>
  <c r="O274" i="28"/>
  <c r="N274" i="28"/>
  <c r="M274" i="28"/>
  <c r="L274" i="28"/>
  <c r="K274" i="28"/>
  <c r="J274" i="28"/>
  <c r="I274" i="28"/>
  <c r="H274" i="28"/>
  <c r="G274" i="28"/>
  <c r="F274" i="28"/>
  <c r="E274" i="28"/>
  <c r="D274" i="28"/>
  <c r="C274" i="28"/>
  <c r="Q273" i="28"/>
  <c r="P273" i="28"/>
  <c r="O273" i="28"/>
  <c r="N273" i="28"/>
  <c r="M273" i="28"/>
  <c r="L273" i="28"/>
  <c r="K273" i="28"/>
  <c r="J273" i="28"/>
  <c r="I273" i="28"/>
  <c r="H273" i="28"/>
  <c r="G273" i="28"/>
  <c r="F273" i="28"/>
  <c r="E273" i="28"/>
  <c r="D273" i="28"/>
  <c r="C273" i="28"/>
  <c r="Q272" i="28"/>
  <c r="P272" i="28"/>
  <c r="O272" i="28"/>
  <c r="N272" i="28"/>
  <c r="M272" i="28"/>
  <c r="L272" i="28"/>
  <c r="K272" i="28"/>
  <c r="J272" i="28"/>
  <c r="I272" i="28"/>
  <c r="H272" i="28"/>
  <c r="G272" i="28"/>
  <c r="F272" i="28"/>
  <c r="E272" i="28"/>
  <c r="D272" i="28"/>
  <c r="C272" i="28"/>
  <c r="Q271" i="28"/>
  <c r="P271" i="28"/>
  <c r="O271" i="28"/>
  <c r="N271" i="28"/>
  <c r="M271" i="28"/>
  <c r="L271" i="28"/>
  <c r="K271" i="28"/>
  <c r="J271" i="28"/>
  <c r="I271" i="28"/>
  <c r="H271" i="28"/>
  <c r="G271" i="28"/>
  <c r="F271" i="28"/>
  <c r="E271" i="28"/>
  <c r="D271" i="28"/>
  <c r="C271" i="28"/>
  <c r="Q270" i="28"/>
  <c r="P270" i="28"/>
  <c r="O270" i="28"/>
  <c r="N270" i="28"/>
  <c r="M270" i="28"/>
  <c r="L270" i="28"/>
  <c r="K270" i="28"/>
  <c r="J270" i="28"/>
  <c r="I270" i="28"/>
  <c r="H270" i="28"/>
  <c r="G270" i="28"/>
  <c r="F270" i="28"/>
  <c r="E270" i="28"/>
  <c r="D270" i="28"/>
  <c r="C270" i="28"/>
  <c r="Q269" i="28"/>
  <c r="P269" i="28"/>
  <c r="O269" i="28"/>
  <c r="N269" i="28"/>
  <c r="M269" i="28"/>
  <c r="L269" i="28"/>
  <c r="K269" i="28"/>
  <c r="J269" i="28"/>
  <c r="I269" i="28"/>
  <c r="H269" i="28"/>
  <c r="G269" i="28"/>
  <c r="F269" i="28"/>
  <c r="E269" i="28"/>
  <c r="D269" i="28"/>
  <c r="C269" i="28"/>
  <c r="Q268" i="28"/>
  <c r="P268" i="28"/>
  <c r="O268" i="28"/>
  <c r="N268" i="28"/>
  <c r="M268" i="28"/>
  <c r="L268" i="28"/>
  <c r="K268" i="28"/>
  <c r="J268" i="28"/>
  <c r="I268" i="28"/>
  <c r="H268" i="28"/>
  <c r="G268" i="28"/>
  <c r="F268" i="28"/>
  <c r="E268" i="28"/>
  <c r="D268" i="28"/>
  <c r="C268" i="28"/>
  <c r="Q267" i="28"/>
  <c r="P267" i="28"/>
  <c r="O267" i="28"/>
  <c r="N267" i="28"/>
  <c r="M267" i="28"/>
  <c r="L267" i="28"/>
  <c r="K267" i="28"/>
  <c r="J267" i="28"/>
  <c r="I267" i="28"/>
  <c r="H267" i="28"/>
  <c r="G267" i="28"/>
  <c r="F267" i="28"/>
  <c r="E267" i="28"/>
  <c r="D267" i="28"/>
  <c r="C267" i="28"/>
  <c r="Q266" i="28"/>
  <c r="P266" i="28"/>
  <c r="O266" i="28"/>
  <c r="N266" i="28"/>
  <c r="M266" i="28"/>
  <c r="L266" i="28"/>
  <c r="K266" i="28"/>
  <c r="J266" i="28"/>
  <c r="I266" i="28"/>
  <c r="H266" i="28"/>
  <c r="G266" i="28"/>
  <c r="F266" i="28"/>
  <c r="E266" i="28"/>
  <c r="D266" i="28"/>
  <c r="C266" i="28"/>
  <c r="Q265" i="28"/>
  <c r="P265" i="28"/>
  <c r="O265" i="28"/>
  <c r="N265" i="28"/>
  <c r="M265" i="28"/>
  <c r="L265" i="28"/>
  <c r="K265" i="28"/>
  <c r="J265" i="28"/>
  <c r="I265" i="28"/>
  <c r="H265" i="28"/>
  <c r="G265" i="28"/>
  <c r="F265" i="28"/>
  <c r="E265" i="28"/>
  <c r="D265" i="28"/>
  <c r="C265" i="28"/>
  <c r="Q264" i="28"/>
  <c r="P264" i="28"/>
  <c r="O264" i="28"/>
  <c r="N264" i="28"/>
  <c r="M264" i="28"/>
  <c r="L264" i="28"/>
  <c r="K264" i="28"/>
  <c r="J264" i="28"/>
  <c r="I264" i="28"/>
  <c r="H264" i="28"/>
  <c r="G264" i="28"/>
  <c r="F264" i="28"/>
  <c r="E264" i="28"/>
  <c r="D264" i="28"/>
  <c r="C264" i="28"/>
  <c r="Q263" i="28"/>
  <c r="P263" i="28"/>
  <c r="O263" i="28"/>
  <c r="N263" i="28"/>
  <c r="M263" i="28"/>
  <c r="L263" i="28"/>
  <c r="K263" i="28"/>
  <c r="J263" i="28"/>
  <c r="I263" i="28"/>
  <c r="H263" i="28"/>
  <c r="G263" i="28"/>
  <c r="F263" i="28"/>
  <c r="E263" i="28"/>
  <c r="D263" i="28"/>
  <c r="C263" i="28"/>
  <c r="Q262" i="28"/>
  <c r="P262" i="28"/>
  <c r="O262" i="28"/>
  <c r="N262" i="28"/>
  <c r="M262" i="28"/>
  <c r="L262" i="28"/>
  <c r="K262" i="28"/>
  <c r="J262" i="28"/>
  <c r="I262" i="28"/>
  <c r="H262" i="28"/>
  <c r="G262" i="28"/>
  <c r="F262" i="28"/>
  <c r="E262" i="28"/>
  <c r="D262" i="28"/>
  <c r="C262" i="28"/>
  <c r="Q261" i="28"/>
  <c r="P261" i="28"/>
  <c r="O261" i="28"/>
  <c r="N261" i="28"/>
  <c r="M261" i="28"/>
  <c r="L261" i="28"/>
  <c r="K261" i="28"/>
  <c r="J261" i="28"/>
  <c r="I261" i="28"/>
  <c r="H261" i="28"/>
  <c r="G261" i="28"/>
  <c r="F261" i="28"/>
  <c r="E261" i="28"/>
  <c r="D261" i="28"/>
  <c r="C261" i="28"/>
  <c r="Q260" i="28"/>
  <c r="P260" i="28"/>
  <c r="O260" i="28"/>
  <c r="N260" i="28"/>
  <c r="M260" i="28"/>
  <c r="L260" i="28"/>
  <c r="K260" i="28"/>
  <c r="J260" i="28"/>
  <c r="I260" i="28"/>
  <c r="H260" i="28"/>
  <c r="G260" i="28"/>
  <c r="F260" i="28"/>
  <c r="E260" i="28"/>
  <c r="D260" i="28"/>
  <c r="C260" i="28"/>
  <c r="Q259" i="28"/>
  <c r="P259" i="28"/>
  <c r="O259" i="28"/>
  <c r="N259" i="28"/>
  <c r="M259" i="28"/>
  <c r="L259" i="28"/>
  <c r="K259" i="28"/>
  <c r="J259" i="28"/>
  <c r="I259" i="28"/>
  <c r="H259" i="28"/>
  <c r="G259" i="28"/>
  <c r="F259" i="28"/>
  <c r="E259" i="28"/>
  <c r="D259" i="28"/>
  <c r="C259" i="28"/>
  <c r="Q258" i="28"/>
  <c r="P258" i="28"/>
  <c r="O258" i="28"/>
  <c r="N258" i="28"/>
  <c r="M258" i="28"/>
  <c r="L258" i="28"/>
  <c r="K258" i="28"/>
  <c r="J258" i="28"/>
  <c r="I258" i="28"/>
  <c r="H258" i="28"/>
  <c r="G258" i="28"/>
  <c r="F258" i="28"/>
  <c r="E258" i="28"/>
  <c r="D258" i="28"/>
  <c r="C258" i="28"/>
  <c r="Q257" i="28"/>
  <c r="P257" i="28"/>
  <c r="O257" i="28"/>
  <c r="N257" i="28"/>
  <c r="M257" i="28"/>
  <c r="L257" i="28"/>
  <c r="K257" i="28"/>
  <c r="J257" i="28"/>
  <c r="I257" i="28"/>
  <c r="H257" i="28"/>
  <c r="G257" i="28"/>
  <c r="F257" i="28"/>
  <c r="E257" i="28"/>
  <c r="D257" i="28"/>
  <c r="C257" i="28"/>
  <c r="Q256" i="28"/>
  <c r="P256" i="28"/>
  <c r="O256" i="28"/>
  <c r="N256" i="28"/>
  <c r="M256" i="28"/>
  <c r="L256" i="28"/>
  <c r="K256" i="28"/>
  <c r="J256" i="28"/>
  <c r="I256" i="28"/>
  <c r="H256" i="28"/>
  <c r="G256" i="28"/>
  <c r="F256" i="28"/>
  <c r="E256" i="28"/>
  <c r="D256" i="28"/>
  <c r="C256" i="28"/>
  <c r="Q255" i="28"/>
  <c r="P255" i="28"/>
  <c r="O255" i="28"/>
  <c r="N255" i="28"/>
  <c r="M255" i="28"/>
  <c r="L255" i="28"/>
  <c r="K255" i="28"/>
  <c r="J255" i="28"/>
  <c r="I255" i="28"/>
  <c r="H255" i="28"/>
  <c r="G255" i="28"/>
  <c r="F255" i="28"/>
  <c r="E255" i="28"/>
  <c r="D255" i="28"/>
  <c r="C255" i="28"/>
  <c r="Q254" i="28"/>
  <c r="P254" i="28"/>
  <c r="O254" i="28"/>
  <c r="N254" i="28"/>
  <c r="M254" i="28"/>
  <c r="L254" i="28"/>
  <c r="K254" i="28"/>
  <c r="J254" i="28"/>
  <c r="I254" i="28"/>
  <c r="H254" i="28"/>
  <c r="G254" i="28"/>
  <c r="F254" i="28"/>
  <c r="E254" i="28"/>
  <c r="D254" i="28"/>
  <c r="C254" i="28"/>
  <c r="Q253" i="28"/>
  <c r="P253" i="28"/>
  <c r="O253" i="28"/>
  <c r="N253" i="28"/>
  <c r="M253" i="28"/>
  <c r="L253" i="28"/>
  <c r="K253" i="28"/>
  <c r="J253" i="28"/>
  <c r="I253" i="28"/>
  <c r="H253" i="28"/>
  <c r="G253" i="28"/>
  <c r="F253" i="28"/>
  <c r="E253" i="28"/>
  <c r="D253" i="28"/>
  <c r="C253" i="28"/>
  <c r="Q252" i="28"/>
  <c r="P252" i="28"/>
  <c r="O252" i="28"/>
  <c r="N252" i="28"/>
  <c r="M252" i="28"/>
  <c r="L252" i="28"/>
  <c r="K252" i="28"/>
  <c r="J252" i="28"/>
  <c r="I252" i="28"/>
  <c r="H252" i="28"/>
  <c r="G252" i="28"/>
  <c r="F252" i="28"/>
  <c r="E252" i="28"/>
  <c r="D252" i="28"/>
  <c r="C252" i="28"/>
  <c r="Q251" i="28"/>
  <c r="P251" i="28"/>
  <c r="O251" i="28"/>
  <c r="N251" i="28"/>
  <c r="M251" i="28"/>
  <c r="L251" i="28"/>
  <c r="K251" i="28"/>
  <c r="J251" i="28"/>
  <c r="I251" i="28"/>
  <c r="H251" i="28"/>
  <c r="G251" i="28"/>
  <c r="F251" i="28"/>
  <c r="E251" i="28"/>
  <c r="D251" i="28"/>
  <c r="C251" i="28"/>
  <c r="Q250" i="28"/>
  <c r="P250" i="28"/>
  <c r="O250" i="28"/>
  <c r="N250" i="28"/>
  <c r="M250" i="28"/>
  <c r="L250" i="28"/>
  <c r="K250" i="28"/>
  <c r="J250" i="28"/>
  <c r="I250" i="28"/>
  <c r="H250" i="28"/>
  <c r="G250" i="28"/>
  <c r="F250" i="28"/>
  <c r="E250" i="28"/>
  <c r="D250" i="28"/>
  <c r="C250" i="28"/>
  <c r="Q249" i="28"/>
  <c r="P249" i="28"/>
  <c r="O249" i="28"/>
  <c r="N249" i="28"/>
  <c r="M249" i="28"/>
  <c r="L249" i="28"/>
  <c r="K249" i="28"/>
  <c r="J249" i="28"/>
  <c r="I249" i="28"/>
  <c r="H249" i="28"/>
  <c r="G249" i="28"/>
  <c r="F249" i="28"/>
  <c r="E249" i="28"/>
  <c r="D249" i="28"/>
  <c r="C249" i="28"/>
  <c r="Q248" i="28"/>
  <c r="P248" i="28"/>
  <c r="O248" i="28"/>
  <c r="N248" i="28"/>
  <c r="M248" i="28"/>
  <c r="L248" i="28"/>
  <c r="K248" i="28"/>
  <c r="J248" i="28"/>
  <c r="I248" i="28"/>
  <c r="H248" i="28"/>
  <c r="G248" i="28"/>
  <c r="F248" i="28"/>
  <c r="E248" i="28"/>
  <c r="D248" i="28"/>
  <c r="C248" i="28"/>
  <c r="Q247" i="28"/>
  <c r="P247" i="28"/>
  <c r="O247" i="28"/>
  <c r="N247" i="28"/>
  <c r="M247" i="28"/>
  <c r="L247" i="28"/>
  <c r="K247" i="28"/>
  <c r="J247" i="28"/>
  <c r="I247" i="28"/>
  <c r="H247" i="28"/>
  <c r="G247" i="28"/>
  <c r="F247" i="28"/>
  <c r="E247" i="28"/>
  <c r="D247" i="28"/>
  <c r="C247" i="28"/>
  <c r="Q246" i="28"/>
  <c r="P246" i="28"/>
  <c r="O246" i="28"/>
  <c r="N246" i="28"/>
  <c r="M246" i="28"/>
  <c r="L246" i="28"/>
  <c r="K246" i="28"/>
  <c r="J246" i="28"/>
  <c r="I246" i="28"/>
  <c r="H246" i="28"/>
  <c r="G246" i="28"/>
  <c r="F246" i="28"/>
  <c r="E246" i="28"/>
  <c r="D246" i="28"/>
  <c r="C246" i="28"/>
  <c r="Q245" i="28"/>
  <c r="P245" i="28"/>
  <c r="O245" i="28"/>
  <c r="N245" i="28"/>
  <c r="M245" i="28"/>
  <c r="L245" i="28"/>
  <c r="K245" i="28"/>
  <c r="J245" i="28"/>
  <c r="I245" i="28"/>
  <c r="H245" i="28"/>
  <c r="G245" i="28"/>
  <c r="F245" i="28"/>
  <c r="E245" i="28"/>
  <c r="D245" i="28"/>
  <c r="C245" i="28"/>
  <c r="Q244" i="28"/>
  <c r="P244" i="28"/>
  <c r="O244" i="28"/>
  <c r="N244" i="28"/>
  <c r="M244" i="28"/>
  <c r="L244" i="28"/>
  <c r="K244" i="28"/>
  <c r="J244" i="28"/>
  <c r="I244" i="28"/>
  <c r="H244" i="28"/>
  <c r="G244" i="28"/>
  <c r="F244" i="28"/>
  <c r="E244" i="28"/>
  <c r="D244" i="28"/>
  <c r="C244" i="28"/>
  <c r="Q243" i="28"/>
  <c r="P243" i="28"/>
  <c r="O243" i="28"/>
  <c r="N243" i="28"/>
  <c r="M243" i="28"/>
  <c r="L243" i="28"/>
  <c r="K243" i="28"/>
  <c r="J243" i="28"/>
  <c r="I243" i="28"/>
  <c r="H243" i="28"/>
  <c r="G243" i="28"/>
  <c r="F243" i="28"/>
  <c r="E243" i="28"/>
  <c r="D243" i="28"/>
  <c r="C243" i="28"/>
  <c r="Q242" i="28"/>
  <c r="P242" i="28"/>
  <c r="O242" i="28"/>
  <c r="N242" i="28"/>
  <c r="M242" i="28"/>
  <c r="L242" i="28"/>
  <c r="K242" i="28"/>
  <c r="J242" i="28"/>
  <c r="I242" i="28"/>
  <c r="H242" i="28"/>
  <c r="G242" i="28"/>
  <c r="F242" i="28"/>
  <c r="E242" i="28"/>
  <c r="D242" i="28"/>
  <c r="C242" i="28"/>
  <c r="Q241" i="28"/>
  <c r="P241" i="28"/>
  <c r="O241" i="28"/>
  <c r="N241" i="28"/>
  <c r="M241" i="28"/>
  <c r="L241" i="28"/>
  <c r="K241" i="28"/>
  <c r="J241" i="28"/>
  <c r="I241" i="28"/>
  <c r="H241" i="28"/>
  <c r="G241" i="28"/>
  <c r="F241" i="28"/>
  <c r="E241" i="28"/>
  <c r="D241" i="28"/>
  <c r="C241" i="28"/>
  <c r="Q240" i="28"/>
  <c r="P240" i="28"/>
  <c r="O240" i="28"/>
  <c r="N240" i="28"/>
  <c r="M240" i="28"/>
  <c r="L240" i="28"/>
  <c r="K240" i="28"/>
  <c r="J240" i="28"/>
  <c r="I240" i="28"/>
  <c r="H240" i="28"/>
  <c r="G240" i="28"/>
  <c r="F240" i="28"/>
  <c r="E240" i="28"/>
  <c r="D240" i="28"/>
  <c r="C240" i="28"/>
  <c r="Q239" i="28"/>
  <c r="P239" i="28"/>
  <c r="O239" i="28"/>
  <c r="N239" i="28"/>
  <c r="M239" i="28"/>
  <c r="L239" i="28"/>
  <c r="K239" i="28"/>
  <c r="J239" i="28"/>
  <c r="I239" i="28"/>
  <c r="H239" i="28"/>
  <c r="G239" i="28"/>
  <c r="F239" i="28"/>
  <c r="E239" i="28"/>
  <c r="D239" i="28"/>
  <c r="C239" i="28"/>
  <c r="Q238" i="28"/>
  <c r="P238" i="28"/>
  <c r="O238" i="28"/>
  <c r="N238" i="28"/>
  <c r="M238" i="28"/>
  <c r="L238" i="28"/>
  <c r="K238" i="28"/>
  <c r="J238" i="28"/>
  <c r="I238" i="28"/>
  <c r="H238" i="28"/>
  <c r="G238" i="28"/>
  <c r="F238" i="28"/>
  <c r="E238" i="28"/>
  <c r="D238" i="28"/>
  <c r="C238" i="28"/>
  <c r="Q237" i="28"/>
  <c r="P237" i="28"/>
  <c r="O237" i="28"/>
  <c r="N237" i="28"/>
  <c r="M237" i="28"/>
  <c r="L237" i="28"/>
  <c r="K237" i="28"/>
  <c r="J237" i="28"/>
  <c r="I237" i="28"/>
  <c r="H237" i="28"/>
  <c r="G237" i="28"/>
  <c r="F237" i="28"/>
  <c r="E237" i="28"/>
  <c r="D237" i="28"/>
  <c r="C237" i="28"/>
  <c r="Q236" i="28"/>
  <c r="P236" i="28"/>
  <c r="O236" i="28"/>
  <c r="N236" i="28"/>
  <c r="M236" i="28"/>
  <c r="L236" i="28"/>
  <c r="K236" i="28"/>
  <c r="J236" i="28"/>
  <c r="I236" i="28"/>
  <c r="H236" i="28"/>
  <c r="G236" i="28"/>
  <c r="F236" i="28"/>
  <c r="E236" i="28"/>
  <c r="D236" i="28"/>
  <c r="C236" i="28"/>
  <c r="Q235" i="28"/>
  <c r="P235" i="28"/>
  <c r="O235" i="28"/>
  <c r="N235" i="28"/>
  <c r="M235" i="28"/>
  <c r="L235" i="28"/>
  <c r="K235" i="28"/>
  <c r="J235" i="28"/>
  <c r="I235" i="28"/>
  <c r="H235" i="28"/>
  <c r="G235" i="28"/>
  <c r="F235" i="28"/>
  <c r="E235" i="28"/>
  <c r="D235" i="28"/>
  <c r="C235" i="28"/>
  <c r="Q234" i="28"/>
  <c r="P234" i="28"/>
  <c r="O234" i="28"/>
  <c r="N234" i="28"/>
  <c r="M234" i="28"/>
  <c r="L234" i="28"/>
  <c r="K234" i="28"/>
  <c r="J234" i="28"/>
  <c r="I234" i="28"/>
  <c r="H234" i="28"/>
  <c r="G234" i="28"/>
  <c r="F234" i="28"/>
  <c r="E234" i="28"/>
  <c r="D234" i="28"/>
  <c r="C234" i="28"/>
  <c r="Q233" i="28"/>
  <c r="P233" i="28"/>
  <c r="O233" i="28"/>
  <c r="N233" i="28"/>
  <c r="M233" i="28"/>
  <c r="L233" i="28"/>
  <c r="K233" i="28"/>
  <c r="J233" i="28"/>
  <c r="I233" i="28"/>
  <c r="H233" i="28"/>
  <c r="G233" i="28"/>
  <c r="F233" i="28"/>
  <c r="E233" i="28"/>
  <c r="D233" i="28"/>
  <c r="C233" i="28"/>
  <c r="Q232" i="28"/>
  <c r="P232" i="28"/>
  <c r="O232" i="28"/>
  <c r="N232" i="28"/>
  <c r="M232" i="28"/>
  <c r="L232" i="28"/>
  <c r="K232" i="28"/>
  <c r="J232" i="28"/>
  <c r="I232" i="28"/>
  <c r="H232" i="28"/>
  <c r="G232" i="28"/>
  <c r="F232" i="28"/>
  <c r="E232" i="28"/>
  <c r="D232" i="28"/>
  <c r="C232" i="28"/>
  <c r="Q231" i="28"/>
  <c r="P231" i="28"/>
  <c r="O231" i="28"/>
  <c r="N231" i="28"/>
  <c r="M231" i="28"/>
  <c r="L231" i="28"/>
  <c r="K231" i="28"/>
  <c r="J231" i="28"/>
  <c r="I231" i="28"/>
  <c r="H231" i="28"/>
  <c r="G231" i="28"/>
  <c r="F231" i="28"/>
  <c r="E231" i="28"/>
  <c r="D231" i="28"/>
  <c r="C231" i="28"/>
  <c r="Q230" i="28"/>
  <c r="P230" i="28"/>
  <c r="O230" i="28"/>
  <c r="N230" i="28"/>
  <c r="M230" i="28"/>
  <c r="L230" i="28"/>
  <c r="K230" i="28"/>
  <c r="J230" i="28"/>
  <c r="I230" i="28"/>
  <c r="H230" i="28"/>
  <c r="G230" i="28"/>
  <c r="F230" i="28"/>
  <c r="E230" i="28"/>
  <c r="D230" i="28"/>
  <c r="C230" i="28"/>
  <c r="Q229" i="28"/>
  <c r="P229" i="28"/>
  <c r="O229" i="28"/>
  <c r="N229" i="28"/>
  <c r="M229" i="28"/>
  <c r="L229" i="28"/>
  <c r="K229" i="28"/>
  <c r="J229" i="28"/>
  <c r="I229" i="28"/>
  <c r="H229" i="28"/>
  <c r="G229" i="28"/>
  <c r="F229" i="28"/>
  <c r="E229" i="28"/>
  <c r="D229" i="28"/>
  <c r="C229" i="28"/>
  <c r="Q228" i="28"/>
  <c r="P228" i="28"/>
  <c r="O228" i="28"/>
  <c r="N228" i="28"/>
  <c r="M228" i="28"/>
  <c r="L228" i="28"/>
  <c r="K228" i="28"/>
  <c r="J228" i="28"/>
  <c r="I228" i="28"/>
  <c r="H228" i="28"/>
  <c r="G228" i="28"/>
  <c r="F228" i="28"/>
  <c r="E228" i="28"/>
  <c r="D228" i="28"/>
  <c r="C228" i="28"/>
  <c r="Q227" i="28"/>
  <c r="P227" i="28"/>
  <c r="O227" i="28"/>
  <c r="N227" i="28"/>
  <c r="M227" i="28"/>
  <c r="L227" i="28"/>
  <c r="K227" i="28"/>
  <c r="J227" i="28"/>
  <c r="I227" i="28"/>
  <c r="H227" i="28"/>
  <c r="G227" i="28"/>
  <c r="F227" i="28"/>
  <c r="E227" i="28"/>
  <c r="D227" i="28"/>
  <c r="C227" i="28"/>
  <c r="Q226" i="28"/>
  <c r="P226" i="28"/>
  <c r="O226" i="28"/>
  <c r="N226" i="28"/>
  <c r="M226" i="28"/>
  <c r="L226" i="28"/>
  <c r="K226" i="28"/>
  <c r="J226" i="28"/>
  <c r="I226" i="28"/>
  <c r="H226" i="28"/>
  <c r="G226" i="28"/>
  <c r="F226" i="28"/>
  <c r="E226" i="28"/>
  <c r="D226" i="28"/>
  <c r="C226" i="28"/>
  <c r="Q225" i="28"/>
  <c r="P225" i="28"/>
  <c r="O225" i="28"/>
  <c r="N225" i="28"/>
  <c r="M225" i="28"/>
  <c r="L225" i="28"/>
  <c r="K225" i="28"/>
  <c r="J225" i="28"/>
  <c r="I225" i="28"/>
  <c r="H225" i="28"/>
  <c r="G225" i="28"/>
  <c r="F225" i="28"/>
  <c r="E225" i="28"/>
  <c r="D225" i="28"/>
  <c r="C225" i="28"/>
  <c r="Q224" i="28"/>
  <c r="P224" i="28"/>
  <c r="O224" i="28"/>
  <c r="N224" i="28"/>
  <c r="M224" i="28"/>
  <c r="L224" i="28"/>
  <c r="K224" i="28"/>
  <c r="J224" i="28"/>
  <c r="I224" i="28"/>
  <c r="H224" i="28"/>
  <c r="G224" i="28"/>
  <c r="F224" i="28"/>
  <c r="E224" i="28"/>
  <c r="D224" i="28"/>
  <c r="C224" i="28"/>
  <c r="Q223" i="28"/>
  <c r="P223" i="28"/>
  <c r="O223" i="28"/>
  <c r="N223" i="28"/>
  <c r="M223" i="28"/>
  <c r="L223" i="28"/>
  <c r="K223" i="28"/>
  <c r="J223" i="28"/>
  <c r="I223" i="28"/>
  <c r="H223" i="28"/>
  <c r="G223" i="28"/>
  <c r="F223" i="28"/>
  <c r="E223" i="28"/>
  <c r="D223" i="28"/>
  <c r="C223" i="28"/>
  <c r="Q222" i="28"/>
  <c r="P222" i="28"/>
  <c r="O222" i="28"/>
  <c r="N222" i="28"/>
  <c r="M222" i="28"/>
  <c r="L222" i="28"/>
  <c r="K222" i="28"/>
  <c r="J222" i="28"/>
  <c r="I222" i="28"/>
  <c r="H222" i="28"/>
  <c r="G222" i="28"/>
  <c r="F222" i="28"/>
  <c r="E222" i="28"/>
  <c r="D222" i="28"/>
  <c r="C222" i="28"/>
  <c r="Q221" i="28"/>
  <c r="P221" i="28"/>
  <c r="O221" i="28"/>
  <c r="N221" i="28"/>
  <c r="M221" i="28"/>
  <c r="L221" i="28"/>
  <c r="K221" i="28"/>
  <c r="J221" i="28"/>
  <c r="I221" i="28"/>
  <c r="H221" i="28"/>
  <c r="G221" i="28"/>
  <c r="F221" i="28"/>
  <c r="E221" i="28"/>
  <c r="D221" i="28"/>
  <c r="C221" i="28"/>
  <c r="Q220" i="28"/>
  <c r="P220" i="28"/>
  <c r="O220" i="28"/>
  <c r="N220" i="28"/>
  <c r="M220" i="28"/>
  <c r="L220" i="28"/>
  <c r="K220" i="28"/>
  <c r="J220" i="28"/>
  <c r="I220" i="28"/>
  <c r="H220" i="28"/>
  <c r="G220" i="28"/>
  <c r="F220" i="28"/>
  <c r="E220" i="28"/>
  <c r="D220" i="28"/>
  <c r="C220" i="28"/>
  <c r="Q219" i="28"/>
  <c r="P219" i="28"/>
  <c r="O219" i="28"/>
  <c r="N219" i="28"/>
  <c r="M219" i="28"/>
  <c r="L219" i="28"/>
  <c r="K219" i="28"/>
  <c r="J219" i="28"/>
  <c r="I219" i="28"/>
  <c r="H219" i="28"/>
  <c r="G219" i="28"/>
  <c r="F219" i="28"/>
  <c r="E219" i="28"/>
  <c r="D219" i="28"/>
  <c r="C219" i="28"/>
  <c r="AH218" i="28"/>
  <c r="AG218" i="28"/>
  <c r="P218" i="28" s="1"/>
  <c r="AF218" i="28"/>
  <c r="O214" i="28" s="1"/>
  <c r="AE218" i="28"/>
  <c r="N218" i="28" s="1"/>
  <c r="AD218" i="28"/>
  <c r="AC218" i="28"/>
  <c r="M214" i="28" s="1"/>
  <c r="AB218" i="28"/>
  <c r="L217" i="28" s="1"/>
  <c r="AA218" i="28"/>
  <c r="Z218" i="28"/>
  <c r="Y218" i="28"/>
  <c r="X218" i="28"/>
  <c r="H213" i="28" s="1"/>
  <c r="W218" i="28"/>
  <c r="G216" i="28" s="1"/>
  <c r="V218" i="28"/>
  <c r="F214" i="28" s="1"/>
  <c r="U218" i="28"/>
  <c r="E214" i="28" s="1"/>
  <c r="T218" i="28"/>
  <c r="D217" i="28" s="1"/>
  <c r="S218" i="28"/>
  <c r="C215" i="28" s="1"/>
  <c r="I218" i="28"/>
  <c r="AH217" i="28"/>
  <c r="AH8" i="28" s="1"/>
  <c r="AG217" i="28"/>
  <c r="AG8" i="28" s="1"/>
  <c r="AF217" i="28"/>
  <c r="AF8" i="28" s="1"/>
  <c r="AE217" i="28"/>
  <c r="AD217" i="28"/>
  <c r="AC217" i="28"/>
  <c r="AB217" i="28"/>
  <c r="AA217" i="28"/>
  <c r="Z217" i="28"/>
  <c r="Y217" i="28"/>
  <c r="X217" i="28"/>
  <c r="W217" i="28"/>
  <c r="V217" i="28"/>
  <c r="U217" i="28"/>
  <c r="T217" i="28"/>
  <c r="S217" i="28"/>
  <c r="Q217" i="28"/>
  <c r="H217" i="28"/>
  <c r="AH216" i="28"/>
  <c r="AH7" i="28" s="1"/>
  <c r="AG216" i="28"/>
  <c r="AG7" i="28" s="1"/>
  <c r="AF216" i="28"/>
  <c r="AF7" i="28" s="1"/>
  <c r="AE216" i="28"/>
  <c r="AD216" i="28"/>
  <c r="AC216" i="28"/>
  <c r="AB216" i="28"/>
  <c r="AA216" i="28"/>
  <c r="Z216" i="28"/>
  <c r="Y216" i="28"/>
  <c r="I216" i="28" s="1"/>
  <c r="X216" i="28"/>
  <c r="W216" i="28"/>
  <c r="V216" i="28"/>
  <c r="U216" i="28"/>
  <c r="T216" i="28"/>
  <c r="S216" i="28"/>
  <c r="P216" i="28"/>
  <c r="O216" i="28"/>
  <c r="AH215" i="28"/>
  <c r="AH6" i="28" s="1"/>
  <c r="AG215" i="28"/>
  <c r="AF215" i="28"/>
  <c r="AF6" i="28" s="1"/>
  <c r="AE215" i="28"/>
  <c r="N215" i="28" s="1"/>
  <c r="AD215" i="28"/>
  <c r="AC215" i="28"/>
  <c r="AB215" i="28"/>
  <c r="AA215" i="28"/>
  <c r="Z215" i="28"/>
  <c r="Y215" i="28"/>
  <c r="X215" i="28"/>
  <c r="W215" i="28"/>
  <c r="V215" i="28"/>
  <c r="U215" i="28"/>
  <c r="E215" i="28" s="1"/>
  <c r="T215" i="28"/>
  <c r="S215" i="28"/>
  <c r="P215" i="28"/>
  <c r="O215" i="28"/>
  <c r="AH214" i="28"/>
  <c r="AH5" i="28" s="1"/>
  <c r="AG214" i="28"/>
  <c r="AG5" i="28" s="1"/>
  <c r="AF214" i="28"/>
  <c r="AF5" i="28" s="1"/>
  <c r="AE214" i="28"/>
  <c r="AD214" i="28"/>
  <c r="AC214" i="28"/>
  <c r="AB214" i="28"/>
  <c r="AA214" i="28"/>
  <c r="Z214" i="28"/>
  <c r="Y214" i="28"/>
  <c r="X214" i="28"/>
  <c r="W214" i="28"/>
  <c r="V214" i="28"/>
  <c r="U214" i="28"/>
  <c r="T214" i="28"/>
  <c r="S214" i="28"/>
  <c r="P214" i="28"/>
  <c r="J214" i="28"/>
  <c r="AH213" i="28"/>
  <c r="AH4" i="28" s="1"/>
  <c r="AG213" i="28"/>
  <c r="AG4" i="28" s="1"/>
  <c r="AF213" i="28"/>
  <c r="AF4" i="28" s="1"/>
  <c r="AE213" i="28"/>
  <c r="AD213" i="28"/>
  <c r="AC213" i="28"/>
  <c r="AB213" i="28"/>
  <c r="AA213" i="28"/>
  <c r="Z213" i="28"/>
  <c r="Y213" i="28"/>
  <c r="X213" i="28"/>
  <c r="W213" i="28"/>
  <c r="V213" i="28"/>
  <c r="U213" i="28"/>
  <c r="T213" i="28"/>
  <c r="S213" i="28"/>
  <c r="P213" i="28"/>
  <c r="I213" i="28"/>
  <c r="Q212" i="28"/>
  <c r="P212" i="28"/>
  <c r="O212" i="28"/>
  <c r="N212" i="28"/>
  <c r="M212" i="28"/>
  <c r="L212" i="28"/>
  <c r="K212" i="28"/>
  <c r="J212" i="28"/>
  <c r="I212" i="28"/>
  <c r="H212" i="28"/>
  <c r="G212" i="28"/>
  <c r="F212" i="28"/>
  <c r="E212" i="28"/>
  <c r="D212" i="28"/>
  <c r="C212" i="28"/>
  <c r="Q211" i="28"/>
  <c r="P211" i="28"/>
  <c r="O211" i="28"/>
  <c r="N211" i="28"/>
  <c r="M211" i="28"/>
  <c r="L211" i="28"/>
  <c r="K211" i="28"/>
  <c r="J211" i="28"/>
  <c r="I211" i="28"/>
  <c r="H211" i="28"/>
  <c r="G211" i="28"/>
  <c r="F211" i="28"/>
  <c r="E211" i="28"/>
  <c r="D211" i="28"/>
  <c r="C211" i="28"/>
  <c r="Q210" i="28"/>
  <c r="P210" i="28"/>
  <c r="O210" i="28"/>
  <c r="N210" i="28"/>
  <c r="M210" i="28"/>
  <c r="L210" i="28"/>
  <c r="K210" i="28"/>
  <c r="J210" i="28"/>
  <c r="I210" i="28"/>
  <c r="H210" i="28"/>
  <c r="G210" i="28"/>
  <c r="F210" i="28"/>
  <c r="E210" i="28"/>
  <c r="D210" i="28"/>
  <c r="C210" i="28"/>
  <c r="Q209" i="28"/>
  <c r="P209" i="28"/>
  <c r="O209" i="28"/>
  <c r="N209" i="28"/>
  <c r="M209" i="28"/>
  <c r="L209" i="28"/>
  <c r="K209" i="28"/>
  <c r="J209" i="28"/>
  <c r="I209" i="28"/>
  <c r="H209" i="28"/>
  <c r="G209" i="28"/>
  <c r="F209" i="28"/>
  <c r="E209" i="28"/>
  <c r="D209" i="28"/>
  <c r="C209" i="28"/>
  <c r="Q208" i="28"/>
  <c r="P208" i="28"/>
  <c r="O208" i="28"/>
  <c r="N208" i="28"/>
  <c r="M208" i="28"/>
  <c r="L208" i="28"/>
  <c r="K208" i="28"/>
  <c r="J208" i="28"/>
  <c r="I208" i="28"/>
  <c r="H208" i="28"/>
  <c r="G208" i="28"/>
  <c r="F208" i="28"/>
  <c r="E208" i="28"/>
  <c r="D208" i="28"/>
  <c r="C208" i="28"/>
  <c r="Q207" i="28"/>
  <c r="P207" i="28"/>
  <c r="O207" i="28"/>
  <c r="N207" i="28"/>
  <c r="M207" i="28"/>
  <c r="L207" i="28"/>
  <c r="K207" i="28"/>
  <c r="J207" i="28"/>
  <c r="I207" i="28"/>
  <c r="H207" i="28"/>
  <c r="G207" i="28"/>
  <c r="F207" i="28"/>
  <c r="E207" i="28"/>
  <c r="D207" i="28"/>
  <c r="C207" i="28"/>
  <c r="Q206" i="28"/>
  <c r="P206" i="28"/>
  <c r="O206" i="28"/>
  <c r="N206" i="28"/>
  <c r="M206" i="28"/>
  <c r="L206" i="28"/>
  <c r="K206" i="28"/>
  <c r="J206" i="28"/>
  <c r="I206" i="28"/>
  <c r="H206" i="28"/>
  <c r="G206" i="28"/>
  <c r="F206" i="28"/>
  <c r="E206" i="28"/>
  <c r="D206" i="28"/>
  <c r="C206" i="28"/>
  <c r="Q205" i="28"/>
  <c r="P205" i="28"/>
  <c r="O205" i="28"/>
  <c r="N205" i="28"/>
  <c r="M205" i="28"/>
  <c r="L205" i="28"/>
  <c r="K205" i="28"/>
  <c r="J205" i="28"/>
  <c r="I205" i="28"/>
  <c r="H205" i="28"/>
  <c r="G205" i="28"/>
  <c r="F205" i="28"/>
  <c r="E205" i="28"/>
  <c r="D205" i="28"/>
  <c r="C205" i="28"/>
  <c r="Q204" i="28"/>
  <c r="P204" i="28"/>
  <c r="O204" i="28"/>
  <c r="N204" i="28"/>
  <c r="M204" i="28"/>
  <c r="L204" i="28"/>
  <c r="K204" i="28"/>
  <c r="J204" i="28"/>
  <c r="I204" i="28"/>
  <c r="H204" i="28"/>
  <c r="G204" i="28"/>
  <c r="F204" i="28"/>
  <c r="E204" i="28"/>
  <c r="D204" i="28"/>
  <c r="C204" i="28"/>
  <c r="Q203" i="28"/>
  <c r="P203" i="28"/>
  <c r="O203" i="28"/>
  <c r="N203" i="28"/>
  <c r="M203" i="28"/>
  <c r="L203" i="28"/>
  <c r="K203" i="28"/>
  <c r="J203" i="28"/>
  <c r="I203" i="28"/>
  <c r="H203" i="28"/>
  <c r="G203" i="28"/>
  <c r="F203" i="28"/>
  <c r="E203" i="28"/>
  <c r="D203" i="28"/>
  <c r="C203" i="28"/>
  <c r="Q202" i="28"/>
  <c r="P202" i="28"/>
  <c r="O202" i="28"/>
  <c r="N202" i="28"/>
  <c r="M202" i="28"/>
  <c r="L202" i="28"/>
  <c r="K202" i="28"/>
  <c r="J202" i="28"/>
  <c r="I202" i="28"/>
  <c r="H202" i="28"/>
  <c r="G202" i="28"/>
  <c r="F202" i="28"/>
  <c r="E202" i="28"/>
  <c r="D202" i="28"/>
  <c r="C202" i="28"/>
  <c r="Q201" i="28"/>
  <c r="P201" i="28"/>
  <c r="O201" i="28"/>
  <c r="N201" i="28"/>
  <c r="M201" i="28"/>
  <c r="L201" i="28"/>
  <c r="K201" i="28"/>
  <c r="J201" i="28"/>
  <c r="I201" i="28"/>
  <c r="H201" i="28"/>
  <c r="G201" i="28"/>
  <c r="F201" i="28"/>
  <c r="E201" i="28"/>
  <c r="D201" i="28"/>
  <c r="C201" i="28"/>
  <c r="Q200" i="28"/>
  <c r="P200" i="28"/>
  <c r="O200" i="28"/>
  <c r="N200" i="28"/>
  <c r="M200" i="28"/>
  <c r="L200" i="28"/>
  <c r="K200" i="28"/>
  <c r="J200" i="28"/>
  <c r="I200" i="28"/>
  <c r="H200" i="28"/>
  <c r="G200" i="28"/>
  <c r="F200" i="28"/>
  <c r="E200" i="28"/>
  <c r="D200" i="28"/>
  <c r="C200" i="28"/>
  <c r="Q199" i="28"/>
  <c r="P199" i="28"/>
  <c r="O199" i="28"/>
  <c r="N199" i="28"/>
  <c r="M199" i="28"/>
  <c r="L199" i="28"/>
  <c r="K199" i="28"/>
  <c r="J199" i="28"/>
  <c r="I199" i="28"/>
  <c r="H199" i="28"/>
  <c r="G199" i="28"/>
  <c r="F199" i="28"/>
  <c r="E199" i="28"/>
  <c r="D199" i="28"/>
  <c r="C199" i="28"/>
  <c r="Q198" i="28"/>
  <c r="P198" i="28"/>
  <c r="O198" i="28"/>
  <c r="N198" i="28"/>
  <c r="M198" i="28"/>
  <c r="L198" i="28"/>
  <c r="K198" i="28"/>
  <c r="J198" i="28"/>
  <c r="I198" i="28"/>
  <c r="H198" i="28"/>
  <c r="G198" i="28"/>
  <c r="F198" i="28"/>
  <c r="E198" i="28"/>
  <c r="D198" i="28"/>
  <c r="C198" i="28"/>
  <c r="Q197" i="28"/>
  <c r="P197" i="28"/>
  <c r="O197" i="28"/>
  <c r="N197" i="28"/>
  <c r="M197" i="28"/>
  <c r="L197" i="28"/>
  <c r="K197" i="28"/>
  <c r="J197" i="28"/>
  <c r="I197" i="28"/>
  <c r="H197" i="28"/>
  <c r="G197" i="28"/>
  <c r="F197" i="28"/>
  <c r="E197" i="28"/>
  <c r="D197" i="28"/>
  <c r="C197" i="28"/>
  <c r="Q196" i="28"/>
  <c r="P196" i="28"/>
  <c r="O196" i="28"/>
  <c r="N196" i="28"/>
  <c r="M196" i="28"/>
  <c r="L196" i="28"/>
  <c r="K196" i="28"/>
  <c r="J196" i="28"/>
  <c r="I196" i="28"/>
  <c r="H196" i="28"/>
  <c r="G196" i="28"/>
  <c r="F196" i="28"/>
  <c r="E196" i="28"/>
  <c r="D196" i="28"/>
  <c r="C196" i="28"/>
  <c r="Q195" i="28"/>
  <c r="P195" i="28"/>
  <c r="O195" i="28"/>
  <c r="N195" i="28"/>
  <c r="M195" i="28"/>
  <c r="L195" i="28"/>
  <c r="K195" i="28"/>
  <c r="J195" i="28"/>
  <c r="I195" i="28"/>
  <c r="H195" i="28"/>
  <c r="G195" i="28"/>
  <c r="F195" i="28"/>
  <c r="E195" i="28"/>
  <c r="D195" i="28"/>
  <c r="C195" i="28"/>
  <c r="Q194" i="28"/>
  <c r="P194" i="28"/>
  <c r="O194" i="28"/>
  <c r="N194" i="28"/>
  <c r="M194" i="28"/>
  <c r="L194" i="28"/>
  <c r="K194" i="28"/>
  <c r="J194" i="28"/>
  <c r="I194" i="28"/>
  <c r="H194" i="28"/>
  <c r="G194" i="28"/>
  <c r="F194" i="28"/>
  <c r="E194" i="28"/>
  <c r="D194" i="28"/>
  <c r="C194" i="28"/>
  <c r="Q193" i="28"/>
  <c r="P193" i="28"/>
  <c r="O193" i="28"/>
  <c r="N193" i="28"/>
  <c r="M193" i="28"/>
  <c r="L193" i="28"/>
  <c r="K193" i="28"/>
  <c r="J193" i="28"/>
  <c r="I193" i="28"/>
  <c r="H193" i="28"/>
  <c r="G193" i="28"/>
  <c r="F193" i="28"/>
  <c r="E193" i="28"/>
  <c r="D193" i="28"/>
  <c r="C193" i="28"/>
  <c r="Q192" i="28"/>
  <c r="P192" i="28"/>
  <c r="O192" i="28"/>
  <c r="N192" i="28"/>
  <c r="M192" i="28"/>
  <c r="L192" i="28"/>
  <c r="K192" i="28"/>
  <c r="J192" i="28"/>
  <c r="I192" i="28"/>
  <c r="H192" i="28"/>
  <c r="G192" i="28"/>
  <c r="F192" i="28"/>
  <c r="E192" i="28"/>
  <c r="D192" i="28"/>
  <c r="C192" i="28"/>
  <c r="Q191" i="28"/>
  <c r="P191" i="28"/>
  <c r="O191" i="28"/>
  <c r="N191" i="28"/>
  <c r="M191" i="28"/>
  <c r="L191" i="28"/>
  <c r="K191" i="28"/>
  <c r="J191" i="28"/>
  <c r="I191" i="28"/>
  <c r="H191" i="28"/>
  <c r="G191" i="28"/>
  <c r="F191" i="28"/>
  <c r="E191" i="28"/>
  <c r="D191" i="28"/>
  <c r="C191" i="28"/>
  <c r="Q190" i="28"/>
  <c r="P190" i="28"/>
  <c r="O190" i="28"/>
  <c r="N190" i="28"/>
  <c r="M190" i="28"/>
  <c r="L190" i="28"/>
  <c r="K190" i="28"/>
  <c r="J190" i="28"/>
  <c r="I190" i="28"/>
  <c r="H190" i="28"/>
  <c r="G190" i="28"/>
  <c r="F190" i="28"/>
  <c r="E190" i="28"/>
  <c r="D190" i="28"/>
  <c r="C190" i="28"/>
  <c r="Q189" i="28"/>
  <c r="P189" i="28"/>
  <c r="O189" i="28"/>
  <c r="N189" i="28"/>
  <c r="M189" i="28"/>
  <c r="L189" i="28"/>
  <c r="K189" i="28"/>
  <c r="J189" i="28"/>
  <c r="I189" i="28"/>
  <c r="H189" i="28"/>
  <c r="G189" i="28"/>
  <c r="F189" i="28"/>
  <c r="E189" i="28"/>
  <c r="D189" i="28"/>
  <c r="C189" i="28"/>
  <c r="Q188" i="28"/>
  <c r="P188" i="28"/>
  <c r="O188" i="28"/>
  <c r="N188" i="28"/>
  <c r="M188" i="28"/>
  <c r="L188" i="28"/>
  <c r="K188" i="28"/>
  <c r="J188" i="28"/>
  <c r="I188" i="28"/>
  <c r="H188" i="28"/>
  <c r="G188" i="28"/>
  <c r="F188" i="28"/>
  <c r="E188" i="28"/>
  <c r="D188" i="28"/>
  <c r="C188" i="28"/>
  <c r="Q187" i="28"/>
  <c r="P187" i="28"/>
  <c r="O187" i="28"/>
  <c r="N187" i="28"/>
  <c r="M187" i="28"/>
  <c r="L187" i="28"/>
  <c r="K187" i="28"/>
  <c r="J187" i="28"/>
  <c r="I187" i="28"/>
  <c r="H187" i="28"/>
  <c r="G187" i="28"/>
  <c r="F187" i="28"/>
  <c r="E187" i="28"/>
  <c r="D187" i="28"/>
  <c r="C187" i="28"/>
  <c r="Q186" i="28"/>
  <c r="P186" i="28"/>
  <c r="O186" i="28"/>
  <c r="N186" i="28"/>
  <c r="M186" i="28"/>
  <c r="L186" i="28"/>
  <c r="K186" i="28"/>
  <c r="J186" i="28"/>
  <c r="I186" i="28"/>
  <c r="H186" i="28"/>
  <c r="G186" i="28"/>
  <c r="F186" i="28"/>
  <c r="E186" i="28"/>
  <c r="D186" i="28"/>
  <c r="C186" i="28"/>
  <c r="Q185" i="28"/>
  <c r="P185" i="28"/>
  <c r="O185" i="28"/>
  <c r="N185" i="28"/>
  <c r="M185" i="28"/>
  <c r="L185" i="28"/>
  <c r="K185" i="28"/>
  <c r="J185" i="28"/>
  <c r="I185" i="28"/>
  <c r="H185" i="28"/>
  <c r="G185" i="28"/>
  <c r="F185" i="28"/>
  <c r="E185" i="28"/>
  <c r="D185" i="28"/>
  <c r="C185" i="28"/>
  <c r="Q184" i="28"/>
  <c r="P184" i="28"/>
  <c r="O184" i="28"/>
  <c r="N184" i="28"/>
  <c r="M184" i="28"/>
  <c r="L184" i="28"/>
  <c r="K184" i="28"/>
  <c r="J184" i="28"/>
  <c r="I184" i="28"/>
  <c r="H184" i="28"/>
  <c r="G184" i="28"/>
  <c r="F184" i="28"/>
  <c r="E184" i="28"/>
  <c r="D184" i="28"/>
  <c r="C184" i="28"/>
  <c r="Q183" i="28"/>
  <c r="P183" i="28"/>
  <c r="O183" i="28"/>
  <c r="N183" i="28"/>
  <c r="M183" i="28"/>
  <c r="L183" i="28"/>
  <c r="K183" i="28"/>
  <c r="J183" i="28"/>
  <c r="I183" i="28"/>
  <c r="H183" i="28"/>
  <c r="G183" i="28"/>
  <c r="F183" i="28"/>
  <c r="E183" i="28"/>
  <c r="D183" i="28"/>
  <c r="C183" i="28"/>
  <c r="Q182" i="28"/>
  <c r="P182" i="28"/>
  <c r="O182" i="28"/>
  <c r="N182" i="28"/>
  <c r="M182" i="28"/>
  <c r="L182" i="28"/>
  <c r="K182" i="28"/>
  <c r="J182" i="28"/>
  <c r="I182" i="28"/>
  <c r="H182" i="28"/>
  <c r="G182" i="28"/>
  <c r="F182" i="28"/>
  <c r="E182" i="28"/>
  <c r="D182" i="28"/>
  <c r="C182" i="28"/>
  <c r="Q181" i="28"/>
  <c r="P181" i="28"/>
  <c r="O181" i="28"/>
  <c r="N181" i="28"/>
  <c r="M181" i="28"/>
  <c r="L181" i="28"/>
  <c r="K181" i="28"/>
  <c r="J181" i="28"/>
  <c r="I181" i="28"/>
  <c r="H181" i="28"/>
  <c r="G181" i="28"/>
  <c r="F181" i="28"/>
  <c r="E181" i="28"/>
  <c r="D181" i="28"/>
  <c r="C181" i="28"/>
  <c r="Q180" i="28"/>
  <c r="P180" i="28"/>
  <c r="O180" i="28"/>
  <c r="N180" i="28"/>
  <c r="M180" i="28"/>
  <c r="L180" i="28"/>
  <c r="K180" i="28"/>
  <c r="J180" i="28"/>
  <c r="I180" i="28"/>
  <c r="H180" i="28"/>
  <c r="G180" i="28"/>
  <c r="F180" i="28"/>
  <c r="E180" i="28"/>
  <c r="D180" i="28"/>
  <c r="C180" i="28"/>
  <c r="Q179" i="28"/>
  <c r="P179" i="28"/>
  <c r="O179" i="28"/>
  <c r="N179" i="28"/>
  <c r="M179" i="28"/>
  <c r="L179" i="28"/>
  <c r="K179" i="28"/>
  <c r="J179" i="28"/>
  <c r="I179" i="28"/>
  <c r="H179" i="28"/>
  <c r="G179" i="28"/>
  <c r="F179" i="28"/>
  <c r="E179" i="28"/>
  <c r="D179" i="28"/>
  <c r="C179" i="28"/>
  <c r="Q178" i="28"/>
  <c r="P178" i="28"/>
  <c r="O178" i="28"/>
  <c r="N178" i="28"/>
  <c r="M178" i="28"/>
  <c r="L178" i="28"/>
  <c r="K178" i="28"/>
  <c r="J178" i="28"/>
  <c r="I178" i="28"/>
  <c r="H178" i="28"/>
  <c r="G178" i="28"/>
  <c r="F178" i="28"/>
  <c r="E178" i="28"/>
  <c r="D178" i="28"/>
  <c r="C178" i="28"/>
  <c r="Q177" i="28"/>
  <c r="P177" i="28"/>
  <c r="O177" i="28"/>
  <c r="N177" i="28"/>
  <c r="M177" i="28"/>
  <c r="L177" i="28"/>
  <c r="K177" i="28"/>
  <c r="J177" i="28"/>
  <c r="I177" i="28"/>
  <c r="H177" i="28"/>
  <c r="G177" i="28"/>
  <c r="F177" i="28"/>
  <c r="E177" i="28"/>
  <c r="D177" i="28"/>
  <c r="C177" i="28"/>
  <c r="Q176" i="28"/>
  <c r="P176" i="28"/>
  <c r="O176" i="28"/>
  <c r="N176" i="28"/>
  <c r="M176" i="28"/>
  <c r="L176" i="28"/>
  <c r="K176" i="28"/>
  <c r="J176" i="28"/>
  <c r="I176" i="28"/>
  <c r="H176" i="28"/>
  <c r="G176" i="28"/>
  <c r="F176" i="28"/>
  <c r="E176" i="28"/>
  <c r="D176" i="28"/>
  <c r="C176" i="28"/>
  <c r="Q175" i="28"/>
  <c r="P175" i="28"/>
  <c r="O175" i="28"/>
  <c r="N175" i="28"/>
  <c r="M175" i="28"/>
  <c r="L175" i="28"/>
  <c r="K175" i="28"/>
  <c r="J175" i="28"/>
  <c r="I175" i="28"/>
  <c r="H175" i="28"/>
  <c r="G175" i="28"/>
  <c r="F175" i="28"/>
  <c r="E175" i="28"/>
  <c r="D175" i="28"/>
  <c r="C175" i="28"/>
  <c r="Q174" i="28"/>
  <c r="P174" i="28"/>
  <c r="O174" i="28"/>
  <c r="N174" i="28"/>
  <c r="M174" i="28"/>
  <c r="L174" i="28"/>
  <c r="K174" i="28"/>
  <c r="J174" i="28"/>
  <c r="I174" i="28"/>
  <c r="H174" i="28"/>
  <c r="G174" i="28"/>
  <c r="F174" i="28"/>
  <c r="E174" i="28"/>
  <c r="D174" i="28"/>
  <c r="C174" i="28"/>
  <c r="Q173" i="28"/>
  <c r="P173" i="28"/>
  <c r="O173" i="28"/>
  <c r="N173" i="28"/>
  <c r="M173" i="28"/>
  <c r="L173" i="28"/>
  <c r="K173" i="28"/>
  <c r="J173" i="28"/>
  <c r="I173" i="28"/>
  <c r="H173" i="28"/>
  <c r="G173" i="28"/>
  <c r="F173" i="28"/>
  <c r="E173" i="28"/>
  <c r="D173" i="28"/>
  <c r="C173" i="28"/>
  <c r="Q172" i="28"/>
  <c r="P172" i="28"/>
  <c r="O172" i="28"/>
  <c r="N172" i="28"/>
  <c r="M172" i="28"/>
  <c r="L172" i="28"/>
  <c r="K172" i="28"/>
  <c r="J172" i="28"/>
  <c r="I172" i="28"/>
  <c r="H172" i="28"/>
  <c r="G172" i="28"/>
  <c r="F172" i="28"/>
  <c r="E172" i="28"/>
  <c r="D172" i="28"/>
  <c r="C172" i="28"/>
  <c r="Q171" i="28"/>
  <c r="P171" i="28"/>
  <c r="O171" i="28"/>
  <c r="N171" i="28"/>
  <c r="M171" i="28"/>
  <c r="L171" i="28"/>
  <c r="K171" i="28"/>
  <c r="J171" i="28"/>
  <c r="I171" i="28"/>
  <c r="H171" i="28"/>
  <c r="G171" i="28"/>
  <c r="F171" i="28"/>
  <c r="E171" i="28"/>
  <c r="D171" i="28"/>
  <c r="C171" i="28"/>
  <c r="Q170" i="28"/>
  <c r="P170" i="28"/>
  <c r="O170" i="28"/>
  <c r="N170" i="28"/>
  <c r="M170" i="28"/>
  <c r="L170" i="28"/>
  <c r="K170" i="28"/>
  <c r="J170" i="28"/>
  <c r="I170" i="28"/>
  <c r="H170" i="28"/>
  <c r="G170" i="28"/>
  <c r="F170" i="28"/>
  <c r="E170" i="28"/>
  <c r="D170" i="28"/>
  <c r="C170" i="28"/>
  <c r="Q169" i="28"/>
  <c r="P169" i="28"/>
  <c r="O169" i="28"/>
  <c r="N169" i="28"/>
  <c r="M169" i="28"/>
  <c r="L169" i="28"/>
  <c r="K169" i="28"/>
  <c r="J169" i="28"/>
  <c r="I169" i="28"/>
  <c r="H169" i="28"/>
  <c r="G169" i="28"/>
  <c r="F169" i="28"/>
  <c r="E169" i="28"/>
  <c r="D169" i="28"/>
  <c r="C169" i="28"/>
  <c r="Q168" i="28"/>
  <c r="P168" i="28"/>
  <c r="O168" i="28"/>
  <c r="N168" i="28"/>
  <c r="M168" i="28"/>
  <c r="L168" i="28"/>
  <c r="K168" i="28"/>
  <c r="J168" i="28"/>
  <c r="I168" i="28"/>
  <c r="H168" i="28"/>
  <c r="G168" i="28"/>
  <c r="F168" i="28"/>
  <c r="E168" i="28"/>
  <c r="D168" i="28"/>
  <c r="C168" i="28"/>
  <c r="Q167" i="28"/>
  <c r="P167" i="28"/>
  <c r="O167" i="28"/>
  <c r="N167" i="28"/>
  <c r="M167" i="28"/>
  <c r="L167" i="28"/>
  <c r="K167" i="28"/>
  <c r="J167" i="28"/>
  <c r="I167" i="28"/>
  <c r="H167" i="28"/>
  <c r="G167" i="28"/>
  <c r="F167" i="28"/>
  <c r="E167" i="28"/>
  <c r="D167" i="28"/>
  <c r="C167" i="28"/>
  <c r="Q166" i="28"/>
  <c r="P166" i="28"/>
  <c r="O166" i="28"/>
  <c r="N166" i="28"/>
  <c r="M166" i="28"/>
  <c r="L166" i="28"/>
  <c r="K166" i="28"/>
  <c r="J166" i="28"/>
  <c r="I166" i="28"/>
  <c r="H166" i="28"/>
  <c r="G166" i="28"/>
  <c r="F166" i="28"/>
  <c r="E166" i="28"/>
  <c r="D166" i="28"/>
  <c r="C166" i="28"/>
  <c r="Q165" i="28"/>
  <c r="P165" i="28"/>
  <c r="O165" i="28"/>
  <c r="N165" i="28"/>
  <c r="M165" i="28"/>
  <c r="L165" i="28"/>
  <c r="K165" i="28"/>
  <c r="J165" i="28"/>
  <c r="I165" i="28"/>
  <c r="H165" i="28"/>
  <c r="G165" i="28"/>
  <c r="F165" i="28"/>
  <c r="E165" i="28"/>
  <c r="D165" i="28"/>
  <c r="C165" i="28"/>
  <c r="Q164" i="28"/>
  <c r="P164" i="28"/>
  <c r="O164" i="28"/>
  <c r="N164" i="28"/>
  <c r="M164" i="28"/>
  <c r="L164" i="28"/>
  <c r="K164" i="28"/>
  <c r="J164" i="28"/>
  <c r="I164" i="28"/>
  <c r="H164" i="28"/>
  <c r="G164" i="28"/>
  <c r="F164" i="28"/>
  <c r="E164" i="28"/>
  <c r="D164" i="28"/>
  <c r="C164" i="28"/>
  <c r="Q163" i="28"/>
  <c r="P163" i="28"/>
  <c r="O163" i="28"/>
  <c r="N163" i="28"/>
  <c r="M163" i="28"/>
  <c r="L163" i="28"/>
  <c r="K163" i="28"/>
  <c r="J163" i="28"/>
  <c r="I163" i="28"/>
  <c r="H163" i="28"/>
  <c r="G163" i="28"/>
  <c r="F163" i="28"/>
  <c r="E163" i="28"/>
  <c r="D163" i="28"/>
  <c r="C163" i="28"/>
  <c r="Q162" i="28"/>
  <c r="P162" i="28"/>
  <c r="O162" i="28"/>
  <c r="N162" i="28"/>
  <c r="M162" i="28"/>
  <c r="L162" i="28"/>
  <c r="K162" i="28"/>
  <c r="J162" i="28"/>
  <c r="I162" i="28"/>
  <c r="H162" i="28"/>
  <c r="G162" i="28"/>
  <c r="F162" i="28"/>
  <c r="E162" i="28"/>
  <c r="D162" i="28"/>
  <c r="C162" i="28"/>
  <c r="Q161" i="28"/>
  <c r="P161" i="28"/>
  <c r="O161" i="28"/>
  <c r="N161" i="28"/>
  <c r="M161" i="28"/>
  <c r="L161" i="28"/>
  <c r="K161" i="28"/>
  <c r="J161" i="28"/>
  <c r="I161" i="28"/>
  <c r="H161" i="28"/>
  <c r="G161" i="28"/>
  <c r="F161" i="28"/>
  <c r="E161" i="28"/>
  <c r="D161" i="28"/>
  <c r="C161" i="28"/>
  <c r="Q160" i="28"/>
  <c r="P160" i="28"/>
  <c r="O160" i="28"/>
  <c r="N160" i="28"/>
  <c r="M160" i="28"/>
  <c r="L160" i="28"/>
  <c r="K160" i="28"/>
  <c r="J160" i="28"/>
  <c r="I160" i="28"/>
  <c r="H160" i="28"/>
  <c r="G160" i="28"/>
  <c r="F160" i="28"/>
  <c r="E160" i="28"/>
  <c r="D160" i="28"/>
  <c r="C160" i="28"/>
  <c r="Q159" i="28"/>
  <c r="P159" i="28"/>
  <c r="O159" i="28"/>
  <c r="N159" i="28"/>
  <c r="M159" i="28"/>
  <c r="L159" i="28"/>
  <c r="K159" i="28"/>
  <c r="J159" i="28"/>
  <c r="I159" i="28"/>
  <c r="H159" i="28"/>
  <c r="G159" i="28"/>
  <c r="F159" i="28"/>
  <c r="E159" i="28"/>
  <c r="D159" i="28"/>
  <c r="C159" i="28"/>
  <c r="Q158" i="28"/>
  <c r="P158" i="28"/>
  <c r="O158" i="28"/>
  <c r="N158" i="28"/>
  <c r="M158" i="28"/>
  <c r="L158" i="28"/>
  <c r="K158" i="28"/>
  <c r="J158" i="28"/>
  <c r="I158" i="28"/>
  <c r="H158" i="28"/>
  <c r="G158" i="28"/>
  <c r="F158" i="28"/>
  <c r="E158" i="28"/>
  <c r="D158" i="28"/>
  <c r="C158" i="28"/>
  <c r="Q157" i="28"/>
  <c r="P157" i="28"/>
  <c r="O157" i="28"/>
  <c r="N157" i="28"/>
  <c r="M157" i="28"/>
  <c r="L157" i="28"/>
  <c r="K157" i="28"/>
  <c r="J157" i="28"/>
  <c r="I157" i="28"/>
  <c r="H157" i="28"/>
  <c r="G157" i="28"/>
  <c r="F157" i="28"/>
  <c r="E157" i="28"/>
  <c r="D157" i="28"/>
  <c r="C157" i="28"/>
  <c r="Q156" i="28"/>
  <c r="P156" i="28"/>
  <c r="O156" i="28"/>
  <c r="N156" i="28"/>
  <c r="M156" i="28"/>
  <c r="L156" i="28"/>
  <c r="K156" i="28"/>
  <c r="J156" i="28"/>
  <c r="I156" i="28"/>
  <c r="H156" i="28"/>
  <c r="G156" i="28"/>
  <c r="F156" i="28"/>
  <c r="E156" i="28"/>
  <c r="D156" i="28"/>
  <c r="C156" i="28"/>
  <c r="Q155" i="28"/>
  <c r="P155" i="28"/>
  <c r="O155" i="28"/>
  <c r="N155" i="28"/>
  <c r="M155" i="28"/>
  <c r="L155" i="28"/>
  <c r="K155" i="28"/>
  <c r="J155" i="28"/>
  <c r="I155" i="28"/>
  <c r="H155" i="28"/>
  <c r="G155" i="28"/>
  <c r="F155" i="28"/>
  <c r="E155" i="28"/>
  <c r="D155" i="28"/>
  <c r="C155" i="28"/>
  <c r="Q154" i="28"/>
  <c r="P154" i="28"/>
  <c r="O154" i="28"/>
  <c r="N154" i="28"/>
  <c r="M154" i="28"/>
  <c r="L154" i="28"/>
  <c r="K154" i="28"/>
  <c r="J154" i="28"/>
  <c r="I154" i="28"/>
  <c r="H154" i="28"/>
  <c r="G154" i="28"/>
  <c r="F154" i="28"/>
  <c r="E154" i="28"/>
  <c r="D154" i="28"/>
  <c r="C154" i="28"/>
  <c r="Q153" i="28"/>
  <c r="P153" i="28"/>
  <c r="O153" i="28"/>
  <c r="N153" i="28"/>
  <c r="M153" i="28"/>
  <c r="L153" i="28"/>
  <c r="K153" i="28"/>
  <c r="J153" i="28"/>
  <c r="I153" i="28"/>
  <c r="H153" i="28"/>
  <c r="G153" i="28"/>
  <c r="F153" i="28"/>
  <c r="E153" i="28"/>
  <c r="D153" i="28"/>
  <c r="C153" i="28"/>
  <c r="Q152" i="28"/>
  <c r="P152" i="28"/>
  <c r="O152" i="28"/>
  <c r="N152" i="28"/>
  <c r="M152" i="28"/>
  <c r="L152" i="28"/>
  <c r="K152" i="28"/>
  <c r="J152" i="28"/>
  <c r="I152" i="28"/>
  <c r="H152" i="28"/>
  <c r="G152" i="28"/>
  <c r="F152" i="28"/>
  <c r="E152" i="28"/>
  <c r="D152" i="28"/>
  <c r="C152" i="28"/>
  <c r="Q151" i="28"/>
  <c r="P151" i="28"/>
  <c r="O151" i="28"/>
  <c r="N151" i="28"/>
  <c r="M151" i="28"/>
  <c r="L151" i="28"/>
  <c r="K151" i="28"/>
  <c r="J151" i="28"/>
  <c r="I151" i="28"/>
  <c r="H151" i="28"/>
  <c r="G151" i="28"/>
  <c r="F151" i="28"/>
  <c r="E151" i="28"/>
  <c r="D151" i="28"/>
  <c r="C151" i="28"/>
  <c r="Q150" i="28"/>
  <c r="P150" i="28"/>
  <c r="O150" i="28"/>
  <c r="N150" i="28"/>
  <c r="M150" i="28"/>
  <c r="L150" i="28"/>
  <c r="K150" i="28"/>
  <c r="J150" i="28"/>
  <c r="I150" i="28"/>
  <c r="H150" i="28"/>
  <c r="G150" i="28"/>
  <c r="F150" i="28"/>
  <c r="E150" i="28"/>
  <c r="D150" i="28"/>
  <c r="C150" i="28"/>
  <c r="Q149" i="28"/>
  <c r="P149" i="28"/>
  <c r="O149" i="28"/>
  <c r="N149" i="28"/>
  <c r="M149" i="28"/>
  <c r="L149" i="28"/>
  <c r="K149" i="28"/>
  <c r="J149" i="28"/>
  <c r="I149" i="28"/>
  <c r="H149" i="28"/>
  <c r="G149" i="28"/>
  <c r="F149" i="28"/>
  <c r="E149" i="28"/>
  <c r="D149" i="28"/>
  <c r="C149" i="28"/>
  <c r="Q148" i="28"/>
  <c r="P148" i="28"/>
  <c r="O148" i="28"/>
  <c r="N148" i="28"/>
  <c r="M148" i="28"/>
  <c r="L148" i="28"/>
  <c r="K148" i="28"/>
  <c r="J148" i="28"/>
  <c r="I148" i="28"/>
  <c r="H148" i="28"/>
  <c r="G148" i="28"/>
  <c r="F148" i="28"/>
  <c r="E148" i="28"/>
  <c r="D148" i="28"/>
  <c r="C148" i="28"/>
  <c r="Q147" i="28"/>
  <c r="P147" i="28"/>
  <c r="O147" i="28"/>
  <c r="N147" i="28"/>
  <c r="M147" i="28"/>
  <c r="L147" i="28"/>
  <c r="K147" i="28"/>
  <c r="J147" i="28"/>
  <c r="I147" i="28"/>
  <c r="H147" i="28"/>
  <c r="G147" i="28"/>
  <c r="F147" i="28"/>
  <c r="E147" i="28"/>
  <c r="D147" i="28"/>
  <c r="C147" i="28"/>
  <c r="Q146" i="28"/>
  <c r="P146" i="28"/>
  <c r="O146" i="28"/>
  <c r="N146" i="28"/>
  <c r="M146" i="28"/>
  <c r="L146" i="28"/>
  <c r="K146" i="28"/>
  <c r="J146" i="28"/>
  <c r="I146" i="28"/>
  <c r="H146" i="28"/>
  <c r="G146" i="28"/>
  <c r="F146" i="28"/>
  <c r="E146" i="28"/>
  <c r="D146" i="28"/>
  <c r="C146" i="28"/>
  <c r="Q145" i="28"/>
  <c r="P145" i="28"/>
  <c r="O145" i="28"/>
  <c r="N145" i="28"/>
  <c r="M145" i="28"/>
  <c r="L145" i="28"/>
  <c r="K145" i="28"/>
  <c r="J145" i="28"/>
  <c r="I145" i="28"/>
  <c r="H145" i="28"/>
  <c r="G145" i="28"/>
  <c r="F145" i="28"/>
  <c r="E145" i="28"/>
  <c r="D145" i="28"/>
  <c r="C145" i="28"/>
  <c r="Q144" i="28"/>
  <c r="P144" i="28"/>
  <c r="O144" i="28"/>
  <c r="N144" i="28"/>
  <c r="M144" i="28"/>
  <c r="L144" i="28"/>
  <c r="K144" i="28"/>
  <c r="J144" i="28"/>
  <c r="I144" i="28"/>
  <c r="H144" i="28"/>
  <c r="G144" i="28"/>
  <c r="F144" i="28"/>
  <c r="E144" i="28"/>
  <c r="D144" i="28"/>
  <c r="C144" i="28"/>
  <c r="Q143" i="28"/>
  <c r="P143" i="28"/>
  <c r="O143" i="28"/>
  <c r="N143" i="28"/>
  <c r="M143" i="28"/>
  <c r="L143" i="28"/>
  <c r="K143" i="28"/>
  <c r="J143" i="28"/>
  <c r="I143" i="28"/>
  <c r="H143" i="28"/>
  <c r="G143" i="28"/>
  <c r="F143" i="28"/>
  <c r="E143" i="28"/>
  <c r="D143" i="28"/>
  <c r="C143" i="28"/>
  <c r="Q142" i="28"/>
  <c r="P142" i="28"/>
  <c r="O142" i="28"/>
  <c r="N142" i="28"/>
  <c r="M142" i="28"/>
  <c r="L142" i="28"/>
  <c r="K142" i="28"/>
  <c r="J142" i="28"/>
  <c r="I142" i="28"/>
  <c r="H142" i="28"/>
  <c r="G142" i="28"/>
  <c r="F142" i="28"/>
  <c r="E142" i="28"/>
  <c r="D142" i="28"/>
  <c r="C142" i="28"/>
  <c r="Q141" i="28"/>
  <c r="P141" i="28"/>
  <c r="O141" i="28"/>
  <c r="N141" i="28"/>
  <c r="M141" i="28"/>
  <c r="L141" i="28"/>
  <c r="K141" i="28"/>
  <c r="J141" i="28"/>
  <c r="I141" i="28"/>
  <c r="H141" i="28"/>
  <c r="G141" i="28"/>
  <c r="F141" i="28"/>
  <c r="E141" i="28"/>
  <c r="D141" i="28"/>
  <c r="C141" i="28"/>
  <c r="Q140" i="28"/>
  <c r="P140" i="28"/>
  <c r="O140" i="28"/>
  <c r="N140" i="28"/>
  <c r="M140" i="28"/>
  <c r="L140" i="28"/>
  <c r="K140" i="28"/>
  <c r="J140" i="28"/>
  <c r="I140" i="28"/>
  <c r="H140" i="28"/>
  <c r="G140" i="28"/>
  <c r="F140" i="28"/>
  <c r="E140" i="28"/>
  <c r="D140" i="28"/>
  <c r="C140" i="28"/>
  <c r="Q139" i="28"/>
  <c r="P139" i="28"/>
  <c r="O139" i="28"/>
  <c r="N139" i="28"/>
  <c r="M139" i="28"/>
  <c r="L139" i="28"/>
  <c r="K139" i="28"/>
  <c r="J139" i="28"/>
  <c r="I139" i="28"/>
  <c r="H139" i="28"/>
  <c r="G139" i="28"/>
  <c r="F139" i="28"/>
  <c r="E139" i="28"/>
  <c r="D139" i="28"/>
  <c r="C139" i="28"/>
  <c r="Q138" i="28"/>
  <c r="P138" i="28"/>
  <c r="O138" i="28"/>
  <c r="N138" i="28"/>
  <c r="M138" i="28"/>
  <c r="L138" i="28"/>
  <c r="K138" i="28"/>
  <c r="J138" i="28"/>
  <c r="I138" i="28"/>
  <c r="H138" i="28"/>
  <c r="G138" i="28"/>
  <c r="F138" i="28"/>
  <c r="E138" i="28"/>
  <c r="D138" i="28"/>
  <c r="C138" i="28"/>
  <c r="Q137" i="28"/>
  <c r="P137" i="28"/>
  <c r="O137" i="28"/>
  <c r="N137" i="28"/>
  <c r="M137" i="28"/>
  <c r="L137" i="28"/>
  <c r="K137" i="28"/>
  <c r="J137" i="28"/>
  <c r="I137" i="28"/>
  <c r="H137" i="28"/>
  <c r="G137" i="28"/>
  <c r="F137" i="28"/>
  <c r="E137" i="28"/>
  <c r="D137" i="28"/>
  <c r="C137" i="28"/>
  <c r="Q136" i="28"/>
  <c r="P136" i="28"/>
  <c r="O136" i="28"/>
  <c r="N136" i="28"/>
  <c r="M136" i="28"/>
  <c r="L136" i="28"/>
  <c r="K136" i="28"/>
  <c r="J136" i="28"/>
  <c r="I136" i="28"/>
  <c r="H136" i="28"/>
  <c r="G136" i="28"/>
  <c r="F136" i="28"/>
  <c r="E136" i="28"/>
  <c r="D136" i="28"/>
  <c r="C136" i="28"/>
  <c r="Q135" i="28"/>
  <c r="P135" i="28"/>
  <c r="O135" i="28"/>
  <c r="N135" i="28"/>
  <c r="M135" i="28"/>
  <c r="L135" i="28"/>
  <c r="K135" i="28"/>
  <c r="J135" i="28"/>
  <c r="I135" i="28"/>
  <c r="H135" i="28"/>
  <c r="G135" i="28"/>
  <c r="F135" i="28"/>
  <c r="E135" i="28"/>
  <c r="D135" i="28"/>
  <c r="C135" i="28"/>
  <c r="AE134" i="28"/>
  <c r="N130" i="28" s="1"/>
  <c r="AD134" i="28"/>
  <c r="AC134" i="28"/>
  <c r="M134" i="28" s="1"/>
  <c r="AB134" i="28"/>
  <c r="AA134" i="28"/>
  <c r="Z134" i="28"/>
  <c r="J129" i="28" s="1"/>
  <c r="Y134" i="28"/>
  <c r="X134" i="28"/>
  <c r="W134" i="28"/>
  <c r="V134" i="28"/>
  <c r="U134" i="28"/>
  <c r="E134" i="28" s="1"/>
  <c r="T134" i="28"/>
  <c r="S134" i="28"/>
  <c r="Q134" i="28"/>
  <c r="P134" i="28"/>
  <c r="O134" i="28"/>
  <c r="AE133" i="28"/>
  <c r="AD133" i="28"/>
  <c r="AC133" i="28"/>
  <c r="AB133" i="28"/>
  <c r="AA133" i="28"/>
  <c r="Z133" i="28"/>
  <c r="Y133" i="28"/>
  <c r="X133" i="28"/>
  <c r="W133" i="28"/>
  <c r="V133" i="28"/>
  <c r="U133" i="28"/>
  <c r="T133" i="28"/>
  <c r="S133" i="28"/>
  <c r="Q133" i="28"/>
  <c r="P133" i="28"/>
  <c r="O133" i="28"/>
  <c r="N133" i="28"/>
  <c r="AE132" i="28"/>
  <c r="AD132" i="28"/>
  <c r="AD7" i="28" s="1"/>
  <c r="AC132" i="28"/>
  <c r="AB132" i="28"/>
  <c r="AA132" i="28"/>
  <c r="Z132" i="28"/>
  <c r="Y132" i="28"/>
  <c r="X132" i="28"/>
  <c r="W132" i="28"/>
  <c r="V132" i="28"/>
  <c r="V7" i="28" s="1"/>
  <c r="U132" i="28"/>
  <c r="U7" i="28" s="1"/>
  <c r="T132" i="28"/>
  <c r="S132" i="28"/>
  <c r="Q132" i="28"/>
  <c r="P132" i="28"/>
  <c r="O132" i="28"/>
  <c r="AE131" i="28"/>
  <c r="AD131" i="28"/>
  <c r="AC131" i="28"/>
  <c r="AB131" i="28"/>
  <c r="AA131" i="28"/>
  <c r="Z131" i="28"/>
  <c r="Z6" i="28" s="1"/>
  <c r="Y131" i="28"/>
  <c r="X131" i="28"/>
  <c r="W131" i="28"/>
  <c r="V131" i="28"/>
  <c r="U131" i="28"/>
  <c r="U6" i="28" s="1"/>
  <c r="T131" i="28"/>
  <c r="S131" i="28"/>
  <c r="Q131" i="28"/>
  <c r="P131" i="28"/>
  <c r="O131" i="28"/>
  <c r="AE130" i="28"/>
  <c r="AD130" i="28"/>
  <c r="AC130" i="28"/>
  <c r="AC5" i="28" s="1"/>
  <c r="AB130" i="28"/>
  <c r="AA130" i="28"/>
  <c r="Z130" i="28"/>
  <c r="Y130" i="28"/>
  <c r="X130" i="28"/>
  <c r="W130" i="28"/>
  <c r="V130" i="28"/>
  <c r="U130" i="28"/>
  <c r="U5" i="28" s="1"/>
  <c r="T130" i="28"/>
  <c r="S130" i="28"/>
  <c r="Q130" i="28"/>
  <c r="P130" i="28"/>
  <c r="O130" i="28"/>
  <c r="AE129" i="28"/>
  <c r="AD129" i="28"/>
  <c r="AC129" i="28"/>
  <c r="AB129" i="28"/>
  <c r="AA129" i="28"/>
  <c r="Z129" i="28"/>
  <c r="Z4" i="28" s="1"/>
  <c r="Y129" i="28"/>
  <c r="X129" i="28"/>
  <c r="W129" i="28"/>
  <c r="V129" i="28"/>
  <c r="U129" i="28"/>
  <c r="T129" i="28"/>
  <c r="S129" i="28"/>
  <c r="Q129" i="28"/>
  <c r="P129" i="28"/>
  <c r="O129" i="28"/>
  <c r="Q128" i="28"/>
  <c r="P128" i="28"/>
  <c r="O128" i="28"/>
  <c r="N128" i="28"/>
  <c r="M128" i="28"/>
  <c r="L128" i="28"/>
  <c r="K128" i="28"/>
  <c r="J128" i="28"/>
  <c r="I128" i="28"/>
  <c r="H128" i="28"/>
  <c r="G128" i="28"/>
  <c r="F128" i="28"/>
  <c r="E128" i="28"/>
  <c r="D128" i="28"/>
  <c r="C128" i="28"/>
  <c r="Q127" i="28"/>
  <c r="P127" i="28"/>
  <c r="O127" i="28"/>
  <c r="N127" i="28"/>
  <c r="M127" i="28"/>
  <c r="L127" i="28"/>
  <c r="K127" i="28"/>
  <c r="J127" i="28"/>
  <c r="I127" i="28"/>
  <c r="H127" i="28"/>
  <c r="G127" i="28"/>
  <c r="F127" i="28"/>
  <c r="E127" i="28"/>
  <c r="D127" i="28"/>
  <c r="C127" i="28"/>
  <c r="Q126" i="28"/>
  <c r="P126" i="28"/>
  <c r="O126" i="28"/>
  <c r="N126" i="28"/>
  <c r="M126" i="28"/>
  <c r="L126" i="28"/>
  <c r="K126" i="28"/>
  <c r="J126" i="28"/>
  <c r="I126" i="28"/>
  <c r="H126" i="28"/>
  <c r="G126" i="28"/>
  <c r="F126" i="28"/>
  <c r="E126" i="28"/>
  <c r="D126" i="28"/>
  <c r="C126" i="28"/>
  <c r="Q125" i="28"/>
  <c r="P125" i="28"/>
  <c r="O125" i="28"/>
  <c r="N125" i="28"/>
  <c r="M125" i="28"/>
  <c r="L125" i="28"/>
  <c r="K125" i="28"/>
  <c r="J125" i="28"/>
  <c r="I125" i="28"/>
  <c r="H125" i="28"/>
  <c r="G125" i="28"/>
  <c r="F125" i="28"/>
  <c r="E125" i="28"/>
  <c r="D125" i="28"/>
  <c r="C125" i="28"/>
  <c r="Q124" i="28"/>
  <c r="P124" i="28"/>
  <c r="O124" i="28"/>
  <c r="N124" i="28"/>
  <c r="M124" i="28"/>
  <c r="L124" i="28"/>
  <c r="K124" i="28"/>
  <c r="J124" i="28"/>
  <c r="I124" i="28"/>
  <c r="H124" i="28"/>
  <c r="G124" i="28"/>
  <c r="F124" i="28"/>
  <c r="E124" i="28"/>
  <c r="D124" i="28"/>
  <c r="C124" i="28"/>
  <c r="Q123" i="28"/>
  <c r="P123" i="28"/>
  <c r="O123" i="28"/>
  <c r="N123" i="28"/>
  <c r="M123" i="28"/>
  <c r="L123" i="28"/>
  <c r="K123" i="28"/>
  <c r="J123" i="28"/>
  <c r="I123" i="28"/>
  <c r="H123" i="28"/>
  <c r="G123" i="28"/>
  <c r="F123" i="28"/>
  <c r="E123" i="28"/>
  <c r="D123" i="28"/>
  <c r="C123" i="28"/>
  <c r="Q122" i="28"/>
  <c r="P122" i="28"/>
  <c r="O122" i="28"/>
  <c r="N122" i="28"/>
  <c r="M122" i="28"/>
  <c r="L122" i="28"/>
  <c r="K122" i="28"/>
  <c r="J122" i="28"/>
  <c r="I122" i="28"/>
  <c r="H122" i="28"/>
  <c r="G122" i="28"/>
  <c r="F122" i="28"/>
  <c r="E122" i="28"/>
  <c r="D122" i="28"/>
  <c r="C122" i="28"/>
  <c r="Q121" i="28"/>
  <c r="P121" i="28"/>
  <c r="O121" i="28"/>
  <c r="N121" i="28"/>
  <c r="M121" i="28"/>
  <c r="L121" i="28"/>
  <c r="K121" i="28"/>
  <c r="J121" i="28"/>
  <c r="I121" i="28"/>
  <c r="H121" i="28"/>
  <c r="G121" i="28"/>
  <c r="F121" i="28"/>
  <c r="E121" i="28"/>
  <c r="D121" i="28"/>
  <c r="C121" i="28"/>
  <c r="Q120" i="28"/>
  <c r="P120" i="28"/>
  <c r="O120" i="28"/>
  <c r="N120" i="28"/>
  <c r="M120" i="28"/>
  <c r="L120" i="28"/>
  <c r="K120" i="28"/>
  <c r="J120" i="28"/>
  <c r="I120" i="28"/>
  <c r="H120" i="28"/>
  <c r="G120" i="28"/>
  <c r="F120" i="28"/>
  <c r="E120" i="28"/>
  <c r="D120" i="28"/>
  <c r="C120" i="28"/>
  <c r="Q119" i="28"/>
  <c r="P119" i="28"/>
  <c r="O119" i="28"/>
  <c r="N119" i="28"/>
  <c r="M119" i="28"/>
  <c r="L119" i="28"/>
  <c r="K119" i="28"/>
  <c r="J119" i="28"/>
  <c r="I119" i="28"/>
  <c r="H119" i="28"/>
  <c r="G119" i="28"/>
  <c r="F119" i="28"/>
  <c r="E119" i="28"/>
  <c r="D119" i="28"/>
  <c r="C119" i="28"/>
  <c r="Q118" i="28"/>
  <c r="P118" i="28"/>
  <c r="O118" i="28"/>
  <c r="N118" i="28"/>
  <c r="M118" i="28"/>
  <c r="L118" i="28"/>
  <c r="K118" i="28"/>
  <c r="J118" i="28"/>
  <c r="I118" i="28"/>
  <c r="H118" i="28"/>
  <c r="G118" i="28"/>
  <c r="F118" i="28"/>
  <c r="E118" i="28"/>
  <c r="D118" i="28"/>
  <c r="C118" i="28"/>
  <c r="Q117" i="28"/>
  <c r="P117" i="28"/>
  <c r="O117" i="28"/>
  <c r="N117" i="28"/>
  <c r="M117" i="28"/>
  <c r="L117" i="28"/>
  <c r="K117" i="28"/>
  <c r="J117" i="28"/>
  <c r="I117" i="28"/>
  <c r="H117" i="28"/>
  <c r="G117" i="28"/>
  <c r="F117" i="28"/>
  <c r="E117" i="28"/>
  <c r="D117" i="28"/>
  <c r="C117" i="28"/>
  <c r="Q116" i="28"/>
  <c r="P116" i="28"/>
  <c r="O116" i="28"/>
  <c r="N116" i="28"/>
  <c r="M116" i="28"/>
  <c r="L116" i="28"/>
  <c r="K116" i="28"/>
  <c r="J116" i="28"/>
  <c r="I116" i="28"/>
  <c r="H116" i="28"/>
  <c r="G116" i="28"/>
  <c r="F116" i="28"/>
  <c r="E116" i="28"/>
  <c r="D116" i="28"/>
  <c r="C116" i="28"/>
  <c r="Q115" i="28"/>
  <c r="P115" i="28"/>
  <c r="O115" i="28"/>
  <c r="N115" i="28"/>
  <c r="M115" i="28"/>
  <c r="L115" i="28"/>
  <c r="K115" i="28"/>
  <c r="J115" i="28"/>
  <c r="I115" i="28"/>
  <c r="H115" i="28"/>
  <c r="G115" i="28"/>
  <c r="F115" i="28"/>
  <c r="E115" i="28"/>
  <c r="D115" i="28"/>
  <c r="C115" i="28"/>
  <c r="Q114" i="28"/>
  <c r="P114" i="28"/>
  <c r="O114" i="28"/>
  <c r="N114" i="28"/>
  <c r="M114" i="28"/>
  <c r="L114" i="28"/>
  <c r="K114" i="28"/>
  <c r="J114" i="28"/>
  <c r="I114" i="28"/>
  <c r="H114" i="28"/>
  <c r="G114" i="28"/>
  <c r="F114" i="28"/>
  <c r="E114" i="28"/>
  <c r="D114" i="28"/>
  <c r="C114" i="28"/>
  <c r="Q113" i="28"/>
  <c r="P113" i="28"/>
  <c r="O113" i="28"/>
  <c r="N113" i="28"/>
  <c r="M113" i="28"/>
  <c r="L113" i="28"/>
  <c r="K113" i="28"/>
  <c r="J113" i="28"/>
  <c r="I113" i="28"/>
  <c r="H113" i="28"/>
  <c r="G113" i="28"/>
  <c r="F113" i="28"/>
  <c r="E113" i="28"/>
  <c r="D113" i="28"/>
  <c r="C113" i="28"/>
  <c r="Q112" i="28"/>
  <c r="P112" i="28"/>
  <c r="O112" i="28"/>
  <c r="N112" i="28"/>
  <c r="M112" i="28"/>
  <c r="L112" i="28"/>
  <c r="K112" i="28"/>
  <c r="J112" i="28"/>
  <c r="I112" i="28"/>
  <c r="H112" i="28"/>
  <c r="G112" i="28"/>
  <c r="F112" i="28"/>
  <c r="E112" i="28"/>
  <c r="D112" i="28"/>
  <c r="C112" i="28"/>
  <c r="Q111" i="28"/>
  <c r="P111" i="28"/>
  <c r="O111" i="28"/>
  <c r="N111" i="28"/>
  <c r="M111" i="28"/>
  <c r="L111" i="28"/>
  <c r="K111" i="28"/>
  <c r="J111" i="28"/>
  <c r="I111" i="28"/>
  <c r="H111" i="28"/>
  <c r="G111" i="28"/>
  <c r="F111" i="28"/>
  <c r="E111" i="28"/>
  <c r="D111" i="28"/>
  <c r="C111" i="28"/>
  <c r="Q110" i="28"/>
  <c r="P110" i="28"/>
  <c r="O110" i="28"/>
  <c r="N110" i="28"/>
  <c r="M110" i="28"/>
  <c r="L110" i="28"/>
  <c r="K110" i="28"/>
  <c r="J110" i="28"/>
  <c r="I110" i="28"/>
  <c r="H110" i="28"/>
  <c r="G110" i="28"/>
  <c r="F110" i="28"/>
  <c r="E110" i="28"/>
  <c r="D110" i="28"/>
  <c r="C110" i="28"/>
  <c r="Q109" i="28"/>
  <c r="P109" i="28"/>
  <c r="O109" i="28"/>
  <c r="N109" i="28"/>
  <c r="M109" i="28"/>
  <c r="L109" i="28"/>
  <c r="K109" i="28"/>
  <c r="J109" i="28"/>
  <c r="I109" i="28"/>
  <c r="H109" i="28"/>
  <c r="G109" i="28"/>
  <c r="F109" i="28"/>
  <c r="E109" i="28"/>
  <c r="D109" i="28"/>
  <c r="C109" i="28"/>
  <c r="Q108" i="28"/>
  <c r="P108" i="28"/>
  <c r="O108" i="28"/>
  <c r="N108" i="28"/>
  <c r="M108" i="28"/>
  <c r="L108" i="28"/>
  <c r="K108" i="28"/>
  <c r="J108" i="28"/>
  <c r="I108" i="28"/>
  <c r="H108" i="28"/>
  <c r="G108" i="28"/>
  <c r="F108" i="28"/>
  <c r="E108" i="28"/>
  <c r="D108" i="28"/>
  <c r="C108" i="28"/>
  <c r="Q107" i="28"/>
  <c r="P107" i="28"/>
  <c r="O107" i="28"/>
  <c r="N107" i="28"/>
  <c r="M107" i="28"/>
  <c r="L107" i="28"/>
  <c r="K107" i="28"/>
  <c r="J107" i="28"/>
  <c r="I107" i="28"/>
  <c r="H107" i="28"/>
  <c r="G107" i="28"/>
  <c r="F107" i="28"/>
  <c r="E107" i="28"/>
  <c r="D107" i="28"/>
  <c r="C107" i="28"/>
  <c r="Q106" i="28"/>
  <c r="P106" i="28"/>
  <c r="O106" i="28"/>
  <c r="N106" i="28"/>
  <c r="M106" i="28"/>
  <c r="L106" i="28"/>
  <c r="K106" i="28"/>
  <c r="J106" i="28"/>
  <c r="I106" i="28"/>
  <c r="H106" i="28"/>
  <c r="G106" i="28"/>
  <c r="F106" i="28"/>
  <c r="E106" i="28"/>
  <c r="D106" i="28"/>
  <c r="C106" i="28"/>
  <c r="Q105" i="28"/>
  <c r="P105" i="28"/>
  <c r="O105" i="28"/>
  <c r="N105" i="28"/>
  <c r="M105" i="28"/>
  <c r="L105" i="28"/>
  <c r="K105" i="28"/>
  <c r="J105" i="28"/>
  <c r="I105" i="28"/>
  <c r="H105" i="28"/>
  <c r="G105" i="28"/>
  <c r="F105" i="28"/>
  <c r="E105" i="28"/>
  <c r="D105" i="28"/>
  <c r="C105" i="28"/>
  <c r="Q104" i="28"/>
  <c r="P104" i="28"/>
  <c r="O104" i="28"/>
  <c r="N104" i="28"/>
  <c r="M104" i="28"/>
  <c r="L104" i="28"/>
  <c r="K104" i="28"/>
  <c r="J104" i="28"/>
  <c r="I104" i="28"/>
  <c r="H104" i="28"/>
  <c r="G104" i="28"/>
  <c r="F104" i="28"/>
  <c r="E104" i="28"/>
  <c r="D104" i="28"/>
  <c r="C104" i="28"/>
  <c r="Q103" i="28"/>
  <c r="P103" i="28"/>
  <c r="O103" i="28"/>
  <c r="N103" i="28"/>
  <c r="M103" i="28"/>
  <c r="L103" i="28"/>
  <c r="K103" i="28"/>
  <c r="J103" i="28"/>
  <c r="I103" i="28"/>
  <c r="H103" i="28"/>
  <c r="G103" i="28"/>
  <c r="F103" i="28"/>
  <c r="E103" i="28"/>
  <c r="D103" i="28"/>
  <c r="C103" i="28"/>
  <c r="Q102" i="28"/>
  <c r="P102" i="28"/>
  <c r="O102" i="28"/>
  <c r="N102" i="28"/>
  <c r="M102" i="28"/>
  <c r="L102" i="28"/>
  <c r="K102" i="28"/>
  <c r="J102" i="28"/>
  <c r="I102" i="28"/>
  <c r="H102" i="28"/>
  <c r="G102" i="28"/>
  <c r="F102" i="28"/>
  <c r="E102" i="28"/>
  <c r="D102" i="28"/>
  <c r="C102" i="28"/>
  <c r="Q101" i="28"/>
  <c r="P101" i="28"/>
  <c r="O101" i="28"/>
  <c r="N101" i="28"/>
  <c r="M101" i="28"/>
  <c r="L101" i="28"/>
  <c r="K101" i="28"/>
  <c r="J101" i="28"/>
  <c r="I101" i="28"/>
  <c r="H101" i="28"/>
  <c r="G101" i="28"/>
  <c r="F101" i="28"/>
  <c r="E101" i="28"/>
  <c r="D101" i="28"/>
  <c r="C101" i="28"/>
  <c r="Q100" i="28"/>
  <c r="P100" i="28"/>
  <c r="O100" i="28"/>
  <c r="N100" i="28"/>
  <c r="M100" i="28"/>
  <c r="L100" i="28"/>
  <c r="K100" i="28"/>
  <c r="J100" i="28"/>
  <c r="I100" i="28"/>
  <c r="H100" i="28"/>
  <c r="G100" i="28"/>
  <c r="F100" i="28"/>
  <c r="E100" i="28"/>
  <c r="D100" i="28"/>
  <c r="C100" i="28"/>
  <c r="Q99" i="28"/>
  <c r="P99" i="28"/>
  <c r="O99" i="28"/>
  <c r="N99" i="28"/>
  <c r="M99" i="28"/>
  <c r="L99" i="28"/>
  <c r="K99" i="28"/>
  <c r="J99" i="28"/>
  <c r="I99" i="28"/>
  <c r="H99" i="28"/>
  <c r="G99" i="28"/>
  <c r="F99" i="28"/>
  <c r="E99" i="28"/>
  <c r="D99" i="28"/>
  <c r="C99" i="28"/>
  <c r="Q98" i="28"/>
  <c r="P98" i="28"/>
  <c r="O98" i="28"/>
  <c r="N98" i="28"/>
  <c r="M98" i="28"/>
  <c r="L98" i="28"/>
  <c r="K98" i="28"/>
  <c r="J98" i="28"/>
  <c r="I98" i="28"/>
  <c r="H98" i="28"/>
  <c r="G98" i="28"/>
  <c r="F98" i="28"/>
  <c r="E98" i="28"/>
  <c r="D98" i="28"/>
  <c r="C98" i="28"/>
  <c r="Q97" i="28"/>
  <c r="P97" i="28"/>
  <c r="O97" i="28"/>
  <c r="N97" i="28"/>
  <c r="M97" i="28"/>
  <c r="L97" i="28"/>
  <c r="K97" i="28"/>
  <c r="J97" i="28"/>
  <c r="I97" i="28"/>
  <c r="H97" i="28"/>
  <c r="G97" i="28"/>
  <c r="F97" i="28"/>
  <c r="E97" i="28"/>
  <c r="D97" i="28"/>
  <c r="C97" i="28"/>
  <c r="Q96" i="28"/>
  <c r="P96" i="28"/>
  <c r="O96" i="28"/>
  <c r="N96" i="28"/>
  <c r="M96" i="28"/>
  <c r="L96" i="28"/>
  <c r="K96" i="28"/>
  <c r="J96" i="28"/>
  <c r="I96" i="28"/>
  <c r="H96" i="28"/>
  <c r="G96" i="28"/>
  <c r="F96" i="28"/>
  <c r="E96" i="28"/>
  <c r="D96" i="28"/>
  <c r="C96" i="28"/>
  <c r="Q95" i="28"/>
  <c r="P95" i="28"/>
  <c r="O95" i="28"/>
  <c r="N95" i="28"/>
  <c r="M95" i="28"/>
  <c r="L95" i="28"/>
  <c r="K95" i="28"/>
  <c r="J95" i="28"/>
  <c r="I95" i="28"/>
  <c r="H95" i="28"/>
  <c r="G95" i="28"/>
  <c r="F95" i="28"/>
  <c r="E95" i="28"/>
  <c r="D95" i="28"/>
  <c r="C95" i="28"/>
  <c r="Q94" i="28"/>
  <c r="P94" i="28"/>
  <c r="O94" i="28"/>
  <c r="N94" i="28"/>
  <c r="M94" i="28"/>
  <c r="L94" i="28"/>
  <c r="K94" i="28"/>
  <c r="J94" i="28"/>
  <c r="I94" i="28"/>
  <c r="H94" i="28"/>
  <c r="G94" i="28"/>
  <c r="F94" i="28"/>
  <c r="E94" i="28"/>
  <c r="D94" i="28"/>
  <c r="C94" i="28"/>
  <c r="Q93" i="28"/>
  <c r="P93" i="28"/>
  <c r="O93" i="28"/>
  <c r="N93" i="28"/>
  <c r="M93" i="28"/>
  <c r="L93" i="28"/>
  <c r="K93" i="28"/>
  <c r="J93" i="28"/>
  <c r="I93" i="28"/>
  <c r="H93" i="28"/>
  <c r="G93" i="28"/>
  <c r="F93" i="28"/>
  <c r="E93" i="28"/>
  <c r="D93" i="28"/>
  <c r="C93" i="28"/>
  <c r="Q92" i="28"/>
  <c r="P92" i="28"/>
  <c r="O92" i="28"/>
  <c r="N92" i="28"/>
  <c r="M92" i="28"/>
  <c r="L92" i="28"/>
  <c r="K92" i="28"/>
  <c r="J92" i="28"/>
  <c r="I92" i="28"/>
  <c r="H92" i="28"/>
  <c r="G92" i="28"/>
  <c r="F92" i="28"/>
  <c r="E92" i="28"/>
  <c r="D92" i="28"/>
  <c r="C92" i="28"/>
  <c r="Q91" i="28"/>
  <c r="P91" i="28"/>
  <c r="O91" i="28"/>
  <c r="N91" i="28"/>
  <c r="M91" i="28"/>
  <c r="L91" i="28"/>
  <c r="K91" i="28"/>
  <c r="J91" i="28"/>
  <c r="I91" i="28"/>
  <c r="H91" i="28"/>
  <c r="G91" i="28"/>
  <c r="F91" i="28"/>
  <c r="E91" i="28"/>
  <c r="D91" i="28"/>
  <c r="C91" i="28"/>
  <c r="Q90" i="28"/>
  <c r="P90" i="28"/>
  <c r="O90" i="28"/>
  <c r="N90" i="28"/>
  <c r="M90" i="28"/>
  <c r="L90" i="28"/>
  <c r="K90" i="28"/>
  <c r="J90" i="28"/>
  <c r="I90" i="28"/>
  <c r="H90" i="28"/>
  <c r="G90" i="28"/>
  <c r="F90" i="28"/>
  <c r="E90" i="28"/>
  <c r="D90" i="28"/>
  <c r="C90" i="28"/>
  <c r="Q89" i="28"/>
  <c r="P89" i="28"/>
  <c r="O89" i="28"/>
  <c r="N89" i="28"/>
  <c r="M89" i="28"/>
  <c r="L89" i="28"/>
  <c r="K89" i="28"/>
  <c r="J89" i="28"/>
  <c r="I89" i="28"/>
  <c r="H89" i="28"/>
  <c r="G89" i="28"/>
  <c r="F89" i="28"/>
  <c r="E89" i="28"/>
  <c r="D89" i="28"/>
  <c r="C89" i="28"/>
  <c r="Q88" i="28"/>
  <c r="P88" i="28"/>
  <c r="O88" i="28"/>
  <c r="N88" i="28"/>
  <c r="M88" i="28"/>
  <c r="L88" i="28"/>
  <c r="K88" i="28"/>
  <c r="J88" i="28"/>
  <c r="I88" i="28"/>
  <c r="H88" i="28"/>
  <c r="G88" i="28"/>
  <c r="F88" i="28"/>
  <c r="E88" i="28"/>
  <c r="D88" i="28"/>
  <c r="C88" i="28"/>
  <c r="Q87" i="28"/>
  <c r="P87" i="28"/>
  <c r="O87" i="28"/>
  <c r="N87" i="28"/>
  <c r="M87" i="28"/>
  <c r="L87" i="28"/>
  <c r="K87" i="28"/>
  <c r="J87" i="28"/>
  <c r="I87" i="28"/>
  <c r="H87" i="28"/>
  <c r="G87" i="28"/>
  <c r="F87" i="28"/>
  <c r="E87" i="28"/>
  <c r="D87" i="28"/>
  <c r="C87" i="28"/>
  <c r="Q86" i="28"/>
  <c r="P86" i="28"/>
  <c r="O86" i="28"/>
  <c r="N86" i="28"/>
  <c r="M86" i="28"/>
  <c r="L86" i="28"/>
  <c r="K86" i="28"/>
  <c r="J86" i="28"/>
  <c r="I86" i="28"/>
  <c r="H86" i="28"/>
  <c r="G86" i="28"/>
  <c r="F86" i="28"/>
  <c r="E86" i="28"/>
  <c r="D86" i="28"/>
  <c r="C86" i="28"/>
  <c r="Q85" i="28"/>
  <c r="P85" i="28"/>
  <c r="O85" i="28"/>
  <c r="N85" i="28"/>
  <c r="M85" i="28"/>
  <c r="L85" i="28"/>
  <c r="K85" i="28"/>
  <c r="J85" i="28"/>
  <c r="I85" i="28"/>
  <c r="H85" i="28"/>
  <c r="G85" i="28"/>
  <c r="F85" i="28"/>
  <c r="E85" i="28"/>
  <c r="D85" i="28"/>
  <c r="C85" i="28"/>
  <c r="Q84" i="28"/>
  <c r="P84" i="28"/>
  <c r="O84" i="28"/>
  <c r="N84" i="28"/>
  <c r="M84" i="28"/>
  <c r="L84" i="28"/>
  <c r="K84" i="28"/>
  <c r="J84" i="28"/>
  <c r="I84" i="28"/>
  <c r="H84" i="28"/>
  <c r="G84" i="28"/>
  <c r="F84" i="28"/>
  <c r="E84" i="28"/>
  <c r="D84" i="28"/>
  <c r="C84" i="28"/>
  <c r="Q83" i="28"/>
  <c r="P83" i="28"/>
  <c r="O83" i="28"/>
  <c r="N83" i="28"/>
  <c r="M83" i="28"/>
  <c r="L83" i="28"/>
  <c r="K83" i="28"/>
  <c r="J83" i="28"/>
  <c r="I83" i="28"/>
  <c r="H83" i="28"/>
  <c r="G83" i="28"/>
  <c r="F83" i="28"/>
  <c r="E83" i="28"/>
  <c r="D83" i="28"/>
  <c r="C83" i="28"/>
  <c r="Q82" i="28"/>
  <c r="P82" i="28"/>
  <c r="O82" i="28"/>
  <c r="N82" i="28"/>
  <c r="M82" i="28"/>
  <c r="L82" i="28"/>
  <c r="K82" i="28"/>
  <c r="J82" i="28"/>
  <c r="I82" i="28"/>
  <c r="H82" i="28"/>
  <c r="G82" i="28"/>
  <c r="F82" i="28"/>
  <c r="E82" i="28"/>
  <c r="D82" i="28"/>
  <c r="C82" i="28"/>
  <c r="Q81" i="28"/>
  <c r="P81" i="28"/>
  <c r="O81" i="28"/>
  <c r="N81" i="28"/>
  <c r="M81" i="28"/>
  <c r="L81" i="28"/>
  <c r="K81" i="28"/>
  <c r="J81" i="28"/>
  <c r="I81" i="28"/>
  <c r="H81" i="28"/>
  <c r="G81" i="28"/>
  <c r="F81" i="28"/>
  <c r="E81" i="28"/>
  <c r="D81" i="28"/>
  <c r="C81" i="28"/>
  <c r="Q80" i="28"/>
  <c r="P80" i="28"/>
  <c r="O80" i="28"/>
  <c r="N80" i="28"/>
  <c r="M80" i="28"/>
  <c r="L80" i="28"/>
  <c r="K80" i="28"/>
  <c r="J80" i="28"/>
  <c r="I80" i="28"/>
  <c r="H80" i="28"/>
  <c r="G80" i="28"/>
  <c r="F80" i="28"/>
  <c r="E80" i="28"/>
  <c r="D80" i="28"/>
  <c r="C80" i="28"/>
  <c r="Q79" i="28"/>
  <c r="P79" i="28"/>
  <c r="O79" i="28"/>
  <c r="N79" i="28"/>
  <c r="M79" i="28"/>
  <c r="L79" i="28"/>
  <c r="K79" i="28"/>
  <c r="J79" i="28"/>
  <c r="I79" i="28"/>
  <c r="H79" i="28"/>
  <c r="G79" i="28"/>
  <c r="F79" i="28"/>
  <c r="E79" i="28"/>
  <c r="D79" i="28"/>
  <c r="C79" i="28"/>
  <c r="Q78" i="28"/>
  <c r="P78" i="28"/>
  <c r="O78" i="28"/>
  <c r="N78" i="28"/>
  <c r="M78" i="28"/>
  <c r="L78" i="28"/>
  <c r="K78" i="28"/>
  <c r="J78" i="28"/>
  <c r="I78" i="28"/>
  <c r="H78" i="28"/>
  <c r="G78" i="28"/>
  <c r="F78" i="28"/>
  <c r="E78" i="28"/>
  <c r="D78" i="28"/>
  <c r="C78" i="28"/>
  <c r="Q77" i="28"/>
  <c r="P77" i="28"/>
  <c r="O77" i="28"/>
  <c r="N77" i="28"/>
  <c r="M77" i="28"/>
  <c r="L77" i="28"/>
  <c r="K77" i="28"/>
  <c r="J77" i="28"/>
  <c r="I77" i="28"/>
  <c r="H77" i="28"/>
  <c r="G77" i="28"/>
  <c r="F77" i="28"/>
  <c r="E77" i="28"/>
  <c r="D77" i="28"/>
  <c r="C77" i="28"/>
  <c r="Q76" i="28"/>
  <c r="P76" i="28"/>
  <c r="O76" i="28"/>
  <c r="N76" i="28"/>
  <c r="M76" i="28"/>
  <c r="L76" i="28"/>
  <c r="K76" i="28"/>
  <c r="J76" i="28"/>
  <c r="I76" i="28"/>
  <c r="H76" i="28"/>
  <c r="G76" i="28"/>
  <c r="F76" i="28"/>
  <c r="E76" i="28"/>
  <c r="D76" i="28"/>
  <c r="C76" i="28"/>
  <c r="Q75" i="28"/>
  <c r="P75" i="28"/>
  <c r="O75" i="28"/>
  <c r="N75" i="28"/>
  <c r="M75" i="28"/>
  <c r="L75" i="28"/>
  <c r="K75" i="28"/>
  <c r="J75" i="28"/>
  <c r="I75" i="28"/>
  <c r="H75" i="28"/>
  <c r="G75" i="28"/>
  <c r="F75" i="28"/>
  <c r="E75" i="28"/>
  <c r="D75" i="28"/>
  <c r="C75" i="28"/>
  <c r="Q74" i="28"/>
  <c r="P74" i="28"/>
  <c r="O74" i="28"/>
  <c r="N74" i="28"/>
  <c r="M74" i="28"/>
  <c r="L74" i="28"/>
  <c r="K74" i="28"/>
  <c r="J74" i="28"/>
  <c r="I74" i="28"/>
  <c r="H74" i="28"/>
  <c r="G74" i="28"/>
  <c r="F74" i="28"/>
  <c r="E74" i="28"/>
  <c r="D74" i="28"/>
  <c r="C74" i="28"/>
  <c r="Q73" i="28"/>
  <c r="P73" i="28"/>
  <c r="O73" i="28"/>
  <c r="N73" i="28"/>
  <c r="M73" i="28"/>
  <c r="L73" i="28"/>
  <c r="K73" i="28"/>
  <c r="J73" i="28"/>
  <c r="I73" i="28"/>
  <c r="H73" i="28"/>
  <c r="G73" i="28"/>
  <c r="F73" i="28"/>
  <c r="E73" i="28"/>
  <c r="D73" i="28"/>
  <c r="C73" i="28"/>
  <c r="Q72" i="28"/>
  <c r="P72" i="28"/>
  <c r="O72" i="28"/>
  <c r="N72" i="28"/>
  <c r="M72" i="28"/>
  <c r="L72" i="28"/>
  <c r="K72" i="28"/>
  <c r="J72" i="28"/>
  <c r="I72" i="28"/>
  <c r="H72" i="28"/>
  <c r="G72" i="28"/>
  <c r="F72" i="28"/>
  <c r="E72" i="28"/>
  <c r="D72" i="28"/>
  <c r="C72" i="28"/>
  <c r="Q71" i="28"/>
  <c r="P71" i="28"/>
  <c r="O71" i="28"/>
  <c r="N71" i="28"/>
  <c r="M71" i="28"/>
  <c r="L71" i="28"/>
  <c r="K71" i="28"/>
  <c r="J71" i="28"/>
  <c r="I71" i="28"/>
  <c r="H71" i="28"/>
  <c r="G71" i="28"/>
  <c r="F71" i="28"/>
  <c r="E71" i="28"/>
  <c r="D71" i="28"/>
  <c r="C71" i="28"/>
  <c r="Q70" i="28"/>
  <c r="P70" i="28"/>
  <c r="O70" i="28"/>
  <c r="N70" i="28"/>
  <c r="M70" i="28"/>
  <c r="L70" i="28"/>
  <c r="K70" i="28"/>
  <c r="J70" i="28"/>
  <c r="I70" i="28"/>
  <c r="H70" i="28"/>
  <c r="G70" i="28"/>
  <c r="F70" i="28"/>
  <c r="E70" i="28"/>
  <c r="D70" i="28"/>
  <c r="C70" i="28"/>
  <c r="Q69" i="28"/>
  <c r="P69" i="28"/>
  <c r="O69" i="28"/>
  <c r="N69" i="28"/>
  <c r="M69" i="28"/>
  <c r="L69" i="28"/>
  <c r="K69" i="28"/>
  <c r="J69" i="28"/>
  <c r="I69" i="28"/>
  <c r="H69" i="28"/>
  <c r="G69" i="28"/>
  <c r="F69" i="28"/>
  <c r="E69" i="28"/>
  <c r="D69" i="28"/>
  <c r="C69" i="28"/>
  <c r="Q68" i="28"/>
  <c r="P68" i="28"/>
  <c r="O68" i="28"/>
  <c r="N68" i="28"/>
  <c r="M68" i="28"/>
  <c r="L68" i="28"/>
  <c r="K68" i="28"/>
  <c r="J68" i="28"/>
  <c r="I68" i="28"/>
  <c r="H68" i="28"/>
  <c r="G68" i="28"/>
  <c r="F68" i="28"/>
  <c r="E68" i="28"/>
  <c r="D68" i="28"/>
  <c r="C68" i="28"/>
  <c r="Q67" i="28"/>
  <c r="P67" i="28"/>
  <c r="O67" i="28"/>
  <c r="N67" i="28"/>
  <c r="M67" i="28"/>
  <c r="L67" i="28"/>
  <c r="K67" i="28"/>
  <c r="J67" i="28"/>
  <c r="I67" i="28"/>
  <c r="H67" i="28"/>
  <c r="G67" i="28"/>
  <c r="F67" i="28"/>
  <c r="E67" i="28"/>
  <c r="D67" i="28"/>
  <c r="C67" i="28"/>
  <c r="Q66" i="28"/>
  <c r="P66" i="28"/>
  <c r="O66" i="28"/>
  <c r="N66" i="28"/>
  <c r="M66" i="28"/>
  <c r="L66" i="28"/>
  <c r="K66" i="28"/>
  <c r="J66" i="28"/>
  <c r="I66" i="28"/>
  <c r="H66" i="28"/>
  <c r="G66" i="28"/>
  <c r="F66" i="28"/>
  <c r="E66" i="28"/>
  <c r="D66" i="28"/>
  <c r="C66" i="28"/>
  <c r="Q65" i="28"/>
  <c r="P65" i="28"/>
  <c r="O65" i="28"/>
  <c r="N65" i="28"/>
  <c r="M65" i="28"/>
  <c r="L65" i="28"/>
  <c r="K65" i="28"/>
  <c r="J65" i="28"/>
  <c r="I65" i="28"/>
  <c r="H65" i="28"/>
  <c r="G65" i="28"/>
  <c r="F65" i="28"/>
  <c r="E65" i="28"/>
  <c r="D65" i="28"/>
  <c r="C65" i="28"/>
  <c r="Q64" i="28"/>
  <c r="P64" i="28"/>
  <c r="O64" i="28"/>
  <c r="N64" i="28"/>
  <c r="M64" i="28"/>
  <c r="L64" i="28"/>
  <c r="K64" i="28"/>
  <c r="J64" i="28"/>
  <c r="I64" i="28"/>
  <c r="H64" i="28"/>
  <c r="G64" i="28"/>
  <c r="F64" i="28"/>
  <c r="E64" i="28"/>
  <c r="D64" i="28"/>
  <c r="C64" i="28"/>
  <c r="Q63" i="28"/>
  <c r="P63" i="28"/>
  <c r="O63" i="28"/>
  <c r="N63" i="28"/>
  <c r="M63" i="28"/>
  <c r="L63" i="28"/>
  <c r="K63" i="28"/>
  <c r="J63" i="28"/>
  <c r="I63" i="28"/>
  <c r="H63" i="28"/>
  <c r="G63" i="28"/>
  <c r="F63" i="28"/>
  <c r="E63" i="28"/>
  <c r="D63" i="28"/>
  <c r="C63" i="28"/>
  <c r="Q62" i="28"/>
  <c r="P62" i="28"/>
  <c r="O62" i="28"/>
  <c r="N62" i="28"/>
  <c r="M62" i="28"/>
  <c r="L62" i="28"/>
  <c r="K62" i="28"/>
  <c r="J62" i="28"/>
  <c r="I62" i="28"/>
  <c r="H62" i="28"/>
  <c r="G62" i="28"/>
  <c r="F62" i="28"/>
  <c r="E62" i="28"/>
  <c r="D62" i="28"/>
  <c r="C62" i="28"/>
  <c r="Q61" i="28"/>
  <c r="P61" i="28"/>
  <c r="O61" i="28"/>
  <c r="N61" i="28"/>
  <c r="M61" i="28"/>
  <c r="L61" i="28"/>
  <c r="K61" i="28"/>
  <c r="J61" i="28"/>
  <c r="I61" i="28"/>
  <c r="H61" i="28"/>
  <c r="G61" i="28"/>
  <c r="F61" i="28"/>
  <c r="E61" i="28"/>
  <c r="D61" i="28"/>
  <c r="C61" i="28"/>
  <c r="Q60" i="28"/>
  <c r="P60" i="28"/>
  <c r="O60" i="28"/>
  <c r="N60" i="28"/>
  <c r="M60" i="28"/>
  <c r="L60" i="28"/>
  <c r="K60" i="28"/>
  <c r="J60" i="28"/>
  <c r="I60" i="28"/>
  <c r="H60" i="28"/>
  <c r="G60" i="28"/>
  <c r="F60" i="28"/>
  <c r="E60" i="28"/>
  <c r="D60" i="28"/>
  <c r="C60" i="28"/>
  <c r="Q59" i="28"/>
  <c r="P59" i="28"/>
  <c r="O59" i="28"/>
  <c r="N59" i="28"/>
  <c r="M59" i="28"/>
  <c r="L59" i="28"/>
  <c r="K59" i="28"/>
  <c r="J59" i="28"/>
  <c r="I59" i="28"/>
  <c r="H59" i="28"/>
  <c r="G59" i="28"/>
  <c r="F59" i="28"/>
  <c r="E59" i="28"/>
  <c r="D59" i="28"/>
  <c r="C59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AF9" i="28"/>
  <c r="O9" i="28" s="1"/>
  <c r="AG6" i="28"/>
  <c r="AB5" i="28"/>
  <c r="N129" i="28" l="1"/>
  <c r="N134" i="28"/>
  <c r="F133" i="28"/>
  <c r="V6" i="28"/>
  <c r="AD6" i="28"/>
  <c r="F131" i="28"/>
  <c r="F132" i="28"/>
  <c r="G129" i="28"/>
  <c r="Y6" i="28"/>
  <c r="F134" i="28"/>
  <c r="I133" i="28"/>
  <c r="F130" i="28"/>
  <c r="AC6" i="28"/>
  <c r="Y5" i="28"/>
  <c r="AB6" i="28"/>
  <c r="AA9" i="28"/>
  <c r="Z7" i="28"/>
  <c r="Y4" i="28"/>
  <c r="AE8" i="28"/>
  <c r="J131" i="28"/>
  <c r="S7" i="28"/>
  <c r="AA7" i="28"/>
  <c r="X8" i="28"/>
  <c r="Y9" i="28"/>
  <c r="S4" i="28"/>
  <c r="N131" i="28"/>
  <c r="T7" i="28"/>
  <c r="AB7" i="28"/>
  <c r="Y8" i="28"/>
  <c r="J134" i="28"/>
  <c r="F215" i="28"/>
  <c r="E218" i="28"/>
  <c r="C292" i="28"/>
  <c r="C294" i="28"/>
  <c r="Y7" i="28"/>
  <c r="S9" i="28"/>
  <c r="C9" i="28" s="1"/>
  <c r="F218" i="28"/>
  <c r="J294" i="28"/>
  <c r="J132" i="28"/>
  <c r="X9" i="28"/>
  <c r="H9" i="28" s="1"/>
  <c r="K292" i="28"/>
  <c r="K294" i="28"/>
  <c r="W7" i="28"/>
  <c r="AE7" i="28"/>
  <c r="AD9" i="28"/>
  <c r="T6" i="28"/>
  <c r="J133" i="28"/>
  <c r="J130" i="28"/>
  <c r="W8" i="28"/>
  <c r="J292" i="28"/>
  <c r="N132" i="28"/>
  <c r="M216" i="28"/>
  <c r="H216" i="28"/>
  <c r="AD8" i="28"/>
  <c r="O218" i="28"/>
  <c r="C293" i="28"/>
  <c r="S6" i="28"/>
  <c r="AA6" i="28"/>
  <c r="C295" i="28"/>
  <c r="X5" i="28"/>
  <c r="AA8" i="28"/>
  <c r="F292" i="28"/>
  <c r="AC9" i="28"/>
  <c r="AE4" i="28"/>
  <c r="F294" i="28"/>
  <c r="M215" i="28"/>
  <c r="E217" i="28"/>
  <c r="F217" i="28"/>
  <c r="M218" i="28"/>
  <c r="AG9" i="28"/>
  <c r="T4" i="28"/>
  <c r="AB4" i="28"/>
  <c r="Z5" i="28"/>
  <c r="AC7" i="28"/>
  <c r="I215" i="28"/>
  <c r="L213" i="28"/>
  <c r="S8" i="28"/>
  <c r="S5" i="28"/>
  <c r="T5" i="28"/>
  <c r="E213" i="28"/>
  <c r="D216" i="28"/>
  <c r="F216" i="28"/>
  <c r="P217" i="28"/>
  <c r="I217" i="28"/>
  <c r="T9" i="28"/>
  <c r="D9" i="28" s="1"/>
  <c r="M213" i="28"/>
  <c r="L215" i="28"/>
  <c r="AA5" i="28"/>
  <c r="E216" i="28"/>
  <c r="M217" i="28"/>
  <c r="W4" i="28"/>
  <c r="X7" i="28"/>
  <c r="U8" i="28"/>
  <c r="AC8" i="28"/>
  <c r="D213" i="28"/>
  <c r="I214" i="28"/>
  <c r="D215" i="28"/>
  <c r="L216" i="28"/>
  <c r="G132" i="28"/>
  <c r="G134" i="28"/>
  <c r="G130" i="28"/>
  <c r="W9" i="28"/>
  <c r="V5" i="28"/>
  <c r="V9" i="28"/>
  <c r="F9" i="28" s="1"/>
  <c r="F129" i="28"/>
  <c r="G133" i="28"/>
  <c r="AA4" i="28"/>
  <c r="AD5" i="28"/>
  <c r="U9" i="28"/>
  <c r="E8" i="28" s="1"/>
  <c r="W5" i="28"/>
  <c r="AE5" i="28"/>
  <c r="AD4" i="28"/>
  <c r="Z8" i="28"/>
  <c r="O5" i="28"/>
  <c r="O4" i="28"/>
  <c r="L295" i="28"/>
  <c r="L291" i="28"/>
  <c r="L293" i="28"/>
  <c r="L296" i="28"/>
  <c r="L294" i="28"/>
  <c r="L292" i="28"/>
  <c r="C129" i="28"/>
  <c r="L134" i="28"/>
  <c r="L130" i="28"/>
  <c r="L132" i="28"/>
  <c r="L133" i="28"/>
  <c r="L131" i="28"/>
  <c r="L129" i="28"/>
  <c r="J215" i="28"/>
  <c r="J217" i="28"/>
  <c r="J216" i="28"/>
  <c r="Z9" i="28"/>
  <c r="J213" i="28"/>
  <c r="N295" i="28"/>
  <c r="N293" i="28"/>
  <c r="N291" i="28"/>
  <c r="U4" i="28"/>
  <c r="AC4" i="28"/>
  <c r="H292" i="28"/>
  <c r="H296" i="28"/>
  <c r="H294" i="28"/>
  <c r="H295" i="28"/>
  <c r="H293" i="28"/>
  <c r="H291" i="28"/>
  <c r="K131" i="28"/>
  <c r="D134" i="28"/>
  <c r="D132" i="28"/>
  <c r="D130" i="28"/>
  <c r="D133" i="28"/>
  <c r="D131" i="28"/>
  <c r="D129" i="28"/>
  <c r="V4" i="28"/>
  <c r="F213" i="28"/>
  <c r="AE6" i="28"/>
  <c r="Q214" i="28"/>
  <c r="Q216" i="28"/>
  <c r="Q215" i="28"/>
  <c r="AH9" i="28"/>
  <c r="K130" i="28"/>
  <c r="C132" i="28"/>
  <c r="T8" i="28"/>
  <c r="K134" i="28"/>
  <c r="K216" i="28"/>
  <c r="K218" i="28"/>
  <c r="K217" i="28"/>
  <c r="K213" i="28"/>
  <c r="K214" i="28"/>
  <c r="AE9" i="28"/>
  <c r="H133" i="28"/>
  <c r="H131" i="28"/>
  <c r="H129" i="28"/>
  <c r="H134" i="28"/>
  <c r="H132" i="28"/>
  <c r="H130" i="28"/>
  <c r="Q213" i="28"/>
  <c r="J218" i="28"/>
  <c r="G291" i="28"/>
  <c r="N292" i="28"/>
  <c r="G294" i="28"/>
  <c r="O6" i="28"/>
  <c r="O8" i="28"/>
  <c r="O7" i="28"/>
  <c r="G215" i="28"/>
  <c r="N294" i="28"/>
  <c r="D293" i="28"/>
  <c r="D291" i="28"/>
  <c r="D295" i="28"/>
  <c r="D296" i="28"/>
  <c r="D294" i="28"/>
  <c r="D292" i="28"/>
  <c r="C133" i="28"/>
  <c r="AB9" i="28"/>
  <c r="W6" i="28"/>
  <c r="N214" i="28"/>
  <c r="Q218" i="28"/>
  <c r="X6" i="28"/>
  <c r="AB8" i="28"/>
  <c r="C216" i="28"/>
  <c r="C218" i="28"/>
  <c r="C217" i="28"/>
  <c r="C213" i="28"/>
  <c r="C214" i="28"/>
  <c r="K129" i="28"/>
  <c r="C131" i="28"/>
  <c r="K133" i="28"/>
  <c r="V8" i="28"/>
  <c r="P7" i="28"/>
  <c r="X4" i="28"/>
  <c r="C130" i="28"/>
  <c r="G131" i="28"/>
  <c r="K132" i="28"/>
  <c r="C134" i="28"/>
  <c r="K215" i="28"/>
  <c r="G214" i="28"/>
  <c r="G213" i="28"/>
  <c r="G217" i="28"/>
  <c r="G218" i="28"/>
  <c r="N213" i="28"/>
  <c r="N216" i="28"/>
  <c r="N217" i="28"/>
  <c r="E129" i="28"/>
  <c r="M129" i="28"/>
  <c r="I130" i="28"/>
  <c r="E131" i="28"/>
  <c r="M131" i="28"/>
  <c r="I132" i="28"/>
  <c r="E133" i="28"/>
  <c r="M133" i="28"/>
  <c r="I134" i="28"/>
  <c r="D214" i="28"/>
  <c r="L214" i="28"/>
  <c r="O217" i="28"/>
  <c r="H218" i="28"/>
  <c r="I291" i="28"/>
  <c r="E292" i="28"/>
  <c r="M292" i="28"/>
  <c r="I293" i="28"/>
  <c r="E294" i="28"/>
  <c r="M294" i="28"/>
  <c r="I295" i="28"/>
  <c r="E296" i="28"/>
  <c r="M296" i="28"/>
  <c r="H215" i="28"/>
  <c r="I129" i="28"/>
  <c r="E130" i="28"/>
  <c r="M130" i="28"/>
  <c r="I131" i="28"/>
  <c r="E132" i="28"/>
  <c r="M132" i="28"/>
  <c r="O213" i="28"/>
  <c r="H214" i="28"/>
  <c r="D218" i="28"/>
  <c r="L218" i="28"/>
  <c r="E291" i="28"/>
  <c r="M291" i="28"/>
  <c r="I292" i="28"/>
  <c r="E293" i="28"/>
  <c r="M293" i="28"/>
  <c r="I294" i="28"/>
  <c r="Q356" i="27"/>
  <c r="P356" i="27"/>
  <c r="O356" i="27"/>
  <c r="N356" i="27"/>
  <c r="M356" i="27"/>
  <c r="L356" i="27"/>
  <c r="K356" i="27"/>
  <c r="J356" i="27"/>
  <c r="I356" i="27"/>
  <c r="H356" i="27"/>
  <c r="G356" i="27"/>
  <c r="F356" i="27"/>
  <c r="E356" i="27"/>
  <c r="D356" i="27"/>
  <c r="C356" i="27"/>
  <c r="Q355" i="27"/>
  <c r="P355" i="27"/>
  <c r="O355" i="27"/>
  <c r="N355" i="27"/>
  <c r="M355" i="27"/>
  <c r="L355" i="27"/>
  <c r="K355" i="27"/>
  <c r="J355" i="27"/>
  <c r="I355" i="27"/>
  <c r="H355" i="27"/>
  <c r="G355" i="27"/>
  <c r="F355" i="27"/>
  <c r="E355" i="27"/>
  <c r="D355" i="27"/>
  <c r="C355" i="27"/>
  <c r="Q354" i="27"/>
  <c r="P354" i="27"/>
  <c r="O354" i="27"/>
  <c r="N354" i="27"/>
  <c r="M354" i="27"/>
  <c r="L354" i="27"/>
  <c r="K354" i="27"/>
  <c r="J354" i="27"/>
  <c r="I354" i="27"/>
  <c r="H354" i="27"/>
  <c r="G354" i="27"/>
  <c r="F354" i="27"/>
  <c r="E354" i="27"/>
  <c r="D354" i="27"/>
  <c r="C354" i="27"/>
  <c r="Q353" i="27"/>
  <c r="P353" i="27"/>
  <c r="O353" i="27"/>
  <c r="N353" i="27"/>
  <c r="M353" i="27"/>
  <c r="L353" i="27"/>
  <c r="K353" i="27"/>
  <c r="J353" i="27"/>
  <c r="I353" i="27"/>
  <c r="H353" i="27"/>
  <c r="G353" i="27"/>
  <c r="F353" i="27"/>
  <c r="E353" i="27"/>
  <c r="D353" i="27"/>
  <c r="C353" i="27"/>
  <c r="Q352" i="27"/>
  <c r="P352" i="27"/>
  <c r="O352" i="27"/>
  <c r="N352" i="27"/>
  <c r="M352" i="27"/>
  <c r="L352" i="27"/>
  <c r="K352" i="27"/>
  <c r="J352" i="27"/>
  <c r="I352" i="27"/>
  <c r="H352" i="27"/>
  <c r="G352" i="27"/>
  <c r="F352" i="27"/>
  <c r="E352" i="27"/>
  <c r="D352" i="27"/>
  <c r="C352" i="27"/>
  <c r="Q351" i="27"/>
  <c r="P351" i="27"/>
  <c r="O351" i="27"/>
  <c r="N351" i="27"/>
  <c r="M351" i="27"/>
  <c r="L351" i="27"/>
  <c r="K351" i="27"/>
  <c r="J351" i="27"/>
  <c r="I351" i="27"/>
  <c r="H351" i="27"/>
  <c r="G351" i="27"/>
  <c r="F351" i="27"/>
  <c r="E351" i="27"/>
  <c r="D351" i="27"/>
  <c r="C351" i="27"/>
  <c r="Q350" i="27"/>
  <c r="P350" i="27"/>
  <c r="O350" i="27"/>
  <c r="N350" i="27"/>
  <c r="M350" i="27"/>
  <c r="L350" i="27"/>
  <c r="K350" i="27"/>
  <c r="J350" i="27"/>
  <c r="I350" i="27"/>
  <c r="H350" i="27"/>
  <c r="G350" i="27"/>
  <c r="F350" i="27"/>
  <c r="E350" i="27"/>
  <c r="D350" i="27"/>
  <c r="C350" i="27"/>
  <c r="Q349" i="27"/>
  <c r="P349" i="27"/>
  <c r="O349" i="27"/>
  <c r="N349" i="27"/>
  <c r="M349" i="27"/>
  <c r="L349" i="27"/>
  <c r="K349" i="27"/>
  <c r="J349" i="27"/>
  <c r="I349" i="27"/>
  <c r="H349" i="27"/>
  <c r="G349" i="27"/>
  <c r="F349" i="27"/>
  <c r="E349" i="27"/>
  <c r="D349" i="27"/>
  <c r="C349" i="27"/>
  <c r="Q348" i="27"/>
  <c r="P348" i="27"/>
  <c r="O348" i="27"/>
  <c r="N348" i="27"/>
  <c r="M348" i="27"/>
  <c r="L348" i="27"/>
  <c r="K348" i="27"/>
  <c r="J348" i="27"/>
  <c r="I348" i="27"/>
  <c r="H348" i="27"/>
  <c r="G348" i="27"/>
  <c r="F348" i="27"/>
  <c r="E348" i="27"/>
  <c r="D348" i="27"/>
  <c r="C348" i="27"/>
  <c r="Q347" i="27"/>
  <c r="P347" i="27"/>
  <c r="O347" i="27"/>
  <c r="N347" i="27"/>
  <c r="M347" i="27"/>
  <c r="L347" i="27"/>
  <c r="K347" i="27"/>
  <c r="J347" i="27"/>
  <c r="I347" i="27"/>
  <c r="H347" i="27"/>
  <c r="G347" i="27"/>
  <c r="F347" i="27"/>
  <c r="E347" i="27"/>
  <c r="D347" i="27"/>
  <c r="C347" i="27"/>
  <c r="Q346" i="27"/>
  <c r="P346" i="27"/>
  <c r="O346" i="27"/>
  <c r="N346" i="27"/>
  <c r="M346" i="27"/>
  <c r="L346" i="27"/>
  <c r="K346" i="27"/>
  <c r="J346" i="27"/>
  <c r="I346" i="27"/>
  <c r="H346" i="27"/>
  <c r="G346" i="27"/>
  <c r="F346" i="27"/>
  <c r="E346" i="27"/>
  <c r="D346" i="27"/>
  <c r="C346" i="27"/>
  <c r="Q345" i="27"/>
  <c r="P345" i="27"/>
  <c r="O345" i="27"/>
  <c r="N345" i="27"/>
  <c r="M345" i="27"/>
  <c r="L345" i="27"/>
  <c r="K345" i="27"/>
  <c r="J345" i="27"/>
  <c r="I345" i="27"/>
  <c r="H345" i="27"/>
  <c r="G345" i="27"/>
  <c r="F345" i="27"/>
  <c r="E345" i="27"/>
  <c r="D345" i="27"/>
  <c r="C345" i="27"/>
  <c r="Q344" i="27"/>
  <c r="P344" i="27"/>
  <c r="O344" i="27"/>
  <c r="N344" i="27"/>
  <c r="M344" i="27"/>
  <c r="L344" i="27"/>
  <c r="K344" i="27"/>
  <c r="J344" i="27"/>
  <c r="I344" i="27"/>
  <c r="H344" i="27"/>
  <c r="G344" i="27"/>
  <c r="F344" i="27"/>
  <c r="E344" i="27"/>
  <c r="D344" i="27"/>
  <c r="C344" i="27"/>
  <c r="Q343" i="27"/>
  <c r="P343" i="27"/>
  <c r="O343" i="27"/>
  <c r="N343" i="27"/>
  <c r="M343" i="27"/>
  <c r="L343" i="27"/>
  <c r="K343" i="27"/>
  <c r="J343" i="27"/>
  <c r="I343" i="27"/>
  <c r="H343" i="27"/>
  <c r="G343" i="27"/>
  <c r="F343" i="27"/>
  <c r="E343" i="27"/>
  <c r="D343" i="27"/>
  <c r="C343" i="27"/>
  <c r="Q342" i="27"/>
  <c r="P342" i="27"/>
  <c r="O342" i="27"/>
  <c r="N342" i="27"/>
  <c r="M342" i="27"/>
  <c r="L342" i="27"/>
  <c r="K342" i="27"/>
  <c r="J342" i="27"/>
  <c r="I342" i="27"/>
  <c r="H342" i="27"/>
  <c r="G342" i="27"/>
  <c r="F342" i="27"/>
  <c r="E342" i="27"/>
  <c r="D342" i="27"/>
  <c r="C342" i="27"/>
  <c r="Q341" i="27"/>
  <c r="P341" i="27"/>
  <c r="O341" i="27"/>
  <c r="N341" i="27"/>
  <c r="M341" i="27"/>
  <c r="L341" i="27"/>
  <c r="K341" i="27"/>
  <c r="J341" i="27"/>
  <c r="I341" i="27"/>
  <c r="H341" i="27"/>
  <c r="G341" i="27"/>
  <c r="F341" i="27"/>
  <c r="E341" i="27"/>
  <c r="D341" i="27"/>
  <c r="C341" i="27"/>
  <c r="Q340" i="27"/>
  <c r="P340" i="27"/>
  <c r="O340" i="27"/>
  <c r="N340" i="27"/>
  <c r="M340" i="27"/>
  <c r="L340" i="27"/>
  <c r="K340" i="27"/>
  <c r="J340" i="27"/>
  <c r="I340" i="27"/>
  <c r="H340" i="27"/>
  <c r="G340" i="27"/>
  <c r="F340" i="27"/>
  <c r="E340" i="27"/>
  <c r="D340" i="27"/>
  <c r="C340" i="27"/>
  <c r="Q339" i="27"/>
  <c r="P339" i="27"/>
  <c r="O339" i="27"/>
  <c r="N339" i="27"/>
  <c r="M339" i="27"/>
  <c r="L339" i="27"/>
  <c r="K339" i="27"/>
  <c r="J339" i="27"/>
  <c r="I339" i="27"/>
  <c r="H339" i="27"/>
  <c r="G339" i="27"/>
  <c r="F339" i="27"/>
  <c r="E339" i="27"/>
  <c r="D339" i="27"/>
  <c r="C339" i="27"/>
  <c r="Q338" i="27"/>
  <c r="P338" i="27"/>
  <c r="O338" i="27"/>
  <c r="N338" i="27"/>
  <c r="M338" i="27"/>
  <c r="L338" i="27"/>
  <c r="K338" i="27"/>
  <c r="J338" i="27"/>
  <c r="I338" i="27"/>
  <c r="H338" i="27"/>
  <c r="G338" i="27"/>
  <c r="F338" i="27"/>
  <c r="E338" i="27"/>
  <c r="D338" i="27"/>
  <c r="C338" i="27"/>
  <c r="Q337" i="27"/>
  <c r="P337" i="27"/>
  <c r="O337" i="27"/>
  <c r="N337" i="27"/>
  <c r="M337" i="27"/>
  <c r="L337" i="27"/>
  <c r="K337" i="27"/>
  <c r="J337" i="27"/>
  <c r="I337" i="27"/>
  <c r="H337" i="27"/>
  <c r="G337" i="27"/>
  <c r="F337" i="27"/>
  <c r="E337" i="27"/>
  <c r="D337" i="27"/>
  <c r="C337" i="27"/>
  <c r="Q336" i="27"/>
  <c r="P336" i="27"/>
  <c r="O336" i="27"/>
  <c r="N336" i="27"/>
  <c r="M336" i="27"/>
  <c r="L336" i="27"/>
  <c r="K336" i="27"/>
  <c r="J336" i="27"/>
  <c r="I336" i="27"/>
  <c r="H336" i="27"/>
  <c r="G336" i="27"/>
  <c r="F336" i="27"/>
  <c r="E336" i="27"/>
  <c r="D336" i="27"/>
  <c r="C336" i="27"/>
  <c r="Q335" i="27"/>
  <c r="P335" i="27"/>
  <c r="O335" i="27"/>
  <c r="N335" i="27"/>
  <c r="M335" i="27"/>
  <c r="L335" i="27"/>
  <c r="K335" i="27"/>
  <c r="J335" i="27"/>
  <c r="I335" i="27"/>
  <c r="H335" i="27"/>
  <c r="G335" i="27"/>
  <c r="F335" i="27"/>
  <c r="E335" i="27"/>
  <c r="D335" i="27"/>
  <c r="C335" i="27"/>
  <c r="Q334" i="27"/>
  <c r="P334" i="27"/>
  <c r="O334" i="27"/>
  <c r="N334" i="27"/>
  <c r="M334" i="27"/>
  <c r="L334" i="27"/>
  <c r="K334" i="27"/>
  <c r="J334" i="27"/>
  <c r="I334" i="27"/>
  <c r="H334" i="27"/>
  <c r="G334" i="27"/>
  <c r="F334" i="27"/>
  <c r="E334" i="27"/>
  <c r="D334" i="27"/>
  <c r="C334" i="27"/>
  <c r="Q333" i="27"/>
  <c r="P333" i="27"/>
  <c r="O333" i="27"/>
  <c r="N333" i="27"/>
  <c r="M333" i="27"/>
  <c r="L333" i="27"/>
  <c r="K333" i="27"/>
  <c r="J333" i="27"/>
  <c r="I333" i="27"/>
  <c r="H333" i="27"/>
  <c r="G333" i="27"/>
  <c r="F333" i="27"/>
  <c r="E333" i="27"/>
  <c r="D333" i="27"/>
  <c r="C333" i="27"/>
  <c r="Q332" i="27"/>
  <c r="P332" i="27"/>
  <c r="O332" i="27"/>
  <c r="N332" i="27"/>
  <c r="M332" i="27"/>
  <c r="L332" i="27"/>
  <c r="K332" i="27"/>
  <c r="J332" i="27"/>
  <c r="I332" i="27"/>
  <c r="H332" i="27"/>
  <c r="G332" i="27"/>
  <c r="F332" i="27"/>
  <c r="E332" i="27"/>
  <c r="D332" i="27"/>
  <c r="C332" i="27"/>
  <c r="Q331" i="27"/>
  <c r="P331" i="27"/>
  <c r="O331" i="27"/>
  <c r="N331" i="27"/>
  <c r="M331" i="27"/>
  <c r="L331" i="27"/>
  <c r="K331" i="27"/>
  <c r="J331" i="27"/>
  <c r="I331" i="27"/>
  <c r="H331" i="27"/>
  <c r="G331" i="27"/>
  <c r="F331" i="27"/>
  <c r="E331" i="27"/>
  <c r="D331" i="27"/>
  <c r="C331" i="27"/>
  <c r="Q330" i="27"/>
  <c r="P330" i="27"/>
  <c r="O330" i="27"/>
  <c r="N330" i="27"/>
  <c r="M330" i="27"/>
  <c r="L330" i="27"/>
  <c r="K330" i="27"/>
  <c r="J330" i="27"/>
  <c r="I330" i="27"/>
  <c r="H330" i="27"/>
  <c r="G330" i="27"/>
  <c r="F330" i="27"/>
  <c r="E330" i="27"/>
  <c r="D330" i="27"/>
  <c r="C330" i="27"/>
  <c r="Q329" i="27"/>
  <c r="P329" i="27"/>
  <c r="O329" i="27"/>
  <c r="N329" i="27"/>
  <c r="M329" i="27"/>
  <c r="L329" i="27"/>
  <c r="K329" i="27"/>
  <c r="J329" i="27"/>
  <c r="I329" i="27"/>
  <c r="H329" i="27"/>
  <c r="G329" i="27"/>
  <c r="F329" i="27"/>
  <c r="E329" i="27"/>
  <c r="D329" i="27"/>
  <c r="C329" i="27"/>
  <c r="Q328" i="27"/>
  <c r="P328" i="27"/>
  <c r="O328" i="27"/>
  <c r="N328" i="27"/>
  <c r="M328" i="27"/>
  <c r="L328" i="27"/>
  <c r="K328" i="27"/>
  <c r="J328" i="27"/>
  <c r="I328" i="27"/>
  <c r="H328" i="27"/>
  <c r="G328" i="27"/>
  <c r="F328" i="27"/>
  <c r="E328" i="27"/>
  <c r="D328" i="27"/>
  <c r="C328" i="27"/>
  <c r="Q327" i="27"/>
  <c r="P327" i="27"/>
  <c r="O327" i="27"/>
  <c r="N327" i="27"/>
  <c r="M327" i="27"/>
  <c r="L327" i="27"/>
  <c r="K327" i="27"/>
  <c r="J327" i="27"/>
  <c r="I327" i="27"/>
  <c r="H327" i="27"/>
  <c r="G327" i="27"/>
  <c r="F327" i="27"/>
  <c r="E327" i="27"/>
  <c r="D327" i="27"/>
  <c r="C327" i="27"/>
  <c r="Q326" i="27"/>
  <c r="P326" i="27"/>
  <c r="O326" i="27"/>
  <c r="N326" i="27"/>
  <c r="M326" i="27"/>
  <c r="L326" i="27"/>
  <c r="K326" i="27"/>
  <c r="J326" i="27"/>
  <c r="I326" i="27"/>
  <c r="H326" i="27"/>
  <c r="G326" i="27"/>
  <c r="F326" i="27"/>
  <c r="E326" i="27"/>
  <c r="D326" i="27"/>
  <c r="C326" i="27"/>
  <c r="Q325" i="27"/>
  <c r="P325" i="27"/>
  <c r="O325" i="27"/>
  <c r="N325" i="27"/>
  <c r="M325" i="27"/>
  <c r="L325" i="27"/>
  <c r="K325" i="27"/>
  <c r="J325" i="27"/>
  <c r="I325" i="27"/>
  <c r="H325" i="27"/>
  <c r="G325" i="27"/>
  <c r="F325" i="27"/>
  <c r="E325" i="27"/>
  <c r="D325" i="27"/>
  <c r="C325" i="27"/>
  <c r="Q324" i="27"/>
  <c r="P324" i="27"/>
  <c r="O324" i="27"/>
  <c r="N324" i="27"/>
  <c r="M324" i="27"/>
  <c r="L324" i="27"/>
  <c r="K324" i="27"/>
  <c r="J324" i="27"/>
  <c r="I324" i="27"/>
  <c r="H324" i="27"/>
  <c r="G324" i="27"/>
  <c r="F324" i="27"/>
  <c r="E324" i="27"/>
  <c r="D324" i="27"/>
  <c r="C324" i="27"/>
  <c r="Q323" i="27"/>
  <c r="P323" i="27"/>
  <c r="O323" i="27"/>
  <c r="N323" i="27"/>
  <c r="M323" i="27"/>
  <c r="L323" i="27"/>
  <c r="K323" i="27"/>
  <c r="J323" i="27"/>
  <c r="I323" i="27"/>
  <c r="H323" i="27"/>
  <c r="G323" i="27"/>
  <c r="F323" i="27"/>
  <c r="E323" i="27"/>
  <c r="D323" i="27"/>
  <c r="C323" i="27"/>
  <c r="Q322" i="27"/>
  <c r="P322" i="27"/>
  <c r="O322" i="27"/>
  <c r="N322" i="27"/>
  <c r="M322" i="27"/>
  <c r="L322" i="27"/>
  <c r="K322" i="27"/>
  <c r="J322" i="27"/>
  <c r="I322" i="27"/>
  <c r="H322" i="27"/>
  <c r="G322" i="27"/>
  <c r="F322" i="27"/>
  <c r="E322" i="27"/>
  <c r="D322" i="27"/>
  <c r="C322" i="27"/>
  <c r="Q321" i="27"/>
  <c r="P321" i="27"/>
  <c r="O321" i="27"/>
  <c r="N321" i="27"/>
  <c r="M321" i="27"/>
  <c r="L321" i="27"/>
  <c r="K321" i="27"/>
  <c r="J321" i="27"/>
  <c r="I321" i="27"/>
  <c r="H321" i="27"/>
  <c r="G321" i="27"/>
  <c r="F321" i="27"/>
  <c r="E321" i="27"/>
  <c r="D321" i="27"/>
  <c r="C321" i="27"/>
  <c r="Q320" i="27"/>
  <c r="P320" i="27"/>
  <c r="O320" i="27"/>
  <c r="N320" i="27"/>
  <c r="M320" i="27"/>
  <c r="L320" i="27"/>
  <c r="K320" i="27"/>
  <c r="J320" i="27"/>
  <c r="I320" i="27"/>
  <c r="H320" i="27"/>
  <c r="G320" i="27"/>
  <c r="F320" i="27"/>
  <c r="E320" i="27"/>
  <c r="D320" i="27"/>
  <c r="C320" i="27"/>
  <c r="Q319" i="27"/>
  <c r="P319" i="27"/>
  <c r="O319" i="27"/>
  <c r="N319" i="27"/>
  <c r="M319" i="27"/>
  <c r="L319" i="27"/>
  <c r="K319" i="27"/>
  <c r="J319" i="27"/>
  <c r="I319" i="27"/>
  <c r="H319" i="27"/>
  <c r="G319" i="27"/>
  <c r="F319" i="27"/>
  <c r="E319" i="27"/>
  <c r="D319" i="27"/>
  <c r="C319" i="27"/>
  <c r="Q318" i="27"/>
  <c r="P318" i="27"/>
  <c r="O318" i="27"/>
  <c r="N318" i="27"/>
  <c r="M318" i="27"/>
  <c r="L318" i="27"/>
  <c r="K318" i="27"/>
  <c r="J318" i="27"/>
  <c r="I318" i="27"/>
  <c r="H318" i="27"/>
  <c r="G318" i="27"/>
  <c r="F318" i="27"/>
  <c r="E318" i="27"/>
  <c r="D318" i="27"/>
  <c r="C318" i="27"/>
  <c r="Q317" i="27"/>
  <c r="P317" i="27"/>
  <c r="O317" i="27"/>
  <c r="N317" i="27"/>
  <c r="M317" i="27"/>
  <c r="L317" i="27"/>
  <c r="K317" i="27"/>
  <c r="J317" i="27"/>
  <c r="I317" i="27"/>
  <c r="H317" i="27"/>
  <c r="G317" i="27"/>
  <c r="F317" i="27"/>
  <c r="E317" i="27"/>
  <c r="D317" i="27"/>
  <c r="C317" i="27"/>
  <c r="Q316" i="27"/>
  <c r="P316" i="27"/>
  <c r="O316" i="27"/>
  <c r="N316" i="27"/>
  <c r="M316" i="27"/>
  <c r="L316" i="27"/>
  <c r="K316" i="27"/>
  <c r="J316" i="27"/>
  <c r="I316" i="27"/>
  <c r="H316" i="27"/>
  <c r="G316" i="27"/>
  <c r="F316" i="27"/>
  <c r="E316" i="27"/>
  <c r="D316" i="27"/>
  <c r="C316" i="27"/>
  <c r="Q315" i="27"/>
  <c r="P315" i="27"/>
  <c r="O315" i="27"/>
  <c r="N315" i="27"/>
  <c r="M315" i="27"/>
  <c r="L315" i="27"/>
  <c r="K315" i="27"/>
  <c r="J315" i="27"/>
  <c r="I315" i="27"/>
  <c r="H315" i="27"/>
  <c r="G315" i="27"/>
  <c r="F315" i="27"/>
  <c r="E315" i="27"/>
  <c r="D315" i="27"/>
  <c r="C315" i="27"/>
  <c r="Q314" i="27"/>
  <c r="P314" i="27"/>
  <c r="O314" i="27"/>
  <c r="N314" i="27"/>
  <c r="M314" i="27"/>
  <c r="L314" i="27"/>
  <c r="K314" i="27"/>
  <c r="J314" i="27"/>
  <c r="I314" i="27"/>
  <c r="H314" i="27"/>
  <c r="G314" i="27"/>
  <c r="F314" i="27"/>
  <c r="E314" i="27"/>
  <c r="D314" i="27"/>
  <c r="C314" i="27"/>
  <c r="Q313" i="27"/>
  <c r="P313" i="27"/>
  <c r="O313" i="27"/>
  <c r="N313" i="27"/>
  <c r="M313" i="27"/>
  <c r="L313" i="27"/>
  <c r="K313" i="27"/>
  <c r="J313" i="27"/>
  <c r="I313" i="27"/>
  <c r="H313" i="27"/>
  <c r="G313" i="27"/>
  <c r="F313" i="27"/>
  <c r="E313" i="27"/>
  <c r="D313" i="27"/>
  <c r="C313" i="27"/>
  <c r="Q312" i="27"/>
  <c r="P312" i="27"/>
  <c r="O312" i="27"/>
  <c r="N312" i="27"/>
  <c r="M312" i="27"/>
  <c r="L312" i="27"/>
  <c r="K312" i="27"/>
  <c r="J312" i="27"/>
  <c r="I312" i="27"/>
  <c r="H312" i="27"/>
  <c r="G312" i="27"/>
  <c r="F312" i="27"/>
  <c r="E312" i="27"/>
  <c r="D312" i="27"/>
  <c r="C312" i="27"/>
  <c r="Q311" i="27"/>
  <c r="P311" i="27"/>
  <c r="O311" i="27"/>
  <c r="N311" i="27"/>
  <c r="M311" i="27"/>
  <c r="L311" i="27"/>
  <c r="K311" i="27"/>
  <c r="J311" i="27"/>
  <c r="I311" i="27"/>
  <c r="H311" i="27"/>
  <c r="G311" i="27"/>
  <c r="F311" i="27"/>
  <c r="E311" i="27"/>
  <c r="D311" i="27"/>
  <c r="C311" i="27"/>
  <c r="Q310" i="27"/>
  <c r="P310" i="27"/>
  <c r="O310" i="27"/>
  <c r="N310" i="27"/>
  <c r="M310" i="27"/>
  <c r="L310" i="27"/>
  <c r="K310" i="27"/>
  <c r="J310" i="27"/>
  <c r="I310" i="27"/>
  <c r="H310" i="27"/>
  <c r="G310" i="27"/>
  <c r="F310" i="27"/>
  <c r="E310" i="27"/>
  <c r="D310" i="27"/>
  <c r="C310" i="27"/>
  <c r="Q309" i="27"/>
  <c r="P309" i="27"/>
  <c r="O309" i="27"/>
  <c r="N309" i="27"/>
  <c r="M309" i="27"/>
  <c r="L309" i="27"/>
  <c r="K309" i="27"/>
  <c r="J309" i="27"/>
  <c r="I309" i="27"/>
  <c r="H309" i="27"/>
  <c r="G309" i="27"/>
  <c r="F309" i="27"/>
  <c r="E309" i="27"/>
  <c r="D309" i="27"/>
  <c r="C309" i="27"/>
  <c r="Q308" i="27"/>
  <c r="P308" i="27"/>
  <c r="O308" i="27"/>
  <c r="N308" i="27"/>
  <c r="M308" i="27"/>
  <c r="L308" i="27"/>
  <c r="K308" i="27"/>
  <c r="J308" i="27"/>
  <c r="I308" i="27"/>
  <c r="H308" i="27"/>
  <c r="G308" i="27"/>
  <c r="F308" i="27"/>
  <c r="E308" i="27"/>
  <c r="D308" i="27"/>
  <c r="C308" i="27"/>
  <c r="Q307" i="27"/>
  <c r="P307" i="27"/>
  <c r="O307" i="27"/>
  <c r="N307" i="27"/>
  <c r="M307" i="27"/>
  <c r="L307" i="27"/>
  <c r="K307" i="27"/>
  <c r="J307" i="27"/>
  <c r="I307" i="27"/>
  <c r="H307" i="27"/>
  <c r="G307" i="27"/>
  <c r="F307" i="27"/>
  <c r="E307" i="27"/>
  <c r="D307" i="27"/>
  <c r="C307" i="27"/>
  <c r="Q306" i="27"/>
  <c r="P306" i="27"/>
  <c r="O306" i="27"/>
  <c r="N306" i="27"/>
  <c r="M306" i="27"/>
  <c r="L306" i="27"/>
  <c r="K306" i="27"/>
  <c r="J306" i="27"/>
  <c r="I306" i="27"/>
  <c r="H306" i="27"/>
  <c r="G306" i="27"/>
  <c r="F306" i="27"/>
  <c r="E306" i="27"/>
  <c r="D306" i="27"/>
  <c r="C306" i="27"/>
  <c r="Q305" i="27"/>
  <c r="P305" i="27"/>
  <c r="O305" i="27"/>
  <c r="N305" i="27"/>
  <c r="M305" i="27"/>
  <c r="L305" i="27"/>
  <c r="K305" i="27"/>
  <c r="J305" i="27"/>
  <c r="I305" i="27"/>
  <c r="H305" i="27"/>
  <c r="G305" i="27"/>
  <c r="F305" i="27"/>
  <c r="E305" i="27"/>
  <c r="D305" i="27"/>
  <c r="C305" i="27"/>
  <c r="Q304" i="27"/>
  <c r="P304" i="27"/>
  <c r="O304" i="27"/>
  <c r="N304" i="27"/>
  <c r="M304" i="27"/>
  <c r="L304" i="27"/>
  <c r="K304" i="27"/>
  <c r="J304" i="27"/>
  <c r="I304" i="27"/>
  <c r="H304" i="27"/>
  <c r="G304" i="27"/>
  <c r="F304" i="27"/>
  <c r="E304" i="27"/>
  <c r="D304" i="27"/>
  <c r="C304" i="27"/>
  <c r="Q303" i="27"/>
  <c r="P303" i="27"/>
  <c r="O303" i="27"/>
  <c r="N303" i="27"/>
  <c r="M303" i="27"/>
  <c r="L303" i="27"/>
  <c r="K303" i="27"/>
  <c r="J303" i="27"/>
  <c r="I303" i="27"/>
  <c r="H303" i="27"/>
  <c r="G303" i="27"/>
  <c r="F303" i="27"/>
  <c r="E303" i="27"/>
  <c r="D303" i="27"/>
  <c r="C303" i="27"/>
  <c r="Q302" i="27"/>
  <c r="P302" i="27"/>
  <c r="O302" i="27"/>
  <c r="N302" i="27"/>
  <c r="M302" i="27"/>
  <c r="L302" i="27"/>
  <c r="K302" i="27"/>
  <c r="J302" i="27"/>
  <c r="I302" i="27"/>
  <c r="H302" i="27"/>
  <c r="G302" i="27"/>
  <c r="F302" i="27"/>
  <c r="E302" i="27"/>
  <c r="D302" i="27"/>
  <c r="C302" i="27"/>
  <c r="Q301" i="27"/>
  <c r="P301" i="27"/>
  <c r="O301" i="27"/>
  <c r="N301" i="27"/>
  <c r="M301" i="27"/>
  <c r="L301" i="27"/>
  <c r="K301" i="27"/>
  <c r="J301" i="27"/>
  <c r="I301" i="27"/>
  <c r="H301" i="27"/>
  <c r="G301" i="27"/>
  <c r="F301" i="27"/>
  <c r="E301" i="27"/>
  <c r="D301" i="27"/>
  <c r="C301" i="27"/>
  <c r="Q300" i="27"/>
  <c r="P300" i="27"/>
  <c r="O300" i="27"/>
  <c r="N300" i="27"/>
  <c r="M300" i="27"/>
  <c r="L300" i="27"/>
  <c r="K300" i="27"/>
  <c r="J300" i="27"/>
  <c r="I300" i="27"/>
  <c r="H300" i="27"/>
  <c r="G300" i="27"/>
  <c r="F300" i="27"/>
  <c r="E300" i="27"/>
  <c r="D300" i="27"/>
  <c r="C300" i="27"/>
  <c r="Q299" i="27"/>
  <c r="P299" i="27"/>
  <c r="O299" i="27"/>
  <c r="N299" i="27"/>
  <c r="M299" i="27"/>
  <c r="L299" i="27"/>
  <c r="K299" i="27"/>
  <c r="J299" i="27"/>
  <c r="I299" i="27"/>
  <c r="H299" i="27"/>
  <c r="G299" i="27"/>
  <c r="F299" i="27"/>
  <c r="E299" i="27"/>
  <c r="D299" i="27"/>
  <c r="C299" i="27"/>
  <c r="Q298" i="27"/>
  <c r="P298" i="27"/>
  <c r="O298" i="27"/>
  <c r="N298" i="27"/>
  <c r="M298" i="27"/>
  <c r="L298" i="27"/>
  <c r="K298" i="27"/>
  <c r="J298" i="27"/>
  <c r="I298" i="27"/>
  <c r="H298" i="27"/>
  <c r="G298" i="27"/>
  <c r="F298" i="27"/>
  <c r="E298" i="27"/>
  <c r="D298" i="27"/>
  <c r="C298" i="27"/>
  <c r="Q297" i="27"/>
  <c r="P297" i="27"/>
  <c r="O297" i="27"/>
  <c r="N297" i="27"/>
  <c r="M297" i="27"/>
  <c r="L297" i="27"/>
  <c r="K297" i="27"/>
  <c r="J297" i="27"/>
  <c r="I297" i="27"/>
  <c r="H297" i="27"/>
  <c r="G297" i="27"/>
  <c r="F297" i="27"/>
  <c r="E297" i="27"/>
  <c r="D297" i="27"/>
  <c r="C297" i="27"/>
  <c r="AH296" i="27"/>
  <c r="AE296" i="27"/>
  <c r="AD296" i="27"/>
  <c r="AC296" i="27"/>
  <c r="M291" i="27" s="1"/>
  <c r="AB296" i="27"/>
  <c r="L292" i="27" s="1"/>
  <c r="AA296" i="27"/>
  <c r="K296" i="27" s="1"/>
  <c r="Z296" i="27"/>
  <c r="J291" i="27" s="1"/>
  <c r="Y296" i="27"/>
  <c r="I296" i="27" s="1"/>
  <c r="X296" i="27"/>
  <c r="H296" i="27" s="1"/>
  <c r="W296" i="27"/>
  <c r="V296" i="27"/>
  <c r="U296" i="27"/>
  <c r="T296" i="27"/>
  <c r="S296" i="27"/>
  <c r="C296" i="27" s="1"/>
  <c r="P296" i="27"/>
  <c r="O296" i="27"/>
  <c r="L296" i="27"/>
  <c r="AH295" i="27"/>
  <c r="AE295" i="27"/>
  <c r="AD295" i="27"/>
  <c r="AC295" i="27"/>
  <c r="AB295" i="27"/>
  <c r="AA295" i="27"/>
  <c r="AA8" i="27" s="1"/>
  <c r="Z295" i="27"/>
  <c r="Y295" i="27"/>
  <c r="X295" i="27"/>
  <c r="W295" i="27"/>
  <c r="V295" i="27"/>
  <c r="U295" i="27"/>
  <c r="T295" i="27"/>
  <c r="S295" i="27"/>
  <c r="P295" i="27"/>
  <c r="O295" i="27"/>
  <c r="L295" i="27"/>
  <c r="AH294" i="27"/>
  <c r="AE294" i="27"/>
  <c r="AD294" i="27"/>
  <c r="AC294" i="27"/>
  <c r="AB294" i="27"/>
  <c r="AA294" i="27"/>
  <c r="Z294" i="27"/>
  <c r="Y294" i="27"/>
  <c r="X294" i="27"/>
  <c r="W294" i="27"/>
  <c r="V294" i="27"/>
  <c r="U294" i="27"/>
  <c r="T294" i="27"/>
  <c r="S294" i="27"/>
  <c r="P294" i="27"/>
  <c r="O294" i="27"/>
  <c r="L294" i="27"/>
  <c r="AH293" i="27"/>
  <c r="AE293" i="27"/>
  <c r="AD293" i="27"/>
  <c r="AC293" i="27"/>
  <c r="AB293" i="27"/>
  <c r="AA293" i="27"/>
  <c r="Z293" i="27"/>
  <c r="Y293" i="27"/>
  <c r="X293" i="27"/>
  <c r="W293" i="27"/>
  <c r="V293" i="27"/>
  <c r="U293" i="27"/>
  <c r="T293" i="27"/>
  <c r="S293" i="27"/>
  <c r="P293" i="27"/>
  <c r="O293" i="27"/>
  <c r="L293" i="27"/>
  <c r="K293" i="27"/>
  <c r="AH292" i="27"/>
  <c r="AE292" i="27"/>
  <c r="AD292" i="27"/>
  <c r="AC292" i="27"/>
  <c r="AB292" i="27"/>
  <c r="AA292" i="27"/>
  <c r="Z292" i="27"/>
  <c r="Y292" i="27"/>
  <c r="X292" i="27"/>
  <c r="W292" i="27"/>
  <c r="V292" i="27"/>
  <c r="U292" i="27"/>
  <c r="T292" i="27"/>
  <c r="S292" i="27"/>
  <c r="P292" i="27"/>
  <c r="O292" i="27"/>
  <c r="AH291" i="27"/>
  <c r="AE291" i="27"/>
  <c r="AD291" i="27"/>
  <c r="AC291" i="27"/>
  <c r="AB291" i="27"/>
  <c r="AB4" i="27" s="1"/>
  <c r="AA291" i="27"/>
  <c r="Z291" i="27"/>
  <c r="Y291" i="27"/>
  <c r="X291" i="27"/>
  <c r="W291" i="27"/>
  <c r="V291" i="27"/>
  <c r="U291" i="27"/>
  <c r="T291" i="27"/>
  <c r="S291" i="27"/>
  <c r="P291" i="27"/>
  <c r="O291" i="27"/>
  <c r="L291" i="27"/>
  <c r="Q290" i="27"/>
  <c r="P290" i="27"/>
  <c r="O290" i="27"/>
  <c r="N290" i="27"/>
  <c r="M290" i="27"/>
  <c r="L290" i="27"/>
  <c r="K290" i="27"/>
  <c r="J290" i="27"/>
  <c r="I290" i="27"/>
  <c r="H290" i="27"/>
  <c r="G290" i="27"/>
  <c r="F290" i="27"/>
  <c r="E290" i="27"/>
  <c r="D290" i="27"/>
  <c r="C290" i="27"/>
  <c r="Q289" i="27"/>
  <c r="P289" i="27"/>
  <c r="O289" i="27"/>
  <c r="N289" i="27"/>
  <c r="M289" i="27"/>
  <c r="L289" i="27"/>
  <c r="K289" i="27"/>
  <c r="J289" i="27"/>
  <c r="I289" i="27"/>
  <c r="H289" i="27"/>
  <c r="G289" i="27"/>
  <c r="F289" i="27"/>
  <c r="E289" i="27"/>
  <c r="D289" i="27"/>
  <c r="C289" i="27"/>
  <c r="Q288" i="27"/>
  <c r="P288" i="27"/>
  <c r="O288" i="27"/>
  <c r="N288" i="27"/>
  <c r="M288" i="27"/>
  <c r="L288" i="27"/>
  <c r="K288" i="27"/>
  <c r="J288" i="27"/>
  <c r="I288" i="27"/>
  <c r="H288" i="27"/>
  <c r="G288" i="27"/>
  <c r="F288" i="27"/>
  <c r="E288" i="27"/>
  <c r="D288" i="27"/>
  <c r="C288" i="27"/>
  <c r="Q287" i="27"/>
  <c r="P287" i="27"/>
  <c r="O287" i="27"/>
  <c r="N287" i="27"/>
  <c r="M287" i="27"/>
  <c r="L287" i="27"/>
  <c r="K287" i="27"/>
  <c r="J287" i="27"/>
  <c r="I287" i="27"/>
  <c r="H287" i="27"/>
  <c r="G287" i="27"/>
  <c r="F287" i="27"/>
  <c r="E287" i="27"/>
  <c r="D287" i="27"/>
  <c r="C287" i="27"/>
  <c r="Q286" i="27"/>
  <c r="P286" i="27"/>
  <c r="O286" i="27"/>
  <c r="N286" i="27"/>
  <c r="M286" i="27"/>
  <c r="L286" i="27"/>
  <c r="K286" i="27"/>
  <c r="J286" i="27"/>
  <c r="I286" i="27"/>
  <c r="H286" i="27"/>
  <c r="G286" i="27"/>
  <c r="F286" i="27"/>
  <c r="E286" i="27"/>
  <c r="D286" i="27"/>
  <c r="C286" i="27"/>
  <c r="Q285" i="27"/>
  <c r="P285" i="27"/>
  <c r="O285" i="27"/>
  <c r="N285" i="27"/>
  <c r="M285" i="27"/>
  <c r="L285" i="27"/>
  <c r="K285" i="27"/>
  <c r="J285" i="27"/>
  <c r="I285" i="27"/>
  <c r="H285" i="27"/>
  <c r="G285" i="27"/>
  <c r="F285" i="27"/>
  <c r="E285" i="27"/>
  <c r="D285" i="27"/>
  <c r="C285" i="27"/>
  <c r="Q284" i="27"/>
  <c r="P284" i="27"/>
  <c r="O284" i="27"/>
  <c r="N284" i="27"/>
  <c r="M284" i="27"/>
  <c r="L284" i="27"/>
  <c r="K284" i="27"/>
  <c r="J284" i="27"/>
  <c r="I284" i="27"/>
  <c r="H284" i="27"/>
  <c r="G284" i="27"/>
  <c r="F284" i="27"/>
  <c r="E284" i="27"/>
  <c r="D284" i="27"/>
  <c r="C284" i="27"/>
  <c r="Q283" i="27"/>
  <c r="P283" i="27"/>
  <c r="O283" i="27"/>
  <c r="N283" i="27"/>
  <c r="M283" i="27"/>
  <c r="L283" i="27"/>
  <c r="K283" i="27"/>
  <c r="J283" i="27"/>
  <c r="I283" i="27"/>
  <c r="H283" i="27"/>
  <c r="G283" i="27"/>
  <c r="F283" i="27"/>
  <c r="E283" i="27"/>
  <c r="D283" i="27"/>
  <c r="C283" i="27"/>
  <c r="Q282" i="27"/>
  <c r="P282" i="27"/>
  <c r="O282" i="27"/>
  <c r="N282" i="27"/>
  <c r="M282" i="27"/>
  <c r="L282" i="27"/>
  <c r="K282" i="27"/>
  <c r="J282" i="27"/>
  <c r="I282" i="27"/>
  <c r="H282" i="27"/>
  <c r="G282" i="27"/>
  <c r="F282" i="27"/>
  <c r="E282" i="27"/>
  <c r="D282" i="27"/>
  <c r="C282" i="27"/>
  <c r="Q281" i="27"/>
  <c r="P281" i="27"/>
  <c r="O281" i="27"/>
  <c r="N281" i="27"/>
  <c r="M281" i="27"/>
  <c r="L281" i="27"/>
  <c r="K281" i="27"/>
  <c r="J281" i="27"/>
  <c r="I281" i="27"/>
  <c r="H281" i="27"/>
  <c r="G281" i="27"/>
  <c r="F281" i="27"/>
  <c r="E281" i="27"/>
  <c r="D281" i="27"/>
  <c r="C281" i="27"/>
  <c r="Q280" i="27"/>
  <c r="P280" i="27"/>
  <c r="O280" i="27"/>
  <c r="N280" i="27"/>
  <c r="M280" i="27"/>
  <c r="L280" i="27"/>
  <c r="K280" i="27"/>
  <c r="J280" i="27"/>
  <c r="I280" i="27"/>
  <c r="H280" i="27"/>
  <c r="G280" i="27"/>
  <c r="F280" i="27"/>
  <c r="E280" i="27"/>
  <c r="D280" i="27"/>
  <c r="C280" i="27"/>
  <c r="Q279" i="27"/>
  <c r="P279" i="27"/>
  <c r="O279" i="27"/>
  <c r="N279" i="27"/>
  <c r="M279" i="27"/>
  <c r="L279" i="27"/>
  <c r="K279" i="27"/>
  <c r="J279" i="27"/>
  <c r="I279" i="27"/>
  <c r="H279" i="27"/>
  <c r="G279" i="27"/>
  <c r="F279" i="27"/>
  <c r="E279" i="27"/>
  <c r="D279" i="27"/>
  <c r="C279" i="27"/>
  <c r="Q278" i="27"/>
  <c r="P278" i="27"/>
  <c r="O278" i="27"/>
  <c r="N278" i="27"/>
  <c r="M278" i="27"/>
  <c r="L278" i="27"/>
  <c r="K278" i="27"/>
  <c r="J278" i="27"/>
  <c r="I278" i="27"/>
  <c r="H278" i="27"/>
  <c r="G278" i="27"/>
  <c r="F278" i="27"/>
  <c r="E278" i="27"/>
  <c r="D278" i="27"/>
  <c r="C278" i="27"/>
  <c r="Q277" i="27"/>
  <c r="P277" i="27"/>
  <c r="O277" i="27"/>
  <c r="N277" i="27"/>
  <c r="M277" i="27"/>
  <c r="L277" i="27"/>
  <c r="K277" i="27"/>
  <c r="J277" i="27"/>
  <c r="I277" i="27"/>
  <c r="H277" i="27"/>
  <c r="G277" i="27"/>
  <c r="F277" i="27"/>
  <c r="E277" i="27"/>
  <c r="D277" i="27"/>
  <c r="C277" i="27"/>
  <c r="Q276" i="27"/>
  <c r="P276" i="27"/>
  <c r="O276" i="27"/>
  <c r="N276" i="27"/>
  <c r="M276" i="27"/>
  <c r="L276" i="27"/>
  <c r="K276" i="27"/>
  <c r="J276" i="27"/>
  <c r="I276" i="27"/>
  <c r="H276" i="27"/>
  <c r="G276" i="27"/>
  <c r="F276" i="27"/>
  <c r="E276" i="27"/>
  <c r="D276" i="27"/>
  <c r="C276" i="27"/>
  <c r="Q275" i="27"/>
  <c r="P275" i="27"/>
  <c r="O275" i="27"/>
  <c r="N275" i="27"/>
  <c r="M275" i="27"/>
  <c r="L275" i="27"/>
  <c r="K275" i="27"/>
  <c r="J275" i="27"/>
  <c r="I275" i="27"/>
  <c r="H275" i="27"/>
  <c r="G275" i="27"/>
  <c r="F275" i="27"/>
  <c r="E275" i="27"/>
  <c r="D275" i="27"/>
  <c r="C275" i="27"/>
  <c r="Q274" i="27"/>
  <c r="P274" i="27"/>
  <c r="O274" i="27"/>
  <c r="N274" i="27"/>
  <c r="M274" i="27"/>
  <c r="L274" i="27"/>
  <c r="K274" i="27"/>
  <c r="J274" i="27"/>
  <c r="I274" i="27"/>
  <c r="H274" i="27"/>
  <c r="G274" i="27"/>
  <c r="F274" i="27"/>
  <c r="E274" i="27"/>
  <c r="D274" i="27"/>
  <c r="C274" i="27"/>
  <c r="Q273" i="27"/>
  <c r="P273" i="27"/>
  <c r="O273" i="27"/>
  <c r="N273" i="27"/>
  <c r="M273" i="27"/>
  <c r="L273" i="27"/>
  <c r="K273" i="27"/>
  <c r="J273" i="27"/>
  <c r="I273" i="27"/>
  <c r="H273" i="27"/>
  <c r="G273" i="27"/>
  <c r="F273" i="27"/>
  <c r="E273" i="27"/>
  <c r="D273" i="27"/>
  <c r="C273" i="27"/>
  <c r="Q272" i="27"/>
  <c r="P272" i="27"/>
  <c r="O272" i="27"/>
  <c r="N272" i="27"/>
  <c r="M272" i="27"/>
  <c r="L272" i="27"/>
  <c r="K272" i="27"/>
  <c r="J272" i="27"/>
  <c r="I272" i="27"/>
  <c r="H272" i="27"/>
  <c r="G272" i="27"/>
  <c r="F272" i="27"/>
  <c r="E272" i="27"/>
  <c r="D272" i="27"/>
  <c r="C272" i="27"/>
  <c r="Q271" i="27"/>
  <c r="P271" i="27"/>
  <c r="O271" i="27"/>
  <c r="N271" i="27"/>
  <c r="M271" i="27"/>
  <c r="L271" i="27"/>
  <c r="K271" i="27"/>
  <c r="J271" i="27"/>
  <c r="I271" i="27"/>
  <c r="H271" i="27"/>
  <c r="G271" i="27"/>
  <c r="F271" i="27"/>
  <c r="E271" i="27"/>
  <c r="D271" i="27"/>
  <c r="C271" i="27"/>
  <c r="Q270" i="27"/>
  <c r="P270" i="27"/>
  <c r="O270" i="27"/>
  <c r="N270" i="27"/>
  <c r="M270" i="27"/>
  <c r="L270" i="27"/>
  <c r="K270" i="27"/>
  <c r="J270" i="27"/>
  <c r="I270" i="27"/>
  <c r="H270" i="27"/>
  <c r="G270" i="27"/>
  <c r="F270" i="27"/>
  <c r="E270" i="27"/>
  <c r="D270" i="27"/>
  <c r="C270" i="27"/>
  <c r="Q269" i="27"/>
  <c r="P269" i="27"/>
  <c r="O269" i="27"/>
  <c r="N269" i="27"/>
  <c r="M269" i="27"/>
  <c r="L269" i="27"/>
  <c r="K269" i="27"/>
  <c r="J269" i="27"/>
  <c r="I269" i="27"/>
  <c r="H269" i="27"/>
  <c r="G269" i="27"/>
  <c r="F269" i="27"/>
  <c r="E269" i="27"/>
  <c r="D269" i="27"/>
  <c r="C269" i="27"/>
  <c r="Q268" i="27"/>
  <c r="P268" i="27"/>
  <c r="O268" i="27"/>
  <c r="N268" i="27"/>
  <c r="M268" i="27"/>
  <c r="L268" i="27"/>
  <c r="K268" i="27"/>
  <c r="J268" i="27"/>
  <c r="I268" i="27"/>
  <c r="H268" i="27"/>
  <c r="G268" i="27"/>
  <c r="F268" i="27"/>
  <c r="E268" i="27"/>
  <c r="D268" i="27"/>
  <c r="C268" i="27"/>
  <c r="Q267" i="27"/>
  <c r="P267" i="27"/>
  <c r="O267" i="27"/>
  <c r="N267" i="27"/>
  <c r="M267" i="27"/>
  <c r="L267" i="27"/>
  <c r="K267" i="27"/>
  <c r="J267" i="27"/>
  <c r="I267" i="27"/>
  <c r="H267" i="27"/>
  <c r="G267" i="27"/>
  <c r="F267" i="27"/>
  <c r="E267" i="27"/>
  <c r="D267" i="27"/>
  <c r="C267" i="27"/>
  <c r="Q266" i="27"/>
  <c r="P266" i="27"/>
  <c r="O266" i="27"/>
  <c r="N266" i="27"/>
  <c r="M266" i="27"/>
  <c r="L266" i="27"/>
  <c r="K266" i="27"/>
  <c r="J266" i="27"/>
  <c r="I266" i="27"/>
  <c r="H266" i="27"/>
  <c r="G266" i="27"/>
  <c r="F266" i="27"/>
  <c r="E266" i="27"/>
  <c r="D266" i="27"/>
  <c r="C266" i="27"/>
  <c r="Q265" i="27"/>
  <c r="P265" i="27"/>
  <c r="O265" i="27"/>
  <c r="N265" i="27"/>
  <c r="M265" i="27"/>
  <c r="L265" i="27"/>
  <c r="K265" i="27"/>
  <c r="J265" i="27"/>
  <c r="I265" i="27"/>
  <c r="H265" i="27"/>
  <c r="G265" i="27"/>
  <c r="F265" i="27"/>
  <c r="E265" i="27"/>
  <c r="D265" i="27"/>
  <c r="C265" i="27"/>
  <c r="Q264" i="27"/>
  <c r="P264" i="27"/>
  <c r="O264" i="27"/>
  <c r="N264" i="27"/>
  <c r="M264" i="27"/>
  <c r="L264" i="27"/>
  <c r="K264" i="27"/>
  <c r="J264" i="27"/>
  <c r="I264" i="27"/>
  <c r="H264" i="27"/>
  <c r="G264" i="27"/>
  <c r="F264" i="27"/>
  <c r="E264" i="27"/>
  <c r="D264" i="27"/>
  <c r="C264" i="27"/>
  <c r="Q263" i="27"/>
  <c r="P263" i="27"/>
  <c r="O263" i="27"/>
  <c r="N263" i="27"/>
  <c r="M263" i="27"/>
  <c r="L263" i="27"/>
  <c r="K263" i="27"/>
  <c r="J263" i="27"/>
  <c r="I263" i="27"/>
  <c r="H263" i="27"/>
  <c r="G263" i="27"/>
  <c r="F263" i="27"/>
  <c r="E263" i="27"/>
  <c r="D263" i="27"/>
  <c r="C263" i="27"/>
  <c r="Q262" i="27"/>
  <c r="P262" i="27"/>
  <c r="O262" i="27"/>
  <c r="N262" i="27"/>
  <c r="M262" i="27"/>
  <c r="L262" i="27"/>
  <c r="K262" i="27"/>
  <c r="J262" i="27"/>
  <c r="I262" i="27"/>
  <c r="H262" i="27"/>
  <c r="G262" i="27"/>
  <c r="F262" i="27"/>
  <c r="E262" i="27"/>
  <c r="D262" i="27"/>
  <c r="C262" i="27"/>
  <c r="Q261" i="27"/>
  <c r="P261" i="27"/>
  <c r="O261" i="27"/>
  <c r="N261" i="27"/>
  <c r="M261" i="27"/>
  <c r="L261" i="27"/>
  <c r="K261" i="27"/>
  <c r="J261" i="27"/>
  <c r="I261" i="27"/>
  <c r="H261" i="27"/>
  <c r="G261" i="27"/>
  <c r="F261" i="27"/>
  <c r="E261" i="27"/>
  <c r="D261" i="27"/>
  <c r="C261" i="27"/>
  <c r="Q260" i="27"/>
  <c r="P260" i="27"/>
  <c r="O260" i="27"/>
  <c r="N260" i="27"/>
  <c r="M260" i="27"/>
  <c r="L260" i="27"/>
  <c r="K260" i="27"/>
  <c r="J260" i="27"/>
  <c r="I260" i="27"/>
  <c r="H260" i="27"/>
  <c r="G260" i="27"/>
  <c r="F260" i="27"/>
  <c r="E260" i="27"/>
  <c r="D260" i="27"/>
  <c r="C260" i="27"/>
  <c r="Q259" i="27"/>
  <c r="P259" i="27"/>
  <c r="O259" i="27"/>
  <c r="N259" i="27"/>
  <c r="M259" i="27"/>
  <c r="L259" i="27"/>
  <c r="K259" i="27"/>
  <c r="J259" i="27"/>
  <c r="I259" i="27"/>
  <c r="H259" i="27"/>
  <c r="G259" i="27"/>
  <c r="F259" i="27"/>
  <c r="E259" i="27"/>
  <c r="D259" i="27"/>
  <c r="C259" i="27"/>
  <c r="Q258" i="27"/>
  <c r="P258" i="27"/>
  <c r="O258" i="27"/>
  <c r="N258" i="27"/>
  <c r="M258" i="27"/>
  <c r="L258" i="27"/>
  <c r="K258" i="27"/>
  <c r="J258" i="27"/>
  <c r="I258" i="27"/>
  <c r="H258" i="27"/>
  <c r="G258" i="27"/>
  <c r="F258" i="27"/>
  <c r="E258" i="27"/>
  <c r="D258" i="27"/>
  <c r="C258" i="27"/>
  <c r="Q257" i="27"/>
  <c r="P257" i="27"/>
  <c r="O257" i="27"/>
  <c r="N257" i="27"/>
  <c r="M257" i="27"/>
  <c r="L257" i="27"/>
  <c r="K257" i="27"/>
  <c r="J257" i="27"/>
  <c r="I257" i="27"/>
  <c r="H257" i="27"/>
  <c r="G257" i="27"/>
  <c r="F257" i="27"/>
  <c r="E257" i="27"/>
  <c r="D257" i="27"/>
  <c r="C257" i="27"/>
  <c r="Q256" i="27"/>
  <c r="P256" i="27"/>
  <c r="O256" i="27"/>
  <c r="N256" i="27"/>
  <c r="M256" i="27"/>
  <c r="L256" i="27"/>
  <c r="K256" i="27"/>
  <c r="J256" i="27"/>
  <c r="I256" i="27"/>
  <c r="H256" i="27"/>
  <c r="G256" i="27"/>
  <c r="F256" i="27"/>
  <c r="E256" i="27"/>
  <c r="D256" i="27"/>
  <c r="C256" i="27"/>
  <c r="Q255" i="27"/>
  <c r="P255" i="27"/>
  <c r="O255" i="27"/>
  <c r="N255" i="27"/>
  <c r="M255" i="27"/>
  <c r="L255" i="27"/>
  <c r="K255" i="27"/>
  <c r="J255" i="27"/>
  <c r="I255" i="27"/>
  <c r="H255" i="27"/>
  <c r="G255" i="27"/>
  <c r="F255" i="27"/>
  <c r="E255" i="27"/>
  <c r="D255" i="27"/>
  <c r="C255" i="27"/>
  <c r="Q254" i="27"/>
  <c r="P254" i="27"/>
  <c r="O254" i="27"/>
  <c r="N254" i="27"/>
  <c r="M254" i="27"/>
  <c r="L254" i="27"/>
  <c r="K254" i="27"/>
  <c r="J254" i="27"/>
  <c r="I254" i="27"/>
  <c r="H254" i="27"/>
  <c r="G254" i="27"/>
  <c r="F254" i="27"/>
  <c r="E254" i="27"/>
  <c r="D254" i="27"/>
  <c r="C254" i="27"/>
  <c r="Q253" i="27"/>
  <c r="P253" i="27"/>
  <c r="O253" i="27"/>
  <c r="N253" i="27"/>
  <c r="M253" i="27"/>
  <c r="L253" i="27"/>
  <c r="K253" i="27"/>
  <c r="J253" i="27"/>
  <c r="I253" i="27"/>
  <c r="H253" i="27"/>
  <c r="G253" i="27"/>
  <c r="F253" i="27"/>
  <c r="E253" i="27"/>
  <c r="D253" i="27"/>
  <c r="C253" i="27"/>
  <c r="Q252" i="27"/>
  <c r="P252" i="27"/>
  <c r="O252" i="27"/>
  <c r="N252" i="27"/>
  <c r="M252" i="27"/>
  <c r="L252" i="27"/>
  <c r="K252" i="27"/>
  <c r="J252" i="27"/>
  <c r="I252" i="27"/>
  <c r="H252" i="27"/>
  <c r="G252" i="27"/>
  <c r="F252" i="27"/>
  <c r="E252" i="27"/>
  <c r="D252" i="27"/>
  <c r="C252" i="27"/>
  <c r="Q251" i="27"/>
  <c r="P251" i="27"/>
  <c r="O251" i="27"/>
  <c r="N251" i="27"/>
  <c r="M251" i="27"/>
  <c r="L251" i="27"/>
  <c r="K251" i="27"/>
  <c r="J251" i="27"/>
  <c r="I251" i="27"/>
  <c r="H251" i="27"/>
  <c r="G251" i="27"/>
  <c r="F251" i="27"/>
  <c r="E251" i="27"/>
  <c r="D251" i="27"/>
  <c r="C251" i="27"/>
  <c r="Q250" i="27"/>
  <c r="P250" i="27"/>
  <c r="O250" i="27"/>
  <c r="N250" i="27"/>
  <c r="M250" i="27"/>
  <c r="L250" i="27"/>
  <c r="K250" i="27"/>
  <c r="J250" i="27"/>
  <c r="I250" i="27"/>
  <c r="H250" i="27"/>
  <c r="G250" i="27"/>
  <c r="F250" i="27"/>
  <c r="E250" i="27"/>
  <c r="D250" i="27"/>
  <c r="C250" i="27"/>
  <c r="Q249" i="27"/>
  <c r="P249" i="27"/>
  <c r="O249" i="27"/>
  <c r="N249" i="27"/>
  <c r="M249" i="27"/>
  <c r="L249" i="27"/>
  <c r="K249" i="27"/>
  <c r="J249" i="27"/>
  <c r="I249" i="27"/>
  <c r="H249" i="27"/>
  <c r="G249" i="27"/>
  <c r="F249" i="27"/>
  <c r="E249" i="27"/>
  <c r="D249" i="27"/>
  <c r="C249" i="27"/>
  <c r="Q248" i="27"/>
  <c r="P248" i="27"/>
  <c r="O248" i="27"/>
  <c r="N248" i="27"/>
  <c r="M248" i="27"/>
  <c r="L248" i="27"/>
  <c r="K248" i="27"/>
  <c r="J248" i="27"/>
  <c r="I248" i="27"/>
  <c r="H248" i="27"/>
  <c r="G248" i="27"/>
  <c r="F248" i="27"/>
  <c r="E248" i="27"/>
  <c r="D248" i="27"/>
  <c r="C248" i="27"/>
  <c r="Q247" i="27"/>
  <c r="P247" i="27"/>
  <c r="O247" i="27"/>
  <c r="N247" i="27"/>
  <c r="M247" i="27"/>
  <c r="L247" i="27"/>
  <c r="K247" i="27"/>
  <c r="J247" i="27"/>
  <c r="I247" i="27"/>
  <c r="H247" i="27"/>
  <c r="G247" i="27"/>
  <c r="F247" i="27"/>
  <c r="E247" i="27"/>
  <c r="D247" i="27"/>
  <c r="C247" i="27"/>
  <c r="Q246" i="27"/>
  <c r="P246" i="27"/>
  <c r="O246" i="27"/>
  <c r="N246" i="27"/>
  <c r="M246" i="27"/>
  <c r="L246" i="27"/>
  <c r="K246" i="27"/>
  <c r="J246" i="27"/>
  <c r="I246" i="27"/>
  <c r="H246" i="27"/>
  <c r="G246" i="27"/>
  <c r="F246" i="27"/>
  <c r="E246" i="27"/>
  <c r="D246" i="27"/>
  <c r="C246" i="27"/>
  <c r="Q245" i="27"/>
  <c r="P245" i="27"/>
  <c r="O245" i="27"/>
  <c r="N245" i="27"/>
  <c r="M245" i="27"/>
  <c r="L245" i="27"/>
  <c r="K245" i="27"/>
  <c r="J245" i="27"/>
  <c r="I245" i="27"/>
  <c r="H245" i="27"/>
  <c r="G245" i="27"/>
  <c r="F245" i="27"/>
  <c r="E245" i="27"/>
  <c r="D245" i="27"/>
  <c r="C245" i="27"/>
  <c r="Q244" i="27"/>
  <c r="P244" i="27"/>
  <c r="O244" i="27"/>
  <c r="N244" i="27"/>
  <c r="M244" i="27"/>
  <c r="L244" i="27"/>
  <c r="K244" i="27"/>
  <c r="J244" i="27"/>
  <c r="I244" i="27"/>
  <c r="H244" i="27"/>
  <c r="G244" i="27"/>
  <c r="F244" i="27"/>
  <c r="E244" i="27"/>
  <c r="D244" i="27"/>
  <c r="C244" i="27"/>
  <c r="Q243" i="27"/>
  <c r="P243" i="27"/>
  <c r="O243" i="27"/>
  <c r="N243" i="27"/>
  <c r="M243" i="27"/>
  <c r="L243" i="27"/>
  <c r="K243" i="27"/>
  <c r="J243" i="27"/>
  <c r="I243" i="27"/>
  <c r="H243" i="27"/>
  <c r="G243" i="27"/>
  <c r="F243" i="27"/>
  <c r="E243" i="27"/>
  <c r="D243" i="27"/>
  <c r="C243" i="27"/>
  <c r="Q242" i="27"/>
  <c r="P242" i="27"/>
  <c r="O242" i="27"/>
  <c r="N242" i="27"/>
  <c r="M242" i="27"/>
  <c r="L242" i="27"/>
  <c r="K242" i="27"/>
  <c r="J242" i="27"/>
  <c r="I242" i="27"/>
  <c r="H242" i="27"/>
  <c r="G242" i="27"/>
  <c r="F242" i="27"/>
  <c r="E242" i="27"/>
  <c r="D242" i="27"/>
  <c r="C242" i="27"/>
  <c r="Q241" i="27"/>
  <c r="P241" i="27"/>
  <c r="O241" i="27"/>
  <c r="N241" i="27"/>
  <c r="M241" i="27"/>
  <c r="L241" i="27"/>
  <c r="K241" i="27"/>
  <c r="J241" i="27"/>
  <c r="I241" i="27"/>
  <c r="H241" i="27"/>
  <c r="G241" i="27"/>
  <c r="F241" i="27"/>
  <c r="E241" i="27"/>
  <c r="D241" i="27"/>
  <c r="C241" i="27"/>
  <c r="Q240" i="27"/>
  <c r="P240" i="27"/>
  <c r="O240" i="27"/>
  <c r="N240" i="27"/>
  <c r="M240" i="27"/>
  <c r="L240" i="27"/>
  <c r="K240" i="27"/>
  <c r="J240" i="27"/>
  <c r="I240" i="27"/>
  <c r="H240" i="27"/>
  <c r="G240" i="27"/>
  <c r="F240" i="27"/>
  <c r="E240" i="27"/>
  <c r="D240" i="27"/>
  <c r="C240" i="27"/>
  <c r="Q239" i="27"/>
  <c r="P239" i="27"/>
  <c r="O239" i="27"/>
  <c r="N239" i="27"/>
  <c r="M239" i="27"/>
  <c r="L239" i="27"/>
  <c r="K239" i="27"/>
  <c r="J239" i="27"/>
  <c r="I239" i="27"/>
  <c r="H239" i="27"/>
  <c r="G239" i="27"/>
  <c r="F239" i="27"/>
  <c r="E239" i="27"/>
  <c r="D239" i="27"/>
  <c r="C239" i="27"/>
  <c r="Q238" i="27"/>
  <c r="P238" i="27"/>
  <c r="O238" i="27"/>
  <c r="N238" i="27"/>
  <c r="M238" i="27"/>
  <c r="L238" i="27"/>
  <c r="K238" i="27"/>
  <c r="J238" i="27"/>
  <c r="I238" i="27"/>
  <c r="H238" i="27"/>
  <c r="G238" i="27"/>
  <c r="F238" i="27"/>
  <c r="E238" i="27"/>
  <c r="D238" i="27"/>
  <c r="C238" i="27"/>
  <c r="Q237" i="27"/>
  <c r="P237" i="27"/>
  <c r="O237" i="27"/>
  <c r="N237" i="27"/>
  <c r="M237" i="27"/>
  <c r="L237" i="27"/>
  <c r="K237" i="27"/>
  <c r="J237" i="27"/>
  <c r="I237" i="27"/>
  <c r="H237" i="27"/>
  <c r="G237" i="27"/>
  <c r="F237" i="27"/>
  <c r="E237" i="27"/>
  <c r="D237" i="27"/>
  <c r="C237" i="27"/>
  <c r="Q236" i="27"/>
  <c r="P236" i="27"/>
  <c r="O236" i="27"/>
  <c r="N236" i="27"/>
  <c r="M236" i="27"/>
  <c r="L236" i="27"/>
  <c r="K236" i="27"/>
  <c r="J236" i="27"/>
  <c r="I236" i="27"/>
  <c r="H236" i="27"/>
  <c r="G236" i="27"/>
  <c r="F236" i="27"/>
  <c r="E236" i="27"/>
  <c r="D236" i="27"/>
  <c r="C236" i="27"/>
  <c r="Q235" i="27"/>
  <c r="P235" i="27"/>
  <c r="O235" i="27"/>
  <c r="N235" i="27"/>
  <c r="M235" i="27"/>
  <c r="L235" i="27"/>
  <c r="K235" i="27"/>
  <c r="J235" i="27"/>
  <c r="I235" i="27"/>
  <c r="H235" i="27"/>
  <c r="G235" i="27"/>
  <c r="F235" i="27"/>
  <c r="E235" i="27"/>
  <c r="D235" i="27"/>
  <c r="C235" i="27"/>
  <c r="Q234" i="27"/>
  <c r="P234" i="27"/>
  <c r="O234" i="27"/>
  <c r="N234" i="27"/>
  <c r="M234" i="27"/>
  <c r="L234" i="27"/>
  <c r="K234" i="27"/>
  <c r="J234" i="27"/>
  <c r="I234" i="27"/>
  <c r="H234" i="27"/>
  <c r="G234" i="27"/>
  <c r="F234" i="27"/>
  <c r="E234" i="27"/>
  <c r="D234" i="27"/>
  <c r="C234" i="27"/>
  <c r="Q233" i="27"/>
  <c r="P233" i="27"/>
  <c r="O233" i="27"/>
  <c r="N233" i="27"/>
  <c r="M233" i="27"/>
  <c r="L233" i="27"/>
  <c r="K233" i="27"/>
  <c r="J233" i="27"/>
  <c r="I233" i="27"/>
  <c r="H233" i="27"/>
  <c r="G233" i="27"/>
  <c r="F233" i="27"/>
  <c r="E233" i="27"/>
  <c r="D233" i="27"/>
  <c r="C233" i="27"/>
  <c r="Q232" i="27"/>
  <c r="P232" i="27"/>
  <c r="O232" i="27"/>
  <c r="N232" i="27"/>
  <c r="M232" i="27"/>
  <c r="L232" i="27"/>
  <c r="K232" i="27"/>
  <c r="J232" i="27"/>
  <c r="I232" i="27"/>
  <c r="H232" i="27"/>
  <c r="G232" i="27"/>
  <c r="F232" i="27"/>
  <c r="E232" i="27"/>
  <c r="D232" i="27"/>
  <c r="C232" i="27"/>
  <c r="Q231" i="27"/>
  <c r="P231" i="27"/>
  <c r="O231" i="27"/>
  <c r="N231" i="27"/>
  <c r="M231" i="27"/>
  <c r="L231" i="27"/>
  <c r="K231" i="27"/>
  <c r="J231" i="27"/>
  <c r="I231" i="27"/>
  <c r="H231" i="27"/>
  <c r="G231" i="27"/>
  <c r="F231" i="27"/>
  <c r="E231" i="27"/>
  <c r="D231" i="27"/>
  <c r="C231" i="27"/>
  <c r="Q230" i="27"/>
  <c r="P230" i="27"/>
  <c r="O230" i="27"/>
  <c r="N230" i="27"/>
  <c r="M230" i="27"/>
  <c r="L230" i="27"/>
  <c r="K230" i="27"/>
  <c r="J230" i="27"/>
  <c r="I230" i="27"/>
  <c r="H230" i="27"/>
  <c r="G230" i="27"/>
  <c r="F230" i="27"/>
  <c r="E230" i="27"/>
  <c r="D230" i="27"/>
  <c r="C230" i="27"/>
  <c r="Q229" i="27"/>
  <c r="P229" i="27"/>
  <c r="O229" i="27"/>
  <c r="N229" i="27"/>
  <c r="M229" i="27"/>
  <c r="L229" i="27"/>
  <c r="K229" i="27"/>
  <c r="J229" i="27"/>
  <c r="I229" i="27"/>
  <c r="H229" i="27"/>
  <c r="G229" i="27"/>
  <c r="F229" i="27"/>
  <c r="E229" i="27"/>
  <c r="D229" i="27"/>
  <c r="C229" i="27"/>
  <c r="Q228" i="27"/>
  <c r="P228" i="27"/>
  <c r="O228" i="27"/>
  <c r="N228" i="27"/>
  <c r="M228" i="27"/>
  <c r="L228" i="27"/>
  <c r="K228" i="27"/>
  <c r="J228" i="27"/>
  <c r="I228" i="27"/>
  <c r="H228" i="27"/>
  <c r="G228" i="27"/>
  <c r="F228" i="27"/>
  <c r="E228" i="27"/>
  <c r="D228" i="27"/>
  <c r="C228" i="27"/>
  <c r="Q227" i="27"/>
  <c r="P227" i="27"/>
  <c r="O227" i="27"/>
  <c r="N227" i="27"/>
  <c r="M227" i="27"/>
  <c r="L227" i="27"/>
  <c r="K227" i="27"/>
  <c r="J227" i="27"/>
  <c r="I227" i="27"/>
  <c r="H227" i="27"/>
  <c r="G227" i="27"/>
  <c r="F227" i="27"/>
  <c r="E227" i="27"/>
  <c r="D227" i="27"/>
  <c r="C227" i="27"/>
  <c r="Q226" i="27"/>
  <c r="P226" i="27"/>
  <c r="O226" i="27"/>
  <c r="N226" i="27"/>
  <c r="M226" i="27"/>
  <c r="L226" i="27"/>
  <c r="K226" i="27"/>
  <c r="J226" i="27"/>
  <c r="I226" i="27"/>
  <c r="H226" i="27"/>
  <c r="G226" i="27"/>
  <c r="F226" i="27"/>
  <c r="E226" i="27"/>
  <c r="D226" i="27"/>
  <c r="C226" i="27"/>
  <c r="Q225" i="27"/>
  <c r="P225" i="27"/>
  <c r="O225" i="27"/>
  <c r="N225" i="27"/>
  <c r="M225" i="27"/>
  <c r="L225" i="27"/>
  <c r="K225" i="27"/>
  <c r="J225" i="27"/>
  <c r="I225" i="27"/>
  <c r="H225" i="27"/>
  <c r="G225" i="27"/>
  <c r="F225" i="27"/>
  <c r="E225" i="27"/>
  <c r="D225" i="27"/>
  <c r="C225" i="27"/>
  <c r="Q224" i="27"/>
  <c r="P224" i="27"/>
  <c r="O224" i="27"/>
  <c r="N224" i="27"/>
  <c r="M224" i="27"/>
  <c r="L224" i="27"/>
  <c r="K224" i="27"/>
  <c r="J224" i="27"/>
  <c r="I224" i="27"/>
  <c r="H224" i="27"/>
  <c r="G224" i="27"/>
  <c r="F224" i="27"/>
  <c r="E224" i="27"/>
  <c r="D224" i="27"/>
  <c r="C224" i="27"/>
  <c r="Q223" i="27"/>
  <c r="P223" i="27"/>
  <c r="O223" i="27"/>
  <c r="N223" i="27"/>
  <c r="M223" i="27"/>
  <c r="L223" i="27"/>
  <c r="K223" i="27"/>
  <c r="J223" i="27"/>
  <c r="I223" i="27"/>
  <c r="H223" i="27"/>
  <c r="G223" i="27"/>
  <c r="F223" i="27"/>
  <c r="E223" i="27"/>
  <c r="D223" i="27"/>
  <c r="C223" i="27"/>
  <c r="Q222" i="27"/>
  <c r="P222" i="27"/>
  <c r="O222" i="27"/>
  <c r="N222" i="27"/>
  <c r="M222" i="27"/>
  <c r="L222" i="27"/>
  <c r="K222" i="27"/>
  <c r="J222" i="27"/>
  <c r="I222" i="27"/>
  <c r="H222" i="27"/>
  <c r="G222" i="27"/>
  <c r="F222" i="27"/>
  <c r="E222" i="27"/>
  <c r="D222" i="27"/>
  <c r="C222" i="27"/>
  <c r="Q221" i="27"/>
  <c r="P221" i="27"/>
  <c r="O221" i="27"/>
  <c r="N221" i="27"/>
  <c r="M221" i="27"/>
  <c r="L221" i="27"/>
  <c r="K221" i="27"/>
  <c r="J221" i="27"/>
  <c r="I221" i="27"/>
  <c r="H221" i="27"/>
  <c r="G221" i="27"/>
  <c r="F221" i="27"/>
  <c r="E221" i="27"/>
  <c r="D221" i="27"/>
  <c r="C221" i="27"/>
  <c r="Q220" i="27"/>
  <c r="P220" i="27"/>
  <c r="O220" i="27"/>
  <c r="N220" i="27"/>
  <c r="M220" i="27"/>
  <c r="L220" i="27"/>
  <c r="K220" i="27"/>
  <c r="J220" i="27"/>
  <c r="I220" i="27"/>
  <c r="H220" i="27"/>
  <c r="G220" i="27"/>
  <c r="F220" i="27"/>
  <c r="E220" i="27"/>
  <c r="D220" i="27"/>
  <c r="C220" i="27"/>
  <c r="Q219" i="27"/>
  <c r="P219" i="27"/>
  <c r="O219" i="27"/>
  <c r="N219" i="27"/>
  <c r="M219" i="27"/>
  <c r="L219" i="27"/>
  <c r="K219" i="27"/>
  <c r="J219" i="27"/>
  <c r="I219" i="27"/>
  <c r="H219" i="27"/>
  <c r="G219" i="27"/>
  <c r="F219" i="27"/>
  <c r="E219" i="27"/>
  <c r="D219" i="27"/>
  <c r="C219" i="27"/>
  <c r="AH218" i="27"/>
  <c r="Q218" i="27" s="1"/>
  <c r="AG218" i="27"/>
  <c r="P215" i="27" s="1"/>
  <c r="AF218" i="27"/>
  <c r="O217" i="27" s="1"/>
  <c r="AE218" i="27"/>
  <c r="AD218" i="27"/>
  <c r="AC218" i="27"/>
  <c r="M218" i="27" s="1"/>
  <c r="AB218" i="27"/>
  <c r="L218" i="27" s="1"/>
  <c r="AA218" i="27"/>
  <c r="K218" i="27" s="1"/>
  <c r="Z218" i="27"/>
  <c r="Y218" i="27"/>
  <c r="I218" i="27" s="1"/>
  <c r="X218" i="27"/>
  <c r="W218" i="27"/>
  <c r="G214" i="27" s="1"/>
  <c r="V218" i="27"/>
  <c r="U218" i="27"/>
  <c r="E218" i="27" s="1"/>
  <c r="T218" i="27"/>
  <c r="S218" i="27"/>
  <c r="C218" i="27" s="1"/>
  <c r="O218" i="27"/>
  <c r="AH217" i="27"/>
  <c r="AG217" i="27"/>
  <c r="AG8" i="27" s="1"/>
  <c r="AF217" i="27"/>
  <c r="AE217" i="27"/>
  <c r="AD217" i="27"/>
  <c r="AC217" i="27"/>
  <c r="AB217" i="27"/>
  <c r="AA217" i="27"/>
  <c r="Z217" i="27"/>
  <c r="Y217" i="27"/>
  <c r="X217" i="27"/>
  <c r="W217" i="27"/>
  <c r="V217" i="27"/>
  <c r="U217" i="27"/>
  <c r="T217" i="27"/>
  <c r="S217" i="27"/>
  <c r="K217" i="27"/>
  <c r="AH216" i="27"/>
  <c r="AG216" i="27"/>
  <c r="AG7" i="27" s="1"/>
  <c r="AF216" i="27"/>
  <c r="AF7" i="27" s="1"/>
  <c r="AE216" i="27"/>
  <c r="AD216" i="27"/>
  <c r="AC216" i="27"/>
  <c r="AB216" i="27"/>
  <c r="AA216" i="27"/>
  <c r="Z216" i="27"/>
  <c r="Y216" i="27"/>
  <c r="X216" i="27"/>
  <c r="W216" i="27"/>
  <c r="V216" i="27"/>
  <c r="U216" i="27"/>
  <c r="T216" i="27"/>
  <c r="S216" i="27"/>
  <c r="L216" i="27"/>
  <c r="K216" i="27"/>
  <c r="AH215" i="27"/>
  <c r="AG215" i="27"/>
  <c r="AG6" i="27" s="1"/>
  <c r="AF215" i="27"/>
  <c r="AF6" i="27" s="1"/>
  <c r="AE215" i="27"/>
  <c r="AD215" i="27"/>
  <c r="AC215" i="27"/>
  <c r="AC6" i="27" s="1"/>
  <c r="AB215" i="27"/>
  <c r="AA215" i="27"/>
  <c r="Z215" i="27"/>
  <c r="Y215" i="27"/>
  <c r="X215" i="27"/>
  <c r="W215" i="27"/>
  <c r="V215" i="27"/>
  <c r="U215" i="27"/>
  <c r="T215" i="27"/>
  <c r="S215" i="27"/>
  <c r="L215" i="27"/>
  <c r="AH214" i="27"/>
  <c r="AG214" i="27"/>
  <c r="AG5" i="27" s="1"/>
  <c r="AF214" i="27"/>
  <c r="AF5" i="27" s="1"/>
  <c r="AE214" i="27"/>
  <c r="AD214" i="27"/>
  <c r="AC214" i="27"/>
  <c r="AB214" i="27"/>
  <c r="AA214" i="27"/>
  <c r="Z214" i="27"/>
  <c r="Y214" i="27"/>
  <c r="X214" i="27"/>
  <c r="W214" i="27"/>
  <c r="V214" i="27"/>
  <c r="U214" i="27"/>
  <c r="T214" i="27"/>
  <c r="S214" i="27"/>
  <c r="AH213" i="27"/>
  <c r="AG213" i="27"/>
  <c r="AF213" i="27"/>
  <c r="AF4" i="27" s="1"/>
  <c r="AE213" i="27"/>
  <c r="AD213" i="27"/>
  <c r="AC213" i="27"/>
  <c r="AB213" i="27"/>
  <c r="AA213" i="27"/>
  <c r="Z213" i="27"/>
  <c r="L213" i="27"/>
  <c r="Q212" i="27"/>
  <c r="P212" i="27"/>
  <c r="O212" i="27"/>
  <c r="N212" i="27"/>
  <c r="M212" i="27"/>
  <c r="L212" i="27"/>
  <c r="K212" i="27"/>
  <c r="J212" i="27"/>
  <c r="I212" i="27"/>
  <c r="H212" i="27"/>
  <c r="G212" i="27"/>
  <c r="F212" i="27"/>
  <c r="E212" i="27"/>
  <c r="D212" i="27"/>
  <c r="C212" i="27"/>
  <c r="Q211" i="27"/>
  <c r="P211" i="27"/>
  <c r="O211" i="27"/>
  <c r="N211" i="27"/>
  <c r="M211" i="27"/>
  <c r="L211" i="27"/>
  <c r="K211" i="27"/>
  <c r="J211" i="27"/>
  <c r="I211" i="27"/>
  <c r="H211" i="27"/>
  <c r="G211" i="27"/>
  <c r="F211" i="27"/>
  <c r="E211" i="27"/>
  <c r="D211" i="27"/>
  <c r="C211" i="27"/>
  <c r="Q210" i="27"/>
  <c r="P210" i="27"/>
  <c r="O210" i="27"/>
  <c r="N210" i="27"/>
  <c r="M210" i="27"/>
  <c r="L210" i="27"/>
  <c r="K210" i="27"/>
  <c r="J210" i="27"/>
  <c r="I210" i="27"/>
  <c r="H210" i="27"/>
  <c r="G210" i="27"/>
  <c r="F210" i="27"/>
  <c r="E210" i="27"/>
  <c r="D210" i="27"/>
  <c r="C210" i="27"/>
  <c r="Q209" i="27"/>
  <c r="P209" i="27"/>
  <c r="O209" i="27"/>
  <c r="N209" i="27"/>
  <c r="M209" i="27"/>
  <c r="L209" i="27"/>
  <c r="K209" i="27"/>
  <c r="J209" i="27"/>
  <c r="I209" i="27"/>
  <c r="H209" i="27"/>
  <c r="G209" i="27"/>
  <c r="F209" i="27"/>
  <c r="E209" i="27"/>
  <c r="D209" i="27"/>
  <c r="C209" i="27"/>
  <c r="Q208" i="27"/>
  <c r="P208" i="27"/>
  <c r="O208" i="27"/>
  <c r="N208" i="27"/>
  <c r="M208" i="27"/>
  <c r="L208" i="27"/>
  <c r="K208" i="27"/>
  <c r="J208" i="27"/>
  <c r="I208" i="27"/>
  <c r="H208" i="27"/>
  <c r="G208" i="27"/>
  <c r="F208" i="27"/>
  <c r="E208" i="27"/>
  <c r="D208" i="27"/>
  <c r="C208" i="27"/>
  <c r="Q207" i="27"/>
  <c r="P207" i="27"/>
  <c r="O207" i="27"/>
  <c r="N207" i="27"/>
  <c r="M207" i="27"/>
  <c r="L207" i="27"/>
  <c r="K207" i="27"/>
  <c r="J207" i="27"/>
  <c r="I207" i="27"/>
  <c r="H207" i="27"/>
  <c r="G207" i="27"/>
  <c r="F207" i="27"/>
  <c r="E207" i="27"/>
  <c r="D207" i="27"/>
  <c r="C207" i="27"/>
  <c r="Q206" i="27"/>
  <c r="P206" i="27"/>
  <c r="O206" i="27"/>
  <c r="N206" i="27"/>
  <c r="M206" i="27"/>
  <c r="L206" i="27"/>
  <c r="K206" i="27"/>
  <c r="J206" i="27"/>
  <c r="I206" i="27"/>
  <c r="H206" i="27"/>
  <c r="G206" i="27"/>
  <c r="F206" i="27"/>
  <c r="E206" i="27"/>
  <c r="D206" i="27"/>
  <c r="C206" i="27"/>
  <c r="Q205" i="27"/>
  <c r="P205" i="27"/>
  <c r="O205" i="27"/>
  <c r="N205" i="27"/>
  <c r="M205" i="27"/>
  <c r="L205" i="27"/>
  <c r="K205" i="27"/>
  <c r="J205" i="27"/>
  <c r="I205" i="27"/>
  <c r="H205" i="27"/>
  <c r="G205" i="27"/>
  <c r="F205" i="27"/>
  <c r="E205" i="27"/>
  <c r="D205" i="27"/>
  <c r="C205" i="27"/>
  <c r="Q204" i="27"/>
  <c r="P204" i="27"/>
  <c r="O204" i="27"/>
  <c r="N204" i="27"/>
  <c r="M204" i="27"/>
  <c r="L204" i="27"/>
  <c r="K204" i="27"/>
  <c r="J204" i="27"/>
  <c r="I204" i="27"/>
  <c r="H204" i="27"/>
  <c r="G204" i="27"/>
  <c r="F204" i="27"/>
  <c r="E204" i="27"/>
  <c r="D204" i="27"/>
  <c r="C204" i="27"/>
  <c r="Q203" i="27"/>
  <c r="P203" i="27"/>
  <c r="O203" i="27"/>
  <c r="N203" i="27"/>
  <c r="M203" i="27"/>
  <c r="L203" i="27"/>
  <c r="K203" i="27"/>
  <c r="J203" i="27"/>
  <c r="I203" i="27"/>
  <c r="H203" i="27"/>
  <c r="G203" i="27"/>
  <c r="F203" i="27"/>
  <c r="E203" i="27"/>
  <c r="D203" i="27"/>
  <c r="C203" i="27"/>
  <c r="Q202" i="27"/>
  <c r="P202" i="27"/>
  <c r="O202" i="27"/>
  <c r="N202" i="27"/>
  <c r="M202" i="27"/>
  <c r="L202" i="27"/>
  <c r="K202" i="27"/>
  <c r="J202" i="27"/>
  <c r="I202" i="27"/>
  <c r="H202" i="27"/>
  <c r="G202" i="27"/>
  <c r="F202" i="27"/>
  <c r="E202" i="27"/>
  <c r="D202" i="27"/>
  <c r="C202" i="27"/>
  <c r="Q201" i="27"/>
  <c r="P201" i="27"/>
  <c r="O201" i="27"/>
  <c r="N201" i="27"/>
  <c r="M201" i="27"/>
  <c r="L201" i="27"/>
  <c r="K201" i="27"/>
  <c r="J201" i="27"/>
  <c r="I201" i="27"/>
  <c r="H201" i="27"/>
  <c r="G201" i="27"/>
  <c r="F201" i="27"/>
  <c r="E201" i="27"/>
  <c r="D201" i="27"/>
  <c r="C201" i="27"/>
  <c r="Q200" i="27"/>
  <c r="P200" i="27"/>
  <c r="O200" i="27"/>
  <c r="N200" i="27"/>
  <c r="M200" i="27"/>
  <c r="L200" i="27"/>
  <c r="K200" i="27"/>
  <c r="J200" i="27"/>
  <c r="I200" i="27"/>
  <c r="H200" i="27"/>
  <c r="G200" i="27"/>
  <c r="F200" i="27"/>
  <c r="E200" i="27"/>
  <c r="D200" i="27"/>
  <c r="C200" i="27"/>
  <c r="Q199" i="27"/>
  <c r="P199" i="27"/>
  <c r="O199" i="27"/>
  <c r="N199" i="27"/>
  <c r="M199" i="27"/>
  <c r="L199" i="27"/>
  <c r="K199" i="27"/>
  <c r="J199" i="27"/>
  <c r="I199" i="27"/>
  <c r="H199" i="27"/>
  <c r="G199" i="27"/>
  <c r="F199" i="27"/>
  <c r="E199" i="27"/>
  <c r="D199" i="27"/>
  <c r="C199" i="27"/>
  <c r="Q198" i="27"/>
  <c r="P198" i="27"/>
  <c r="O198" i="27"/>
  <c r="N198" i="27"/>
  <c r="M198" i="27"/>
  <c r="L198" i="27"/>
  <c r="K198" i="27"/>
  <c r="J198" i="27"/>
  <c r="I198" i="27"/>
  <c r="H198" i="27"/>
  <c r="G198" i="27"/>
  <c r="F198" i="27"/>
  <c r="E198" i="27"/>
  <c r="D198" i="27"/>
  <c r="C198" i="27"/>
  <c r="Q197" i="27"/>
  <c r="P197" i="27"/>
  <c r="O197" i="27"/>
  <c r="N197" i="27"/>
  <c r="M197" i="27"/>
  <c r="L197" i="27"/>
  <c r="K197" i="27"/>
  <c r="J197" i="27"/>
  <c r="I197" i="27"/>
  <c r="H197" i="27"/>
  <c r="G197" i="27"/>
  <c r="F197" i="27"/>
  <c r="E197" i="27"/>
  <c r="D197" i="27"/>
  <c r="C197" i="27"/>
  <c r="Q196" i="27"/>
  <c r="P196" i="27"/>
  <c r="O196" i="27"/>
  <c r="N196" i="27"/>
  <c r="M196" i="27"/>
  <c r="L196" i="27"/>
  <c r="K196" i="27"/>
  <c r="J196" i="27"/>
  <c r="I196" i="27"/>
  <c r="H196" i="27"/>
  <c r="G196" i="27"/>
  <c r="F196" i="27"/>
  <c r="E196" i="27"/>
  <c r="D196" i="27"/>
  <c r="C196" i="27"/>
  <c r="Q195" i="27"/>
  <c r="P195" i="27"/>
  <c r="O195" i="27"/>
  <c r="N195" i="27"/>
  <c r="M195" i="27"/>
  <c r="L195" i="27"/>
  <c r="K195" i="27"/>
  <c r="J195" i="27"/>
  <c r="I195" i="27"/>
  <c r="H195" i="27"/>
  <c r="G195" i="27"/>
  <c r="F195" i="27"/>
  <c r="E195" i="27"/>
  <c r="D195" i="27"/>
  <c r="C195" i="27"/>
  <c r="Q194" i="27"/>
  <c r="P194" i="27"/>
  <c r="O194" i="27"/>
  <c r="N194" i="27"/>
  <c r="M194" i="27"/>
  <c r="L194" i="27"/>
  <c r="K194" i="27"/>
  <c r="J194" i="27"/>
  <c r="I194" i="27"/>
  <c r="H194" i="27"/>
  <c r="G194" i="27"/>
  <c r="F194" i="27"/>
  <c r="E194" i="27"/>
  <c r="D194" i="27"/>
  <c r="C194" i="27"/>
  <c r="Q193" i="27"/>
  <c r="P193" i="27"/>
  <c r="O193" i="27"/>
  <c r="N193" i="27"/>
  <c r="M193" i="27"/>
  <c r="L193" i="27"/>
  <c r="K193" i="27"/>
  <c r="J193" i="27"/>
  <c r="I193" i="27"/>
  <c r="H193" i="27"/>
  <c r="G193" i="27"/>
  <c r="F193" i="27"/>
  <c r="E193" i="27"/>
  <c r="D193" i="27"/>
  <c r="C193" i="27"/>
  <c r="Q192" i="27"/>
  <c r="P192" i="27"/>
  <c r="O192" i="27"/>
  <c r="N192" i="27"/>
  <c r="M192" i="27"/>
  <c r="L192" i="27"/>
  <c r="K192" i="27"/>
  <c r="J192" i="27"/>
  <c r="I192" i="27"/>
  <c r="H192" i="27"/>
  <c r="G192" i="27"/>
  <c r="F192" i="27"/>
  <c r="E192" i="27"/>
  <c r="D192" i="27"/>
  <c r="C192" i="27"/>
  <c r="Q191" i="27"/>
  <c r="P191" i="27"/>
  <c r="O191" i="27"/>
  <c r="N191" i="27"/>
  <c r="M191" i="27"/>
  <c r="L191" i="27"/>
  <c r="K191" i="27"/>
  <c r="J191" i="27"/>
  <c r="I191" i="27"/>
  <c r="H191" i="27"/>
  <c r="G191" i="27"/>
  <c r="F191" i="27"/>
  <c r="E191" i="27"/>
  <c r="D191" i="27"/>
  <c r="C191" i="27"/>
  <c r="Q190" i="27"/>
  <c r="P190" i="27"/>
  <c r="O190" i="27"/>
  <c r="N190" i="27"/>
  <c r="M190" i="27"/>
  <c r="L190" i="27"/>
  <c r="K190" i="27"/>
  <c r="J190" i="27"/>
  <c r="I190" i="27"/>
  <c r="H190" i="27"/>
  <c r="G190" i="27"/>
  <c r="F190" i="27"/>
  <c r="E190" i="27"/>
  <c r="D190" i="27"/>
  <c r="C190" i="27"/>
  <c r="Q189" i="27"/>
  <c r="P189" i="27"/>
  <c r="O189" i="27"/>
  <c r="N189" i="27"/>
  <c r="M189" i="27"/>
  <c r="L189" i="27"/>
  <c r="K189" i="27"/>
  <c r="J189" i="27"/>
  <c r="I189" i="27"/>
  <c r="H189" i="27"/>
  <c r="G189" i="27"/>
  <c r="F189" i="27"/>
  <c r="E189" i="27"/>
  <c r="D189" i="27"/>
  <c r="C189" i="27"/>
  <c r="Q188" i="27"/>
  <c r="P188" i="27"/>
  <c r="O188" i="27"/>
  <c r="N188" i="27"/>
  <c r="M188" i="27"/>
  <c r="L188" i="27"/>
  <c r="K188" i="27"/>
  <c r="J188" i="27"/>
  <c r="I188" i="27"/>
  <c r="H188" i="27"/>
  <c r="G188" i="27"/>
  <c r="F188" i="27"/>
  <c r="E188" i="27"/>
  <c r="D188" i="27"/>
  <c r="C188" i="27"/>
  <c r="Q187" i="27"/>
  <c r="P187" i="27"/>
  <c r="O187" i="27"/>
  <c r="N187" i="27"/>
  <c r="M187" i="27"/>
  <c r="L187" i="27"/>
  <c r="K187" i="27"/>
  <c r="J187" i="27"/>
  <c r="I187" i="27"/>
  <c r="H187" i="27"/>
  <c r="G187" i="27"/>
  <c r="F187" i="27"/>
  <c r="E187" i="27"/>
  <c r="D187" i="27"/>
  <c r="C187" i="27"/>
  <c r="Q186" i="27"/>
  <c r="P186" i="27"/>
  <c r="O186" i="27"/>
  <c r="N186" i="27"/>
  <c r="M186" i="27"/>
  <c r="L186" i="27"/>
  <c r="K186" i="27"/>
  <c r="J186" i="27"/>
  <c r="I186" i="27"/>
  <c r="H186" i="27"/>
  <c r="G186" i="27"/>
  <c r="F186" i="27"/>
  <c r="E186" i="27"/>
  <c r="D186" i="27"/>
  <c r="C186" i="27"/>
  <c r="Q185" i="27"/>
  <c r="P185" i="27"/>
  <c r="O185" i="27"/>
  <c r="N185" i="27"/>
  <c r="M185" i="27"/>
  <c r="L185" i="27"/>
  <c r="K185" i="27"/>
  <c r="J185" i="27"/>
  <c r="I185" i="27"/>
  <c r="H185" i="27"/>
  <c r="G185" i="27"/>
  <c r="F185" i="27"/>
  <c r="E185" i="27"/>
  <c r="D185" i="27"/>
  <c r="C185" i="27"/>
  <c r="Q184" i="27"/>
  <c r="P184" i="27"/>
  <c r="O184" i="27"/>
  <c r="N184" i="27"/>
  <c r="M184" i="27"/>
  <c r="L184" i="27"/>
  <c r="K184" i="27"/>
  <c r="J184" i="27"/>
  <c r="I184" i="27"/>
  <c r="H184" i="27"/>
  <c r="G184" i="27"/>
  <c r="F184" i="27"/>
  <c r="E184" i="27"/>
  <c r="D184" i="27"/>
  <c r="C184" i="27"/>
  <c r="Q183" i="27"/>
  <c r="P183" i="27"/>
  <c r="O183" i="27"/>
  <c r="N183" i="27"/>
  <c r="M183" i="27"/>
  <c r="L183" i="27"/>
  <c r="K183" i="27"/>
  <c r="J183" i="27"/>
  <c r="I183" i="27"/>
  <c r="H183" i="27"/>
  <c r="G183" i="27"/>
  <c r="F183" i="27"/>
  <c r="E183" i="27"/>
  <c r="D183" i="27"/>
  <c r="C183" i="27"/>
  <c r="Q182" i="27"/>
  <c r="P182" i="27"/>
  <c r="O182" i="27"/>
  <c r="N182" i="27"/>
  <c r="M182" i="27"/>
  <c r="L182" i="27"/>
  <c r="K182" i="27"/>
  <c r="J182" i="27"/>
  <c r="I182" i="27"/>
  <c r="H182" i="27"/>
  <c r="G182" i="27"/>
  <c r="F182" i="27"/>
  <c r="E182" i="27"/>
  <c r="D182" i="27"/>
  <c r="C182" i="27"/>
  <c r="Q181" i="27"/>
  <c r="P181" i="27"/>
  <c r="O181" i="27"/>
  <c r="N181" i="27"/>
  <c r="M181" i="27"/>
  <c r="L181" i="27"/>
  <c r="K181" i="27"/>
  <c r="J181" i="27"/>
  <c r="I181" i="27"/>
  <c r="H181" i="27"/>
  <c r="G181" i="27"/>
  <c r="F181" i="27"/>
  <c r="E181" i="27"/>
  <c r="D181" i="27"/>
  <c r="C181" i="27"/>
  <c r="Q180" i="27"/>
  <c r="P180" i="27"/>
  <c r="O180" i="27"/>
  <c r="N180" i="27"/>
  <c r="M180" i="27"/>
  <c r="L180" i="27"/>
  <c r="K180" i="27"/>
  <c r="J180" i="27"/>
  <c r="I180" i="27"/>
  <c r="H180" i="27"/>
  <c r="G180" i="27"/>
  <c r="F180" i="27"/>
  <c r="E180" i="27"/>
  <c r="D180" i="27"/>
  <c r="C180" i="27"/>
  <c r="Q179" i="27"/>
  <c r="P179" i="27"/>
  <c r="O179" i="27"/>
  <c r="N179" i="27"/>
  <c r="M179" i="27"/>
  <c r="L179" i="27"/>
  <c r="K179" i="27"/>
  <c r="J179" i="27"/>
  <c r="I179" i="27"/>
  <c r="H179" i="27"/>
  <c r="G179" i="27"/>
  <c r="F179" i="27"/>
  <c r="E179" i="27"/>
  <c r="D179" i="27"/>
  <c r="C179" i="27"/>
  <c r="Q178" i="27"/>
  <c r="P178" i="27"/>
  <c r="O178" i="27"/>
  <c r="N178" i="27"/>
  <c r="M178" i="27"/>
  <c r="L178" i="27"/>
  <c r="K178" i="27"/>
  <c r="J178" i="27"/>
  <c r="I178" i="27"/>
  <c r="H178" i="27"/>
  <c r="G178" i="27"/>
  <c r="F178" i="27"/>
  <c r="E178" i="27"/>
  <c r="D178" i="27"/>
  <c r="C178" i="27"/>
  <c r="Q177" i="27"/>
  <c r="P177" i="27"/>
  <c r="O177" i="27"/>
  <c r="N177" i="27"/>
  <c r="M177" i="27"/>
  <c r="L177" i="27"/>
  <c r="K177" i="27"/>
  <c r="J177" i="27"/>
  <c r="I177" i="27"/>
  <c r="H177" i="27"/>
  <c r="G177" i="27"/>
  <c r="F177" i="27"/>
  <c r="E177" i="27"/>
  <c r="D177" i="27"/>
  <c r="C177" i="27"/>
  <c r="Q176" i="27"/>
  <c r="P176" i="27"/>
  <c r="O176" i="27"/>
  <c r="N176" i="27"/>
  <c r="M176" i="27"/>
  <c r="L176" i="27"/>
  <c r="K176" i="27"/>
  <c r="J176" i="27"/>
  <c r="I176" i="27"/>
  <c r="H176" i="27"/>
  <c r="G176" i="27"/>
  <c r="F176" i="27"/>
  <c r="E176" i="27"/>
  <c r="D176" i="27"/>
  <c r="C176" i="27"/>
  <c r="Q175" i="27"/>
  <c r="P175" i="27"/>
  <c r="O175" i="27"/>
  <c r="N175" i="27"/>
  <c r="M175" i="27"/>
  <c r="L175" i="27"/>
  <c r="K175" i="27"/>
  <c r="J175" i="27"/>
  <c r="I175" i="27"/>
  <c r="H175" i="27"/>
  <c r="G175" i="27"/>
  <c r="F175" i="27"/>
  <c r="E175" i="27"/>
  <c r="D175" i="27"/>
  <c r="C175" i="27"/>
  <c r="Q174" i="27"/>
  <c r="P174" i="27"/>
  <c r="O174" i="27"/>
  <c r="N174" i="27"/>
  <c r="M174" i="27"/>
  <c r="L174" i="27"/>
  <c r="K174" i="27"/>
  <c r="J174" i="27"/>
  <c r="I174" i="27"/>
  <c r="H174" i="27"/>
  <c r="G174" i="27"/>
  <c r="F174" i="27"/>
  <c r="E174" i="27"/>
  <c r="D174" i="27"/>
  <c r="C174" i="27"/>
  <c r="Q173" i="27"/>
  <c r="P173" i="27"/>
  <c r="O173" i="27"/>
  <c r="N173" i="27"/>
  <c r="M173" i="27"/>
  <c r="L173" i="27"/>
  <c r="K173" i="27"/>
  <c r="J173" i="27"/>
  <c r="I173" i="27"/>
  <c r="H173" i="27"/>
  <c r="G173" i="27"/>
  <c r="F173" i="27"/>
  <c r="E173" i="27"/>
  <c r="D173" i="27"/>
  <c r="C173" i="27"/>
  <c r="Q172" i="27"/>
  <c r="P172" i="27"/>
  <c r="O172" i="27"/>
  <c r="N172" i="27"/>
  <c r="M172" i="27"/>
  <c r="L172" i="27"/>
  <c r="K172" i="27"/>
  <c r="J172" i="27"/>
  <c r="I172" i="27"/>
  <c r="H172" i="27"/>
  <c r="G172" i="27"/>
  <c r="F172" i="27"/>
  <c r="E172" i="27"/>
  <c r="D172" i="27"/>
  <c r="C172" i="27"/>
  <c r="Q171" i="27"/>
  <c r="P171" i="27"/>
  <c r="O171" i="27"/>
  <c r="N171" i="27"/>
  <c r="M171" i="27"/>
  <c r="L171" i="27"/>
  <c r="K171" i="27"/>
  <c r="J171" i="27"/>
  <c r="I171" i="27"/>
  <c r="H171" i="27"/>
  <c r="G171" i="27"/>
  <c r="F171" i="27"/>
  <c r="E171" i="27"/>
  <c r="D171" i="27"/>
  <c r="C171" i="27"/>
  <c r="Q170" i="27"/>
  <c r="P170" i="27"/>
  <c r="O170" i="27"/>
  <c r="N170" i="27"/>
  <c r="M170" i="27"/>
  <c r="L170" i="27"/>
  <c r="K170" i="27"/>
  <c r="J170" i="27"/>
  <c r="I170" i="27"/>
  <c r="H170" i="27"/>
  <c r="G170" i="27"/>
  <c r="F170" i="27"/>
  <c r="E170" i="27"/>
  <c r="D170" i="27"/>
  <c r="C170" i="27"/>
  <c r="Q169" i="27"/>
  <c r="P169" i="27"/>
  <c r="O169" i="27"/>
  <c r="N169" i="27"/>
  <c r="M169" i="27"/>
  <c r="L169" i="27"/>
  <c r="K169" i="27"/>
  <c r="J169" i="27"/>
  <c r="I169" i="27"/>
  <c r="H169" i="27"/>
  <c r="G169" i="27"/>
  <c r="F169" i="27"/>
  <c r="E169" i="27"/>
  <c r="D169" i="27"/>
  <c r="C169" i="27"/>
  <c r="Q168" i="27"/>
  <c r="P168" i="27"/>
  <c r="O168" i="27"/>
  <c r="N168" i="27"/>
  <c r="M168" i="27"/>
  <c r="L168" i="27"/>
  <c r="K168" i="27"/>
  <c r="J168" i="27"/>
  <c r="I168" i="27"/>
  <c r="H168" i="27"/>
  <c r="G168" i="27"/>
  <c r="F168" i="27"/>
  <c r="E168" i="27"/>
  <c r="D168" i="27"/>
  <c r="C168" i="27"/>
  <c r="Q167" i="27"/>
  <c r="P167" i="27"/>
  <c r="O167" i="27"/>
  <c r="N167" i="27"/>
  <c r="M167" i="27"/>
  <c r="L167" i="27"/>
  <c r="K167" i="27"/>
  <c r="J167" i="27"/>
  <c r="I167" i="27"/>
  <c r="H167" i="27"/>
  <c r="G167" i="27"/>
  <c r="F167" i="27"/>
  <c r="E167" i="27"/>
  <c r="D167" i="27"/>
  <c r="C167" i="27"/>
  <c r="Q166" i="27"/>
  <c r="P166" i="27"/>
  <c r="O166" i="27"/>
  <c r="N166" i="27"/>
  <c r="M166" i="27"/>
  <c r="L166" i="27"/>
  <c r="K166" i="27"/>
  <c r="J166" i="27"/>
  <c r="I166" i="27"/>
  <c r="H166" i="27"/>
  <c r="G166" i="27"/>
  <c r="F166" i="27"/>
  <c r="E166" i="27"/>
  <c r="D166" i="27"/>
  <c r="C166" i="27"/>
  <c r="Q165" i="27"/>
  <c r="P165" i="27"/>
  <c r="O165" i="27"/>
  <c r="N165" i="27"/>
  <c r="M165" i="27"/>
  <c r="L165" i="27"/>
  <c r="K165" i="27"/>
  <c r="J165" i="27"/>
  <c r="I165" i="27"/>
  <c r="H165" i="27"/>
  <c r="G165" i="27"/>
  <c r="F165" i="27"/>
  <c r="E165" i="27"/>
  <c r="D165" i="27"/>
  <c r="C165" i="27"/>
  <c r="Q164" i="27"/>
  <c r="P164" i="27"/>
  <c r="O164" i="27"/>
  <c r="N164" i="27"/>
  <c r="M164" i="27"/>
  <c r="L164" i="27"/>
  <c r="K164" i="27"/>
  <c r="J164" i="27"/>
  <c r="I164" i="27"/>
  <c r="H164" i="27"/>
  <c r="G164" i="27"/>
  <c r="F164" i="27"/>
  <c r="E164" i="27"/>
  <c r="D164" i="27"/>
  <c r="C164" i="27"/>
  <c r="Q163" i="27"/>
  <c r="P163" i="27"/>
  <c r="O163" i="27"/>
  <c r="N163" i="27"/>
  <c r="M163" i="27"/>
  <c r="L163" i="27"/>
  <c r="K163" i="27"/>
  <c r="J163" i="27"/>
  <c r="I163" i="27"/>
  <c r="H163" i="27"/>
  <c r="G163" i="27"/>
  <c r="F163" i="27"/>
  <c r="E163" i="27"/>
  <c r="D163" i="27"/>
  <c r="C163" i="27"/>
  <c r="Q162" i="27"/>
  <c r="P162" i="27"/>
  <c r="O162" i="27"/>
  <c r="N162" i="27"/>
  <c r="M162" i="27"/>
  <c r="L162" i="27"/>
  <c r="K162" i="27"/>
  <c r="J162" i="27"/>
  <c r="I162" i="27"/>
  <c r="H162" i="27"/>
  <c r="G162" i="27"/>
  <c r="F162" i="27"/>
  <c r="E162" i="27"/>
  <c r="D162" i="27"/>
  <c r="C162" i="27"/>
  <c r="Q161" i="27"/>
  <c r="P161" i="27"/>
  <c r="O161" i="27"/>
  <c r="N161" i="27"/>
  <c r="M161" i="27"/>
  <c r="L161" i="27"/>
  <c r="K161" i="27"/>
  <c r="J161" i="27"/>
  <c r="I161" i="27"/>
  <c r="H161" i="27"/>
  <c r="G161" i="27"/>
  <c r="F161" i="27"/>
  <c r="E161" i="27"/>
  <c r="D161" i="27"/>
  <c r="C161" i="27"/>
  <c r="Q160" i="27"/>
  <c r="P160" i="27"/>
  <c r="O160" i="27"/>
  <c r="N160" i="27"/>
  <c r="M160" i="27"/>
  <c r="L160" i="27"/>
  <c r="K160" i="27"/>
  <c r="J160" i="27"/>
  <c r="I160" i="27"/>
  <c r="H160" i="27"/>
  <c r="G160" i="27"/>
  <c r="F160" i="27"/>
  <c r="E160" i="27"/>
  <c r="D160" i="27"/>
  <c r="C160" i="27"/>
  <c r="Q159" i="27"/>
  <c r="P159" i="27"/>
  <c r="O159" i="27"/>
  <c r="N159" i="27"/>
  <c r="M159" i="27"/>
  <c r="L159" i="27"/>
  <c r="K159" i="27"/>
  <c r="J159" i="27"/>
  <c r="I159" i="27"/>
  <c r="H159" i="27"/>
  <c r="G159" i="27"/>
  <c r="F159" i="27"/>
  <c r="E159" i="27"/>
  <c r="D159" i="27"/>
  <c r="C159" i="27"/>
  <c r="Q158" i="27"/>
  <c r="P158" i="27"/>
  <c r="O158" i="27"/>
  <c r="N158" i="27"/>
  <c r="M158" i="27"/>
  <c r="L158" i="27"/>
  <c r="K158" i="27"/>
  <c r="J158" i="27"/>
  <c r="I158" i="27"/>
  <c r="H158" i="27"/>
  <c r="G158" i="27"/>
  <c r="F158" i="27"/>
  <c r="E158" i="27"/>
  <c r="D158" i="27"/>
  <c r="C158" i="27"/>
  <c r="Q157" i="27"/>
  <c r="P157" i="27"/>
  <c r="O157" i="27"/>
  <c r="N157" i="27"/>
  <c r="M157" i="27"/>
  <c r="L157" i="27"/>
  <c r="K157" i="27"/>
  <c r="J157" i="27"/>
  <c r="I157" i="27"/>
  <c r="H157" i="27"/>
  <c r="G157" i="27"/>
  <c r="F157" i="27"/>
  <c r="E157" i="27"/>
  <c r="D157" i="27"/>
  <c r="C157" i="27"/>
  <c r="Q156" i="27"/>
  <c r="P156" i="27"/>
  <c r="O156" i="27"/>
  <c r="N156" i="27"/>
  <c r="M156" i="27"/>
  <c r="L156" i="27"/>
  <c r="K156" i="27"/>
  <c r="J156" i="27"/>
  <c r="I156" i="27"/>
  <c r="H156" i="27"/>
  <c r="G156" i="27"/>
  <c r="F156" i="27"/>
  <c r="E156" i="27"/>
  <c r="D156" i="27"/>
  <c r="C156" i="27"/>
  <c r="Q155" i="27"/>
  <c r="P155" i="27"/>
  <c r="O155" i="27"/>
  <c r="N155" i="27"/>
  <c r="M155" i="27"/>
  <c r="L155" i="27"/>
  <c r="K155" i="27"/>
  <c r="J155" i="27"/>
  <c r="I155" i="27"/>
  <c r="H155" i="27"/>
  <c r="G155" i="27"/>
  <c r="F155" i="27"/>
  <c r="E155" i="27"/>
  <c r="D155" i="27"/>
  <c r="C155" i="27"/>
  <c r="Q154" i="27"/>
  <c r="P154" i="27"/>
  <c r="O154" i="27"/>
  <c r="N154" i="27"/>
  <c r="M154" i="27"/>
  <c r="L154" i="27"/>
  <c r="K154" i="27"/>
  <c r="J154" i="27"/>
  <c r="I154" i="27"/>
  <c r="H154" i="27"/>
  <c r="G154" i="27"/>
  <c r="F154" i="27"/>
  <c r="E154" i="27"/>
  <c r="D154" i="27"/>
  <c r="C154" i="27"/>
  <c r="Q153" i="27"/>
  <c r="P153" i="27"/>
  <c r="O153" i="27"/>
  <c r="N153" i="27"/>
  <c r="M153" i="27"/>
  <c r="L153" i="27"/>
  <c r="K153" i="27"/>
  <c r="J153" i="27"/>
  <c r="I153" i="27"/>
  <c r="H153" i="27"/>
  <c r="G153" i="27"/>
  <c r="F153" i="27"/>
  <c r="E153" i="27"/>
  <c r="D153" i="27"/>
  <c r="C153" i="27"/>
  <c r="Q152" i="27"/>
  <c r="P152" i="27"/>
  <c r="O152" i="27"/>
  <c r="N152" i="27"/>
  <c r="M152" i="27"/>
  <c r="L152" i="27"/>
  <c r="K152" i="27"/>
  <c r="J152" i="27"/>
  <c r="I152" i="27"/>
  <c r="H152" i="27"/>
  <c r="G152" i="27"/>
  <c r="F152" i="27"/>
  <c r="E152" i="27"/>
  <c r="D152" i="27"/>
  <c r="C152" i="27"/>
  <c r="Q151" i="27"/>
  <c r="P151" i="27"/>
  <c r="O151" i="27"/>
  <c r="N151" i="27"/>
  <c r="M151" i="27"/>
  <c r="L151" i="27"/>
  <c r="K151" i="27"/>
  <c r="J151" i="27"/>
  <c r="I151" i="27"/>
  <c r="H151" i="27"/>
  <c r="G151" i="27"/>
  <c r="F151" i="27"/>
  <c r="E151" i="27"/>
  <c r="D151" i="27"/>
  <c r="C151" i="27"/>
  <c r="Q150" i="27"/>
  <c r="P150" i="27"/>
  <c r="O150" i="27"/>
  <c r="N150" i="27"/>
  <c r="M150" i="27"/>
  <c r="L150" i="27"/>
  <c r="K150" i="27"/>
  <c r="J150" i="27"/>
  <c r="I150" i="27"/>
  <c r="H150" i="27"/>
  <c r="G150" i="27"/>
  <c r="F150" i="27"/>
  <c r="E150" i="27"/>
  <c r="D150" i="27"/>
  <c r="C150" i="27"/>
  <c r="Q149" i="27"/>
  <c r="P149" i="27"/>
  <c r="O149" i="27"/>
  <c r="N149" i="27"/>
  <c r="M149" i="27"/>
  <c r="L149" i="27"/>
  <c r="K149" i="27"/>
  <c r="J149" i="27"/>
  <c r="I149" i="27"/>
  <c r="H149" i="27"/>
  <c r="G149" i="27"/>
  <c r="F149" i="27"/>
  <c r="E149" i="27"/>
  <c r="D149" i="27"/>
  <c r="C149" i="27"/>
  <c r="Q148" i="27"/>
  <c r="P148" i="27"/>
  <c r="O148" i="27"/>
  <c r="N148" i="27"/>
  <c r="M148" i="27"/>
  <c r="L148" i="27"/>
  <c r="K148" i="27"/>
  <c r="J148" i="27"/>
  <c r="I148" i="27"/>
  <c r="H148" i="27"/>
  <c r="G148" i="27"/>
  <c r="F148" i="27"/>
  <c r="E148" i="27"/>
  <c r="D148" i="27"/>
  <c r="C148" i="27"/>
  <c r="Q147" i="27"/>
  <c r="P147" i="27"/>
  <c r="O147" i="27"/>
  <c r="N147" i="27"/>
  <c r="M147" i="27"/>
  <c r="L147" i="27"/>
  <c r="K147" i="27"/>
  <c r="J147" i="27"/>
  <c r="I147" i="27"/>
  <c r="H147" i="27"/>
  <c r="G147" i="27"/>
  <c r="F147" i="27"/>
  <c r="E147" i="27"/>
  <c r="D147" i="27"/>
  <c r="C147" i="27"/>
  <c r="Q146" i="27"/>
  <c r="P146" i="27"/>
  <c r="O146" i="27"/>
  <c r="N146" i="27"/>
  <c r="M146" i="27"/>
  <c r="L146" i="27"/>
  <c r="K146" i="27"/>
  <c r="J146" i="27"/>
  <c r="I146" i="27"/>
  <c r="H146" i="27"/>
  <c r="G146" i="27"/>
  <c r="F146" i="27"/>
  <c r="E146" i="27"/>
  <c r="D146" i="27"/>
  <c r="C146" i="27"/>
  <c r="Q145" i="27"/>
  <c r="P145" i="27"/>
  <c r="O145" i="27"/>
  <c r="N145" i="27"/>
  <c r="M145" i="27"/>
  <c r="L145" i="27"/>
  <c r="K145" i="27"/>
  <c r="J145" i="27"/>
  <c r="I145" i="27"/>
  <c r="H145" i="27"/>
  <c r="G145" i="27"/>
  <c r="F145" i="27"/>
  <c r="E145" i="27"/>
  <c r="D145" i="27"/>
  <c r="C145" i="27"/>
  <c r="Q144" i="27"/>
  <c r="P144" i="27"/>
  <c r="O144" i="27"/>
  <c r="N144" i="27"/>
  <c r="M144" i="27"/>
  <c r="L144" i="27"/>
  <c r="K144" i="27"/>
  <c r="J144" i="27"/>
  <c r="I144" i="27"/>
  <c r="H144" i="27"/>
  <c r="G144" i="27"/>
  <c r="F144" i="27"/>
  <c r="E144" i="27"/>
  <c r="D144" i="27"/>
  <c r="C144" i="27"/>
  <c r="Q143" i="27"/>
  <c r="P143" i="27"/>
  <c r="O143" i="27"/>
  <c r="N143" i="27"/>
  <c r="M143" i="27"/>
  <c r="L143" i="27"/>
  <c r="K143" i="27"/>
  <c r="J143" i="27"/>
  <c r="I143" i="27"/>
  <c r="H143" i="27"/>
  <c r="G143" i="27"/>
  <c r="F143" i="27"/>
  <c r="E143" i="27"/>
  <c r="D143" i="27"/>
  <c r="C143" i="27"/>
  <c r="Q142" i="27"/>
  <c r="P142" i="27"/>
  <c r="O142" i="27"/>
  <c r="N142" i="27"/>
  <c r="M142" i="27"/>
  <c r="L142" i="27"/>
  <c r="K142" i="27"/>
  <c r="J142" i="27"/>
  <c r="I142" i="27"/>
  <c r="H142" i="27"/>
  <c r="G142" i="27"/>
  <c r="F142" i="27"/>
  <c r="E142" i="27"/>
  <c r="D142" i="27"/>
  <c r="C142" i="27"/>
  <c r="Q141" i="27"/>
  <c r="P141" i="27"/>
  <c r="O141" i="27"/>
  <c r="N141" i="27"/>
  <c r="M141" i="27"/>
  <c r="L141" i="27"/>
  <c r="K141" i="27"/>
  <c r="J141" i="27"/>
  <c r="I141" i="27"/>
  <c r="H141" i="27"/>
  <c r="G141" i="27"/>
  <c r="F141" i="27"/>
  <c r="E141" i="27"/>
  <c r="D141" i="27"/>
  <c r="C141" i="27"/>
  <c r="Q140" i="27"/>
  <c r="P140" i="27"/>
  <c r="O140" i="27"/>
  <c r="N140" i="27"/>
  <c r="M140" i="27"/>
  <c r="L140" i="27"/>
  <c r="K140" i="27"/>
  <c r="J140" i="27"/>
  <c r="I140" i="27"/>
  <c r="H140" i="27"/>
  <c r="G140" i="27"/>
  <c r="F140" i="27"/>
  <c r="E140" i="27"/>
  <c r="D140" i="27"/>
  <c r="C140" i="27"/>
  <c r="Q139" i="27"/>
  <c r="P139" i="27"/>
  <c r="O139" i="27"/>
  <c r="N139" i="27"/>
  <c r="M139" i="27"/>
  <c r="L139" i="27"/>
  <c r="K139" i="27"/>
  <c r="J139" i="27"/>
  <c r="I139" i="27"/>
  <c r="H139" i="27"/>
  <c r="G139" i="27"/>
  <c r="F139" i="27"/>
  <c r="E139" i="27"/>
  <c r="D139" i="27"/>
  <c r="C139" i="27"/>
  <c r="Q138" i="27"/>
  <c r="P138" i="27"/>
  <c r="O138" i="27"/>
  <c r="N138" i="27"/>
  <c r="M138" i="27"/>
  <c r="L138" i="27"/>
  <c r="K138" i="27"/>
  <c r="J138" i="27"/>
  <c r="I138" i="27"/>
  <c r="H138" i="27"/>
  <c r="G138" i="27"/>
  <c r="F138" i="27"/>
  <c r="E138" i="27"/>
  <c r="D138" i="27"/>
  <c r="C138" i="27"/>
  <c r="Q137" i="27"/>
  <c r="P137" i="27"/>
  <c r="O137" i="27"/>
  <c r="N137" i="27"/>
  <c r="M137" i="27"/>
  <c r="L137" i="27"/>
  <c r="K137" i="27"/>
  <c r="J137" i="27"/>
  <c r="I137" i="27"/>
  <c r="H137" i="27"/>
  <c r="G137" i="27"/>
  <c r="F137" i="27"/>
  <c r="E137" i="27"/>
  <c r="D137" i="27"/>
  <c r="C137" i="27"/>
  <c r="Q136" i="27"/>
  <c r="P136" i="27"/>
  <c r="O136" i="27"/>
  <c r="N136" i="27"/>
  <c r="M136" i="27"/>
  <c r="L136" i="27"/>
  <c r="K136" i="27"/>
  <c r="J136" i="27"/>
  <c r="I136" i="27"/>
  <c r="H136" i="27"/>
  <c r="G136" i="27"/>
  <c r="F136" i="27"/>
  <c r="E136" i="27"/>
  <c r="D136" i="27"/>
  <c r="C136" i="27"/>
  <c r="Q135" i="27"/>
  <c r="P135" i="27"/>
  <c r="O135" i="27"/>
  <c r="N135" i="27"/>
  <c r="M135" i="27"/>
  <c r="L135" i="27"/>
  <c r="K135" i="27"/>
  <c r="J135" i="27"/>
  <c r="I135" i="27"/>
  <c r="H135" i="27"/>
  <c r="G135" i="27"/>
  <c r="F135" i="27"/>
  <c r="E135" i="27"/>
  <c r="D135" i="27"/>
  <c r="C135" i="27"/>
  <c r="AH134" i="27"/>
  <c r="AE134" i="27"/>
  <c r="AD134" i="27"/>
  <c r="AC134" i="27"/>
  <c r="M134" i="27" s="1"/>
  <c r="AB134" i="27"/>
  <c r="L129" i="27" s="1"/>
  <c r="AA134" i="27"/>
  <c r="K134" i="27" s="1"/>
  <c r="Z134" i="27"/>
  <c r="J132" i="27" s="1"/>
  <c r="Y134" i="27"/>
  <c r="X134" i="27"/>
  <c r="W134" i="27"/>
  <c r="G134" i="27" s="1"/>
  <c r="V134" i="27"/>
  <c r="U134" i="27"/>
  <c r="E134" i="27" s="1"/>
  <c r="T134" i="27"/>
  <c r="S134" i="27"/>
  <c r="P134" i="27"/>
  <c r="O134" i="27"/>
  <c r="AH133" i="27"/>
  <c r="AE133" i="27"/>
  <c r="AD133" i="27"/>
  <c r="AD8" i="27" s="1"/>
  <c r="AC133" i="27"/>
  <c r="AB133" i="27"/>
  <c r="AA133" i="27"/>
  <c r="Z133" i="27"/>
  <c r="Y133" i="27"/>
  <c r="X133" i="27"/>
  <c r="W133" i="27"/>
  <c r="V133" i="27"/>
  <c r="U133" i="27"/>
  <c r="T133" i="27"/>
  <c r="S133" i="27"/>
  <c r="P133" i="27"/>
  <c r="O133" i="27"/>
  <c r="L133" i="27"/>
  <c r="K133" i="27"/>
  <c r="J133" i="27"/>
  <c r="AH132" i="27"/>
  <c r="AE132" i="27"/>
  <c r="AD132" i="27"/>
  <c r="AC132" i="27"/>
  <c r="AB132" i="27"/>
  <c r="AA132" i="27"/>
  <c r="Z132" i="27"/>
  <c r="Z7" i="27" s="1"/>
  <c r="Y132" i="27"/>
  <c r="X132" i="27"/>
  <c r="W132" i="27"/>
  <c r="V132" i="27"/>
  <c r="U132" i="27"/>
  <c r="T132" i="27"/>
  <c r="S132" i="27"/>
  <c r="P132" i="27"/>
  <c r="O132" i="27"/>
  <c r="M132" i="27"/>
  <c r="AH131" i="27"/>
  <c r="AE131" i="27"/>
  <c r="AD131" i="27"/>
  <c r="AC131" i="27"/>
  <c r="AB131" i="27"/>
  <c r="AB6" i="27" s="1"/>
  <c r="AA131" i="27"/>
  <c r="Z131" i="27"/>
  <c r="Y131" i="27"/>
  <c r="X131" i="27"/>
  <c r="W131" i="27"/>
  <c r="V131" i="27"/>
  <c r="U131" i="27"/>
  <c r="T131" i="27"/>
  <c r="S131" i="27"/>
  <c r="P131" i="27"/>
  <c r="O131" i="27"/>
  <c r="M131" i="27"/>
  <c r="AH130" i="27"/>
  <c r="AE130" i="27"/>
  <c r="AD130" i="27"/>
  <c r="AC130" i="27"/>
  <c r="AB130" i="27"/>
  <c r="AA130" i="27"/>
  <c r="Z130" i="27"/>
  <c r="Y130" i="27"/>
  <c r="X130" i="27"/>
  <c r="W130" i="27"/>
  <c r="V130" i="27"/>
  <c r="U130" i="27"/>
  <c r="T130" i="27"/>
  <c r="S130" i="27"/>
  <c r="P130" i="27"/>
  <c r="O130" i="27"/>
  <c r="K130" i="27"/>
  <c r="J130" i="27"/>
  <c r="AH129" i="27"/>
  <c r="AE129" i="27"/>
  <c r="AD129" i="27"/>
  <c r="AC129" i="27"/>
  <c r="AB129" i="27"/>
  <c r="AA129" i="27"/>
  <c r="Z129" i="27"/>
  <c r="Z4" i="27" s="1"/>
  <c r="Y129" i="27"/>
  <c r="X129" i="27"/>
  <c r="W129" i="27"/>
  <c r="V129" i="27"/>
  <c r="U129" i="27"/>
  <c r="T129" i="27"/>
  <c r="S129" i="27"/>
  <c r="P129" i="27"/>
  <c r="O129" i="27"/>
  <c r="M129" i="27"/>
  <c r="Q128" i="27"/>
  <c r="P128" i="27"/>
  <c r="O128" i="27"/>
  <c r="N128" i="27"/>
  <c r="M128" i="27"/>
  <c r="L128" i="27"/>
  <c r="K128" i="27"/>
  <c r="J128" i="27"/>
  <c r="I128" i="27"/>
  <c r="H128" i="27"/>
  <c r="G128" i="27"/>
  <c r="F128" i="27"/>
  <c r="E128" i="27"/>
  <c r="D128" i="27"/>
  <c r="C128" i="27"/>
  <c r="Q127" i="27"/>
  <c r="P127" i="27"/>
  <c r="O127" i="27"/>
  <c r="N127" i="27"/>
  <c r="M127" i="27"/>
  <c r="L127" i="27"/>
  <c r="K127" i="27"/>
  <c r="J127" i="27"/>
  <c r="I127" i="27"/>
  <c r="H127" i="27"/>
  <c r="G127" i="27"/>
  <c r="F127" i="27"/>
  <c r="E127" i="27"/>
  <c r="D127" i="27"/>
  <c r="C127" i="27"/>
  <c r="Q126" i="27"/>
  <c r="P126" i="27"/>
  <c r="O126" i="27"/>
  <c r="N126" i="27"/>
  <c r="M126" i="27"/>
  <c r="L126" i="27"/>
  <c r="K126" i="27"/>
  <c r="J126" i="27"/>
  <c r="I126" i="27"/>
  <c r="H126" i="27"/>
  <c r="G126" i="27"/>
  <c r="F126" i="27"/>
  <c r="E126" i="27"/>
  <c r="D126" i="27"/>
  <c r="C126" i="27"/>
  <c r="Q125" i="27"/>
  <c r="P125" i="27"/>
  <c r="O125" i="27"/>
  <c r="N125" i="27"/>
  <c r="M125" i="27"/>
  <c r="L125" i="27"/>
  <c r="K125" i="27"/>
  <c r="J125" i="27"/>
  <c r="I125" i="27"/>
  <c r="H125" i="27"/>
  <c r="G125" i="27"/>
  <c r="F125" i="27"/>
  <c r="E125" i="27"/>
  <c r="D125" i="27"/>
  <c r="C125" i="27"/>
  <c r="Q124" i="27"/>
  <c r="P124" i="27"/>
  <c r="O124" i="27"/>
  <c r="N124" i="27"/>
  <c r="M124" i="27"/>
  <c r="L124" i="27"/>
  <c r="K124" i="27"/>
  <c r="J124" i="27"/>
  <c r="I124" i="27"/>
  <c r="H124" i="27"/>
  <c r="G124" i="27"/>
  <c r="F124" i="27"/>
  <c r="E124" i="27"/>
  <c r="D124" i="27"/>
  <c r="C124" i="27"/>
  <c r="Q123" i="27"/>
  <c r="P123" i="27"/>
  <c r="O123" i="27"/>
  <c r="N123" i="27"/>
  <c r="M123" i="27"/>
  <c r="L123" i="27"/>
  <c r="K123" i="27"/>
  <c r="J123" i="27"/>
  <c r="I123" i="27"/>
  <c r="H123" i="27"/>
  <c r="G123" i="27"/>
  <c r="F123" i="27"/>
  <c r="E123" i="27"/>
  <c r="D123" i="27"/>
  <c r="C123" i="27"/>
  <c r="Q122" i="27"/>
  <c r="P122" i="27"/>
  <c r="O122" i="27"/>
  <c r="N122" i="27"/>
  <c r="M122" i="27"/>
  <c r="L122" i="27"/>
  <c r="K122" i="27"/>
  <c r="J122" i="27"/>
  <c r="I122" i="27"/>
  <c r="H122" i="27"/>
  <c r="G122" i="27"/>
  <c r="F122" i="27"/>
  <c r="E122" i="27"/>
  <c r="D122" i="27"/>
  <c r="C122" i="27"/>
  <c r="Q121" i="27"/>
  <c r="P121" i="27"/>
  <c r="O121" i="27"/>
  <c r="N121" i="27"/>
  <c r="M121" i="27"/>
  <c r="L121" i="27"/>
  <c r="K121" i="27"/>
  <c r="J121" i="27"/>
  <c r="I121" i="27"/>
  <c r="H121" i="27"/>
  <c r="G121" i="27"/>
  <c r="F121" i="27"/>
  <c r="E121" i="27"/>
  <c r="D121" i="27"/>
  <c r="C121" i="27"/>
  <c r="Q120" i="27"/>
  <c r="P120" i="27"/>
  <c r="O120" i="27"/>
  <c r="N120" i="27"/>
  <c r="M120" i="27"/>
  <c r="L120" i="27"/>
  <c r="K120" i="27"/>
  <c r="J120" i="27"/>
  <c r="I120" i="27"/>
  <c r="H120" i="27"/>
  <c r="G120" i="27"/>
  <c r="F120" i="27"/>
  <c r="E120" i="27"/>
  <c r="D120" i="27"/>
  <c r="C120" i="27"/>
  <c r="Q119" i="27"/>
  <c r="P119" i="27"/>
  <c r="O119" i="27"/>
  <c r="N119" i="27"/>
  <c r="M119" i="27"/>
  <c r="L119" i="27"/>
  <c r="K119" i="27"/>
  <c r="J119" i="27"/>
  <c r="I119" i="27"/>
  <c r="H119" i="27"/>
  <c r="G119" i="27"/>
  <c r="F119" i="27"/>
  <c r="E119" i="27"/>
  <c r="D119" i="27"/>
  <c r="C119" i="27"/>
  <c r="Q118" i="27"/>
  <c r="P118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C118" i="27"/>
  <c r="Q117" i="27"/>
  <c r="P117" i="27"/>
  <c r="O117" i="27"/>
  <c r="N117" i="27"/>
  <c r="M117" i="27"/>
  <c r="L117" i="27"/>
  <c r="K117" i="27"/>
  <c r="J117" i="27"/>
  <c r="I117" i="27"/>
  <c r="H117" i="27"/>
  <c r="G117" i="27"/>
  <c r="F117" i="27"/>
  <c r="E117" i="27"/>
  <c r="D117" i="27"/>
  <c r="C117" i="27"/>
  <c r="Q116" i="27"/>
  <c r="P116" i="27"/>
  <c r="O116" i="27"/>
  <c r="N116" i="27"/>
  <c r="M116" i="27"/>
  <c r="L116" i="27"/>
  <c r="K116" i="27"/>
  <c r="J116" i="27"/>
  <c r="I116" i="27"/>
  <c r="H116" i="27"/>
  <c r="G116" i="27"/>
  <c r="F116" i="27"/>
  <c r="E116" i="27"/>
  <c r="D116" i="27"/>
  <c r="C116" i="27"/>
  <c r="Q115" i="27"/>
  <c r="P115" i="27"/>
  <c r="O115" i="27"/>
  <c r="N115" i="27"/>
  <c r="M115" i="27"/>
  <c r="L115" i="27"/>
  <c r="K115" i="27"/>
  <c r="J115" i="27"/>
  <c r="I115" i="27"/>
  <c r="H115" i="27"/>
  <c r="G115" i="27"/>
  <c r="F115" i="27"/>
  <c r="E115" i="27"/>
  <c r="D115" i="27"/>
  <c r="C115" i="27"/>
  <c r="Q114" i="27"/>
  <c r="P114" i="27"/>
  <c r="O114" i="27"/>
  <c r="N114" i="27"/>
  <c r="M114" i="27"/>
  <c r="L114" i="27"/>
  <c r="K114" i="27"/>
  <c r="J114" i="27"/>
  <c r="I114" i="27"/>
  <c r="H114" i="27"/>
  <c r="G114" i="27"/>
  <c r="F114" i="27"/>
  <c r="E114" i="27"/>
  <c r="D114" i="27"/>
  <c r="C114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Q112" i="27"/>
  <c r="P112" i="27"/>
  <c r="O112" i="27"/>
  <c r="N112" i="27"/>
  <c r="M112" i="27"/>
  <c r="L112" i="27"/>
  <c r="K112" i="27"/>
  <c r="J112" i="27"/>
  <c r="I112" i="27"/>
  <c r="H112" i="27"/>
  <c r="G112" i="27"/>
  <c r="F112" i="27"/>
  <c r="E112" i="27"/>
  <c r="D112" i="27"/>
  <c r="C112" i="27"/>
  <c r="Q111" i="27"/>
  <c r="P111" i="27"/>
  <c r="O111" i="27"/>
  <c r="N111" i="27"/>
  <c r="M111" i="27"/>
  <c r="L111" i="27"/>
  <c r="K111" i="27"/>
  <c r="J111" i="27"/>
  <c r="I111" i="27"/>
  <c r="H111" i="27"/>
  <c r="G111" i="27"/>
  <c r="F111" i="27"/>
  <c r="E111" i="27"/>
  <c r="D111" i="27"/>
  <c r="C111" i="27"/>
  <c r="Q110" i="27"/>
  <c r="P110" i="27"/>
  <c r="O110" i="27"/>
  <c r="N110" i="27"/>
  <c r="M110" i="27"/>
  <c r="L110" i="27"/>
  <c r="K110" i="27"/>
  <c r="J110" i="27"/>
  <c r="I110" i="27"/>
  <c r="H110" i="27"/>
  <c r="G110" i="27"/>
  <c r="F110" i="27"/>
  <c r="E110" i="27"/>
  <c r="D110" i="27"/>
  <c r="C110" i="27"/>
  <c r="Q109" i="27"/>
  <c r="P109" i="27"/>
  <c r="O109" i="27"/>
  <c r="N109" i="27"/>
  <c r="M109" i="27"/>
  <c r="L109" i="27"/>
  <c r="K109" i="27"/>
  <c r="J109" i="27"/>
  <c r="I109" i="27"/>
  <c r="H109" i="27"/>
  <c r="G109" i="27"/>
  <c r="F109" i="27"/>
  <c r="E109" i="27"/>
  <c r="D109" i="27"/>
  <c r="C109" i="27"/>
  <c r="Q108" i="27"/>
  <c r="P108" i="27"/>
  <c r="O108" i="27"/>
  <c r="N108" i="27"/>
  <c r="M108" i="27"/>
  <c r="L108" i="27"/>
  <c r="K108" i="27"/>
  <c r="J108" i="27"/>
  <c r="I108" i="27"/>
  <c r="H108" i="27"/>
  <c r="G108" i="27"/>
  <c r="F108" i="27"/>
  <c r="E108" i="27"/>
  <c r="D108" i="27"/>
  <c r="C108" i="27"/>
  <c r="Q107" i="27"/>
  <c r="P107" i="27"/>
  <c r="O107" i="27"/>
  <c r="N107" i="27"/>
  <c r="M107" i="27"/>
  <c r="L107" i="27"/>
  <c r="K107" i="27"/>
  <c r="J107" i="27"/>
  <c r="I107" i="27"/>
  <c r="H107" i="27"/>
  <c r="G107" i="27"/>
  <c r="F107" i="27"/>
  <c r="E107" i="27"/>
  <c r="D107" i="27"/>
  <c r="C107" i="27"/>
  <c r="Q106" i="27"/>
  <c r="P106" i="27"/>
  <c r="O106" i="27"/>
  <c r="N106" i="27"/>
  <c r="M106" i="27"/>
  <c r="L106" i="27"/>
  <c r="K106" i="27"/>
  <c r="J106" i="27"/>
  <c r="I106" i="27"/>
  <c r="H106" i="27"/>
  <c r="G106" i="27"/>
  <c r="F106" i="27"/>
  <c r="E106" i="27"/>
  <c r="D106" i="27"/>
  <c r="C106" i="27"/>
  <c r="Q105" i="27"/>
  <c r="P105" i="27"/>
  <c r="O105" i="27"/>
  <c r="N105" i="27"/>
  <c r="M105" i="27"/>
  <c r="L105" i="27"/>
  <c r="K105" i="27"/>
  <c r="J105" i="27"/>
  <c r="I105" i="27"/>
  <c r="H105" i="27"/>
  <c r="G105" i="27"/>
  <c r="F105" i="27"/>
  <c r="E105" i="27"/>
  <c r="D105" i="27"/>
  <c r="C105" i="27"/>
  <c r="Q104" i="27"/>
  <c r="P104" i="27"/>
  <c r="O104" i="27"/>
  <c r="N104" i="27"/>
  <c r="M104" i="27"/>
  <c r="L104" i="27"/>
  <c r="K104" i="27"/>
  <c r="J104" i="27"/>
  <c r="I104" i="27"/>
  <c r="H104" i="27"/>
  <c r="G104" i="27"/>
  <c r="F104" i="27"/>
  <c r="E104" i="27"/>
  <c r="D104" i="27"/>
  <c r="C104" i="27"/>
  <c r="Q103" i="27"/>
  <c r="P103" i="27"/>
  <c r="O103" i="27"/>
  <c r="N103" i="27"/>
  <c r="M103" i="27"/>
  <c r="L103" i="27"/>
  <c r="K103" i="27"/>
  <c r="J103" i="27"/>
  <c r="I103" i="27"/>
  <c r="H103" i="27"/>
  <c r="G103" i="27"/>
  <c r="F103" i="27"/>
  <c r="E103" i="27"/>
  <c r="D103" i="27"/>
  <c r="C103" i="27"/>
  <c r="Q102" i="27"/>
  <c r="P102" i="27"/>
  <c r="O102" i="27"/>
  <c r="N102" i="27"/>
  <c r="M102" i="27"/>
  <c r="L102" i="27"/>
  <c r="K102" i="27"/>
  <c r="J102" i="27"/>
  <c r="I102" i="27"/>
  <c r="H102" i="27"/>
  <c r="G102" i="27"/>
  <c r="F102" i="27"/>
  <c r="E102" i="27"/>
  <c r="D102" i="27"/>
  <c r="C102" i="27"/>
  <c r="Q101" i="27"/>
  <c r="P101" i="27"/>
  <c r="O101" i="27"/>
  <c r="N101" i="27"/>
  <c r="M101" i="27"/>
  <c r="L101" i="27"/>
  <c r="K101" i="27"/>
  <c r="J101" i="27"/>
  <c r="I101" i="27"/>
  <c r="H101" i="27"/>
  <c r="G101" i="27"/>
  <c r="F101" i="27"/>
  <c r="E101" i="27"/>
  <c r="D101" i="27"/>
  <c r="C101" i="27"/>
  <c r="Q100" i="27"/>
  <c r="P100" i="27"/>
  <c r="O100" i="27"/>
  <c r="N100" i="27"/>
  <c r="M100" i="27"/>
  <c r="L100" i="27"/>
  <c r="K100" i="27"/>
  <c r="J100" i="27"/>
  <c r="I100" i="27"/>
  <c r="H100" i="27"/>
  <c r="G100" i="27"/>
  <c r="F100" i="27"/>
  <c r="E100" i="27"/>
  <c r="D100" i="27"/>
  <c r="C100" i="27"/>
  <c r="Q99" i="27"/>
  <c r="P99" i="27"/>
  <c r="O99" i="27"/>
  <c r="N99" i="27"/>
  <c r="M99" i="27"/>
  <c r="L99" i="27"/>
  <c r="K99" i="27"/>
  <c r="J99" i="27"/>
  <c r="I99" i="27"/>
  <c r="H99" i="27"/>
  <c r="G99" i="27"/>
  <c r="F99" i="27"/>
  <c r="E99" i="27"/>
  <c r="D99" i="27"/>
  <c r="C99" i="27"/>
  <c r="Q98" i="27"/>
  <c r="P98" i="27"/>
  <c r="O98" i="27"/>
  <c r="N98" i="27"/>
  <c r="M98" i="27"/>
  <c r="L98" i="27"/>
  <c r="K98" i="27"/>
  <c r="J98" i="27"/>
  <c r="I98" i="27"/>
  <c r="H98" i="27"/>
  <c r="G98" i="27"/>
  <c r="F98" i="27"/>
  <c r="E98" i="27"/>
  <c r="D98" i="27"/>
  <c r="C98" i="27"/>
  <c r="Q97" i="27"/>
  <c r="P97" i="27"/>
  <c r="O97" i="27"/>
  <c r="N97" i="27"/>
  <c r="M97" i="27"/>
  <c r="L97" i="27"/>
  <c r="K97" i="27"/>
  <c r="J97" i="27"/>
  <c r="I97" i="27"/>
  <c r="H97" i="27"/>
  <c r="G97" i="27"/>
  <c r="F97" i="27"/>
  <c r="E97" i="27"/>
  <c r="D97" i="27"/>
  <c r="C97" i="27"/>
  <c r="Q96" i="27"/>
  <c r="P96" i="27"/>
  <c r="O96" i="27"/>
  <c r="N96" i="27"/>
  <c r="M96" i="27"/>
  <c r="L96" i="27"/>
  <c r="K96" i="27"/>
  <c r="J96" i="27"/>
  <c r="I96" i="27"/>
  <c r="H96" i="27"/>
  <c r="G96" i="27"/>
  <c r="F96" i="27"/>
  <c r="E96" i="27"/>
  <c r="D96" i="27"/>
  <c r="C96" i="27"/>
  <c r="Q95" i="27"/>
  <c r="P95" i="27"/>
  <c r="O95" i="27"/>
  <c r="N95" i="27"/>
  <c r="M95" i="27"/>
  <c r="L95" i="27"/>
  <c r="K95" i="27"/>
  <c r="J95" i="27"/>
  <c r="I95" i="27"/>
  <c r="H95" i="27"/>
  <c r="G95" i="27"/>
  <c r="F95" i="27"/>
  <c r="E95" i="27"/>
  <c r="D95" i="27"/>
  <c r="C95" i="27"/>
  <c r="Q94" i="27"/>
  <c r="P94" i="27"/>
  <c r="O94" i="27"/>
  <c r="N94" i="27"/>
  <c r="M94" i="27"/>
  <c r="L94" i="27"/>
  <c r="K94" i="27"/>
  <c r="J94" i="27"/>
  <c r="I94" i="27"/>
  <c r="H94" i="27"/>
  <c r="G94" i="27"/>
  <c r="F94" i="27"/>
  <c r="E94" i="27"/>
  <c r="D94" i="27"/>
  <c r="C94" i="27"/>
  <c r="Q93" i="27"/>
  <c r="P93" i="27"/>
  <c r="O93" i="27"/>
  <c r="N93" i="27"/>
  <c r="M93" i="27"/>
  <c r="L93" i="27"/>
  <c r="K93" i="27"/>
  <c r="J93" i="27"/>
  <c r="I93" i="27"/>
  <c r="H93" i="27"/>
  <c r="G93" i="27"/>
  <c r="F93" i="27"/>
  <c r="E93" i="27"/>
  <c r="D93" i="27"/>
  <c r="C93" i="27"/>
  <c r="Q92" i="27"/>
  <c r="P92" i="27"/>
  <c r="O92" i="27"/>
  <c r="N92" i="27"/>
  <c r="M92" i="27"/>
  <c r="L92" i="27"/>
  <c r="K92" i="27"/>
  <c r="J92" i="27"/>
  <c r="I92" i="27"/>
  <c r="H92" i="27"/>
  <c r="G92" i="27"/>
  <c r="F92" i="27"/>
  <c r="E92" i="27"/>
  <c r="D92" i="27"/>
  <c r="C92" i="27"/>
  <c r="Q91" i="27"/>
  <c r="P91" i="27"/>
  <c r="O91" i="27"/>
  <c r="N91" i="27"/>
  <c r="M91" i="27"/>
  <c r="L91" i="27"/>
  <c r="K91" i="27"/>
  <c r="J91" i="27"/>
  <c r="I91" i="27"/>
  <c r="H91" i="27"/>
  <c r="G91" i="27"/>
  <c r="F91" i="27"/>
  <c r="E91" i="27"/>
  <c r="D91" i="27"/>
  <c r="C91" i="27"/>
  <c r="Q90" i="27"/>
  <c r="P90" i="27"/>
  <c r="O90" i="27"/>
  <c r="N90" i="27"/>
  <c r="M90" i="27"/>
  <c r="L90" i="27"/>
  <c r="K90" i="27"/>
  <c r="J90" i="27"/>
  <c r="I90" i="27"/>
  <c r="H90" i="27"/>
  <c r="G90" i="27"/>
  <c r="F90" i="27"/>
  <c r="E90" i="27"/>
  <c r="D90" i="27"/>
  <c r="C90" i="27"/>
  <c r="Q89" i="27"/>
  <c r="P89" i="27"/>
  <c r="O89" i="27"/>
  <c r="N89" i="27"/>
  <c r="M89" i="27"/>
  <c r="L89" i="27"/>
  <c r="K89" i="27"/>
  <c r="J89" i="27"/>
  <c r="I89" i="27"/>
  <c r="H89" i="27"/>
  <c r="G89" i="27"/>
  <c r="F89" i="27"/>
  <c r="E89" i="27"/>
  <c r="D89" i="27"/>
  <c r="C89" i="27"/>
  <c r="Q88" i="27"/>
  <c r="P88" i="27"/>
  <c r="O88" i="27"/>
  <c r="N88" i="27"/>
  <c r="M88" i="27"/>
  <c r="L88" i="27"/>
  <c r="K88" i="27"/>
  <c r="J88" i="27"/>
  <c r="I88" i="27"/>
  <c r="H88" i="27"/>
  <c r="G88" i="27"/>
  <c r="F88" i="27"/>
  <c r="E88" i="27"/>
  <c r="D88" i="27"/>
  <c r="C88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Q86" i="27"/>
  <c r="P86" i="27"/>
  <c r="O86" i="27"/>
  <c r="N86" i="27"/>
  <c r="M86" i="27"/>
  <c r="L86" i="27"/>
  <c r="K86" i="27"/>
  <c r="J86" i="27"/>
  <c r="I86" i="27"/>
  <c r="H86" i="27"/>
  <c r="G86" i="27"/>
  <c r="F86" i="27"/>
  <c r="E86" i="27"/>
  <c r="D86" i="27"/>
  <c r="C86" i="27"/>
  <c r="Q85" i="27"/>
  <c r="P85" i="27"/>
  <c r="O85" i="27"/>
  <c r="N85" i="27"/>
  <c r="M85" i="27"/>
  <c r="L85" i="27"/>
  <c r="K85" i="27"/>
  <c r="J85" i="27"/>
  <c r="I85" i="27"/>
  <c r="H85" i="27"/>
  <c r="G85" i="27"/>
  <c r="F85" i="27"/>
  <c r="E85" i="27"/>
  <c r="D85" i="27"/>
  <c r="C85" i="27"/>
  <c r="Q84" i="27"/>
  <c r="P84" i="27"/>
  <c r="O84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Q83" i="27"/>
  <c r="P83" i="27"/>
  <c r="O83" i="27"/>
  <c r="N83" i="27"/>
  <c r="M83" i="27"/>
  <c r="L83" i="27"/>
  <c r="K83" i="27"/>
  <c r="J83" i="27"/>
  <c r="I83" i="27"/>
  <c r="H83" i="27"/>
  <c r="G83" i="27"/>
  <c r="F83" i="27"/>
  <c r="E83" i="27"/>
  <c r="D83" i="27"/>
  <c r="C83" i="27"/>
  <c r="Q82" i="27"/>
  <c r="P82" i="27"/>
  <c r="O82" i="27"/>
  <c r="N82" i="27"/>
  <c r="M82" i="27"/>
  <c r="L82" i="27"/>
  <c r="K82" i="27"/>
  <c r="J82" i="27"/>
  <c r="I82" i="27"/>
  <c r="H82" i="27"/>
  <c r="G82" i="27"/>
  <c r="F82" i="27"/>
  <c r="E82" i="27"/>
  <c r="D82" i="27"/>
  <c r="C82" i="27"/>
  <c r="Q81" i="27"/>
  <c r="P81" i="27"/>
  <c r="O81" i="27"/>
  <c r="N81" i="27"/>
  <c r="M81" i="27"/>
  <c r="L81" i="27"/>
  <c r="K81" i="27"/>
  <c r="J81" i="27"/>
  <c r="I81" i="27"/>
  <c r="H81" i="27"/>
  <c r="G81" i="27"/>
  <c r="F81" i="27"/>
  <c r="E81" i="27"/>
  <c r="D81" i="27"/>
  <c r="C81" i="27"/>
  <c r="Q80" i="27"/>
  <c r="P80" i="27"/>
  <c r="O80" i="27"/>
  <c r="N80" i="27"/>
  <c r="M80" i="27"/>
  <c r="L80" i="27"/>
  <c r="K80" i="27"/>
  <c r="J80" i="27"/>
  <c r="I80" i="27"/>
  <c r="H80" i="27"/>
  <c r="G80" i="27"/>
  <c r="F80" i="27"/>
  <c r="E80" i="27"/>
  <c r="D80" i="27"/>
  <c r="C80" i="27"/>
  <c r="Q79" i="27"/>
  <c r="P79" i="27"/>
  <c r="O79" i="27"/>
  <c r="N79" i="27"/>
  <c r="M79" i="27"/>
  <c r="L79" i="27"/>
  <c r="K79" i="27"/>
  <c r="J79" i="27"/>
  <c r="I79" i="27"/>
  <c r="H79" i="27"/>
  <c r="G79" i="27"/>
  <c r="F79" i="27"/>
  <c r="E79" i="27"/>
  <c r="D79" i="27"/>
  <c r="C79" i="27"/>
  <c r="Q78" i="27"/>
  <c r="P78" i="27"/>
  <c r="O78" i="27"/>
  <c r="N78" i="27"/>
  <c r="M78" i="27"/>
  <c r="L78" i="27"/>
  <c r="K78" i="27"/>
  <c r="J78" i="27"/>
  <c r="I78" i="27"/>
  <c r="H78" i="27"/>
  <c r="G78" i="27"/>
  <c r="F78" i="27"/>
  <c r="E78" i="27"/>
  <c r="D78" i="27"/>
  <c r="C78" i="27"/>
  <c r="Q77" i="27"/>
  <c r="P77" i="27"/>
  <c r="O77" i="27"/>
  <c r="N77" i="27"/>
  <c r="M77" i="27"/>
  <c r="L77" i="27"/>
  <c r="K77" i="27"/>
  <c r="J77" i="27"/>
  <c r="I77" i="27"/>
  <c r="H77" i="27"/>
  <c r="G77" i="27"/>
  <c r="F77" i="27"/>
  <c r="E77" i="27"/>
  <c r="D77" i="27"/>
  <c r="C77" i="27"/>
  <c r="Q76" i="27"/>
  <c r="P76" i="27"/>
  <c r="O76" i="27"/>
  <c r="N76" i="27"/>
  <c r="M76" i="27"/>
  <c r="L76" i="27"/>
  <c r="K76" i="27"/>
  <c r="J76" i="27"/>
  <c r="I76" i="27"/>
  <c r="H76" i="27"/>
  <c r="G76" i="27"/>
  <c r="F76" i="27"/>
  <c r="E76" i="27"/>
  <c r="D76" i="27"/>
  <c r="C76" i="27"/>
  <c r="Q75" i="27"/>
  <c r="P75" i="27"/>
  <c r="O75" i="27"/>
  <c r="N75" i="27"/>
  <c r="M75" i="27"/>
  <c r="L75" i="27"/>
  <c r="K75" i="27"/>
  <c r="J75" i="27"/>
  <c r="I75" i="27"/>
  <c r="H75" i="27"/>
  <c r="G75" i="27"/>
  <c r="F75" i="27"/>
  <c r="E75" i="27"/>
  <c r="D75" i="27"/>
  <c r="C75" i="27"/>
  <c r="Q74" i="27"/>
  <c r="P74" i="27"/>
  <c r="O74" i="27"/>
  <c r="N74" i="27"/>
  <c r="M74" i="27"/>
  <c r="L74" i="27"/>
  <c r="K74" i="27"/>
  <c r="J74" i="27"/>
  <c r="I74" i="27"/>
  <c r="H74" i="27"/>
  <c r="G74" i="27"/>
  <c r="F74" i="27"/>
  <c r="E74" i="27"/>
  <c r="D74" i="27"/>
  <c r="C74" i="27"/>
  <c r="Q73" i="27"/>
  <c r="P73" i="27"/>
  <c r="O73" i="27"/>
  <c r="N73" i="27"/>
  <c r="M73" i="27"/>
  <c r="L73" i="27"/>
  <c r="K73" i="27"/>
  <c r="J73" i="27"/>
  <c r="I73" i="27"/>
  <c r="H73" i="27"/>
  <c r="G73" i="27"/>
  <c r="F73" i="27"/>
  <c r="E73" i="27"/>
  <c r="D73" i="27"/>
  <c r="C73" i="27"/>
  <c r="Q72" i="27"/>
  <c r="P72" i="27"/>
  <c r="O72" i="27"/>
  <c r="N72" i="27"/>
  <c r="M72" i="27"/>
  <c r="L72" i="27"/>
  <c r="K72" i="27"/>
  <c r="J72" i="27"/>
  <c r="I72" i="27"/>
  <c r="H72" i="27"/>
  <c r="G72" i="27"/>
  <c r="F72" i="27"/>
  <c r="E72" i="27"/>
  <c r="D72" i="27"/>
  <c r="C72" i="27"/>
  <c r="Q71" i="27"/>
  <c r="P71" i="27"/>
  <c r="O71" i="27"/>
  <c r="N71" i="27"/>
  <c r="M71" i="27"/>
  <c r="L71" i="27"/>
  <c r="K71" i="27"/>
  <c r="J71" i="27"/>
  <c r="I71" i="27"/>
  <c r="H71" i="27"/>
  <c r="G71" i="27"/>
  <c r="F71" i="27"/>
  <c r="E71" i="27"/>
  <c r="D71" i="27"/>
  <c r="C71" i="27"/>
  <c r="Q70" i="27"/>
  <c r="P70" i="27"/>
  <c r="O70" i="27"/>
  <c r="N70" i="27"/>
  <c r="M70" i="27"/>
  <c r="L70" i="27"/>
  <c r="K70" i="27"/>
  <c r="J70" i="27"/>
  <c r="I70" i="27"/>
  <c r="H70" i="27"/>
  <c r="G70" i="27"/>
  <c r="F70" i="27"/>
  <c r="E70" i="27"/>
  <c r="D70" i="27"/>
  <c r="C70" i="27"/>
  <c r="Q69" i="27"/>
  <c r="P69" i="27"/>
  <c r="O69" i="27"/>
  <c r="N69" i="27"/>
  <c r="M69" i="27"/>
  <c r="L69" i="27"/>
  <c r="K69" i="27"/>
  <c r="J69" i="27"/>
  <c r="I69" i="27"/>
  <c r="H69" i="27"/>
  <c r="G69" i="27"/>
  <c r="F69" i="27"/>
  <c r="E69" i="27"/>
  <c r="D69" i="27"/>
  <c r="C69" i="27"/>
  <c r="Q68" i="27"/>
  <c r="P68" i="27"/>
  <c r="O68" i="27"/>
  <c r="N68" i="27"/>
  <c r="M68" i="27"/>
  <c r="L68" i="27"/>
  <c r="K68" i="27"/>
  <c r="J68" i="27"/>
  <c r="I68" i="27"/>
  <c r="H68" i="27"/>
  <c r="G68" i="27"/>
  <c r="F68" i="27"/>
  <c r="E68" i="27"/>
  <c r="D68" i="27"/>
  <c r="C68" i="27"/>
  <c r="Q67" i="27"/>
  <c r="P67" i="27"/>
  <c r="O67" i="27"/>
  <c r="N67" i="27"/>
  <c r="M67" i="27"/>
  <c r="L67" i="27"/>
  <c r="K67" i="27"/>
  <c r="J67" i="27"/>
  <c r="I67" i="27"/>
  <c r="H67" i="27"/>
  <c r="G67" i="27"/>
  <c r="F67" i="27"/>
  <c r="E67" i="27"/>
  <c r="D67" i="27"/>
  <c r="C67" i="27"/>
  <c r="Q66" i="27"/>
  <c r="P66" i="27"/>
  <c r="O66" i="27"/>
  <c r="N66" i="27"/>
  <c r="M66" i="27"/>
  <c r="L66" i="27"/>
  <c r="K66" i="27"/>
  <c r="J66" i="27"/>
  <c r="I66" i="27"/>
  <c r="H66" i="27"/>
  <c r="G66" i="27"/>
  <c r="F66" i="27"/>
  <c r="E66" i="27"/>
  <c r="D66" i="27"/>
  <c r="C66" i="27"/>
  <c r="Q65" i="27"/>
  <c r="P65" i="27"/>
  <c r="O65" i="27"/>
  <c r="N65" i="27"/>
  <c r="M65" i="27"/>
  <c r="L65" i="27"/>
  <c r="K65" i="27"/>
  <c r="J65" i="27"/>
  <c r="I65" i="27"/>
  <c r="H65" i="27"/>
  <c r="G65" i="27"/>
  <c r="F65" i="27"/>
  <c r="E65" i="27"/>
  <c r="D65" i="27"/>
  <c r="C65" i="27"/>
  <c r="Q64" i="27"/>
  <c r="P64" i="27"/>
  <c r="O64" i="27"/>
  <c r="N64" i="27"/>
  <c r="M64" i="27"/>
  <c r="L64" i="27"/>
  <c r="K64" i="27"/>
  <c r="J64" i="27"/>
  <c r="I64" i="27"/>
  <c r="H64" i="27"/>
  <c r="G64" i="27"/>
  <c r="F64" i="27"/>
  <c r="E64" i="27"/>
  <c r="D64" i="27"/>
  <c r="C64" i="27"/>
  <c r="Q63" i="27"/>
  <c r="P63" i="27"/>
  <c r="O63" i="27"/>
  <c r="N63" i="27"/>
  <c r="M63" i="27"/>
  <c r="L63" i="27"/>
  <c r="K63" i="27"/>
  <c r="J63" i="27"/>
  <c r="I63" i="27"/>
  <c r="H63" i="27"/>
  <c r="G63" i="27"/>
  <c r="F63" i="27"/>
  <c r="E63" i="27"/>
  <c r="D63" i="27"/>
  <c r="C63" i="27"/>
  <c r="Q62" i="27"/>
  <c r="P62" i="27"/>
  <c r="O62" i="27"/>
  <c r="N62" i="27"/>
  <c r="M62" i="27"/>
  <c r="L62" i="27"/>
  <c r="K62" i="27"/>
  <c r="J62" i="27"/>
  <c r="I62" i="27"/>
  <c r="H62" i="27"/>
  <c r="G62" i="27"/>
  <c r="F62" i="27"/>
  <c r="E62" i="27"/>
  <c r="D62" i="27"/>
  <c r="C62" i="27"/>
  <c r="Q61" i="27"/>
  <c r="P61" i="27"/>
  <c r="O61" i="27"/>
  <c r="N61" i="27"/>
  <c r="M61" i="27"/>
  <c r="L61" i="27"/>
  <c r="K61" i="27"/>
  <c r="J61" i="27"/>
  <c r="I61" i="27"/>
  <c r="H61" i="27"/>
  <c r="G61" i="27"/>
  <c r="F61" i="27"/>
  <c r="E61" i="27"/>
  <c r="D61" i="27"/>
  <c r="C61" i="27"/>
  <c r="Q60" i="27"/>
  <c r="P60" i="27"/>
  <c r="O60" i="27"/>
  <c r="N60" i="27"/>
  <c r="M60" i="27"/>
  <c r="L60" i="27"/>
  <c r="K60" i="27"/>
  <c r="J60" i="27"/>
  <c r="I60" i="27"/>
  <c r="H60" i="27"/>
  <c r="G60" i="27"/>
  <c r="F60" i="27"/>
  <c r="E60" i="27"/>
  <c r="D60" i="27"/>
  <c r="C60" i="27"/>
  <c r="Q59" i="27"/>
  <c r="P59" i="27"/>
  <c r="O59" i="27"/>
  <c r="N59" i="27"/>
  <c r="M59" i="27"/>
  <c r="L59" i="27"/>
  <c r="K59" i="27"/>
  <c r="J59" i="27"/>
  <c r="I59" i="27"/>
  <c r="H59" i="27"/>
  <c r="G59" i="27"/>
  <c r="F59" i="27"/>
  <c r="E59" i="27"/>
  <c r="D59" i="27"/>
  <c r="C59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AF8" i="27"/>
  <c r="Z5" i="27"/>
  <c r="AG4" i="27"/>
  <c r="AA4" i="27"/>
  <c r="AB8" i="27" l="1"/>
  <c r="K291" i="27"/>
  <c r="K294" i="27"/>
  <c r="Z6" i="27"/>
  <c r="F294" i="27"/>
  <c r="S4" i="27"/>
  <c r="N293" i="27"/>
  <c r="I294" i="27"/>
  <c r="I291" i="27"/>
  <c r="D292" i="27"/>
  <c r="D296" i="27"/>
  <c r="G292" i="27"/>
  <c r="H294" i="27"/>
  <c r="I295" i="27"/>
  <c r="Q295" i="27"/>
  <c r="Q292" i="27"/>
  <c r="Q296" i="27"/>
  <c r="N294" i="27"/>
  <c r="N292" i="27"/>
  <c r="N295" i="27"/>
  <c r="N296" i="27"/>
  <c r="I292" i="27"/>
  <c r="H292" i="27"/>
  <c r="D295" i="27"/>
  <c r="D291" i="27"/>
  <c r="C293" i="27"/>
  <c r="D293" i="27"/>
  <c r="G295" i="27"/>
  <c r="H295" i="27"/>
  <c r="G294" i="27"/>
  <c r="P218" i="27"/>
  <c r="N213" i="27"/>
  <c r="H217" i="27"/>
  <c r="P217" i="27"/>
  <c r="V8" i="27"/>
  <c r="F215" i="27"/>
  <c r="Q215" i="27"/>
  <c r="E214" i="27"/>
  <c r="AE6" i="27"/>
  <c r="N218" i="27"/>
  <c r="AE7" i="27"/>
  <c r="W7" i="27"/>
  <c r="N215" i="27"/>
  <c r="N214" i="27"/>
  <c r="G216" i="27"/>
  <c r="I216" i="27"/>
  <c r="I215" i="27"/>
  <c r="T8" i="27"/>
  <c r="T6" i="27"/>
  <c r="C217" i="27"/>
  <c r="D214" i="27"/>
  <c r="W6" i="27"/>
  <c r="G213" i="27"/>
  <c r="D218" i="27"/>
  <c r="G215" i="27"/>
  <c r="Q132" i="27"/>
  <c r="N131" i="27"/>
  <c r="F130" i="27"/>
  <c r="H132" i="27"/>
  <c r="S8" i="27"/>
  <c r="H133" i="27"/>
  <c r="D129" i="27"/>
  <c r="C129" i="27"/>
  <c r="C131" i="27"/>
  <c r="C132" i="27"/>
  <c r="I129" i="27"/>
  <c r="F131" i="27"/>
  <c r="X4" i="27"/>
  <c r="E131" i="27"/>
  <c r="C133" i="27"/>
  <c r="W8" i="27"/>
  <c r="E132" i="27"/>
  <c r="F134" i="27"/>
  <c r="V6" i="27"/>
  <c r="H129" i="27"/>
  <c r="F132" i="27"/>
  <c r="I130" i="27"/>
  <c r="U6" i="27"/>
  <c r="F129" i="27"/>
  <c r="C7" i="28"/>
  <c r="G7" i="28"/>
  <c r="M8" i="28"/>
  <c r="C4" i="28"/>
  <c r="C8" i="28"/>
  <c r="I5" i="28"/>
  <c r="K6" i="28"/>
  <c r="K5" i="28"/>
  <c r="I9" i="28"/>
  <c r="M5" i="28"/>
  <c r="E5" i="28"/>
  <c r="K4" i="28"/>
  <c r="H5" i="28"/>
  <c r="I6" i="28"/>
  <c r="M9" i="28"/>
  <c r="H8" i="28"/>
  <c r="H7" i="28"/>
  <c r="H6" i="28"/>
  <c r="F4" i="28"/>
  <c r="I8" i="28"/>
  <c r="I4" i="28"/>
  <c r="H4" i="28"/>
  <c r="I7" i="28"/>
  <c r="M4" i="28"/>
  <c r="K8" i="28"/>
  <c r="M7" i="28"/>
  <c r="M6" i="28"/>
  <c r="K7" i="28"/>
  <c r="D8" i="28"/>
  <c r="D6" i="28"/>
  <c r="C6" i="28"/>
  <c r="D7" i="28"/>
  <c r="K9" i="28"/>
  <c r="C5" i="28"/>
  <c r="D5" i="28"/>
  <c r="D4" i="28"/>
  <c r="E9" i="28"/>
  <c r="F5" i="28"/>
  <c r="F8" i="28"/>
  <c r="F7" i="28"/>
  <c r="P9" i="28"/>
  <c r="P6" i="28"/>
  <c r="P4" i="28"/>
  <c r="E7" i="28"/>
  <c r="E6" i="28"/>
  <c r="F6" i="28"/>
  <c r="P8" i="28"/>
  <c r="E4" i="28"/>
  <c r="G5" i="28"/>
  <c r="P5" i="28"/>
  <c r="G8" i="28"/>
  <c r="G4" i="28"/>
  <c r="G6" i="28"/>
  <c r="G9" i="28"/>
  <c r="Q8" i="28"/>
  <c r="Q9" i="28"/>
  <c r="Q5" i="28"/>
  <c r="Q6" i="28"/>
  <c r="Q7" i="28"/>
  <c r="Q4" i="28"/>
  <c r="N5" i="28"/>
  <c r="N7" i="28"/>
  <c r="N6" i="28"/>
  <c r="N8" i="28"/>
  <c r="N4" i="28"/>
  <c r="N9" i="28"/>
  <c r="J9" i="28"/>
  <c r="J6" i="28"/>
  <c r="J7" i="28"/>
  <c r="J4" i="28"/>
  <c r="J5" i="28"/>
  <c r="J8" i="28"/>
  <c r="L5" i="28"/>
  <c r="L4" i="28"/>
  <c r="L8" i="28"/>
  <c r="L9" i="28"/>
  <c r="L6" i="28"/>
  <c r="L7" i="28"/>
  <c r="Y5" i="27"/>
  <c r="S5" i="27"/>
  <c r="AA5" i="27"/>
  <c r="C291" i="27"/>
  <c r="J295" i="27"/>
  <c r="AB5" i="27"/>
  <c r="C294" i="27"/>
  <c r="AH4" i="27"/>
  <c r="AD7" i="27"/>
  <c r="U5" i="27"/>
  <c r="AC5" i="27"/>
  <c r="AH8" i="27"/>
  <c r="Q293" i="27"/>
  <c r="D294" i="27"/>
  <c r="X8" i="27"/>
  <c r="H291" i="27"/>
  <c r="Q291" i="27"/>
  <c r="H293" i="27"/>
  <c r="H214" i="27"/>
  <c r="O216" i="27"/>
  <c r="X9" i="27"/>
  <c r="H9" i="27" s="1"/>
  <c r="D213" i="27"/>
  <c r="L214" i="27"/>
  <c r="P216" i="27"/>
  <c r="D217" i="27"/>
  <c r="AF9" i="27"/>
  <c r="X5" i="27"/>
  <c r="Y7" i="27"/>
  <c r="M214" i="27"/>
  <c r="O215" i="27"/>
  <c r="H215" i="27"/>
  <c r="H218" i="27"/>
  <c r="AG9" i="27"/>
  <c r="P5" i="27" s="1"/>
  <c r="T4" i="27"/>
  <c r="AD6" i="27"/>
  <c r="AD4" i="27"/>
  <c r="X6" i="27"/>
  <c r="P213" i="27"/>
  <c r="P214" i="27"/>
  <c r="Q214" i="27"/>
  <c r="L217" i="27"/>
  <c r="H213" i="27"/>
  <c r="O213" i="27"/>
  <c r="I213" i="27"/>
  <c r="O214" i="27"/>
  <c r="I214" i="27"/>
  <c r="T5" i="27"/>
  <c r="D215" i="27"/>
  <c r="I217" i="27"/>
  <c r="I132" i="27"/>
  <c r="V5" i="27"/>
  <c r="W5" i="27"/>
  <c r="AA7" i="27"/>
  <c r="J129" i="27"/>
  <c r="K132" i="27"/>
  <c r="C134" i="27"/>
  <c r="AE8" i="27"/>
  <c r="AD5" i="27"/>
  <c r="AE5" i="27"/>
  <c r="S7" i="27"/>
  <c r="K129" i="27"/>
  <c r="J131" i="27"/>
  <c r="AH6" i="27"/>
  <c r="U7" i="27"/>
  <c r="AC7" i="27"/>
  <c r="Y9" i="27"/>
  <c r="I9" i="27" s="1"/>
  <c r="K131" i="27"/>
  <c r="J134" i="27"/>
  <c r="S6" i="27"/>
  <c r="AE4" i="27"/>
  <c r="Y4" i="27"/>
  <c r="E294" i="27"/>
  <c r="E295" i="27"/>
  <c r="E293" i="27"/>
  <c r="J217" i="27"/>
  <c r="J218" i="27"/>
  <c r="Z9" i="27"/>
  <c r="J213" i="27"/>
  <c r="J214" i="27"/>
  <c r="N291" i="27"/>
  <c r="F292" i="27"/>
  <c r="F293" i="27"/>
  <c r="F296" i="27"/>
  <c r="C130" i="27"/>
  <c r="I133" i="27"/>
  <c r="Y8" i="27"/>
  <c r="C216" i="27"/>
  <c r="T7" i="27"/>
  <c r="D216" i="27"/>
  <c r="AB7" i="27"/>
  <c r="E291" i="27"/>
  <c r="U9" i="27"/>
  <c r="Z8" i="27"/>
  <c r="D131" i="27"/>
  <c r="D134" i="27"/>
  <c r="D132" i="27"/>
  <c r="T9" i="27"/>
  <c r="D130" i="27"/>
  <c r="L131" i="27"/>
  <c r="L134" i="27"/>
  <c r="L132" i="27"/>
  <c r="AB9" i="27"/>
  <c r="L130" i="27"/>
  <c r="F291" i="27"/>
  <c r="E292" i="27"/>
  <c r="V7" i="27"/>
  <c r="G129" i="27"/>
  <c r="G130" i="27"/>
  <c r="J215" i="27"/>
  <c r="J216" i="27"/>
  <c r="E213" i="27"/>
  <c r="E215" i="27"/>
  <c r="E216" i="27"/>
  <c r="E217" i="27"/>
  <c r="M213" i="27"/>
  <c r="M215" i="27"/>
  <c r="M216" i="27"/>
  <c r="M217" i="27"/>
  <c r="W4" i="27"/>
  <c r="G291" i="27"/>
  <c r="M294" i="27"/>
  <c r="M295" i="27"/>
  <c r="M293" i="27"/>
  <c r="M296" i="27"/>
  <c r="AD9" i="27"/>
  <c r="AH7" i="27"/>
  <c r="Q294" i="27"/>
  <c r="E296" i="27"/>
  <c r="AH5" i="27"/>
  <c r="AC9" i="27"/>
  <c r="E129" i="27"/>
  <c r="U4" i="27"/>
  <c r="AC4" i="27"/>
  <c r="U8" i="27"/>
  <c r="AC8" i="27"/>
  <c r="G132" i="27"/>
  <c r="W9" i="27"/>
  <c r="G133" i="27"/>
  <c r="G131" i="27"/>
  <c r="N129" i="27"/>
  <c r="AE9" i="27"/>
  <c r="N132" i="27"/>
  <c r="N130" i="27"/>
  <c r="N133" i="27"/>
  <c r="H216" i="27"/>
  <c r="X7" i="27"/>
  <c r="F295" i="27"/>
  <c r="I293" i="27"/>
  <c r="Y6" i="27"/>
  <c r="Q216" i="27"/>
  <c r="Q217" i="27"/>
  <c r="Q213" i="27"/>
  <c r="D133" i="27"/>
  <c r="F213" i="27"/>
  <c r="F214" i="27"/>
  <c r="V9" i="27"/>
  <c r="F216" i="27"/>
  <c r="F218" i="27"/>
  <c r="F217" i="27"/>
  <c r="J293" i="27"/>
  <c r="J296" i="27"/>
  <c r="J294" i="27"/>
  <c r="J292" i="27"/>
  <c r="AA6" i="27"/>
  <c r="N134" i="27"/>
  <c r="H130" i="27"/>
  <c r="H134" i="27"/>
  <c r="H131" i="27"/>
  <c r="Q130" i="27"/>
  <c r="Q133" i="27"/>
  <c r="Q131" i="27"/>
  <c r="Q134" i="27"/>
  <c r="Q129" i="27"/>
  <c r="AH9" i="27"/>
  <c r="M292" i="27"/>
  <c r="M133" i="27"/>
  <c r="C215" i="27"/>
  <c r="K295" i="27"/>
  <c r="V4" i="27"/>
  <c r="S9" i="27"/>
  <c r="AA9" i="27"/>
  <c r="E130" i="27"/>
  <c r="M130" i="27"/>
  <c r="F133" i="27"/>
  <c r="I134" i="27"/>
  <c r="C214" i="27"/>
  <c r="K214" i="27"/>
  <c r="N217" i="27"/>
  <c r="G218" i="27"/>
  <c r="C292" i="27"/>
  <c r="K292" i="27"/>
  <c r="G296" i="27"/>
  <c r="E133" i="27"/>
  <c r="K215" i="27"/>
  <c r="C295" i="27"/>
  <c r="I131" i="27"/>
  <c r="C213" i="27"/>
  <c r="K213" i="27"/>
  <c r="N216" i="27"/>
  <c r="G217" i="27"/>
  <c r="G293" i="27"/>
  <c r="P8" i="27" l="1"/>
  <c r="P7" i="27"/>
  <c r="P4" i="27"/>
  <c r="I8" i="27"/>
  <c r="H7" i="27"/>
  <c r="H8" i="27"/>
  <c r="H5" i="27"/>
  <c r="H6" i="27"/>
  <c r="H4" i="27"/>
  <c r="O8" i="27"/>
  <c r="O9" i="27"/>
  <c r="I5" i="27"/>
  <c r="O7" i="27"/>
  <c r="P6" i="27"/>
  <c r="O6" i="27"/>
  <c r="I6" i="27"/>
  <c r="P9" i="27"/>
  <c r="O4" i="27"/>
  <c r="O5" i="27"/>
  <c r="I7" i="27"/>
  <c r="I4" i="27"/>
  <c r="Q4" i="27"/>
  <c r="Q7" i="27"/>
  <c r="Q8" i="27"/>
  <c r="Q9" i="27"/>
  <c r="Q6" i="27"/>
  <c r="Q5" i="27"/>
  <c r="G5" i="27"/>
  <c r="G7" i="27"/>
  <c r="G6" i="27"/>
  <c r="G9" i="27"/>
  <c r="G8" i="27"/>
  <c r="G4" i="27"/>
  <c r="K6" i="27"/>
  <c r="K7" i="27"/>
  <c r="K9" i="27"/>
  <c r="K8" i="27"/>
  <c r="K4" i="27"/>
  <c r="K5" i="27"/>
  <c r="D7" i="27"/>
  <c r="D8" i="27"/>
  <c r="D4" i="27"/>
  <c r="D6" i="27"/>
  <c r="D5" i="27"/>
  <c r="D9" i="27"/>
  <c r="C6" i="27"/>
  <c r="C7" i="27"/>
  <c r="C9" i="27"/>
  <c r="C4" i="27"/>
  <c r="C5" i="27"/>
  <c r="C8" i="27"/>
  <c r="N9" i="27"/>
  <c r="N4" i="27"/>
  <c r="N5" i="27"/>
  <c r="N6" i="27"/>
  <c r="N8" i="27"/>
  <c r="N7" i="27"/>
  <c r="L7" i="27"/>
  <c r="L8" i="27"/>
  <c r="L4" i="27"/>
  <c r="L9" i="27"/>
  <c r="L6" i="27"/>
  <c r="L5" i="27"/>
  <c r="F9" i="27"/>
  <c r="F4" i="27"/>
  <c r="F6" i="27"/>
  <c r="F5" i="27"/>
  <c r="F7" i="27"/>
  <c r="F8" i="27"/>
  <c r="E8" i="27"/>
  <c r="E9" i="27"/>
  <c r="E5" i="27"/>
  <c r="E4" i="27"/>
  <c r="E7" i="27"/>
  <c r="E6" i="27"/>
  <c r="J5" i="27"/>
  <c r="J8" i="27"/>
  <c r="J9" i="27"/>
  <c r="J6" i="27"/>
  <c r="J4" i="27"/>
  <c r="J7" i="27"/>
  <c r="M8" i="27"/>
  <c r="M9" i="27"/>
  <c r="M4" i="27"/>
  <c r="M5" i="27"/>
  <c r="M7" i="27"/>
  <c r="M6" i="27"/>
  <c r="S362" i="19" l="1"/>
  <c r="R362" i="19"/>
  <c r="Q362" i="19"/>
  <c r="P362" i="19"/>
  <c r="O362" i="19"/>
  <c r="N362" i="19"/>
  <c r="M362" i="19"/>
  <c r="L362" i="19"/>
  <c r="K362" i="19"/>
  <c r="J362" i="19"/>
  <c r="I362" i="19"/>
  <c r="H362" i="19"/>
  <c r="G362" i="19"/>
  <c r="F362" i="19"/>
  <c r="E362" i="19"/>
  <c r="D362" i="19"/>
  <c r="C362" i="19"/>
  <c r="S361" i="19"/>
  <c r="R361" i="19"/>
  <c r="Q361" i="19"/>
  <c r="P361" i="19"/>
  <c r="O361" i="19"/>
  <c r="N361" i="19"/>
  <c r="M361" i="19"/>
  <c r="L361" i="19"/>
  <c r="K361" i="19"/>
  <c r="J361" i="19"/>
  <c r="I361" i="19"/>
  <c r="H361" i="19"/>
  <c r="G361" i="19"/>
  <c r="F361" i="19"/>
  <c r="E361" i="19"/>
  <c r="D361" i="19"/>
  <c r="C361" i="19"/>
  <c r="S360" i="19"/>
  <c r="R360" i="19"/>
  <c r="Q360" i="19"/>
  <c r="P360" i="19"/>
  <c r="O360" i="19"/>
  <c r="N360" i="19"/>
  <c r="M360" i="19"/>
  <c r="L360" i="19"/>
  <c r="K360" i="19"/>
  <c r="J360" i="19"/>
  <c r="I360" i="19"/>
  <c r="H360" i="19"/>
  <c r="G360" i="19"/>
  <c r="F360" i="19"/>
  <c r="E360" i="19"/>
  <c r="D360" i="19"/>
  <c r="C360" i="19"/>
  <c r="S359" i="19"/>
  <c r="R359" i="19"/>
  <c r="Q359" i="19"/>
  <c r="P359" i="19"/>
  <c r="O359" i="19"/>
  <c r="N359" i="19"/>
  <c r="M359" i="19"/>
  <c r="L359" i="19"/>
  <c r="K359" i="19"/>
  <c r="J359" i="19"/>
  <c r="I359" i="19"/>
  <c r="H359" i="19"/>
  <c r="G359" i="19"/>
  <c r="F359" i="19"/>
  <c r="E359" i="19"/>
  <c r="D359" i="19"/>
  <c r="C359" i="19"/>
  <c r="S358" i="19"/>
  <c r="R358" i="19"/>
  <c r="Q358" i="19"/>
  <c r="P358" i="19"/>
  <c r="O358" i="19"/>
  <c r="N358" i="19"/>
  <c r="M358" i="19"/>
  <c r="L358" i="19"/>
  <c r="K358" i="19"/>
  <c r="J358" i="19"/>
  <c r="I358" i="19"/>
  <c r="H358" i="19"/>
  <c r="G358" i="19"/>
  <c r="F358" i="19"/>
  <c r="E358" i="19"/>
  <c r="D358" i="19"/>
  <c r="C358" i="19"/>
  <c r="S357" i="19"/>
  <c r="R357" i="19"/>
  <c r="Q357" i="19"/>
  <c r="P357" i="19"/>
  <c r="O357" i="19"/>
  <c r="N357" i="19"/>
  <c r="M357" i="19"/>
  <c r="L357" i="19"/>
  <c r="K357" i="19"/>
  <c r="J357" i="19"/>
  <c r="I357" i="19"/>
  <c r="H357" i="19"/>
  <c r="G357" i="19"/>
  <c r="F357" i="19"/>
  <c r="E357" i="19"/>
  <c r="D357" i="19"/>
  <c r="C357" i="19"/>
  <c r="S356" i="19"/>
  <c r="R356" i="19"/>
  <c r="Q356" i="19"/>
  <c r="P356" i="19"/>
  <c r="O356" i="19"/>
  <c r="N356" i="19"/>
  <c r="M356" i="19"/>
  <c r="L356" i="19"/>
  <c r="K356" i="19"/>
  <c r="J356" i="19"/>
  <c r="I356" i="19"/>
  <c r="H356" i="19"/>
  <c r="G356" i="19"/>
  <c r="F356" i="19"/>
  <c r="E356" i="19"/>
  <c r="D356" i="19"/>
  <c r="C356" i="19"/>
  <c r="S355" i="19"/>
  <c r="R355" i="19"/>
  <c r="Q355" i="19"/>
  <c r="P355" i="19"/>
  <c r="O355" i="19"/>
  <c r="N355" i="19"/>
  <c r="M355" i="19"/>
  <c r="L355" i="19"/>
  <c r="K355" i="19"/>
  <c r="J355" i="19"/>
  <c r="I355" i="19"/>
  <c r="H355" i="19"/>
  <c r="G355" i="19"/>
  <c r="F355" i="19"/>
  <c r="E355" i="19"/>
  <c r="D355" i="19"/>
  <c r="C355" i="19"/>
  <c r="S354" i="19"/>
  <c r="R354" i="19"/>
  <c r="Q354" i="19"/>
  <c r="P354" i="19"/>
  <c r="O354" i="19"/>
  <c r="N354" i="19"/>
  <c r="M354" i="19"/>
  <c r="L354" i="19"/>
  <c r="K354" i="19"/>
  <c r="J354" i="19"/>
  <c r="I354" i="19"/>
  <c r="H354" i="19"/>
  <c r="G354" i="19"/>
  <c r="F354" i="19"/>
  <c r="E354" i="19"/>
  <c r="D354" i="19"/>
  <c r="C354" i="19"/>
  <c r="S353" i="19"/>
  <c r="R353" i="19"/>
  <c r="Q353" i="19"/>
  <c r="P353" i="19"/>
  <c r="O353" i="19"/>
  <c r="N353" i="19"/>
  <c r="M353" i="19"/>
  <c r="L353" i="19"/>
  <c r="K353" i="19"/>
  <c r="J353" i="19"/>
  <c r="I353" i="19"/>
  <c r="H353" i="19"/>
  <c r="G353" i="19"/>
  <c r="F353" i="19"/>
  <c r="E353" i="19"/>
  <c r="D353" i="19"/>
  <c r="C353" i="19"/>
  <c r="S352" i="19"/>
  <c r="R352" i="19"/>
  <c r="Q352" i="19"/>
  <c r="P352" i="19"/>
  <c r="O352" i="19"/>
  <c r="N352" i="19"/>
  <c r="M352" i="19"/>
  <c r="L352" i="19"/>
  <c r="K352" i="19"/>
  <c r="J352" i="19"/>
  <c r="I352" i="19"/>
  <c r="H352" i="19"/>
  <c r="G352" i="19"/>
  <c r="F352" i="19"/>
  <c r="E352" i="19"/>
  <c r="D352" i="19"/>
  <c r="C352" i="19"/>
  <c r="S351" i="19"/>
  <c r="R351" i="19"/>
  <c r="Q351" i="19"/>
  <c r="P351" i="19"/>
  <c r="O351" i="19"/>
  <c r="N351" i="19"/>
  <c r="M351" i="19"/>
  <c r="L351" i="19"/>
  <c r="K351" i="19"/>
  <c r="J351" i="19"/>
  <c r="I351" i="19"/>
  <c r="H351" i="19"/>
  <c r="G351" i="19"/>
  <c r="F351" i="19"/>
  <c r="E351" i="19"/>
  <c r="D351" i="19"/>
  <c r="C351" i="19"/>
  <c r="S350" i="19"/>
  <c r="R350" i="19"/>
  <c r="Q350" i="19"/>
  <c r="P350" i="19"/>
  <c r="O350" i="19"/>
  <c r="N350" i="19"/>
  <c r="M350" i="19"/>
  <c r="L350" i="19"/>
  <c r="K350" i="19"/>
  <c r="J350" i="19"/>
  <c r="I350" i="19"/>
  <c r="H350" i="19"/>
  <c r="G350" i="19"/>
  <c r="F350" i="19"/>
  <c r="E350" i="19"/>
  <c r="D350" i="19"/>
  <c r="C350" i="19"/>
  <c r="S349" i="19"/>
  <c r="R349" i="19"/>
  <c r="Q349" i="19"/>
  <c r="P349" i="19"/>
  <c r="O349" i="19"/>
  <c r="N349" i="19"/>
  <c r="M349" i="19"/>
  <c r="L349" i="19"/>
  <c r="K349" i="19"/>
  <c r="J349" i="19"/>
  <c r="I349" i="19"/>
  <c r="H349" i="19"/>
  <c r="G349" i="19"/>
  <c r="F349" i="19"/>
  <c r="E349" i="19"/>
  <c r="D349" i="19"/>
  <c r="C349" i="19"/>
  <c r="S348" i="19"/>
  <c r="R348" i="19"/>
  <c r="Q348" i="19"/>
  <c r="P348" i="19"/>
  <c r="O348" i="19"/>
  <c r="N348" i="19"/>
  <c r="M348" i="19"/>
  <c r="L348" i="19"/>
  <c r="K348" i="19"/>
  <c r="J348" i="19"/>
  <c r="I348" i="19"/>
  <c r="H348" i="19"/>
  <c r="G348" i="19"/>
  <c r="F348" i="19"/>
  <c r="E348" i="19"/>
  <c r="D348" i="19"/>
  <c r="C348" i="19"/>
  <c r="S347" i="19"/>
  <c r="R347" i="19"/>
  <c r="Q347" i="19"/>
  <c r="P347" i="19"/>
  <c r="O347" i="19"/>
  <c r="N347" i="19"/>
  <c r="M347" i="19"/>
  <c r="L347" i="19"/>
  <c r="K347" i="19"/>
  <c r="J347" i="19"/>
  <c r="I347" i="19"/>
  <c r="H347" i="19"/>
  <c r="G347" i="19"/>
  <c r="F347" i="19"/>
  <c r="E347" i="19"/>
  <c r="D347" i="19"/>
  <c r="C347" i="19"/>
  <c r="S346" i="19"/>
  <c r="R346" i="19"/>
  <c r="Q346" i="19"/>
  <c r="P346" i="19"/>
  <c r="O346" i="19"/>
  <c r="N346" i="19"/>
  <c r="M346" i="19"/>
  <c r="L346" i="19"/>
  <c r="K346" i="19"/>
  <c r="J346" i="19"/>
  <c r="I346" i="19"/>
  <c r="H346" i="19"/>
  <c r="G346" i="19"/>
  <c r="F346" i="19"/>
  <c r="E346" i="19"/>
  <c r="D346" i="19"/>
  <c r="C346" i="19"/>
  <c r="S345" i="19"/>
  <c r="R345" i="19"/>
  <c r="Q345" i="19"/>
  <c r="P345" i="19"/>
  <c r="O345" i="19"/>
  <c r="N345" i="19"/>
  <c r="M345" i="19"/>
  <c r="L345" i="19"/>
  <c r="K345" i="19"/>
  <c r="J345" i="19"/>
  <c r="I345" i="19"/>
  <c r="H345" i="19"/>
  <c r="G345" i="19"/>
  <c r="F345" i="19"/>
  <c r="E345" i="19"/>
  <c r="D345" i="19"/>
  <c r="C345" i="19"/>
  <c r="S344" i="19"/>
  <c r="R344" i="19"/>
  <c r="Q344" i="19"/>
  <c r="P344" i="19"/>
  <c r="O344" i="19"/>
  <c r="N344" i="19"/>
  <c r="M344" i="19"/>
  <c r="L344" i="19"/>
  <c r="K344" i="19"/>
  <c r="J344" i="19"/>
  <c r="I344" i="19"/>
  <c r="H344" i="19"/>
  <c r="G344" i="19"/>
  <c r="F344" i="19"/>
  <c r="E344" i="19"/>
  <c r="D344" i="19"/>
  <c r="C344" i="19"/>
  <c r="S343" i="19"/>
  <c r="R343" i="19"/>
  <c r="Q343" i="19"/>
  <c r="P343" i="19"/>
  <c r="O343" i="19"/>
  <c r="N343" i="19"/>
  <c r="M343" i="19"/>
  <c r="L343" i="19"/>
  <c r="K343" i="19"/>
  <c r="J343" i="19"/>
  <c r="I343" i="19"/>
  <c r="H343" i="19"/>
  <c r="G343" i="19"/>
  <c r="F343" i="19"/>
  <c r="E343" i="19"/>
  <c r="D343" i="19"/>
  <c r="C343" i="19"/>
  <c r="S342" i="19"/>
  <c r="R342" i="19"/>
  <c r="Q342" i="19"/>
  <c r="P342" i="19"/>
  <c r="O342" i="19"/>
  <c r="N342" i="19"/>
  <c r="M342" i="19"/>
  <c r="L342" i="19"/>
  <c r="K342" i="19"/>
  <c r="J342" i="19"/>
  <c r="I342" i="19"/>
  <c r="H342" i="19"/>
  <c r="G342" i="19"/>
  <c r="F342" i="19"/>
  <c r="E342" i="19"/>
  <c r="D342" i="19"/>
  <c r="C342" i="19"/>
  <c r="S341" i="19"/>
  <c r="R341" i="19"/>
  <c r="Q341" i="19"/>
  <c r="P341" i="19"/>
  <c r="O341" i="19"/>
  <c r="N341" i="19"/>
  <c r="M341" i="19"/>
  <c r="L341" i="19"/>
  <c r="K341" i="19"/>
  <c r="J341" i="19"/>
  <c r="I341" i="19"/>
  <c r="H341" i="19"/>
  <c r="G341" i="19"/>
  <c r="F341" i="19"/>
  <c r="E341" i="19"/>
  <c r="D341" i="19"/>
  <c r="C341" i="19"/>
  <c r="S340" i="19"/>
  <c r="R340" i="19"/>
  <c r="Q340" i="19"/>
  <c r="P340" i="19"/>
  <c r="O340" i="19"/>
  <c r="N340" i="19"/>
  <c r="M340" i="19"/>
  <c r="L340" i="19"/>
  <c r="K340" i="19"/>
  <c r="J340" i="19"/>
  <c r="I340" i="19"/>
  <c r="H340" i="19"/>
  <c r="G340" i="19"/>
  <c r="F340" i="19"/>
  <c r="E340" i="19"/>
  <c r="D340" i="19"/>
  <c r="C340" i="19"/>
  <c r="S339" i="19"/>
  <c r="R339" i="19"/>
  <c r="Q339" i="19"/>
  <c r="P339" i="19"/>
  <c r="O339" i="19"/>
  <c r="N339" i="19"/>
  <c r="M339" i="19"/>
  <c r="L339" i="19"/>
  <c r="K339" i="19"/>
  <c r="J339" i="19"/>
  <c r="I339" i="19"/>
  <c r="H339" i="19"/>
  <c r="G339" i="19"/>
  <c r="F339" i="19"/>
  <c r="E339" i="19"/>
  <c r="D339" i="19"/>
  <c r="C339" i="19"/>
  <c r="S338" i="19"/>
  <c r="R338" i="19"/>
  <c r="Q338" i="19"/>
  <c r="P338" i="19"/>
  <c r="O338" i="19"/>
  <c r="N338" i="19"/>
  <c r="M338" i="19"/>
  <c r="L338" i="19"/>
  <c r="K338" i="19"/>
  <c r="J338" i="19"/>
  <c r="I338" i="19"/>
  <c r="H338" i="19"/>
  <c r="G338" i="19"/>
  <c r="F338" i="19"/>
  <c r="E338" i="19"/>
  <c r="D338" i="19"/>
  <c r="C338" i="19"/>
  <c r="S337" i="19"/>
  <c r="R337" i="19"/>
  <c r="Q337" i="19"/>
  <c r="P337" i="19"/>
  <c r="O337" i="19"/>
  <c r="N337" i="19"/>
  <c r="M337" i="19"/>
  <c r="L337" i="19"/>
  <c r="K337" i="19"/>
  <c r="J337" i="19"/>
  <c r="I337" i="19"/>
  <c r="H337" i="19"/>
  <c r="G337" i="19"/>
  <c r="F337" i="19"/>
  <c r="E337" i="19"/>
  <c r="D337" i="19"/>
  <c r="C337" i="19"/>
  <c r="S336" i="19"/>
  <c r="R336" i="19"/>
  <c r="Q336" i="19"/>
  <c r="P336" i="19"/>
  <c r="O336" i="19"/>
  <c r="N336" i="19"/>
  <c r="M336" i="19"/>
  <c r="L336" i="19"/>
  <c r="K336" i="19"/>
  <c r="J336" i="19"/>
  <c r="I336" i="19"/>
  <c r="H336" i="19"/>
  <c r="G336" i="19"/>
  <c r="F336" i="19"/>
  <c r="E336" i="19"/>
  <c r="D336" i="19"/>
  <c r="C336" i="19"/>
  <c r="S335" i="19"/>
  <c r="R335" i="19"/>
  <c r="Q335" i="19"/>
  <c r="P335" i="19"/>
  <c r="O335" i="19"/>
  <c r="N335" i="19"/>
  <c r="M335" i="19"/>
  <c r="L335" i="19"/>
  <c r="K335" i="19"/>
  <c r="J335" i="19"/>
  <c r="I335" i="19"/>
  <c r="H335" i="19"/>
  <c r="G335" i="19"/>
  <c r="F335" i="19"/>
  <c r="E335" i="19"/>
  <c r="D335" i="19"/>
  <c r="C335" i="19"/>
  <c r="S334" i="19"/>
  <c r="R334" i="19"/>
  <c r="Q334" i="19"/>
  <c r="P334" i="19"/>
  <c r="O334" i="19"/>
  <c r="N334" i="19"/>
  <c r="M334" i="19"/>
  <c r="L334" i="19"/>
  <c r="K334" i="19"/>
  <c r="J334" i="19"/>
  <c r="I334" i="19"/>
  <c r="H334" i="19"/>
  <c r="G334" i="19"/>
  <c r="F334" i="19"/>
  <c r="E334" i="19"/>
  <c r="D334" i="19"/>
  <c r="C334" i="19"/>
  <c r="S333" i="19"/>
  <c r="R333" i="19"/>
  <c r="Q333" i="19"/>
  <c r="P333" i="19"/>
  <c r="O333" i="19"/>
  <c r="N333" i="19"/>
  <c r="M333" i="19"/>
  <c r="L333" i="19"/>
  <c r="K333" i="19"/>
  <c r="J333" i="19"/>
  <c r="I333" i="19"/>
  <c r="H333" i="19"/>
  <c r="G333" i="19"/>
  <c r="F333" i="19"/>
  <c r="E333" i="19"/>
  <c r="D333" i="19"/>
  <c r="C333" i="19"/>
  <c r="S332" i="19"/>
  <c r="R332" i="19"/>
  <c r="Q332" i="19"/>
  <c r="P332" i="19"/>
  <c r="O332" i="19"/>
  <c r="N332" i="19"/>
  <c r="M332" i="19"/>
  <c r="L332" i="19"/>
  <c r="K332" i="19"/>
  <c r="J332" i="19"/>
  <c r="I332" i="19"/>
  <c r="H332" i="19"/>
  <c r="G332" i="19"/>
  <c r="F332" i="19"/>
  <c r="E332" i="19"/>
  <c r="D332" i="19"/>
  <c r="C332" i="19"/>
  <c r="S331" i="19"/>
  <c r="R331" i="19"/>
  <c r="Q331" i="19"/>
  <c r="P331" i="19"/>
  <c r="O331" i="19"/>
  <c r="N331" i="19"/>
  <c r="M331" i="19"/>
  <c r="L331" i="19"/>
  <c r="K331" i="19"/>
  <c r="J331" i="19"/>
  <c r="I331" i="19"/>
  <c r="H331" i="19"/>
  <c r="G331" i="19"/>
  <c r="F331" i="19"/>
  <c r="E331" i="19"/>
  <c r="D331" i="19"/>
  <c r="C331" i="19"/>
  <c r="S330" i="19"/>
  <c r="R330" i="19"/>
  <c r="Q330" i="19"/>
  <c r="P330" i="19"/>
  <c r="O330" i="19"/>
  <c r="N330" i="19"/>
  <c r="M330" i="19"/>
  <c r="L330" i="19"/>
  <c r="K330" i="19"/>
  <c r="J330" i="19"/>
  <c r="I330" i="19"/>
  <c r="H330" i="19"/>
  <c r="G330" i="19"/>
  <c r="F330" i="19"/>
  <c r="E330" i="19"/>
  <c r="D330" i="19"/>
  <c r="C330" i="19"/>
  <c r="S329" i="19"/>
  <c r="R329" i="19"/>
  <c r="Q329" i="19"/>
  <c r="P329" i="19"/>
  <c r="O329" i="19"/>
  <c r="N329" i="19"/>
  <c r="M329" i="19"/>
  <c r="L329" i="19"/>
  <c r="K329" i="19"/>
  <c r="J329" i="19"/>
  <c r="I329" i="19"/>
  <c r="H329" i="19"/>
  <c r="G329" i="19"/>
  <c r="F329" i="19"/>
  <c r="E329" i="19"/>
  <c r="D329" i="19"/>
  <c r="C329" i="19"/>
  <c r="S328" i="19"/>
  <c r="R328" i="19"/>
  <c r="Q328" i="19"/>
  <c r="P328" i="19"/>
  <c r="O328" i="19"/>
  <c r="N328" i="19"/>
  <c r="M328" i="19"/>
  <c r="L328" i="19"/>
  <c r="K328" i="19"/>
  <c r="J328" i="19"/>
  <c r="I328" i="19"/>
  <c r="H328" i="19"/>
  <c r="G328" i="19"/>
  <c r="F328" i="19"/>
  <c r="E328" i="19"/>
  <c r="D328" i="19"/>
  <c r="C328" i="19"/>
  <c r="S327" i="19"/>
  <c r="R327" i="19"/>
  <c r="Q327" i="19"/>
  <c r="P327" i="19"/>
  <c r="O327" i="19"/>
  <c r="N327" i="19"/>
  <c r="M327" i="19"/>
  <c r="L327" i="19"/>
  <c r="K327" i="19"/>
  <c r="J327" i="19"/>
  <c r="I327" i="19"/>
  <c r="H327" i="19"/>
  <c r="G327" i="19"/>
  <c r="F327" i="19"/>
  <c r="E327" i="19"/>
  <c r="D327" i="19"/>
  <c r="C327" i="19"/>
  <c r="S326" i="19"/>
  <c r="R326" i="19"/>
  <c r="Q326" i="19"/>
  <c r="P326" i="19"/>
  <c r="O326" i="19"/>
  <c r="N326" i="19"/>
  <c r="M326" i="19"/>
  <c r="L326" i="19"/>
  <c r="K326" i="19"/>
  <c r="J326" i="19"/>
  <c r="I326" i="19"/>
  <c r="H326" i="19"/>
  <c r="G326" i="19"/>
  <c r="F326" i="19"/>
  <c r="E326" i="19"/>
  <c r="D326" i="19"/>
  <c r="C326" i="19"/>
  <c r="S325" i="19"/>
  <c r="R325" i="19"/>
  <c r="Q325" i="19"/>
  <c r="P325" i="19"/>
  <c r="O325" i="19"/>
  <c r="N325" i="19"/>
  <c r="M325" i="19"/>
  <c r="L325" i="19"/>
  <c r="K325" i="19"/>
  <c r="J325" i="19"/>
  <c r="I325" i="19"/>
  <c r="H325" i="19"/>
  <c r="G325" i="19"/>
  <c r="F325" i="19"/>
  <c r="E325" i="19"/>
  <c r="D325" i="19"/>
  <c r="C325" i="19"/>
  <c r="S324" i="19"/>
  <c r="R324" i="19"/>
  <c r="Q324" i="19"/>
  <c r="P324" i="19"/>
  <c r="O324" i="19"/>
  <c r="N324" i="19"/>
  <c r="M324" i="19"/>
  <c r="L324" i="19"/>
  <c r="K324" i="19"/>
  <c r="J324" i="19"/>
  <c r="I324" i="19"/>
  <c r="H324" i="19"/>
  <c r="G324" i="19"/>
  <c r="F324" i="19"/>
  <c r="E324" i="19"/>
  <c r="D324" i="19"/>
  <c r="C324" i="19"/>
  <c r="S323" i="19"/>
  <c r="R323" i="19"/>
  <c r="Q323" i="19"/>
  <c r="P323" i="19"/>
  <c r="O323" i="19"/>
  <c r="N323" i="19"/>
  <c r="M323" i="19"/>
  <c r="L323" i="19"/>
  <c r="K323" i="19"/>
  <c r="J323" i="19"/>
  <c r="I323" i="19"/>
  <c r="H323" i="19"/>
  <c r="G323" i="19"/>
  <c r="F323" i="19"/>
  <c r="E323" i="19"/>
  <c r="D323" i="19"/>
  <c r="C323" i="19"/>
  <c r="S322" i="19"/>
  <c r="R322" i="19"/>
  <c r="Q322" i="19"/>
  <c r="P322" i="19"/>
  <c r="O322" i="19"/>
  <c r="N322" i="19"/>
  <c r="M322" i="19"/>
  <c r="L322" i="19"/>
  <c r="K322" i="19"/>
  <c r="J322" i="19"/>
  <c r="I322" i="19"/>
  <c r="H322" i="19"/>
  <c r="G322" i="19"/>
  <c r="F322" i="19"/>
  <c r="E322" i="19"/>
  <c r="D322" i="19"/>
  <c r="C322" i="19"/>
  <c r="S321" i="19"/>
  <c r="R321" i="19"/>
  <c r="Q321" i="19"/>
  <c r="P321" i="19"/>
  <c r="O321" i="19"/>
  <c r="N321" i="19"/>
  <c r="M321" i="19"/>
  <c r="L321" i="19"/>
  <c r="K321" i="19"/>
  <c r="J321" i="19"/>
  <c r="I321" i="19"/>
  <c r="H321" i="19"/>
  <c r="G321" i="19"/>
  <c r="F321" i="19"/>
  <c r="E321" i="19"/>
  <c r="D321" i="19"/>
  <c r="C321" i="19"/>
  <c r="S320" i="19"/>
  <c r="R320" i="19"/>
  <c r="Q320" i="19"/>
  <c r="P320" i="19"/>
  <c r="O320" i="19"/>
  <c r="N320" i="19"/>
  <c r="M320" i="19"/>
  <c r="L320" i="19"/>
  <c r="K320" i="19"/>
  <c r="J320" i="19"/>
  <c r="I320" i="19"/>
  <c r="H320" i="19"/>
  <c r="G320" i="19"/>
  <c r="F320" i="19"/>
  <c r="E320" i="19"/>
  <c r="D320" i="19"/>
  <c r="C320" i="19"/>
  <c r="S319" i="19"/>
  <c r="R319" i="19"/>
  <c r="Q319" i="19"/>
  <c r="P319" i="19"/>
  <c r="O319" i="19"/>
  <c r="N319" i="19"/>
  <c r="M319" i="19"/>
  <c r="L319" i="19"/>
  <c r="K319" i="19"/>
  <c r="J319" i="19"/>
  <c r="I319" i="19"/>
  <c r="H319" i="19"/>
  <c r="G319" i="19"/>
  <c r="F319" i="19"/>
  <c r="E319" i="19"/>
  <c r="D319" i="19"/>
  <c r="C319" i="19"/>
  <c r="S318" i="19"/>
  <c r="R318" i="19"/>
  <c r="Q318" i="19"/>
  <c r="P318" i="19"/>
  <c r="O318" i="19"/>
  <c r="N318" i="19"/>
  <c r="M318" i="19"/>
  <c r="L318" i="19"/>
  <c r="K318" i="19"/>
  <c r="J318" i="19"/>
  <c r="I318" i="19"/>
  <c r="H318" i="19"/>
  <c r="G318" i="19"/>
  <c r="F318" i="19"/>
  <c r="E318" i="19"/>
  <c r="D318" i="19"/>
  <c r="C318" i="19"/>
  <c r="S317" i="19"/>
  <c r="R317" i="19"/>
  <c r="Q317" i="19"/>
  <c r="P317" i="19"/>
  <c r="O317" i="19"/>
  <c r="N317" i="19"/>
  <c r="M317" i="19"/>
  <c r="L317" i="19"/>
  <c r="K317" i="19"/>
  <c r="J317" i="19"/>
  <c r="I317" i="19"/>
  <c r="H317" i="19"/>
  <c r="G317" i="19"/>
  <c r="F317" i="19"/>
  <c r="E317" i="19"/>
  <c r="D317" i="19"/>
  <c r="C317" i="19"/>
  <c r="S316" i="19"/>
  <c r="R316" i="19"/>
  <c r="Q316" i="19"/>
  <c r="P316" i="19"/>
  <c r="O316" i="19"/>
  <c r="N316" i="19"/>
  <c r="M316" i="19"/>
  <c r="L316" i="19"/>
  <c r="K316" i="19"/>
  <c r="J316" i="19"/>
  <c r="I316" i="19"/>
  <c r="H316" i="19"/>
  <c r="G316" i="19"/>
  <c r="F316" i="19"/>
  <c r="E316" i="19"/>
  <c r="D316" i="19"/>
  <c r="C316" i="19"/>
  <c r="S315" i="19"/>
  <c r="R315" i="19"/>
  <c r="Q315" i="19"/>
  <c r="P315" i="19"/>
  <c r="O315" i="19"/>
  <c r="N315" i="19"/>
  <c r="M315" i="19"/>
  <c r="L315" i="19"/>
  <c r="K315" i="19"/>
  <c r="J315" i="19"/>
  <c r="I315" i="19"/>
  <c r="H315" i="19"/>
  <c r="G315" i="19"/>
  <c r="F315" i="19"/>
  <c r="E315" i="19"/>
  <c r="D315" i="19"/>
  <c r="C315" i="19"/>
  <c r="S314" i="19"/>
  <c r="R314" i="19"/>
  <c r="Q314" i="19"/>
  <c r="P314" i="19"/>
  <c r="O314" i="19"/>
  <c r="N314" i="19"/>
  <c r="M314" i="19"/>
  <c r="L314" i="19"/>
  <c r="K314" i="19"/>
  <c r="J314" i="19"/>
  <c r="I314" i="19"/>
  <c r="H314" i="19"/>
  <c r="G314" i="19"/>
  <c r="F314" i="19"/>
  <c r="E314" i="19"/>
  <c r="D314" i="19"/>
  <c r="C314" i="19"/>
  <c r="S313" i="19"/>
  <c r="R313" i="19"/>
  <c r="Q313" i="19"/>
  <c r="P313" i="19"/>
  <c r="O313" i="19"/>
  <c r="N313" i="19"/>
  <c r="M313" i="19"/>
  <c r="L313" i="19"/>
  <c r="K313" i="19"/>
  <c r="J313" i="19"/>
  <c r="I313" i="19"/>
  <c r="H313" i="19"/>
  <c r="G313" i="19"/>
  <c r="F313" i="19"/>
  <c r="E313" i="19"/>
  <c r="D313" i="19"/>
  <c r="C313" i="19"/>
  <c r="S312" i="19"/>
  <c r="R312" i="19"/>
  <c r="Q312" i="19"/>
  <c r="P312" i="19"/>
  <c r="O312" i="19"/>
  <c r="N312" i="19"/>
  <c r="M312" i="19"/>
  <c r="L312" i="19"/>
  <c r="K312" i="19"/>
  <c r="J312" i="19"/>
  <c r="I312" i="19"/>
  <c r="H312" i="19"/>
  <c r="G312" i="19"/>
  <c r="F312" i="19"/>
  <c r="E312" i="19"/>
  <c r="D312" i="19"/>
  <c r="C312" i="19"/>
  <c r="S311" i="19"/>
  <c r="R311" i="19"/>
  <c r="Q311" i="19"/>
  <c r="P311" i="19"/>
  <c r="O311" i="19"/>
  <c r="N311" i="19"/>
  <c r="M311" i="19"/>
  <c r="L311" i="19"/>
  <c r="K311" i="19"/>
  <c r="J311" i="19"/>
  <c r="I311" i="19"/>
  <c r="H311" i="19"/>
  <c r="G311" i="19"/>
  <c r="F311" i="19"/>
  <c r="E311" i="19"/>
  <c r="D311" i="19"/>
  <c r="C311" i="19"/>
  <c r="S310" i="19"/>
  <c r="R310" i="19"/>
  <c r="Q310" i="19"/>
  <c r="P310" i="19"/>
  <c r="O310" i="19"/>
  <c r="N310" i="19"/>
  <c r="M310" i="19"/>
  <c r="L310" i="19"/>
  <c r="K310" i="19"/>
  <c r="J310" i="19"/>
  <c r="I310" i="19"/>
  <c r="H310" i="19"/>
  <c r="G310" i="19"/>
  <c r="F310" i="19"/>
  <c r="E310" i="19"/>
  <c r="D310" i="19"/>
  <c r="C310" i="19"/>
  <c r="S309" i="19"/>
  <c r="R309" i="19"/>
  <c r="Q309" i="19"/>
  <c r="P309" i="19"/>
  <c r="O309" i="19"/>
  <c r="N309" i="19"/>
  <c r="M309" i="19"/>
  <c r="L309" i="19"/>
  <c r="K309" i="19"/>
  <c r="J309" i="19"/>
  <c r="I309" i="19"/>
  <c r="H309" i="19"/>
  <c r="G309" i="19"/>
  <c r="F309" i="19"/>
  <c r="E309" i="19"/>
  <c r="D309" i="19"/>
  <c r="C309" i="19"/>
  <c r="S308" i="19"/>
  <c r="R308" i="19"/>
  <c r="Q308" i="19"/>
  <c r="P308" i="19"/>
  <c r="O308" i="19"/>
  <c r="N308" i="19"/>
  <c r="M308" i="19"/>
  <c r="L308" i="19"/>
  <c r="K308" i="19"/>
  <c r="J308" i="19"/>
  <c r="I308" i="19"/>
  <c r="H308" i="19"/>
  <c r="G308" i="19"/>
  <c r="F308" i="19"/>
  <c r="E308" i="19"/>
  <c r="D308" i="19"/>
  <c r="C308" i="19"/>
  <c r="S307" i="19"/>
  <c r="R307" i="19"/>
  <c r="Q307" i="19"/>
  <c r="P307" i="19"/>
  <c r="O307" i="19"/>
  <c r="N307" i="19"/>
  <c r="M307" i="19"/>
  <c r="L307" i="19"/>
  <c r="K307" i="19"/>
  <c r="J307" i="19"/>
  <c r="I307" i="19"/>
  <c r="H307" i="19"/>
  <c r="G307" i="19"/>
  <c r="F307" i="19"/>
  <c r="E307" i="19"/>
  <c r="D307" i="19"/>
  <c r="C307" i="19"/>
  <c r="S306" i="19"/>
  <c r="R306" i="19"/>
  <c r="Q306" i="19"/>
  <c r="P306" i="19"/>
  <c r="O306" i="19"/>
  <c r="N306" i="19"/>
  <c r="M306" i="19"/>
  <c r="L306" i="19"/>
  <c r="K306" i="19"/>
  <c r="J306" i="19"/>
  <c r="I306" i="19"/>
  <c r="H306" i="19"/>
  <c r="G306" i="19"/>
  <c r="F306" i="19"/>
  <c r="E306" i="19"/>
  <c r="D306" i="19"/>
  <c r="C306" i="19"/>
  <c r="S305" i="19"/>
  <c r="R305" i="19"/>
  <c r="Q305" i="19"/>
  <c r="P305" i="19"/>
  <c r="O305" i="19"/>
  <c r="N305" i="19"/>
  <c r="M305" i="19"/>
  <c r="L305" i="19"/>
  <c r="K305" i="19"/>
  <c r="J305" i="19"/>
  <c r="I305" i="19"/>
  <c r="H305" i="19"/>
  <c r="G305" i="19"/>
  <c r="F305" i="19"/>
  <c r="E305" i="19"/>
  <c r="D305" i="19"/>
  <c r="C305" i="19"/>
  <c r="S304" i="19"/>
  <c r="R304" i="19"/>
  <c r="Q304" i="19"/>
  <c r="P304" i="19"/>
  <c r="O304" i="19"/>
  <c r="N304" i="19"/>
  <c r="M304" i="19"/>
  <c r="L304" i="19"/>
  <c r="K304" i="19"/>
  <c r="J304" i="19"/>
  <c r="I304" i="19"/>
  <c r="H304" i="19"/>
  <c r="G304" i="19"/>
  <c r="F304" i="19"/>
  <c r="E304" i="19"/>
  <c r="D304" i="19"/>
  <c r="C304" i="19"/>
  <c r="S303" i="19"/>
  <c r="R303" i="19"/>
  <c r="Q303" i="19"/>
  <c r="P303" i="19"/>
  <c r="O303" i="19"/>
  <c r="N303" i="19"/>
  <c r="M303" i="19"/>
  <c r="L303" i="19"/>
  <c r="K303" i="19"/>
  <c r="J303" i="19"/>
  <c r="I303" i="19"/>
  <c r="H303" i="19"/>
  <c r="G303" i="19"/>
  <c r="F303" i="19"/>
  <c r="E303" i="19"/>
  <c r="D303" i="19"/>
  <c r="C303" i="19"/>
  <c r="AK302" i="19"/>
  <c r="S299" i="19" s="1"/>
  <c r="AJ302" i="19"/>
  <c r="R298" i="19" s="1"/>
  <c r="AI302" i="19"/>
  <c r="Q300" i="19" s="1"/>
  <c r="AH302" i="19"/>
  <c r="P297" i="19" s="1"/>
  <c r="AG302" i="19"/>
  <c r="AF302" i="19"/>
  <c r="AE302" i="19"/>
  <c r="M302" i="19" s="1"/>
  <c r="AD302" i="19"/>
  <c r="L301" i="19" s="1"/>
  <c r="AC302" i="19"/>
  <c r="K299" i="19" s="1"/>
  <c r="AB302" i="19"/>
  <c r="J300" i="19" s="1"/>
  <c r="AA302" i="19"/>
  <c r="I302" i="19" s="1"/>
  <c r="Z302" i="19"/>
  <c r="Y302" i="19"/>
  <c r="G302" i="19" s="1"/>
  <c r="X302" i="19"/>
  <c r="F302" i="19" s="1"/>
  <c r="W302" i="19"/>
  <c r="E302" i="19" s="1"/>
  <c r="V302" i="19"/>
  <c r="D302" i="19" s="1"/>
  <c r="U302" i="19"/>
  <c r="R302" i="19"/>
  <c r="O302" i="19"/>
  <c r="N302" i="19"/>
  <c r="J302" i="19"/>
  <c r="AK301" i="19"/>
  <c r="AJ301" i="19"/>
  <c r="AI301" i="19"/>
  <c r="AH301" i="19"/>
  <c r="AG301" i="19"/>
  <c r="AF301" i="19"/>
  <c r="AE301" i="19"/>
  <c r="AD301" i="19"/>
  <c r="AC301" i="19"/>
  <c r="AB301" i="19"/>
  <c r="AA301" i="19"/>
  <c r="Z301" i="19"/>
  <c r="Y301" i="19"/>
  <c r="X301" i="19"/>
  <c r="W301" i="19"/>
  <c r="V301" i="19"/>
  <c r="U301" i="19"/>
  <c r="R301" i="19"/>
  <c r="AK300" i="19"/>
  <c r="AJ300" i="19"/>
  <c r="AI300" i="19"/>
  <c r="AH300" i="19"/>
  <c r="AG300" i="19"/>
  <c r="AF300" i="19"/>
  <c r="AE300" i="19"/>
  <c r="AD300" i="19"/>
  <c r="AC300" i="19"/>
  <c r="AB300" i="19"/>
  <c r="AA300" i="19"/>
  <c r="Z300" i="19"/>
  <c r="Y300" i="19"/>
  <c r="X300" i="19"/>
  <c r="W300" i="19"/>
  <c r="V300" i="19"/>
  <c r="U300" i="19"/>
  <c r="R300" i="19"/>
  <c r="AK299" i="19"/>
  <c r="AJ299" i="19"/>
  <c r="AI299" i="19"/>
  <c r="AH299" i="19"/>
  <c r="AG299" i="19"/>
  <c r="AF299" i="19"/>
  <c r="AE299" i="19"/>
  <c r="AD299" i="19"/>
  <c r="AC299" i="19"/>
  <c r="AB299" i="19"/>
  <c r="AA299" i="19"/>
  <c r="Z299" i="19"/>
  <c r="Y299" i="19"/>
  <c r="X299" i="19"/>
  <c r="W299" i="19"/>
  <c r="V299" i="19"/>
  <c r="U299" i="19"/>
  <c r="J299" i="19"/>
  <c r="AK298" i="19"/>
  <c r="AJ298" i="19"/>
  <c r="AI298" i="19"/>
  <c r="AH298" i="19"/>
  <c r="AG298" i="19"/>
  <c r="O298" i="19" s="1"/>
  <c r="AF298" i="19"/>
  <c r="N298" i="19" s="1"/>
  <c r="AE298" i="19"/>
  <c r="AD298" i="19"/>
  <c r="AC298" i="19"/>
  <c r="AB298" i="19"/>
  <c r="AA298" i="19"/>
  <c r="Z298" i="19"/>
  <c r="Y298" i="19"/>
  <c r="X298" i="19"/>
  <c r="F298" i="19" s="1"/>
  <c r="W298" i="19"/>
  <c r="V298" i="19"/>
  <c r="U298" i="19"/>
  <c r="J298" i="19"/>
  <c r="AK297" i="19"/>
  <c r="AJ297" i="19"/>
  <c r="AI297" i="19"/>
  <c r="AH297" i="19"/>
  <c r="AG297" i="19"/>
  <c r="AF297" i="19"/>
  <c r="AE297" i="19"/>
  <c r="AD297" i="19"/>
  <c r="AC297" i="19"/>
  <c r="AB297" i="19"/>
  <c r="AA297" i="19"/>
  <c r="Z297" i="19"/>
  <c r="Y297" i="19"/>
  <c r="X297" i="19"/>
  <c r="W297" i="19"/>
  <c r="V297" i="19"/>
  <c r="U297" i="19"/>
  <c r="R297" i="19"/>
  <c r="J297" i="19"/>
  <c r="S296" i="19"/>
  <c r="R296" i="19"/>
  <c r="Q296" i="19"/>
  <c r="P296" i="19"/>
  <c r="O296" i="19"/>
  <c r="N296" i="19"/>
  <c r="M296" i="19"/>
  <c r="L296" i="19"/>
  <c r="K296" i="19"/>
  <c r="J296" i="19"/>
  <c r="I296" i="19"/>
  <c r="H296" i="19"/>
  <c r="G296" i="19"/>
  <c r="F296" i="19"/>
  <c r="E296" i="19"/>
  <c r="D296" i="19"/>
  <c r="C296" i="19"/>
  <c r="S295" i="19"/>
  <c r="R295" i="19"/>
  <c r="Q295" i="19"/>
  <c r="P295" i="19"/>
  <c r="O295" i="19"/>
  <c r="N295" i="19"/>
  <c r="M295" i="19"/>
  <c r="L295" i="19"/>
  <c r="K295" i="19"/>
  <c r="J295" i="19"/>
  <c r="I295" i="19"/>
  <c r="H295" i="19"/>
  <c r="G295" i="19"/>
  <c r="F295" i="19"/>
  <c r="E295" i="19"/>
  <c r="D295" i="19"/>
  <c r="C295" i="19"/>
  <c r="S294" i="19"/>
  <c r="R294" i="19"/>
  <c r="Q294" i="19"/>
  <c r="P294" i="19"/>
  <c r="O294" i="19"/>
  <c r="N294" i="19"/>
  <c r="M294" i="19"/>
  <c r="L294" i="19"/>
  <c r="K294" i="19"/>
  <c r="J294" i="19"/>
  <c r="I294" i="19"/>
  <c r="H294" i="19"/>
  <c r="G294" i="19"/>
  <c r="F294" i="19"/>
  <c r="E294" i="19"/>
  <c r="D294" i="19"/>
  <c r="C294" i="19"/>
  <c r="S293" i="19"/>
  <c r="R293" i="19"/>
  <c r="Q293" i="19"/>
  <c r="P293" i="19"/>
  <c r="O293" i="19"/>
  <c r="N293" i="19"/>
  <c r="M293" i="19"/>
  <c r="L293" i="19"/>
  <c r="K293" i="19"/>
  <c r="J293" i="19"/>
  <c r="I293" i="19"/>
  <c r="H293" i="19"/>
  <c r="G293" i="19"/>
  <c r="F293" i="19"/>
  <c r="E293" i="19"/>
  <c r="D293" i="19"/>
  <c r="C293" i="19"/>
  <c r="S292" i="19"/>
  <c r="R292" i="19"/>
  <c r="Q292" i="19"/>
  <c r="P292" i="19"/>
  <c r="O292" i="19"/>
  <c r="N292" i="19"/>
  <c r="M292" i="19"/>
  <c r="L292" i="19"/>
  <c r="K292" i="19"/>
  <c r="J292" i="19"/>
  <c r="I292" i="19"/>
  <c r="H292" i="19"/>
  <c r="G292" i="19"/>
  <c r="F292" i="19"/>
  <c r="E292" i="19"/>
  <c r="D292" i="19"/>
  <c r="C292" i="19"/>
  <c r="S291" i="19"/>
  <c r="R291" i="19"/>
  <c r="Q291" i="19"/>
  <c r="P291" i="19"/>
  <c r="O291" i="19"/>
  <c r="N291" i="19"/>
  <c r="M291" i="19"/>
  <c r="L291" i="19"/>
  <c r="K291" i="19"/>
  <c r="J291" i="19"/>
  <c r="I291" i="19"/>
  <c r="H291" i="19"/>
  <c r="G291" i="19"/>
  <c r="F291" i="19"/>
  <c r="E291" i="19"/>
  <c r="D291" i="19"/>
  <c r="C291" i="19"/>
  <c r="S290" i="19"/>
  <c r="R290" i="19"/>
  <c r="Q290" i="19"/>
  <c r="P290" i="19"/>
  <c r="O290" i="19"/>
  <c r="N290" i="19"/>
  <c r="M290" i="19"/>
  <c r="L290" i="19"/>
  <c r="K290" i="19"/>
  <c r="J290" i="19"/>
  <c r="I290" i="19"/>
  <c r="H290" i="19"/>
  <c r="G290" i="19"/>
  <c r="F290" i="19"/>
  <c r="E290" i="19"/>
  <c r="D290" i="19"/>
  <c r="C290" i="19"/>
  <c r="S289" i="19"/>
  <c r="R289" i="19"/>
  <c r="Q289" i="19"/>
  <c r="P289" i="19"/>
  <c r="O289" i="19"/>
  <c r="N289" i="19"/>
  <c r="M289" i="19"/>
  <c r="L289" i="19"/>
  <c r="K289" i="19"/>
  <c r="J289" i="19"/>
  <c r="I289" i="19"/>
  <c r="H289" i="19"/>
  <c r="G289" i="19"/>
  <c r="F289" i="19"/>
  <c r="E289" i="19"/>
  <c r="D289" i="19"/>
  <c r="C289" i="19"/>
  <c r="S288" i="19"/>
  <c r="R288" i="19"/>
  <c r="Q288" i="19"/>
  <c r="P288" i="19"/>
  <c r="O288" i="19"/>
  <c r="N288" i="19"/>
  <c r="M288" i="19"/>
  <c r="L288" i="19"/>
  <c r="K288" i="19"/>
  <c r="J288" i="19"/>
  <c r="I288" i="19"/>
  <c r="H288" i="19"/>
  <c r="G288" i="19"/>
  <c r="F288" i="19"/>
  <c r="E288" i="19"/>
  <c r="D288" i="19"/>
  <c r="C288" i="19"/>
  <c r="S287" i="19"/>
  <c r="R287" i="19"/>
  <c r="Q287" i="19"/>
  <c r="P287" i="19"/>
  <c r="O287" i="19"/>
  <c r="N287" i="19"/>
  <c r="M287" i="19"/>
  <c r="L287" i="19"/>
  <c r="K287" i="19"/>
  <c r="J287" i="19"/>
  <c r="I287" i="19"/>
  <c r="H287" i="19"/>
  <c r="G287" i="19"/>
  <c r="F287" i="19"/>
  <c r="E287" i="19"/>
  <c r="D287" i="19"/>
  <c r="C287" i="19"/>
  <c r="S286" i="19"/>
  <c r="R286" i="19"/>
  <c r="Q286" i="19"/>
  <c r="P286" i="19"/>
  <c r="O286" i="19"/>
  <c r="N286" i="19"/>
  <c r="M286" i="19"/>
  <c r="L286" i="19"/>
  <c r="K286" i="19"/>
  <c r="J286" i="19"/>
  <c r="I286" i="19"/>
  <c r="H286" i="19"/>
  <c r="G286" i="19"/>
  <c r="F286" i="19"/>
  <c r="E286" i="19"/>
  <c r="D286" i="19"/>
  <c r="C286" i="19"/>
  <c r="S285" i="19"/>
  <c r="R285" i="19"/>
  <c r="Q285" i="19"/>
  <c r="P285" i="19"/>
  <c r="O285" i="19"/>
  <c r="N285" i="19"/>
  <c r="M285" i="19"/>
  <c r="L285" i="19"/>
  <c r="K285" i="19"/>
  <c r="J285" i="19"/>
  <c r="I285" i="19"/>
  <c r="H285" i="19"/>
  <c r="G285" i="19"/>
  <c r="F285" i="19"/>
  <c r="E285" i="19"/>
  <c r="D285" i="19"/>
  <c r="C285" i="19"/>
  <c r="S284" i="19"/>
  <c r="R284" i="19"/>
  <c r="Q284" i="19"/>
  <c r="P284" i="19"/>
  <c r="O284" i="19"/>
  <c r="N284" i="19"/>
  <c r="M284" i="19"/>
  <c r="L284" i="19"/>
  <c r="K284" i="19"/>
  <c r="J284" i="19"/>
  <c r="I284" i="19"/>
  <c r="H284" i="19"/>
  <c r="G284" i="19"/>
  <c r="F284" i="19"/>
  <c r="E284" i="19"/>
  <c r="D284" i="19"/>
  <c r="C284" i="19"/>
  <c r="S283" i="19"/>
  <c r="R283" i="19"/>
  <c r="Q283" i="19"/>
  <c r="P283" i="19"/>
  <c r="O283" i="19"/>
  <c r="N283" i="19"/>
  <c r="M283" i="19"/>
  <c r="L283" i="19"/>
  <c r="K283" i="19"/>
  <c r="J283" i="19"/>
  <c r="I283" i="19"/>
  <c r="H283" i="19"/>
  <c r="G283" i="19"/>
  <c r="F283" i="19"/>
  <c r="E283" i="19"/>
  <c r="D283" i="19"/>
  <c r="C283" i="19"/>
  <c r="S282" i="19"/>
  <c r="R282" i="19"/>
  <c r="Q282" i="19"/>
  <c r="P282" i="19"/>
  <c r="O282" i="19"/>
  <c r="N282" i="19"/>
  <c r="M282" i="19"/>
  <c r="L282" i="19"/>
  <c r="K282" i="19"/>
  <c r="J282" i="19"/>
  <c r="I282" i="19"/>
  <c r="H282" i="19"/>
  <c r="G282" i="19"/>
  <c r="F282" i="19"/>
  <c r="E282" i="19"/>
  <c r="D282" i="19"/>
  <c r="C282" i="19"/>
  <c r="S281" i="19"/>
  <c r="R281" i="19"/>
  <c r="Q281" i="19"/>
  <c r="P281" i="19"/>
  <c r="O281" i="19"/>
  <c r="N281" i="19"/>
  <c r="M281" i="19"/>
  <c r="L281" i="19"/>
  <c r="K281" i="19"/>
  <c r="J281" i="19"/>
  <c r="I281" i="19"/>
  <c r="H281" i="19"/>
  <c r="G281" i="19"/>
  <c r="F281" i="19"/>
  <c r="E281" i="19"/>
  <c r="D281" i="19"/>
  <c r="C281" i="19"/>
  <c r="S280" i="19"/>
  <c r="R280" i="19"/>
  <c r="Q280" i="19"/>
  <c r="P280" i="19"/>
  <c r="O280" i="19"/>
  <c r="N280" i="19"/>
  <c r="M280" i="19"/>
  <c r="L280" i="19"/>
  <c r="K280" i="19"/>
  <c r="J280" i="19"/>
  <c r="I280" i="19"/>
  <c r="H280" i="19"/>
  <c r="G280" i="19"/>
  <c r="F280" i="19"/>
  <c r="E280" i="19"/>
  <c r="D280" i="19"/>
  <c r="C280" i="19"/>
  <c r="S279" i="19"/>
  <c r="R279" i="19"/>
  <c r="Q279" i="19"/>
  <c r="P279" i="19"/>
  <c r="O279" i="19"/>
  <c r="N279" i="19"/>
  <c r="M279" i="19"/>
  <c r="L279" i="19"/>
  <c r="K279" i="19"/>
  <c r="J279" i="19"/>
  <c r="I279" i="19"/>
  <c r="H279" i="19"/>
  <c r="G279" i="19"/>
  <c r="F279" i="19"/>
  <c r="E279" i="19"/>
  <c r="D279" i="19"/>
  <c r="C279" i="19"/>
  <c r="S278" i="19"/>
  <c r="R278" i="19"/>
  <c r="Q278" i="19"/>
  <c r="P278" i="19"/>
  <c r="O278" i="19"/>
  <c r="N278" i="19"/>
  <c r="M278" i="19"/>
  <c r="L278" i="19"/>
  <c r="K278" i="19"/>
  <c r="J278" i="19"/>
  <c r="I278" i="19"/>
  <c r="H278" i="19"/>
  <c r="G278" i="19"/>
  <c r="F278" i="19"/>
  <c r="E278" i="19"/>
  <c r="D278" i="19"/>
  <c r="C278" i="19"/>
  <c r="S277" i="19"/>
  <c r="R277" i="19"/>
  <c r="Q277" i="19"/>
  <c r="P277" i="19"/>
  <c r="O277" i="19"/>
  <c r="N277" i="19"/>
  <c r="M277" i="19"/>
  <c r="L277" i="19"/>
  <c r="K277" i="19"/>
  <c r="J277" i="19"/>
  <c r="I277" i="19"/>
  <c r="H277" i="19"/>
  <c r="G277" i="19"/>
  <c r="F277" i="19"/>
  <c r="E277" i="19"/>
  <c r="D277" i="19"/>
  <c r="C277" i="19"/>
  <c r="S276" i="19"/>
  <c r="R276" i="19"/>
  <c r="Q276" i="19"/>
  <c r="P276" i="19"/>
  <c r="O276" i="19"/>
  <c r="N276" i="19"/>
  <c r="M276" i="19"/>
  <c r="L276" i="19"/>
  <c r="K276" i="19"/>
  <c r="J276" i="19"/>
  <c r="I276" i="19"/>
  <c r="H276" i="19"/>
  <c r="G276" i="19"/>
  <c r="F276" i="19"/>
  <c r="E276" i="19"/>
  <c r="D276" i="19"/>
  <c r="C276" i="19"/>
  <c r="S275" i="19"/>
  <c r="R275" i="19"/>
  <c r="Q275" i="19"/>
  <c r="P275" i="19"/>
  <c r="O275" i="19"/>
  <c r="N275" i="19"/>
  <c r="M275" i="19"/>
  <c r="L275" i="19"/>
  <c r="K275" i="19"/>
  <c r="J275" i="19"/>
  <c r="I275" i="19"/>
  <c r="H275" i="19"/>
  <c r="G275" i="19"/>
  <c r="F275" i="19"/>
  <c r="E275" i="19"/>
  <c r="D275" i="19"/>
  <c r="C275" i="19"/>
  <c r="S274" i="19"/>
  <c r="R274" i="19"/>
  <c r="Q274" i="19"/>
  <c r="P274" i="19"/>
  <c r="O274" i="19"/>
  <c r="N274" i="19"/>
  <c r="M274" i="19"/>
  <c r="L274" i="19"/>
  <c r="K274" i="19"/>
  <c r="J274" i="19"/>
  <c r="I274" i="19"/>
  <c r="H274" i="19"/>
  <c r="G274" i="19"/>
  <c r="F274" i="19"/>
  <c r="E274" i="19"/>
  <c r="D274" i="19"/>
  <c r="C274" i="19"/>
  <c r="S273" i="19"/>
  <c r="R273" i="19"/>
  <c r="Q273" i="19"/>
  <c r="P273" i="19"/>
  <c r="O273" i="19"/>
  <c r="N273" i="19"/>
  <c r="M273" i="19"/>
  <c r="L273" i="19"/>
  <c r="K273" i="19"/>
  <c r="J273" i="19"/>
  <c r="I273" i="19"/>
  <c r="H273" i="19"/>
  <c r="G273" i="19"/>
  <c r="F273" i="19"/>
  <c r="E273" i="19"/>
  <c r="D273" i="19"/>
  <c r="C273" i="19"/>
  <c r="S272" i="19"/>
  <c r="R272" i="19"/>
  <c r="Q272" i="19"/>
  <c r="P272" i="19"/>
  <c r="O272" i="19"/>
  <c r="N272" i="19"/>
  <c r="M272" i="19"/>
  <c r="L272" i="19"/>
  <c r="K272" i="19"/>
  <c r="J272" i="19"/>
  <c r="I272" i="19"/>
  <c r="H272" i="19"/>
  <c r="G272" i="19"/>
  <c r="F272" i="19"/>
  <c r="E272" i="19"/>
  <c r="D272" i="19"/>
  <c r="C272" i="19"/>
  <c r="S271" i="19"/>
  <c r="R271" i="19"/>
  <c r="Q271" i="19"/>
  <c r="P271" i="19"/>
  <c r="O271" i="19"/>
  <c r="N271" i="19"/>
  <c r="M271" i="19"/>
  <c r="L271" i="19"/>
  <c r="K271" i="19"/>
  <c r="J271" i="19"/>
  <c r="I271" i="19"/>
  <c r="H271" i="19"/>
  <c r="G271" i="19"/>
  <c r="F271" i="19"/>
  <c r="E271" i="19"/>
  <c r="D271" i="19"/>
  <c r="C271" i="19"/>
  <c r="S270" i="19"/>
  <c r="R270" i="19"/>
  <c r="Q270" i="19"/>
  <c r="P270" i="19"/>
  <c r="O270" i="19"/>
  <c r="N270" i="19"/>
  <c r="M270" i="19"/>
  <c r="L270" i="19"/>
  <c r="K270" i="19"/>
  <c r="J270" i="19"/>
  <c r="I270" i="19"/>
  <c r="H270" i="19"/>
  <c r="G270" i="19"/>
  <c r="F270" i="19"/>
  <c r="E270" i="19"/>
  <c r="D270" i="19"/>
  <c r="C270" i="19"/>
  <c r="S269" i="19"/>
  <c r="R269" i="19"/>
  <c r="Q269" i="19"/>
  <c r="P269" i="19"/>
  <c r="O269" i="19"/>
  <c r="N269" i="19"/>
  <c r="M269" i="19"/>
  <c r="L269" i="19"/>
  <c r="K269" i="19"/>
  <c r="J269" i="19"/>
  <c r="I269" i="19"/>
  <c r="H269" i="19"/>
  <c r="G269" i="19"/>
  <c r="F269" i="19"/>
  <c r="E269" i="19"/>
  <c r="D269" i="19"/>
  <c r="C269" i="19"/>
  <c r="S268" i="19"/>
  <c r="R268" i="19"/>
  <c r="Q268" i="19"/>
  <c r="P268" i="19"/>
  <c r="O268" i="19"/>
  <c r="N268" i="19"/>
  <c r="M268" i="19"/>
  <c r="L268" i="19"/>
  <c r="K268" i="19"/>
  <c r="J268" i="19"/>
  <c r="I268" i="19"/>
  <c r="H268" i="19"/>
  <c r="G268" i="19"/>
  <c r="F268" i="19"/>
  <c r="E268" i="19"/>
  <c r="D268" i="19"/>
  <c r="C268" i="19"/>
  <c r="S267" i="19"/>
  <c r="R267" i="19"/>
  <c r="Q267" i="19"/>
  <c r="P267" i="19"/>
  <c r="O267" i="19"/>
  <c r="N267" i="19"/>
  <c r="M267" i="19"/>
  <c r="L267" i="19"/>
  <c r="K267" i="19"/>
  <c r="J267" i="19"/>
  <c r="I267" i="19"/>
  <c r="H267" i="19"/>
  <c r="G267" i="19"/>
  <c r="F267" i="19"/>
  <c r="E267" i="19"/>
  <c r="D267" i="19"/>
  <c r="C267" i="19"/>
  <c r="S266" i="19"/>
  <c r="R266" i="19"/>
  <c r="Q266" i="19"/>
  <c r="P266" i="19"/>
  <c r="O266" i="19"/>
  <c r="N266" i="19"/>
  <c r="M266" i="19"/>
  <c r="L266" i="19"/>
  <c r="K266" i="19"/>
  <c r="J266" i="19"/>
  <c r="I266" i="19"/>
  <c r="H266" i="19"/>
  <c r="G266" i="19"/>
  <c r="F266" i="19"/>
  <c r="E266" i="19"/>
  <c r="D266" i="19"/>
  <c r="C266" i="19"/>
  <c r="S265" i="19"/>
  <c r="R265" i="19"/>
  <c r="Q265" i="19"/>
  <c r="P265" i="19"/>
  <c r="O265" i="19"/>
  <c r="N265" i="19"/>
  <c r="M265" i="19"/>
  <c r="L265" i="19"/>
  <c r="K265" i="19"/>
  <c r="J265" i="19"/>
  <c r="I265" i="19"/>
  <c r="H265" i="19"/>
  <c r="G265" i="19"/>
  <c r="F265" i="19"/>
  <c r="E265" i="19"/>
  <c r="D265" i="19"/>
  <c r="C265" i="19"/>
  <c r="S264" i="19"/>
  <c r="R264" i="19"/>
  <c r="Q264" i="19"/>
  <c r="P264" i="19"/>
  <c r="O264" i="19"/>
  <c r="N264" i="19"/>
  <c r="M264" i="19"/>
  <c r="L264" i="19"/>
  <c r="K264" i="19"/>
  <c r="J264" i="19"/>
  <c r="I264" i="19"/>
  <c r="H264" i="19"/>
  <c r="G264" i="19"/>
  <c r="F264" i="19"/>
  <c r="E264" i="19"/>
  <c r="D264" i="19"/>
  <c r="C264" i="19"/>
  <c r="S263" i="19"/>
  <c r="R263" i="19"/>
  <c r="Q263" i="19"/>
  <c r="P263" i="19"/>
  <c r="O263" i="19"/>
  <c r="N263" i="19"/>
  <c r="M263" i="19"/>
  <c r="L263" i="19"/>
  <c r="K263" i="19"/>
  <c r="J263" i="19"/>
  <c r="I263" i="19"/>
  <c r="H263" i="19"/>
  <c r="G263" i="19"/>
  <c r="F263" i="19"/>
  <c r="E263" i="19"/>
  <c r="D263" i="19"/>
  <c r="C263" i="19"/>
  <c r="S262" i="19"/>
  <c r="R262" i="19"/>
  <c r="Q262" i="19"/>
  <c r="P262" i="19"/>
  <c r="O262" i="19"/>
  <c r="N262" i="19"/>
  <c r="M262" i="19"/>
  <c r="L262" i="19"/>
  <c r="K262" i="19"/>
  <c r="J262" i="19"/>
  <c r="I262" i="19"/>
  <c r="H262" i="19"/>
  <c r="G262" i="19"/>
  <c r="F262" i="19"/>
  <c r="E262" i="19"/>
  <c r="D262" i="19"/>
  <c r="C262" i="19"/>
  <c r="S261" i="19"/>
  <c r="R261" i="19"/>
  <c r="Q261" i="19"/>
  <c r="P261" i="19"/>
  <c r="O261" i="19"/>
  <c r="N261" i="19"/>
  <c r="M261" i="19"/>
  <c r="L261" i="19"/>
  <c r="K261" i="19"/>
  <c r="J261" i="19"/>
  <c r="I261" i="19"/>
  <c r="H261" i="19"/>
  <c r="G261" i="19"/>
  <c r="F261" i="19"/>
  <c r="E261" i="19"/>
  <c r="D261" i="19"/>
  <c r="C261" i="19"/>
  <c r="S260" i="19"/>
  <c r="R260" i="19"/>
  <c r="Q260" i="19"/>
  <c r="P260" i="19"/>
  <c r="O260" i="19"/>
  <c r="N260" i="19"/>
  <c r="M260" i="19"/>
  <c r="L260" i="19"/>
  <c r="K260" i="19"/>
  <c r="J260" i="19"/>
  <c r="I260" i="19"/>
  <c r="H260" i="19"/>
  <c r="G260" i="19"/>
  <c r="F260" i="19"/>
  <c r="E260" i="19"/>
  <c r="D260" i="19"/>
  <c r="C260" i="19"/>
  <c r="S259" i="19"/>
  <c r="R259" i="19"/>
  <c r="Q259" i="19"/>
  <c r="P259" i="19"/>
  <c r="O259" i="19"/>
  <c r="N259" i="19"/>
  <c r="M259" i="19"/>
  <c r="L259" i="19"/>
  <c r="K259" i="19"/>
  <c r="J259" i="19"/>
  <c r="I259" i="19"/>
  <c r="H259" i="19"/>
  <c r="G259" i="19"/>
  <c r="F259" i="19"/>
  <c r="E259" i="19"/>
  <c r="D259" i="19"/>
  <c r="C259" i="19"/>
  <c r="S258" i="19"/>
  <c r="R258" i="19"/>
  <c r="Q258" i="19"/>
  <c r="P258" i="19"/>
  <c r="O258" i="19"/>
  <c r="N258" i="19"/>
  <c r="M258" i="19"/>
  <c r="L258" i="19"/>
  <c r="K258" i="19"/>
  <c r="J258" i="19"/>
  <c r="I258" i="19"/>
  <c r="H258" i="19"/>
  <c r="G258" i="19"/>
  <c r="F258" i="19"/>
  <c r="E258" i="19"/>
  <c r="D258" i="19"/>
  <c r="C258" i="19"/>
  <c r="S257" i="19"/>
  <c r="R257" i="19"/>
  <c r="Q257" i="19"/>
  <c r="P257" i="19"/>
  <c r="O257" i="19"/>
  <c r="N257" i="19"/>
  <c r="M257" i="19"/>
  <c r="L257" i="19"/>
  <c r="K257" i="19"/>
  <c r="J257" i="19"/>
  <c r="I257" i="19"/>
  <c r="H257" i="19"/>
  <c r="G257" i="19"/>
  <c r="F257" i="19"/>
  <c r="E257" i="19"/>
  <c r="D257" i="19"/>
  <c r="C257" i="19"/>
  <c r="S256" i="19"/>
  <c r="R256" i="19"/>
  <c r="Q256" i="19"/>
  <c r="P256" i="19"/>
  <c r="O256" i="19"/>
  <c r="N256" i="19"/>
  <c r="M256" i="19"/>
  <c r="L256" i="19"/>
  <c r="K256" i="19"/>
  <c r="J256" i="19"/>
  <c r="I256" i="19"/>
  <c r="H256" i="19"/>
  <c r="G256" i="19"/>
  <c r="F256" i="19"/>
  <c r="E256" i="19"/>
  <c r="D256" i="19"/>
  <c r="C256" i="19"/>
  <c r="S255" i="19"/>
  <c r="R255" i="19"/>
  <c r="Q255" i="19"/>
  <c r="P255" i="19"/>
  <c r="O255" i="19"/>
  <c r="N255" i="19"/>
  <c r="M255" i="19"/>
  <c r="L255" i="19"/>
  <c r="K255" i="19"/>
  <c r="J255" i="19"/>
  <c r="I255" i="19"/>
  <c r="H255" i="19"/>
  <c r="G255" i="19"/>
  <c r="F255" i="19"/>
  <c r="E255" i="19"/>
  <c r="D255" i="19"/>
  <c r="C255" i="19"/>
  <c r="S254" i="19"/>
  <c r="R254" i="19"/>
  <c r="Q254" i="19"/>
  <c r="P254" i="19"/>
  <c r="O254" i="19"/>
  <c r="N254" i="19"/>
  <c r="M254" i="19"/>
  <c r="L254" i="19"/>
  <c r="K254" i="19"/>
  <c r="J254" i="19"/>
  <c r="I254" i="19"/>
  <c r="H254" i="19"/>
  <c r="G254" i="19"/>
  <c r="F254" i="19"/>
  <c r="E254" i="19"/>
  <c r="D254" i="19"/>
  <c r="C254" i="19"/>
  <c r="S253" i="19"/>
  <c r="R253" i="19"/>
  <c r="Q253" i="19"/>
  <c r="P253" i="19"/>
  <c r="O253" i="19"/>
  <c r="N253" i="19"/>
  <c r="M253" i="19"/>
  <c r="L253" i="19"/>
  <c r="K253" i="19"/>
  <c r="J253" i="19"/>
  <c r="I253" i="19"/>
  <c r="H253" i="19"/>
  <c r="G253" i="19"/>
  <c r="F253" i="19"/>
  <c r="E253" i="19"/>
  <c r="D253" i="19"/>
  <c r="C253" i="19"/>
  <c r="S252" i="19"/>
  <c r="R252" i="19"/>
  <c r="Q252" i="19"/>
  <c r="P252" i="19"/>
  <c r="O252" i="19"/>
  <c r="N252" i="19"/>
  <c r="M252" i="19"/>
  <c r="L252" i="19"/>
  <c r="K252" i="19"/>
  <c r="J252" i="19"/>
  <c r="I252" i="19"/>
  <c r="H252" i="19"/>
  <c r="G252" i="19"/>
  <c r="F252" i="19"/>
  <c r="E252" i="19"/>
  <c r="D252" i="19"/>
  <c r="C252" i="19"/>
  <c r="S251" i="19"/>
  <c r="R251" i="19"/>
  <c r="Q251" i="19"/>
  <c r="P251" i="19"/>
  <c r="O251" i="19"/>
  <c r="N251" i="19"/>
  <c r="M251" i="19"/>
  <c r="L251" i="19"/>
  <c r="K251" i="19"/>
  <c r="J251" i="19"/>
  <c r="I251" i="19"/>
  <c r="H251" i="19"/>
  <c r="G251" i="19"/>
  <c r="F251" i="19"/>
  <c r="E251" i="19"/>
  <c r="D251" i="19"/>
  <c r="C251" i="19"/>
  <c r="S250" i="19"/>
  <c r="R250" i="19"/>
  <c r="Q250" i="19"/>
  <c r="P250" i="19"/>
  <c r="O250" i="19"/>
  <c r="N250" i="19"/>
  <c r="M250" i="19"/>
  <c r="L250" i="19"/>
  <c r="K250" i="19"/>
  <c r="J250" i="19"/>
  <c r="I250" i="19"/>
  <c r="H250" i="19"/>
  <c r="G250" i="19"/>
  <c r="F250" i="19"/>
  <c r="E250" i="19"/>
  <c r="D250" i="19"/>
  <c r="C250" i="19"/>
  <c r="S249" i="19"/>
  <c r="R249" i="19"/>
  <c r="Q249" i="19"/>
  <c r="P249" i="19"/>
  <c r="O249" i="19"/>
  <c r="N249" i="19"/>
  <c r="M249" i="19"/>
  <c r="L249" i="19"/>
  <c r="K249" i="19"/>
  <c r="J249" i="19"/>
  <c r="I249" i="19"/>
  <c r="H249" i="19"/>
  <c r="G249" i="19"/>
  <c r="F249" i="19"/>
  <c r="E249" i="19"/>
  <c r="D249" i="19"/>
  <c r="C249" i="19"/>
  <c r="S248" i="19"/>
  <c r="R248" i="19"/>
  <c r="Q248" i="19"/>
  <c r="P248" i="19"/>
  <c r="O248" i="19"/>
  <c r="N248" i="19"/>
  <c r="M248" i="19"/>
  <c r="L248" i="19"/>
  <c r="K248" i="19"/>
  <c r="J248" i="19"/>
  <c r="I248" i="19"/>
  <c r="H248" i="19"/>
  <c r="G248" i="19"/>
  <c r="F248" i="19"/>
  <c r="E248" i="19"/>
  <c r="D248" i="19"/>
  <c r="C248" i="19"/>
  <c r="S247" i="19"/>
  <c r="R247" i="19"/>
  <c r="Q247" i="19"/>
  <c r="P247" i="19"/>
  <c r="O247" i="19"/>
  <c r="N247" i="19"/>
  <c r="M247" i="19"/>
  <c r="L247" i="19"/>
  <c r="K247" i="19"/>
  <c r="J247" i="19"/>
  <c r="I247" i="19"/>
  <c r="H247" i="19"/>
  <c r="G247" i="19"/>
  <c r="F247" i="19"/>
  <c r="E247" i="19"/>
  <c r="D247" i="19"/>
  <c r="C247" i="19"/>
  <c r="S246" i="19"/>
  <c r="R246" i="19"/>
  <c r="Q246" i="19"/>
  <c r="P246" i="19"/>
  <c r="O246" i="19"/>
  <c r="N246" i="19"/>
  <c r="M246" i="19"/>
  <c r="L246" i="19"/>
  <c r="K246" i="19"/>
  <c r="J246" i="19"/>
  <c r="I246" i="19"/>
  <c r="H246" i="19"/>
  <c r="G246" i="19"/>
  <c r="F246" i="19"/>
  <c r="E246" i="19"/>
  <c r="D246" i="19"/>
  <c r="C246" i="19"/>
  <c r="S245" i="19"/>
  <c r="R245" i="19"/>
  <c r="Q245" i="19"/>
  <c r="P245" i="19"/>
  <c r="O245" i="19"/>
  <c r="N245" i="19"/>
  <c r="M245" i="19"/>
  <c r="L245" i="19"/>
  <c r="K245" i="19"/>
  <c r="J245" i="19"/>
  <c r="I245" i="19"/>
  <c r="H245" i="19"/>
  <c r="G245" i="19"/>
  <c r="F245" i="19"/>
  <c r="E245" i="19"/>
  <c r="D245" i="19"/>
  <c r="C245" i="19"/>
  <c r="S244" i="19"/>
  <c r="R244" i="19"/>
  <c r="Q244" i="19"/>
  <c r="P244" i="19"/>
  <c r="O244" i="19"/>
  <c r="N244" i="19"/>
  <c r="M244" i="19"/>
  <c r="L244" i="19"/>
  <c r="K244" i="19"/>
  <c r="J244" i="19"/>
  <c r="I244" i="19"/>
  <c r="H244" i="19"/>
  <c r="G244" i="19"/>
  <c r="F244" i="19"/>
  <c r="E244" i="19"/>
  <c r="D244" i="19"/>
  <c r="C244" i="19"/>
  <c r="S243" i="19"/>
  <c r="R243" i="19"/>
  <c r="Q243" i="19"/>
  <c r="P243" i="19"/>
  <c r="O243" i="19"/>
  <c r="N243" i="19"/>
  <c r="M243" i="19"/>
  <c r="L243" i="19"/>
  <c r="K243" i="19"/>
  <c r="J243" i="19"/>
  <c r="I243" i="19"/>
  <c r="H243" i="19"/>
  <c r="G243" i="19"/>
  <c r="F243" i="19"/>
  <c r="E243" i="19"/>
  <c r="D243" i="19"/>
  <c r="C243" i="19"/>
  <c r="S242" i="19"/>
  <c r="R242" i="19"/>
  <c r="Q242" i="19"/>
  <c r="P242" i="19"/>
  <c r="O242" i="19"/>
  <c r="N242" i="19"/>
  <c r="M242" i="19"/>
  <c r="L242" i="19"/>
  <c r="K242" i="19"/>
  <c r="J242" i="19"/>
  <c r="I242" i="19"/>
  <c r="H242" i="19"/>
  <c r="G242" i="19"/>
  <c r="F242" i="19"/>
  <c r="E242" i="19"/>
  <c r="D242" i="19"/>
  <c r="C242" i="19"/>
  <c r="S241" i="19"/>
  <c r="R241" i="19"/>
  <c r="Q241" i="19"/>
  <c r="P241" i="19"/>
  <c r="O241" i="19"/>
  <c r="N241" i="19"/>
  <c r="M241" i="19"/>
  <c r="L241" i="19"/>
  <c r="K241" i="19"/>
  <c r="J241" i="19"/>
  <c r="I241" i="19"/>
  <c r="H241" i="19"/>
  <c r="G241" i="19"/>
  <c r="F241" i="19"/>
  <c r="E241" i="19"/>
  <c r="D241" i="19"/>
  <c r="C241" i="19"/>
  <c r="S240" i="19"/>
  <c r="R240" i="19"/>
  <c r="Q240" i="19"/>
  <c r="P240" i="19"/>
  <c r="O240" i="19"/>
  <c r="N240" i="19"/>
  <c r="M240" i="19"/>
  <c r="L240" i="19"/>
  <c r="K240" i="19"/>
  <c r="J240" i="19"/>
  <c r="I240" i="19"/>
  <c r="H240" i="19"/>
  <c r="G240" i="19"/>
  <c r="F240" i="19"/>
  <c r="E240" i="19"/>
  <c r="D240" i="19"/>
  <c r="C240" i="19"/>
  <c r="S239" i="19"/>
  <c r="R239" i="19"/>
  <c r="Q239" i="19"/>
  <c r="P239" i="19"/>
  <c r="O239" i="19"/>
  <c r="N239" i="19"/>
  <c r="M239" i="19"/>
  <c r="L239" i="19"/>
  <c r="K239" i="19"/>
  <c r="J239" i="19"/>
  <c r="I239" i="19"/>
  <c r="H239" i="19"/>
  <c r="G239" i="19"/>
  <c r="F239" i="19"/>
  <c r="E239" i="19"/>
  <c r="D239" i="19"/>
  <c r="C239" i="19"/>
  <c r="S238" i="19"/>
  <c r="R238" i="19"/>
  <c r="Q238" i="19"/>
  <c r="P238" i="19"/>
  <c r="O238" i="19"/>
  <c r="N238" i="19"/>
  <c r="M238" i="19"/>
  <c r="L238" i="19"/>
  <c r="K238" i="19"/>
  <c r="J238" i="19"/>
  <c r="I238" i="19"/>
  <c r="H238" i="19"/>
  <c r="G238" i="19"/>
  <c r="F238" i="19"/>
  <c r="E238" i="19"/>
  <c r="D238" i="19"/>
  <c r="C238" i="19"/>
  <c r="S237" i="19"/>
  <c r="R237" i="19"/>
  <c r="Q237" i="19"/>
  <c r="P237" i="19"/>
  <c r="O237" i="19"/>
  <c r="N237" i="19"/>
  <c r="M237" i="19"/>
  <c r="L237" i="19"/>
  <c r="K237" i="19"/>
  <c r="J237" i="19"/>
  <c r="I237" i="19"/>
  <c r="H237" i="19"/>
  <c r="G237" i="19"/>
  <c r="F237" i="19"/>
  <c r="E237" i="19"/>
  <c r="D237" i="19"/>
  <c r="C237" i="19"/>
  <c r="S236" i="19"/>
  <c r="R236" i="19"/>
  <c r="Q236" i="19"/>
  <c r="P236" i="19"/>
  <c r="O236" i="19"/>
  <c r="N236" i="19"/>
  <c r="M236" i="19"/>
  <c r="L236" i="19"/>
  <c r="K236" i="19"/>
  <c r="J236" i="19"/>
  <c r="I236" i="19"/>
  <c r="H236" i="19"/>
  <c r="G236" i="19"/>
  <c r="F236" i="19"/>
  <c r="E236" i="19"/>
  <c r="D236" i="19"/>
  <c r="C236" i="19"/>
  <c r="S235" i="19"/>
  <c r="R235" i="19"/>
  <c r="Q235" i="19"/>
  <c r="P235" i="19"/>
  <c r="O235" i="19"/>
  <c r="N235" i="19"/>
  <c r="M235" i="19"/>
  <c r="L235" i="19"/>
  <c r="K235" i="19"/>
  <c r="J235" i="19"/>
  <c r="I235" i="19"/>
  <c r="H235" i="19"/>
  <c r="G235" i="19"/>
  <c r="F235" i="19"/>
  <c r="E235" i="19"/>
  <c r="D235" i="19"/>
  <c r="C235" i="19"/>
  <c r="S234" i="19"/>
  <c r="R234" i="19"/>
  <c r="Q234" i="19"/>
  <c r="P234" i="19"/>
  <c r="O234" i="19"/>
  <c r="N234" i="19"/>
  <c r="M234" i="19"/>
  <c r="L234" i="19"/>
  <c r="K234" i="19"/>
  <c r="J234" i="19"/>
  <c r="I234" i="19"/>
  <c r="H234" i="19"/>
  <c r="G234" i="19"/>
  <c r="F234" i="19"/>
  <c r="E234" i="19"/>
  <c r="D234" i="19"/>
  <c r="C234" i="19"/>
  <c r="S233" i="19"/>
  <c r="R233" i="19"/>
  <c r="Q233" i="19"/>
  <c r="P233" i="19"/>
  <c r="O233" i="19"/>
  <c r="N233" i="19"/>
  <c r="M233" i="19"/>
  <c r="L233" i="19"/>
  <c r="K233" i="19"/>
  <c r="J233" i="19"/>
  <c r="I233" i="19"/>
  <c r="H233" i="19"/>
  <c r="G233" i="19"/>
  <c r="F233" i="19"/>
  <c r="E233" i="19"/>
  <c r="D233" i="19"/>
  <c r="C233" i="19"/>
  <c r="S232" i="19"/>
  <c r="R232" i="19"/>
  <c r="Q232" i="19"/>
  <c r="P232" i="19"/>
  <c r="O232" i="19"/>
  <c r="N232" i="19"/>
  <c r="M232" i="19"/>
  <c r="L232" i="19"/>
  <c r="K232" i="19"/>
  <c r="J232" i="19"/>
  <c r="I232" i="19"/>
  <c r="H232" i="19"/>
  <c r="G232" i="19"/>
  <c r="F232" i="19"/>
  <c r="E232" i="19"/>
  <c r="D232" i="19"/>
  <c r="C232" i="19"/>
  <c r="S231" i="19"/>
  <c r="R231" i="19"/>
  <c r="Q231" i="19"/>
  <c r="P231" i="19"/>
  <c r="O231" i="19"/>
  <c r="N231" i="19"/>
  <c r="M231" i="19"/>
  <c r="L231" i="19"/>
  <c r="K231" i="19"/>
  <c r="J231" i="19"/>
  <c r="I231" i="19"/>
  <c r="H231" i="19"/>
  <c r="G231" i="19"/>
  <c r="F231" i="19"/>
  <c r="E231" i="19"/>
  <c r="D231" i="19"/>
  <c r="C231" i="19"/>
  <c r="S230" i="19"/>
  <c r="R230" i="19"/>
  <c r="Q230" i="19"/>
  <c r="P230" i="19"/>
  <c r="O230" i="19"/>
  <c r="N230" i="19"/>
  <c r="M230" i="19"/>
  <c r="L230" i="19"/>
  <c r="K230" i="19"/>
  <c r="J230" i="19"/>
  <c r="I230" i="19"/>
  <c r="H230" i="19"/>
  <c r="G230" i="19"/>
  <c r="F230" i="19"/>
  <c r="E230" i="19"/>
  <c r="D230" i="19"/>
  <c r="C230" i="19"/>
  <c r="S229" i="19"/>
  <c r="R229" i="19"/>
  <c r="Q229" i="19"/>
  <c r="P229" i="19"/>
  <c r="O229" i="19"/>
  <c r="N229" i="19"/>
  <c r="M229" i="19"/>
  <c r="L229" i="19"/>
  <c r="K229" i="19"/>
  <c r="J229" i="19"/>
  <c r="I229" i="19"/>
  <c r="H229" i="19"/>
  <c r="G229" i="19"/>
  <c r="F229" i="19"/>
  <c r="E229" i="19"/>
  <c r="D229" i="19"/>
  <c r="C229" i="19"/>
  <c r="S228" i="19"/>
  <c r="R228" i="19"/>
  <c r="Q228" i="19"/>
  <c r="P228" i="19"/>
  <c r="O228" i="19"/>
  <c r="N228" i="19"/>
  <c r="M228" i="19"/>
  <c r="L228" i="19"/>
  <c r="K228" i="19"/>
  <c r="J228" i="19"/>
  <c r="I228" i="19"/>
  <c r="H228" i="19"/>
  <c r="G228" i="19"/>
  <c r="F228" i="19"/>
  <c r="E228" i="19"/>
  <c r="D228" i="19"/>
  <c r="C228" i="19"/>
  <c r="S227" i="19"/>
  <c r="R227" i="19"/>
  <c r="Q227" i="19"/>
  <c r="P227" i="19"/>
  <c r="O227" i="19"/>
  <c r="N227" i="19"/>
  <c r="M227" i="19"/>
  <c r="L227" i="19"/>
  <c r="K227" i="19"/>
  <c r="J227" i="19"/>
  <c r="I227" i="19"/>
  <c r="H227" i="19"/>
  <c r="G227" i="19"/>
  <c r="F227" i="19"/>
  <c r="E227" i="19"/>
  <c r="D227" i="19"/>
  <c r="C227" i="19"/>
  <c r="S226" i="19"/>
  <c r="R226" i="19"/>
  <c r="Q226" i="19"/>
  <c r="P226" i="19"/>
  <c r="O226" i="19"/>
  <c r="N226" i="19"/>
  <c r="M226" i="19"/>
  <c r="L226" i="19"/>
  <c r="K226" i="19"/>
  <c r="J226" i="19"/>
  <c r="I226" i="19"/>
  <c r="H226" i="19"/>
  <c r="G226" i="19"/>
  <c r="F226" i="19"/>
  <c r="E226" i="19"/>
  <c r="D226" i="19"/>
  <c r="C226" i="19"/>
  <c r="S225" i="19"/>
  <c r="R225" i="19"/>
  <c r="Q225" i="19"/>
  <c r="P225" i="19"/>
  <c r="O225" i="19"/>
  <c r="N225" i="19"/>
  <c r="M225" i="19"/>
  <c r="L225" i="19"/>
  <c r="K225" i="19"/>
  <c r="J225" i="19"/>
  <c r="I225" i="19"/>
  <c r="H225" i="19"/>
  <c r="G225" i="19"/>
  <c r="F225" i="19"/>
  <c r="E225" i="19"/>
  <c r="D225" i="19"/>
  <c r="C225" i="19"/>
  <c r="AK224" i="19"/>
  <c r="S223" i="19" s="1"/>
  <c r="AJ224" i="19"/>
  <c r="R223" i="19" s="1"/>
  <c r="AI224" i="19"/>
  <c r="Q224" i="19" s="1"/>
  <c r="AH224" i="19"/>
  <c r="P221" i="19" s="1"/>
  <c r="AG224" i="19"/>
  <c r="AF224" i="19"/>
  <c r="N224" i="19" s="1"/>
  <c r="AE224" i="19"/>
  <c r="AD224" i="19"/>
  <c r="AC224" i="19"/>
  <c r="AB224" i="19"/>
  <c r="AA224" i="19"/>
  <c r="I224" i="19" s="1"/>
  <c r="Z224" i="19"/>
  <c r="Y224" i="19"/>
  <c r="X224" i="19"/>
  <c r="F222" i="19" s="1"/>
  <c r="W224" i="19"/>
  <c r="E224" i="19" s="1"/>
  <c r="V224" i="19"/>
  <c r="D224" i="19" s="1"/>
  <c r="U224" i="19"/>
  <c r="J224" i="19"/>
  <c r="AK223" i="19"/>
  <c r="AJ223" i="19"/>
  <c r="AI223" i="19"/>
  <c r="AH223" i="19"/>
  <c r="AG223" i="19"/>
  <c r="AF223" i="19"/>
  <c r="AE223" i="19"/>
  <c r="AD223" i="19"/>
  <c r="AC223" i="19"/>
  <c r="AB223" i="19"/>
  <c r="AA223" i="19"/>
  <c r="Z223" i="19"/>
  <c r="Y223" i="19"/>
  <c r="X223" i="19"/>
  <c r="W223" i="19"/>
  <c r="V223" i="19"/>
  <c r="U223" i="19"/>
  <c r="P223" i="19"/>
  <c r="AK222" i="19"/>
  <c r="AJ222" i="19"/>
  <c r="AI222" i="19"/>
  <c r="AH222" i="19"/>
  <c r="AG222" i="19"/>
  <c r="AF222" i="19"/>
  <c r="AE222" i="19"/>
  <c r="AD222" i="19"/>
  <c r="L222" i="19" s="1"/>
  <c r="AC222" i="19"/>
  <c r="AB222" i="19"/>
  <c r="AA222" i="19"/>
  <c r="Z222" i="19"/>
  <c r="Y222" i="19"/>
  <c r="X222" i="19"/>
  <c r="W222" i="19"/>
  <c r="V222" i="19"/>
  <c r="U222" i="19"/>
  <c r="AK221" i="19"/>
  <c r="AJ221" i="19"/>
  <c r="AI221" i="19"/>
  <c r="AH221" i="19"/>
  <c r="AG221" i="19"/>
  <c r="AF221" i="19"/>
  <c r="AE221" i="19"/>
  <c r="M221" i="19" s="1"/>
  <c r="AD221" i="19"/>
  <c r="AC221" i="19"/>
  <c r="AB221" i="19"/>
  <c r="AA221" i="19"/>
  <c r="Z221" i="19"/>
  <c r="Y221" i="19"/>
  <c r="X221" i="19"/>
  <c r="W221" i="19"/>
  <c r="V221" i="19"/>
  <c r="D221" i="19" s="1"/>
  <c r="U221" i="19"/>
  <c r="AK220" i="19"/>
  <c r="AJ220" i="19"/>
  <c r="AI220" i="19"/>
  <c r="AH220" i="19"/>
  <c r="AG220" i="19"/>
  <c r="AF220" i="19"/>
  <c r="AE220" i="19"/>
  <c r="AD220" i="19"/>
  <c r="AC220" i="19"/>
  <c r="AB220" i="19"/>
  <c r="AA220" i="19"/>
  <c r="Z220" i="19"/>
  <c r="Y220" i="19"/>
  <c r="X220" i="19"/>
  <c r="W220" i="19"/>
  <c r="V220" i="19"/>
  <c r="U220" i="19"/>
  <c r="S220" i="19"/>
  <c r="R220" i="19"/>
  <c r="N220" i="19"/>
  <c r="AK219" i="19"/>
  <c r="AJ219" i="19"/>
  <c r="AI219" i="19"/>
  <c r="AH219" i="19"/>
  <c r="AG219" i="19"/>
  <c r="AF219" i="19"/>
  <c r="AE219" i="19"/>
  <c r="M219" i="19" s="1"/>
  <c r="AD219" i="19"/>
  <c r="AC219" i="19"/>
  <c r="AB219" i="19"/>
  <c r="AA219" i="19"/>
  <c r="Z219" i="19"/>
  <c r="Y219" i="19"/>
  <c r="X219" i="19"/>
  <c r="W219" i="19"/>
  <c r="V219" i="19"/>
  <c r="U219" i="19"/>
  <c r="S218" i="19"/>
  <c r="R218" i="19"/>
  <c r="Q218" i="19"/>
  <c r="P218" i="19"/>
  <c r="O218" i="19"/>
  <c r="N218" i="19"/>
  <c r="M218" i="19"/>
  <c r="L218" i="19"/>
  <c r="K218" i="19"/>
  <c r="J218" i="19"/>
  <c r="I218" i="19"/>
  <c r="H218" i="19"/>
  <c r="G218" i="19"/>
  <c r="F218" i="19"/>
  <c r="E218" i="19"/>
  <c r="D218" i="19"/>
  <c r="C218" i="19"/>
  <c r="S217" i="19"/>
  <c r="R217" i="19"/>
  <c r="Q217" i="19"/>
  <c r="P217" i="19"/>
  <c r="O217" i="19"/>
  <c r="N217" i="19"/>
  <c r="M217" i="19"/>
  <c r="L217" i="19"/>
  <c r="K217" i="19"/>
  <c r="J217" i="19"/>
  <c r="I217" i="19"/>
  <c r="H217" i="19"/>
  <c r="G217" i="19"/>
  <c r="F217" i="19"/>
  <c r="E217" i="19"/>
  <c r="D217" i="19"/>
  <c r="C217" i="19"/>
  <c r="S216" i="19"/>
  <c r="R216" i="19"/>
  <c r="Q216" i="19"/>
  <c r="P216" i="19"/>
  <c r="O216" i="19"/>
  <c r="N216" i="19"/>
  <c r="M216" i="19"/>
  <c r="L216" i="19"/>
  <c r="K216" i="19"/>
  <c r="J216" i="19"/>
  <c r="I216" i="19"/>
  <c r="H216" i="19"/>
  <c r="G216" i="19"/>
  <c r="F216" i="19"/>
  <c r="E216" i="19"/>
  <c r="D216" i="19"/>
  <c r="C216" i="19"/>
  <c r="S215" i="19"/>
  <c r="R215" i="19"/>
  <c r="Q215" i="19"/>
  <c r="P215" i="19"/>
  <c r="O215" i="19"/>
  <c r="N215" i="19"/>
  <c r="M215" i="19"/>
  <c r="L215" i="19"/>
  <c r="K215" i="19"/>
  <c r="J215" i="19"/>
  <c r="I215" i="19"/>
  <c r="H215" i="19"/>
  <c r="G215" i="19"/>
  <c r="F215" i="19"/>
  <c r="E215" i="19"/>
  <c r="D215" i="19"/>
  <c r="C215" i="19"/>
  <c r="S214" i="19"/>
  <c r="R214" i="19"/>
  <c r="Q214" i="19"/>
  <c r="P214" i="19"/>
  <c r="O214" i="19"/>
  <c r="N214" i="19"/>
  <c r="M214" i="19"/>
  <c r="L214" i="19"/>
  <c r="K214" i="19"/>
  <c r="J214" i="19"/>
  <c r="I214" i="19"/>
  <c r="H214" i="19"/>
  <c r="G214" i="19"/>
  <c r="F214" i="19"/>
  <c r="E214" i="19"/>
  <c r="D214" i="19"/>
  <c r="C214" i="19"/>
  <c r="S213" i="19"/>
  <c r="R213" i="19"/>
  <c r="Q213" i="19"/>
  <c r="P213" i="19"/>
  <c r="O213" i="19"/>
  <c r="N213" i="19"/>
  <c r="M213" i="19"/>
  <c r="L213" i="19"/>
  <c r="K213" i="19"/>
  <c r="J213" i="19"/>
  <c r="I213" i="19"/>
  <c r="H213" i="19"/>
  <c r="G213" i="19"/>
  <c r="F213" i="19"/>
  <c r="E213" i="19"/>
  <c r="D213" i="19"/>
  <c r="C213" i="19"/>
  <c r="S212" i="19"/>
  <c r="R212" i="19"/>
  <c r="Q212" i="19"/>
  <c r="P212" i="19"/>
  <c r="O212" i="19"/>
  <c r="N212" i="19"/>
  <c r="M212" i="19"/>
  <c r="L212" i="19"/>
  <c r="K212" i="19"/>
  <c r="J212" i="19"/>
  <c r="I212" i="19"/>
  <c r="H212" i="19"/>
  <c r="G212" i="19"/>
  <c r="F212" i="19"/>
  <c r="E212" i="19"/>
  <c r="D212" i="19"/>
  <c r="C212" i="19"/>
  <c r="S211" i="19"/>
  <c r="R211" i="19"/>
  <c r="Q211" i="19"/>
  <c r="P211" i="19"/>
  <c r="O211" i="19"/>
  <c r="N211" i="19"/>
  <c r="M211" i="19"/>
  <c r="L211" i="19"/>
  <c r="K211" i="19"/>
  <c r="J211" i="19"/>
  <c r="I211" i="19"/>
  <c r="H211" i="19"/>
  <c r="G211" i="19"/>
  <c r="F211" i="19"/>
  <c r="E211" i="19"/>
  <c r="D211" i="19"/>
  <c r="C211" i="19"/>
  <c r="S210" i="19"/>
  <c r="R210" i="19"/>
  <c r="Q210" i="19"/>
  <c r="P210" i="19"/>
  <c r="O210" i="19"/>
  <c r="N210" i="19"/>
  <c r="M210" i="19"/>
  <c r="L210" i="19"/>
  <c r="K210" i="19"/>
  <c r="J210" i="19"/>
  <c r="I210" i="19"/>
  <c r="H210" i="19"/>
  <c r="G210" i="19"/>
  <c r="F210" i="19"/>
  <c r="E210" i="19"/>
  <c r="D210" i="19"/>
  <c r="C210" i="19"/>
  <c r="S209" i="19"/>
  <c r="R209" i="19"/>
  <c r="Q209" i="19"/>
  <c r="P209" i="19"/>
  <c r="O209" i="19"/>
  <c r="N209" i="19"/>
  <c r="M209" i="19"/>
  <c r="L209" i="19"/>
  <c r="K209" i="19"/>
  <c r="J209" i="19"/>
  <c r="I209" i="19"/>
  <c r="H209" i="19"/>
  <c r="G209" i="19"/>
  <c r="F209" i="19"/>
  <c r="E209" i="19"/>
  <c r="D209" i="19"/>
  <c r="C209" i="19"/>
  <c r="S208" i="19"/>
  <c r="R208" i="19"/>
  <c r="Q208" i="19"/>
  <c r="P208" i="19"/>
  <c r="O208" i="19"/>
  <c r="N208" i="19"/>
  <c r="M208" i="19"/>
  <c r="L208" i="19"/>
  <c r="K208" i="19"/>
  <c r="J208" i="19"/>
  <c r="I208" i="19"/>
  <c r="H208" i="19"/>
  <c r="G208" i="19"/>
  <c r="F208" i="19"/>
  <c r="E208" i="19"/>
  <c r="D208" i="19"/>
  <c r="C208" i="19"/>
  <c r="S207" i="19"/>
  <c r="R207" i="19"/>
  <c r="Q207" i="19"/>
  <c r="P207" i="19"/>
  <c r="O207" i="19"/>
  <c r="N207" i="19"/>
  <c r="M207" i="19"/>
  <c r="L207" i="19"/>
  <c r="K207" i="19"/>
  <c r="J207" i="19"/>
  <c r="I207" i="19"/>
  <c r="H207" i="19"/>
  <c r="G207" i="19"/>
  <c r="F207" i="19"/>
  <c r="E207" i="19"/>
  <c r="D207" i="19"/>
  <c r="C207" i="19"/>
  <c r="S206" i="19"/>
  <c r="R206" i="19"/>
  <c r="Q206" i="19"/>
  <c r="P206" i="19"/>
  <c r="O206" i="19"/>
  <c r="N206" i="19"/>
  <c r="M206" i="19"/>
  <c r="L206" i="19"/>
  <c r="K206" i="19"/>
  <c r="J206" i="19"/>
  <c r="I206" i="19"/>
  <c r="H206" i="19"/>
  <c r="G206" i="19"/>
  <c r="F206" i="19"/>
  <c r="E206" i="19"/>
  <c r="D206" i="19"/>
  <c r="C206" i="19"/>
  <c r="S205" i="19"/>
  <c r="R205" i="19"/>
  <c r="Q205" i="19"/>
  <c r="P205" i="19"/>
  <c r="O205" i="19"/>
  <c r="N205" i="19"/>
  <c r="M205" i="19"/>
  <c r="L205" i="19"/>
  <c r="K205" i="19"/>
  <c r="J205" i="19"/>
  <c r="I205" i="19"/>
  <c r="H205" i="19"/>
  <c r="G205" i="19"/>
  <c r="F205" i="19"/>
  <c r="E205" i="19"/>
  <c r="D205" i="19"/>
  <c r="C205" i="19"/>
  <c r="S204" i="19"/>
  <c r="R204" i="19"/>
  <c r="Q204" i="19"/>
  <c r="P204" i="19"/>
  <c r="O204" i="19"/>
  <c r="N204" i="19"/>
  <c r="M204" i="19"/>
  <c r="L204" i="19"/>
  <c r="K204" i="19"/>
  <c r="J204" i="19"/>
  <c r="I204" i="19"/>
  <c r="H204" i="19"/>
  <c r="G204" i="19"/>
  <c r="F204" i="19"/>
  <c r="E204" i="19"/>
  <c r="D204" i="19"/>
  <c r="C204" i="19"/>
  <c r="S203" i="19"/>
  <c r="R203" i="19"/>
  <c r="Q203" i="19"/>
  <c r="P203" i="19"/>
  <c r="O203" i="19"/>
  <c r="N203" i="19"/>
  <c r="M203" i="19"/>
  <c r="L203" i="19"/>
  <c r="K203" i="19"/>
  <c r="J203" i="19"/>
  <c r="I203" i="19"/>
  <c r="H203" i="19"/>
  <c r="G203" i="19"/>
  <c r="F203" i="19"/>
  <c r="E203" i="19"/>
  <c r="D203" i="19"/>
  <c r="C203" i="19"/>
  <c r="S202" i="19"/>
  <c r="R202" i="19"/>
  <c r="Q202" i="19"/>
  <c r="P202" i="19"/>
  <c r="O202" i="19"/>
  <c r="N202" i="19"/>
  <c r="M202" i="19"/>
  <c r="L202" i="19"/>
  <c r="K202" i="19"/>
  <c r="J202" i="19"/>
  <c r="I202" i="19"/>
  <c r="H202" i="19"/>
  <c r="G202" i="19"/>
  <c r="F202" i="19"/>
  <c r="E202" i="19"/>
  <c r="D202" i="19"/>
  <c r="C202" i="19"/>
  <c r="S201" i="19"/>
  <c r="R201" i="19"/>
  <c r="Q201" i="19"/>
  <c r="P201" i="19"/>
  <c r="O201" i="19"/>
  <c r="N201" i="19"/>
  <c r="M201" i="19"/>
  <c r="L201" i="19"/>
  <c r="K201" i="19"/>
  <c r="J201" i="19"/>
  <c r="I201" i="19"/>
  <c r="H201" i="19"/>
  <c r="G201" i="19"/>
  <c r="F201" i="19"/>
  <c r="E201" i="19"/>
  <c r="D201" i="19"/>
  <c r="C201" i="19"/>
  <c r="S200" i="19"/>
  <c r="R200" i="19"/>
  <c r="Q200" i="19"/>
  <c r="P200" i="19"/>
  <c r="O200" i="19"/>
  <c r="N200" i="19"/>
  <c r="M200" i="19"/>
  <c r="L200" i="19"/>
  <c r="K200" i="19"/>
  <c r="J200" i="19"/>
  <c r="I200" i="19"/>
  <c r="H200" i="19"/>
  <c r="G200" i="19"/>
  <c r="F200" i="19"/>
  <c r="E200" i="19"/>
  <c r="D200" i="19"/>
  <c r="C200" i="19"/>
  <c r="S199" i="19"/>
  <c r="R199" i="19"/>
  <c r="Q199" i="19"/>
  <c r="P199" i="19"/>
  <c r="O199" i="19"/>
  <c r="N199" i="19"/>
  <c r="M199" i="19"/>
  <c r="L199" i="19"/>
  <c r="K199" i="19"/>
  <c r="J199" i="19"/>
  <c r="I199" i="19"/>
  <c r="H199" i="19"/>
  <c r="G199" i="19"/>
  <c r="F199" i="19"/>
  <c r="E199" i="19"/>
  <c r="D199" i="19"/>
  <c r="C199" i="19"/>
  <c r="S198" i="19"/>
  <c r="R198" i="19"/>
  <c r="Q198" i="19"/>
  <c r="P198" i="19"/>
  <c r="O198" i="19"/>
  <c r="N198" i="19"/>
  <c r="M198" i="19"/>
  <c r="L198" i="19"/>
  <c r="K198" i="19"/>
  <c r="J198" i="19"/>
  <c r="I198" i="19"/>
  <c r="H198" i="19"/>
  <c r="G198" i="19"/>
  <c r="F198" i="19"/>
  <c r="E198" i="19"/>
  <c r="D198" i="19"/>
  <c r="C198" i="19"/>
  <c r="S197" i="19"/>
  <c r="R197" i="19"/>
  <c r="Q197" i="19"/>
  <c r="P197" i="19"/>
  <c r="O197" i="19"/>
  <c r="N197" i="19"/>
  <c r="M197" i="19"/>
  <c r="L197" i="19"/>
  <c r="K197" i="19"/>
  <c r="J197" i="19"/>
  <c r="I197" i="19"/>
  <c r="H197" i="19"/>
  <c r="G197" i="19"/>
  <c r="F197" i="19"/>
  <c r="E197" i="19"/>
  <c r="D197" i="19"/>
  <c r="C197" i="19"/>
  <c r="S196" i="19"/>
  <c r="R196" i="19"/>
  <c r="Q196" i="19"/>
  <c r="P196" i="19"/>
  <c r="O196" i="19"/>
  <c r="N196" i="19"/>
  <c r="M196" i="19"/>
  <c r="L196" i="19"/>
  <c r="K196" i="19"/>
  <c r="J196" i="19"/>
  <c r="I196" i="19"/>
  <c r="H196" i="19"/>
  <c r="G196" i="19"/>
  <c r="F196" i="19"/>
  <c r="E196" i="19"/>
  <c r="D196" i="19"/>
  <c r="C196" i="19"/>
  <c r="S195" i="19"/>
  <c r="R195" i="19"/>
  <c r="Q195" i="19"/>
  <c r="P195" i="19"/>
  <c r="O195" i="19"/>
  <c r="N195" i="19"/>
  <c r="M195" i="19"/>
  <c r="L195" i="19"/>
  <c r="K195" i="19"/>
  <c r="J195" i="19"/>
  <c r="I195" i="19"/>
  <c r="H195" i="19"/>
  <c r="G195" i="19"/>
  <c r="F195" i="19"/>
  <c r="E195" i="19"/>
  <c r="D195" i="19"/>
  <c r="C195" i="19"/>
  <c r="S194" i="19"/>
  <c r="R194" i="19"/>
  <c r="Q194" i="19"/>
  <c r="P194" i="19"/>
  <c r="O194" i="19"/>
  <c r="N194" i="19"/>
  <c r="M194" i="19"/>
  <c r="L194" i="19"/>
  <c r="K194" i="19"/>
  <c r="J194" i="19"/>
  <c r="I194" i="19"/>
  <c r="H194" i="19"/>
  <c r="G194" i="19"/>
  <c r="F194" i="19"/>
  <c r="E194" i="19"/>
  <c r="D194" i="19"/>
  <c r="C194" i="19"/>
  <c r="S193" i="19"/>
  <c r="R193" i="19"/>
  <c r="Q193" i="19"/>
  <c r="P193" i="19"/>
  <c r="O193" i="19"/>
  <c r="N193" i="19"/>
  <c r="M193" i="19"/>
  <c r="L193" i="19"/>
  <c r="K193" i="19"/>
  <c r="J193" i="19"/>
  <c r="I193" i="19"/>
  <c r="H193" i="19"/>
  <c r="G193" i="19"/>
  <c r="F193" i="19"/>
  <c r="E193" i="19"/>
  <c r="D193" i="19"/>
  <c r="C193" i="19"/>
  <c r="S192" i="19"/>
  <c r="R192" i="19"/>
  <c r="Q192" i="19"/>
  <c r="P192" i="19"/>
  <c r="O192" i="19"/>
  <c r="N192" i="19"/>
  <c r="M192" i="19"/>
  <c r="L192" i="19"/>
  <c r="K192" i="19"/>
  <c r="J192" i="19"/>
  <c r="I192" i="19"/>
  <c r="H192" i="19"/>
  <c r="G192" i="19"/>
  <c r="F192" i="19"/>
  <c r="E192" i="19"/>
  <c r="D192" i="19"/>
  <c r="C192" i="19"/>
  <c r="S191" i="19"/>
  <c r="R191" i="19"/>
  <c r="Q191" i="19"/>
  <c r="P191" i="19"/>
  <c r="O191" i="19"/>
  <c r="N191" i="19"/>
  <c r="M191" i="19"/>
  <c r="L191" i="19"/>
  <c r="K191" i="19"/>
  <c r="J191" i="19"/>
  <c r="I191" i="19"/>
  <c r="H191" i="19"/>
  <c r="G191" i="19"/>
  <c r="F191" i="19"/>
  <c r="E191" i="19"/>
  <c r="D191" i="19"/>
  <c r="C191" i="19"/>
  <c r="S190" i="19"/>
  <c r="R190" i="19"/>
  <c r="Q190" i="19"/>
  <c r="P190" i="19"/>
  <c r="O190" i="19"/>
  <c r="N190" i="19"/>
  <c r="M190" i="19"/>
  <c r="L190" i="19"/>
  <c r="K190" i="19"/>
  <c r="J190" i="19"/>
  <c r="I190" i="19"/>
  <c r="H190" i="19"/>
  <c r="G190" i="19"/>
  <c r="F190" i="19"/>
  <c r="E190" i="19"/>
  <c r="D190" i="19"/>
  <c r="C190" i="19"/>
  <c r="S189" i="19"/>
  <c r="R189" i="19"/>
  <c r="Q189" i="19"/>
  <c r="P189" i="19"/>
  <c r="O189" i="19"/>
  <c r="N189" i="19"/>
  <c r="M189" i="19"/>
  <c r="L189" i="19"/>
  <c r="K189" i="19"/>
  <c r="J189" i="19"/>
  <c r="I189" i="19"/>
  <c r="H189" i="19"/>
  <c r="G189" i="19"/>
  <c r="F189" i="19"/>
  <c r="E189" i="19"/>
  <c r="D189" i="19"/>
  <c r="C189" i="19"/>
  <c r="S188" i="19"/>
  <c r="R188" i="19"/>
  <c r="Q188" i="19"/>
  <c r="P188" i="19"/>
  <c r="O188" i="19"/>
  <c r="N188" i="19"/>
  <c r="M188" i="19"/>
  <c r="L188" i="19"/>
  <c r="K188" i="19"/>
  <c r="J188" i="19"/>
  <c r="I188" i="19"/>
  <c r="H188" i="19"/>
  <c r="G188" i="19"/>
  <c r="F188" i="19"/>
  <c r="E188" i="19"/>
  <c r="D188" i="19"/>
  <c r="C188" i="19"/>
  <c r="S187" i="19"/>
  <c r="R187" i="19"/>
  <c r="Q187" i="19"/>
  <c r="P187" i="19"/>
  <c r="O187" i="19"/>
  <c r="N187" i="19"/>
  <c r="M187" i="19"/>
  <c r="L187" i="19"/>
  <c r="K187" i="19"/>
  <c r="J187" i="19"/>
  <c r="I187" i="19"/>
  <c r="H187" i="19"/>
  <c r="G187" i="19"/>
  <c r="F187" i="19"/>
  <c r="E187" i="19"/>
  <c r="D187" i="19"/>
  <c r="C187" i="19"/>
  <c r="S186" i="19"/>
  <c r="R186" i="19"/>
  <c r="Q186" i="19"/>
  <c r="P186" i="19"/>
  <c r="O186" i="19"/>
  <c r="N186" i="19"/>
  <c r="M186" i="19"/>
  <c r="L186" i="19"/>
  <c r="K186" i="19"/>
  <c r="J186" i="19"/>
  <c r="I186" i="19"/>
  <c r="H186" i="19"/>
  <c r="G186" i="19"/>
  <c r="F186" i="19"/>
  <c r="E186" i="19"/>
  <c r="D186" i="19"/>
  <c r="C186" i="19"/>
  <c r="S185" i="19"/>
  <c r="R185" i="19"/>
  <c r="Q185" i="19"/>
  <c r="P185" i="19"/>
  <c r="O185" i="19"/>
  <c r="N185" i="19"/>
  <c r="M185" i="19"/>
  <c r="L185" i="19"/>
  <c r="K185" i="19"/>
  <c r="J185" i="19"/>
  <c r="I185" i="19"/>
  <c r="H185" i="19"/>
  <c r="G185" i="19"/>
  <c r="F185" i="19"/>
  <c r="E185" i="19"/>
  <c r="D185" i="19"/>
  <c r="C185" i="19"/>
  <c r="S184" i="19"/>
  <c r="R184" i="19"/>
  <c r="Q184" i="19"/>
  <c r="P184" i="19"/>
  <c r="O184" i="19"/>
  <c r="N184" i="19"/>
  <c r="M184" i="19"/>
  <c r="L184" i="19"/>
  <c r="K184" i="19"/>
  <c r="J184" i="19"/>
  <c r="I184" i="19"/>
  <c r="H184" i="19"/>
  <c r="G184" i="19"/>
  <c r="F184" i="19"/>
  <c r="E184" i="19"/>
  <c r="D184" i="19"/>
  <c r="C184" i="19"/>
  <c r="S183" i="19"/>
  <c r="R183" i="19"/>
  <c r="Q183" i="19"/>
  <c r="P183" i="19"/>
  <c r="O183" i="19"/>
  <c r="N183" i="19"/>
  <c r="M183" i="19"/>
  <c r="L183" i="19"/>
  <c r="K183" i="19"/>
  <c r="J183" i="19"/>
  <c r="I183" i="19"/>
  <c r="H183" i="19"/>
  <c r="G183" i="19"/>
  <c r="F183" i="19"/>
  <c r="E183" i="19"/>
  <c r="D183" i="19"/>
  <c r="C183" i="19"/>
  <c r="S182" i="19"/>
  <c r="R182" i="19"/>
  <c r="Q182" i="19"/>
  <c r="P182" i="19"/>
  <c r="O182" i="19"/>
  <c r="N182" i="19"/>
  <c r="M182" i="19"/>
  <c r="L182" i="19"/>
  <c r="K182" i="19"/>
  <c r="J182" i="19"/>
  <c r="I182" i="19"/>
  <c r="H182" i="19"/>
  <c r="G182" i="19"/>
  <c r="F182" i="19"/>
  <c r="E182" i="19"/>
  <c r="D182" i="19"/>
  <c r="C182" i="19"/>
  <c r="S181" i="19"/>
  <c r="R181" i="19"/>
  <c r="Q181" i="19"/>
  <c r="P181" i="19"/>
  <c r="O181" i="19"/>
  <c r="N181" i="19"/>
  <c r="M181" i="19"/>
  <c r="L181" i="19"/>
  <c r="K181" i="19"/>
  <c r="J181" i="19"/>
  <c r="I181" i="19"/>
  <c r="H181" i="19"/>
  <c r="G181" i="19"/>
  <c r="F181" i="19"/>
  <c r="E181" i="19"/>
  <c r="D181" i="19"/>
  <c r="C181" i="19"/>
  <c r="S180" i="19"/>
  <c r="R180" i="19"/>
  <c r="Q180" i="19"/>
  <c r="P180" i="19"/>
  <c r="O180" i="19"/>
  <c r="N180" i="19"/>
  <c r="M180" i="19"/>
  <c r="L180" i="19"/>
  <c r="K180" i="19"/>
  <c r="J180" i="19"/>
  <c r="I180" i="19"/>
  <c r="H180" i="19"/>
  <c r="G180" i="19"/>
  <c r="F180" i="19"/>
  <c r="E180" i="19"/>
  <c r="D180" i="19"/>
  <c r="C180" i="19"/>
  <c r="S179" i="19"/>
  <c r="R179" i="19"/>
  <c r="Q179" i="19"/>
  <c r="P179" i="19"/>
  <c r="O179" i="19"/>
  <c r="N179" i="19"/>
  <c r="M179" i="19"/>
  <c r="L179" i="19"/>
  <c r="K179" i="19"/>
  <c r="J179" i="19"/>
  <c r="I179" i="19"/>
  <c r="H179" i="19"/>
  <c r="G179" i="19"/>
  <c r="F179" i="19"/>
  <c r="E179" i="19"/>
  <c r="D179" i="19"/>
  <c r="C179" i="19"/>
  <c r="S178" i="19"/>
  <c r="R178" i="19"/>
  <c r="Q178" i="19"/>
  <c r="P178" i="19"/>
  <c r="O178" i="19"/>
  <c r="N178" i="19"/>
  <c r="M178" i="19"/>
  <c r="L178" i="19"/>
  <c r="K178" i="19"/>
  <c r="J178" i="19"/>
  <c r="I178" i="19"/>
  <c r="H178" i="19"/>
  <c r="G178" i="19"/>
  <c r="F178" i="19"/>
  <c r="E178" i="19"/>
  <c r="D178" i="19"/>
  <c r="C178" i="19"/>
  <c r="S177" i="19"/>
  <c r="R177" i="19"/>
  <c r="Q177" i="19"/>
  <c r="P177" i="19"/>
  <c r="O177" i="19"/>
  <c r="N177" i="19"/>
  <c r="M177" i="19"/>
  <c r="L177" i="19"/>
  <c r="K177" i="19"/>
  <c r="J177" i="19"/>
  <c r="I177" i="19"/>
  <c r="H177" i="19"/>
  <c r="G177" i="19"/>
  <c r="F177" i="19"/>
  <c r="E177" i="19"/>
  <c r="D177" i="19"/>
  <c r="C177" i="19"/>
  <c r="S176" i="19"/>
  <c r="R176" i="19"/>
  <c r="Q176" i="19"/>
  <c r="P176" i="19"/>
  <c r="O176" i="19"/>
  <c r="N176" i="19"/>
  <c r="M176" i="19"/>
  <c r="L176" i="19"/>
  <c r="K176" i="19"/>
  <c r="J176" i="19"/>
  <c r="I176" i="19"/>
  <c r="H176" i="19"/>
  <c r="G176" i="19"/>
  <c r="F176" i="19"/>
  <c r="E176" i="19"/>
  <c r="D176" i="19"/>
  <c r="C176" i="19"/>
  <c r="S175" i="19"/>
  <c r="R175" i="19"/>
  <c r="Q175" i="19"/>
  <c r="P175" i="19"/>
  <c r="O175" i="19"/>
  <c r="N175" i="19"/>
  <c r="M175" i="19"/>
  <c r="L175" i="19"/>
  <c r="K175" i="19"/>
  <c r="J175" i="19"/>
  <c r="I175" i="19"/>
  <c r="H175" i="19"/>
  <c r="G175" i="19"/>
  <c r="F175" i="19"/>
  <c r="E175" i="19"/>
  <c r="D175" i="19"/>
  <c r="C175" i="19"/>
  <c r="S174" i="19"/>
  <c r="R174" i="19"/>
  <c r="Q174" i="19"/>
  <c r="P174" i="19"/>
  <c r="O174" i="19"/>
  <c r="N174" i="19"/>
  <c r="M174" i="19"/>
  <c r="L174" i="19"/>
  <c r="K174" i="19"/>
  <c r="J174" i="19"/>
  <c r="I174" i="19"/>
  <c r="H174" i="19"/>
  <c r="G174" i="19"/>
  <c r="F174" i="19"/>
  <c r="E174" i="19"/>
  <c r="D174" i="19"/>
  <c r="C174" i="19"/>
  <c r="S173" i="19"/>
  <c r="R173" i="19"/>
  <c r="Q173" i="19"/>
  <c r="P173" i="19"/>
  <c r="O173" i="19"/>
  <c r="N173" i="19"/>
  <c r="M173" i="19"/>
  <c r="L173" i="19"/>
  <c r="K173" i="19"/>
  <c r="J173" i="19"/>
  <c r="I173" i="19"/>
  <c r="H173" i="19"/>
  <c r="G173" i="19"/>
  <c r="F173" i="19"/>
  <c r="E173" i="19"/>
  <c r="D173" i="19"/>
  <c r="C173" i="19"/>
  <c r="S172" i="19"/>
  <c r="R172" i="19"/>
  <c r="Q172" i="19"/>
  <c r="P172" i="19"/>
  <c r="O172" i="19"/>
  <c r="N172" i="19"/>
  <c r="M172" i="19"/>
  <c r="L172" i="19"/>
  <c r="K172" i="19"/>
  <c r="J172" i="19"/>
  <c r="I172" i="19"/>
  <c r="H172" i="19"/>
  <c r="G172" i="19"/>
  <c r="F172" i="19"/>
  <c r="E172" i="19"/>
  <c r="D172" i="19"/>
  <c r="C172" i="19"/>
  <c r="S171" i="19"/>
  <c r="R171" i="19"/>
  <c r="Q171" i="19"/>
  <c r="P171" i="19"/>
  <c r="O171" i="19"/>
  <c r="N171" i="19"/>
  <c r="M171" i="19"/>
  <c r="L171" i="19"/>
  <c r="K171" i="19"/>
  <c r="J171" i="19"/>
  <c r="I171" i="19"/>
  <c r="H171" i="19"/>
  <c r="G171" i="19"/>
  <c r="F171" i="19"/>
  <c r="E171" i="19"/>
  <c r="D171" i="19"/>
  <c r="C171" i="19"/>
  <c r="S170" i="19"/>
  <c r="R170" i="19"/>
  <c r="Q170" i="19"/>
  <c r="P170" i="19"/>
  <c r="O170" i="19"/>
  <c r="N170" i="19"/>
  <c r="M170" i="19"/>
  <c r="L170" i="19"/>
  <c r="K170" i="19"/>
  <c r="J170" i="19"/>
  <c r="I170" i="19"/>
  <c r="H170" i="19"/>
  <c r="G170" i="19"/>
  <c r="F170" i="19"/>
  <c r="E170" i="19"/>
  <c r="D170" i="19"/>
  <c r="C170" i="19"/>
  <c r="S169" i="19"/>
  <c r="R169" i="19"/>
  <c r="Q169" i="19"/>
  <c r="P169" i="19"/>
  <c r="O169" i="19"/>
  <c r="N169" i="19"/>
  <c r="M169" i="19"/>
  <c r="L169" i="19"/>
  <c r="K169" i="19"/>
  <c r="J169" i="19"/>
  <c r="I169" i="19"/>
  <c r="H169" i="19"/>
  <c r="G169" i="19"/>
  <c r="F169" i="19"/>
  <c r="E169" i="19"/>
  <c r="D169" i="19"/>
  <c r="C169" i="19"/>
  <c r="S168" i="19"/>
  <c r="R168" i="19"/>
  <c r="Q168" i="19"/>
  <c r="P168" i="19"/>
  <c r="O168" i="19"/>
  <c r="N168" i="19"/>
  <c r="M168" i="19"/>
  <c r="L168" i="19"/>
  <c r="K168" i="19"/>
  <c r="J168" i="19"/>
  <c r="I168" i="19"/>
  <c r="H168" i="19"/>
  <c r="G168" i="19"/>
  <c r="F168" i="19"/>
  <c r="E168" i="19"/>
  <c r="D168" i="19"/>
  <c r="C168" i="19"/>
  <c r="S167" i="19"/>
  <c r="R167" i="19"/>
  <c r="Q167" i="19"/>
  <c r="P167" i="19"/>
  <c r="O167" i="19"/>
  <c r="N167" i="19"/>
  <c r="M167" i="19"/>
  <c r="L167" i="19"/>
  <c r="K167" i="19"/>
  <c r="J167" i="19"/>
  <c r="I167" i="19"/>
  <c r="H167" i="19"/>
  <c r="G167" i="19"/>
  <c r="F167" i="19"/>
  <c r="E167" i="19"/>
  <c r="D167" i="19"/>
  <c r="C167" i="19"/>
  <c r="S166" i="19"/>
  <c r="R166" i="19"/>
  <c r="Q166" i="19"/>
  <c r="P166" i="19"/>
  <c r="O166" i="19"/>
  <c r="N166" i="19"/>
  <c r="M166" i="19"/>
  <c r="L166" i="19"/>
  <c r="K166" i="19"/>
  <c r="J166" i="19"/>
  <c r="I166" i="19"/>
  <c r="H166" i="19"/>
  <c r="G166" i="19"/>
  <c r="F166" i="19"/>
  <c r="E166" i="19"/>
  <c r="D166" i="19"/>
  <c r="C166" i="19"/>
  <c r="S165" i="19"/>
  <c r="R165" i="19"/>
  <c r="Q165" i="19"/>
  <c r="P165" i="19"/>
  <c r="O165" i="19"/>
  <c r="N165" i="19"/>
  <c r="M165" i="19"/>
  <c r="L165" i="19"/>
  <c r="K165" i="19"/>
  <c r="J165" i="19"/>
  <c r="I165" i="19"/>
  <c r="H165" i="19"/>
  <c r="G165" i="19"/>
  <c r="F165" i="19"/>
  <c r="E165" i="19"/>
  <c r="D165" i="19"/>
  <c r="C165" i="19"/>
  <c r="S164" i="19"/>
  <c r="R164" i="19"/>
  <c r="Q164" i="19"/>
  <c r="P164" i="19"/>
  <c r="O164" i="19"/>
  <c r="N164" i="19"/>
  <c r="M164" i="19"/>
  <c r="L164" i="19"/>
  <c r="K164" i="19"/>
  <c r="J164" i="19"/>
  <c r="I164" i="19"/>
  <c r="H164" i="19"/>
  <c r="G164" i="19"/>
  <c r="F164" i="19"/>
  <c r="E164" i="19"/>
  <c r="D164" i="19"/>
  <c r="C164" i="19"/>
  <c r="S163" i="19"/>
  <c r="R163" i="19"/>
  <c r="Q163" i="19"/>
  <c r="P163" i="19"/>
  <c r="O163" i="19"/>
  <c r="N163" i="19"/>
  <c r="M163" i="19"/>
  <c r="L163" i="19"/>
  <c r="K163" i="19"/>
  <c r="J163" i="19"/>
  <c r="I163" i="19"/>
  <c r="H163" i="19"/>
  <c r="G163" i="19"/>
  <c r="F163" i="19"/>
  <c r="E163" i="19"/>
  <c r="D163" i="19"/>
  <c r="C163" i="19"/>
  <c r="S162" i="19"/>
  <c r="R162" i="19"/>
  <c r="Q162" i="19"/>
  <c r="P162" i="19"/>
  <c r="O162" i="19"/>
  <c r="N162" i="19"/>
  <c r="M162" i="19"/>
  <c r="L162" i="19"/>
  <c r="K162" i="19"/>
  <c r="J162" i="19"/>
  <c r="I162" i="19"/>
  <c r="H162" i="19"/>
  <c r="G162" i="19"/>
  <c r="F162" i="19"/>
  <c r="E162" i="19"/>
  <c r="D162" i="19"/>
  <c r="C162" i="19"/>
  <c r="S161" i="19"/>
  <c r="R161" i="19"/>
  <c r="Q161" i="19"/>
  <c r="P161" i="19"/>
  <c r="O161" i="19"/>
  <c r="N161" i="19"/>
  <c r="M161" i="19"/>
  <c r="L161" i="19"/>
  <c r="K161" i="19"/>
  <c r="J161" i="19"/>
  <c r="I161" i="19"/>
  <c r="H161" i="19"/>
  <c r="G161" i="19"/>
  <c r="F161" i="19"/>
  <c r="E161" i="19"/>
  <c r="D161" i="19"/>
  <c r="C161" i="19"/>
  <c r="S160" i="19"/>
  <c r="R160" i="19"/>
  <c r="Q160" i="19"/>
  <c r="P160" i="19"/>
  <c r="O160" i="19"/>
  <c r="N160" i="19"/>
  <c r="M160" i="19"/>
  <c r="L160" i="19"/>
  <c r="K160" i="19"/>
  <c r="J160" i="19"/>
  <c r="I160" i="19"/>
  <c r="H160" i="19"/>
  <c r="G160" i="19"/>
  <c r="F160" i="19"/>
  <c r="E160" i="19"/>
  <c r="D160" i="19"/>
  <c r="C160" i="19"/>
  <c r="S159" i="19"/>
  <c r="R159" i="19"/>
  <c r="Q159" i="19"/>
  <c r="P159" i="19"/>
  <c r="O159" i="19"/>
  <c r="N159" i="19"/>
  <c r="M159" i="19"/>
  <c r="L159" i="19"/>
  <c r="K159" i="19"/>
  <c r="J159" i="19"/>
  <c r="I159" i="19"/>
  <c r="H159" i="19"/>
  <c r="G159" i="19"/>
  <c r="F159" i="19"/>
  <c r="E159" i="19"/>
  <c r="D159" i="19"/>
  <c r="C159" i="19"/>
  <c r="S158" i="19"/>
  <c r="R158" i="19"/>
  <c r="Q158" i="19"/>
  <c r="P158" i="19"/>
  <c r="O158" i="19"/>
  <c r="N158" i="19"/>
  <c r="M158" i="19"/>
  <c r="L158" i="19"/>
  <c r="K158" i="19"/>
  <c r="J158" i="19"/>
  <c r="I158" i="19"/>
  <c r="H158" i="19"/>
  <c r="G158" i="19"/>
  <c r="F158" i="19"/>
  <c r="E158" i="19"/>
  <c r="D158" i="19"/>
  <c r="C158" i="19"/>
  <c r="S157" i="19"/>
  <c r="R157" i="19"/>
  <c r="Q157" i="19"/>
  <c r="P157" i="19"/>
  <c r="O157" i="19"/>
  <c r="N157" i="19"/>
  <c r="M157" i="19"/>
  <c r="L157" i="19"/>
  <c r="K157" i="19"/>
  <c r="J157" i="19"/>
  <c r="I157" i="19"/>
  <c r="H157" i="19"/>
  <c r="G157" i="19"/>
  <c r="F157" i="19"/>
  <c r="E157" i="19"/>
  <c r="D157" i="19"/>
  <c r="C157" i="19"/>
  <c r="S156" i="19"/>
  <c r="R156" i="19"/>
  <c r="Q156" i="19"/>
  <c r="P156" i="19"/>
  <c r="O156" i="19"/>
  <c r="N156" i="19"/>
  <c r="M156" i="19"/>
  <c r="L156" i="19"/>
  <c r="K156" i="19"/>
  <c r="J156" i="19"/>
  <c r="I156" i="19"/>
  <c r="H156" i="19"/>
  <c r="G156" i="19"/>
  <c r="F156" i="19"/>
  <c r="E156" i="19"/>
  <c r="D156" i="19"/>
  <c r="C156" i="19"/>
  <c r="S155" i="19"/>
  <c r="R155" i="19"/>
  <c r="Q155" i="19"/>
  <c r="P155" i="19"/>
  <c r="O155" i="19"/>
  <c r="N155" i="19"/>
  <c r="M155" i="19"/>
  <c r="L155" i="19"/>
  <c r="K155" i="19"/>
  <c r="J155" i="19"/>
  <c r="I155" i="19"/>
  <c r="H155" i="19"/>
  <c r="G155" i="19"/>
  <c r="F155" i="19"/>
  <c r="E155" i="19"/>
  <c r="D155" i="19"/>
  <c r="C155" i="19"/>
  <c r="S154" i="19"/>
  <c r="R154" i="19"/>
  <c r="Q154" i="19"/>
  <c r="P154" i="19"/>
  <c r="O154" i="19"/>
  <c r="N154" i="19"/>
  <c r="M154" i="19"/>
  <c r="L154" i="19"/>
  <c r="K154" i="19"/>
  <c r="J154" i="19"/>
  <c r="I154" i="19"/>
  <c r="H154" i="19"/>
  <c r="G154" i="19"/>
  <c r="F154" i="19"/>
  <c r="E154" i="19"/>
  <c r="D154" i="19"/>
  <c r="C154" i="19"/>
  <c r="S153" i="19"/>
  <c r="R153" i="19"/>
  <c r="Q153" i="19"/>
  <c r="P153" i="19"/>
  <c r="O153" i="19"/>
  <c r="N153" i="19"/>
  <c r="M153" i="19"/>
  <c r="L153" i="19"/>
  <c r="K153" i="19"/>
  <c r="J153" i="19"/>
  <c r="I153" i="19"/>
  <c r="H153" i="19"/>
  <c r="G153" i="19"/>
  <c r="F153" i="19"/>
  <c r="E153" i="19"/>
  <c r="D153" i="19"/>
  <c r="C153" i="19"/>
  <c r="S152" i="19"/>
  <c r="R152" i="19"/>
  <c r="Q152" i="19"/>
  <c r="P152" i="19"/>
  <c r="O152" i="19"/>
  <c r="N152" i="19"/>
  <c r="M152" i="19"/>
  <c r="L152" i="19"/>
  <c r="K152" i="19"/>
  <c r="J152" i="19"/>
  <c r="I152" i="19"/>
  <c r="H152" i="19"/>
  <c r="G152" i="19"/>
  <c r="F152" i="19"/>
  <c r="E152" i="19"/>
  <c r="D152" i="19"/>
  <c r="C152" i="19"/>
  <c r="S151" i="19"/>
  <c r="R151" i="19"/>
  <c r="Q151" i="19"/>
  <c r="P151" i="19"/>
  <c r="O151" i="19"/>
  <c r="N151" i="19"/>
  <c r="M151" i="19"/>
  <c r="L151" i="19"/>
  <c r="K151" i="19"/>
  <c r="J151" i="19"/>
  <c r="I151" i="19"/>
  <c r="H151" i="19"/>
  <c r="G151" i="19"/>
  <c r="F151" i="19"/>
  <c r="E151" i="19"/>
  <c r="D151" i="19"/>
  <c r="C151" i="19"/>
  <c r="S150" i="19"/>
  <c r="R150" i="19"/>
  <c r="Q150" i="19"/>
  <c r="P150" i="19"/>
  <c r="O150" i="19"/>
  <c r="N150" i="19"/>
  <c r="M150" i="19"/>
  <c r="L150" i="19"/>
  <c r="K150" i="19"/>
  <c r="J150" i="19"/>
  <c r="I150" i="19"/>
  <c r="H150" i="19"/>
  <c r="G150" i="19"/>
  <c r="F150" i="19"/>
  <c r="E150" i="19"/>
  <c r="D150" i="19"/>
  <c r="C150" i="19"/>
  <c r="S149" i="19"/>
  <c r="R149" i="19"/>
  <c r="Q149" i="19"/>
  <c r="P149" i="19"/>
  <c r="O149" i="19"/>
  <c r="N149" i="19"/>
  <c r="M149" i="19"/>
  <c r="L149" i="19"/>
  <c r="K149" i="19"/>
  <c r="J149" i="19"/>
  <c r="I149" i="19"/>
  <c r="H149" i="19"/>
  <c r="G149" i="19"/>
  <c r="F149" i="19"/>
  <c r="E149" i="19"/>
  <c r="D149" i="19"/>
  <c r="C149" i="19"/>
  <c r="S148" i="19"/>
  <c r="R148" i="19"/>
  <c r="Q148" i="19"/>
  <c r="P148" i="19"/>
  <c r="O148" i="19"/>
  <c r="N148" i="19"/>
  <c r="M148" i="19"/>
  <c r="L148" i="19"/>
  <c r="K148" i="19"/>
  <c r="J148" i="19"/>
  <c r="I148" i="19"/>
  <c r="H148" i="19"/>
  <c r="G148" i="19"/>
  <c r="F148" i="19"/>
  <c r="E148" i="19"/>
  <c r="D148" i="19"/>
  <c r="C148" i="19"/>
  <c r="S147" i="19"/>
  <c r="R147" i="19"/>
  <c r="Q147" i="19"/>
  <c r="P147" i="19"/>
  <c r="O147" i="19"/>
  <c r="N147" i="19"/>
  <c r="M147" i="19"/>
  <c r="L147" i="19"/>
  <c r="K147" i="19"/>
  <c r="J147" i="19"/>
  <c r="I147" i="19"/>
  <c r="H147" i="19"/>
  <c r="G147" i="19"/>
  <c r="F147" i="19"/>
  <c r="E147" i="19"/>
  <c r="D147" i="19"/>
  <c r="C147" i="19"/>
  <c r="S146" i="19"/>
  <c r="R146" i="19"/>
  <c r="Q146" i="19"/>
  <c r="P146" i="19"/>
  <c r="O146" i="19"/>
  <c r="N146" i="19"/>
  <c r="M146" i="19"/>
  <c r="L146" i="19"/>
  <c r="K146" i="19"/>
  <c r="J146" i="19"/>
  <c r="I146" i="19"/>
  <c r="H146" i="19"/>
  <c r="G146" i="19"/>
  <c r="F146" i="19"/>
  <c r="E146" i="19"/>
  <c r="D146" i="19"/>
  <c r="C146" i="19"/>
  <c r="S145" i="19"/>
  <c r="R145" i="19"/>
  <c r="Q145" i="19"/>
  <c r="P145" i="19"/>
  <c r="O145" i="19"/>
  <c r="N145" i="19"/>
  <c r="M145" i="19"/>
  <c r="L145" i="19"/>
  <c r="K145" i="19"/>
  <c r="J145" i="19"/>
  <c r="I145" i="19"/>
  <c r="H145" i="19"/>
  <c r="G145" i="19"/>
  <c r="F145" i="19"/>
  <c r="E145" i="19"/>
  <c r="D145" i="19"/>
  <c r="C145" i="19"/>
  <c r="S144" i="19"/>
  <c r="R144" i="19"/>
  <c r="Q144" i="19"/>
  <c r="P144" i="19"/>
  <c r="O144" i="19"/>
  <c r="N144" i="19"/>
  <c r="M144" i="19"/>
  <c r="L144" i="19"/>
  <c r="K144" i="19"/>
  <c r="J144" i="19"/>
  <c r="I144" i="19"/>
  <c r="H144" i="19"/>
  <c r="G144" i="19"/>
  <c r="F144" i="19"/>
  <c r="E144" i="19"/>
  <c r="D144" i="19"/>
  <c r="C144" i="19"/>
  <c r="S143" i="19"/>
  <c r="R143" i="19"/>
  <c r="Q143" i="19"/>
  <c r="P143" i="19"/>
  <c r="O143" i="19"/>
  <c r="N143" i="19"/>
  <c r="M143" i="19"/>
  <c r="L143" i="19"/>
  <c r="K143" i="19"/>
  <c r="J143" i="19"/>
  <c r="I143" i="19"/>
  <c r="H143" i="19"/>
  <c r="G143" i="19"/>
  <c r="F143" i="19"/>
  <c r="E143" i="19"/>
  <c r="D143" i="19"/>
  <c r="C143" i="19"/>
  <c r="S142" i="19"/>
  <c r="R142" i="19"/>
  <c r="Q142" i="19"/>
  <c r="P142" i="19"/>
  <c r="O142" i="19"/>
  <c r="N142" i="19"/>
  <c r="M142" i="19"/>
  <c r="L142" i="19"/>
  <c r="K142" i="19"/>
  <c r="J142" i="19"/>
  <c r="I142" i="19"/>
  <c r="H142" i="19"/>
  <c r="G142" i="19"/>
  <c r="F142" i="19"/>
  <c r="E142" i="19"/>
  <c r="D142" i="19"/>
  <c r="C142" i="19"/>
  <c r="S141" i="19"/>
  <c r="R141" i="19"/>
  <c r="Q141" i="19"/>
  <c r="P141" i="19"/>
  <c r="O141" i="19"/>
  <c r="N141" i="19"/>
  <c r="M141" i="19"/>
  <c r="L141" i="19"/>
  <c r="K141" i="19"/>
  <c r="J141" i="19"/>
  <c r="I141" i="19"/>
  <c r="H141" i="19"/>
  <c r="G141" i="19"/>
  <c r="F141" i="19"/>
  <c r="E141" i="19"/>
  <c r="D141" i="19"/>
  <c r="C141" i="19"/>
  <c r="AK140" i="19"/>
  <c r="S140" i="19" s="1"/>
  <c r="AJ140" i="19"/>
  <c r="AI140" i="19"/>
  <c r="Q137" i="19" s="1"/>
  <c r="AH140" i="19"/>
  <c r="P135" i="19" s="1"/>
  <c r="AG140" i="19"/>
  <c r="AF140" i="19"/>
  <c r="AE140" i="19"/>
  <c r="M140" i="19" s="1"/>
  <c r="AD140" i="19"/>
  <c r="AC140" i="19"/>
  <c r="K140" i="19" s="1"/>
  <c r="AB140" i="19"/>
  <c r="AA140" i="19"/>
  <c r="Z140" i="19"/>
  <c r="Y140" i="19"/>
  <c r="G140" i="19" s="1"/>
  <c r="X140" i="19"/>
  <c r="F140" i="19" s="1"/>
  <c r="W140" i="19"/>
  <c r="E140" i="19" s="1"/>
  <c r="V140" i="19"/>
  <c r="U140" i="19"/>
  <c r="C140" i="19" s="1"/>
  <c r="R140" i="19"/>
  <c r="J140" i="19"/>
  <c r="H140" i="19"/>
  <c r="AK139" i="19"/>
  <c r="AJ139" i="19"/>
  <c r="AI139" i="19"/>
  <c r="AH139" i="19"/>
  <c r="AG139" i="19"/>
  <c r="AF139" i="19"/>
  <c r="AE139" i="19"/>
  <c r="AD139" i="19"/>
  <c r="AC139" i="19"/>
  <c r="AB139" i="19"/>
  <c r="AA139" i="19"/>
  <c r="Z139" i="19"/>
  <c r="Y139" i="19"/>
  <c r="X139" i="19"/>
  <c r="W139" i="19"/>
  <c r="V139" i="19"/>
  <c r="U139" i="19"/>
  <c r="R139" i="19"/>
  <c r="J139" i="19"/>
  <c r="AK138" i="19"/>
  <c r="AJ138" i="19"/>
  <c r="AI138" i="19"/>
  <c r="AH138" i="19"/>
  <c r="AG138" i="19"/>
  <c r="AF138" i="19"/>
  <c r="AE138" i="19"/>
  <c r="AD138" i="19"/>
  <c r="AC138" i="19"/>
  <c r="AB138" i="19"/>
  <c r="AA138" i="19"/>
  <c r="Z138" i="19"/>
  <c r="Y138" i="19"/>
  <c r="X138" i="19"/>
  <c r="W138" i="19"/>
  <c r="V138" i="19"/>
  <c r="U138" i="19"/>
  <c r="R138" i="19"/>
  <c r="Q138" i="19"/>
  <c r="P138" i="19"/>
  <c r="J138" i="19"/>
  <c r="AK137" i="19"/>
  <c r="AJ137" i="19"/>
  <c r="AI137" i="19"/>
  <c r="AH137" i="19"/>
  <c r="AG137" i="19"/>
  <c r="AF137" i="19"/>
  <c r="AE137" i="19"/>
  <c r="AD137" i="19"/>
  <c r="AC137" i="19"/>
  <c r="AB137" i="19"/>
  <c r="AA137" i="19"/>
  <c r="Z137" i="19"/>
  <c r="Y137" i="19"/>
  <c r="X137" i="19"/>
  <c r="W137" i="19"/>
  <c r="V137" i="19"/>
  <c r="U137" i="19"/>
  <c r="R137" i="19"/>
  <c r="J137" i="19"/>
  <c r="AK136" i="19"/>
  <c r="AJ136" i="19"/>
  <c r="AI136" i="19"/>
  <c r="AH136" i="19"/>
  <c r="AG136" i="19"/>
  <c r="AF136" i="19"/>
  <c r="AE136" i="19"/>
  <c r="AD136" i="19"/>
  <c r="AC136" i="19"/>
  <c r="AB136" i="19"/>
  <c r="AA136" i="19"/>
  <c r="Z136" i="19"/>
  <c r="Y136" i="19"/>
  <c r="G136" i="19" s="1"/>
  <c r="X136" i="19"/>
  <c r="W136" i="19"/>
  <c r="V136" i="19"/>
  <c r="U136" i="19"/>
  <c r="R136" i="19"/>
  <c r="J136" i="19"/>
  <c r="AK135" i="19"/>
  <c r="AJ135" i="19"/>
  <c r="AI135" i="19"/>
  <c r="AH135" i="19"/>
  <c r="AG135" i="19"/>
  <c r="AF135" i="19"/>
  <c r="AE135" i="19"/>
  <c r="AD135" i="19"/>
  <c r="AC135" i="19"/>
  <c r="AB135" i="19"/>
  <c r="AA135" i="19"/>
  <c r="Z135" i="19"/>
  <c r="Y135" i="19"/>
  <c r="X135" i="19"/>
  <c r="W135" i="19"/>
  <c r="V135" i="19"/>
  <c r="U135" i="19"/>
  <c r="R135" i="19"/>
  <c r="J135" i="19"/>
  <c r="N138" i="19" l="1"/>
  <c r="J220" i="19"/>
  <c r="L298" i="19"/>
  <c r="P301" i="19"/>
  <c r="Q302" i="19"/>
  <c r="N221" i="19"/>
  <c r="R224" i="19"/>
  <c r="G139" i="19"/>
  <c r="K223" i="19"/>
  <c r="O138" i="19"/>
  <c r="M136" i="19"/>
  <c r="Q301" i="19"/>
  <c r="N219" i="19"/>
  <c r="L219" i="19"/>
  <c r="K300" i="19"/>
  <c r="F139" i="19"/>
  <c r="P137" i="19"/>
  <c r="N222" i="19"/>
  <c r="M222" i="19"/>
  <c r="L300" i="19"/>
  <c r="P224" i="19"/>
  <c r="L139" i="19"/>
  <c r="P220" i="19"/>
  <c r="N137" i="19"/>
  <c r="M139" i="19"/>
  <c r="P219" i="19"/>
  <c r="E221" i="19"/>
  <c r="D223" i="19"/>
  <c r="S224" i="19"/>
  <c r="J223" i="19"/>
  <c r="L299" i="19"/>
  <c r="P300" i="19"/>
  <c r="L297" i="19"/>
  <c r="P302" i="19"/>
  <c r="P222" i="19"/>
  <c r="L136" i="19"/>
  <c r="L140" i="19"/>
  <c r="P299" i="19"/>
  <c r="C220" i="19"/>
  <c r="K224" i="19"/>
  <c r="Q299" i="19"/>
  <c r="S300" i="19"/>
  <c r="G135" i="19"/>
  <c r="N136" i="19"/>
  <c r="N139" i="19"/>
  <c r="N140" i="19"/>
  <c r="E219" i="19"/>
  <c r="K220" i="19"/>
  <c r="D220" i="19"/>
  <c r="L221" i="19"/>
  <c r="L223" i="19"/>
  <c r="L224" i="19"/>
  <c r="P298" i="19"/>
  <c r="R299" i="19"/>
  <c r="L302" i="19"/>
  <c r="N135" i="19"/>
  <c r="P136" i="19"/>
  <c r="P139" i="19"/>
  <c r="P140" i="19"/>
  <c r="L220" i="19"/>
  <c r="E220" i="19"/>
  <c r="M223" i="19"/>
  <c r="M224" i="19"/>
  <c r="Q298" i="19"/>
  <c r="J301" i="19"/>
  <c r="N301" i="19"/>
  <c r="M220" i="19"/>
  <c r="N223" i="19"/>
  <c r="Q297" i="19"/>
  <c r="O301" i="19"/>
  <c r="O222" i="19"/>
  <c r="O221" i="19"/>
  <c r="O136" i="19"/>
  <c r="O135" i="19"/>
  <c r="O140" i="19"/>
  <c r="O137" i="19"/>
  <c r="O139" i="19"/>
  <c r="H301" i="19"/>
  <c r="I299" i="19"/>
  <c r="H302" i="19"/>
  <c r="I297" i="19"/>
  <c r="I298" i="19"/>
  <c r="I301" i="19"/>
  <c r="H298" i="19"/>
  <c r="D299" i="19"/>
  <c r="H299" i="19"/>
  <c r="F301" i="19"/>
  <c r="C299" i="19"/>
  <c r="G298" i="19"/>
  <c r="I300" i="19"/>
  <c r="D300" i="19"/>
  <c r="D297" i="19"/>
  <c r="H300" i="19"/>
  <c r="D301" i="19"/>
  <c r="C300" i="19"/>
  <c r="H297" i="19"/>
  <c r="D298" i="19"/>
  <c r="G301" i="19"/>
  <c r="E223" i="19"/>
  <c r="D222" i="19"/>
  <c r="H220" i="19"/>
  <c r="F221" i="19"/>
  <c r="H223" i="19"/>
  <c r="C223" i="19"/>
  <c r="F224" i="19"/>
  <c r="F219" i="19"/>
  <c r="F220" i="19"/>
  <c r="G222" i="19"/>
  <c r="H219" i="19"/>
  <c r="C224" i="19"/>
  <c r="D219" i="19"/>
  <c r="H221" i="19"/>
  <c r="H222" i="19"/>
  <c r="F223" i="19"/>
  <c r="G221" i="19"/>
  <c r="H224" i="19"/>
  <c r="E222" i="19"/>
  <c r="G137" i="19"/>
  <c r="F137" i="19"/>
  <c r="F136" i="19"/>
  <c r="H135" i="19"/>
  <c r="F138" i="19"/>
  <c r="H139" i="19"/>
  <c r="D139" i="19"/>
  <c r="F135" i="19"/>
  <c r="E136" i="19"/>
  <c r="D136" i="19"/>
  <c r="I138" i="19"/>
  <c r="H137" i="19"/>
  <c r="I137" i="19"/>
  <c r="E139" i="19"/>
  <c r="H136" i="19"/>
  <c r="H138" i="19"/>
  <c r="D140" i="19"/>
  <c r="G138" i="19"/>
  <c r="D137" i="19"/>
  <c r="L137" i="19"/>
  <c r="J221" i="19"/>
  <c r="F299" i="19"/>
  <c r="I135" i="19"/>
  <c r="Q135" i="19"/>
  <c r="E137" i="19"/>
  <c r="M137" i="19"/>
  <c r="C138" i="19"/>
  <c r="K138" i="19"/>
  <c r="S138" i="19"/>
  <c r="I139" i="19"/>
  <c r="Q139" i="19"/>
  <c r="G219" i="19"/>
  <c r="O219" i="19"/>
  <c r="C221" i="19"/>
  <c r="K221" i="19"/>
  <c r="S221" i="19"/>
  <c r="I222" i="19"/>
  <c r="Q222" i="19"/>
  <c r="G223" i="19"/>
  <c r="O223" i="19"/>
  <c r="C297" i="19"/>
  <c r="K297" i="19"/>
  <c r="S297" i="19"/>
  <c r="G299" i="19"/>
  <c r="O299" i="19"/>
  <c r="E300" i="19"/>
  <c r="M300" i="19"/>
  <c r="C301" i="19"/>
  <c r="K301" i="19"/>
  <c r="S301" i="19"/>
  <c r="K137" i="19"/>
  <c r="I221" i="19"/>
  <c r="Q221" i="19"/>
  <c r="E299" i="19"/>
  <c r="M299" i="19"/>
  <c r="N299" i="19"/>
  <c r="D138" i="19"/>
  <c r="L138" i="19"/>
  <c r="J222" i="19"/>
  <c r="R222" i="19"/>
  <c r="F300" i="19"/>
  <c r="N300" i="19"/>
  <c r="R221" i="19"/>
  <c r="C135" i="19"/>
  <c r="K135" i="19"/>
  <c r="S135" i="19"/>
  <c r="I136" i="19"/>
  <c r="Q136" i="19"/>
  <c r="E138" i="19"/>
  <c r="M138" i="19"/>
  <c r="C139" i="19"/>
  <c r="K139" i="19"/>
  <c r="S139" i="19"/>
  <c r="I140" i="19"/>
  <c r="Q140" i="19"/>
  <c r="I219" i="19"/>
  <c r="Q219" i="19"/>
  <c r="G220" i="19"/>
  <c r="O220" i="19"/>
  <c r="C222" i="19"/>
  <c r="K222" i="19"/>
  <c r="S222" i="19"/>
  <c r="I223" i="19"/>
  <c r="Q223" i="19"/>
  <c r="G224" i="19"/>
  <c r="O224" i="19"/>
  <c r="E297" i="19"/>
  <c r="M297" i="19"/>
  <c r="C298" i="19"/>
  <c r="K298" i="19"/>
  <c r="S298" i="19"/>
  <c r="G300" i="19"/>
  <c r="O300" i="19"/>
  <c r="E301" i="19"/>
  <c r="M301" i="19"/>
  <c r="C302" i="19"/>
  <c r="K302" i="19"/>
  <c r="S302" i="19"/>
  <c r="C137" i="19"/>
  <c r="S137" i="19"/>
  <c r="D135" i="19"/>
  <c r="L135" i="19"/>
  <c r="J219" i="19"/>
  <c r="R219" i="19"/>
  <c r="F297" i="19"/>
  <c r="N297" i="19"/>
  <c r="E135" i="19"/>
  <c r="M135" i="19"/>
  <c r="C136" i="19"/>
  <c r="K136" i="19"/>
  <c r="S136" i="19"/>
  <c r="C219" i="19"/>
  <c r="K219" i="19"/>
  <c r="S219" i="19"/>
  <c r="I220" i="19"/>
  <c r="Q220" i="19"/>
  <c r="G297" i="19"/>
  <c r="O297" i="19"/>
  <c r="E298" i="19"/>
  <c r="M298" i="19"/>
  <c r="AH296" i="25"/>
  <c r="AH295" i="25"/>
  <c r="AH294" i="25"/>
  <c r="AH293" i="25"/>
  <c r="AH292" i="25"/>
  <c r="AH291" i="25"/>
  <c r="AH134" i="25"/>
  <c r="AH133" i="25"/>
  <c r="AH132" i="25"/>
  <c r="AH131" i="25"/>
  <c r="AH130" i="25"/>
  <c r="AH129" i="25"/>
  <c r="D135" i="23" l="1"/>
  <c r="D136" i="23"/>
  <c r="D137" i="23"/>
  <c r="D138" i="23"/>
  <c r="D139" i="23"/>
  <c r="D140" i="23"/>
  <c r="Q356" i="25" l="1"/>
  <c r="P356" i="25"/>
  <c r="O356" i="25"/>
  <c r="N356" i="25"/>
  <c r="M356" i="25"/>
  <c r="L356" i="25"/>
  <c r="K356" i="25"/>
  <c r="J356" i="25"/>
  <c r="I356" i="25"/>
  <c r="H356" i="25"/>
  <c r="G356" i="25"/>
  <c r="F356" i="25"/>
  <c r="E356" i="25"/>
  <c r="D356" i="25"/>
  <c r="C356" i="25"/>
  <c r="Q355" i="25"/>
  <c r="P355" i="25"/>
  <c r="O355" i="25"/>
  <c r="N355" i="25"/>
  <c r="M355" i="25"/>
  <c r="L355" i="25"/>
  <c r="K355" i="25"/>
  <c r="J355" i="25"/>
  <c r="I355" i="25"/>
  <c r="H355" i="25"/>
  <c r="G355" i="25"/>
  <c r="F355" i="25"/>
  <c r="E355" i="25"/>
  <c r="D355" i="25"/>
  <c r="C355" i="25"/>
  <c r="Q354" i="25"/>
  <c r="P354" i="25"/>
  <c r="O354" i="25"/>
  <c r="N354" i="25"/>
  <c r="M354" i="25"/>
  <c r="L354" i="25"/>
  <c r="K354" i="25"/>
  <c r="J354" i="25"/>
  <c r="I354" i="25"/>
  <c r="H354" i="25"/>
  <c r="G354" i="25"/>
  <c r="F354" i="25"/>
  <c r="E354" i="25"/>
  <c r="D354" i="25"/>
  <c r="C354" i="25"/>
  <c r="Q353" i="25"/>
  <c r="P353" i="25"/>
  <c r="O353" i="25"/>
  <c r="N353" i="25"/>
  <c r="M353" i="25"/>
  <c r="L353" i="25"/>
  <c r="K353" i="25"/>
  <c r="J353" i="25"/>
  <c r="I353" i="25"/>
  <c r="H353" i="25"/>
  <c r="G353" i="25"/>
  <c r="F353" i="25"/>
  <c r="E353" i="25"/>
  <c r="D353" i="25"/>
  <c r="C353" i="25"/>
  <c r="Q352" i="25"/>
  <c r="P352" i="25"/>
  <c r="O352" i="25"/>
  <c r="N352" i="25"/>
  <c r="M352" i="25"/>
  <c r="L352" i="25"/>
  <c r="K352" i="25"/>
  <c r="J352" i="25"/>
  <c r="I352" i="25"/>
  <c r="H352" i="25"/>
  <c r="G352" i="25"/>
  <c r="F352" i="25"/>
  <c r="E352" i="25"/>
  <c r="D352" i="25"/>
  <c r="C352" i="25"/>
  <c r="Q351" i="25"/>
  <c r="P351" i="25"/>
  <c r="O351" i="25"/>
  <c r="N351" i="25"/>
  <c r="M351" i="25"/>
  <c r="L351" i="25"/>
  <c r="K351" i="25"/>
  <c r="J351" i="25"/>
  <c r="I351" i="25"/>
  <c r="H351" i="25"/>
  <c r="G351" i="25"/>
  <c r="F351" i="25"/>
  <c r="E351" i="25"/>
  <c r="D351" i="25"/>
  <c r="C351" i="25"/>
  <c r="Q350" i="25"/>
  <c r="P350" i="25"/>
  <c r="O350" i="25"/>
  <c r="N350" i="25"/>
  <c r="M350" i="25"/>
  <c r="L350" i="25"/>
  <c r="K350" i="25"/>
  <c r="J350" i="25"/>
  <c r="I350" i="25"/>
  <c r="H350" i="25"/>
  <c r="G350" i="25"/>
  <c r="F350" i="25"/>
  <c r="E350" i="25"/>
  <c r="D350" i="25"/>
  <c r="C350" i="25"/>
  <c r="Q349" i="25"/>
  <c r="P349" i="25"/>
  <c r="O349" i="25"/>
  <c r="N349" i="25"/>
  <c r="M349" i="25"/>
  <c r="L349" i="25"/>
  <c r="K349" i="25"/>
  <c r="J349" i="25"/>
  <c r="I349" i="25"/>
  <c r="H349" i="25"/>
  <c r="G349" i="25"/>
  <c r="F349" i="25"/>
  <c r="E349" i="25"/>
  <c r="D349" i="25"/>
  <c r="C349" i="25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D348" i="25"/>
  <c r="C348" i="25"/>
  <c r="Q347" i="25"/>
  <c r="P347" i="25"/>
  <c r="O347" i="25"/>
  <c r="N347" i="25"/>
  <c r="M347" i="25"/>
  <c r="L347" i="25"/>
  <c r="K347" i="25"/>
  <c r="J347" i="25"/>
  <c r="I347" i="25"/>
  <c r="H347" i="25"/>
  <c r="G347" i="25"/>
  <c r="F347" i="25"/>
  <c r="E347" i="25"/>
  <c r="D347" i="25"/>
  <c r="C347" i="25"/>
  <c r="Q346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Q345" i="25"/>
  <c r="P345" i="25"/>
  <c r="O345" i="25"/>
  <c r="N345" i="25"/>
  <c r="M345" i="25"/>
  <c r="L345" i="25"/>
  <c r="K345" i="25"/>
  <c r="J345" i="25"/>
  <c r="I345" i="25"/>
  <c r="H345" i="25"/>
  <c r="G345" i="25"/>
  <c r="F345" i="25"/>
  <c r="E345" i="25"/>
  <c r="D345" i="25"/>
  <c r="C345" i="25"/>
  <c r="Q344" i="25"/>
  <c r="P344" i="25"/>
  <c r="O344" i="25"/>
  <c r="N344" i="25"/>
  <c r="M344" i="25"/>
  <c r="L344" i="25"/>
  <c r="K344" i="25"/>
  <c r="J344" i="25"/>
  <c r="I344" i="25"/>
  <c r="H344" i="25"/>
  <c r="G344" i="25"/>
  <c r="F344" i="25"/>
  <c r="E344" i="25"/>
  <c r="D344" i="25"/>
  <c r="C344" i="25"/>
  <c r="Q343" i="25"/>
  <c r="P343" i="25"/>
  <c r="O343" i="25"/>
  <c r="N343" i="25"/>
  <c r="M343" i="25"/>
  <c r="L343" i="25"/>
  <c r="K343" i="25"/>
  <c r="J343" i="25"/>
  <c r="I343" i="25"/>
  <c r="H343" i="25"/>
  <c r="G343" i="25"/>
  <c r="F343" i="25"/>
  <c r="E343" i="25"/>
  <c r="D343" i="25"/>
  <c r="C343" i="25"/>
  <c r="Q342" i="25"/>
  <c r="P342" i="25"/>
  <c r="O342" i="25"/>
  <c r="N342" i="25"/>
  <c r="M342" i="25"/>
  <c r="L342" i="25"/>
  <c r="K342" i="25"/>
  <c r="J342" i="25"/>
  <c r="I342" i="25"/>
  <c r="H342" i="25"/>
  <c r="G342" i="25"/>
  <c r="F342" i="25"/>
  <c r="E342" i="25"/>
  <c r="D342" i="25"/>
  <c r="C342" i="25"/>
  <c r="Q341" i="25"/>
  <c r="P341" i="25"/>
  <c r="O341" i="25"/>
  <c r="N341" i="25"/>
  <c r="M341" i="25"/>
  <c r="L341" i="25"/>
  <c r="K341" i="25"/>
  <c r="J341" i="25"/>
  <c r="I341" i="25"/>
  <c r="H341" i="25"/>
  <c r="G341" i="25"/>
  <c r="F341" i="25"/>
  <c r="E341" i="25"/>
  <c r="D341" i="25"/>
  <c r="C341" i="25"/>
  <c r="Q340" i="25"/>
  <c r="P340" i="25"/>
  <c r="O340" i="25"/>
  <c r="N340" i="25"/>
  <c r="M340" i="25"/>
  <c r="L340" i="25"/>
  <c r="K340" i="25"/>
  <c r="J340" i="25"/>
  <c r="I340" i="25"/>
  <c r="H340" i="25"/>
  <c r="G340" i="25"/>
  <c r="F340" i="25"/>
  <c r="E340" i="25"/>
  <c r="D340" i="25"/>
  <c r="C340" i="25"/>
  <c r="Q339" i="25"/>
  <c r="P339" i="25"/>
  <c r="O339" i="25"/>
  <c r="N339" i="25"/>
  <c r="M339" i="25"/>
  <c r="L339" i="25"/>
  <c r="K339" i="25"/>
  <c r="J339" i="25"/>
  <c r="I339" i="25"/>
  <c r="H339" i="25"/>
  <c r="G339" i="25"/>
  <c r="F339" i="25"/>
  <c r="E339" i="25"/>
  <c r="D339" i="25"/>
  <c r="C339" i="25"/>
  <c r="Q338" i="25"/>
  <c r="P338" i="25"/>
  <c r="O338" i="25"/>
  <c r="N338" i="25"/>
  <c r="M338" i="25"/>
  <c r="L338" i="25"/>
  <c r="K338" i="25"/>
  <c r="J338" i="25"/>
  <c r="I338" i="25"/>
  <c r="H338" i="25"/>
  <c r="G338" i="25"/>
  <c r="F338" i="25"/>
  <c r="E338" i="25"/>
  <c r="D338" i="25"/>
  <c r="C338" i="25"/>
  <c r="Q337" i="25"/>
  <c r="P337" i="25"/>
  <c r="O337" i="25"/>
  <c r="N337" i="25"/>
  <c r="M337" i="25"/>
  <c r="L337" i="25"/>
  <c r="K337" i="25"/>
  <c r="J337" i="25"/>
  <c r="I337" i="25"/>
  <c r="H337" i="25"/>
  <c r="G337" i="25"/>
  <c r="F337" i="25"/>
  <c r="E337" i="25"/>
  <c r="D337" i="25"/>
  <c r="C337" i="25"/>
  <c r="Q336" i="25"/>
  <c r="P336" i="25"/>
  <c r="O336" i="25"/>
  <c r="N336" i="25"/>
  <c r="M336" i="25"/>
  <c r="L336" i="25"/>
  <c r="K336" i="25"/>
  <c r="J336" i="25"/>
  <c r="I336" i="25"/>
  <c r="H336" i="25"/>
  <c r="G336" i="25"/>
  <c r="F336" i="25"/>
  <c r="E336" i="25"/>
  <c r="D336" i="25"/>
  <c r="C336" i="25"/>
  <c r="Q335" i="25"/>
  <c r="P335" i="25"/>
  <c r="O335" i="25"/>
  <c r="N335" i="25"/>
  <c r="M335" i="25"/>
  <c r="L335" i="25"/>
  <c r="K335" i="25"/>
  <c r="J335" i="25"/>
  <c r="I335" i="25"/>
  <c r="H335" i="25"/>
  <c r="G335" i="25"/>
  <c r="F335" i="25"/>
  <c r="E335" i="25"/>
  <c r="D335" i="25"/>
  <c r="C335" i="25"/>
  <c r="Q334" i="25"/>
  <c r="P334" i="25"/>
  <c r="O334" i="25"/>
  <c r="N334" i="25"/>
  <c r="M334" i="25"/>
  <c r="L334" i="25"/>
  <c r="K334" i="25"/>
  <c r="J334" i="25"/>
  <c r="I334" i="25"/>
  <c r="H334" i="25"/>
  <c r="G334" i="25"/>
  <c r="F334" i="25"/>
  <c r="E334" i="25"/>
  <c r="D334" i="25"/>
  <c r="C334" i="25"/>
  <c r="Q333" i="25"/>
  <c r="P333" i="25"/>
  <c r="O333" i="25"/>
  <c r="N333" i="25"/>
  <c r="M333" i="25"/>
  <c r="L333" i="25"/>
  <c r="K333" i="25"/>
  <c r="J333" i="25"/>
  <c r="I333" i="25"/>
  <c r="H333" i="25"/>
  <c r="G333" i="25"/>
  <c r="F333" i="25"/>
  <c r="E333" i="25"/>
  <c r="D333" i="25"/>
  <c r="C333" i="25"/>
  <c r="Q332" i="25"/>
  <c r="P332" i="25"/>
  <c r="O332" i="25"/>
  <c r="N332" i="25"/>
  <c r="M332" i="25"/>
  <c r="L332" i="25"/>
  <c r="K332" i="25"/>
  <c r="J332" i="25"/>
  <c r="I332" i="25"/>
  <c r="H332" i="25"/>
  <c r="G332" i="25"/>
  <c r="F332" i="25"/>
  <c r="E332" i="25"/>
  <c r="D332" i="25"/>
  <c r="C332" i="25"/>
  <c r="Q331" i="25"/>
  <c r="P331" i="25"/>
  <c r="O331" i="25"/>
  <c r="N331" i="25"/>
  <c r="M331" i="25"/>
  <c r="L331" i="25"/>
  <c r="K331" i="25"/>
  <c r="J331" i="25"/>
  <c r="I331" i="25"/>
  <c r="H331" i="25"/>
  <c r="G331" i="25"/>
  <c r="F331" i="25"/>
  <c r="E331" i="25"/>
  <c r="D331" i="25"/>
  <c r="C331" i="25"/>
  <c r="Q330" i="25"/>
  <c r="P330" i="25"/>
  <c r="O330" i="25"/>
  <c r="N330" i="25"/>
  <c r="M330" i="25"/>
  <c r="L330" i="25"/>
  <c r="K330" i="25"/>
  <c r="J330" i="25"/>
  <c r="I330" i="25"/>
  <c r="H330" i="25"/>
  <c r="G330" i="25"/>
  <c r="F330" i="25"/>
  <c r="E330" i="25"/>
  <c r="D330" i="25"/>
  <c r="C330" i="25"/>
  <c r="Q329" i="25"/>
  <c r="P329" i="25"/>
  <c r="O329" i="25"/>
  <c r="N329" i="25"/>
  <c r="M329" i="25"/>
  <c r="L329" i="25"/>
  <c r="K329" i="25"/>
  <c r="J329" i="25"/>
  <c r="I329" i="25"/>
  <c r="H329" i="25"/>
  <c r="G329" i="25"/>
  <c r="F329" i="25"/>
  <c r="E329" i="25"/>
  <c r="D329" i="25"/>
  <c r="C329" i="25"/>
  <c r="Q328" i="25"/>
  <c r="P328" i="25"/>
  <c r="O328" i="25"/>
  <c r="N328" i="25"/>
  <c r="M328" i="25"/>
  <c r="L328" i="25"/>
  <c r="K328" i="25"/>
  <c r="J328" i="25"/>
  <c r="I328" i="25"/>
  <c r="H328" i="25"/>
  <c r="G328" i="25"/>
  <c r="F328" i="25"/>
  <c r="E328" i="25"/>
  <c r="D328" i="25"/>
  <c r="C328" i="25"/>
  <c r="Q327" i="25"/>
  <c r="P327" i="25"/>
  <c r="O327" i="25"/>
  <c r="N327" i="25"/>
  <c r="M327" i="25"/>
  <c r="L327" i="25"/>
  <c r="K327" i="25"/>
  <c r="J327" i="25"/>
  <c r="I327" i="25"/>
  <c r="H327" i="25"/>
  <c r="G327" i="25"/>
  <c r="F327" i="25"/>
  <c r="E327" i="25"/>
  <c r="D327" i="25"/>
  <c r="C327" i="25"/>
  <c r="Q326" i="25"/>
  <c r="P326" i="25"/>
  <c r="O326" i="25"/>
  <c r="N326" i="25"/>
  <c r="M326" i="25"/>
  <c r="L326" i="25"/>
  <c r="K326" i="25"/>
  <c r="J326" i="25"/>
  <c r="I326" i="25"/>
  <c r="H326" i="25"/>
  <c r="G326" i="25"/>
  <c r="F326" i="25"/>
  <c r="E326" i="25"/>
  <c r="D326" i="25"/>
  <c r="C326" i="25"/>
  <c r="Q325" i="25"/>
  <c r="P325" i="25"/>
  <c r="O325" i="25"/>
  <c r="N325" i="25"/>
  <c r="M325" i="25"/>
  <c r="L325" i="25"/>
  <c r="K325" i="25"/>
  <c r="J325" i="25"/>
  <c r="I325" i="25"/>
  <c r="H325" i="25"/>
  <c r="G325" i="25"/>
  <c r="F325" i="25"/>
  <c r="E325" i="25"/>
  <c r="D325" i="25"/>
  <c r="C325" i="25"/>
  <c r="Q324" i="25"/>
  <c r="P324" i="25"/>
  <c r="O324" i="25"/>
  <c r="N324" i="25"/>
  <c r="M324" i="25"/>
  <c r="L324" i="25"/>
  <c r="K324" i="25"/>
  <c r="J324" i="25"/>
  <c r="I324" i="25"/>
  <c r="H324" i="25"/>
  <c r="G324" i="25"/>
  <c r="F324" i="25"/>
  <c r="E324" i="25"/>
  <c r="D324" i="25"/>
  <c r="C324" i="25"/>
  <c r="Q323" i="25"/>
  <c r="P323" i="25"/>
  <c r="O323" i="25"/>
  <c r="N323" i="25"/>
  <c r="M323" i="25"/>
  <c r="L323" i="25"/>
  <c r="K323" i="25"/>
  <c r="J323" i="25"/>
  <c r="I323" i="25"/>
  <c r="H323" i="25"/>
  <c r="G323" i="25"/>
  <c r="F323" i="25"/>
  <c r="E323" i="25"/>
  <c r="D323" i="25"/>
  <c r="C323" i="25"/>
  <c r="Q322" i="25"/>
  <c r="P322" i="25"/>
  <c r="O322" i="25"/>
  <c r="N322" i="25"/>
  <c r="M322" i="25"/>
  <c r="L322" i="25"/>
  <c r="K322" i="25"/>
  <c r="J322" i="25"/>
  <c r="I322" i="25"/>
  <c r="H322" i="25"/>
  <c r="G322" i="25"/>
  <c r="F322" i="25"/>
  <c r="E322" i="25"/>
  <c r="D322" i="25"/>
  <c r="C322" i="25"/>
  <c r="Q321" i="25"/>
  <c r="P321" i="25"/>
  <c r="O321" i="25"/>
  <c r="N321" i="25"/>
  <c r="M321" i="25"/>
  <c r="L321" i="25"/>
  <c r="K321" i="25"/>
  <c r="J321" i="25"/>
  <c r="I321" i="25"/>
  <c r="H321" i="25"/>
  <c r="G321" i="25"/>
  <c r="F321" i="25"/>
  <c r="E321" i="25"/>
  <c r="D321" i="25"/>
  <c r="C321" i="25"/>
  <c r="Q320" i="25"/>
  <c r="P320" i="25"/>
  <c r="O320" i="25"/>
  <c r="N320" i="25"/>
  <c r="M320" i="25"/>
  <c r="L320" i="25"/>
  <c r="K320" i="25"/>
  <c r="J320" i="25"/>
  <c r="I320" i="25"/>
  <c r="H320" i="25"/>
  <c r="G320" i="25"/>
  <c r="F320" i="25"/>
  <c r="E320" i="25"/>
  <c r="D320" i="25"/>
  <c r="C320" i="25"/>
  <c r="Q319" i="25"/>
  <c r="P319" i="25"/>
  <c r="O319" i="25"/>
  <c r="N319" i="25"/>
  <c r="M319" i="25"/>
  <c r="L319" i="25"/>
  <c r="K319" i="25"/>
  <c r="J319" i="25"/>
  <c r="I319" i="25"/>
  <c r="H319" i="25"/>
  <c r="G319" i="25"/>
  <c r="F319" i="25"/>
  <c r="E319" i="25"/>
  <c r="D319" i="25"/>
  <c r="C319" i="25"/>
  <c r="Q318" i="25"/>
  <c r="P318" i="25"/>
  <c r="O318" i="25"/>
  <c r="N318" i="25"/>
  <c r="M318" i="25"/>
  <c r="L318" i="25"/>
  <c r="K318" i="25"/>
  <c r="J318" i="25"/>
  <c r="I318" i="25"/>
  <c r="H318" i="25"/>
  <c r="G318" i="25"/>
  <c r="F318" i="25"/>
  <c r="E318" i="25"/>
  <c r="D318" i="25"/>
  <c r="C318" i="25"/>
  <c r="Q317" i="25"/>
  <c r="P317" i="25"/>
  <c r="O317" i="25"/>
  <c r="N317" i="25"/>
  <c r="M317" i="25"/>
  <c r="L317" i="25"/>
  <c r="K317" i="25"/>
  <c r="J317" i="25"/>
  <c r="I317" i="25"/>
  <c r="H317" i="25"/>
  <c r="G317" i="25"/>
  <c r="F317" i="25"/>
  <c r="E317" i="25"/>
  <c r="D317" i="25"/>
  <c r="C317" i="25"/>
  <c r="Q316" i="25"/>
  <c r="P316" i="25"/>
  <c r="O316" i="25"/>
  <c r="N316" i="25"/>
  <c r="M316" i="25"/>
  <c r="L316" i="25"/>
  <c r="K316" i="25"/>
  <c r="J316" i="25"/>
  <c r="I316" i="25"/>
  <c r="H316" i="25"/>
  <c r="G316" i="25"/>
  <c r="F316" i="25"/>
  <c r="E316" i="25"/>
  <c r="D316" i="25"/>
  <c r="C316" i="25"/>
  <c r="Q315" i="25"/>
  <c r="P315" i="25"/>
  <c r="O315" i="25"/>
  <c r="N315" i="25"/>
  <c r="M315" i="25"/>
  <c r="L315" i="25"/>
  <c r="K315" i="25"/>
  <c r="J315" i="25"/>
  <c r="I315" i="25"/>
  <c r="H315" i="25"/>
  <c r="G315" i="25"/>
  <c r="F315" i="25"/>
  <c r="E315" i="25"/>
  <c r="D315" i="25"/>
  <c r="C315" i="25"/>
  <c r="Q314" i="25"/>
  <c r="P314" i="25"/>
  <c r="O314" i="25"/>
  <c r="N314" i="25"/>
  <c r="M314" i="25"/>
  <c r="L314" i="25"/>
  <c r="K314" i="25"/>
  <c r="J314" i="25"/>
  <c r="I314" i="25"/>
  <c r="H314" i="25"/>
  <c r="G314" i="25"/>
  <c r="F314" i="25"/>
  <c r="E314" i="25"/>
  <c r="D314" i="25"/>
  <c r="C314" i="25"/>
  <c r="Q313" i="25"/>
  <c r="P313" i="25"/>
  <c r="O313" i="25"/>
  <c r="N313" i="25"/>
  <c r="M313" i="25"/>
  <c r="L313" i="25"/>
  <c r="K313" i="25"/>
  <c r="J313" i="25"/>
  <c r="I313" i="25"/>
  <c r="H313" i="25"/>
  <c r="G313" i="25"/>
  <c r="F313" i="25"/>
  <c r="E313" i="25"/>
  <c r="D313" i="25"/>
  <c r="C313" i="25"/>
  <c r="Q312" i="25"/>
  <c r="P312" i="25"/>
  <c r="O312" i="25"/>
  <c r="N312" i="25"/>
  <c r="M312" i="25"/>
  <c r="L312" i="25"/>
  <c r="K312" i="25"/>
  <c r="J312" i="25"/>
  <c r="I312" i="25"/>
  <c r="H312" i="25"/>
  <c r="G312" i="25"/>
  <c r="F312" i="25"/>
  <c r="E312" i="25"/>
  <c r="D312" i="25"/>
  <c r="C312" i="25"/>
  <c r="Q311" i="25"/>
  <c r="P311" i="25"/>
  <c r="O311" i="25"/>
  <c r="N311" i="25"/>
  <c r="M311" i="25"/>
  <c r="L311" i="25"/>
  <c r="K311" i="25"/>
  <c r="J311" i="25"/>
  <c r="I311" i="25"/>
  <c r="H311" i="25"/>
  <c r="G311" i="25"/>
  <c r="F311" i="25"/>
  <c r="E311" i="25"/>
  <c r="D311" i="25"/>
  <c r="C311" i="25"/>
  <c r="Q310" i="25"/>
  <c r="P310" i="25"/>
  <c r="O310" i="25"/>
  <c r="N310" i="25"/>
  <c r="M310" i="25"/>
  <c r="L310" i="25"/>
  <c r="K310" i="25"/>
  <c r="J310" i="25"/>
  <c r="I310" i="25"/>
  <c r="H310" i="25"/>
  <c r="G310" i="25"/>
  <c r="F310" i="25"/>
  <c r="E310" i="25"/>
  <c r="D310" i="25"/>
  <c r="C310" i="25"/>
  <c r="Q309" i="25"/>
  <c r="P309" i="25"/>
  <c r="O309" i="25"/>
  <c r="N309" i="25"/>
  <c r="M309" i="25"/>
  <c r="L309" i="25"/>
  <c r="K309" i="25"/>
  <c r="J309" i="25"/>
  <c r="I309" i="25"/>
  <c r="H309" i="25"/>
  <c r="G309" i="25"/>
  <c r="F309" i="25"/>
  <c r="E309" i="25"/>
  <c r="D309" i="25"/>
  <c r="C309" i="25"/>
  <c r="Q308" i="25"/>
  <c r="P308" i="25"/>
  <c r="O308" i="25"/>
  <c r="N308" i="25"/>
  <c r="M308" i="25"/>
  <c r="L308" i="25"/>
  <c r="K308" i="25"/>
  <c r="J308" i="25"/>
  <c r="I308" i="25"/>
  <c r="H308" i="25"/>
  <c r="G308" i="25"/>
  <c r="F308" i="25"/>
  <c r="E308" i="25"/>
  <c r="D308" i="25"/>
  <c r="C308" i="25"/>
  <c r="Q307" i="25"/>
  <c r="P307" i="25"/>
  <c r="O307" i="25"/>
  <c r="N307" i="25"/>
  <c r="M307" i="25"/>
  <c r="L307" i="25"/>
  <c r="K307" i="25"/>
  <c r="J307" i="25"/>
  <c r="I307" i="25"/>
  <c r="H307" i="25"/>
  <c r="G307" i="25"/>
  <c r="F307" i="25"/>
  <c r="E307" i="25"/>
  <c r="D307" i="25"/>
  <c r="C307" i="25"/>
  <c r="Q306" i="25"/>
  <c r="P306" i="25"/>
  <c r="O306" i="25"/>
  <c r="N306" i="25"/>
  <c r="M306" i="25"/>
  <c r="L306" i="25"/>
  <c r="K306" i="25"/>
  <c r="J306" i="25"/>
  <c r="I306" i="25"/>
  <c r="H306" i="25"/>
  <c r="G306" i="25"/>
  <c r="F306" i="25"/>
  <c r="E306" i="25"/>
  <c r="D306" i="25"/>
  <c r="C306" i="25"/>
  <c r="Q305" i="25"/>
  <c r="P305" i="25"/>
  <c r="O305" i="25"/>
  <c r="N305" i="25"/>
  <c r="M305" i="25"/>
  <c r="L305" i="25"/>
  <c r="K305" i="25"/>
  <c r="J305" i="25"/>
  <c r="I305" i="25"/>
  <c r="H305" i="25"/>
  <c r="G305" i="25"/>
  <c r="F305" i="25"/>
  <c r="E305" i="25"/>
  <c r="D305" i="25"/>
  <c r="C305" i="25"/>
  <c r="Q304" i="25"/>
  <c r="P304" i="25"/>
  <c r="O304" i="25"/>
  <c r="N304" i="25"/>
  <c r="M304" i="25"/>
  <c r="L304" i="25"/>
  <c r="K304" i="25"/>
  <c r="J304" i="25"/>
  <c r="I304" i="25"/>
  <c r="H304" i="25"/>
  <c r="G304" i="25"/>
  <c r="F304" i="25"/>
  <c r="E304" i="25"/>
  <c r="D304" i="25"/>
  <c r="C304" i="25"/>
  <c r="Q303" i="25"/>
  <c r="P303" i="25"/>
  <c r="O303" i="25"/>
  <c r="N303" i="25"/>
  <c r="M303" i="25"/>
  <c r="L303" i="25"/>
  <c r="K303" i="25"/>
  <c r="J303" i="25"/>
  <c r="I303" i="25"/>
  <c r="H303" i="25"/>
  <c r="G303" i="25"/>
  <c r="F303" i="25"/>
  <c r="E303" i="25"/>
  <c r="D303" i="25"/>
  <c r="C303" i="25"/>
  <c r="Q302" i="25"/>
  <c r="P302" i="25"/>
  <c r="O302" i="25"/>
  <c r="N302" i="25"/>
  <c r="M302" i="25"/>
  <c r="L302" i="25"/>
  <c r="K302" i="25"/>
  <c r="J302" i="25"/>
  <c r="I302" i="25"/>
  <c r="H302" i="25"/>
  <c r="G302" i="25"/>
  <c r="F302" i="25"/>
  <c r="E302" i="25"/>
  <c r="D302" i="25"/>
  <c r="C302" i="25"/>
  <c r="Q301" i="25"/>
  <c r="P301" i="25"/>
  <c r="O301" i="25"/>
  <c r="N301" i="25"/>
  <c r="M301" i="25"/>
  <c r="L301" i="25"/>
  <c r="K301" i="25"/>
  <c r="J301" i="25"/>
  <c r="I301" i="25"/>
  <c r="H301" i="25"/>
  <c r="G301" i="25"/>
  <c r="F301" i="25"/>
  <c r="E301" i="25"/>
  <c r="D301" i="25"/>
  <c r="C301" i="25"/>
  <c r="Q300" i="25"/>
  <c r="P300" i="25"/>
  <c r="O300" i="25"/>
  <c r="N300" i="25"/>
  <c r="M300" i="25"/>
  <c r="L300" i="25"/>
  <c r="K300" i="25"/>
  <c r="J300" i="25"/>
  <c r="I300" i="25"/>
  <c r="H300" i="25"/>
  <c r="G300" i="25"/>
  <c r="F300" i="25"/>
  <c r="E300" i="25"/>
  <c r="D300" i="25"/>
  <c r="C300" i="25"/>
  <c r="Q299" i="25"/>
  <c r="P299" i="25"/>
  <c r="O299" i="25"/>
  <c r="N299" i="25"/>
  <c r="M299" i="25"/>
  <c r="L299" i="25"/>
  <c r="K299" i="25"/>
  <c r="J299" i="25"/>
  <c r="I299" i="25"/>
  <c r="H299" i="25"/>
  <c r="G299" i="25"/>
  <c r="F299" i="25"/>
  <c r="E299" i="25"/>
  <c r="D299" i="25"/>
  <c r="C299" i="25"/>
  <c r="Q298" i="25"/>
  <c r="P298" i="25"/>
  <c r="O298" i="25"/>
  <c r="N298" i="25"/>
  <c r="M298" i="25"/>
  <c r="L298" i="25"/>
  <c r="K298" i="25"/>
  <c r="J298" i="25"/>
  <c r="I298" i="25"/>
  <c r="H298" i="25"/>
  <c r="G298" i="25"/>
  <c r="F298" i="25"/>
  <c r="E298" i="25"/>
  <c r="D298" i="25"/>
  <c r="C298" i="25"/>
  <c r="Q297" i="25"/>
  <c r="P297" i="25"/>
  <c r="O297" i="25"/>
  <c r="N297" i="25"/>
  <c r="M297" i="25"/>
  <c r="L297" i="25"/>
  <c r="K297" i="25"/>
  <c r="J297" i="25"/>
  <c r="I297" i="25"/>
  <c r="H297" i="25"/>
  <c r="G297" i="25"/>
  <c r="F297" i="25"/>
  <c r="E297" i="25"/>
  <c r="D297" i="25"/>
  <c r="C297" i="25"/>
  <c r="AE296" i="25"/>
  <c r="N296" i="25" s="1"/>
  <c r="AD296" i="25"/>
  <c r="AC296" i="25"/>
  <c r="M291" i="25" s="1"/>
  <c r="AB296" i="25"/>
  <c r="L293" i="25" s="1"/>
  <c r="AA296" i="25"/>
  <c r="K296" i="25" s="1"/>
  <c r="Z296" i="25"/>
  <c r="J295" i="25" s="1"/>
  <c r="Y296" i="25"/>
  <c r="X296" i="25"/>
  <c r="W296" i="25"/>
  <c r="V296" i="25"/>
  <c r="F296" i="25" s="1"/>
  <c r="U296" i="25"/>
  <c r="E294" i="25" s="1"/>
  <c r="T296" i="25"/>
  <c r="D296" i="25" s="1"/>
  <c r="S296" i="25"/>
  <c r="C296" i="25" s="1"/>
  <c r="Q296" i="25"/>
  <c r="P296" i="25"/>
  <c r="O296" i="25"/>
  <c r="AE295" i="25"/>
  <c r="N295" i="25" s="1"/>
  <c r="AD295" i="25"/>
  <c r="AC295" i="25"/>
  <c r="AB295" i="25"/>
  <c r="AA295" i="25"/>
  <c r="Z295" i="25"/>
  <c r="Y295" i="25"/>
  <c r="X295" i="25"/>
  <c r="W295" i="25"/>
  <c r="V295" i="25"/>
  <c r="U295" i="25"/>
  <c r="T295" i="25"/>
  <c r="S295" i="25"/>
  <c r="Q295" i="25"/>
  <c r="P295" i="25"/>
  <c r="O295" i="25"/>
  <c r="K295" i="25"/>
  <c r="AE294" i="25"/>
  <c r="AD294" i="25"/>
  <c r="AC294" i="25"/>
  <c r="AB294" i="25"/>
  <c r="AA294" i="25"/>
  <c r="Z294" i="25"/>
  <c r="Y294" i="25"/>
  <c r="X294" i="25"/>
  <c r="W294" i="25"/>
  <c r="V294" i="25"/>
  <c r="U294" i="25"/>
  <c r="T294" i="25"/>
  <c r="S294" i="25"/>
  <c r="Q294" i="25"/>
  <c r="P294" i="25"/>
  <c r="O294" i="25"/>
  <c r="AE293" i="25"/>
  <c r="AD293" i="25"/>
  <c r="AC293" i="25"/>
  <c r="AB293" i="25"/>
  <c r="AA293" i="25"/>
  <c r="Z293" i="25"/>
  <c r="Y293" i="25"/>
  <c r="X293" i="25"/>
  <c r="W293" i="25"/>
  <c r="V293" i="25"/>
  <c r="U293" i="25"/>
  <c r="T293" i="25"/>
  <c r="S293" i="25"/>
  <c r="C293" i="25" s="1"/>
  <c r="Q293" i="25"/>
  <c r="P293" i="25"/>
  <c r="O293" i="25"/>
  <c r="K293" i="25"/>
  <c r="AE292" i="25"/>
  <c r="AD292" i="25"/>
  <c r="AC292" i="25"/>
  <c r="AB292" i="25"/>
  <c r="AA292" i="25"/>
  <c r="Z292" i="25"/>
  <c r="Y292" i="25"/>
  <c r="X292" i="25"/>
  <c r="W292" i="25"/>
  <c r="V292" i="25"/>
  <c r="U292" i="25"/>
  <c r="T292" i="25"/>
  <c r="S292" i="25"/>
  <c r="Q292" i="25"/>
  <c r="P292" i="25"/>
  <c r="O292" i="25"/>
  <c r="AE291" i="25"/>
  <c r="AD291" i="25"/>
  <c r="AC291" i="25"/>
  <c r="AB291" i="25"/>
  <c r="AA291" i="25"/>
  <c r="Z291" i="25"/>
  <c r="Y291" i="25"/>
  <c r="X291" i="25"/>
  <c r="W291" i="25"/>
  <c r="V291" i="25"/>
  <c r="U291" i="25"/>
  <c r="T291" i="25"/>
  <c r="S291" i="25"/>
  <c r="Q291" i="25"/>
  <c r="P291" i="25"/>
  <c r="O291" i="25"/>
  <c r="K291" i="25"/>
  <c r="Q290" i="25"/>
  <c r="P290" i="25"/>
  <c r="O290" i="25"/>
  <c r="N290" i="25"/>
  <c r="M290" i="25"/>
  <c r="L290" i="25"/>
  <c r="K290" i="25"/>
  <c r="J290" i="25"/>
  <c r="I290" i="25"/>
  <c r="H290" i="25"/>
  <c r="G290" i="25"/>
  <c r="F290" i="25"/>
  <c r="E290" i="25"/>
  <c r="D290" i="25"/>
  <c r="C290" i="25"/>
  <c r="Q289" i="25"/>
  <c r="P289" i="25"/>
  <c r="O289" i="25"/>
  <c r="N289" i="25"/>
  <c r="M289" i="25"/>
  <c r="L289" i="25"/>
  <c r="K289" i="25"/>
  <c r="J289" i="25"/>
  <c r="I289" i="25"/>
  <c r="H289" i="25"/>
  <c r="G289" i="25"/>
  <c r="F289" i="25"/>
  <c r="E289" i="25"/>
  <c r="D289" i="25"/>
  <c r="C289" i="25"/>
  <c r="Q288" i="25"/>
  <c r="P288" i="25"/>
  <c r="O288" i="25"/>
  <c r="N288" i="25"/>
  <c r="M288" i="25"/>
  <c r="L288" i="25"/>
  <c r="K288" i="25"/>
  <c r="J288" i="25"/>
  <c r="I288" i="25"/>
  <c r="H288" i="25"/>
  <c r="G288" i="25"/>
  <c r="F288" i="25"/>
  <c r="E288" i="25"/>
  <c r="D288" i="25"/>
  <c r="C288" i="25"/>
  <c r="Q287" i="25"/>
  <c r="P287" i="25"/>
  <c r="O287" i="25"/>
  <c r="N287" i="25"/>
  <c r="M287" i="25"/>
  <c r="L287" i="25"/>
  <c r="K287" i="25"/>
  <c r="J287" i="25"/>
  <c r="I287" i="25"/>
  <c r="H287" i="25"/>
  <c r="G287" i="25"/>
  <c r="F287" i="25"/>
  <c r="E287" i="25"/>
  <c r="D287" i="25"/>
  <c r="C287" i="25"/>
  <c r="Q286" i="25"/>
  <c r="P286" i="25"/>
  <c r="O286" i="25"/>
  <c r="N286" i="25"/>
  <c r="M286" i="25"/>
  <c r="L286" i="25"/>
  <c r="K286" i="25"/>
  <c r="J286" i="25"/>
  <c r="I286" i="25"/>
  <c r="H286" i="25"/>
  <c r="G286" i="25"/>
  <c r="F286" i="25"/>
  <c r="E286" i="25"/>
  <c r="D286" i="25"/>
  <c r="C286" i="25"/>
  <c r="Q285" i="25"/>
  <c r="P285" i="25"/>
  <c r="O285" i="25"/>
  <c r="N285" i="25"/>
  <c r="M285" i="25"/>
  <c r="L285" i="25"/>
  <c r="K285" i="25"/>
  <c r="J285" i="25"/>
  <c r="I285" i="25"/>
  <c r="H285" i="25"/>
  <c r="G285" i="25"/>
  <c r="F285" i="25"/>
  <c r="E285" i="25"/>
  <c r="D285" i="25"/>
  <c r="C285" i="25"/>
  <c r="Q284" i="25"/>
  <c r="P284" i="25"/>
  <c r="O284" i="25"/>
  <c r="N284" i="25"/>
  <c r="M284" i="25"/>
  <c r="L284" i="25"/>
  <c r="K284" i="25"/>
  <c r="J284" i="25"/>
  <c r="I284" i="25"/>
  <c r="H284" i="25"/>
  <c r="G284" i="25"/>
  <c r="F284" i="25"/>
  <c r="E284" i="25"/>
  <c r="D284" i="25"/>
  <c r="C284" i="25"/>
  <c r="Q283" i="25"/>
  <c r="P283" i="25"/>
  <c r="O283" i="25"/>
  <c r="N283" i="25"/>
  <c r="M283" i="25"/>
  <c r="L283" i="25"/>
  <c r="K283" i="25"/>
  <c r="J283" i="25"/>
  <c r="I283" i="25"/>
  <c r="H283" i="25"/>
  <c r="G283" i="25"/>
  <c r="F283" i="25"/>
  <c r="E283" i="25"/>
  <c r="D283" i="25"/>
  <c r="C283" i="25"/>
  <c r="Q282" i="25"/>
  <c r="P282" i="25"/>
  <c r="O282" i="25"/>
  <c r="N282" i="25"/>
  <c r="M282" i="25"/>
  <c r="L282" i="25"/>
  <c r="K282" i="25"/>
  <c r="J282" i="25"/>
  <c r="I282" i="25"/>
  <c r="H282" i="25"/>
  <c r="G282" i="25"/>
  <c r="F282" i="25"/>
  <c r="E282" i="25"/>
  <c r="D282" i="25"/>
  <c r="C282" i="25"/>
  <c r="Q281" i="25"/>
  <c r="P281" i="25"/>
  <c r="O281" i="25"/>
  <c r="N281" i="25"/>
  <c r="M281" i="25"/>
  <c r="L281" i="25"/>
  <c r="K281" i="25"/>
  <c r="J281" i="25"/>
  <c r="I281" i="25"/>
  <c r="H281" i="25"/>
  <c r="G281" i="25"/>
  <c r="F281" i="25"/>
  <c r="E281" i="25"/>
  <c r="D281" i="25"/>
  <c r="C281" i="25"/>
  <c r="Q280" i="25"/>
  <c r="P280" i="25"/>
  <c r="O280" i="25"/>
  <c r="N280" i="25"/>
  <c r="M280" i="25"/>
  <c r="L280" i="25"/>
  <c r="K280" i="25"/>
  <c r="J280" i="25"/>
  <c r="I280" i="25"/>
  <c r="H280" i="25"/>
  <c r="G280" i="25"/>
  <c r="F280" i="25"/>
  <c r="E280" i="25"/>
  <c r="D280" i="25"/>
  <c r="C280" i="25"/>
  <c r="Q279" i="25"/>
  <c r="P279" i="25"/>
  <c r="O279" i="25"/>
  <c r="N279" i="25"/>
  <c r="M279" i="25"/>
  <c r="L279" i="25"/>
  <c r="K279" i="25"/>
  <c r="J279" i="25"/>
  <c r="I279" i="25"/>
  <c r="H279" i="25"/>
  <c r="G279" i="25"/>
  <c r="F279" i="25"/>
  <c r="E279" i="25"/>
  <c r="D279" i="25"/>
  <c r="C279" i="25"/>
  <c r="Q278" i="25"/>
  <c r="P278" i="25"/>
  <c r="O278" i="25"/>
  <c r="N278" i="25"/>
  <c r="M278" i="25"/>
  <c r="L278" i="25"/>
  <c r="K278" i="25"/>
  <c r="J278" i="25"/>
  <c r="I278" i="25"/>
  <c r="H278" i="25"/>
  <c r="G278" i="25"/>
  <c r="F278" i="25"/>
  <c r="E278" i="25"/>
  <c r="D278" i="25"/>
  <c r="C278" i="25"/>
  <c r="Q277" i="25"/>
  <c r="P277" i="25"/>
  <c r="O277" i="25"/>
  <c r="N277" i="25"/>
  <c r="M277" i="25"/>
  <c r="L277" i="25"/>
  <c r="K277" i="25"/>
  <c r="J277" i="25"/>
  <c r="I277" i="25"/>
  <c r="H277" i="25"/>
  <c r="G277" i="25"/>
  <c r="F277" i="25"/>
  <c r="E277" i="25"/>
  <c r="D277" i="25"/>
  <c r="C277" i="25"/>
  <c r="Q276" i="25"/>
  <c r="P276" i="25"/>
  <c r="O276" i="25"/>
  <c r="N276" i="25"/>
  <c r="M276" i="25"/>
  <c r="L276" i="25"/>
  <c r="K276" i="25"/>
  <c r="J276" i="25"/>
  <c r="I276" i="25"/>
  <c r="H276" i="25"/>
  <c r="G276" i="25"/>
  <c r="F276" i="25"/>
  <c r="E276" i="25"/>
  <c r="D276" i="25"/>
  <c r="C276" i="25"/>
  <c r="Q275" i="25"/>
  <c r="P275" i="25"/>
  <c r="O275" i="25"/>
  <c r="N275" i="25"/>
  <c r="M275" i="25"/>
  <c r="L275" i="25"/>
  <c r="K275" i="25"/>
  <c r="J275" i="25"/>
  <c r="I275" i="25"/>
  <c r="H275" i="25"/>
  <c r="G275" i="25"/>
  <c r="F275" i="25"/>
  <c r="E275" i="25"/>
  <c r="D275" i="25"/>
  <c r="C275" i="25"/>
  <c r="Q274" i="25"/>
  <c r="P274" i="25"/>
  <c r="O274" i="25"/>
  <c r="N274" i="25"/>
  <c r="M274" i="25"/>
  <c r="L274" i="25"/>
  <c r="K274" i="25"/>
  <c r="J274" i="25"/>
  <c r="I274" i="25"/>
  <c r="H274" i="25"/>
  <c r="G274" i="25"/>
  <c r="F274" i="25"/>
  <c r="E274" i="25"/>
  <c r="D274" i="25"/>
  <c r="C274" i="25"/>
  <c r="Q273" i="25"/>
  <c r="P273" i="25"/>
  <c r="O273" i="25"/>
  <c r="N273" i="25"/>
  <c r="M273" i="25"/>
  <c r="L273" i="25"/>
  <c r="K273" i="25"/>
  <c r="J273" i="25"/>
  <c r="I273" i="25"/>
  <c r="H273" i="25"/>
  <c r="G273" i="25"/>
  <c r="F273" i="25"/>
  <c r="E273" i="25"/>
  <c r="D273" i="25"/>
  <c r="C273" i="25"/>
  <c r="Q272" i="25"/>
  <c r="P272" i="25"/>
  <c r="O272" i="25"/>
  <c r="N272" i="25"/>
  <c r="M272" i="25"/>
  <c r="L272" i="25"/>
  <c r="K272" i="25"/>
  <c r="J272" i="25"/>
  <c r="I272" i="25"/>
  <c r="H272" i="25"/>
  <c r="G272" i="25"/>
  <c r="F272" i="25"/>
  <c r="E272" i="25"/>
  <c r="D272" i="25"/>
  <c r="C272" i="25"/>
  <c r="Q271" i="25"/>
  <c r="P271" i="25"/>
  <c r="O271" i="25"/>
  <c r="N271" i="25"/>
  <c r="M271" i="25"/>
  <c r="L271" i="25"/>
  <c r="K271" i="25"/>
  <c r="J271" i="25"/>
  <c r="I271" i="25"/>
  <c r="H271" i="25"/>
  <c r="G271" i="25"/>
  <c r="F271" i="25"/>
  <c r="E271" i="25"/>
  <c r="D271" i="25"/>
  <c r="C271" i="25"/>
  <c r="Q270" i="25"/>
  <c r="P270" i="25"/>
  <c r="O270" i="25"/>
  <c r="N270" i="25"/>
  <c r="M270" i="25"/>
  <c r="L270" i="25"/>
  <c r="K270" i="25"/>
  <c r="J270" i="25"/>
  <c r="I270" i="25"/>
  <c r="H270" i="25"/>
  <c r="G270" i="25"/>
  <c r="F270" i="25"/>
  <c r="E270" i="25"/>
  <c r="D270" i="25"/>
  <c r="C270" i="25"/>
  <c r="Q269" i="25"/>
  <c r="P269" i="25"/>
  <c r="O269" i="25"/>
  <c r="N269" i="25"/>
  <c r="M269" i="25"/>
  <c r="L269" i="25"/>
  <c r="K269" i="25"/>
  <c r="J269" i="25"/>
  <c r="I269" i="25"/>
  <c r="H269" i="25"/>
  <c r="G269" i="25"/>
  <c r="F269" i="25"/>
  <c r="E269" i="25"/>
  <c r="D269" i="25"/>
  <c r="C269" i="25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E268" i="25"/>
  <c r="D268" i="25"/>
  <c r="C268" i="25"/>
  <c r="Q267" i="25"/>
  <c r="P267" i="25"/>
  <c r="O267" i="25"/>
  <c r="N267" i="25"/>
  <c r="M267" i="25"/>
  <c r="L267" i="25"/>
  <c r="K267" i="25"/>
  <c r="J267" i="25"/>
  <c r="I267" i="25"/>
  <c r="H267" i="25"/>
  <c r="G267" i="25"/>
  <c r="F267" i="25"/>
  <c r="E267" i="25"/>
  <c r="D267" i="25"/>
  <c r="C267" i="25"/>
  <c r="Q266" i="25"/>
  <c r="P266" i="25"/>
  <c r="O266" i="25"/>
  <c r="N266" i="25"/>
  <c r="M266" i="25"/>
  <c r="L266" i="25"/>
  <c r="K266" i="25"/>
  <c r="J266" i="25"/>
  <c r="I266" i="25"/>
  <c r="H266" i="25"/>
  <c r="G266" i="25"/>
  <c r="F266" i="25"/>
  <c r="E266" i="25"/>
  <c r="D266" i="25"/>
  <c r="C266" i="25"/>
  <c r="Q265" i="25"/>
  <c r="P265" i="25"/>
  <c r="O265" i="25"/>
  <c r="N265" i="25"/>
  <c r="M265" i="25"/>
  <c r="L265" i="25"/>
  <c r="K265" i="25"/>
  <c r="J265" i="25"/>
  <c r="I265" i="25"/>
  <c r="H265" i="25"/>
  <c r="G265" i="25"/>
  <c r="F265" i="25"/>
  <c r="E265" i="25"/>
  <c r="D265" i="25"/>
  <c r="C265" i="25"/>
  <c r="Q264" i="25"/>
  <c r="P264" i="25"/>
  <c r="O264" i="25"/>
  <c r="N264" i="25"/>
  <c r="M264" i="25"/>
  <c r="L264" i="25"/>
  <c r="K264" i="25"/>
  <c r="J264" i="25"/>
  <c r="I264" i="25"/>
  <c r="H264" i="25"/>
  <c r="G264" i="25"/>
  <c r="F264" i="25"/>
  <c r="E264" i="25"/>
  <c r="D264" i="25"/>
  <c r="C264" i="25"/>
  <c r="Q263" i="25"/>
  <c r="P263" i="25"/>
  <c r="O263" i="25"/>
  <c r="N263" i="25"/>
  <c r="M263" i="25"/>
  <c r="L263" i="25"/>
  <c r="K263" i="25"/>
  <c r="J263" i="25"/>
  <c r="I263" i="25"/>
  <c r="H263" i="25"/>
  <c r="G263" i="25"/>
  <c r="F263" i="25"/>
  <c r="E263" i="25"/>
  <c r="D263" i="25"/>
  <c r="C263" i="25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C262" i="25"/>
  <c r="Q261" i="25"/>
  <c r="P261" i="25"/>
  <c r="O261" i="25"/>
  <c r="N261" i="25"/>
  <c r="M261" i="25"/>
  <c r="L261" i="25"/>
  <c r="K261" i="25"/>
  <c r="J261" i="25"/>
  <c r="I261" i="25"/>
  <c r="H261" i="25"/>
  <c r="G261" i="25"/>
  <c r="F261" i="25"/>
  <c r="E261" i="25"/>
  <c r="D261" i="25"/>
  <c r="C261" i="25"/>
  <c r="Q260" i="25"/>
  <c r="P260" i="25"/>
  <c r="O260" i="25"/>
  <c r="N260" i="25"/>
  <c r="M260" i="25"/>
  <c r="L260" i="25"/>
  <c r="K260" i="25"/>
  <c r="J260" i="25"/>
  <c r="I260" i="25"/>
  <c r="H260" i="25"/>
  <c r="G260" i="25"/>
  <c r="F260" i="25"/>
  <c r="E260" i="25"/>
  <c r="D260" i="25"/>
  <c r="C260" i="25"/>
  <c r="Q259" i="25"/>
  <c r="P259" i="25"/>
  <c r="O259" i="25"/>
  <c r="N259" i="25"/>
  <c r="M259" i="25"/>
  <c r="L259" i="25"/>
  <c r="K259" i="25"/>
  <c r="J259" i="25"/>
  <c r="I259" i="25"/>
  <c r="H259" i="25"/>
  <c r="G259" i="25"/>
  <c r="F259" i="25"/>
  <c r="E259" i="25"/>
  <c r="D259" i="25"/>
  <c r="C259" i="25"/>
  <c r="Q258" i="25"/>
  <c r="P258" i="25"/>
  <c r="O258" i="25"/>
  <c r="N258" i="25"/>
  <c r="M258" i="25"/>
  <c r="L258" i="25"/>
  <c r="K258" i="25"/>
  <c r="J258" i="25"/>
  <c r="I258" i="25"/>
  <c r="H258" i="25"/>
  <c r="G258" i="25"/>
  <c r="F258" i="25"/>
  <c r="E258" i="25"/>
  <c r="D258" i="25"/>
  <c r="C258" i="25"/>
  <c r="Q257" i="25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D257" i="25"/>
  <c r="C257" i="25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D256" i="25"/>
  <c r="C256" i="25"/>
  <c r="Q255" i="25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D255" i="25"/>
  <c r="C255" i="25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C254" i="25"/>
  <c r="Q253" i="25"/>
  <c r="P253" i="25"/>
  <c r="O253" i="25"/>
  <c r="N253" i="25"/>
  <c r="M253" i="25"/>
  <c r="L253" i="25"/>
  <c r="K253" i="25"/>
  <c r="J253" i="25"/>
  <c r="I253" i="25"/>
  <c r="H253" i="25"/>
  <c r="G253" i="25"/>
  <c r="F253" i="25"/>
  <c r="E253" i="25"/>
  <c r="D253" i="25"/>
  <c r="C253" i="25"/>
  <c r="Q252" i="25"/>
  <c r="P252" i="25"/>
  <c r="O252" i="25"/>
  <c r="N252" i="25"/>
  <c r="M252" i="25"/>
  <c r="L252" i="25"/>
  <c r="K252" i="25"/>
  <c r="J252" i="25"/>
  <c r="I252" i="25"/>
  <c r="H252" i="25"/>
  <c r="G252" i="25"/>
  <c r="F252" i="25"/>
  <c r="E252" i="25"/>
  <c r="D252" i="25"/>
  <c r="C252" i="25"/>
  <c r="Q251" i="25"/>
  <c r="P251" i="25"/>
  <c r="O251" i="25"/>
  <c r="N251" i="25"/>
  <c r="M251" i="25"/>
  <c r="L251" i="25"/>
  <c r="K251" i="25"/>
  <c r="J251" i="25"/>
  <c r="I251" i="25"/>
  <c r="H251" i="25"/>
  <c r="G251" i="25"/>
  <c r="F251" i="25"/>
  <c r="E251" i="25"/>
  <c r="D251" i="25"/>
  <c r="C251" i="25"/>
  <c r="Q250" i="25"/>
  <c r="P250" i="25"/>
  <c r="O250" i="25"/>
  <c r="N250" i="25"/>
  <c r="M250" i="25"/>
  <c r="L250" i="25"/>
  <c r="K250" i="25"/>
  <c r="J250" i="25"/>
  <c r="I250" i="25"/>
  <c r="H250" i="25"/>
  <c r="G250" i="25"/>
  <c r="F250" i="25"/>
  <c r="E250" i="25"/>
  <c r="D250" i="25"/>
  <c r="C250" i="25"/>
  <c r="Q249" i="25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D249" i="25"/>
  <c r="C249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D248" i="25"/>
  <c r="C248" i="25"/>
  <c r="Q247" i="25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D247" i="25"/>
  <c r="C247" i="25"/>
  <c r="Q246" i="25"/>
  <c r="P246" i="25"/>
  <c r="O246" i="25"/>
  <c r="N246" i="25"/>
  <c r="M246" i="25"/>
  <c r="L246" i="25"/>
  <c r="K246" i="25"/>
  <c r="J246" i="25"/>
  <c r="I246" i="25"/>
  <c r="H246" i="25"/>
  <c r="G246" i="25"/>
  <c r="F246" i="25"/>
  <c r="E246" i="25"/>
  <c r="D246" i="25"/>
  <c r="C246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Q244" i="25"/>
  <c r="P244" i="25"/>
  <c r="O244" i="25"/>
  <c r="N244" i="25"/>
  <c r="M244" i="25"/>
  <c r="L244" i="25"/>
  <c r="K244" i="25"/>
  <c r="J244" i="25"/>
  <c r="I244" i="25"/>
  <c r="H244" i="25"/>
  <c r="G244" i="25"/>
  <c r="F244" i="25"/>
  <c r="E244" i="25"/>
  <c r="D244" i="25"/>
  <c r="C244" i="25"/>
  <c r="Q243" i="25"/>
  <c r="P243" i="25"/>
  <c r="O243" i="25"/>
  <c r="N243" i="25"/>
  <c r="M243" i="25"/>
  <c r="L243" i="25"/>
  <c r="K243" i="25"/>
  <c r="J243" i="25"/>
  <c r="I243" i="25"/>
  <c r="H243" i="25"/>
  <c r="G243" i="25"/>
  <c r="F243" i="25"/>
  <c r="E243" i="25"/>
  <c r="D243" i="25"/>
  <c r="C243" i="25"/>
  <c r="Q242" i="25"/>
  <c r="P242" i="25"/>
  <c r="O242" i="25"/>
  <c r="N242" i="25"/>
  <c r="M242" i="25"/>
  <c r="L242" i="25"/>
  <c r="K242" i="25"/>
  <c r="J242" i="25"/>
  <c r="I242" i="25"/>
  <c r="H242" i="25"/>
  <c r="G242" i="25"/>
  <c r="F242" i="25"/>
  <c r="E242" i="25"/>
  <c r="D242" i="25"/>
  <c r="C242" i="25"/>
  <c r="Q241" i="25"/>
  <c r="P241" i="25"/>
  <c r="O241" i="25"/>
  <c r="N241" i="25"/>
  <c r="M241" i="25"/>
  <c r="L241" i="25"/>
  <c r="K241" i="25"/>
  <c r="J241" i="25"/>
  <c r="I241" i="25"/>
  <c r="H241" i="25"/>
  <c r="G241" i="25"/>
  <c r="F241" i="25"/>
  <c r="E241" i="25"/>
  <c r="D241" i="25"/>
  <c r="C241" i="25"/>
  <c r="Q240" i="25"/>
  <c r="P240" i="25"/>
  <c r="O240" i="25"/>
  <c r="N240" i="25"/>
  <c r="M240" i="25"/>
  <c r="L240" i="25"/>
  <c r="K240" i="25"/>
  <c r="J240" i="25"/>
  <c r="I240" i="25"/>
  <c r="H240" i="25"/>
  <c r="G240" i="25"/>
  <c r="F240" i="25"/>
  <c r="E240" i="25"/>
  <c r="D240" i="25"/>
  <c r="C240" i="25"/>
  <c r="Q239" i="25"/>
  <c r="P239" i="25"/>
  <c r="O239" i="25"/>
  <c r="N239" i="25"/>
  <c r="M239" i="25"/>
  <c r="L239" i="25"/>
  <c r="K239" i="25"/>
  <c r="J239" i="25"/>
  <c r="I239" i="25"/>
  <c r="H239" i="25"/>
  <c r="G239" i="25"/>
  <c r="F239" i="25"/>
  <c r="E239" i="25"/>
  <c r="D239" i="25"/>
  <c r="C239" i="25"/>
  <c r="Q238" i="25"/>
  <c r="P238" i="25"/>
  <c r="O238" i="25"/>
  <c r="N238" i="25"/>
  <c r="M238" i="25"/>
  <c r="L238" i="25"/>
  <c r="K238" i="25"/>
  <c r="J238" i="25"/>
  <c r="I238" i="25"/>
  <c r="H238" i="25"/>
  <c r="G238" i="25"/>
  <c r="F238" i="25"/>
  <c r="E238" i="25"/>
  <c r="D238" i="25"/>
  <c r="C238" i="25"/>
  <c r="Q237" i="25"/>
  <c r="P237" i="25"/>
  <c r="O237" i="25"/>
  <c r="N237" i="25"/>
  <c r="M237" i="25"/>
  <c r="L237" i="25"/>
  <c r="K237" i="25"/>
  <c r="J237" i="25"/>
  <c r="I237" i="25"/>
  <c r="H237" i="25"/>
  <c r="G237" i="25"/>
  <c r="F237" i="25"/>
  <c r="E237" i="25"/>
  <c r="D237" i="25"/>
  <c r="C237" i="25"/>
  <c r="Q236" i="25"/>
  <c r="P236" i="25"/>
  <c r="O236" i="25"/>
  <c r="N236" i="25"/>
  <c r="M236" i="25"/>
  <c r="L236" i="25"/>
  <c r="K236" i="25"/>
  <c r="J236" i="25"/>
  <c r="I236" i="25"/>
  <c r="H236" i="25"/>
  <c r="G236" i="25"/>
  <c r="F236" i="25"/>
  <c r="E236" i="25"/>
  <c r="D236" i="25"/>
  <c r="C236" i="25"/>
  <c r="Q235" i="25"/>
  <c r="P235" i="25"/>
  <c r="O235" i="25"/>
  <c r="N235" i="25"/>
  <c r="M235" i="25"/>
  <c r="L235" i="25"/>
  <c r="K235" i="25"/>
  <c r="J235" i="25"/>
  <c r="I235" i="25"/>
  <c r="H235" i="25"/>
  <c r="G235" i="25"/>
  <c r="F235" i="25"/>
  <c r="E235" i="25"/>
  <c r="D235" i="25"/>
  <c r="C235" i="25"/>
  <c r="Q234" i="25"/>
  <c r="P234" i="25"/>
  <c r="O234" i="25"/>
  <c r="N234" i="25"/>
  <c r="M234" i="25"/>
  <c r="L234" i="25"/>
  <c r="K234" i="25"/>
  <c r="J234" i="25"/>
  <c r="I234" i="25"/>
  <c r="H234" i="25"/>
  <c r="G234" i="25"/>
  <c r="F234" i="25"/>
  <c r="E234" i="25"/>
  <c r="D234" i="25"/>
  <c r="C234" i="25"/>
  <c r="Q233" i="25"/>
  <c r="P233" i="25"/>
  <c r="O233" i="25"/>
  <c r="N233" i="25"/>
  <c r="M233" i="25"/>
  <c r="L233" i="25"/>
  <c r="K233" i="25"/>
  <c r="J233" i="25"/>
  <c r="I233" i="25"/>
  <c r="H233" i="25"/>
  <c r="G233" i="25"/>
  <c r="F233" i="25"/>
  <c r="E233" i="25"/>
  <c r="D233" i="25"/>
  <c r="C233" i="25"/>
  <c r="Q232" i="25"/>
  <c r="P232" i="25"/>
  <c r="O232" i="25"/>
  <c r="N232" i="25"/>
  <c r="M232" i="25"/>
  <c r="L232" i="25"/>
  <c r="K232" i="25"/>
  <c r="J232" i="25"/>
  <c r="I232" i="25"/>
  <c r="H232" i="25"/>
  <c r="G232" i="25"/>
  <c r="F232" i="25"/>
  <c r="E232" i="25"/>
  <c r="D232" i="25"/>
  <c r="C232" i="25"/>
  <c r="Q231" i="25"/>
  <c r="P231" i="25"/>
  <c r="O231" i="25"/>
  <c r="N231" i="25"/>
  <c r="M231" i="25"/>
  <c r="L231" i="25"/>
  <c r="K231" i="25"/>
  <c r="J231" i="25"/>
  <c r="I231" i="25"/>
  <c r="H231" i="25"/>
  <c r="G231" i="25"/>
  <c r="F231" i="25"/>
  <c r="E231" i="25"/>
  <c r="D231" i="25"/>
  <c r="C231" i="25"/>
  <c r="Q230" i="25"/>
  <c r="P230" i="25"/>
  <c r="O230" i="25"/>
  <c r="N230" i="25"/>
  <c r="M230" i="25"/>
  <c r="L230" i="25"/>
  <c r="K230" i="25"/>
  <c r="J230" i="25"/>
  <c r="I230" i="25"/>
  <c r="H230" i="25"/>
  <c r="G230" i="25"/>
  <c r="F230" i="25"/>
  <c r="E230" i="25"/>
  <c r="D230" i="25"/>
  <c r="C230" i="25"/>
  <c r="Q229" i="25"/>
  <c r="P229" i="25"/>
  <c r="O229" i="25"/>
  <c r="N229" i="25"/>
  <c r="M229" i="25"/>
  <c r="L229" i="25"/>
  <c r="K229" i="25"/>
  <c r="J229" i="25"/>
  <c r="I229" i="25"/>
  <c r="H229" i="25"/>
  <c r="G229" i="25"/>
  <c r="F229" i="25"/>
  <c r="E229" i="25"/>
  <c r="D229" i="25"/>
  <c r="C229" i="25"/>
  <c r="Q228" i="25"/>
  <c r="P228" i="25"/>
  <c r="O228" i="25"/>
  <c r="N228" i="25"/>
  <c r="M228" i="25"/>
  <c r="L228" i="25"/>
  <c r="K228" i="25"/>
  <c r="J228" i="25"/>
  <c r="I228" i="25"/>
  <c r="H228" i="25"/>
  <c r="G228" i="25"/>
  <c r="F228" i="25"/>
  <c r="E228" i="25"/>
  <c r="D228" i="25"/>
  <c r="C228" i="25"/>
  <c r="Q227" i="25"/>
  <c r="P227" i="25"/>
  <c r="O227" i="25"/>
  <c r="N227" i="25"/>
  <c r="M227" i="25"/>
  <c r="L227" i="25"/>
  <c r="K227" i="25"/>
  <c r="J227" i="25"/>
  <c r="I227" i="25"/>
  <c r="H227" i="25"/>
  <c r="G227" i="25"/>
  <c r="F227" i="25"/>
  <c r="E227" i="25"/>
  <c r="D227" i="25"/>
  <c r="C227" i="25"/>
  <c r="Q226" i="25"/>
  <c r="P226" i="25"/>
  <c r="O226" i="25"/>
  <c r="N226" i="25"/>
  <c r="M226" i="25"/>
  <c r="L226" i="25"/>
  <c r="K226" i="25"/>
  <c r="J226" i="25"/>
  <c r="I226" i="25"/>
  <c r="H226" i="25"/>
  <c r="G226" i="25"/>
  <c r="F226" i="25"/>
  <c r="E226" i="25"/>
  <c r="D226" i="25"/>
  <c r="C226" i="25"/>
  <c r="Q225" i="25"/>
  <c r="P225" i="25"/>
  <c r="O225" i="25"/>
  <c r="N225" i="25"/>
  <c r="M225" i="25"/>
  <c r="L225" i="25"/>
  <c r="K225" i="25"/>
  <c r="J225" i="25"/>
  <c r="I225" i="25"/>
  <c r="H225" i="25"/>
  <c r="G225" i="25"/>
  <c r="F225" i="25"/>
  <c r="E225" i="25"/>
  <c r="D225" i="25"/>
  <c r="C225" i="25"/>
  <c r="Q224" i="25"/>
  <c r="P224" i="25"/>
  <c r="O224" i="25"/>
  <c r="N224" i="25"/>
  <c r="M224" i="25"/>
  <c r="L224" i="25"/>
  <c r="K224" i="25"/>
  <c r="J224" i="25"/>
  <c r="I224" i="25"/>
  <c r="H224" i="25"/>
  <c r="G224" i="25"/>
  <c r="F224" i="25"/>
  <c r="E224" i="25"/>
  <c r="D224" i="25"/>
  <c r="C224" i="25"/>
  <c r="Q223" i="25"/>
  <c r="P223" i="25"/>
  <c r="O223" i="25"/>
  <c r="N223" i="25"/>
  <c r="M223" i="25"/>
  <c r="L223" i="25"/>
  <c r="K223" i="25"/>
  <c r="J223" i="25"/>
  <c r="I223" i="25"/>
  <c r="H223" i="25"/>
  <c r="G223" i="25"/>
  <c r="F223" i="25"/>
  <c r="E223" i="25"/>
  <c r="D223" i="25"/>
  <c r="C223" i="25"/>
  <c r="Q222" i="25"/>
  <c r="P222" i="25"/>
  <c r="O222" i="25"/>
  <c r="N222" i="25"/>
  <c r="M222" i="25"/>
  <c r="L222" i="25"/>
  <c r="K222" i="25"/>
  <c r="J222" i="25"/>
  <c r="I222" i="25"/>
  <c r="H222" i="25"/>
  <c r="G222" i="25"/>
  <c r="F222" i="25"/>
  <c r="E222" i="25"/>
  <c r="D222" i="25"/>
  <c r="C222" i="25"/>
  <c r="Q221" i="25"/>
  <c r="P221" i="25"/>
  <c r="O221" i="25"/>
  <c r="N221" i="25"/>
  <c r="M221" i="25"/>
  <c r="L221" i="25"/>
  <c r="K221" i="25"/>
  <c r="J221" i="25"/>
  <c r="I221" i="25"/>
  <c r="H221" i="25"/>
  <c r="G221" i="25"/>
  <c r="F221" i="25"/>
  <c r="E221" i="25"/>
  <c r="D221" i="25"/>
  <c r="C221" i="25"/>
  <c r="Q220" i="25"/>
  <c r="P220" i="25"/>
  <c r="O220" i="25"/>
  <c r="N220" i="25"/>
  <c r="M220" i="25"/>
  <c r="L220" i="25"/>
  <c r="K220" i="25"/>
  <c r="J220" i="25"/>
  <c r="I220" i="25"/>
  <c r="H220" i="25"/>
  <c r="G220" i="25"/>
  <c r="F220" i="25"/>
  <c r="E220" i="25"/>
  <c r="D220" i="25"/>
  <c r="C220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AH218" i="25"/>
  <c r="AG218" i="25"/>
  <c r="P217" i="25" s="1"/>
  <c r="AF218" i="25"/>
  <c r="O216" i="25" s="1"/>
  <c r="AE218" i="25"/>
  <c r="N218" i="25" s="1"/>
  <c r="AD218" i="25"/>
  <c r="AC218" i="25"/>
  <c r="M214" i="25" s="1"/>
  <c r="AB218" i="25"/>
  <c r="L213" i="25" s="1"/>
  <c r="AA218" i="25"/>
  <c r="K213" i="25" s="1"/>
  <c r="Z218" i="25"/>
  <c r="J213" i="25" s="1"/>
  <c r="Y218" i="25"/>
  <c r="I218" i="25" s="1"/>
  <c r="X218" i="25"/>
  <c r="W218" i="25"/>
  <c r="V218" i="25"/>
  <c r="U218" i="25"/>
  <c r="T218" i="25"/>
  <c r="S218" i="25"/>
  <c r="AH217" i="25"/>
  <c r="AH8" i="25" s="1"/>
  <c r="AG217" i="25"/>
  <c r="AG8" i="25" s="1"/>
  <c r="AF217" i="25"/>
  <c r="AF8" i="25" s="1"/>
  <c r="AE217" i="25"/>
  <c r="AD217" i="25"/>
  <c r="AC217" i="25"/>
  <c r="AB217" i="25"/>
  <c r="AA217" i="25"/>
  <c r="Z217" i="25"/>
  <c r="Y217" i="25"/>
  <c r="X217" i="25"/>
  <c r="W217" i="25"/>
  <c r="V217" i="25"/>
  <c r="U217" i="25"/>
  <c r="T217" i="25"/>
  <c r="S217" i="25"/>
  <c r="J217" i="25"/>
  <c r="AH216" i="25"/>
  <c r="AG216" i="25"/>
  <c r="AG7" i="25" s="1"/>
  <c r="AF216" i="25"/>
  <c r="AF7" i="25" s="1"/>
  <c r="AE216" i="25"/>
  <c r="AD216" i="25"/>
  <c r="AC216" i="25"/>
  <c r="AB216" i="25"/>
  <c r="AA216" i="25"/>
  <c r="Z216" i="25"/>
  <c r="Y216" i="25"/>
  <c r="X216" i="25"/>
  <c r="W216" i="25"/>
  <c r="V216" i="25"/>
  <c r="U216" i="25"/>
  <c r="T216" i="25"/>
  <c r="S216" i="25"/>
  <c r="P216" i="25"/>
  <c r="AH215" i="25"/>
  <c r="AH6" i="25" s="1"/>
  <c r="AG215" i="25"/>
  <c r="AG6" i="25" s="1"/>
  <c r="AF215" i="25"/>
  <c r="AF6" i="25" s="1"/>
  <c r="AE215" i="25"/>
  <c r="AD215" i="25"/>
  <c r="AC215" i="25"/>
  <c r="AB215" i="25"/>
  <c r="AA215" i="25"/>
  <c r="Z215" i="25"/>
  <c r="Y215" i="25"/>
  <c r="X215" i="25"/>
  <c r="W215" i="25"/>
  <c r="V215" i="25"/>
  <c r="U215" i="25"/>
  <c r="T215" i="25"/>
  <c r="S215" i="25"/>
  <c r="AH214" i="25"/>
  <c r="AH5" i="25" s="1"/>
  <c r="AG214" i="25"/>
  <c r="AG5" i="25" s="1"/>
  <c r="AF214" i="25"/>
  <c r="AF5" i="25" s="1"/>
  <c r="AE214" i="25"/>
  <c r="AD214" i="25"/>
  <c r="AC214" i="25"/>
  <c r="AB214" i="25"/>
  <c r="AA214" i="25"/>
  <c r="Z214" i="25"/>
  <c r="Y214" i="25"/>
  <c r="X214" i="25"/>
  <c r="W214" i="25"/>
  <c r="V214" i="25"/>
  <c r="U214" i="25"/>
  <c r="T214" i="25"/>
  <c r="S214" i="25"/>
  <c r="AH213" i="25"/>
  <c r="AH4" i="25" s="1"/>
  <c r="AG213" i="25"/>
  <c r="AG4" i="25" s="1"/>
  <c r="AF213" i="25"/>
  <c r="AF4" i="25" s="1"/>
  <c r="AE213" i="25"/>
  <c r="AD213" i="25"/>
  <c r="AC213" i="25"/>
  <c r="AB213" i="25"/>
  <c r="AA213" i="25"/>
  <c r="Z213" i="25"/>
  <c r="Y213" i="25"/>
  <c r="X213" i="25"/>
  <c r="W213" i="25"/>
  <c r="V213" i="25"/>
  <c r="U213" i="25"/>
  <c r="T213" i="25"/>
  <c r="S213" i="25"/>
  <c r="P213" i="25"/>
  <c r="O213" i="25"/>
  <c r="Q212" i="25"/>
  <c r="P212" i="25"/>
  <c r="O212" i="25"/>
  <c r="N212" i="25"/>
  <c r="M212" i="25"/>
  <c r="L212" i="25"/>
  <c r="K212" i="25"/>
  <c r="J212" i="25"/>
  <c r="I212" i="25"/>
  <c r="H212" i="25"/>
  <c r="G212" i="25"/>
  <c r="F212" i="25"/>
  <c r="E212" i="25"/>
  <c r="D212" i="25"/>
  <c r="C212" i="25"/>
  <c r="Q211" i="25"/>
  <c r="P211" i="25"/>
  <c r="O211" i="25"/>
  <c r="N211" i="25"/>
  <c r="M211" i="25"/>
  <c r="L211" i="25"/>
  <c r="K211" i="25"/>
  <c r="J211" i="25"/>
  <c r="I211" i="25"/>
  <c r="H211" i="25"/>
  <c r="G211" i="25"/>
  <c r="F211" i="25"/>
  <c r="E211" i="25"/>
  <c r="D211" i="25"/>
  <c r="C211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Q201" i="25"/>
  <c r="P201" i="25"/>
  <c r="O201" i="25"/>
  <c r="N201" i="25"/>
  <c r="M201" i="25"/>
  <c r="L201" i="25"/>
  <c r="K201" i="25"/>
  <c r="J201" i="25"/>
  <c r="I201" i="25"/>
  <c r="H201" i="25"/>
  <c r="G201" i="25"/>
  <c r="F201" i="25"/>
  <c r="E201" i="25"/>
  <c r="D201" i="25"/>
  <c r="C201" i="25"/>
  <c r="Q200" i="25"/>
  <c r="P200" i="25"/>
  <c r="O200" i="25"/>
  <c r="N200" i="25"/>
  <c r="M200" i="25"/>
  <c r="L200" i="25"/>
  <c r="K200" i="25"/>
  <c r="J200" i="25"/>
  <c r="I200" i="25"/>
  <c r="H200" i="25"/>
  <c r="G200" i="25"/>
  <c r="F200" i="25"/>
  <c r="E200" i="25"/>
  <c r="D200" i="25"/>
  <c r="C200" i="25"/>
  <c r="Q199" i="25"/>
  <c r="P199" i="25"/>
  <c r="O199" i="25"/>
  <c r="N199" i="25"/>
  <c r="M199" i="25"/>
  <c r="L199" i="25"/>
  <c r="K199" i="25"/>
  <c r="J199" i="25"/>
  <c r="I199" i="25"/>
  <c r="H199" i="25"/>
  <c r="G199" i="25"/>
  <c r="F199" i="25"/>
  <c r="E199" i="25"/>
  <c r="D199" i="25"/>
  <c r="C199" i="25"/>
  <c r="Q198" i="25"/>
  <c r="P198" i="25"/>
  <c r="O198" i="25"/>
  <c r="N198" i="25"/>
  <c r="M198" i="25"/>
  <c r="L198" i="25"/>
  <c r="K198" i="25"/>
  <c r="J198" i="25"/>
  <c r="I198" i="25"/>
  <c r="H198" i="25"/>
  <c r="G198" i="25"/>
  <c r="F198" i="25"/>
  <c r="E198" i="25"/>
  <c r="D198" i="25"/>
  <c r="C198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Q187" i="25"/>
  <c r="P187" i="25"/>
  <c r="O187" i="25"/>
  <c r="N187" i="25"/>
  <c r="M187" i="25"/>
  <c r="L187" i="25"/>
  <c r="K187" i="25"/>
  <c r="J187" i="25"/>
  <c r="I187" i="25"/>
  <c r="H187" i="25"/>
  <c r="G187" i="25"/>
  <c r="F187" i="25"/>
  <c r="E187" i="25"/>
  <c r="D187" i="25"/>
  <c r="C187" i="25"/>
  <c r="Q186" i="25"/>
  <c r="P186" i="25"/>
  <c r="O186" i="25"/>
  <c r="N186" i="25"/>
  <c r="M186" i="25"/>
  <c r="L186" i="25"/>
  <c r="K186" i="25"/>
  <c r="J186" i="25"/>
  <c r="I186" i="25"/>
  <c r="H186" i="25"/>
  <c r="G186" i="25"/>
  <c r="F186" i="25"/>
  <c r="E186" i="25"/>
  <c r="D186" i="25"/>
  <c r="C186" i="25"/>
  <c r="Q185" i="25"/>
  <c r="P185" i="25"/>
  <c r="O185" i="25"/>
  <c r="N185" i="25"/>
  <c r="M185" i="25"/>
  <c r="L185" i="25"/>
  <c r="K185" i="25"/>
  <c r="J185" i="25"/>
  <c r="I185" i="25"/>
  <c r="H185" i="25"/>
  <c r="G185" i="25"/>
  <c r="F185" i="25"/>
  <c r="E185" i="25"/>
  <c r="D185" i="25"/>
  <c r="C185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Q175" i="25"/>
  <c r="P175" i="25"/>
  <c r="O175" i="25"/>
  <c r="N175" i="25"/>
  <c r="M175" i="25"/>
  <c r="L175" i="25"/>
  <c r="K175" i="25"/>
  <c r="J175" i="25"/>
  <c r="I175" i="25"/>
  <c r="H175" i="25"/>
  <c r="G175" i="25"/>
  <c r="F175" i="25"/>
  <c r="E175" i="25"/>
  <c r="D175" i="25"/>
  <c r="C175" i="25"/>
  <c r="Q174" i="25"/>
  <c r="P174" i="25"/>
  <c r="O174" i="25"/>
  <c r="N174" i="25"/>
  <c r="M174" i="25"/>
  <c r="L174" i="25"/>
  <c r="K174" i="25"/>
  <c r="J174" i="25"/>
  <c r="I174" i="25"/>
  <c r="H174" i="25"/>
  <c r="G174" i="25"/>
  <c r="F174" i="25"/>
  <c r="E174" i="25"/>
  <c r="D174" i="25"/>
  <c r="C174" i="25"/>
  <c r="Q173" i="25"/>
  <c r="P173" i="25"/>
  <c r="O173" i="25"/>
  <c r="N173" i="25"/>
  <c r="M173" i="25"/>
  <c r="L173" i="25"/>
  <c r="K173" i="25"/>
  <c r="J173" i="25"/>
  <c r="I173" i="25"/>
  <c r="H173" i="25"/>
  <c r="G173" i="25"/>
  <c r="F173" i="25"/>
  <c r="E173" i="25"/>
  <c r="D173" i="25"/>
  <c r="C173" i="25"/>
  <c r="Q172" i="25"/>
  <c r="P172" i="25"/>
  <c r="O172" i="25"/>
  <c r="N172" i="25"/>
  <c r="M172" i="25"/>
  <c r="L172" i="25"/>
  <c r="K172" i="25"/>
  <c r="J172" i="25"/>
  <c r="I172" i="25"/>
  <c r="H172" i="25"/>
  <c r="G172" i="25"/>
  <c r="F172" i="25"/>
  <c r="E172" i="25"/>
  <c r="D172" i="25"/>
  <c r="C172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Q162" i="25"/>
  <c r="P162" i="25"/>
  <c r="O162" i="25"/>
  <c r="N162" i="25"/>
  <c r="M162" i="25"/>
  <c r="L162" i="25"/>
  <c r="K162" i="25"/>
  <c r="J162" i="25"/>
  <c r="I162" i="25"/>
  <c r="H162" i="25"/>
  <c r="G162" i="25"/>
  <c r="F162" i="25"/>
  <c r="E162" i="25"/>
  <c r="D162" i="25"/>
  <c r="C162" i="25"/>
  <c r="Q161" i="25"/>
  <c r="P161" i="25"/>
  <c r="O161" i="25"/>
  <c r="N161" i="25"/>
  <c r="M161" i="25"/>
  <c r="L161" i="25"/>
  <c r="K161" i="25"/>
  <c r="J161" i="25"/>
  <c r="I161" i="25"/>
  <c r="H161" i="25"/>
  <c r="G161" i="25"/>
  <c r="F161" i="25"/>
  <c r="E161" i="25"/>
  <c r="D161" i="25"/>
  <c r="C161" i="25"/>
  <c r="Q160" i="25"/>
  <c r="P160" i="25"/>
  <c r="O160" i="25"/>
  <c r="N160" i="25"/>
  <c r="M160" i="25"/>
  <c r="L160" i="25"/>
  <c r="K160" i="25"/>
  <c r="J160" i="25"/>
  <c r="I160" i="25"/>
  <c r="H160" i="25"/>
  <c r="G160" i="25"/>
  <c r="F160" i="25"/>
  <c r="E160" i="25"/>
  <c r="D160" i="25"/>
  <c r="C160" i="25"/>
  <c r="Q159" i="25"/>
  <c r="P159" i="25"/>
  <c r="O159" i="25"/>
  <c r="N159" i="25"/>
  <c r="M159" i="25"/>
  <c r="L159" i="25"/>
  <c r="K159" i="25"/>
  <c r="J159" i="25"/>
  <c r="I159" i="25"/>
  <c r="H159" i="25"/>
  <c r="G159" i="25"/>
  <c r="F159" i="25"/>
  <c r="E159" i="25"/>
  <c r="D159" i="25"/>
  <c r="C159" i="25"/>
  <c r="Q158" i="25"/>
  <c r="P158" i="25"/>
  <c r="O158" i="25"/>
  <c r="N158" i="25"/>
  <c r="M158" i="25"/>
  <c r="L158" i="25"/>
  <c r="K158" i="25"/>
  <c r="J158" i="25"/>
  <c r="I158" i="25"/>
  <c r="H158" i="25"/>
  <c r="G158" i="25"/>
  <c r="F158" i="25"/>
  <c r="E158" i="25"/>
  <c r="D158" i="25"/>
  <c r="C158" i="25"/>
  <c r="Q157" i="25"/>
  <c r="P157" i="25"/>
  <c r="O157" i="25"/>
  <c r="N157" i="25"/>
  <c r="M157" i="25"/>
  <c r="L157" i="25"/>
  <c r="K157" i="25"/>
  <c r="J157" i="25"/>
  <c r="I157" i="25"/>
  <c r="H157" i="25"/>
  <c r="G157" i="25"/>
  <c r="F157" i="25"/>
  <c r="E157" i="25"/>
  <c r="D157" i="25"/>
  <c r="C157" i="25"/>
  <c r="Q156" i="25"/>
  <c r="P156" i="25"/>
  <c r="O156" i="25"/>
  <c r="N156" i="25"/>
  <c r="M156" i="25"/>
  <c r="L156" i="25"/>
  <c r="K156" i="25"/>
  <c r="J156" i="25"/>
  <c r="I156" i="25"/>
  <c r="H156" i="25"/>
  <c r="G156" i="25"/>
  <c r="F156" i="25"/>
  <c r="E156" i="25"/>
  <c r="D156" i="25"/>
  <c r="C156" i="25"/>
  <c r="Q155" i="25"/>
  <c r="P155" i="25"/>
  <c r="O155" i="25"/>
  <c r="N155" i="25"/>
  <c r="M155" i="25"/>
  <c r="L155" i="25"/>
  <c r="K155" i="25"/>
  <c r="J155" i="25"/>
  <c r="I155" i="25"/>
  <c r="H155" i="25"/>
  <c r="G155" i="25"/>
  <c r="F155" i="25"/>
  <c r="E155" i="25"/>
  <c r="D155" i="25"/>
  <c r="C155" i="25"/>
  <c r="Q154" i="25"/>
  <c r="P154" i="25"/>
  <c r="O154" i="25"/>
  <c r="N154" i="25"/>
  <c r="M154" i="25"/>
  <c r="L154" i="25"/>
  <c r="K154" i="25"/>
  <c r="J154" i="25"/>
  <c r="I154" i="25"/>
  <c r="H154" i="25"/>
  <c r="G154" i="25"/>
  <c r="F154" i="25"/>
  <c r="E154" i="25"/>
  <c r="D154" i="25"/>
  <c r="C154" i="25"/>
  <c r="Q153" i="25"/>
  <c r="P153" i="25"/>
  <c r="O153" i="25"/>
  <c r="N153" i="25"/>
  <c r="M153" i="25"/>
  <c r="L153" i="25"/>
  <c r="K153" i="25"/>
  <c r="J153" i="25"/>
  <c r="I153" i="25"/>
  <c r="H153" i="25"/>
  <c r="G153" i="25"/>
  <c r="F153" i="25"/>
  <c r="E153" i="25"/>
  <c r="D153" i="25"/>
  <c r="C153" i="25"/>
  <c r="Q152" i="25"/>
  <c r="P152" i="25"/>
  <c r="O152" i="25"/>
  <c r="N152" i="25"/>
  <c r="M152" i="25"/>
  <c r="L152" i="25"/>
  <c r="K152" i="25"/>
  <c r="J152" i="25"/>
  <c r="I152" i="25"/>
  <c r="H152" i="25"/>
  <c r="G152" i="25"/>
  <c r="F152" i="25"/>
  <c r="E152" i="25"/>
  <c r="D152" i="25"/>
  <c r="C152" i="25"/>
  <c r="Q151" i="25"/>
  <c r="P151" i="25"/>
  <c r="O151" i="25"/>
  <c r="N151" i="25"/>
  <c r="M151" i="25"/>
  <c r="L151" i="25"/>
  <c r="K151" i="25"/>
  <c r="J151" i="25"/>
  <c r="I151" i="25"/>
  <c r="H151" i="25"/>
  <c r="G151" i="25"/>
  <c r="F151" i="25"/>
  <c r="E151" i="25"/>
  <c r="D151" i="25"/>
  <c r="C151" i="25"/>
  <c r="Q150" i="25"/>
  <c r="P150" i="25"/>
  <c r="O150" i="25"/>
  <c r="N150" i="25"/>
  <c r="M150" i="25"/>
  <c r="L150" i="25"/>
  <c r="K150" i="25"/>
  <c r="J150" i="25"/>
  <c r="I150" i="25"/>
  <c r="H150" i="25"/>
  <c r="G150" i="25"/>
  <c r="F150" i="25"/>
  <c r="E150" i="25"/>
  <c r="D150" i="25"/>
  <c r="C150" i="25"/>
  <c r="Q149" i="25"/>
  <c r="P149" i="25"/>
  <c r="O149" i="25"/>
  <c r="N149" i="25"/>
  <c r="M149" i="25"/>
  <c r="L149" i="25"/>
  <c r="K149" i="25"/>
  <c r="J149" i="25"/>
  <c r="I149" i="25"/>
  <c r="H149" i="25"/>
  <c r="G149" i="25"/>
  <c r="F149" i="25"/>
  <c r="E149" i="25"/>
  <c r="D149" i="25"/>
  <c r="C149" i="25"/>
  <c r="Q148" i="25"/>
  <c r="P148" i="25"/>
  <c r="O148" i="25"/>
  <c r="N148" i="25"/>
  <c r="M148" i="25"/>
  <c r="L148" i="25"/>
  <c r="K148" i="25"/>
  <c r="J148" i="25"/>
  <c r="I148" i="25"/>
  <c r="H148" i="25"/>
  <c r="G148" i="25"/>
  <c r="F148" i="25"/>
  <c r="E148" i="25"/>
  <c r="D148" i="25"/>
  <c r="C148" i="25"/>
  <c r="Q147" i="25"/>
  <c r="P147" i="25"/>
  <c r="O147" i="25"/>
  <c r="N147" i="25"/>
  <c r="M147" i="25"/>
  <c r="L147" i="25"/>
  <c r="K147" i="25"/>
  <c r="J147" i="25"/>
  <c r="I147" i="25"/>
  <c r="H147" i="25"/>
  <c r="G147" i="25"/>
  <c r="F147" i="25"/>
  <c r="E147" i="25"/>
  <c r="D147" i="25"/>
  <c r="C147" i="25"/>
  <c r="Q146" i="25"/>
  <c r="P146" i="25"/>
  <c r="O146" i="25"/>
  <c r="N146" i="25"/>
  <c r="M146" i="25"/>
  <c r="L146" i="25"/>
  <c r="K146" i="25"/>
  <c r="J146" i="25"/>
  <c r="I146" i="25"/>
  <c r="H146" i="25"/>
  <c r="G146" i="25"/>
  <c r="F146" i="25"/>
  <c r="E146" i="25"/>
  <c r="D146" i="25"/>
  <c r="C146" i="25"/>
  <c r="Q145" i="25"/>
  <c r="P145" i="25"/>
  <c r="O145" i="25"/>
  <c r="N145" i="25"/>
  <c r="M145" i="25"/>
  <c r="L145" i="25"/>
  <c r="K145" i="25"/>
  <c r="J145" i="25"/>
  <c r="I145" i="25"/>
  <c r="H145" i="25"/>
  <c r="G145" i="25"/>
  <c r="F145" i="25"/>
  <c r="E145" i="25"/>
  <c r="D145" i="25"/>
  <c r="C145" i="25"/>
  <c r="Q144" i="25"/>
  <c r="P144" i="25"/>
  <c r="O144" i="25"/>
  <c r="N144" i="25"/>
  <c r="M144" i="25"/>
  <c r="L144" i="25"/>
  <c r="K144" i="25"/>
  <c r="J144" i="25"/>
  <c r="I144" i="25"/>
  <c r="H144" i="25"/>
  <c r="G144" i="25"/>
  <c r="F144" i="25"/>
  <c r="E144" i="25"/>
  <c r="D144" i="25"/>
  <c r="C144" i="25"/>
  <c r="Q143" i="25"/>
  <c r="P143" i="25"/>
  <c r="O143" i="25"/>
  <c r="N143" i="25"/>
  <c r="M143" i="25"/>
  <c r="L143" i="25"/>
  <c r="K143" i="25"/>
  <c r="J143" i="25"/>
  <c r="I143" i="25"/>
  <c r="H143" i="25"/>
  <c r="G143" i="25"/>
  <c r="F143" i="25"/>
  <c r="E143" i="25"/>
  <c r="D143" i="25"/>
  <c r="C143" i="25"/>
  <c r="Q142" i="25"/>
  <c r="P142" i="25"/>
  <c r="O142" i="25"/>
  <c r="N142" i="25"/>
  <c r="M142" i="25"/>
  <c r="L142" i="25"/>
  <c r="K142" i="25"/>
  <c r="J142" i="25"/>
  <c r="I142" i="25"/>
  <c r="H142" i="25"/>
  <c r="G142" i="25"/>
  <c r="F142" i="25"/>
  <c r="E142" i="25"/>
  <c r="D142" i="25"/>
  <c r="C142" i="25"/>
  <c r="Q141" i="25"/>
  <c r="P141" i="25"/>
  <c r="O141" i="25"/>
  <c r="N141" i="25"/>
  <c r="M141" i="25"/>
  <c r="L141" i="25"/>
  <c r="K141" i="25"/>
  <c r="J141" i="25"/>
  <c r="I141" i="25"/>
  <c r="H141" i="25"/>
  <c r="G141" i="25"/>
  <c r="F141" i="25"/>
  <c r="E141" i="25"/>
  <c r="D141" i="25"/>
  <c r="C141" i="25"/>
  <c r="Q140" i="25"/>
  <c r="P140" i="25"/>
  <c r="O140" i="25"/>
  <c r="N140" i="25"/>
  <c r="M140" i="25"/>
  <c r="L140" i="25"/>
  <c r="K140" i="25"/>
  <c r="J140" i="25"/>
  <c r="I140" i="25"/>
  <c r="H140" i="25"/>
  <c r="G140" i="25"/>
  <c r="F140" i="25"/>
  <c r="E140" i="25"/>
  <c r="D140" i="25"/>
  <c r="C140" i="25"/>
  <c r="Q139" i="25"/>
  <c r="P139" i="25"/>
  <c r="O139" i="25"/>
  <c r="N139" i="25"/>
  <c r="M139" i="25"/>
  <c r="L139" i="25"/>
  <c r="K139" i="25"/>
  <c r="J139" i="25"/>
  <c r="I139" i="25"/>
  <c r="H139" i="25"/>
  <c r="G139" i="25"/>
  <c r="F139" i="25"/>
  <c r="E139" i="25"/>
  <c r="D139" i="25"/>
  <c r="C139" i="25"/>
  <c r="Q138" i="25"/>
  <c r="P138" i="25"/>
  <c r="O138" i="25"/>
  <c r="N138" i="25"/>
  <c r="M138" i="25"/>
  <c r="L138" i="25"/>
  <c r="K138" i="25"/>
  <c r="J138" i="25"/>
  <c r="I138" i="25"/>
  <c r="H138" i="25"/>
  <c r="G138" i="25"/>
  <c r="F138" i="25"/>
  <c r="E138" i="25"/>
  <c r="D138" i="25"/>
  <c r="C138" i="25"/>
  <c r="Q137" i="25"/>
  <c r="P137" i="25"/>
  <c r="O137" i="25"/>
  <c r="N137" i="25"/>
  <c r="M137" i="25"/>
  <c r="L137" i="25"/>
  <c r="K137" i="25"/>
  <c r="J137" i="25"/>
  <c r="I137" i="25"/>
  <c r="H137" i="25"/>
  <c r="G137" i="25"/>
  <c r="F137" i="25"/>
  <c r="E137" i="25"/>
  <c r="D137" i="25"/>
  <c r="C137" i="25"/>
  <c r="Q136" i="25"/>
  <c r="P136" i="25"/>
  <c r="O136" i="25"/>
  <c r="N136" i="25"/>
  <c r="M136" i="25"/>
  <c r="L136" i="25"/>
  <c r="K136" i="25"/>
  <c r="J136" i="25"/>
  <c r="I136" i="25"/>
  <c r="H136" i="25"/>
  <c r="G136" i="25"/>
  <c r="F136" i="25"/>
  <c r="E136" i="25"/>
  <c r="D136" i="25"/>
  <c r="C136" i="25"/>
  <c r="Q135" i="25"/>
  <c r="P135" i="25"/>
  <c r="O135" i="25"/>
  <c r="N135" i="25"/>
  <c r="M135" i="25"/>
  <c r="L135" i="25"/>
  <c r="K135" i="25"/>
  <c r="J135" i="25"/>
  <c r="I135" i="25"/>
  <c r="H135" i="25"/>
  <c r="G135" i="25"/>
  <c r="F135" i="25"/>
  <c r="E135" i="25"/>
  <c r="D135" i="25"/>
  <c r="C135" i="25"/>
  <c r="AE134" i="25"/>
  <c r="AD134" i="25"/>
  <c r="AC134" i="25"/>
  <c r="M134" i="25" s="1"/>
  <c r="AB134" i="25"/>
  <c r="L132" i="25" s="1"/>
  <c r="AA134" i="25"/>
  <c r="K131" i="25" s="1"/>
  <c r="Z134" i="25"/>
  <c r="J134" i="25" s="1"/>
  <c r="Y134" i="25"/>
  <c r="I134" i="25" s="1"/>
  <c r="X134" i="25"/>
  <c r="W134" i="25"/>
  <c r="V134" i="25"/>
  <c r="U134" i="25"/>
  <c r="T134" i="25"/>
  <c r="S134" i="25"/>
  <c r="C134" i="25" s="1"/>
  <c r="Q134" i="25"/>
  <c r="P134" i="25"/>
  <c r="O134" i="25"/>
  <c r="AE133" i="25"/>
  <c r="AD133" i="25"/>
  <c r="AC133" i="25"/>
  <c r="AB133" i="25"/>
  <c r="AA133" i="25"/>
  <c r="AA8" i="25" s="1"/>
  <c r="Z133" i="25"/>
  <c r="Y133" i="25"/>
  <c r="X133" i="25"/>
  <c r="W133" i="25"/>
  <c r="V133" i="25"/>
  <c r="U133" i="25"/>
  <c r="T133" i="25"/>
  <c r="S133" i="25"/>
  <c r="C133" i="25" s="1"/>
  <c r="Q133" i="25"/>
  <c r="P133" i="25"/>
  <c r="O133" i="25"/>
  <c r="AE132" i="25"/>
  <c r="AD132" i="25"/>
  <c r="AC132" i="25"/>
  <c r="AB132" i="25"/>
  <c r="AA132" i="25"/>
  <c r="Z132" i="25"/>
  <c r="Y132" i="25"/>
  <c r="X132" i="25"/>
  <c r="W132" i="25"/>
  <c r="V132" i="25"/>
  <c r="U132" i="25"/>
  <c r="T132" i="25"/>
  <c r="S132" i="25"/>
  <c r="Q132" i="25"/>
  <c r="P132" i="25"/>
  <c r="O132" i="25"/>
  <c r="AE131" i="25"/>
  <c r="AD131" i="25"/>
  <c r="AC131" i="25"/>
  <c r="AB131" i="25"/>
  <c r="AA131" i="25"/>
  <c r="Z131" i="25"/>
  <c r="Y131" i="25"/>
  <c r="X131" i="25"/>
  <c r="W131" i="25"/>
  <c r="V131" i="25"/>
  <c r="U131" i="25"/>
  <c r="T131" i="25"/>
  <c r="S131" i="25"/>
  <c r="Q131" i="25"/>
  <c r="P131" i="25"/>
  <c r="O131" i="25"/>
  <c r="AE130" i="25"/>
  <c r="AD130" i="25"/>
  <c r="AC130" i="25"/>
  <c r="AB130" i="25"/>
  <c r="AA130" i="25"/>
  <c r="Z130" i="25"/>
  <c r="Y130" i="25"/>
  <c r="X130" i="25"/>
  <c r="W130" i="25"/>
  <c r="V130" i="25"/>
  <c r="U130" i="25"/>
  <c r="T130" i="25"/>
  <c r="S130" i="25"/>
  <c r="Q130" i="25"/>
  <c r="P130" i="25"/>
  <c r="O130" i="25"/>
  <c r="AE129" i="25"/>
  <c r="AD129" i="25"/>
  <c r="AC129" i="25"/>
  <c r="AB129" i="25"/>
  <c r="AA129" i="25"/>
  <c r="Z129" i="25"/>
  <c r="Y129" i="25"/>
  <c r="X129" i="25"/>
  <c r="W129" i="25"/>
  <c r="V129" i="25"/>
  <c r="U129" i="25"/>
  <c r="T129" i="25"/>
  <c r="S129" i="25"/>
  <c r="Q129" i="25"/>
  <c r="P129" i="25"/>
  <c r="O129" i="25"/>
  <c r="Q128" i="25"/>
  <c r="P128" i="25"/>
  <c r="O128" i="25"/>
  <c r="N128" i="25"/>
  <c r="M128" i="25"/>
  <c r="L128" i="25"/>
  <c r="K128" i="25"/>
  <c r="J128" i="25"/>
  <c r="I128" i="25"/>
  <c r="H128" i="25"/>
  <c r="G128" i="25"/>
  <c r="F128" i="25"/>
  <c r="E128" i="25"/>
  <c r="D128" i="25"/>
  <c r="C128" i="25"/>
  <c r="Q127" i="25"/>
  <c r="P127" i="25"/>
  <c r="O127" i="25"/>
  <c r="N127" i="25"/>
  <c r="M127" i="25"/>
  <c r="L127" i="25"/>
  <c r="K127" i="25"/>
  <c r="J127" i="25"/>
  <c r="I127" i="25"/>
  <c r="H127" i="25"/>
  <c r="G127" i="25"/>
  <c r="F127" i="25"/>
  <c r="E127" i="25"/>
  <c r="D127" i="25"/>
  <c r="C127" i="25"/>
  <c r="Q126" i="25"/>
  <c r="P126" i="25"/>
  <c r="O126" i="25"/>
  <c r="N126" i="25"/>
  <c r="M126" i="25"/>
  <c r="L126" i="25"/>
  <c r="K126" i="25"/>
  <c r="J126" i="25"/>
  <c r="I126" i="25"/>
  <c r="H126" i="25"/>
  <c r="G126" i="25"/>
  <c r="F126" i="25"/>
  <c r="E126" i="25"/>
  <c r="D126" i="25"/>
  <c r="C126" i="25"/>
  <c r="Q125" i="25"/>
  <c r="P125" i="25"/>
  <c r="O125" i="25"/>
  <c r="N125" i="25"/>
  <c r="M125" i="25"/>
  <c r="L125" i="25"/>
  <c r="K125" i="25"/>
  <c r="J125" i="25"/>
  <c r="I125" i="25"/>
  <c r="H125" i="25"/>
  <c r="G125" i="25"/>
  <c r="F125" i="25"/>
  <c r="E125" i="25"/>
  <c r="D125" i="25"/>
  <c r="C125" i="25"/>
  <c r="Q124" i="25"/>
  <c r="P124" i="25"/>
  <c r="O124" i="25"/>
  <c r="N124" i="25"/>
  <c r="M124" i="25"/>
  <c r="L124" i="25"/>
  <c r="K124" i="25"/>
  <c r="J124" i="25"/>
  <c r="I124" i="25"/>
  <c r="H124" i="25"/>
  <c r="G124" i="25"/>
  <c r="F124" i="25"/>
  <c r="E124" i="25"/>
  <c r="D124" i="25"/>
  <c r="C124" i="25"/>
  <c r="Q123" i="25"/>
  <c r="P123" i="25"/>
  <c r="O123" i="25"/>
  <c r="N123" i="25"/>
  <c r="M123" i="25"/>
  <c r="L123" i="25"/>
  <c r="K123" i="25"/>
  <c r="J123" i="25"/>
  <c r="I123" i="25"/>
  <c r="H123" i="25"/>
  <c r="G123" i="25"/>
  <c r="F123" i="25"/>
  <c r="E123" i="25"/>
  <c r="D123" i="25"/>
  <c r="C123" i="25"/>
  <c r="Q122" i="25"/>
  <c r="P122" i="25"/>
  <c r="O122" i="25"/>
  <c r="N122" i="25"/>
  <c r="M122" i="25"/>
  <c r="L122" i="25"/>
  <c r="K122" i="25"/>
  <c r="J122" i="25"/>
  <c r="I122" i="25"/>
  <c r="H122" i="25"/>
  <c r="G122" i="25"/>
  <c r="F122" i="25"/>
  <c r="E122" i="25"/>
  <c r="D122" i="25"/>
  <c r="C122" i="25"/>
  <c r="Q121" i="25"/>
  <c r="P121" i="25"/>
  <c r="O121" i="25"/>
  <c r="N121" i="25"/>
  <c r="M121" i="25"/>
  <c r="L121" i="25"/>
  <c r="K121" i="25"/>
  <c r="J121" i="25"/>
  <c r="I121" i="25"/>
  <c r="H121" i="25"/>
  <c r="G121" i="25"/>
  <c r="F121" i="25"/>
  <c r="E121" i="25"/>
  <c r="D121" i="25"/>
  <c r="C121" i="25"/>
  <c r="Q120" i="25"/>
  <c r="P120" i="25"/>
  <c r="O120" i="25"/>
  <c r="N120" i="25"/>
  <c r="M120" i="25"/>
  <c r="L120" i="25"/>
  <c r="K120" i="25"/>
  <c r="J120" i="25"/>
  <c r="I120" i="25"/>
  <c r="H120" i="25"/>
  <c r="G120" i="25"/>
  <c r="F120" i="25"/>
  <c r="E120" i="25"/>
  <c r="D120" i="25"/>
  <c r="C120" i="25"/>
  <c r="Q119" i="25"/>
  <c r="P119" i="25"/>
  <c r="O119" i="25"/>
  <c r="N119" i="25"/>
  <c r="M119" i="25"/>
  <c r="L119" i="25"/>
  <c r="K119" i="25"/>
  <c r="J119" i="25"/>
  <c r="I119" i="25"/>
  <c r="H119" i="25"/>
  <c r="G119" i="25"/>
  <c r="F119" i="25"/>
  <c r="E119" i="25"/>
  <c r="D119" i="25"/>
  <c r="C119" i="25"/>
  <c r="Q118" i="25"/>
  <c r="P118" i="25"/>
  <c r="O118" i="25"/>
  <c r="N118" i="25"/>
  <c r="M118" i="25"/>
  <c r="L118" i="25"/>
  <c r="K118" i="25"/>
  <c r="J118" i="25"/>
  <c r="I118" i="25"/>
  <c r="H118" i="25"/>
  <c r="G118" i="25"/>
  <c r="F118" i="25"/>
  <c r="E118" i="25"/>
  <c r="D118" i="25"/>
  <c r="C118" i="25"/>
  <c r="Q117" i="25"/>
  <c r="P117" i="25"/>
  <c r="O117" i="25"/>
  <c r="N117" i="25"/>
  <c r="M117" i="25"/>
  <c r="L117" i="25"/>
  <c r="K117" i="25"/>
  <c r="J117" i="25"/>
  <c r="I117" i="25"/>
  <c r="H117" i="25"/>
  <c r="G117" i="25"/>
  <c r="F117" i="25"/>
  <c r="E117" i="25"/>
  <c r="D117" i="25"/>
  <c r="C117" i="25"/>
  <c r="Q116" i="25"/>
  <c r="P116" i="25"/>
  <c r="O116" i="25"/>
  <c r="N116" i="25"/>
  <c r="M116" i="25"/>
  <c r="L116" i="25"/>
  <c r="K116" i="25"/>
  <c r="J116" i="25"/>
  <c r="I116" i="25"/>
  <c r="H116" i="25"/>
  <c r="G116" i="25"/>
  <c r="F116" i="25"/>
  <c r="E116" i="25"/>
  <c r="D116" i="25"/>
  <c r="C116" i="25"/>
  <c r="Q115" i="25"/>
  <c r="P115" i="25"/>
  <c r="O115" i="25"/>
  <c r="N115" i="25"/>
  <c r="M115" i="25"/>
  <c r="L115" i="25"/>
  <c r="K115" i="25"/>
  <c r="J115" i="25"/>
  <c r="I115" i="25"/>
  <c r="H115" i="25"/>
  <c r="G115" i="25"/>
  <c r="F115" i="25"/>
  <c r="E115" i="25"/>
  <c r="D115" i="25"/>
  <c r="C115" i="25"/>
  <c r="Q114" i="25"/>
  <c r="P114" i="25"/>
  <c r="O114" i="25"/>
  <c r="N114" i="25"/>
  <c r="M114" i="25"/>
  <c r="L114" i="25"/>
  <c r="K114" i="25"/>
  <c r="J114" i="25"/>
  <c r="I114" i="25"/>
  <c r="H114" i="25"/>
  <c r="G114" i="25"/>
  <c r="F114" i="25"/>
  <c r="E114" i="25"/>
  <c r="D114" i="25"/>
  <c r="C114" i="25"/>
  <c r="Q113" i="25"/>
  <c r="P113" i="25"/>
  <c r="O113" i="25"/>
  <c r="N113" i="25"/>
  <c r="M113" i="25"/>
  <c r="L113" i="25"/>
  <c r="K113" i="25"/>
  <c r="J113" i="25"/>
  <c r="I113" i="25"/>
  <c r="H113" i="25"/>
  <c r="G113" i="25"/>
  <c r="F113" i="25"/>
  <c r="E113" i="25"/>
  <c r="D113" i="25"/>
  <c r="C113" i="25"/>
  <c r="Q112" i="25"/>
  <c r="P112" i="25"/>
  <c r="O112" i="25"/>
  <c r="N112" i="25"/>
  <c r="M112" i="25"/>
  <c r="L112" i="25"/>
  <c r="K112" i="25"/>
  <c r="J112" i="25"/>
  <c r="I112" i="25"/>
  <c r="H112" i="25"/>
  <c r="G112" i="25"/>
  <c r="F112" i="25"/>
  <c r="E112" i="25"/>
  <c r="D112" i="25"/>
  <c r="C112" i="25"/>
  <c r="Q111" i="25"/>
  <c r="P111" i="25"/>
  <c r="O111" i="25"/>
  <c r="N111" i="25"/>
  <c r="M111" i="25"/>
  <c r="L111" i="25"/>
  <c r="K111" i="25"/>
  <c r="J111" i="25"/>
  <c r="I111" i="25"/>
  <c r="H111" i="25"/>
  <c r="G111" i="25"/>
  <c r="F111" i="25"/>
  <c r="E111" i="25"/>
  <c r="D111" i="25"/>
  <c r="C111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E110" i="25"/>
  <c r="D110" i="25"/>
  <c r="C110" i="25"/>
  <c r="Q109" i="25"/>
  <c r="P109" i="25"/>
  <c r="O109" i="25"/>
  <c r="N109" i="25"/>
  <c r="M109" i="25"/>
  <c r="L109" i="25"/>
  <c r="K109" i="25"/>
  <c r="J109" i="25"/>
  <c r="I109" i="25"/>
  <c r="H109" i="25"/>
  <c r="G109" i="25"/>
  <c r="F109" i="25"/>
  <c r="E109" i="25"/>
  <c r="D109" i="25"/>
  <c r="C109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E108" i="25"/>
  <c r="D108" i="25"/>
  <c r="C108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E107" i="25"/>
  <c r="D107" i="25"/>
  <c r="C107" i="25"/>
  <c r="Q106" i="25"/>
  <c r="P106" i="25"/>
  <c r="O106" i="25"/>
  <c r="N106" i="25"/>
  <c r="M106" i="25"/>
  <c r="L106" i="25"/>
  <c r="K106" i="25"/>
  <c r="J106" i="25"/>
  <c r="I106" i="25"/>
  <c r="H106" i="25"/>
  <c r="G106" i="25"/>
  <c r="F106" i="25"/>
  <c r="E106" i="25"/>
  <c r="D106" i="25"/>
  <c r="C106" i="25"/>
  <c r="Q105" i="25"/>
  <c r="P105" i="25"/>
  <c r="O105" i="25"/>
  <c r="N105" i="25"/>
  <c r="M105" i="25"/>
  <c r="L105" i="25"/>
  <c r="K105" i="25"/>
  <c r="J105" i="25"/>
  <c r="I105" i="25"/>
  <c r="H105" i="25"/>
  <c r="G105" i="25"/>
  <c r="F105" i="25"/>
  <c r="E105" i="25"/>
  <c r="D105" i="25"/>
  <c r="C105" i="25"/>
  <c r="Q104" i="25"/>
  <c r="P104" i="25"/>
  <c r="O104" i="25"/>
  <c r="N104" i="25"/>
  <c r="M104" i="25"/>
  <c r="L104" i="25"/>
  <c r="K104" i="25"/>
  <c r="J104" i="25"/>
  <c r="I104" i="25"/>
  <c r="H104" i="25"/>
  <c r="G104" i="25"/>
  <c r="F104" i="25"/>
  <c r="E104" i="25"/>
  <c r="D104" i="25"/>
  <c r="C104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E103" i="25"/>
  <c r="D103" i="25"/>
  <c r="C103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D102" i="25"/>
  <c r="C102" i="25"/>
  <c r="Q101" i="25"/>
  <c r="P101" i="25"/>
  <c r="O101" i="25"/>
  <c r="N101" i="25"/>
  <c r="M101" i="25"/>
  <c r="L101" i="25"/>
  <c r="K101" i="25"/>
  <c r="J101" i="25"/>
  <c r="I101" i="25"/>
  <c r="H101" i="25"/>
  <c r="G101" i="25"/>
  <c r="F101" i="25"/>
  <c r="E101" i="25"/>
  <c r="D101" i="25"/>
  <c r="C101" i="25"/>
  <c r="Q100" i="25"/>
  <c r="P100" i="25"/>
  <c r="O100" i="25"/>
  <c r="N100" i="25"/>
  <c r="M100" i="25"/>
  <c r="L100" i="25"/>
  <c r="K100" i="25"/>
  <c r="J100" i="25"/>
  <c r="I100" i="25"/>
  <c r="H100" i="25"/>
  <c r="G100" i="25"/>
  <c r="F100" i="25"/>
  <c r="E100" i="25"/>
  <c r="D100" i="25"/>
  <c r="C100" i="25"/>
  <c r="Q99" i="25"/>
  <c r="P99" i="25"/>
  <c r="O99" i="25"/>
  <c r="N99" i="25"/>
  <c r="M99" i="25"/>
  <c r="L99" i="25"/>
  <c r="K99" i="25"/>
  <c r="J99" i="25"/>
  <c r="I99" i="25"/>
  <c r="H99" i="25"/>
  <c r="G99" i="25"/>
  <c r="F99" i="25"/>
  <c r="E99" i="25"/>
  <c r="D99" i="25"/>
  <c r="C99" i="25"/>
  <c r="Q98" i="25"/>
  <c r="P98" i="25"/>
  <c r="O98" i="25"/>
  <c r="N98" i="25"/>
  <c r="M98" i="25"/>
  <c r="L98" i="25"/>
  <c r="K98" i="25"/>
  <c r="J98" i="25"/>
  <c r="I98" i="25"/>
  <c r="H98" i="25"/>
  <c r="G98" i="25"/>
  <c r="F98" i="25"/>
  <c r="E98" i="25"/>
  <c r="D98" i="25"/>
  <c r="C98" i="25"/>
  <c r="Q97" i="25"/>
  <c r="P97" i="25"/>
  <c r="O97" i="25"/>
  <c r="N97" i="25"/>
  <c r="M97" i="25"/>
  <c r="L97" i="25"/>
  <c r="K97" i="25"/>
  <c r="J97" i="25"/>
  <c r="I97" i="25"/>
  <c r="H97" i="25"/>
  <c r="G97" i="25"/>
  <c r="F97" i="25"/>
  <c r="E97" i="25"/>
  <c r="D97" i="25"/>
  <c r="C97" i="25"/>
  <c r="Q96" i="25"/>
  <c r="P96" i="25"/>
  <c r="O96" i="25"/>
  <c r="N96" i="25"/>
  <c r="M96" i="25"/>
  <c r="L96" i="25"/>
  <c r="K96" i="25"/>
  <c r="J96" i="25"/>
  <c r="I96" i="25"/>
  <c r="H96" i="25"/>
  <c r="G96" i="25"/>
  <c r="F96" i="25"/>
  <c r="E96" i="25"/>
  <c r="D96" i="25"/>
  <c r="C96" i="25"/>
  <c r="Q95" i="25"/>
  <c r="P95" i="25"/>
  <c r="O95" i="25"/>
  <c r="N95" i="25"/>
  <c r="M95" i="25"/>
  <c r="L95" i="25"/>
  <c r="K95" i="25"/>
  <c r="J95" i="25"/>
  <c r="I95" i="25"/>
  <c r="H95" i="25"/>
  <c r="G95" i="25"/>
  <c r="F95" i="25"/>
  <c r="E95" i="25"/>
  <c r="D95" i="25"/>
  <c r="C95" i="25"/>
  <c r="Q94" i="25"/>
  <c r="P94" i="25"/>
  <c r="O94" i="25"/>
  <c r="N94" i="25"/>
  <c r="M94" i="25"/>
  <c r="L94" i="25"/>
  <c r="K94" i="25"/>
  <c r="J94" i="25"/>
  <c r="I94" i="25"/>
  <c r="H94" i="25"/>
  <c r="G94" i="25"/>
  <c r="F94" i="25"/>
  <c r="E94" i="25"/>
  <c r="D94" i="25"/>
  <c r="C94" i="25"/>
  <c r="Q93" i="25"/>
  <c r="P93" i="25"/>
  <c r="O93" i="25"/>
  <c r="N93" i="25"/>
  <c r="M93" i="25"/>
  <c r="L93" i="25"/>
  <c r="K93" i="25"/>
  <c r="J93" i="25"/>
  <c r="I93" i="25"/>
  <c r="H93" i="25"/>
  <c r="G93" i="25"/>
  <c r="F93" i="25"/>
  <c r="E93" i="25"/>
  <c r="D93" i="25"/>
  <c r="C93" i="25"/>
  <c r="Q92" i="25"/>
  <c r="P92" i="25"/>
  <c r="O92" i="25"/>
  <c r="N92" i="25"/>
  <c r="M92" i="25"/>
  <c r="L92" i="25"/>
  <c r="K92" i="25"/>
  <c r="J92" i="25"/>
  <c r="I92" i="25"/>
  <c r="H92" i="25"/>
  <c r="G92" i="25"/>
  <c r="F92" i="25"/>
  <c r="E92" i="25"/>
  <c r="D92" i="25"/>
  <c r="C92" i="25"/>
  <c r="Q91" i="25"/>
  <c r="P91" i="25"/>
  <c r="O91" i="25"/>
  <c r="N91" i="25"/>
  <c r="M91" i="25"/>
  <c r="L91" i="25"/>
  <c r="K91" i="25"/>
  <c r="J91" i="25"/>
  <c r="I91" i="25"/>
  <c r="H91" i="25"/>
  <c r="G91" i="25"/>
  <c r="F91" i="25"/>
  <c r="E91" i="25"/>
  <c r="D91" i="25"/>
  <c r="C91" i="25"/>
  <c r="Q90" i="25"/>
  <c r="P90" i="25"/>
  <c r="O90" i="25"/>
  <c r="N90" i="25"/>
  <c r="M90" i="25"/>
  <c r="L90" i="25"/>
  <c r="K90" i="25"/>
  <c r="J90" i="25"/>
  <c r="I90" i="25"/>
  <c r="H90" i="25"/>
  <c r="G90" i="25"/>
  <c r="F90" i="25"/>
  <c r="E90" i="25"/>
  <c r="D90" i="25"/>
  <c r="C90" i="25"/>
  <c r="Q89" i="25"/>
  <c r="P89" i="25"/>
  <c r="O89" i="25"/>
  <c r="N89" i="25"/>
  <c r="M89" i="25"/>
  <c r="L89" i="25"/>
  <c r="K89" i="25"/>
  <c r="J89" i="25"/>
  <c r="I89" i="25"/>
  <c r="H89" i="25"/>
  <c r="G89" i="25"/>
  <c r="F89" i="25"/>
  <c r="E89" i="25"/>
  <c r="D89" i="25"/>
  <c r="C89" i="25"/>
  <c r="Q88" i="25"/>
  <c r="P88" i="25"/>
  <c r="O88" i="25"/>
  <c r="N88" i="25"/>
  <c r="M88" i="25"/>
  <c r="L88" i="25"/>
  <c r="K88" i="25"/>
  <c r="J88" i="25"/>
  <c r="I88" i="25"/>
  <c r="H88" i="25"/>
  <c r="G88" i="25"/>
  <c r="F88" i="25"/>
  <c r="E88" i="25"/>
  <c r="D88" i="25"/>
  <c r="C88" i="25"/>
  <c r="Q87" i="25"/>
  <c r="P87" i="25"/>
  <c r="O87" i="25"/>
  <c r="N87" i="25"/>
  <c r="M87" i="25"/>
  <c r="L87" i="25"/>
  <c r="K87" i="25"/>
  <c r="J87" i="25"/>
  <c r="I87" i="25"/>
  <c r="H87" i="25"/>
  <c r="G87" i="25"/>
  <c r="F87" i="25"/>
  <c r="E87" i="25"/>
  <c r="D87" i="25"/>
  <c r="C87" i="25"/>
  <c r="Q86" i="25"/>
  <c r="P86" i="25"/>
  <c r="O86" i="25"/>
  <c r="N86" i="25"/>
  <c r="M86" i="25"/>
  <c r="L86" i="25"/>
  <c r="K86" i="25"/>
  <c r="J86" i="25"/>
  <c r="I86" i="25"/>
  <c r="H86" i="25"/>
  <c r="G86" i="25"/>
  <c r="F86" i="25"/>
  <c r="E86" i="25"/>
  <c r="D86" i="25"/>
  <c r="C86" i="25"/>
  <c r="Q85" i="25"/>
  <c r="P85" i="25"/>
  <c r="O85" i="25"/>
  <c r="N85" i="25"/>
  <c r="M85" i="25"/>
  <c r="L85" i="25"/>
  <c r="K85" i="25"/>
  <c r="J85" i="25"/>
  <c r="I85" i="25"/>
  <c r="H85" i="25"/>
  <c r="G85" i="25"/>
  <c r="F85" i="25"/>
  <c r="E85" i="25"/>
  <c r="D85" i="25"/>
  <c r="C85" i="25"/>
  <c r="Q84" i="25"/>
  <c r="P84" i="25"/>
  <c r="O84" i="25"/>
  <c r="N84" i="25"/>
  <c r="M84" i="25"/>
  <c r="L84" i="25"/>
  <c r="K84" i="25"/>
  <c r="J84" i="25"/>
  <c r="I84" i="25"/>
  <c r="H84" i="25"/>
  <c r="G84" i="25"/>
  <c r="F84" i="25"/>
  <c r="E84" i="25"/>
  <c r="D84" i="25"/>
  <c r="C84" i="25"/>
  <c r="Q83" i="25"/>
  <c r="P83" i="25"/>
  <c r="O83" i="25"/>
  <c r="N83" i="25"/>
  <c r="M83" i="25"/>
  <c r="L83" i="25"/>
  <c r="K83" i="25"/>
  <c r="J83" i="25"/>
  <c r="I83" i="25"/>
  <c r="H83" i="25"/>
  <c r="G83" i="25"/>
  <c r="F83" i="25"/>
  <c r="E83" i="25"/>
  <c r="D83" i="25"/>
  <c r="C83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C82" i="25"/>
  <c r="Q81" i="25"/>
  <c r="P81" i="25"/>
  <c r="O81" i="25"/>
  <c r="N81" i="25"/>
  <c r="M81" i="25"/>
  <c r="L81" i="25"/>
  <c r="K81" i="25"/>
  <c r="J81" i="25"/>
  <c r="I81" i="25"/>
  <c r="H81" i="25"/>
  <c r="G81" i="25"/>
  <c r="F81" i="25"/>
  <c r="E81" i="25"/>
  <c r="D81" i="25"/>
  <c r="C81" i="25"/>
  <c r="Q80" i="25"/>
  <c r="P80" i="25"/>
  <c r="O80" i="25"/>
  <c r="N80" i="25"/>
  <c r="M80" i="25"/>
  <c r="L80" i="25"/>
  <c r="K80" i="25"/>
  <c r="J80" i="25"/>
  <c r="I80" i="25"/>
  <c r="H80" i="25"/>
  <c r="G80" i="25"/>
  <c r="F80" i="25"/>
  <c r="E80" i="25"/>
  <c r="D80" i="25"/>
  <c r="C80" i="25"/>
  <c r="Q79" i="25"/>
  <c r="P79" i="25"/>
  <c r="O79" i="25"/>
  <c r="N79" i="25"/>
  <c r="M79" i="25"/>
  <c r="L79" i="25"/>
  <c r="K79" i="25"/>
  <c r="J79" i="25"/>
  <c r="I79" i="25"/>
  <c r="H79" i="25"/>
  <c r="G79" i="25"/>
  <c r="F79" i="25"/>
  <c r="E79" i="25"/>
  <c r="D79" i="25"/>
  <c r="C79" i="25"/>
  <c r="Q78" i="25"/>
  <c r="P78" i="25"/>
  <c r="O78" i="25"/>
  <c r="N78" i="25"/>
  <c r="M78" i="25"/>
  <c r="L78" i="25"/>
  <c r="K78" i="25"/>
  <c r="J78" i="25"/>
  <c r="I78" i="25"/>
  <c r="H78" i="25"/>
  <c r="G78" i="25"/>
  <c r="F78" i="25"/>
  <c r="E78" i="25"/>
  <c r="D78" i="25"/>
  <c r="C78" i="25"/>
  <c r="Q77" i="25"/>
  <c r="P77" i="25"/>
  <c r="O77" i="25"/>
  <c r="N77" i="25"/>
  <c r="M77" i="25"/>
  <c r="L77" i="25"/>
  <c r="K77" i="25"/>
  <c r="J77" i="25"/>
  <c r="I77" i="25"/>
  <c r="H77" i="25"/>
  <c r="G77" i="25"/>
  <c r="F77" i="25"/>
  <c r="E77" i="25"/>
  <c r="D77" i="25"/>
  <c r="C77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E76" i="25"/>
  <c r="D76" i="25"/>
  <c r="C76" i="25"/>
  <c r="Q75" i="25"/>
  <c r="P75" i="25"/>
  <c r="O75" i="25"/>
  <c r="N75" i="25"/>
  <c r="M75" i="25"/>
  <c r="L75" i="25"/>
  <c r="K75" i="25"/>
  <c r="J75" i="25"/>
  <c r="I75" i="25"/>
  <c r="H75" i="25"/>
  <c r="G75" i="25"/>
  <c r="F75" i="25"/>
  <c r="E75" i="25"/>
  <c r="D75" i="25"/>
  <c r="C75" i="25"/>
  <c r="Q74" i="25"/>
  <c r="P74" i="25"/>
  <c r="O74" i="25"/>
  <c r="N74" i="25"/>
  <c r="M74" i="25"/>
  <c r="L74" i="25"/>
  <c r="K74" i="25"/>
  <c r="J74" i="25"/>
  <c r="I74" i="25"/>
  <c r="H74" i="25"/>
  <c r="G74" i="25"/>
  <c r="F74" i="25"/>
  <c r="E74" i="25"/>
  <c r="D74" i="25"/>
  <c r="C74" i="25"/>
  <c r="Q73" i="25"/>
  <c r="P73" i="25"/>
  <c r="O73" i="25"/>
  <c r="N73" i="25"/>
  <c r="M73" i="25"/>
  <c r="L73" i="25"/>
  <c r="K73" i="25"/>
  <c r="J73" i="25"/>
  <c r="I73" i="25"/>
  <c r="H73" i="25"/>
  <c r="G73" i="25"/>
  <c r="F73" i="25"/>
  <c r="E73" i="25"/>
  <c r="D73" i="25"/>
  <c r="C73" i="25"/>
  <c r="Q72" i="25"/>
  <c r="P72" i="25"/>
  <c r="O72" i="25"/>
  <c r="N72" i="25"/>
  <c r="M72" i="25"/>
  <c r="L72" i="25"/>
  <c r="K72" i="25"/>
  <c r="J72" i="25"/>
  <c r="I72" i="25"/>
  <c r="H72" i="25"/>
  <c r="G72" i="25"/>
  <c r="F72" i="25"/>
  <c r="E72" i="25"/>
  <c r="D72" i="25"/>
  <c r="C72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C71" i="25"/>
  <c r="Q70" i="25"/>
  <c r="P70" i="25"/>
  <c r="O70" i="25"/>
  <c r="N70" i="25"/>
  <c r="M70" i="25"/>
  <c r="L70" i="25"/>
  <c r="K70" i="25"/>
  <c r="J70" i="25"/>
  <c r="I70" i="25"/>
  <c r="H70" i="25"/>
  <c r="G70" i="25"/>
  <c r="F70" i="25"/>
  <c r="E70" i="25"/>
  <c r="D70" i="25"/>
  <c r="C70" i="25"/>
  <c r="Q69" i="25"/>
  <c r="P69" i="25"/>
  <c r="O69" i="25"/>
  <c r="N69" i="25"/>
  <c r="M69" i="25"/>
  <c r="L69" i="25"/>
  <c r="K69" i="25"/>
  <c r="J69" i="25"/>
  <c r="I69" i="25"/>
  <c r="H69" i="25"/>
  <c r="G69" i="25"/>
  <c r="F69" i="25"/>
  <c r="E69" i="25"/>
  <c r="D69" i="25"/>
  <c r="C69" i="25"/>
  <c r="Q68" i="25"/>
  <c r="P68" i="25"/>
  <c r="O68" i="25"/>
  <c r="N68" i="25"/>
  <c r="M68" i="25"/>
  <c r="L68" i="25"/>
  <c r="K68" i="25"/>
  <c r="J68" i="25"/>
  <c r="I68" i="25"/>
  <c r="H68" i="25"/>
  <c r="G68" i="25"/>
  <c r="F68" i="25"/>
  <c r="E68" i="25"/>
  <c r="D68" i="25"/>
  <c r="C68" i="25"/>
  <c r="Q67" i="25"/>
  <c r="P67" i="25"/>
  <c r="O67" i="25"/>
  <c r="N67" i="25"/>
  <c r="M67" i="25"/>
  <c r="L67" i="25"/>
  <c r="K67" i="25"/>
  <c r="J67" i="25"/>
  <c r="I67" i="25"/>
  <c r="H67" i="25"/>
  <c r="G67" i="25"/>
  <c r="F67" i="25"/>
  <c r="E67" i="25"/>
  <c r="D67" i="25"/>
  <c r="C67" i="25"/>
  <c r="Q66" i="25"/>
  <c r="P66" i="25"/>
  <c r="O66" i="25"/>
  <c r="N66" i="25"/>
  <c r="M66" i="25"/>
  <c r="L66" i="25"/>
  <c r="K66" i="25"/>
  <c r="J66" i="25"/>
  <c r="I66" i="25"/>
  <c r="H66" i="25"/>
  <c r="G66" i="25"/>
  <c r="F66" i="25"/>
  <c r="E66" i="25"/>
  <c r="D66" i="25"/>
  <c r="C66" i="25"/>
  <c r="Q65" i="25"/>
  <c r="P65" i="25"/>
  <c r="O65" i="25"/>
  <c r="N65" i="25"/>
  <c r="M65" i="25"/>
  <c r="L65" i="25"/>
  <c r="K65" i="25"/>
  <c r="J65" i="25"/>
  <c r="I65" i="25"/>
  <c r="H65" i="25"/>
  <c r="G65" i="25"/>
  <c r="F65" i="25"/>
  <c r="E65" i="25"/>
  <c r="D65" i="25"/>
  <c r="C65" i="25"/>
  <c r="Q64" i="25"/>
  <c r="P64" i="25"/>
  <c r="O64" i="25"/>
  <c r="N64" i="25"/>
  <c r="M64" i="25"/>
  <c r="L64" i="25"/>
  <c r="K64" i="25"/>
  <c r="J64" i="25"/>
  <c r="I64" i="25"/>
  <c r="H64" i="25"/>
  <c r="G64" i="25"/>
  <c r="F64" i="25"/>
  <c r="E64" i="25"/>
  <c r="D64" i="25"/>
  <c r="C64" i="25"/>
  <c r="Q63" i="25"/>
  <c r="P63" i="25"/>
  <c r="O63" i="25"/>
  <c r="N63" i="25"/>
  <c r="M63" i="25"/>
  <c r="L63" i="25"/>
  <c r="K63" i="25"/>
  <c r="J63" i="25"/>
  <c r="I63" i="25"/>
  <c r="H63" i="25"/>
  <c r="G63" i="25"/>
  <c r="F63" i="25"/>
  <c r="E63" i="25"/>
  <c r="D63" i="25"/>
  <c r="C63" i="25"/>
  <c r="Q62" i="25"/>
  <c r="P62" i="25"/>
  <c r="O62" i="25"/>
  <c r="N62" i="25"/>
  <c r="M62" i="25"/>
  <c r="L62" i="25"/>
  <c r="K62" i="25"/>
  <c r="J62" i="25"/>
  <c r="I62" i="25"/>
  <c r="H62" i="25"/>
  <c r="G62" i="25"/>
  <c r="F62" i="25"/>
  <c r="E62" i="25"/>
  <c r="D62" i="25"/>
  <c r="C62" i="25"/>
  <c r="Q61" i="25"/>
  <c r="P61" i="25"/>
  <c r="O61" i="25"/>
  <c r="N61" i="25"/>
  <c r="M61" i="25"/>
  <c r="L61" i="25"/>
  <c r="K61" i="25"/>
  <c r="J61" i="25"/>
  <c r="I61" i="25"/>
  <c r="H61" i="25"/>
  <c r="G61" i="25"/>
  <c r="F61" i="25"/>
  <c r="E61" i="25"/>
  <c r="D61" i="25"/>
  <c r="C61" i="25"/>
  <c r="Q60" i="25"/>
  <c r="P60" i="25"/>
  <c r="O60" i="25"/>
  <c r="N60" i="25"/>
  <c r="M60" i="25"/>
  <c r="L60" i="25"/>
  <c r="K60" i="25"/>
  <c r="J60" i="25"/>
  <c r="I60" i="25"/>
  <c r="H60" i="25"/>
  <c r="G60" i="25"/>
  <c r="F60" i="25"/>
  <c r="E60" i="25"/>
  <c r="D60" i="25"/>
  <c r="C60" i="25"/>
  <c r="Q59" i="25"/>
  <c r="P59" i="25"/>
  <c r="O59" i="25"/>
  <c r="N59" i="25"/>
  <c r="M59" i="25"/>
  <c r="L59" i="25"/>
  <c r="K59" i="25"/>
  <c r="J59" i="25"/>
  <c r="I59" i="25"/>
  <c r="H59" i="25"/>
  <c r="G59" i="25"/>
  <c r="F59" i="25"/>
  <c r="E59" i="25"/>
  <c r="D59" i="25"/>
  <c r="C59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AG9" i="25"/>
  <c r="L295" i="25" l="1"/>
  <c r="M295" i="25"/>
  <c r="G294" i="25"/>
  <c r="O217" i="25"/>
  <c r="J129" i="25"/>
  <c r="L292" i="25"/>
  <c r="H213" i="25"/>
  <c r="M292" i="25"/>
  <c r="N292" i="25"/>
  <c r="AC6" i="25"/>
  <c r="K130" i="25"/>
  <c r="U7" i="25"/>
  <c r="Q213" i="25"/>
  <c r="Z4" i="25"/>
  <c r="J4" i="25" s="1"/>
  <c r="J131" i="25"/>
  <c r="P214" i="25"/>
  <c r="H215" i="25"/>
  <c r="L294" i="25"/>
  <c r="L296" i="25"/>
  <c r="V6" i="25"/>
  <c r="AC7" i="25"/>
  <c r="P218" i="25"/>
  <c r="M293" i="25"/>
  <c r="C129" i="25"/>
  <c r="AA4" i="25"/>
  <c r="J132" i="25"/>
  <c r="AD9" i="25"/>
  <c r="O215" i="25"/>
  <c r="H216" i="25"/>
  <c r="L291" i="25"/>
  <c r="M294" i="25"/>
  <c r="N294" i="25"/>
  <c r="J130" i="25"/>
  <c r="U6" i="25"/>
  <c r="O218" i="25"/>
  <c r="M296" i="25"/>
  <c r="AD6" i="25"/>
  <c r="O214" i="25"/>
  <c r="G215" i="25"/>
  <c r="N293" i="25"/>
  <c r="AF9" i="25"/>
  <c r="O5" i="25" s="1"/>
  <c r="K134" i="25"/>
  <c r="P215" i="25"/>
  <c r="D130" i="25"/>
  <c r="Q218" i="25"/>
  <c r="AH9" i="25"/>
  <c r="Q4" i="25" s="1"/>
  <c r="Q217" i="25"/>
  <c r="Q216" i="25"/>
  <c r="N291" i="25"/>
  <c r="N213" i="25"/>
  <c r="N216" i="25"/>
  <c r="N217" i="25"/>
  <c r="E291" i="25"/>
  <c r="G291" i="25"/>
  <c r="F291" i="25"/>
  <c r="G296" i="25"/>
  <c r="X9" i="25"/>
  <c r="H9" i="25" s="1"/>
  <c r="D291" i="25"/>
  <c r="G295" i="25"/>
  <c r="G293" i="25"/>
  <c r="I292" i="25"/>
  <c r="D294" i="25"/>
  <c r="C291" i="25"/>
  <c r="E293" i="25"/>
  <c r="C295" i="25"/>
  <c r="F293" i="25"/>
  <c r="G292" i="25"/>
  <c r="H294" i="25"/>
  <c r="E296" i="25"/>
  <c r="D295" i="25"/>
  <c r="E295" i="25"/>
  <c r="D292" i="25"/>
  <c r="E292" i="25"/>
  <c r="W9" i="25"/>
  <c r="G9" i="25" s="1"/>
  <c r="H214" i="25"/>
  <c r="G214" i="25"/>
  <c r="G213" i="25"/>
  <c r="U5" i="25"/>
  <c r="AC5" i="25"/>
  <c r="F214" i="25"/>
  <c r="Z9" i="25"/>
  <c r="E214" i="25"/>
  <c r="Y4" i="25"/>
  <c r="I217" i="25"/>
  <c r="J215" i="25"/>
  <c r="D213" i="25"/>
  <c r="M213" i="25"/>
  <c r="H217" i="25"/>
  <c r="W6" i="25"/>
  <c r="AE6" i="25"/>
  <c r="V7" i="25"/>
  <c r="AD7" i="25"/>
  <c r="X6" i="25"/>
  <c r="W7" i="25"/>
  <c r="AE7" i="25"/>
  <c r="W8" i="25"/>
  <c r="AE8" i="25"/>
  <c r="I213" i="25"/>
  <c r="I215" i="25"/>
  <c r="C216" i="25"/>
  <c r="T5" i="25"/>
  <c r="AB5" i="25"/>
  <c r="S6" i="25"/>
  <c r="AA6" i="25"/>
  <c r="Z8" i="25"/>
  <c r="J214" i="25"/>
  <c r="J216" i="25"/>
  <c r="J218" i="25"/>
  <c r="F215" i="25"/>
  <c r="Z6" i="25"/>
  <c r="E213" i="25"/>
  <c r="G216" i="25"/>
  <c r="N215" i="25"/>
  <c r="V5" i="25"/>
  <c r="AD5" i="25"/>
  <c r="T7" i="25"/>
  <c r="AB7" i="25"/>
  <c r="K132" i="25"/>
  <c r="J133" i="25"/>
  <c r="S4" i="25"/>
  <c r="K133" i="25"/>
  <c r="E133" i="25"/>
  <c r="AA7" i="25"/>
  <c r="K129" i="25"/>
  <c r="H133" i="25"/>
  <c r="H130" i="25"/>
  <c r="N130" i="25"/>
  <c r="N133" i="25"/>
  <c r="AC4" i="25"/>
  <c r="AB6" i="25"/>
  <c r="C132" i="25"/>
  <c r="I133" i="25"/>
  <c r="H134" i="25"/>
  <c r="H132" i="25"/>
  <c r="T6" i="25"/>
  <c r="I130" i="25"/>
  <c r="AB4" i="25"/>
  <c r="AE5" i="25"/>
  <c r="N132" i="25"/>
  <c r="AA5" i="25"/>
  <c r="AB8" i="25"/>
  <c r="AD8" i="25"/>
  <c r="H129" i="25"/>
  <c r="AD4" i="25"/>
  <c r="Z5" i="25"/>
  <c r="Z7" i="25"/>
  <c r="AC8" i="25"/>
  <c r="G129" i="25"/>
  <c r="C130" i="25"/>
  <c r="I131" i="25"/>
  <c r="Y9" i="25"/>
  <c r="I9" i="25" s="1"/>
  <c r="F133" i="25"/>
  <c r="X7" i="25"/>
  <c r="H7" i="25" s="1"/>
  <c r="G133" i="25"/>
  <c r="S5" i="25"/>
  <c r="G131" i="25"/>
  <c r="Y5" i="25"/>
  <c r="Y7" i="25"/>
  <c r="T8" i="25"/>
  <c r="V8" i="25"/>
  <c r="S7" i="25"/>
  <c r="V4" i="25"/>
  <c r="U8" i="25"/>
  <c r="P4" i="25"/>
  <c r="P9" i="25"/>
  <c r="D132" i="25"/>
  <c r="L134" i="25"/>
  <c r="I216" i="25"/>
  <c r="C218" i="25"/>
  <c r="H296" i="25"/>
  <c r="U4" i="25"/>
  <c r="E132" i="25"/>
  <c r="E134" i="25"/>
  <c r="K217" i="25"/>
  <c r="I296" i="25"/>
  <c r="W5" i="25"/>
  <c r="P7" i="25"/>
  <c r="AA9" i="25"/>
  <c r="Q214" i="25"/>
  <c r="L217" i="25"/>
  <c r="W4" i="25"/>
  <c r="AE4" i="25"/>
  <c r="X5" i="25"/>
  <c r="P6" i="25"/>
  <c r="Y6" i="25"/>
  <c r="AH7" i="25"/>
  <c r="S8" i="25"/>
  <c r="T9" i="25"/>
  <c r="AB9" i="25"/>
  <c r="G130" i="25"/>
  <c r="C131" i="25"/>
  <c r="G132" i="25"/>
  <c r="G134" i="25"/>
  <c r="C215" i="25"/>
  <c r="K215" i="25"/>
  <c r="D216" i="25"/>
  <c r="L216" i="25"/>
  <c r="E217" i="25"/>
  <c r="M217" i="25"/>
  <c r="F218" i="25"/>
  <c r="C292" i="25"/>
  <c r="K292" i="25"/>
  <c r="C294" i="25"/>
  <c r="K294" i="25"/>
  <c r="O9" i="25"/>
  <c r="X8" i="25"/>
  <c r="L130" i="25"/>
  <c r="H131" i="25"/>
  <c r="F213" i="25"/>
  <c r="K218" i="25"/>
  <c r="D293" i="25"/>
  <c r="P8" i="25"/>
  <c r="I129" i="25"/>
  <c r="E130" i="25"/>
  <c r="M132" i="25"/>
  <c r="Q215" i="25"/>
  <c r="L218" i="25"/>
  <c r="I294" i="25"/>
  <c r="S9" i="25"/>
  <c r="N134" i="25"/>
  <c r="I214" i="25"/>
  <c r="K216" i="25"/>
  <c r="M218" i="25"/>
  <c r="F295" i="25"/>
  <c r="X4" i="25"/>
  <c r="P5" i="25"/>
  <c r="U9" i="25"/>
  <c r="AC9" i="25"/>
  <c r="D129" i="25"/>
  <c r="L129" i="25"/>
  <c r="D131" i="25"/>
  <c r="L131" i="25"/>
  <c r="D133" i="25"/>
  <c r="L133" i="25"/>
  <c r="C214" i="25"/>
  <c r="K214" i="25"/>
  <c r="D215" i="25"/>
  <c r="L215" i="25"/>
  <c r="E216" i="25"/>
  <c r="M216" i="25"/>
  <c r="F217" i="25"/>
  <c r="G218" i="25"/>
  <c r="H291" i="25"/>
  <c r="H293" i="25"/>
  <c r="H295" i="25"/>
  <c r="N214" i="25"/>
  <c r="T4" i="25"/>
  <c r="D134" i="25"/>
  <c r="H292" i="25"/>
  <c r="Y8" i="25"/>
  <c r="M130" i="25"/>
  <c r="D218" i="25"/>
  <c r="J9" i="25"/>
  <c r="F130" i="25"/>
  <c r="F132" i="25"/>
  <c r="F134" i="25"/>
  <c r="D217" i="25"/>
  <c r="J294" i="25"/>
  <c r="J296" i="25"/>
  <c r="V9" i="25"/>
  <c r="E129" i="25"/>
  <c r="M129" i="25"/>
  <c r="E131" i="25"/>
  <c r="M131" i="25"/>
  <c r="I132" i="25"/>
  <c r="M133" i="25"/>
  <c r="C213" i="25"/>
  <c r="D214" i="25"/>
  <c r="L214" i="25"/>
  <c r="E215" i="25"/>
  <c r="M215" i="25"/>
  <c r="F216" i="25"/>
  <c r="G217" i="25"/>
  <c r="H218" i="25"/>
  <c r="I291" i="25"/>
  <c r="I293" i="25"/>
  <c r="I295" i="25"/>
  <c r="C217" i="25"/>
  <c r="E218" i="25"/>
  <c r="J292" i="25"/>
  <c r="AE9" i="25"/>
  <c r="F129" i="25"/>
  <c r="N129" i="25"/>
  <c r="F131" i="25"/>
  <c r="N131" i="25"/>
  <c r="J291" i="25"/>
  <c r="F292" i="25"/>
  <c r="J293" i="25"/>
  <c r="F294" i="25"/>
  <c r="AK362" i="18"/>
  <c r="AJ362" i="18"/>
  <c r="AI362" i="18"/>
  <c r="Q362" i="18" s="1"/>
  <c r="AH362" i="18"/>
  <c r="P358" i="18" s="1"/>
  <c r="AK361" i="18"/>
  <c r="AJ361" i="18"/>
  <c r="AJ355" i="18" s="1"/>
  <c r="AJ349" i="18" s="1"/>
  <c r="AJ343" i="18" s="1"/>
  <c r="AJ337" i="18" s="1"/>
  <c r="AJ331" i="18" s="1"/>
  <c r="AJ325" i="18" s="1"/>
  <c r="AJ319" i="18" s="1"/>
  <c r="AJ313" i="18" s="1"/>
  <c r="AJ307" i="18" s="1"/>
  <c r="AJ301" i="18" s="1"/>
  <c r="AJ295" i="18" s="1"/>
  <c r="AJ289" i="18" s="1"/>
  <c r="AJ283" i="18" s="1"/>
  <c r="AJ277" i="18" s="1"/>
  <c r="AJ271" i="18" s="1"/>
  <c r="AJ265" i="18" s="1"/>
  <c r="AJ259" i="18" s="1"/>
  <c r="AJ253" i="18" s="1"/>
  <c r="AJ247" i="18" s="1"/>
  <c r="AJ241" i="18" s="1"/>
  <c r="AJ235" i="18" s="1"/>
  <c r="AJ229" i="18" s="1"/>
  <c r="AJ223" i="18" s="1"/>
  <c r="AJ217" i="18" s="1"/>
  <c r="AJ211" i="18" s="1"/>
  <c r="AJ205" i="18" s="1"/>
  <c r="AJ199" i="18" s="1"/>
  <c r="AJ193" i="18" s="1"/>
  <c r="AJ187" i="18" s="1"/>
  <c r="AJ181" i="18" s="1"/>
  <c r="AJ175" i="18" s="1"/>
  <c r="AJ169" i="18" s="1"/>
  <c r="AJ163" i="18" s="1"/>
  <c r="AI361" i="18"/>
  <c r="AI355" i="18" s="1"/>
  <c r="AI349" i="18" s="1"/>
  <c r="AI343" i="18" s="1"/>
  <c r="AI337" i="18" s="1"/>
  <c r="AI331" i="18" s="1"/>
  <c r="AI325" i="18" s="1"/>
  <c r="AI319" i="18" s="1"/>
  <c r="AI313" i="18" s="1"/>
  <c r="AI307" i="18" s="1"/>
  <c r="AI301" i="18" s="1"/>
  <c r="AI295" i="18" s="1"/>
  <c r="AI289" i="18" s="1"/>
  <c r="AI283" i="18" s="1"/>
  <c r="AI277" i="18" s="1"/>
  <c r="AI271" i="18" s="1"/>
  <c r="AI265" i="18" s="1"/>
  <c r="AI259" i="18" s="1"/>
  <c r="AI253" i="18" s="1"/>
  <c r="AI247" i="18" s="1"/>
  <c r="AI241" i="18" s="1"/>
  <c r="AI235" i="18" s="1"/>
  <c r="AI229" i="18" s="1"/>
  <c r="AI223" i="18" s="1"/>
  <c r="AI217" i="18" s="1"/>
  <c r="AI211" i="18" s="1"/>
  <c r="AI205" i="18" s="1"/>
  <c r="AI199" i="18" s="1"/>
  <c r="AI193" i="18" s="1"/>
  <c r="AI187" i="18" s="1"/>
  <c r="AI181" i="18" s="1"/>
  <c r="AI175" i="18" s="1"/>
  <c r="AI169" i="18" s="1"/>
  <c r="AI163" i="18" s="1"/>
  <c r="AH361" i="18"/>
  <c r="AH355" i="18" s="1"/>
  <c r="AH349" i="18" s="1"/>
  <c r="AH343" i="18" s="1"/>
  <c r="AH337" i="18" s="1"/>
  <c r="AH331" i="18" s="1"/>
  <c r="AH325" i="18" s="1"/>
  <c r="AH319" i="18" s="1"/>
  <c r="AH313" i="18" s="1"/>
  <c r="AH307" i="18" s="1"/>
  <c r="AH301" i="18" s="1"/>
  <c r="AH295" i="18" s="1"/>
  <c r="AH289" i="18" s="1"/>
  <c r="AH283" i="18" s="1"/>
  <c r="AH277" i="18" s="1"/>
  <c r="AH271" i="18" s="1"/>
  <c r="AH265" i="18" s="1"/>
  <c r="AH259" i="18" s="1"/>
  <c r="AH253" i="18" s="1"/>
  <c r="AH247" i="18" s="1"/>
  <c r="AH241" i="18" s="1"/>
  <c r="AH235" i="18" s="1"/>
  <c r="AH229" i="18" s="1"/>
  <c r="AH223" i="18" s="1"/>
  <c r="AH217" i="18" s="1"/>
  <c r="AH211" i="18" s="1"/>
  <c r="AH205" i="18" s="1"/>
  <c r="AH199" i="18" s="1"/>
  <c r="AH193" i="18" s="1"/>
  <c r="AH187" i="18" s="1"/>
  <c r="AH181" i="18" s="1"/>
  <c r="AH175" i="18" s="1"/>
  <c r="AH169" i="18" s="1"/>
  <c r="AH163" i="18" s="1"/>
  <c r="AK360" i="18"/>
  <c r="AJ360" i="18"/>
  <c r="AI360" i="18"/>
  <c r="AI354" i="18" s="1"/>
  <c r="AI348" i="18" s="1"/>
  <c r="AI342" i="18" s="1"/>
  <c r="AI336" i="18" s="1"/>
  <c r="AI330" i="18" s="1"/>
  <c r="AI324" i="18" s="1"/>
  <c r="AI318" i="18" s="1"/>
  <c r="AI312" i="18" s="1"/>
  <c r="AI306" i="18" s="1"/>
  <c r="AI300" i="18" s="1"/>
  <c r="AI294" i="18" s="1"/>
  <c r="AI288" i="18" s="1"/>
  <c r="AI282" i="18" s="1"/>
  <c r="AI276" i="18" s="1"/>
  <c r="AI270" i="18" s="1"/>
  <c r="AI264" i="18" s="1"/>
  <c r="AI258" i="18" s="1"/>
  <c r="AI252" i="18" s="1"/>
  <c r="AI246" i="18" s="1"/>
  <c r="AI240" i="18" s="1"/>
  <c r="AI234" i="18" s="1"/>
  <c r="AI228" i="18" s="1"/>
  <c r="AI222" i="18" s="1"/>
  <c r="AI216" i="18" s="1"/>
  <c r="AI210" i="18" s="1"/>
  <c r="AI204" i="18" s="1"/>
  <c r="AI198" i="18" s="1"/>
  <c r="AI192" i="18" s="1"/>
  <c r="AI186" i="18" s="1"/>
  <c r="AI180" i="18" s="1"/>
  <c r="AI174" i="18" s="1"/>
  <c r="AI168" i="18" s="1"/>
  <c r="AI162" i="18" s="1"/>
  <c r="AH360" i="18"/>
  <c r="AH354" i="18" s="1"/>
  <c r="AH348" i="18" s="1"/>
  <c r="AH342" i="18" s="1"/>
  <c r="AH336" i="18" s="1"/>
  <c r="AH330" i="18" s="1"/>
  <c r="AH324" i="18" s="1"/>
  <c r="AH318" i="18" s="1"/>
  <c r="AH312" i="18" s="1"/>
  <c r="AH306" i="18" s="1"/>
  <c r="AH300" i="18" s="1"/>
  <c r="AH294" i="18" s="1"/>
  <c r="AH288" i="18" s="1"/>
  <c r="AH282" i="18" s="1"/>
  <c r="AH276" i="18" s="1"/>
  <c r="AH270" i="18" s="1"/>
  <c r="AH264" i="18" s="1"/>
  <c r="AH258" i="18" s="1"/>
  <c r="AH252" i="18" s="1"/>
  <c r="AH246" i="18" s="1"/>
  <c r="AH240" i="18" s="1"/>
  <c r="AH234" i="18" s="1"/>
  <c r="AH228" i="18" s="1"/>
  <c r="AH222" i="18" s="1"/>
  <c r="AH216" i="18" s="1"/>
  <c r="AH210" i="18" s="1"/>
  <c r="AH204" i="18" s="1"/>
  <c r="AH198" i="18" s="1"/>
  <c r="AH192" i="18" s="1"/>
  <c r="AH186" i="18" s="1"/>
  <c r="AH180" i="18" s="1"/>
  <c r="AH174" i="18" s="1"/>
  <c r="AH168" i="18" s="1"/>
  <c r="AH162" i="18" s="1"/>
  <c r="AK359" i="18"/>
  <c r="AK353" i="18" s="1"/>
  <c r="AK347" i="18" s="1"/>
  <c r="AK341" i="18" s="1"/>
  <c r="AK335" i="18" s="1"/>
  <c r="AK329" i="18" s="1"/>
  <c r="AK323" i="18" s="1"/>
  <c r="AK317" i="18" s="1"/>
  <c r="AK311" i="18" s="1"/>
  <c r="AK305" i="18" s="1"/>
  <c r="AK299" i="18" s="1"/>
  <c r="AK293" i="18" s="1"/>
  <c r="AK287" i="18" s="1"/>
  <c r="AK281" i="18" s="1"/>
  <c r="AK275" i="18" s="1"/>
  <c r="AK269" i="18" s="1"/>
  <c r="AK263" i="18" s="1"/>
  <c r="AK257" i="18" s="1"/>
  <c r="AK251" i="18" s="1"/>
  <c r="AK245" i="18" s="1"/>
  <c r="AK239" i="18" s="1"/>
  <c r="AK233" i="18" s="1"/>
  <c r="AK227" i="18" s="1"/>
  <c r="AK221" i="18" s="1"/>
  <c r="AK215" i="18" s="1"/>
  <c r="AK209" i="18" s="1"/>
  <c r="AK203" i="18" s="1"/>
  <c r="AK197" i="18" s="1"/>
  <c r="AK191" i="18" s="1"/>
  <c r="AK185" i="18" s="1"/>
  <c r="AK179" i="18" s="1"/>
  <c r="AK173" i="18" s="1"/>
  <c r="AK167" i="18" s="1"/>
  <c r="AK161" i="18" s="1"/>
  <c r="AK155" i="18" s="1"/>
  <c r="AJ359" i="18"/>
  <c r="AJ353" i="18" s="1"/>
  <c r="AJ347" i="18" s="1"/>
  <c r="AJ341" i="18" s="1"/>
  <c r="AJ335" i="18" s="1"/>
  <c r="AJ329" i="18" s="1"/>
  <c r="AJ323" i="18" s="1"/>
  <c r="AJ317" i="18" s="1"/>
  <c r="AJ311" i="18" s="1"/>
  <c r="AJ305" i="18" s="1"/>
  <c r="AJ299" i="18" s="1"/>
  <c r="AJ293" i="18" s="1"/>
  <c r="AJ287" i="18" s="1"/>
  <c r="AJ281" i="18" s="1"/>
  <c r="AJ275" i="18" s="1"/>
  <c r="AJ269" i="18" s="1"/>
  <c r="AJ263" i="18" s="1"/>
  <c r="AJ257" i="18" s="1"/>
  <c r="AJ251" i="18" s="1"/>
  <c r="AJ245" i="18" s="1"/>
  <c r="AJ239" i="18" s="1"/>
  <c r="AJ233" i="18" s="1"/>
  <c r="AJ227" i="18" s="1"/>
  <c r="AJ221" i="18" s="1"/>
  <c r="AJ215" i="18" s="1"/>
  <c r="AJ209" i="18" s="1"/>
  <c r="AJ203" i="18" s="1"/>
  <c r="AJ197" i="18" s="1"/>
  <c r="AJ191" i="18" s="1"/>
  <c r="AJ185" i="18" s="1"/>
  <c r="AJ179" i="18" s="1"/>
  <c r="AJ173" i="18" s="1"/>
  <c r="AJ167" i="18" s="1"/>
  <c r="AJ161" i="18" s="1"/>
  <c r="AJ155" i="18" s="1"/>
  <c r="AI359" i="18"/>
  <c r="AI353" i="18" s="1"/>
  <c r="AI347" i="18" s="1"/>
  <c r="AI341" i="18" s="1"/>
  <c r="AI335" i="18" s="1"/>
  <c r="AI329" i="18" s="1"/>
  <c r="AI323" i="18" s="1"/>
  <c r="AI317" i="18" s="1"/>
  <c r="AI311" i="18" s="1"/>
  <c r="AI305" i="18" s="1"/>
  <c r="AI299" i="18" s="1"/>
  <c r="AI293" i="18" s="1"/>
  <c r="AI287" i="18" s="1"/>
  <c r="AI281" i="18" s="1"/>
  <c r="AI275" i="18" s="1"/>
  <c r="AI269" i="18" s="1"/>
  <c r="AI263" i="18" s="1"/>
  <c r="AI257" i="18" s="1"/>
  <c r="AI251" i="18" s="1"/>
  <c r="AI245" i="18" s="1"/>
  <c r="AI239" i="18" s="1"/>
  <c r="AI233" i="18" s="1"/>
  <c r="AI227" i="18" s="1"/>
  <c r="AI221" i="18" s="1"/>
  <c r="AI215" i="18" s="1"/>
  <c r="AI209" i="18" s="1"/>
  <c r="AI203" i="18" s="1"/>
  <c r="AI197" i="18" s="1"/>
  <c r="AI191" i="18" s="1"/>
  <c r="AI185" i="18" s="1"/>
  <c r="AI179" i="18" s="1"/>
  <c r="AI173" i="18" s="1"/>
  <c r="AI167" i="18" s="1"/>
  <c r="AI161" i="18" s="1"/>
  <c r="AH359" i="18"/>
  <c r="AH353" i="18" s="1"/>
  <c r="AH347" i="18" s="1"/>
  <c r="AH341" i="18" s="1"/>
  <c r="AH335" i="18" s="1"/>
  <c r="AH329" i="18" s="1"/>
  <c r="AH323" i="18" s="1"/>
  <c r="AH317" i="18" s="1"/>
  <c r="AH311" i="18" s="1"/>
  <c r="AH305" i="18" s="1"/>
  <c r="AH299" i="18" s="1"/>
  <c r="AH293" i="18" s="1"/>
  <c r="AH287" i="18" s="1"/>
  <c r="AH281" i="18" s="1"/>
  <c r="AH275" i="18" s="1"/>
  <c r="AH269" i="18" s="1"/>
  <c r="AH263" i="18" s="1"/>
  <c r="AH257" i="18" s="1"/>
  <c r="AH251" i="18" s="1"/>
  <c r="AH245" i="18" s="1"/>
  <c r="AH239" i="18" s="1"/>
  <c r="AH233" i="18" s="1"/>
  <c r="AH227" i="18" s="1"/>
  <c r="AH221" i="18" s="1"/>
  <c r="AH215" i="18" s="1"/>
  <c r="AH209" i="18" s="1"/>
  <c r="AH203" i="18" s="1"/>
  <c r="AH197" i="18" s="1"/>
  <c r="AH191" i="18" s="1"/>
  <c r="AH185" i="18" s="1"/>
  <c r="AH179" i="18" s="1"/>
  <c r="AH173" i="18" s="1"/>
  <c r="AH167" i="18" s="1"/>
  <c r="AH161" i="18" s="1"/>
  <c r="AK358" i="18"/>
  <c r="AJ358" i="18"/>
  <c r="AI358" i="18"/>
  <c r="AH358" i="18"/>
  <c r="AH352" i="18" s="1"/>
  <c r="AH346" i="18" s="1"/>
  <c r="AH340" i="18" s="1"/>
  <c r="AH334" i="18" s="1"/>
  <c r="AH328" i="18" s="1"/>
  <c r="AH322" i="18" s="1"/>
  <c r="AH316" i="18" s="1"/>
  <c r="AH310" i="18" s="1"/>
  <c r="AH304" i="18" s="1"/>
  <c r="AH298" i="18" s="1"/>
  <c r="AH292" i="18" s="1"/>
  <c r="AH286" i="18" s="1"/>
  <c r="AH280" i="18" s="1"/>
  <c r="AH274" i="18" s="1"/>
  <c r="AH268" i="18" s="1"/>
  <c r="AH262" i="18" s="1"/>
  <c r="AH256" i="18" s="1"/>
  <c r="AH250" i="18" s="1"/>
  <c r="AH244" i="18" s="1"/>
  <c r="AH238" i="18" s="1"/>
  <c r="AH232" i="18" s="1"/>
  <c r="AH226" i="18" s="1"/>
  <c r="AH220" i="18" s="1"/>
  <c r="AH214" i="18" s="1"/>
  <c r="AH208" i="18" s="1"/>
  <c r="AH202" i="18" s="1"/>
  <c r="AH196" i="18" s="1"/>
  <c r="AH190" i="18" s="1"/>
  <c r="AH184" i="18" s="1"/>
  <c r="AH178" i="18" s="1"/>
  <c r="AH172" i="18" s="1"/>
  <c r="AH166" i="18" s="1"/>
  <c r="AH160" i="18" s="1"/>
  <c r="AK357" i="18"/>
  <c r="AK351" i="18" s="1"/>
  <c r="AK345" i="18" s="1"/>
  <c r="AK339" i="18" s="1"/>
  <c r="AK333" i="18" s="1"/>
  <c r="AK327" i="18" s="1"/>
  <c r="AK321" i="18" s="1"/>
  <c r="AK315" i="18" s="1"/>
  <c r="AK309" i="18" s="1"/>
  <c r="AK303" i="18" s="1"/>
  <c r="AK297" i="18" s="1"/>
  <c r="AK291" i="18" s="1"/>
  <c r="AK285" i="18" s="1"/>
  <c r="AK279" i="18" s="1"/>
  <c r="AK273" i="18" s="1"/>
  <c r="AK267" i="18" s="1"/>
  <c r="AK261" i="18" s="1"/>
  <c r="AK255" i="18" s="1"/>
  <c r="AK249" i="18" s="1"/>
  <c r="AK243" i="18" s="1"/>
  <c r="AK237" i="18" s="1"/>
  <c r="AK231" i="18" s="1"/>
  <c r="AK225" i="18" s="1"/>
  <c r="AK219" i="18" s="1"/>
  <c r="AK213" i="18" s="1"/>
  <c r="AK207" i="18" s="1"/>
  <c r="AK201" i="18" s="1"/>
  <c r="AK195" i="18" s="1"/>
  <c r="AK189" i="18" s="1"/>
  <c r="AK183" i="18" s="1"/>
  <c r="AK177" i="18" s="1"/>
  <c r="AK171" i="18" s="1"/>
  <c r="AK165" i="18" s="1"/>
  <c r="AK159" i="18" s="1"/>
  <c r="AJ357" i="18"/>
  <c r="AJ351" i="18" s="1"/>
  <c r="AJ345" i="18" s="1"/>
  <c r="AJ339" i="18" s="1"/>
  <c r="AJ333" i="18" s="1"/>
  <c r="AJ327" i="18" s="1"/>
  <c r="AJ321" i="18" s="1"/>
  <c r="AJ315" i="18" s="1"/>
  <c r="AJ309" i="18" s="1"/>
  <c r="AJ303" i="18" s="1"/>
  <c r="AJ297" i="18" s="1"/>
  <c r="AJ291" i="18" s="1"/>
  <c r="AJ285" i="18" s="1"/>
  <c r="AJ279" i="18" s="1"/>
  <c r="AJ273" i="18" s="1"/>
  <c r="AJ267" i="18" s="1"/>
  <c r="AJ261" i="18" s="1"/>
  <c r="AJ255" i="18" s="1"/>
  <c r="AJ249" i="18" s="1"/>
  <c r="AJ243" i="18" s="1"/>
  <c r="AJ237" i="18" s="1"/>
  <c r="AJ231" i="18" s="1"/>
  <c r="AJ225" i="18" s="1"/>
  <c r="AJ219" i="18" s="1"/>
  <c r="AJ213" i="18" s="1"/>
  <c r="AJ207" i="18" s="1"/>
  <c r="AJ201" i="18" s="1"/>
  <c r="AJ195" i="18" s="1"/>
  <c r="AJ189" i="18" s="1"/>
  <c r="AJ183" i="18" s="1"/>
  <c r="AJ177" i="18" s="1"/>
  <c r="AJ171" i="18" s="1"/>
  <c r="AJ165" i="18" s="1"/>
  <c r="AJ159" i="18" s="1"/>
  <c r="AJ153" i="18" s="1"/>
  <c r="AI357" i="18"/>
  <c r="AI351" i="18" s="1"/>
  <c r="AI345" i="18" s="1"/>
  <c r="AI339" i="18" s="1"/>
  <c r="AI333" i="18" s="1"/>
  <c r="AI327" i="18" s="1"/>
  <c r="AI321" i="18" s="1"/>
  <c r="AI315" i="18" s="1"/>
  <c r="AI309" i="18" s="1"/>
  <c r="AI303" i="18" s="1"/>
  <c r="AI297" i="18" s="1"/>
  <c r="AI291" i="18" s="1"/>
  <c r="AI285" i="18" s="1"/>
  <c r="AI279" i="18" s="1"/>
  <c r="AI273" i="18" s="1"/>
  <c r="AI267" i="18" s="1"/>
  <c r="AI261" i="18" s="1"/>
  <c r="AI255" i="18" s="1"/>
  <c r="AI249" i="18" s="1"/>
  <c r="AI243" i="18" s="1"/>
  <c r="AI237" i="18" s="1"/>
  <c r="AI231" i="18" s="1"/>
  <c r="AI225" i="18" s="1"/>
  <c r="AI219" i="18" s="1"/>
  <c r="AI213" i="18" s="1"/>
  <c r="AI207" i="18" s="1"/>
  <c r="AI201" i="18" s="1"/>
  <c r="AI195" i="18" s="1"/>
  <c r="AI189" i="18" s="1"/>
  <c r="AI183" i="18" s="1"/>
  <c r="AI177" i="18" s="1"/>
  <c r="AI171" i="18" s="1"/>
  <c r="AI165" i="18" s="1"/>
  <c r="AI159" i="18" s="1"/>
  <c r="AH357" i="18"/>
  <c r="AH351" i="18" s="1"/>
  <c r="AH345" i="18" s="1"/>
  <c r="AH339" i="18" s="1"/>
  <c r="AH333" i="18" s="1"/>
  <c r="AH327" i="18" s="1"/>
  <c r="AH321" i="18" s="1"/>
  <c r="AH315" i="18" s="1"/>
  <c r="AH309" i="18" s="1"/>
  <c r="AH303" i="18" s="1"/>
  <c r="AH297" i="18" s="1"/>
  <c r="AH291" i="18" s="1"/>
  <c r="AH285" i="18" s="1"/>
  <c r="AH279" i="18" s="1"/>
  <c r="AH273" i="18" s="1"/>
  <c r="AH267" i="18" s="1"/>
  <c r="AH261" i="18" s="1"/>
  <c r="AH255" i="18" s="1"/>
  <c r="AH249" i="18" s="1"/>
  <c r="AH243" i="18" s="1"/>
  <c r="AH237" i="18" s="1"/>
  <c r="AH231" i="18" s="1"/>
  <c r="AH225" i="18" s="1"/>
  <c r="AH219" i="18" s="1"/>
  <c r="AH213" i="18" s="1"/>
  <c r="AH207" i="18" s="1"/>
  <c r="AH201" i="18" s="1"/>
  <c r="AH195" i="18" s="1"/>
  <c r="AH189" i="18" s="1"/>
  <c r="AH183" i="18" s="1"/>
  <c r="AH177" i="18" s="1"/>
  <c r="AH171" i="18" s="1"/>
  <c r="AH165" i="18" s="1"/>
  <c r="AH159" i="18" s="1"/>
  <c r="AK356" i="18"/>
  <c r="S355" i="18" s="1"/>
  <c r="AJ356" i="18"/>
  <c r="R356" i="18" s="1"/>
  <c r="AI356" i="18"/>
  <c r="AI350" i="18" s="1"/>
  <c r="Q345" i="18" s="1"/>
  <c r="AH356" i="18"/>
  <c r="P355" i="18" s="1"/>
  <c r="AK355" i="18"/>
  <c r="AK349" i="18" s="1"/>
  <c r="AK343" i="18" s="1"/>
  <c r="AK337" i="18" s="1"/>
  <c r="AK331" i="18" s="1"/>
  <c r="AK325" i="18" s="1"/>
  <c r="AK319" i="18" s="1"/>
  <c r="AK313" i="18" s="1"/>
  <c r="AK307" i="18" s="1"/>
  <c r="AK301" i="18" s="1"/>
  <c r="AK295" i="18" s="1"/>
  <c r="AK289" i="18" s="1"/>
  <c r="AK283" i="18" s="1"/>
  <c r="AK277" i="18" s="1"/>
  <c r="AK271" i="18" s="1"/>
  <c r="AK265" i="18" s="1"/>
  <c r="AK259" i="18" s="1"/>
  <c r="AK253" i="18" s="1"/>
  <c r="AK247" i="18" s="1"/>
  <c r="AK241" i="18" s="1"/>
  <c r="AK235" i="18" s="1"/>
  <c r="AK229" i="18" s="1"/>
  <c r="AK223" i="18" s="1"/>
  <c r="AK217" i="18" s="1"/>
  <c r="AK211" i="18" s="1"/>
  <c r="AK205" i="18" s="1"/>
  <c r="AK199" i="18" s="1"/>
  <c r="AK193" i="18" s="1"/>
  <c r="AK187" i="18" s="1"/>
  <c r="AK181" i="18" s="1"/>
  <c r="AK175" i="18" s="1"/>
  <c r="AK169" i="18" s="1"/>
  <c r="AK163" i="18" s="1"/>
  <c r="AK354" i="18"/>
  <c r="AK348" i="18" s="1"/>
  <c r="AK342" i="18" s="1"/>
  <c r="AK336" i="18" s="1"/>
  <c r="AK330" i="18" s="1"/>
  <c r="AK324" i="18" s="1"/>
  <c r="AK318" i="18" s="1"/>
  <c r="AK312" i="18" s="1"/>
  <c r="AK306" i="18" s="1"/>
  <c r="AK300" i="18" s="1"/>
  <c r="AK294" i="18" s="1"/>
  <c r="AK288" i="18" s="1"/>
  <c r="AK282" i="18" s="1"/>
  <c r="AK276" i="18" s="1"/>
  <c r="AK270" i="18" s="1"/>
  <c r="AK264" i="18" s="1"/>
  <c r="AK258" i="18" s="1"/>
  <c r="AK252" i="18" s="1"/>
  <c r="AK246" i="18" s="1"/>
  <c r="AK240" i="18" s="1"/>
  <c r="AK234" i="18" s="1"/>
  <c r="AK228" i="18" s="1"/>
  <c r="AK222" i="18" s="1"/>
  <c r="AK216" i="18" s="1"/>
  <c r="AK210" i="18" s="1"/>
  <c r="AK204" i="18" s="1"/>
  <c r="AK198" i="18" s="1"/>
  <c r="AK192" i="18" s="1"/>
  <c r="AK186" i="18" s="1"/>
  <c r="AK180" i="18" s="1"/>
  <c r="AK174" i="18" s="1"/>
  <c r="AK168" i="18" s="1"/>
  <c r="AK162" i="18" s="1"/>
  <c r="AJ354" i="18"/>
  <c r="AJ348" i="18" s="1"/>
  <c r="AJ342" i="18" s="1"/>
  <c r="AJ336" i="18" s="1"/>
  <c r="AJ330" i="18" s="1"/>
  <c r="AJ324" i="18" s="1"/>
  <c r="AJ318" i="18" s="1"/>
  <c r="AJ312" i="18" s="1"/>
  <c r="AJ306" i="18" s="1"/>
  <c r="AJ300" i="18" s="1"/>
  <c r="AJ294" i="18" s="1"/>
  <c r="AJ288" i="18" s="1"/>
  <c r="AJ282" i="18" s="1"/>
  <c r="AJ276" i="18" s="1"/>
  <c r="AJ270" i="18" s="1"/>
  <c r="AJ264" i="18" s="1"/>
  <c r="AJ258" i="18" s="1"/>
  <c r="AJ252" i="18" s="1"/>
  <c r="AJ246" i="18" s="1"/>
  <c r="AJ240" i="18" s="1"/>
  <c r="AJ234" i="18" s="1"/>
  <c r="AJ228" i="18" s="1"/>
  <c r="AJ222" i="18" s="1"/>
  <c r="AJ216" i="18" s="1"/>
  <c r="AJ210" i="18" s="1"/>
  <c r="AJ204" i="18" s="1"/>
  <c r="AJ198" i="18" s="1"/>
  <c r="AJ192" i="18" s="1"/>
  <c r="AJ186" i="18" s="1"/>
  <c r="AJ180" i="18" s="1"/>
  <c r="AJ174" i="18" s="1"/>
  <c r="AJ168" i="18" s="1"/>
  <c r="AJ162" i="18" s="1"/>
  <c r="AK352" i="18"/>
  <c r="AJ352" i="18"/>
  <c r="AJ346" i="18" s="1"/>
  <c r="AJ340" i="18" s="1"/>
  <c r="AJ334" i="18" s="1"/>
  <c r="AJ328" i="18" s="1"/>
  <c r="AJ322" i="18" s="1"/>
  <c r="AJ316" i="18" s="1"/>
  <c r="AJ310" i="18" s="1"/>
  <c r="AJ304" i="18" s="1"/>
  <c r="AJ298" i="18" s="1"/>
  <c r="AJ292" i="18" s="1"/>
  <c r="AJ286" i="18" s="1"/>
  <c r="AJ280" i="18" s="1"/>
  <c r="AJ274" i="18" s="1"/>
  <c r="AJ268" i="18" s="1"/>
  <c r="AJ262" i="18" s="1"/>
  <c r="AJ256" i="18" s="1"/>
  <c r="AJ250" i="18" s="1"/>
  <c r="AJ244" i="18" s="1"/>
  <c r="AJ238" i="18" s="1"/>
  <c r="AJ232" i="18" s="1"/>
  <c r="AJ226" i="18" s="1"/>
  <c r="AJ220" i="18" s="1"/>
  <c r="AJ214" i="18" s="1"/>
  <c r="AJ208" i="18" s="1"/>
  <c r="AJ202" i="18" s="1"/>
  <c r="AJ196" i="18" s="1"/>
  <c r="AJ190" i="18" s="1"/>
  <c r="AJ184" i="18" s="1"/>
  <c r="AJ178" i="18" s="1"/>
  <c r="AJ172" i="18" s="1"/>
  <c r="AJ166" i="18" s="1"/>
  <c r="AJ160" i="18" s="1"/>
  <c r="AI352" i="18"/>
  <c r="AI346" i="18" s="1"/>
  <c r="AI340" i="18" s="1"/>
  <c r="AI334" i="18" s="1"/>
  <c r="AI328" i="18" s="1"/>
  <c r="AI322" i="18" s="1"/>
  <c r="AI316" i="18" s="1"/>
  <c r="AI310" i="18" s="1"/>
  <c r="AI304" i="18" s="1"/>
  <c r="AI298" i="18" s="1"/>
  <c r="AI292" i="18" s="1"/>
  <c r="AI286" i="18" s="1"/>
  <c r="AI280" i="18" s="1"/>
  <c r="AI274" i="18" s="1"/>
  <c r="AI268" i="18" s="1"/>
  <c r="AI262" i="18" s="1"/>
  <c r="AI256" i="18" s="1"/>
  <c r="AI250" i="18" s="1"/>
  <c r="AI244" i="18" s="1"/>
  <c r="AI238" i="18" s="1"/>
  <c r="AI232" i="18" s="1"/>
  <c r="AI226" i="18" s="1"/>
  <c r="AI220" i="18" s="1"/>
  <c r="AI214" i="18" s="1"/>
  <c r="AI208" i="18" s="1"/>
  <c r="AI202" i="18" s="1"/>
  <c r="AI196" i="18" s="1"/>
  <c r="AI190" i="18" s="1"/>
  <c r="AI184" i="18" s="1"/>
  <c r="AI178" i="18" s="1"/>
  <c r="AI172" i="18" s="1"/>
  <c r="AI166" i="18" s="1"/>
  <c r="AI160" i="18" s="1"/>
  <c r="AK350" i="18"/>
  <c r="S350" i="18" s="1"/>
  <c r="AJ350" i="18"/>
  <c r="R350" i="18" s="1"/>
  <c r="AK346" i="18"/>
  <c r="AK340" i="18" s="1"/>
  <c r="AK334" i="18" s="1"/>
  <c r="AK328" i="18" s="1"/>
  <c r="AK322" i="18" s="1"/>
  <c r="AK316" i="18" s="1"/>
  <c r="AK310" i="18" s="1"/>
  <c r="AK304" i="18" s="1"/>
  <c r="AK298" i="18" s="1"/>
  <c r="AK292" i="18" s="1"/>
  <c r="AK286" i="18" s="1"/>
  <c r="AK280" i="18" s="1"/>
  <c r="AK274" i="18" s="1"/>
  <c r="AK268" i="18" s="1"/>
  <c r="AK262" i="18" s="1"/>
  <c r="AK256" i="18" s="1"/>
  <c r="AK250" i="18" s="1"/>
  <c r="AK244" i="18" s="1"/>
  <c r="AK238" i="18" s="1"/>
  <c r="AK232" i="18" s="1"/>
  <c r="AK226" i="18" s="1"/>
  <c r="AK220" i="18" s="1"/>
  <c r="AK214" i="18" s="1"/>
  <c r="AK208" i="18" s="1"/>
  <c r="AK202" i="18" s="1"/>
  <c r="AK196" i="18" s="1"/>
  <c r="AK190" i="18" s="1"/>
  <c r="AK184" i="18" s="1"/>
  <c r="AK178" i="18" s="1"/>
  <c r="AK172" i="18" s="1"/>
  <c r="AK166" i="18" s="1"/>
  <c r="AK160" i="18" s="1"/>
  <c r="AF140" i="18"/>
  <c r="N140" i="18" s="1"/>
  <c r="AG140" i="18"/>
  <c r="S362" i="18"/>
  <c r="R362" i="18"/>
  <c r="O362" i="18"/>
  <c r="N362" i="18"/>
  <c r="M362" i="18"/>
  <c r="L362" i="18"/>
  <c r="K362" i="18"/>
  <c r="J362" i="18"/>
  <c r="I362" i="18"/>
  <c r="H362" i="18"/>
  <c r="G362" i="18"/>
  <c r="F362" i="18"/>
  <c r="E362" i="18"/>
  <c r="D362" i="18"/>
  <c r="C362" i="18"/>
  <c r="S361" i="18"/>
  <c r="R361" i="18"/>
  <c r="O361" i="18"/>
  <c r="N361" i="18"/>
  <c r="M361" i="18"/>
  <c r="L361" i="18"/>
  <c r="K361" i="18"/>
  <c r="J361" i="18"/>
  <c r="I361" i="18"/>
  <c r="H361" i="18"/>
  <c r="G361" i="18"/>
  <c r="F361" i="18"/>
  <c r="E361" i="18"/>
  <c r="D361" i="18"/>
  <c r="C361" i="18"/>
  <c r="S360" i="18"/>
  <c r="R360" i="18"/>
  <c r="O360" i="18"/>
  <c r="N360" i="18"/>
  <c r="M360" i="18"/>
  <c r="L360" i="18"/>
  <c r="K360" i="18"/>
  <c r="J360" i="18"/>
  <c r="I360" i="18"/>
  <c r="H360" i="18"/>
  <c r="G360" i="18"/>
  <c r="F360" i="18"/>
  <c r="E360" i="18"/>
  <c r="D360" i="18"/>
  <c r="C360" i="18"/>
  <c r="S359" i="18"/>
  <c r="R359" i="18"/>
  <c r="O359" i="18"/>
  <c r="N359" i="18"/>
  <c r="M359" i="18"/>
  <c r="L359" i="18"/>
  <c r="K359" i="18"/>
  <c r="J359" i="18"/>
  <c r="I359" i="18"/>
  <c r="H359" i="18"/>
  <c r="G359" i="18"/>
  <c r="F359" i="18"/>
  <c r="E359" i="18"/>
  <c r="D359" i="18"/>
  <c r="C359" i="18"/>
  <c r="S358" i="18"/>
  <c r="R358" i="18"/>
  <c r="O358" i="18"/>
  <c r="N358" i="18"/>
  <c r="M358" i="18"/>
  <c r="L358" i="18"/>
  <c r="K358" i="18"/>
  <c r="J358" i="18"/>
  <c r="I358" i="18"/>
  <c r="H358" i="18"/>
  <c r="G358" i="18"/>
  <c r="F358" i="18"/>
  <c r="E358" i="18"/>
  <c r="D358" i="18"/>
  <c r="C358" i="18"/>
  <c r="S357" i="18"/>
  <c r="R357" i="18"/>
  <c r="O357" i="18"/>
  <c r="N357" i="18"/>
  <c r="M357" i="18"/>
  <c r="L357" i="18"/>
  <c r="K357" i="18"/>
  <c r="J357" i="18"/>
  <c r="I357" i="18"/>
  <c r="H357" i="18"/>
  <c r="G357" i="18"/>
  <c r="F357" i="18"/>
  <c r="E357" i="18"/>
  <c r="D357" i="18"/>
  <c r="C357" i="18"/>
  <c r="S356" i="18"/>
  <c r="O356" i="18"/>
  <c r="N356" i="18"/>
  <c r="M356" i="18"/>
  <c r="L356" i="18"/>
  <c r="K356" i="18"/>
  <c r="J356" i="18"/>
  <c r="I356" i="18"/>
  <c r="H356" i="18"/>
  <c r="G356" i="18"/>
  <c r="F356" i="18"/>
  <c r="E356" i="18"/>
  <c r="D356" i="18"/>
  <c r="C356" i="18"/>
  <c r="R355" i="18"/>
  <c r="O355" i="18"/>
  <c r="N355" i="18"/>
  <c r="M355" i="18"/>
  <c r="L355" i="18"/>
  <c r="K355" i="18"/>
  <c r="J355" i="18"/>
  <c r="I355" i="18"/>
  <c r="H355" i="18"/>
  <c r="G355" i="18"/>
  <c r="F355" i="18"/>
  <c r="E355" i="18"/>
  <c r="D355" i="18"/>
  <c r="C355" i="18"/>
  <c r="S354" i="18"/>
  <c r="R354" i="18"/>
  <c r="O354" i="18"/>
  <c r="N354" i="18"/>
  <c r="M354" i="18"/>
  <c r="L354" i="18"/>
  <c r="K354" i="18"/>
  <c r="J354" i="18"/>
  <c r="I354" i="18"/>
  <c r="H354" i="18"/>
  <c r="G354" i="18"/>
  <c r="F354" i="18"/>
  <c r="E354" i="18"/>
  <c r="D354" i="18"/>
  <c r="C354" i="18"/>
  <c r="S353" i="18"/>
  <c r="R353" i="18"/>
  <c r="O353" i="18"/>
  <c r="N353" i="18"/>
  <c r="M353" i="18"/>
  <c r="L353" i="18"/>
  <c r="K353" i="18"/>
  <c r="J353" i="18"/>
  <c r="I353" i="18"/>
  <c r="H353" i="18"/>
  <c r="G353" i="18"/>
  <c r="F353" i="18"/>
  <c r="E353" i="18"/>
  <c r="D353" i="18"/>
  <c r="C353" i="18"/>
  <c r="S352" i="18"/>
  <c r="R352" i="18"/>
  <c r="O352" i="18"/>
  <c r="N352" i="18"/>
  <c r="M352" i="18"/>
  <c r="L352" i="18"/>
  <c r="K352" i="18"/>
  <c r="J352" i="18"/>
  <c r="I352" i="18"/>
  <c r="H352" i="18"/>
  <c r="G352" i="18"/>
  <c r="F352" i="18"/>
  <c r="E352" i="18"/>
  <c r="D352" i="18"/>
  <c r="C352" i="18"/>
  <c r="S351" i="18"/>
  <c r="R351" i="18"/>
  <c r="O351" i="18"/>
  <c r="N351" i="18"/>
  <c r="M351" i="18"/>
  <c r="L351" i="18"/>
  <c r="K351" i="18"/>
  <c r="J351" i="18"/>
  <c r="I351" i="18"/>
  <c r="H351" i="18"/>
  <c r="G351" i="18"/>
  <c r="F351" i="18"/>
  <c r="E351" i="18"/>
  <c r="D351" i="18"/>
  <c r="C351" i="18"/>
  <c r="O350" i="18"/>
  <c r="N350" i="18"/>
  <c r="M350" i="18"/>
  <c r="L350" i="18"/>
  <c r="K350" i="18"/>
  <c r="J350" i="18"/>
  <c r="I350" i="18"/>
  <c r="H350" i="18"/>
  <c r="G350" i="18"/>
  <c r="F350" i="18"/>
  <c r="E350" i="18"/>
  <c r="D350" i="18"/>
  <c r="C350" i="18"/>
  <c r="O349" i="18"/>
  <c r="N349" i="18"/>
  <c r="M349" i="18"/>
  <c r="L349" i="18"/>
  <c r="K349" i="18"/>
  <c r="J349" i="18"/>
  <c r="I349" i="18"/>
  <c r="H349" i="18"/>
  <c r="G349" i="18"/>
  <c r="F349" i="18"/>
  <c r="E349" i="18"/>
  <c r="D349" i="18"/>
  <c r="C349" i="18"/>
  <c r="O348" i="18"/>
  <c r="N348" i="18"/>
  <c r="M348" i="18"/>
  <c r="L348" i="18"/>
  <c r="K348" i="18"/>
  <c r="J348" i="18"/>
  <c r="I348" i="18"/>
  <c r="H348" i="18"/>
  <c r="G348" i="18"/>
  <c r="F348" i="18"/>
  <c r="E348" i="18"/>
  <c r="D348" i="18"/>
  <c r="C348" i="18"/>
  <c r="S347" i="18"/>
  <c r="O347" i="18"/>
  <c r="N347" i="18"/>
  <c r="M347" i="18"/>
  <c r="L347" i="18"/>
  <c r="K347" i="18"/>
  <c r="J347" i="18"/>
  <c r="I347" i="18"/>
  <c r="H347" i="18"/>
  <c r="G347" i="18"/>
  <c r="F347" i="18"/>
  <c r="E347" i="18"/>
  <c r="D347" i="18"/>
  <c r="C347" i="18"/>
  <c r="O346" i="18"/>
  <c r="N346" i="18"/>
  <c r="M346" i="18"/>
  <c r="L346" i="18"/>
  <c r="K346" i="18"/>
  <c r="J346" i="18"/>
  <c r="I346" i="18"/>
  <c r="H346" i="18"/>
  <c r="G346" i="18"/>
  <c r="F346" i="18"/>
  <c r="E346" i="18"/>
  <c r="D346" i="18"/>
  <c r="C346" i="18"/>
  <c r="O345" i="18"/>
  <c r="N345" i="18"/>
  <c r="M345" i="18"/>
  <c r="L345" i="18"/>
  <c r="K345" i="18"/>
  <c r="J345" i="18"/>
  <c r="I345" i="18"/>
  <c r="H345" i="18"/>
  <c r="G345" i="18"/>
  <c r="F345" i="18"/>
  <c r="E345" i="18"/>
  <c r="D345" i="18"/>
  <c r="C345" i="18"/>
  <c r="O344" i="18"/>
  <c r="N344" i="18"/>
  <c r="M344" i="18"/>
  <c r="L344" i="18"/>
  <c r="K344" i="18"/>
  <c r="J344" i="18"/>
  <c r="I344" i="18"/>
  <c r="H344" i="18"/>
  <c r="G344" i="18"/>
  <c r="F344" i="18"/>
  <c r="E344" i="18"/>
  <c r="D344" i="18"/>
  <c r="C344" i="18"/>
  <c r="O343" i="18"/>
  <c r="N343" i="18"/>
  <c r="M343" i="18"/>
  <c r="L343" i="18"/>
  <c r="K343" i="18"/>
  <c r="J343" i="18"/>
  <c r="I343" i="18"/>
  <c r="H343" i="18"/>
  <c r="G343" i="18"/>
  <c r="F343" i="18"/>
  <c r="E343" i="18"/>
  <c r="D343" i="18"/>
  <c r="C343" i="18"/>
  <c r="O342" i="18"/>
  <c r="N342" i="18"/>
  <c r="M342" i="18"/>
  <c r="L342" i="18"/>
  <c r="K342" i="18"/>
  <c r="J342" i="18"/>
  <c r="I342" i="18"/>
  <c r="H342" i="18"/>
  <c r="G342" i="18"/>
  <c r="F342" i="18"/>
  <c r="E342" i="18"/>
  <c r="D342" i="18"/>
  <c r="C342" i="18"/>
  <c r="O341" i="18"/>
  <c r="N341" i="18"/>
  <c r="M341" i="18"/>
  <c r="L341" i="18"/>
  <c r="K341" i="18"/>
  <c r="J341" i="18"/>
  <c r="I341" i="18"/>
  <c r="H341" i="18"/>
  <c r="G341" i="18"/>
  <c r="F341" i="18"/>
  <c r="E341" i="18"/>
  <c r="D341" i="18"/>
  <c r="C341" i="18"/>
  <c r="O340" i="18"/>
  <c r="N340" i="18"/>
  <c r="M340" i="18"/>
  <c r="L340" i="18"/>
  <c r="K340" i="18"/>
  <c r="J340" i="18"/>
  <c r="I340" i="18"/>
  <c r="H340" i="18"/>
  <c r="G340" i="18"/>
  <c r="F340" i="18"/>
  <c r="E340" i="18"/>
  <c r="D340" i="18"/>
  <c r="C340" i="18"/>
  <c r="O339" i="18"/>
  <c r="N339" i="18"/>
  <c r="M339" i="18"/>
  <c r="L339" i="18"/>
  <c r="K339" i="18"/>
  <c r="J339" i="18"/>
  <c r="I339" i="18"/>
  <c r="H339" i="18"/>
  <c r="G339" i="18"/>
  <c r="F339" i="18"/>
  <c r="E339" i="18"/>
  <c r="D339" i="18"/>
  <c r="C339" i="18"/>
  <c r="O338" i="18"/>
  <c r="N338" i="18"/>
  <c r="M338" i="18"/>
  <c r="L338" i="18"/>
  <c r="K338" i="18"/>
  <c r="J338" i="18"/>
  <c r="I338" i="18"/>
  <c r="H338" i="18"/>
  <c r="G338" i="18"/>
  <c r="F338" i="18"/>
  <c r="E338" i="18"/>
  <c r="D338" i="18"/>
  <c r="C338" i="18"/>
  <c r="O337" i="18"/>
  <c r="N337" i="18"/>
  <c r="M337" i="18"/>
  <c r="L337" i="18"/>
  <c r="K337" i="18"/>
  <c r="J337" i="18"/>
  <c r="I337" i="18"/>
  <c r="H337" i="18"/>
  <c r="G337" i="18"/>
  <c r="F337" i="18"/>
  <c r="E337" i="18"/>
  <c r="D337" i="18"/>
  <c r="C337" i="18"/>
  <c r="O336" i="18"/>
  <c r="N336" i="18"/>
  <c r="M336" i="18"/>
  <c r="L336" i="18"/>
  <c r="K336" i="18"/>
  <c r="J336" i="18"/>
  <c r="I336" i="18"/>
  <c r="H336" i="18"/>
  <c r="G336" i="18"/>
  <c r="F336" i="18"/>
  <c r="E336" i="18"/>
  <c r="D336" i="18"/>
  <c r="C336" i="18"/>
  <c r="O335" i="18"/>
  <c r="N335" i="18"/>
  <c r="M335" i="18"/>
  <c r="L335" i="18"/>
  <c r="K335" i="18"/>
  <c r="J335" i="18"/>
  <c r="I335" i="18"/>
  <c r="H335" i="18"/>
  <c r="G335" i="18"/>
  <c r="F335" i="18"/>
  <c r="E335" i="18"/>
  <c r="D335" i="18"/>
  <c r="C335" i="18"/>
  <c r="O334" i="18"/>
  <c r="N334" i="18"/>
  <c r="M334" i="18"/>
  <c r="L334" i="18"/>
  <c r="K334" i="18"/>
  <c r="J334" i="18"/>
  <c r="I334" i="18"/>
  <c r="H334" i="18"/>
  <c r="G334" i="18"/>
  <c r="F334" i="18"/>
  <c r="E334" i="18"/>
  <c r="D334" i="18"/>
  <c r="C334" i="18"/>
  <c r="O333" i="18"/>
  <c r="N333" i="18"/>
  <c r="M333" i="18"/>
  <c r="L333" i="18"/>
  <c r="K333" i="18"/>
  <c r="J333" i="18"/>
  <c r="I333" i="18"/>
  <c r="H333" i="18"/>
  <c r="G333" i="18"/>
  <c r="F333" i="18"/>
  <c r="E333" i="18"/>
  <c r="D333" i="18"/>
  <c r="C333" i="18"/>
  <c r="O332" i="18"/>
  <c r="N332" i="18"/>
  <c r="M332" i="18"/>
  <c r="L332" i="18"/>
  <c r="K332" i="18"/>
  <c r="J332" i="18"/>
  <c r="I332" i="18"/>
  <c r="H332" i="18"/>
  <c r="G332" i="18"/>
  <c r="F332" i="18"/>
  <c r="E332" i="18"/>
  <c r="D332" i="18"/>
  <c r="C332" i="18"/>
  <c r="O331" i="18"/>
  <c r="N331" i="18"/>
  <c r="M331" i="18"/>
  <c r="L331" i="18"/>
  <c r="K331" i="18"/>
  <c r="J331" i="18"/>
  <c r="I331" i="18"/>
  <c r="H331" i="18"/>
  <c r="G331" i="18"/>
  <c r="F331" i="18"/>
  <c r="E331" i="18"/>
  <c r="D331" i="18"/>
  <c r="C331" i="18"/>
  <c r="O330" i="18"/>
  <c r="N330" i="18"/>
  <c r="M330" i="18"/>
  <c r="L330" i="18"/>
  <c r="K330" i="18"/>
  <c r="J330" i="18"/>
  <c r="I330" i="18"/>
  <c r="H330" i="18"/>
  <c r="G330" i="18"/>
  <c r="F330" i="18"/>
  <c r="E330" i="18"/>
  <c r="D330" i="18"/>
  <c r="C330" i="18"/>
  <c r="O329" i="18"/>
  <c r="N329" i="18"/>
  <c r="M329" i="18"/>
  <c r="L329" i="18"/>
  <c r="K329" i="18"/>
  <c r="J329" i="18"/>
  <c r="I329" i="18"/>
  <c r="H329" i="18"/>
  <c r="G329" i="18"/>
  <c r="F329" i="18"/>
  <c r="E329" i="18"/>
  <c r="D329" i="18"/>
  <c r="C329" i="18"/>
  <c r="O328" i="18"/>
  <c r="N328" i="18"/>
  <c r="M328" i="18"/>
  <c r="L328" i="18"/>
  <c r="K328" i="18"/>
  <c r="J328" i="18"/>
  <c r="I328" i="18"/>
  <c r="H328" i="18"/>
  <c r="G328" i="18"/>
  <c r="F328" i="18"/>
  <c r="E328" i="18"/>
  <c r="D328" i="18"/>
  <c r="C328" i="18"/>
  <c r="O327" i="18"/>
  <c r="N327" i="18"/>
  <c r="M327" i="18"/>
  <c r="L327" i="18"/>
  <c r="K327" i="18"/>
  <c r="J327" i="18"/>
  <c r="I327" i="18"/>
  <c r="H327" i="18"/>
  <c r="G327" i="18"/>
  <c r="F327" i="18"/>
  <c r="E327" i="18"/>
  <c r="D327" i="18"/>
  <c r="C327" i="18"/>
  <c r="O326" i="18"/>
  <c r="N326" i="18"/>
  <c r="M326" i="18"/>
  <c r="L326" i="18"/>
  <c r="K326" i="18"/>
  <c r="J326" i="18"/>
  <c r="I326" i="18"/>
  <c r="H326" i="18"/>
  <c r="G326" i="18"/>
  <c r="F326" i="18"/>
  <c r="E326" i="18"/>
  <c r="D326" i="18"/>
  <c r="C326" i="18"/>
  <c r="O325" i="18"/>
  <c r="N325" i="18"/>
  <c r="M325" i="18"/>
  <c r="L325" i="18"/>
  <c r="K325" i="18"/>
  <c r="J325" i="18"/>
  <c r="I325" i="18"/>
  <c r="H325" i="18"/>
  <c r="G325" i="18"/>
  <c r="F325" i="18"/>
  <c r="E325" i="18"/>
  <c r="D325" i="18"/>
  <c r="C325" i="18"/>
  <c r="O324" i="18"/>
  <c r="N324" i="18"/>
  <c r="M324" i="18"/>
  <c r="L324" i="18"/>
  <c r="K324" i="18"/>
  <c r="J324" i="18"/>
  <c r="I324" i="18"/>
  <c r="H324" i="18"/>
  <c r="G324" i="18"/>
  <c r="F324" i="18"/>
  <c r="E324" i="18"/>
  <c r="D324" i="18"/>
  <c r="C324" i="18"/>
  <c r="O323" i="18"/>
  <c r="N323" i="18"/>
  <c r="M323" i="18"/>
  <c r="L323" i="18"/>
  <c r="K323" i="18"/>
  <c r="J323" i="18"/>
  <c r="I323" i="18"/>
  <c r="H323" i="18"/>
  <c r="G323" i="18"/>
  <c r="F323" i="18"/>
  <c r="E323" i="18"/>
  <c r="D323" i="18"/>
  <c r="C323" i="18"/>
  <c r="O322" i="18"/>
  <c r="N322" i="18"/>
  <c r="M322" i="18"/>
  <c r="L322" i="18"/>
  <c r="K322" i="18"/>
  <c r="J322" i="18"/>
  <c r="I322" i="18"/>
  <c r="H322" i="18"/>
  <c r="G322" i="18"/>
  <c r="F322" i="18"/>
  <c r="E322" i="18"/>
  <c r="D322" i="18"/>
  <c r="C322" i="18"/>
  <c r="O321" i="18"/>
  <c r="N321" i="18"/>
  <c r="M321" i="18"/>
  <c r="L321" i="18"/>
  <c r="K321" i="18"/>
  <c r="J321" i="18"/>
  <c r="I321" i="18"/>
  <c r="H321" i="18"/>
  <c r="G321" i="18"/>
  <c r="F321" i="18"/>
  <c r="E321" i="18"/>
  <c r="D321" i="18"/>
  <c r="C321" i="18"/>
  <c r="O320" i="18"/>
  <c r="N320" i="18"/>
  <c r="M320" i="18"/>
  <c r="L320" i="18"/>
  <c r="K320" i="18"/>
  <c r="J320" i="18"/>
  <c r="I320" i="18"/>
  <c r="H320" i="18"/>
  <c r="G320" i="18"/>
  <c r="F320" i="18"/>
  <c r="E320" i="18"/>
  <c r="D320" i="18"/>
  <c r="C320" i="18"/>
  <c r="O319" i="18"/>
  <c r="N319" i="18"/>
  <c r="M319" i="18"/>
  <c r="L319" i="18"/>
  <c r="K319" i="18"/>
  <c r="J319" i="18"/>
  <c r="I319" i="18"/>
  <c r="H319" i="18"/>
  <c r="G319" i="18"/>
  <c r="F319" i="18"/>
  <c r="E319" i="18"/>
  <c r="D319" i="18"/>
  <c r="C319" i="18"/>
  <c r="O318" i="18"/>
  <c r="N318" i="18"/>
  <c r="M318" i="18"/>
  <c r="L318" i="18"/>
  <c r="K318" i="18"/>
  <c r="J318" i="18"/>
  <c r="I318" i="18"/>
  <c r="H318" i="18"/>
  <c r="G318" i="18"/>
  <c r="F318" i="18"/>
  <c r="E318" i="18"/>
  <c r="D318" i="18"/>
  <c r="C318" i="18"/>
  <c r="O317" i="18"/>
  <c r="N317" i="18"/>
  <c r="M317" i="18"/>
  <c r="L317" i="18"/>
  <c r="K317" i="18"/>
  <c r="J317" i="18"/>
  <c r="I317" i="18"/>
  <c r="H317" i="18"/>
  <c r="G317" i="18"/>
  <c r="F317" i="18"/>
  <c r="E317" i="18"/>
  <c r="D317" i="18"/>
  <c r="C317" i="18"/>
  <c r="O316" i="18"/>
  <c r="N316" i="18"/>
  <c r="M316" i="18"/>
  <c r="L316" i="18"/>
  <c r="K316" i="18"/>
  <c r="J316" i="18"/>
  <c r="I316" i="18"/>
  <c r="H316" i="18"/>
  <c r="G316" i="18"/>
  <c r="F316" i="18"/>
  <c r="E316" i="18"/>
  <c r="D316" i="18"/>
  <c r="C316" i="18"/>
  <c r="O315" i="18"/>
  <c r="N315" i="18"/>
  <c r="M315" i="18"/>
  <c r="L315" i="18"/>
  <c r="K315" i="18"/>
  <c r="J315" i="18"/>
  <c r="I315" i="18"/>
  <c r="H315" i="18"/>
  <c r="G315" i="18"/>
  <c r="F315" i="18"/>
  <c r="E315" i="18"/>
  <c r="D315" i="18"/>
  <c r="C315" i="18"/>
  <c r="O314" i="18"/>
  <c r="N314" i="18"/>
  <c r="M314" i="18"/>
  <c r="L314" i="18"/>
  <c r="K314" i="18"/>
  <c r="J314" i="18"/>
  <c r="I314" i="18"/>
  <c r="H314" i="18"/>
  <c r="G314" i="18"/>
  <c r="F314" i="18"/>
  <c r="E314" i="18"/>
  <c r="D314" i="18"/>
  <c r="C314" i="18"/>
  <c r="O313" i="18"/>
  <c r="N313" i="18"/>
  <c r="M313" i="18"/>
  <c r="L313" i="18"/>
  <c r="K313" i="18"/>
  <c r="J313" i="18"/>
  <c r="I313" i="18"/>
  <c r="H313" i="18"/>
  <c r="G313" i="18"/>
  <c r="F313" i="18"/>
  <c r="E313" i="18"/>
  <c r="D313" i="18"/>
  <c r="C313" i="18"/>
  <c r="O312" i="18"/>
  <c r="N312" i="18"/>
  <c r="M312" i="18"/>
  <c r="L312" i="18"/>
  <c r="K312" i="18"/>
  <c r="J312" i="18"/>
  <c r="I312" i="18"/>
  <c r="H312" i="18"/>
  <c r="G312" i="18"/>
  <c r="F312" i="18"/>
  <c r="E312" i="18"/>
  <c r="D312" i="18"/>
  <c r="C312" i="18"/>
  <c r="O311" i="18"/>
  <c r="N311" i="18"/>
  <c r="M311" i="18"/>
  <c r="L311" i="18"/>
  <c r="K311" i="18"/>
  <c r="J311" i="18"/>
  <c r="I311" i="18"/>
  <c r="H311" i="18"/>
  <c r="G311" i="18"/>
  <c r="F311" i="18"/>
  <c r="E311" i="18"/>
  <c r="D311" i="18"/>
  <c r="C311" i="18"/>
  <c r="O310" i="18"/>
  <c r="N310" i="18"/>
  <c r="M310" i="18"/>
  <c r="L310" i="18"/>
  <c r="K310" i="18"/>
  <c r="J310" i="18"/>
  <c r="I310" i="18"/>
  <c r="H310" i="18"/>
  <c r="G310" i="18"/>
  <c r="F310" i="18"/>
  <c r="E310" i="18"/>
  <c r="D310" i="18"/>
  <c r="C310" i="18"/>
  <c r="O309" i="18"/>
  <c r="N309" i="18"/>
  <c r="M309" i="18"/>
  <c r="L309" i="18"/>
  <c r="K309" i="18"/>
  <c r="J309" i="18"/>
  <c r="I309" i="18"/>
  <c r="H309" i="18"/>
  <c r="G309" i="18"/>
  <c r="F309" i="18"/>
  <c r="E309" i="18"/>
  <c r="D309" i="18"/>
  <c r="C309" i="18"/>
  <c r="O308" i="18"/>
  <c r="N308" i="18"/>
  <c r="M308" i="18"/>
  <c r="L308" i="18"/>
  <c r="K308" i="18"/>
  <c r="J308" i="18"/>
  <c r="I308" i="18"/>
  <c r="H308" i="18"/>
  <c r="G308" i="18"/>
  <c r="F308" i="18"/>
  <c r="E308" i="18"/>
  <c r="D308" i="18"/>
  <c r="C308" i="18"/>
  <c r="O307" i="18"/>
  <c r="N307" i="18"/>
  <c r="M307" i="18"/>
  <c r="L307" i="18"/>
  <c r="K307" i="18"/>
  <c r="J307" i="18"/>
  <c r="I307" i="18"/>
  <c r="H307" i="18"/>
  <c r="G307" i="18"/>
  <c r="F307" i="18"/>
  <c r="E307" i="18"/>
  <c r="D307" i="18"/>
  <c r="C307" i="18"/>
  <c r="O306" i="18"/>
  <c r="N306" i="18"/>
  <c r="M306" i="18"/>
  <c r="L306" i="18"/>
  <c r="K306" i="18"/>
  <c r="J306" i="18"/>
  <c r="I306" i="18"/>
  <c r="H306" i="18"/>
  <c r="G306" i="18"/>
  <c r="F306" i="18"/>
  <c r="E306" i="18"/>
  <c r="D306" i="18"/>
  <c r="C306" i="18"/>
  <c r="O305" i="18"/>
  <c r="N305" i="18"/>
  <c r="M305" i="18"/>
  <c r="L305" i="18"/>
  <c r="K305" i="18"/>
  <c r="J305" i="18"/>
  <c r="I305" i="18"/>
  <c r="H305" i="18"/>
  <c r="G305" i="18"/>
  <c r="F305" i="18"/>
  <c r="E305" i="18"/>
  <c r="D305" i="18"/>
  <c r="C305" i="18"/>
  <c r="O304" i="18"/>
  <c r="N304" i="18"/>
  <c r="M304" i="18"/>
  <c r="L304" i="18"/>
  <c r="K304" i="18"/>
  <c r="J304" i="18"/>
  <c r="I304" i="18"/>
  <c r="H304" i="18"/>
  <c r="G304" i="18"/>
  <c r="F304" i="18"/>
  <c r="E304" i="18"/>
  <c r="D304" i="18"/>
  <c r="C304" i="18"/>
  <c r="O303" i="18"/>
  <c r="N303" i="18"/>
  <c r="M303" i="18"/>
  <c r="L303" i="18"/>
  <c r="K303" i="18"/>
  <c r="J303" i="18"/>
  <c r="I303" i="18"/>
  <c r="H303" i="18"/>
  <c r="G303" i="18"/>
  <c r="F303" i="18"/>
  <c r="E303" i="18"/>
  <c r="D303" i="18"/>
  <c r="C303" i="18"/>
  <c r="AG302" i="18"/>
  <c r="O302" i="18" s="1"/>
  <c r="AF302" i="18"/>
  <c r="N302" i="18" s="1"/>
  <c r="AE302" i="18"/>
  <c r="AD302" i="18"/>
  <c r="L302" i="18" s="1"/>
  <c r="AC302" i="18"/>
  <c r="AB302" i="18"/>
  <c r="J301" i="18" s="1"/>
  <c r="AA302" i="18"/>
  <c r="I301" i="18" s="1"/>
  <c r="Z302" i="18"/>
  <c r="H302" i="18" s="1"/>
  <c r="Y302" i="18"/>
  <c r="X302" i="18"/>
  <c r="F302" i="18" s="1"/>
  <c r="W302" i="18"/>
  <c r="E302" i="18" s="1"/>
  <c r="V302" i="18"/>
  <c r="U302" i="18"/>
  <c r="AG301" i="18"/>
  <c r="AF301" i="18"/>
  <c r="AE301" i="18"/>
  <c r="AD301" i="18"/>
  <c r="AC301" i="18"/>
  <c r="AB301" i="18"/>
  <c r="AA301" i="18"/>
  <c r="Z301" i="18"/>
  <c r="Y301" i="18"/>
  <c r="G301" i="18" s="1"/>
  <c r="X301" i="18"/>
  <c r="W301" i="18"/>
  <c r="V301" i="18"/>
  <c r="U301" i="18"/>
  <c r="AG300" i="18"/>
  <c r="AF300" i="18"/>
  <c r="AE300" i="18"/>
  <c r="AD300" i="18"/>
  <c r="AC300" i="18"/>
  <c r="AB300" i="18"/>
  <c r="AA300" i="18"/>
  <c r="Z300" i="18"/>
  <c r="Y300" i="18"/>
  <c r="X300" i="18"/>
  <c r="W300" i="18"/>
  <c r="V300" i="18"/>
  <c r="U300" i="18"/>
  <c r="AG299" i="18"/>
  <c r="AF299" i="18"/>
  <c r="AE299" i="18"/>
  <c r="AD299" i="18"/>
  <c r="AC299" i="18"/>
  <c r="AB299" i="18"/>
  <c r="AA299" i="18"/>
  <c r="Z299" i="18"/>
  <c r="Y299" i="18"/>
  <c r="G299" i="18" s="1"/>
  <c r="X299" i="18"/>
  <c r="W299" i="18"/>
  <c r="V299" i="18"/>
  <c r="U299" i="18"/>
  <c r="AG298" i="18"/>
  <c r="AF298" i="18"/>
  <c r="AE298" i="18"/>
  <c r="AD298" i="18"/>
  <c r="AC298" i="18"/>
  <c r="AB298" i="18"/>
  <c r="AA298" i="18"/>
  <c r="Z298" i="18"/>
  <c r="Y298" i="18"/>
  <c r="G298" i="18" s="1"/>
  <c r="X298" i="18"/>
  <c r="W298" i="18"/>
  <c r="V298" i="18"/>
  <c r="U298" i="18"/>
  <c r="AG297" i="18"/>
  <c r="AF297" i="18"/>
  <c r="AE297" i="18"/>
  <c r="AD297" i="18"/>
  <c r="AC297" i="18"/>
  <c r="AB297" i="18"/>
  <c r="AA297" i="18"/>
  <c r="Z297" i="18"/>
  <c r="Y297" i="18"/>
  <c r="X297" i="18"/>
  <c r="W297" i="18"/>
  <c r="V297" i="18"/>
  <c r="U297" i="18"/>
  <c r="O296" i="18"/>
  <c r="N296" i="18"/>
  <c r="M296" i="18"/>
  <c r="L296" i="18"/>
  <c r="K296" i="18"/>
  <c r="J296" i="18"/>
  <c r="I296" i="18"/>
  <c r="H296" i="18"/>
  <c r="G296" i="18"/>
  <c r="F296" i="18"/>
  <c r="E296" i="18"/>
  <c r="D296" i="18"/>
  <c r="C296" i="18"/>
  <c r="O295" i="18"/>
  <c r="N295" i="18"/>
  <c r="M295" i="18"/>
  <c r="L295" i="18"/>
  <c r="K295" i="18"/>
  <c r="J295" i="18"/>
  <c r="I295" i="18"/>
  <c r="H295" i="18"/>
  <c r="G295" i="18"/>
  <c r="F295" i="18"/>
  <c r="E295" i="18"/>
  <c r="D295" i="18"/>
  <c r="C295" i="18"/>
  <c r="O294" i="18"/>
  <c r="N294" i="18"/>
  <c r="M294" i="18"/>
  <c r="L294" i="18"/>
  <c r="K294" i="18"/>
  <c r="J294" i="18"/>
  <c r="I294" i="18"/>
  <c r="H294" i="18"/>
  <c r="G294" i="18"/>
  <c r="F294" i="18"/>
  <c r="E294" i="18"/>
  <c r="D294" i="18"/>
  <c r="C294" i="18"/>
  <c r="O293" i="18"/>
  <c r="N293" i="18"/>
  <c r="M293" i="18"/>
  <c r="L293" i="18"/>
  <c r="K293" i="18"/>
  <c r="J293" i="18"/>
  <c r="I293" i="18"/>
  <c r="H293" i="18"/>
  <c r="G293" i="18"/>
  <c r="F293" i="18"/>
  <c r="E293" i="18"/>
  <c r="D293" i="18"/>
  <c r="C293" i="18"/>
  <c r="O292" i="18"/>
  <c r="N292" i="18"/>
  <c r="M292" i="18"/>
  <c r="L292" i="18"/>
  <c r="K292" i="18"/>
  <c r="J292" i="18"/>
  <c r="I292" i="18"/>
  <c r="H292" i="18"/>
  <c r="G292" i="18"/>
  <c r="F292" i="18"/>
  <c r="E292" i="18"/>
  <c r="D292" i="18"/>
  <c r="C292" i="18"/>
  <c r="O291" i="18"/>
  <c r="N291" i="18"/>
  <c r="M291" i="18"/>
  <c r="L291" i="18"/>
  <c r="K291" i="18"/>
  <c r="J291" i="18"/>
  <c r="I291" i="18"/>
  <c r="H291" i="18"/>
  <c r="G291" i="18"/>
  <c r="F291" i="18"/>
  <c r="E291" i="18"/>
  <c r="D291" i="18"/>
  <c r="C291" i="18"/>
  <c r="O290" i="18"/>
  <c r="N290" i="18"/>
  <c r="M290" i="18"/>
  <c r="L290" i="18"/>
  <c r="K290" i="18"/>
  <c r="J290" i="18"/>
  <c r="I290" i="18"/>
  <c r="H290" i="18"/>
  <c r="G290" i="18"/>
  <c r="F290" i="18"/>
  <c r="E290" i="18"/>
  <c r="D290" i="18"/>
  <c r="C290" i="18"/>
  <c r="O289" i="18"/>
  <c r="N289" i="18"/>
  <c r="M289" i="18"/>
  <c r="L289" i="18"/>
  <c r="K289" i="18"/>
  <c r="J289" i="18"/>
  <c r="I289" i="18"/>
  <c r="H289" i="18"/>
  <c r="G289" i="18"/>
  <c r="F289" i="18"/>
  <c r="E289" i="18"/>
  <c r="D289" i="18"/>
  <c r="C289" i="18"/>
  <c r="O288" i="18"/>
  <c r="N288" i="18"/>
  <c r="M288" i="18"/>
  <c r="L288" i="18"/>
  <c r="K288" i="18"/>
  <c r="J288" i="18"/>
  <c r="I288" i="18"/>
  <c r="H288" i="18"/>
  <c r="G288" i="18"/>
  <c r="F288" i="18"/>
  <c r="E288" i="18"/>
  <c r="D288" i="18"/>
  <c r="C288" i="18"/>
  <c r="O287" i="18"/>
  <c r="N287" i="18"/>
  <c r="M287" i="18"/>
  <c r="L287" i="18"/>
  <c r="K287" i="18"/>
  <c r="J287" i="18"/>
  <c r="I287" i="18"/>
  <c r="H287" i="18"/>
  <c r="G287" i="18"/>
  <c r="F287" i="18"/>
  <c r="E287" i="18"/>
  <c r="D287" i="18"/>
  <c r="C287" i="18"/>
  <c r="O286" i="18"/>
  <c r="N286" i="18"/>
  <c r="M286" i="18"/>
  <c r="L286" i="18"/>
  <c r="K286" i="18"/>
  <c r="J286" i="18"/>
  <c r="I286" i="18"/>
  <c r="H286" i="18"/>
  <c r="G286" i="18"/>
  <c r="F286" i="18"/>
  <c r="E286" i="18"/>
  <c r="D286" i="18"/>
  <c r="C286" i="18"/>
  <c r="O285" i="18"/>
  <c r="N285" i="18"/>
  <c r="M285" i="18"/>
  <c r="L285" i="18"/>
  <c r="K285" i="18"/>
  <c r="J285" i="18"/>
  <c r="I285" i="18"/>
  <c r="H285" i="18"/>
  <c r="G285" i="18"/>
  <c r="F285" i="18"/>
  <c r="E285" i="18"/>
  <c r="D285" i="18"/>
  <c r="C285" i="18"/>
  <c r="O284" i="18"/>
  <c r="N284" i="18"/>
  <c r="M284" i="18"/>
  <c r="L284" i="18"/>
  <c r="K284" i="18"/>
  <c r="J284" i="18"/>
  <c r="I284" i="18"/>
  <c r="H284" i="18"/>
  <c r="G284" i="18"/>
  <c r="F284" i="18"/>
  <c r="E284" i="18"/>
  <c r="D284" i="18"/>
  <c r="C284" i="18"/>
  <c r="O283" i="18"/>
  <c r="N283" i="18"/>
  <c r="M283" i="18"/>
  <c r="L283" i="18"/>
  <c r="K283" i="18"/>
  <c r="J283" i="18"/>
  <c r="I283" i="18"/>
  <c r="H283" i="18"/>
  <c r="G283" i="18"/>
  <c r="F283" i="18"/>
  <c r="E283" i="18"/>
  <c r="D283" i="18"/>
  <c r="C283" i="18"/>
  <c r="O282" i="18"/>
  <c r="N282" i="18"/>
  <c r="M282" i="18"/>
  <c r="L282" i="18"/>
  <c r="K282" i="18"/>
  <c r="J282" i="18"/>
  <c r="I282" i="18"/>
  <c r="H282" i="18"/>
  <c r="G282" i="18"/>
  <c r="F282" i="18"/>
  <c r="E282" i="18"/>
  <c r="D282" i="18"/>
  <c r="C282" i="18"/>
  <c r="O281" i="18"/>
  <c r="N281" i="18"/>
  <c r="M281" i="18"/>
  <c r="L281" i="18"/>
  <c r="K281" i="18"/>
  <c r="J281" i="18"/>
  <c r="I281" i="18"/>
  <c r="H281" i="18"/>
  <c r="G281" i="18"/>
  <c r="F281" i="18"/>
  <c r="E281" i="18"/>
  <c r="D281" i="18"/>
  <c r="C281" i="18"/>
  <c r="O280" i="18"/>
  <c r="N280" i="18"/>
  <c r="M280" i="18"/>
  <c r="L280" i="18"/>
  <c r="K280" i="18"/>
  <c r="J280" i="18"/>
  <c r="I280" i="18"/>
  <c r="H280" i="18"/>
  <c r="G280" i="18"/>
  <c r="F280" i="18"/>
  <c r="E280" i="18"/>
  <c r="D280" i="18"/>
  <c r="C280" i="18"/>
  <c r="O279" i="18"/>
  <c r="N279" i="18"/>
  <c r="M279" i="18"/>
  <c r="L279" i="18"/>
  <c r="K279" i="18"/>
  <c r="J279" i="18"/>
  <c r="I279" i="18"/>
  <c r="H279" i="18"/>
  <c r="G279" i="18"/>
  <c r="F279" i="18"/>
  <c r="E279" i="18"/>
  <c r="D279" i="18"/>
  <c r="C279" i="18"/>
  <c r="O278" i="18"/>
  <c r="N278" i="18"/>
  <c r="M278" i="18"/>
  <c r="L278" i="18"/>
  <c r="K278" i="18"/>
  <c r="J278" i="18"/>
  <c r="I278" i="18"/>
  <c r="H278" i="18"/>
  <c r="G278" i="18"/>
  <c r="F278" i="18"/>
  <c r="E278" i="18"/>
  <c r="D278" i="18"/>
  <c r="C278" i="18"/>
  <c r="O277" i="18"/>
  <c r="N277" i="18"/>
  <c r="M277" i="18"/>
  <c r="L277" i="18"/>
  <c r="K277" i="18"/>
  <c r="J277" i="18"/>
  <c r="I277" i="18"/>
  <c r="H277" i="18"/>
  <c r="G277" i="18"/>
  <c r="F277" i="18"/>
  <c r="E277" i="18"/>
  <c r="D277" i="18"/>
  <c r="C277" i="18"/>
  <c r="O276" i="18"/>
  <c r="N276" i="18"/>
  <c r="M276" i="18"/>
  <c r="L276" i="18"/>
  <c r="K276" i="18"/>
  <c r="J276" i="18"/>
  <c r="I276" i="18"/>
  <c r="H276" i="18"/>
  <c r="G276" i="18"/>
  <c r="F276" i="18"/>
  <c r="E276" i="18"/>
  <c r="D276" i="18"/>
  <c r="C276" i="18"/>
  <c r="O275" i="18"/>
  <c r="N275" i="18"/>
  <c r="M275" i="18"/>
  <c r="L275" i="18"/>
  <c r="K275" i="18"/>
  <c r="J275" i="18"/>
  <c r="I275" i="18"/>
  <c r="H275" i="18"/>
  <c r="G275" i="18"/>
  <c r="F275" i="18"/>
  <c r="E275" i="18"/>
  <c r="D275" i="18"/>
  <c r="C275" i="18"/>
  <c r="O274" i="18"/>
  <c r="N274" i="18"/>
  <c r="M274" i="18"/>
  <c r="L274" i="18"/>
  <c r="K274" i="18"/>
  <c r="J274" i="18"/>
  <c r="I274" i="18"/>
  <c r="H274" i="18"/>
  <c r="G274" i="18"/>
  <c r="F274" i="18"/>
  <c r="E274" i="18"/>
  <c r="D274" i="18"/>
  <c r="C274" i="18"/>
  <c r="O273" i="18"/>
  <c r="N273" i="18"/>
  <c r="M273" i="18"/>
  <c r="L273" i="18"/>
  <c r="K273" i="18"/>
  <c r="J273" i="18"/>
  <c r="I273" i="18"/>
  <c r="H273" i="18"/>
  <c r="G273" i="18"/>
  <c r="F273" i="18"/>
  <c r="E273" i="18"/>
  <c r="D273" i="18"/>
  <c r="C273" i="18"/>
  <c r="O272" i="18"/>
  <c r="N272" i="18"/>
  <c r="M272" i="18"/>
  <c r="L272" i="18"/>
  <c r="K272" i="18"/>
  <c r="J272" i="18"/>
  <c r="I272" i="18"/>
  <c r="H272" i="18"/>
  <c r="G272" i="18"/>
  <c r="F272" i="18"/>
  <c r="E272" i="18"/>
  <c r="D272" i="18"/>
  <c r="C272" i="18"/>
  <c r="O271" i="18"/>
  <c r="N271" i="18"/>
  <c r="M271" i="18"/>
  <c r="L271" i="18"/>
  <c r="K271" i="18"/>
  <c r="J271" i="18"/>
  <c r="I271" i="18"/>
  <c r="H271" i="18"/>
  <c r="G271" i="18"/>
  <c r="F271" i="18"/>
  <c r="E271" i="18"/>
  <c r="D271" i="18"/>
  <c r="C271" i="18"/>
  <c r="O270" i="18"/>
  <c r="N270" i="18"/>
  <c r="M270" i="18"/>
  <c r="L270" i="18"/>
  <c r="K270" i="18"/>
  <c r="J270" i="18"/>
  <c r="I270" i="18"/>
  <c r="H270" i="18"/>
  <c r="G270" i="18"/>
  <c r="F270" i="18"/>
  <c r="E270" i="18"/>
  <c r="D270" i="18"/>
  <c r="C270" i="18"/>
  <c r="O269" i="18"/>
  <c r="N269" i="18"/>
  <c r="M269" i="18"/>
  <c r="L269" i="18"/>
  <c r="K269" i="18"/>
  <c r="J269" i="18"/>
  <c r="I269" i="18"/>
  <c r="H269" i="18"/>
  <c r="G269" i="18"/>
  <c r="F269" i="18"/>
  <c r="E269" i="18"/>
  <c r="D269" i="18"/>
  <c r="C269" i="18"/>
  <c r="O268" i="18"/>
  <c r="N268" i="18"/>
  <c r="M268" i="18"/>
  <c r="L268" i="18"/>
  <c r="K268" i="18"/>
  <c r="J268" i="18"/>
  <c r="I268" i="18"/>
  <c r="H268" i="18"/>
  <c r="G268" i="18"/>
  <c r="F268" i="18"/>
  <c r="E268" i="18"/>
  <c r="D268" i="18"/>
  <c r="C268" i="18"/>
  <c r="O267" i="18"/>
  <c r="N267" i="18"/>
  <c r="M267" i="18"/>
  <c r="L267" i="18"/>
  <c r="K267" i="18"/>
  <c r="J267" i="18"/>
  <c r="I267" i="18"/>
  <c r="H267" i="18"/>
  <c r="G267" i="18"/>
  <c r="F267" i="18"/>
  <c r="E267" i="18"/>
  <c r="D267" i="18"/>
  <c r="C267" i="18"/>
  <c r="O266" i="18"/>
  <c r="N266" i="18"/>
  <c r="M266" i="18"/>
  <c r="L266" i="18"/>
  <c r="K266" i="18"/>
  <c r="J266" i="18"/>
  <c r="I266" i="18"/>
  <c r="H266" i="18"/>
  <c r="G266" i="18"/>
  <c r="F266" i="18"/>
  <c r="E266" i="18"/>
  <c r="D266" i="18"/>
  <c r="C266" i="18"/>
  <c r="O265" i="18"/>
  <c r="N265" i="18"/>
  <c r="M265" i="18"/>
  <c r="L265" i="18"/>
  <c r="K265" i="18"/>
  <c r="J265" i="18"/>
  <c r="I265" i="18"/>
  <c r="H265" i="18"/>
  <c r="G265" i="18"/>
  <c r="F265" i="18"/>
  <c r="E265" i="18"/>
  <c r="D265" i="18"/>
  <c r="C265" i="18"/>
  <c r="O264" i="18"/>
  <c r="N264" i="18"/>
  <c r="M264" i="18"/>
  <c r="L264" i="18"/>
  <c r="K264" i="18"/>
  <c r="J264" i="18"/>
  <c r="I264" i="18"/>
  <c r="H264" i="18"/>
  <c r="G264" i="18"/>
  <c r="F264" i="18"/>
  <c r="E264" i="18"/>
  <c r="D264" i="18"/>
  <c r="C264" i="18"/>
  <c r="O263" i="18"/>
  <c r="N263" i="18"/>
  <c r="M263" i="18"/>
  <c r="L263" i="18"/>
  <c r="K263" i="18"/>
  <c r="J263" i="18"/>
  <c r="I263" i="18"/>
  <c r="H263" i="18"/>
  <c r="G263" i="18"/>
  <c r="F263" i="18"/>
  <c r="E263" i="18"/>
  <c r="D263" i="18"/>
  <c r="C263" i="18"/>
  <c r="O262" i="18"/>
  <c r="N262" i="18"/>
  <c r="M262" i="18"/>
  <c r="L262" i="18"/>
  <c r="K262" i="18"/>
  <c r="J262" i="18"/>
  <c r="I262" i="18"/>
  <c r="H262" i="18"/>
  <c r="G262" i="18"/>
  <c r="F262" i="18"/>
  <c r="E262" i="18"/>
  <c r="D262" i="18"/>
  <c r="C262" i="18"/>
  <c r="O261" i="18"/>
  <c r="N261" i="18"/>
  <c r="M261" i="18"/>
  <c r="L261" i="18"/>
  <c r="K261" i="18"/>
  <c r="J261" i="18"/>
  <c r="I261" i="18"/>
  <c r="H261" i="18"/>
  <c r="G261" i="18"/>
  <c r="F261" i="18"/>
  <c r="E261" i="18"/>
  <c r="D261" i="18"/>
  <c r="C261" i="18"/>
  <c r="O260" i="18"/>
  <c r="N260" i="18"/>
  <c r="M260" i="18"/>
  <c r="L260" i="18"/>
  <c r="K260" i="18"/>
  <c r="J260" i="18"/>
  <c r="I260" i="18"/>
  <c r="H260" i="18"/>
  <c r="G260" i="18"/>
  <c r="F260" i="18"/>
  <c r="E260" i="18"/>
  <c r="D260" i="18"/>
  <c r="C260" i="18"/>
  <c r="O259" i="18"/>
  <c r="N259" i="18"/>
  <c r="M259" i="18"/>
  <c r="L259" i="18"/>
  <c r="K259" i="18"/>
  <c r="J259" i="18"/>
  <c r="I259" i="18"/>
  <c r="H259" i="18"/>
  <c r="G259" i="18"/>
  <c r="F259" i="18"/>
  <c r="E259" i="18"/>
  <c r="D259" i="18"/>
  <c r="C259" i="18"/>
  <c r="O258" i="18"/>
  <c r="N258" i="18"/>
  <c r="M258" i="18"/>
  <c r="L258" i="18"/>
  <c r="K258" i="18"/>
  <c r="J258" i="18"/>
  <c r="I258" i="18"/>
  <c r="H258" i="18"/>
  <c r="G258" i="18"/>
  <c r="F258" i="18"/>
  <c r="E258" i="18"/>
  <c r="D258" i="18"/>
  <c r="C258" i="18"/>
  <c r="O257" i="18"/>
  <c r="N257" i="18"/>
  <c r="M257" i="18"/>
  <c r="L257" i="18"/>
  <c r="K257" i="18"/>
  <c r="J257" i="18"/>
  <c r="I257" i="18"/>
  <c r="H257" i="18"/>
  <c r="G257" i="18"/>
  <c r="F257" i="18"/>
  <c r="E257" i="18"/>
  <c r="D257" i="18"/>
  <c r="C257" i="18"/>
  <c r="O256" i="18"/>
  <c r="N256" i="18"/>
  <c r="M256" i="18"/>
  <c r="L256" i="18"/>
  <c r="K256" i="18"/>
  <c r="J256" i="18"/>
  <c r="I256" i="18"/>
  <c r="H256" i="18"/>
  <c r="G256" i="18"/>
  <c r="F256" i="18"/>
  <c r="E256" i="18"/>
  <c r="D256" i="18"/>
  <c r="C256" i="18"/>
  <c r="O255" i="18"/>
  <c r="N255" i="18"/>
  <c r="M255" i="18"/>
  <c r="L255" i="18"/>
  <c r="K255" i="18"/>
  <c r="J255" i="18"/>
  <c r="I255" i="18"/>
  <c r="H255" i="18"/>
  <c r="G255" i="18"/>
  <c r="F255" i="18"/>
  <c r="E255" i="18"/>
  <c r="D255" i="18"/>
  <c r="C255" i="18"/>
  <c r="O254" i="18"/>
  <c r="N254" i="18"/>
  <c r="M254" i="18"/>
  <c r="L254" i="18"/>
  <c r="K254" i="18"/>
  <c r="J254" i="18"/>
  <c r="I254" i="18"/>
  <c r="H254" i="18"/>
  <c r="G254" i="18"/>
  <c r="F254" i="18"/>
  <c r="E254" i="18"/>
  <c r="D254" i="18"/>
  <c r="C254" i="18"/>
  <c r="O253" i="18"/>
  <c r="N253" i="18"/>
  <c r="M253" i="18"/>
  <c r="L253" i="18"/>
  <c r="K253" i="18"/>
  <c r="J253" i="18"/>
  <c r="I253" i="18"/>
  <c r="H253" i="18"/>
  <c r="G253" i="18"/>
  <c r="F253" i="18"/>
  <c r="E253" i="18"/>
  <c r="D253" i="18"/>
  <c r="C253" i="18"/>
  <c r="O252" i="18"/>
  <c r="N252" i="18"/>
  <c r="M252" i="18"/>
  <c r="L252" i="18"/>
  <c r="K252" i="18"/>
  <c r="J252" i="18"/>
  <c r="I252" i="18"/>
  <c r="H252" i="18"/>
  <c r="G252" i="18"/>
  <c r="F252" i="18"/>
  <c r="E252" i="18"/>
  <c r="D252" i="18"/>
  <c r="C252" i="18"/>
  <c r="O251" i="18"/>
  <c r="N251" i="18"/>
  <c r="M251" i="18"/>
  <c r="L251" i="18"/>
  <c r="K251" i="18"/>
  <c r="J251" i="18"/>
  <c r="I251" i="18"/>
  <c r="H251" i="18"/>
  <c r="G251" i="18"/>
  <c r="F251" i="18"/>
  <c r="E251" i="18"/>
  <c r="D251" i="18"/>
  <c r="C251" i="18"/>
  <c r="O250" i="18"/>
  <c r="N250" i="18"/>
  <c r="M250" i="18"/>
  <c r="L250" i="18"/>
  <c r="K250" i="18"/>
  <c r="J250" i="18"/>
  <c r="I250" i="18"/>
  <c r="H250" i="18"/>
  <c r="G250" i="18"/>
  <c r="F250" i="18"/>
  <c r="E250" i="18"/>
  <c r="D250" i="18"/>
  <c r="C250" i="18"/>
  <c r="O249" i="18"/>
  <c r="N249" i="18"/>
  <c r="M249" i="18"/>
  <c r="L249" i="18"/>
  <c r="K249" i="18"/>
  <c r="J249" i="18"/>
  <c r="I249" i="18"/>
  <c r="H249" i="18"/>
  <c r="G249" i="18"/>
  <c r="F249" i="18"/>
  <c r="E249" i="18"/>
  <c r="D249" i="18"/>
  <c r="C249" i="18"/>
  <c r="O248" i="18"/>
  <c r="N248" i="18"/>
  <c r="M248" i="18"/>
  <c r="L248" i="18"/>
  <c r="K248" i="18"/>
  <c r="J248" i="18"/>
  <c r="I248" i="18"/>
  <c r="H248" i="18"/>
  <c r="G248" i="18"/>
  <c r="F248" i="18"/>
  <c r="E248" i="18"/>
  <c r="D248" i="18"/>
  <c r="C248" i="18"/>
  <c r="O247" i="18"/>
  <c r="N247" i="18"/>
  <c r="M247" i="18"/>
  <c r="L247" i="18"/>
  <c r="K247" i="18"/>
  <c r="J247" i="18"/>
  <c r="I247" i="18"/>
  <c r="H247" i="18"/>
  <c r="G247" i="18"/>
  <c r="F247" i="18"/>
  <c r="E247" i="18"/>
  <c r="D247" i="18"/>
  <c r="C247" i="18"/>
  <c r="O246" i="18"/>
  <c r="N246" i="18"/>
  <c r="M246" i="18"/>
  <c r="L246" i="18"/>
  <c r="K246" i="18"/>
  <c r="J246" i="18"/>
  <c r="I246" i="18"/>
  <c r="H246" i="18"/>
  <c r="G246" i="18"/>
  <c r="F246" i="18"/>
  <c r="E246" i="18"/>
  <c r="D246" i="18"/>
  <c r="C246" i="18"/>
  <c r="O245" i="18"/>
  <c r="N245" i="18"/>
  <c r="M245" i="18"/>
  <c r="L245" i="18"/>
  <c r="K245" i="18"/>
  <c r="J245" i="18"/>
  <c r="I245" i="18"/>
  <c r="H245" i="18"/>
  <c r="G245" i="18"/>
  <c r="F245" i="18"/>
  <c r="E245" i="18"/>
  <c r="D245" i="18"/>
  <c r="C245" i="18"/>
  <c r="O244" i="18"/>
  <c r="N244" i="18"/>
  <c r="M244" i="18"/>
  <c r="L244" i="18"/>
  <c r="K244" i="18"/>
  <c r="J244" i="18"/>
  <c r="I244" i="18"/>
  <c r="H244" i="18"/>
  <c r="G244" i="18"/>
  <c r="F244" i="18"/>
  <c r="E244" i="18"/>
  <c r="D244" i="18"/>
  <c r="C244" i="18"/>
  <c r="O243" i="18"/>
  <c r="N243" i="18"/>
  <c r="M243" i="18"/>
  <c r="L243" i="18"/>
  <c r="K243" i="18"/>
  <c r="J243" i="18"/>
  <c r="I243" i="18"/>
  <c r="H243" i="18"/>
  <c r="G243" i="18"/>
  <c r="F243" i="18"/>
  <c r="E243" i="18"/>
  <c r="D243" i="18"/>
  <c r="C243" i="18"/>
  <c r="O242" i="18"/>
  <c r="N242" i="18"/>
  <c r="M242" i="18"/>
  <c r="L242" i="18"/>
  <c r="K242" i="18"/>
  <c r="J242" i="18"/>
  <c r="I242" i="18"/>
  <c r="H242" i="18"/>
  <c r="G242" i="18"/>
  <c r="F242" i="18"/>
  <c r="E242" i="18"/>
  <c r="D242" i="18"/>
  <c r="C242" i="18"/>
  <c r="O241" i="18"/>
  <c r="N241" i="18"/>
  <c r="M241" i="18"/>
  <c r="L241" i="18"/>
  <c r="K241" i="18"/>
  <c r="J241" i="18"/>
  <c r="I241" i="18"/>
  <c r="H241" i="18"/>
  <c r="G241" i="18"/>
  <c r="F241" i="18"/>
  <c r="E241" i="18"/>
  <c r="D241" i="18"/>
  <c r="C241" i="18"/>
  <c r="O240" i="18"/>
  <c r="N240" i="18"/>
  <c r="M240" i="18"/>
  <c r="L240" i="18"/>
  <c r="K240" i="18"/>
  <c r="J240" i="18"/>
  <c r="I240" i="18"/>
  <c r="H240" i="18"/>
  <c r="G240" i="18"/>
  <c r="F240" i="18"/>
  <c r="E240" i="18"/>
  <c r="D240" i="18"/>
  <c r="C240" i="18"/>
  <c r="O239" i="18"/>
  <c r="N239" i="18"/>
  <c r="M239" i="18"/>
  <c r="L239" i="18"/>
  <c r="K239" i="18"/>
  <c r="J239" i="18"/>
  <c r="I239" i="18"/>
  <c r="H239" i="18"/>
  <c r="G239" i="18"/>
  <c r="F239" i="18"/>
  <c r="E239" i="18"/>
  <c r="D239" i="18"/>
  <c r="C239" i="18"/>
  <c r="O238" i="18"/>
  <c r="N238" i="18"/>
  <c r="M238" i="18"/>
  <c r="L238" i="18"/>
  <c r="K238" i="18"/>
  <c r="J238" i="18"/>
  <c r="I238" i="18"/>
  <c r="H238" i="18"/>
  <c r="G238" i="18"/>
  <c r="F238" i="18"/>
  <c r="E238" i="18"/>
  <c r="D238" i="18"/>
  <c r="C238" i="18"/>
  <c r="O237" i="18"/>
  <c r="N237" i="18"/>
  <c r="M237" i="18"/>
  <c r="L237" i="18"/>
  <c r="K237" i="18"/>
  <c r="J237" i="18"/>
  <c r="I237" i="18"/>
  <c r="H237" i="18"/>
  <c r="G237" i="18"/>
  <c r="F237" i="18"/>
  <c r="E237" i="18"/>
  <c r="D237" i="18"/>
  <c r="C237" i="18"/>
  <c r="O236" i="18"/>
  <c r="N236" i="18"/>
  <c r="M236" i="18"/>
  <c r="L236" i="18"/>
  <c r="K236" i="18"/>
  <c r="J236" i="18"/>
  <c r="I236" i="18"/>
  <c r="H236" i="18"/>
  <c r="G236" i="18"/>
  <c r="F236" i="18"/>
  <c r="E236" i="18"/>
  <c r="D236" i="18"/>
  <c r="C236" i="18"/>
  <c r="O235" i="18"/>
  <c r="N235" i="18"/>
  <c r="M235" i="18"/>
  <c r="L235" i="18"/>
  <c r="K235" i="18"/>
  <c r="J235" i="18"/>
  <c r="I235" i="18"/>
  <c r="H235" i="18"/>
  <c r="G235" i="18"/>
  <c r="F235" i="18"/>
  <c r="E235" i="18"/>
  <c r="D235" i="18"/>
  <c r="C235" i="18"/>
  <c r="O234" i="18"/>
  <c r="N234" i="18"/>
  <c r="M234" i="18"/>
  <c r="L234" i="18"/>
  <c r="K234" i="18"/>
  <c r="J234" i="18"/>
  <c r="I234" i="18"/>
  <c r="H234" i="18"/>
  <c r="G234" i="18"/>
  <c r="F234" i="18"/>
  <c r="E234" i="18"/>
  <c r="D234" i="18"/>
  <c r="C234" i="18"/>
  <c r="O233" i="18"/>
  <c r="N233" i="18"/>
  <c r="M233" i="18"/>
  <c r="L233" i="18"/>
  <c r="K233" i="18"/>
  <c r="J233" i="18"/>
  <c r="I233" i="18"/>
  <c r="H233" i="18"/>
  <c r="G233" i="18"/>
  <c r="F233" i="18"/>
  <c r="E233" i="18"/>
  <c r="D233" i="18"/>
  <c r="C233" i="18"/>
  <c r="O232" i="18"/>
  <c r="N232" i="18"/>
  <c r="M232" i="18"/>
  <c r="L232" i="18"/>
  <c r="K232" i="18"/>
  <c r="J232" i="18"/>
  <c r="I232" i="18"/>
  <c r="H232" i="18"/>
  <c r="G232" i="18"/>
  <c r="F232" i="18"/>
  <c r="E232" i="18"/>
  <c r="D232" i="18"/>
  <c r="C232" i="18"/>
  <c r="O231" i="18"/>
  <c r="N231" i="18"/>
  <c r="M231" i="18"/>
  <c r="L231" i="18"/>
  <c r="K231" i="18"/>
  <c r="J231" i="18"/>
  <c r="I231" i="18"/>
  <c r="H231" i="18"/>
  <c r="G231" i="18"/>
  <c r="F231" i="18"/>
  <c r="E231" i="18"/>
  <c r="D231" i="18"/>
  <c r="C231" i="18"/>
  <c r="O230" i="18"/>
  <c r="N230" i="18"/>
  <c r="M230" i="18"/>
  <c r="L230" i="18"/>
  <c r="K230" i="18"/>
  <c r="J230" i="18"/>
  <c r="I230" i="18"/>
  <c r="H230" i="18"/>
  <c r="G230" i="18"/>
  <c r="F230" i="18"/>
  <c r="E230" i="18"/>
  <c r="D230" i="18"/>
  <c r="C230" i="18"/>
  <c r="O229" i="18"/>
  <c r="N229" i="18"/>
  <c r="M229" i="18"/>
  <c r="L229" i="18"/>
  <c r="K229" i="18"/>
  <c r="J229" i="18"/>
  <c r="I229" i="18"/>
  <c r="H229" i="18"/>
  <c r="G229" i="18"/>
  <c r="F229" i="18"/>
  <c r="E229" i="18"/>
  <c r="D229" i="18"/>
  <c r="C229" i="18"/>
  <c r="O228" i="18"/>
  <c r="N228" i="18"/>
  <c r="M228" i="18"/>
  <c r="L228" i="18"/>
  <c r="K228" i="18"/>
  <c r="J228" i="18"/>
  <c r="I228" i="18"/>
  <c r="H228" i="18"/>
  <c r="G228" i="18"/>
  <c r="F228" i="18"/>
  <c r="E228" i="18"/>
  <c r="D228" i="18"/>
  <c r="C228" i="18"/>
  <c r="O227" i="18"/>
  <c r="N227" i="18"/>
  <c r="M227" i="18"/>
  <c r="L227" i="18"/>
  <c r="K227" i="18"/>
  <c r="J227" i="18"/>
  <c r="I227" i="18"/>
  <c r="H227" i="18"/>
  <c r="G227" i="18"/>
  <c r="F227" i="18"/>
  <c r="E227" i="18"/>
  <c r="D227" i="18"/>
  <c r="C227" i="18"/>
  <c r="O226" i="18"/>
  <c r="N226" i="18"/>
  <c r="M226" i="18"/>
  <c r="L226" i="18"/>
  <c r="K226" i="18"/>
  <c r="J226" i="18"/>
  <c r="I226" i="18"/>
  <c r="H226" i="18"/>
  <c r="G226" i="18"/>
  <c r="F226" i="18"/>
  <c r="E226" i="18"/>
  <c r="D226" i="18"/>
  <c r="C226" i="18"/>
  <c r="O225" i="18"/>
  <c r="N225" i="18"/>
  <c r="M225" i="18"/>
  <c r="L225" i="18"/>
  <c r="K225" i="18"/>
  <c r="J225" i="18"/>
  <c r="I225" i="18"/>
  <c r="H225" i="18"/>
  <c r="G225" i="18"/>
  <c r="F225" i="18"/>
  <c r="E225" i="18"/>
  <c r="D225" i="18"/>
  <c r="C225" i="18"/>
  <c r="AG224" i="18"/>
  <c r="O224" i="18" s="1"/>
  <c r="AF224" i="18"/>
  <c r="N223" i="18" s="1"/>
  <c r="AE224" i="18"/>
  <c r="AD224" i="18"/>
  <c r="L224" i="18" s="1"/>
  <c r="AC224" i="18"/>
  <c r="AB224" i="18"/>
  <c r="J224" i="18" s="1"/>
  <c r="AA224" i="18"/>
  <c r="Z224" i="18"/>
  <c r="H224" i="18" s="1"/>
  <c r="Y224" i="18"/>
  <c r="G224" i="18" s="1"/>
  <c r="X224" i="18"/>
  <c r="W224" i="18"/>
  <c r="E224" i="18" s="1"/>
  <c r="V224" i="18"/>
  <c r="D224" i="18" s="1"/>
  <c r="U224" i="18"/>
  <c r="C224" i="18" s="1"/>
  <c r="AG223" i="18"/>
  <c r="AF223" i="18"/>
  <c r="AE223" i="18"/>
  <c r="AD223" i="18"/>
  <c r="AC223" i="18"/>
  <c r="AB223" i="18"/>
  <c r="AA223" i="18"/>
  <c r="Z223" i="18"/>
  <c r="Y223" i="18"/>
  <c r="X223" i="18"/>
  <c r="W223" i="18"/>
  <c r="V223" i="18"/>
  <c r="U223" i="18"/>
  <c r="AG222" i="18"/>
  <c r="AF222" i="18"/>
  <c r="AE222" i="18"/>
  <c r="AD222" i="18"/>
  <c r="AC222" i="18"/>
  <c r="AB222" i="18"/>
  <c r="J222" i="18" s="1"/>
  <c r="AA222" i="18"/>
  <c r="Z222" i="18"/>
  <c r="Y222" i="18"/>
  <c r="X222" i="18"/>
  <c r="W222" i="18"/>
  <c r="V222" i="18"/>
  <c r="U222" i="18"/>
  <c r="AG221" i="18"/>
  <c r="AF221" i="18"/>
  <c r="AE221" i="18"/>
  <c r="AD221" i="18"/>
  <c r="AC221" i="18"/>
  <c r="K221" i="18" s="1"/>
  <c r="AB221" i="18"/>
  <c r="AA221" i="18"/>
  <c r="Z221" i="18"/>
  <c r="Y221" i="18"/>
  <c r="X221" i="18"/>
  <c r="W221" i="18"/>
  <c r="V221" i="18"/>
  <c r="U221" i="18"/>
  <c r="C221" i="18" s="1"/>
  <c r="AG220" i="18"/>
  <c r="AF220" i="18"/>
  <c r="AE220" i="18"/>
  <c r="AD220" i="18"/>
  <c r="AC220" i="18"/>
  <c r="AB220" i="18"/>
  <c r="AA220" i="18"/>
  <c r="Z220" i="18"/>
  <c r="Y220" i="18"/>
  <c r="X220" i="18"/>
  <c r="W220" i="18"/>
  <c r="V220" i="18"/>
  <c r="U220" i="18"/>
  <c r="AG219" i="18"/>
  <c r="AF219" i="18"/>
  <c r="AE219" i="18"/>
  <c r="AD219" i="18"/>
  <c r="AC219" i="18"/>
  <c r="AB219" i="18"/>
  <c r="AA219" i="18"/>
  <c r="Z219" i="18"/>
  <c r="Y219" i="18"/>
  <c r="X219" i="18"/>
  <c r="W219" i="18"/>
  <c r="V219" i="18"/>
  <c r="U219" i="18"/>
  <c r="C219" i="18" s="1"/>
  <c r="O218" i="18"/>
  <c r="N218" i="18"/>
  <c r="M218" i="18"/>
  <c r="L218" i="18"/>
  <c r="K218" i="18"/>
  <c r="J218" i="18"/>
  <c r="I218" i="18"/>
  <c r="H218" i="18"/>
  <c r="G218" i="18"/>
  <c r="F218" i="18"/>
  <c r="E218" i="18"/>
  <c r="D218" i="18"/>
  <c r="C218" i="18"/>
  <c r="O217" i="18"/>
  <c r="N217" i="18"/>
  <c r="M217" i="18"/>
  <c r="L217" i="18"/>
  <c r="K217" i="18"/>
  <c r="J217" i="18"/>
  <c r="I217" i="18"/>
  <c r="H217" i="18"/>
  <c r="G217" i="18"/>
  <c r="F217" i="18"/>
  <c r="E217" i="18"/>
  <c r="D217" i="18"/>
  <c r="C217" i="18"/>
  <c r="O216" i="18"/>
  <c r="N216" i="18"/>
  <c r="M216" i="18"/>
  <c r="L216" i="18"/>
  <c r="K216" i="18"/>
  <c r="J216" i="18"/>
  <c r="I216" i="18"/>
  <c r="H216" i="18"/>
  <c r="G216" i="18"/>
  <c r="F216" i="18"/>
  <c r="E216" i="18"/>
  <c r="D216" i="18"/>
  <c r="C216" i="18"/>
  <c r="O215" i="18"/>
  <c r="N215" i="18"/>
  <c r="M215" i="18"/>
  <c r="L215" i="18"/>
  <c r="K215" i="18"/>
  <c r="J215" i="18"/>
  <c r="I215" i="18"/>
  <c r="H215" i="18"/>
  <c r="G215" i="18"/>
  <c r="F215" i="18"/>
  <c r="E215" i="18"/>
  <c r="D215" i="18"/>
  <c r="C215" i="18"/>
  <c r="O214" i="18"/>
  <c r="N214" i="18"/>
  <c r="M214" i="18"/>
  <c r="L214" i="18"/>
  <c r="K214" i="18"/>
  <c r="J214" i="18"/>
  <c r="I214" i="18"/>
  <c r="H214" i="18"/>
  <c r="G214" i="18"/>
  <c r="F214" i="18"/>
  <c r="E214" i="18"/>
  <c r="D214" i="18"/>
  <c r="C214" i="18"/>
  <c r="O213" i="18"/>
  <c r="N213" i="18"/>
  <c r="M213" i="18"/>
  <c r="L213" i="18"/>
  <c r="K213" i="18"/>
  <c r="J213" i="18"/>
  <c r="I213" i="18"/>
  <c r="H213" i="18"/>
  <c r="G213" i="18"/>
  <c r="F213" i="18"/>
  <c r="E213" i="18"/>
  <c r="D213" i="18"/>
  <c r="C213" i="18"/>
  <c r="O212" i="18"/>
  <c r="N212" i="18"/>
  <c r="M212" i="18"/>
  <c r="L212" i="18"/>
  <c r="K212" i="18"/>
  <c r="J212" i="18"/>
  <c r="I212" i="18"/>
  <c r="H212" i="18"/>
  <c r="G212" i="18"/>
  <c r="F212" i="18"/>
  <c r="E212" i="18"/>
  <c r="D212" i="18"/>
  <c r="C212" i="18"/>
  <c r="O211" i="18"/>
  <c r="N211" i="18"/>
  <c r="M211" i="18"/>
  <c r="L211" i="18"/>
  <c r="K211" i="18"/>
  <c r="J211" i="18"/>
  <c r="I211" i="18"/>
  <c r="H211" i="18"/>
  <c r="G211" i="18"/>
  <c r="F211" i="18"/>
  <c r="E211" i="18"/>
  <c r="D211" i="18"/>
  <c r="C211" i="18"/>
  <c r="O210" i="18"/>
  <c r="N210" i="18"/>
  <c r="M210" i="18"/>
  <c r="L210" i="18"/>
  <c r="K210" i="18"/>
  <c r="J210" i="18"/>
  <c r="I210" i="18"/>
  <c r="H210" i="18"/>
  <c r="G210" i="18"/>
  <c r="F210" i="18"/>
  <c r="E210" i="18"/>
  <c r="D210" i="18"/>
  <c r="C210" i="18"/>
  <c r="O209" i="18"/>
  <c r="N209" i="18"/>
  <c r="M209" i="18"/>
  <c r="L209" i="18"/>
  <c r="K209" i="18"/>
  <c r="J209" i="18"/>
  <c r="I209" i="18"/>
  <c r="H209" i="18"/>
  <c r="G209" i="18"/>
  <c r="F209" i="18"/>
  <c r="E209" i="18"/>
  <c r="D209" i="18"/>
  <c r="C209" i="18"/>
  <c r="O208" i="18"/>
  <c r="N208" i="18"/>
  <c r="M208" i="18"/>
  <c r="L208" i="18"/>
  <c r="K208" i="18"/>
  <c r="J208" i="18"/>
  <c r="I208" i="18"/>
  <c r="H208" i="18"/>
  <c r="G208" i="18"/>
  <c r="F208" i="18"/>
  <c r="E208" i="18"/>
  <c r="D208" i="18"/>
  <c r="C208" i="18"/>
  <c r="O207" i="18"/>
  <c r="N207" i="18"/>
  <c r="M207" i="18"/>
  <c r="L207" i="18"/>
  <c r="K207" i="18"/>
  <c r="J207" i="18"/>
  <c r="I207" i="18"/>
  <c r="H207" i="18"/>
  <c r="G207" i="18"/>
  <c r="F207" i="18"/>
  <c r="E207" i="18"/>
  <c r="D207" i="18"/>
  <c r="C207" i="18"/>
  <c r="O206" i="18"/>
  <c r="N206" i="18"/>
  <c r="M206" i="18"/>
  <c r="L206" i="18"/>
  <c r="K206" i="18"/>
  <c r="J206" i="18"/>
  <c r="I206" i="18"/>
  <c r="H206" i="18"/>
  <c r="G206" i="18"/>
  <c r="F206" i="18"/>
  <c r="E206" i="18"/>
  <c r="D206" i="18"/>
  <c r="C206" i="18"/>
  <c r="O205" i="18"/>
  <c r="N205" i="18"/>
  <c r="M205" i="18"/>
  <c r="L205" i="18"/>
  <c r="K205" i="18"/>
  <c r="J205" i="18"/>
  <c r="I205" i="18"/>
  <c r="H205" i="18"/>
  <c r="G205" i="18"/>
  <c r="F205" i="18"/>
  <c r="E205" i="18"/>
  <c r="D205" i="18"/>
  <c r="C205" i="18"/>
  <c r="O204" i="18"/>
  <c r="N204" i="18"/>
  <c r="M204" i="18"/>
  <c r="L204" i="18"/>
  <c r="K204" i="18"/>
  <c r="J204" i="18"/>
  <c r="I204" i="18"/>
  <c r="H204" i="18"/>
  <c r="G204" i="18"/>
  <c r="F204" i="18"/>
  <c r="E204" i="18"/>
  <c r="D204" i="18"/>
  <c r="C204" i="18"/>
  <c r="O203" i="18"/>
  <c r="N203" i="18"/>
  <c r="M203" i="18"/>
  <c r="L203" i="18"/>
  <c r="K203" i="18"/>
  <c r="J203" i="18"/>
  <c r="I203" i="18"/>
  <c r="H203" i="18"/>
  <c r="G203" i="18"/>
  <c r="F203" i="18"/>
  <c r="E203" i="18"/>
  <c r="D203" i="18"/>
  <c r="C203" i="18"/>
  <c r="O202" i="18"/>
  <c r="N202" i="18"/>
  <c r="M202" i="18"/>
  <c r="L202" i="18"/>
  <c r="K202" i="18"/>
  <c r="J202" i="18"/>
  <c r="I202" i="18"/>
  <c r="H202" i="18"/>
  <c r="G202" i="18"/>
  <c r="F202" i="18"/>
  <c r="E202" i="18"/>
  <c r="D202" i="18"/>
  <c r="C202" i="18"/>
  <c r="O201" i="18"/>
  <c r="N201" i="18"/>
  <c r="M201" i="18"/>
  <c r="L201" i="18"/>
  <c r="K201" i="18"/>
  <c r="J201" i="18"/>
  <c r="I201" i="18"/>
  <c r="H201" i="18"/>
  <c r="G201" i="18"/>
  <c r="F201" i="18"/>
  <c r="E201" i="18"/>
  <c r="D201" i="18"/>
  <c r="C201" i="18"/>
  <c r="O200" i="18"/>
  <c r="N200" i="18"/>
  <c r="M200" i="18"/>
  <c r="L200" i="18"/>
  <c r="K200" i="18"/>
  <c r="J200" i="18"/>
  <c r="I200" i="18"/>
  <c r="H200" i="18"/>
  <c r="G200" i="18"/>
  <c r="F200" i="18"/>
  <c r="E200" i="18"/>
  <c r="D200" i="18"/>
  <c r="C200" i="18"/>
  <c r="O199" i="18"/>
  <c r="N199" i="18"/>
  <c r="M199" i="18"/>
  <c r="L199" i="18"/>
  <c r="K199" i="18"/>
  <c r="J199" i="18"/>
  <c r="I199" i="18"/>
  <c r="H199" i="18"/>
  <c r="G199" i="18"/>
  <c r="F199" i="18"/>
  <c r="E199" i="18"/>
  <c r="D199" i="18"/>
  <c r="C199" i="18"/>
  <c r="O198" i="18"/>
  <c r="N198" i="18"/>
  <c r="M198" i="18"/>
  <c r="L198" i="18"/>
  <c r="K198" i="18"/>
  <c r="J198" i="18"/>
  <c r="I198" i="18"/>
  <c r="H198" i="18"/>
  <c r="G198" i="18"/>
  <c r="F198" i="18"/>
  <c r="E198" i="18"/>
  <c r="D198" i="18"/>
  <c r="C198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O192" i="18"/>
  <c r="N192" i="18"/>
  <c r="M192" i="18"/>
  <c r="L192" i="18"/>
  <c r="K192" i="18"/>
  <c r="J192" i="18"/>
  <c r="I192" i="18"/>
  <c r="H192" i="18"/>
  <c r="G192" i="18"/>
  <c r="F192" i="18"/>
  <c r="E192" i="18"/>
  <c r="D192" i="18"/>
  <c r="C192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O189" i="18"/>
  <c r="N189" i="18"/>
  <c r="M189" i="18"/>
  <c r="L189" i="18"/>
  <c r="K189" i="18"/>
  <c r="J189" i="18"/>
  <c r="I189" i="18"/>
  <c r="H189" i="18"/>
  <c r="G189" i="18"/>
  <c r="F189" i="18"/>
  <c r="E189" i="18"/>
  <c r="D189" i="18"/>
  <c r="C189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O187" i="18"/>
  <c r="N187" i="18"/>
  <c r="M187" i="18"/>
  <c r="L187" i="18"/>
  <c r="K187" i="18"/>
  <c r="J187" i="18"/>
  <c r="I187" i="18"/>
  <c r="H187" i="18"/>
  <c r="G187" i="18"/>
  <c r="F187" i="18"/>
  <c r="E187" i="18"/>
  <c r="D187" i="18"/>
  <c r="C187" i="18"/>
  <c r="O186" i="18"/>
  <c r="N186" i="18"/>
  <c r="M186" i="18"/>
  <c r="L186" i="18"/>
  <c r="K186" i="18"/>
  <c r="J186" i="18"/>
  <c r="I186" i="18"/>
  <c r="H186" i="18"/>
  <c r="G186" i="18"/>
  <c r="F186" i="18"/>
  <c r="E186" i="18"/>
  <c r="D186" i="18"/>
  <c r="C186" i="18"/>
  <c r="O185" i="18"/>
  <c r="N185" i="18"/>
  <c r="M185" i="18"/>
  <c r="L185" i="18"/>
  <c r="K185" i="18"/>
  <c r="J185" i="18"/>
  <c r="I185" i="18"/>
  <c r="H185" i="18"/>
  <c r="G185" i="18"/>
  <c r="F185" i="18"/>
  <c r="E185" i="18"/>
  <c r="D185" i="18"/>
  <c r="C185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O178" i="18"/>
  <c r="N178" i="18"/>
  <c r="M178" i="18"/>
  <c r="L178" i="18"/>
  <c r="K178" i="18"/>
  <c r="J178" i="18"/>
  <c r="I178" i="18"/>
  <c r="H178" i="18"/>
  <c r="G178" i="18"/>
  <c r="F178" i="18"/>
  <c r="E178" i="18"/>
  <c r="D178" i="18"/>
  <c r="C178" i="18"/>
  <c r="O177" i="18"/>
  <c r="N177" i="18"/>
  <c r="M177" i="18"/>
  <c r="L177" i="18"/>
  <c r="K177" i="18"/>
  <c r="J177" i="18"/>
  <c r="I177" i="18"/>
  <c r="H177" i="18"/>
  <c r="G177" i="18"/>
  <c r="F177" i="18"/>
  <c r="E177" i="18"/>
  <c r="D177" i="18"/>
  <c r="C177" i="18"/>
  <c r="O176" i="18"/>
  <c r="N176" i="18"/>
  <c r="M176" i="18"/>
  <c r="L176" i="18"/>
  <c r="K176" i="18"/>
  <c r="J176" i="18"/>
  <c r="I176" i="18"/>
  <c r="H176" i="18"/>
  <c r="G176" i="18"/>
  <c r="F176" i="18"/>
  <c r="E176" i="18"/>
  <c r="D176" i="18"/>
  <c r="C176" i="18"/>
  <c r="O175" i="18"/>
  <c r="N175" i="18"/>
  <c r="M175" i="18"/>
  <c r="L175" i="18"/>
  <c r="K175" i="18"/>
  <c r="J175" i="18"/>
  <c r="I175" i="18"/>
  <c r="H175" i="18"/>
  <c r="G175" i="18"/>
  <c r="F175" i="18"/>
  <c r="E175" i="18"/>
  <c r="D175" i="18"/>
  <c r="C175" i="18"/>
  <c r="O174" i="18"/>
  <c r="N174" i="18"/>
  <c r="M174" i="18"/>
  <c r="L174" i="18"/>
  <c r="K174" i="18"/>
  <c r="J174" i="18"/>
  <c r="I174" i="18"/>
  <c r="H174" i="18"/>
  <c r="G174" i="18"/>
  <c r="F174" i="18"/>
  <c r="E174" i="18"/>
  <c r="D174" i="18"/>
  <c r="C174" i="18"/>
  <c r="O173" i="18"/>
  <c r="N173" i="18"/>
  <c r="M173" i="18"/>
  <c r="L173" i="18"/>
  <c r="K173" i="18"/>
  <c r="J173" i="18"/>
  <c r="I173" i="18"/>
  <c r="H173" i="18"/>
  <c r="G173" i="18"/>
  <c r="F173" i="18"/>
  <c r="E173" i="18"/>
  <c r="D173" i="18"/>
  <c r="C173" i="18"/>
  <c r="O172" i="18"/>
  <c r="N172" i="18"/>
  <c r="M172" i="18"/>
  <c r="L172" i="18"/>
  <c r="K172" i="18"/>
  <c r="J172" i="18"/>
  <c r="I172" i="18"/>
  <c r="H172" i="18"/>
  <c r="G172" i="18"/>
  <c r="F172" i="18"/>
  <c r="E172" i="18"/>
  <c r="D172" i="18"/>
  <c r="C172" i="18"/>
  <c r="O171" i="18"/>
  <c r="N171" i="18"/>
  <c r="M171" i="18"/>
  <c r="L171" i="18"/>
  <c r="K171" i="18"/>
  <c r="J171" i="18"/>
  <c r="I171" i="18"/>
  <c r="H171" i="18"/>
  <c r="G171" i="18"/>
  <c r="F171" i="18"/>
  <c r="E171" i="18"/>
  <c r="D171" i="18"/>
  <c r="C171" i="18"/>
  <c r="O170" i="18"/>
  <c r="N170" i="18"/>
  <c r="M170" i="18"/>
  <c r="L170" i="18"/>
  <c r="K170" i="18"/>
  <c r="J170" i="18"/>
  <c r="I170" i="18"/>
  <c r="H170" i="18"/>
  <c r="G170" i="18"/>
  <c r="F170" i="18"/>
  <c r="E170" i="18"/>
  <c r="D170" i="18"/>
  <c r="C170" i="18"/>
  <c r="O169" i="18"/>
  <c r="N169" i="18"/>
  <c r="M169" i="18"/>
  <c r="L169" i="18"/>
  <c r="K169" i="18"/>
  <c r="J169" i="18"/>
  <c r="I169" i="18"/>
  <c r="H169" i="18"/>
  <c r="G169" i="18"/>
  <c r="F169" i="18"/>
  <c r="E169" i="18"/>
  <c r="D169" i="18"/>
  <c r="C169" i="18"/>
  <c r="O168" i="18"/>
  <c r="N168" i="18"/>
  <c r="M168" i="18"/>
  <c r="L168" i="18"/>
  <c r="K168" i="18"/>
  <c r="J168" i="18"/>
  <c r="I168" i="18"/>
  <c r="H168" i="18"/>
  <c r="G168" i="18"/>
  <c r="F168" i="18"/>
  <c r="E168" i="18"/>
  <c r="D168" i="18"/>
  <c r="C168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O165" i="18"/>
  <c r="N165" i="18"/>
  <c r="M165" i="18"/>
  <c r="L165" i="18"/>
  <c r="K165" i="18"/>
  <c r="J165" i="18"/>
  <c r="I165" i="18"/>
  <c r="H165" i="18"/>
  <c r="G165" i="18"/>
  <c r="F165" i="18"/>
  <c r="E165" i="18"/>
  <c r="D165" i="18"/>
  <c r="C165" i="18"/>
  <c r="O164" i="18"/>
  <c r="N164" i="18"/>
  <c r="M164" i="18"/>
  <c r="L164" i="18"/>
  <c r="K164" i="18"/>
  <c r="J164" i="18"/>
  <c r="I164" i="18"/>
  <c r="H164" i="18"/>
  <c r="G164" i="18"/>
  <c r="F164" i="18"/>
  <c r="E164" i="18"/>
  <c r="D164" i="18"/>
  <c r="C164" i="18"/>
  <c r="O163" i="18"/>
  <c r="N163" i="18"/>
  <c r="M163" i="18"/>
  <c r="L163" i="18"/>
  <c r="K163" i="18"/>
  <c r="J163" i="18"/>
  <c r="I163" i="18"/>
  <c r="H163" i="18"/>
  <c r="G163" i="18"/>
  <c r="F163" i="18"/>
  <c r="E163" i="18"/>
  <c r="D163" i="18"/>
  <c r="C163" i="18"/>
  <c r="O162" i="18"/>
  <c r="N162" i="18"/>
  <c r="M162" i="18"/>
  <c r="L162" i="18"/>
  <c r="K162" i="18"/>
  <c r="J162" i="18"/>
  <c r="I162" i="18"/>
  <c r="H162" i="18"/>
  <c r="G162" i="18"/>
  <c r="F162" i="18"/>
  <c r="E162" i="18"/>
  <c r="D162" i="18"/>
  <c r="C162" i="18"/>
  <c r="O161" i="18"/>
  <c r="N161" i="18"/>
  <c r="M161" i="18"/>
  <c r="L161" i="18"/>
  <c r="K161" i="18"/>
  <c r="J161" i="18"/>
  <c r="I161" i="18"/>
  <c r="H161" i="18"/>
  <c r="G161" i="18"/>
  <c r="F161" i="18"/>
  <c r="E161" i="18"/>
  <c r="D161" i="18"/>
  <c r="C161" i="18"/>
  <c r="O160" i="18"/>
  <c r="N160" i="18"/>
  <c r="M160" i="18"/>
  <c r="L160" i="18"/>
  <c r="K160" i="18"/>
  <c r="J160" i="18"/>
  <c r="I160" i="18"/>
  <c r="H160" i="18"/>
  <c r="G160" i="18"/>
  <c r="F160" i="18"/>
  <c r="E160" i="18"/>
  <c r="D160" i="18"/>
  <c r="C160" i="18"/>
  <c r="O159" i="18"/>
  <c r="N159" i="18"/>
  <c r="M159" i="18"/>
  <c r="L159" i="18"/>
  <c r="K159" i="18"/>
  <c r="J159" i="18"/>
  <c r="I159" i="18"/>
  <c r="H159" i="18"/>
  <c r="G159" i="18"/>
  <c r="F159" i="18"/>
  <c r="E159" i="18"/>
  <c r="D159" i="18"/>
  <c r="C159" i="18"/>
  <c r="O158" i="18"/>
  <c r="N158" i="18"/>
  <c r="M158" i="18"/>
  <c r="L158" i="18"/>
  <c r="K158" i="18"/>
  <c r="J158" i="18"/>
  <c r="I158" i="18"/>
  <c r="H158" i="18"/>
  <c r="G158" i="18"/>
  <c r="F158" i="18"/>
  <c r="E158" i="18"/>
  <c r="D158" i="18"/>
  <c r="C158" i="18"/>
  <c r="O157" i="18"/>
  <c r="N157" i="18"/>
  <c r="M157" i="18"/>
  <c r="L157" i="18"/>
  <c r="K157" i="18"/>
  <c r="J157" i="18"/>
  <c r="I157" i="18"/>
  <c r="H157" i="18"/>
  <c r="G157" i="18"/>
  <c r="F157" i="18"/>
  <c r="E157" i="18"/>
  <c r="D157" i="18"/>
  <c r="C157" i="18"/>
  <c r="O156" i="18"/>
  <c r="N156" i="18"/>
  <c r="M156" i="18"/>
  <c r="L156" i="18"/>
  <c r="K156" i="18"/>
  <c r="J156" i="18"/>
  <c r="I156" i="18"/>
  <c r="H156" i="18"/>
  <c r="G156" i="18"/>
  <c r="F156" i="18"/>
  <c r="E156" i="18"/>
  <c r="D156" i="18"/>
  <c r="C156" i="18"/>
  <c r="O155" i="18"/>
  <c r="N155" i="18"/>
  <c r="M155" i="18"/>
  <c r="L155" i="18"/>
  <c r="K155" i="18"/>
  <c r="J155" i="18"/>
  <c r="I155" i="18"/>
  <c r="H155" i="18"/>
  <c r="G155" i="18"/>
  <c r="F155" i="18"/>
  <c r="E155" i="18"/>
  <c r="D155" i="18"/>
  <c r="C155" i="18"/>
  <c r="O154" i="18"/>
  <c r="N154" i="18"/>
  <c r="M154" i="18"/>
  <c r="L154" i="18"/>
  <c r="K154" i="18"/>
  <c r="J154" i="18"/>
  <c r="I154" i="18"/>
  <c r="H154" i="18"/>
  <c r="G154" i="18"/>
  <c r="F154" i="18"/>
  <c r="E154" i="18"/>
  <c r="D154" i="18"/>
  <c r="C154" i="18"/>
  <c r="O153" i="18"/>
  <c r="N153" i="18"/>
  <c r="M153" i="18"/>
  <c r="L153" i="18"/>
  <c r="K153" i="18"/>
  <c r="J153" i="18"/>
  <c r="I153" i="18"/>
  <c r="H153" i="18"/>
  <c r="G153" i="18"/>
  <c r="F153" i="18"/>
  <c r="E153" i="18"/>
  <c r="D153" i="18"/>
  <c r="C153" i="18"/>
  <c r="O152" i="18"/>
  <c r="N152" i="18"/>
  <c r="M152" i="18"/>
  <c r="L152" i="18"/>
  <c r="K152" i="18"/>
  <c r="J152" i="18"/>
  <c r="I152" i="18"/>
  <c r="H152" i="18"/>
  <c r="G152" i="18"/>
  <c r="F152" i="18"/>
  <c r="E152" i="18"/>
  <c r="D152" i="18"/>
  <c r="C152" i="18"/>
  <c r="O151" i="18"/>
  <c r="N151" i="18"/>
  <c r="M151" i="18"/>
  <c r="L151" i="18"/>
  <c r="K151" i="18"/>
  <c r="J151" i="18"/>
  <c r="I151" i="18"/>
  <c r="H151" i="18"/>
  <c r="G151" i="18"/>
  <c r="F151" i="18"/>
  <c r="E151" i="18"/>
  <c r="D151" i="18"/>
  <c r="C151" i="18"/>
  <c r="O150" i="18"/>
  <c r="N150" i="18"/>
  <c r="M150" i="18"/>
  <c r="L150" i="18"/>
  <c r="K150" i="18"/>
  <c r="J150" i="18"/>
  <c r="I150" i="18"/>
  <c r="H150" i="18"/>
  <c r="G150" i="18"/>
  <c r="F150" i="18"/>
  <c r="E150" i="18"/>
  <c r="D150" i="18"/>
  <c r="C150" i="18"/>
  <c r="O149" i="18"/>
  <c r="N149" i="18"/>
  <c r="M149" i="18"/>
  <c r="L149" i="18"/>
  <c r="K149" i="18"/>
  <c r="J149" i="18"/>
  <c r="I149" i="18"/>
  <c r="H149" i="18"/>
  <c r="G149" i="18"/>
  <c r="F149" i="18"/>
  <c r="E149" i="18"/>
  <c r="D149" i="18"/>
  <c r="C149" i="18"/>
  <c r="O148" i="18"/>
  <c r="N148" i="18"/>
  <c r="M148" i="18"/>
  <c r="L148" i="18"/>
  <c r="K148" i="18"/>
  <c r="J148" i="18"/>
  <c r="I148" i="18"/>
  <c r="H148" i="18"/>
  <c r="G148" i="18"/>
  <c r="F148" i="18"/>
  <c r="E148" i="18"/>
  <c r="D148" i="18"/>
  <c r="C148" i="18"/>
  <c r="O147" i="18"/>
  <c r="N147" i="18"/>
  <c r="M147" i="18"/>
  <c r="L147" i="18"/>
  <c r="K147" i="18"/>
  <c r="J147" i="18"/>
  <c r="I147" i="18"/>
  <c r="H147" i="18"/>
  <c r="G147" i="18"/>
  <c r="F147" i="18"/>
  <c r="E147" i="18"/>
  <c r="D147" i="18"/>
  <c r="C147" i="18"/>
  <c r="O146" i="18"/>
  <c r="N146" i="18"/>
  <c r="M146" i="18"/>
  <c r="L146" i="18"/>
  <c r="K146" i="18"/>
  <c r="J146" i="18"/>
  <c r="I146" i="18"/>
  <c r="H146" i="18"/>
  <c r="G146" i="18"/>
  <c r="F146" i="18"/>
  <c r="E146" i="18"/>
  <c r="D146" i="18"/>
  <c r="C146" i="18"/>
  <c r="O145" i="18"/>
  <c r="N145" i="18"/>
  <c r="M145" i="18"/>
  <c r="L145" i="18"/>
  <c r="K145" i="18"/>
  <c r="J145" i="18"/>
  <c r="I145" i="18"/>
  <c r="H145" i="18"/>
  <c r="G145" i="18"/>
  <c r="F145" i="18"/>
  <c r="E145" i="18"/>
  <c r="D145" i="18"/>
  <c r="C145" i="18"/>
  <c r="O144" i="18"/>
  <c r="N144" i="18"/>
  <c r="M144" i="18"/>
  <c r="L144" i="18"/>
  <c r="K144" i="18"/>
  <c r="J144" i="18"/>
  <c r="I144" i="18"/>
  <c r="H144" i="18"/>
  <c r="G144" i="18"/>
  <c r="F144" i="18"/>
  <c r="E144" i="18"/>
  <c r="D144" i="18"/>
  <c r="C144" i="18"/>
  <c r="O143" i="18"/>
  <c r="N143" i="18"/>
  <c r="M143" i="18"/>
  <c r="L143" i="18"/>
  <c r="K143" i="18"/>
  <c r="J143" i="18"/>
  <c r="I143" i="18"/>
  <c r="H143" i="18"/>
  <c r="G143" i="18"/>
  <c r="F143" i="18"/>
  <c r="E143" i="18"/>
  <c r="D143" i="18"/>
  <c r="C143" i="18"/>
  <c r="O142" i="18"/>
  <c r="N142" i="18"/>
  <c r="M142" i="18"/>
  <c r="L142" i="18"/>
  <c r="K142" i="18"/>
  <c r="J142" i="18"/>
  <c r="I142" i="18"/>
  <c r="H142" i="18"/>
  <c r="G142" i="18"/>
  <c r="F142" i="18"/>
  <c r="E142" i="18"/>
  <c r="D142" i="18"/>
  <c r="C142" i="18"/>
  <c r="O141" i="18"/>
  <c r="N141" i="18"/>
  <c r="M141" i="18"/>
  <c r="L141" i="18"/>
  <c r="K141" i="18"/>
  <c r="J141" i="18"/>
  <c r="I141" i="18"/>
  <c r="H141" i="18"/>
  <c r="G141" i="18"/>
  <c r="F141" i="18"/>
  <c r="E141" i="18"/>
  <c r="D141" i="18"/>
  <c r="C141" i="18"/>
  <c r="AE140" i="18"/>
  <c r="M140" i="18" s="1"/>
  <c r="AD140" i="18"/>
  <c r="L140" i="18" s="1"/>
  <c r="AC140" i="18"/>
  <c r="K140" i="18" s="1"/>
  <c r="AB140" i="18"/>
  <c r="J138" i="18" s="1"/>
  <c r="AA140" i="18"/>
  <c r="I140" i="18" s="1"/>
  <c r="Z140" i="18"/>
  <c r="Y140" i="18"/>
  <c r="X140" i="18"/>
  <c r="F140" i="18" s="1"/>
  <c r="W140" i="18"/>
  <c r="E140" i="18" s="1"/>
  <c r="V140" i="18"/>
  <c r="U140" i="18"/>
  <c r="C140" i="18" s="1"/>
  <c r="AG139" i="18"/>
  <c r="AF139" i="18"/>
  <c r="AE139" i="18"/>
  <c r="AD139" i="18"/>
  <c r="AC139" i="18"/>
  <c r="AB139" i="18"/>
  <c r="AA139" i="18"/>
  <c r="Z139" i="18"/>
  <c r="Y139" i="18"/>
  <c r="X139" i="18"/>
  <c r="W139" i="18"/>
  <c r="V139" i="18"/>
  <c r="U139" i="18"/>
  <c r="AG138" i="18"/>
  <c r="AF138" i="18"/>
  <c r="AE138" i="18"/>
  <c r="AD138" i="18"/>
  <c r="AC138" i="18"/>
  <c r="AB138" i="18"/>
  <c r="AA138" i="18"/>
  <c r="Z138" i="18"/>
  <c r="Y138" i="18"/>
  <c r="X138" i="18"/>
  <c r="W138" i="18"/>
  <c r="V138" i="18"/>
  <c r="U138" i="18"/>
  <c r="AG137" i="18"/>
  <c r="AF137" i="18"/>
  <c r="AE137" i="18"/>
  <c r="AD137" i="18"/>
  <c r="AC137" i="18"/>
  <c r="AB137" i="18"/>
  <c r="AA137" i="18"/>
  <c r="Z137" i="18"/>
  <c r="Y137" i="18"/>
  <c r="X137" i="18"/>
  <c r="W137" i="18"/>
  <c r="V137" i="18"/>
  <c r="U137" i="18"/>
  <c r="AG136" i="18"/>
  <c r="AF136" i="18"/>
  <c r="AE136" i="18"/>
  <c r="AD136" i="18"/>
  <c r="AC136" i="18"/>
  <c r="AB136" i="18"/>
  <c r="AA136" i="18"/>
  <c r="Z136" i="18"/>
  <c r="Y136" i="18"/>
  <c r="X136" i="18"/>
  <c r="W136" i="18"/>
  <c r="V136" i="18"/>
  <c r="U136" i="18"/>
  <c r="AG135" i="18"/>
  <c r="AF135" i="18"/>
  <c r="AE135" i="18"/>
  <c r="AD135" i="18"/>
  <c r="AC135" i="18"/>
  <c r="AB135" i="18"/>
  <c r="AA135" i="18"/>
  <c r="Z135" i="18"/>
  <c r="Y135" i="18"/>
  <c r="X135" i="18"/>
  <c r="W135" i="18"/>
  <c r="V135" i="18"/>
  <c r="U135" i="18"/>
  <c r="J221" i="18" l="1"/>
  <c r="Q357" i="18"/>
  <c r="Q358" i="18"/>
  <c r="Q359" i="18"/>
  <c r="P360" i="18"/>
  <c r="O297" i="18"/>
  <c r="Q356" i="18"/>
  <c r="Q360" i="18"/>
  <c r="Q361" i="18"/>
  <c r="P362" i="18"/>
  <c r="Q6" i="25"/>
  <c r="S348" i="18"/>
  <c r="Q351" i="18"/>
  <c r="Q352" i="18"/>
  <c r="Q353" i="18"/>
  <c r="Q354" i="18"/>
  <c r="Q355" i="18"/>
  <c r="AH350" i="18"/>
  <c r="P350" i="18" s="1"/>
  <c r="O4" i="25"/>
  <c r="I220" i="18"/>
  <c r="Q8" i="25"/>
  <c r="AI344" i="18"/>
  <c r="Q341" i="18" s="1"/>
  <c r="J220" i="18"/>
  <c r="K223" i="18"/>
  <c r="S349" i="18"/>
  <c r="O6" i="25"/>
  <c r="AH344" i="18"/>
  <c r="P344" i="18" s="1"/>
  <c r="O7" i="25"/>
  <c r="O8" i="25"/>
  <c r="P359" i="18"/>
  <c r="J6" i="25"/>
  <c r="H8" i="25"/>
  <c r="J5" i="25"/>
  <c r="J8" i="25"/>
  <c r="H6" i="25"/>
  <c r="Q5" i="25"/>
  <c r="Q7" i="25"/>
  <c r="Q9" i="25"/>
  <c r="H5" i="25"/>
  <c r="H4" i="25"/>
  <c r="G6" i="25"/>
  <c r="G5" i="25"/>
  <c r="G8" i="25"/>
  <c r="G7" i="25"/>
  <c r="G4" i="25"/>
  <c r="I4" i="25"/>
  <c r="J7" i="25"/>
  <c r="I5" i="25"/>
  <c r="I7" i="25"/>
  <c r="I6" i="25"/>
  <c r="I8" i="25"/>
  <c r="E8" i="25"/>
  <c r="E9" i="25"/>
  <c r="E4" i="25"/>
  <c r="E5" i="25"/>
  <c r="E7" i="25"/>
  <c r="E6" i="25"/>
  <c r="F9" i="25"/>
  <c r="F5" i="25"/>
  <c r="F4" i="25"/>
  <c r="F6" i="25"/>
  <c r="F7" i="25"/>
  <c r="F8" i="25"/>
  <c r="N9" i="25"/>
  <c r="N8" i="25"/>
  <c r="N6" i="25"/>
  <c r="N7" i="25"/>
  <c r="N5" i="25"/>
  <c r="N4" i="25"/>
  <c r="K6" i="25"/>
  <c r="K4" i="25"/>
  <c r="K7" i="25"/>
  <c r="K8" i="25"/>
  <c r="K5" i="25"/>
  <c r="K9" i="25"/>
  <c r="C6" i="25"/>
  <c r="C7" i="25"/>
  <c r="C8" i="25"/>
  <c r="C4" i="25"/>
  <c r="C9" i="25"/>
  <c r="C5" i="25"/>
  <c r="M8" i="25"/>
  <c r="M6" i="25"/>
  <c r="M9" i="25"/>
  <c r="M7" i="25"/>
  <c r="M4" i="25"/>
  <c r="M5" i="25"/>
  <c r="L7" i="25"/>
  <c r="L4" i="25"/>
  <c r="L8" i="25"/>
  <c r="L6" i="25"/>
  <c r="L9" i="25"/>
  <c r="L5" i="25"/>
  <c r="D7" i="25"/>
  <c r="D8" i="25"/>
  <c r="D4" i="25"/>
  <c r="D9" i="25"/>
  <c r="D5" i="25"/>
  <c r="D6" i="25"/>
  <c r="O298" i="18"/>
  <c r="N299" i="18"/>
  <c r="O301" i="18"/>
  <c r="M299" i="18"/>
  <c r="E298" i="18"/>
  <c r="M297" i="18"/>
  <c r="M301" i="18"/>
  <c r="F299" i="18"/>
  <c r="E301" i="18"/>
  <c r="E299" i="18"/>
  <c r="E300" i="18"/>
  <c r="C220" i="18"/>
  <c r="K220" i="18"/>
  <c r="M135" i="18"/>
  <c r="M138" i="18"/>
  <c r="L222" i="18"/>
  <c r="P361" i="18"/>
  <c r="E222" i="18"/>
  <c r="M300" i="18"/>
  <c r="Q346" i="18"/>
  <c r="P347" i="18"/>
  <c r="P351" i="18"/>
  <c r="AJ344" i="18"/>
  <c r="J223" i="18"/>
  <c r="R345" i="18"/>
  <c r="R346" i="18"/>
  <c r="Q347" i="18"/>
  <c r="Q348" i="18"/>
  <c r="Q349" i="18"/>
  <c r="Q350" i="18"/>
  <c r="P352" i="18"/>
  <c r="P356" i="18"/>
  <c r="P357" i="18"/>
  <c r="AK344" i="18"/>
  <c r="S339" i="18" s="1"/>
  <c r="D298" i="18"/>
  <c r="C222" i="18"/>
  <c r="G297" i="18"/>
  <c r="S345" i="18"/>
  <c r="S346" i="18"/>
  <c r="R347" i="18"/>
  <c r="R348" i="18"/>
  <c r="R349" i="18"/>
  <c r="AK338" i="18"/>
  <c r="S335" i="18" s="1"/>
  <c r="S342" i="18"/>
  <c r="P346" i="18"/>
  <c r="P353" i="18"/>
  <c r="P340" i="18"/>
  <c r="P354" i="18"/>
  <c r="AH338" i="18"/>
  <c r="P334" i="18" s="1"/>
  <c r="S334" i="18"/>
  <c r="Q343" i="18"/>
  <c r="P345" i="18"/>
  <c r="P348" i="18"/>
  <c r="P349" i="18"/>
  <c r="P342" i="18"/>
  <c r="P343" i="18"/>
  <c r="AJ156" i="18"/>
  <c r="AJ150" i="18" s="1"/>
  <c r="AJ144" i="18" s="1"/>
  <c r="AJ138" i="18" s="1"/>
  <c r="AK153" i="18"/>
  <c r="AK147" i="18" s="1"/>
  <c r="AK141" i="18" s="1"/>
  <c r="AK135" i="18" s="1"/>
  <c r="AK157" i="18"/>
  <c r="AK151" i="18" s="1"/>
  <c r="AK145" i="18" s="1"/>
  <c r="AK139" i="18" s="1"/>
  <c r="AH153" i="18"/>
  <c r="AH147" i="18" s="1"/>
  <c r="AH141" i="18" s="1"/>
  <c r="AH135" i="18" s="1"/>
  <c r="AH156" i="18"/>
  <c r="AH150" i="18" s="1"/>
  <c r="AH144" i="18" s="1"/>
  <c r="AH138" i="18" s="1"/>
  <c r="AI153" i="18"/>
  <c r="AI147" i="18" s="1"/>
  <c r="AI141" i="18" s="1"/>
  <c r="AI135" i="18" s="1"/>
  <c r="AI156" i="18"/>
  <c r="AI150" i="18" s="1"/>
  <c r="AI144" i="18" s="1"/>
  <c r="AI138" i="18" s="1"/>
  <c r="AH157" i="18"/>
  <c r="AH151" i="18" s="1"/>
  <c r="AH145" i="18" s="1"/>
  <c r="AH139" i="18" s="1"/>
  <c r="AH155" i="18"/>
  <c r="AH149" i="18" s="1"/>
  <c r="AH143" i="18" s="1"/>
  <c r="AH137" i="18" s="1"/>
  <c r="AI157" i="18"/>
  <c r="AI151" i="18" s="1"/>
  <c r="AI145" i="18" s="1"/>
  <c r="AI139" i="18" s="1"/>
  <c r="AI155" i="18"/>
  <c r="AI149" i="18" s="1"/>
  <c r="AI143" i="18" s="1"/>
  <c r="AI137" i="18" s="1"/>
  <c r="AJ157" i="18"/>
  <c r="AJ151" i="18" s="1"/>
  <c r="AJ145" i="18" s="1"/>
  <c r="AJ139" i="18" s="1"/>
  <c r="M222" i="18"/>
  <c r="I297" i="18"/>
  <c r="J219" i="18"/>
  <c r="F301" i="18"/>
  <c r="N301" i="18"/>
  <c r="G302" i="18"/>
  <c r="I222" i="18"/>
  <c r="F297" i="18"/>
  <c r="E137" i="18"/>
  <c r="F300" i="18"/>
  <c r="N300" i="18"/>
  <c r="N297" i="18"/>
  <c r="C300" i="18"/>
  <c r="K300" i="18"/>
  <c r="E219" i="18"/>
  <c r="F298" i="18"/>
  <c r="N298" i="18"/>
  <c r="O299" i="18"/>
  <c r="G300" i="18"/>
  <c r="O300" i="18"/>
  <c r="N138" i="18"/>
  <c r="E136" i="18"/>
  <c r="M219" i="18"/>
  <c r="M220" i="18"/>
  <c r="M221" i="18"/>
  <c r="D222" i="18"/>
  <c r="I223" i="18"/>
  <c r="M224" i="18"/>
  <c r="F223" i="18"/>
  <c r="I300" i="18"/>
  <c r="D136" i="18"/>
  <c r="E220" i="18"/>
  <c r="E297" i="18"/>
  <c r="M298" i="18"/>
  <c r="AI154" i="18"/>
  <c r="AI148" i="18" s="1"/>
  <c r="AI142" i="18" s="1"/>
  <c r="AI136" i="18" s="1"/>
  <c r="AJ147" i="18"/>
  <c r="AJ141" i="18" s="1"/>
  <c r="AJ135" i="18" s="1"/>
  <c r="AJ149" i="18"/>
  <c r="AJ143" i="18" s="1"/>
  <c r="AJ137" i="18" s="1"/>
  <c r="C223" i="18"/>
  <c r="K222" i="18"/>
  <c r="AJ154" i="18"/>
  <c r="AJ148" i="18" s="1"/>
  <c r="AJ142" i="18" s="1"/>
  <c r="AJ136" i="18" s="1"/>
  <c r="E221" i="18"/>
  <c r="AH154" i="18"/>
  <c r="AH148" i="18" s="1"/>
  <c r="AH142" i="18" s="1"/>
  <c r="AH136" i="18" s="1"/>
  <c r="AK149" i="18"/>
  <c r="AK143" i="18" s="1"/>
  <c r="AK137" i="18" s="1"/>
  <c r="E223" i="18"/>
  <c r="M223" i="18"/>
  <c r="AK154" i="18"/>
  <c r="AK148" i="18" s="1"/>
  <c r="AK142" i="18" s="1"/>
  <c r="AK136" i="18" s="1"/>
  <c r="AK156" i="18"/>
  <c r="AK150" i="18" s="1"/>
  <c r="AK144" i="18" s="1"/>
  <c r="AK138" i="18" s="1"/>
  <c r="L139" i="18"/>
  <c r="J136" i="18"/>
  <c r="K139" i="18"/>
  <c r="D140" i="18"/>
  <c r="C139" i="18"/>
  <c r="D139" i="18"/>
  <c r="H139" i="18"/>
  <c r="C137" i="18"/>
  <c r="C136" i="18"/>
  <c r="C135" i="18"/>
  <c r="D135" i="18"/>
  <c r="C138" i="18"/>
  <c r="K135" i="18"/>
  <c r="K137" i="18"/>
  <c r="K136" i="18"/>
  <c r="L135" i="18"/>
  <c r="K138" i="18"/>
  <c r="L138" i="18"/>
  <c r="E139" i="18"/>
  <c r="E135" i="18"/>
  <c r="E138" i="18"/>
  <c r="O137" i="18"/>
  <c r="G139" i="18"/>
  <c r="O222" i="18"/>
  <c r="I219" i="18"/>
  <c r="O220" i="18"/>
  <c r="I221" i="18"/>
  <c r="I224" i="18"/>
  <c r="I298" i="18"/>
  <c r="K302" i="18"/>
  <c r="D300" i="18"/>
  <c r="L300" i="18"/>
  <c r="I302" i="18"/>
  <c r="K298" i="18"/>
  <c r="G222" i="18"/>
  <c r="K219" i="18"/>
  <c r="G220" i="18"/>
  <c r="K224" i="18"/>
  <c r="L298" i="18"/>
  <c r="H300" i="18"/>
  <c r="C302" i="18"/>
  <c r="M302" i="18"/>
  <c r="H222" i="18"/>
  <c r="H220" i="18"/>
  <c r="C298" i="18"/>
  <c r="I299" i="18"/>
  <c r="D302" i="18"/>
  <c r="L136" i="18"/>
  <c r="D137" i="18"/>
  <c r="L137" i="18"/>
  <c r="F138" i="18"/>
  <c r="O136" i="18"/>
  <c r="M136" i="18"/>
  <c r="M137" i="18"/>
  <c r="M139" i="18"/>
  <c r="O139" i="18"/>
  <c r="O140" i="18"/>
  <c r="O138" i="18"/>
  <c r="O135" i="18"/>
  <c r="J140" i="18"/>
  <c r="G138" i="18"/>
  <c r="G140" i="18"/>
  <c r="G136" i="18"/>
  <c r="G135" i="18"/>
  <c r="G137" i="18"/>
  <c r="I136" i="18"/>
  <c r="D138" i="18"/>
  <c r="I138" i="18"/>
  <c r="I135" i="18"/>
  <c r="I139" i="18"/>
  <c r="G219" i="18"/>
  <c r="O219" i="18"/>
  <c r="G223" i="18"/>
  <c r="O223" i="18"/>
  <c r="C297" i="18"/>
  <c r="K297" i="18"/>
  <c r="C301" i="18"/>
  <c r="K301" i="18"/>
  <c r="J135" i="18"/>
  <c r="H136" i="18"/>
  <c r="F137" i="18"/>
  <c r="N137" i="18"/>
  <c r="J139" i="18"/>
  <c r="H140" i="18"/>
  <c r="H219" i="18"/>
  <c r="F220" i="18"/>
  <c r="N220" i="18"/>
  <c r="D221" i="18"/>
  <c r="L221" i="18"/>
  <c r="H223" i="18"/>
  <c r="F224" i="18"/>
  <c r="N224" i="18"/>
  <c r="D297" i="18"/>
  <c r="L297" i="18"/>
  <c r="J298" i="18"/>
  <c r="H299" i="18"/>
  <c r="D301" i="18"/>
  <c r="L301" i="18"/>
  <c r="J302" i="18"/>
  <c r="G221" i="18"/>
  <c r="O221" i="18"/>
  <c r="C299" i="18"/>
  <c r="J137" i="18"/>
  <c r="H138" i="18"/>
  <c r="F139" i="18"/>
  <c r="N139" i="18"/>
  <c r="D219" i="18"/>
  <c r="L219" i="18"/>
  <c r="H221" i="18"/>
  <c r="F222" i="18"/>
  <c r="N222" i="18"/>
  <c r="D223" i="18"/>
  <c r="L223" i="18"/>
  <c r="H297" i="18"/>
  <c r="D299" i="18"/>
  <c r="L299" i="18"/>
  <c r="J300" i="18"/>
  <c r="H301" i="18"/>
  <c r="F221" i="18"/>
  <c r="N221" i="18"/>
  <c r="J299" i="18"/>
  <c r="I137" i="18"/>
  <c r="K299" i="18"/>
  <c r="F135" i="18"/>
  <c r="H137" i="18"/>
  <c r="N135" i="18"/>
  <c r="H135" i="18"/>
  <c r="F136" i="18"/>
  <c r="N136" i="18"/>
  <c r="F219" i="18"/>
  <c r="N219" i="18"/>
  <c r="D220" i="18"/>
  <c r="L220" i="18"/>
  <c r="J297" i="18"/>
  <c r="H298" i="18"/>
  <c r="U133" i="23"/>
  <c r="T134" i="23"/>
  <c r="T133" i="23"/>
  <c r="T132" i="23"/>
  <c r="T131" i="23"/>
  <c r="T130" i="23"/>
  <c r="T129" i="23"/>
  <c r="AI338" i="18" l="1"/>
  <c r="P339" i="18"/>
  <c r="Q342" i="18"/>
  <c r="P341" i="18"/>
  <c r="S341" i="18"/>
  <c r="P337" i="18"/>
  <c r="Q336" i="18"/>
  <c r="Q344" i="18"/>
  <c r="Q340" i="18"/>
  <c r="Q339" i="18"/>
  <c r="Q334" i="18"/>
  <c r="S336" i="18"/>
  <c r="Q333" i="18"/>
  <c r="S343" i="18"/>
  <c r="S344" i="18"/>
  <c r="S340" i="18"/>
  <c r="R340" i="18"/>
  <c r="R342" i="18"/>
  <c r="R341" i="18"/>
  <c r="R344" i="18"/>
  <c r="AJ338" i="18"/>
  <c r="R343" i="18"/>
  <c r="R339" i="18"/>
  <c r="P338" i="18"/>
  <c r="S338" i="18"/>
  <c r="S333" i="18"/>
  <c r="AK332" i="18"/>
  <c r="S337" i="18"/>
  <c r="P333" i="18"/>
  <c r="P336" i="18"/>
  <c r="AH332" i="18"/>
  <c r="P335" i="18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E356" i="24"/>
  <c r="D356" i="24"/>
  <c r="C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E355" i="24"/>
  <c r="D355" i="24"/>
  <c r="C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E354" i="24"/>
  <c r="D354" i="24"/>
  <c r="C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E353" i="24"/>
  <c r="D353" i="24"/>
  <c r="C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E352" i="24"/>
  <c r="D352" i="24"/>
  <c r="C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E351" i="24"/>
  <c r="D351" i="24"/>
  <c r="C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E350" i="24"/>
  <c r="D350" i="24"/>
  <c r="C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E349" i="24"/>
  <c r="D349" i="24"/>
  <c r="C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E348" i="24"/>
  <c r="D348" i="24"/>
  <c r="C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E347" i="24"/>
  <c r="D347" i="24"/>
  <c r="C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E346" i="24"/>
  <c r="D346" i="24"/>
  <c r="C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E345" i="24"/>
  <c r="D345" i="24"/>
  <c r="C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E344" i="24"/>
  <c r="D344" i="24"/>
  <c r="C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E343" i="24"/>
  <c r="D343" i="24"/>
  <c r="C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E342" i="24"/>
  <c r="D342" i="24"/>
  <c r="C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E341" i="24"/>
  <c r="D341" i="24"/>
  <c r="C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E340" i="24"/>
  <c r="D340" i="24"/>
  <c r="C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E339" i="24"/>
  <c r="D339" i="24"/>
  <c r="C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E338" i="24"/>
  <c r="D338" i="24"/>
  <c r="C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E337" i="24"/>
  <c r="D337" i="24"/>
  <c r="C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E336" i="24"/>
  <c r="D336" i="24"/>
  <c r="C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E335" i="24"/>
  <c r="D335" i="24"/>
  <c r="C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E334" i="24"/>
  <c r="D334" i="24"/>
  <c r="C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E333" i="24"/>
  <c r="D333" i="24"/>
  <c r="C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E332" i="24"/>
  <c r="D332" i="24"/>
  <c r="C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E331" i="24"/>
  <c r="D331" i="24"/>
  <c r="C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E330" i="24"/>
  <c r="D330" i="24"/>
  <c r="C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E329" i="24"/>
  <c r="D329" i="24"/>
  <c r="C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E328" i="24"/>
  <c r="D328" i="24"/>
  <c r="C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E327" i="24"/>
  <c r="D327" i="24"/>
  <c r="C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E326" i="24"/>
  <c r="D326" i="24"/>
  <c r="C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E325" i="24"/>
  <c r="D325" i="24"/>
  <c r="C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E324" i="24"/>
  <c r="D324" i="24"/>
  <c r="C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E323" i="24"/>
  <c r="D323" i="24"/>
  <c r="C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E322" i="24"/>
  <c r="D322" i="24"/>
  <c r="C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E321" i="24"/>
  <c r="D321" i="24"/>
  <c r="C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E320" i="24"/>
  <c r="D320" i="24"/>
  <c r="C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E319" i="24"/>
  <c r="D319" i="24"/>
  <c r="C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E318" i="24"/>
  <c r="D318" i="24"/>
  <c r="C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E317" i="24"/>
  <c r="D317" i="24"/>
  <c r="C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E316" i="24"/>
  <c r="D316" i="24"/>
  <c r="C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E315" i="24"/>
  <c r="D315" i="24"/>
  <c r="C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E314" i="24"/>
  <c r="D314" i="24"/>
  <c r="C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E313" i="24"/>
  <c r="D313" i="24"/>
  <c r="C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E312" i="24"/>
  <c r="D312" i="24"/>
  <c r="C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E311" i="24"/>
  <c r="D311" i="24"/>
  <c r="C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E310" i="24"/>
  <c r="D310" i="24"/>
  <c r="C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E309" i="24"/>
  <c r="D309" i="24"/>
  <c r="C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E308" i="24"/>
  <c r="D308" i="24"/>
  <c r="C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E307" i="24"/>
  <c r="D307" i="24"/>
  <c r="C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E306" i="24"/>
  <c r="D306" i="24"/>
  <c r="C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E305" i="24"/>
  <c r="D305" i="24"/>
  <c r="C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E304" i="24"/>
  <c r="D304" i="24"/>
  <c r="C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E303" i="24"/>
  <c r="D303" i="24"/>
  <c r="C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E302" i="24"/>
  <c r="D302" i="24"/>
  <c r="C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E301" i="24"/>
  <c r="D301" i="24"/>
  <c r="C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E300" i="24"/>
  <c r="D300" i="24"/>
  <c r="C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E299" i="24"/>
  <c r="D299" i="24"/>
  <c r="C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E298" i="24"/>
  <c r="D298" i="24"/>
  <c r="C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E297" i="24"/>
  <c r="D297" i="24"/>
  <c r="C297" i="24"/>
  <c r="AE296" i="24"/>
  <c r="N296" i="24" s="1"/>
  <c r="AD296" i="24"/>
  <c r="AC296" i="24"/>
  <c r="M295" i="24" s="1"/>
  <c r="AB296" i="24"/>
  <c r="L295" i="24" s="1"/>
  <c r="AA296" i="24"/>
  <c r="K291" i="24" s="1"/>
  <c r="Z296" i="24"/>
  <c r="Y296" i="24"/>
  <c r="X296" i="24"/>
  <c r="H296" i="24" s="1"/>
  <c r="W296" i="24"/>
  <c r="V296" i="24"/>
  <c r="F296" i="24" s="1"/>
  <c r="U296" i="24"/>
  <c r="T296" i="24"/>
  <c r="S296" i="24"/>
  <c r="C296" i="24" s="1"/>
  <c r="Q296" i="24"/>
  <c r="P296" i="24"/>
  <c r="O296" i="24"/>
  <c r="J296" i="24"/>
  <c r="I296" i="24"/>
  <c r="AE295" i="24"/>
  <c r="AD295" i="24"/>
  <c r="AC295" i="24"/>
  <c r="AB295" i="24"/>
  <c r="AA295" i="24"/>
  <c r="Z295" i="24"/>
  <c r="Y295" i="24"/>
  <c r="X295" i="24"/>
  <c r="W295" i="24"/>
  <c r="V295" i="24"/>
  <c r="U295" i="24"/>
  <c r="T295" i="24"/>
  <c r="S295" i="24"/>
  <c r="Q295" i="24"/>
  <c r="P295" i="24"/>
  <c r="O295" i="24"/>
  <c r="J295" i="24"/>
  <c r="AE294" i="24"/>
  <c r="AD294" i="24"/>
  <c r="AC294" i="24"/>
  <c r="AB294" i="24"/>
  <c r="AA294" i="24"/>
  <c r="Z294" i="24"/>
  <c r="Y294" i="24"/>
  <c r="X294" i="24"/>
  <c r="W294" i="24"/>
  <c r="V294" i="24"/>
  <c r="V7" i="24" s="1"/>
  <c r="U294" i="24"/>
  <c r="T294" i="24"/>
  <c r="S294" i="24"/>
  <c r="Q294" i="24"/>
  <c r="P294" i="24"/>
  <c r="O294" i="24"/>
  <c r="J294" i="24"/>
  <c r="AE293" i="24"/>
  <c r="AD293" i="24"/>
  <c r="AC293" i="24"/>
  <c r="AB293" i="24"/>
  <c r="AA293" i="24"/>
  <c r="Z293" i="24"/>
  <c r="Y293" i="24"/>
  <c r="X293" i="24"/>
  <c r="W293" i="24"/>
  <c r="V293" i="24"/>
  <c r="U293" i="24"/>
  <c r="T293" i="24"/>
  <c r="S293" i="24"/>
  <c r="Q293" i="24"/>
  <c r="P293" i="24"/>
  <c r="O293" i="24"/>
  <c r="J293" i="24"/>
  <c r="AE292" i="24"/>
  <c r="AD292" i="24"/>
  <c r="AC292" i="24"/>
  <c r="AB292" i="24"/>
  <c r="AA292" i="24"/>
  <c r="Z292" i="24"/>
  <c r="Y292" i="24"/>
  <c r="I292" i="24" s="1"/>
  <c r="X292" i="24"/>
  <c r="W292" i="24"/>
  <c r="V292" i="24"/>
  <c r="U292" i="24"/>
  <c r="T292" i="24"/>
  <c r="S292" i="24"/>
  <c r="Q292" i="24"/>
  <c r="P292" i="24"/>
  <c r="O292" i="24"/>
  <c r="J292" i="24"/>
  <c r="AE291" i="24"/>
  <c r="AD291" i="24"/>
  <c r="AC291" i="24"/>
  <c r="AB291" i="24"/>
  <c r="AA291" i="24"/>
  <c r="Z291" i="24"/>
  <c r="Y291" i="24"/>
  <c r="I291" i="24" s="1"/>
  <c r="X291" i="24"/>
  <c r="W291" i="24"/>
  <c r="V291" i="24"/>
  <c r="U291" i="24"/>
  <c r="T291" i="24"/>
  <c r="S291" i="24"/>
  <c r="Q291" i="24"/>
  <c r="P291" i="24"/>
  <c r="O291" i="24"/>
  <c r="J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E290" i="24"/>
  <c r="D290" i="24"/>
  <c r="C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E289" i="24"/>
  <c r="D289" i="24"/>
  <c r="C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E288" i="24"/>
  <c r="D288" i="24"/>
  <c r="C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E287" i="24"/>
  <c r="D287" i="24"/>
  <c r="C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E286" i="24"/>
  <c r="D286" i="24"/>
  <c r="C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E285" i="24"/>
  <c r="D285" i="24"/>
  <c r="C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E284" i="24"/>
  <c r="D284" i="24"/>
  <c r="C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E283" i="24"/>
  <c r="D283" i="24"/>
  <c r="C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E282" i="24"/>
  <c r="D282" i="24"/>
  <c r="C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E281" i="24"/>
  <c r="D281" i="24"/>
  <c r="C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E280" i="24"/>
  <c r="D280" i="24"/>
  <c r="C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E279" i="24"/>
  <c r="D279" i="24"/>
  <c r="C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E278" i="24"/>
  <c r="D278" i="24"/>
  <c r="C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E277" i="24"/>
  <c r="D277" i="24"/>
  <c r="C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E276" i="24"/>
  <c r="D276" i="24"/>
  <c r="C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E275" i="24"/>
  <c r="D275" i="24"/>
  <c r="C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E274" i="24"/>
  <c r="D274" i="24"/>
  <c r="C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E273" i="24"/>
  <c r="D273" i="24"/>
  <c r="C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E272" i="24"/>
  <c r="D272" i="24"/>
  <c r="C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E271" i="24"/>
  <c r="D271" i="24"/>
  <c r="C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E270" i="24"/>
  <c r="D270" i="24"/>
  <c r="C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E269" i="24"/>
  <c r="D269" i="24"/>
  <c r="C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E268" i="24"/>
  <c r="D268" i="24"/>
  <c r="C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E267" i="24"/>
  <c r="D267" i="24"/>
  <c r="C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E266" i="24"/>
  <c r="D266" i="24"/>
  <c r="C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E265" i="24"/>
  <c r="D265" i="24"/>
  <c r="C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E264" i="24"/>
  <c r="D264" i="24"/>
  <c r="C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E263" i="24"/>
  <c r="D263" i="24"/>
  <c r="C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E262" i="24"/>
  <c r="D262" i="24"/>
  <c r="C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E261" i="24"/>
  <c r="D261" i="24"/>
  <c r="C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E260" i="24"/>
  <c r="D260" i="24"/>
  <c r="C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E259" i="24"/>
  <c r="D259" i="24"/>
  <c r="C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E258" i="24"/>
  <c r="D258" i="24"/>
  <c r="C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E257" i="24"/>
  <c r="D257" i="24"/>
  <c r="C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E256" i="24"/>
  <c r="D256" i="24"/>
  <c r="C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E255" i="24"/>
  <c r="D255" i="24"/>
  <c r="C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E254" i="24"/>
  <c r="D254" i="24"/>
  <c r="C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E253" i="24"/>
  <c r="D253" i="24"/>
  <c r="C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E252" i="24"/>
  <c r="D252" i="24"/>
  <c r="C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E251" i="24"/>
  <c r="D251" i="24"/>
  <c r="C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E250" i="24"/>
  <c r="D250" i="24"/>
  <c r="C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E249" i="24"/>
  <c r="D249" i="24"/>
  <c r="C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E248" i="24"/>
  <c r="D248" i="24"/>
  <c r="C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E247" i="24"/>
  <c r="D247" i="24"/>
  <c r="C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E246" i="24"/>
  <c r="D246" i="24"/>
  <c r="C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E245" i="24"/>
  <c r="D245" i="24"/>
  <c r="C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E244" i="24"/>
  <c r="D244" i="24"/>
  <c r="C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E243" i="24"/>
  <c r="D243" i="24"/>
  <c r="C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E242" i="24"/>
  <c r="D242" i="24"/>
  <c r="C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E241" i="24"/>
  <c r="D241" i="24"/>
  <c r="C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E240" i="24"/>
  <c r="D240" i="24"/>
  <c r="C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E239" i="24"/>
  <c r="D239" i="24"/>
  <c r="C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E238" i="24"/>
  <c r="D238" i="24"/>
  <c r="C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E237" i="24"/>
  <c r="D237" i="24"/>
  <c r="C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E236" i="24"/>
  <c r="D236" i="24"/>
  <c r="C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E235" i="24"/>
  <c r="D235" i="24"/>
  <c r="C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E234" i="24"/>
  <c r="D234" i="24"/>
  <c r="C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E233" i="24"/>
  <c r="D233" i="24"/>
  <c r="C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E232" i="24"/>
  <c r="D232" i="24"/>
  <c r="C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E231" i="24"/>
  <c r="D231" i="24"/>
  <c r="C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E230" i="24"/>
  <c r="D230" i="24"/>
  <c r="C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E229" i="24"/>
  <c r="D229" i="24"/>
  <c r="C229" i="24"/>
  <c r="Q228" i="24"/>
  <c r="P228" i="24"/>
  <c r="O228" i="24"/>
  <c r="N228" i="24"/>
  <c r="M228" i="24"/>
  <c r="L228" i="24"/>
  <c r="K228" i="24"/>
  <c r="J228" i="24"/>
  <c r="I228" i="24"/>
  <c r="H228" i="24"/>
  <c r="G228" i="24"/>
  <c r="F228" i="24"/>
  <c r="E228" i="24"/>
  <c r="D228" i="24"/>
  <c r="C228" i="24"/>
  <c r="Q227" i="24"/>
  <c r="P227" i="24"/>
  <c r="O227" i="24"/>
  <c r="N227" i="24"/>
  <c r="M227" i="24"/>
  <c r="L227" i="24"/>
  <c r="K227" i="24"/>
  <c r="J227" i="24"/>
  <c r="I227" i="24"/>
  <c r="H227" i="24"/>
  <c r="G227" i="24"/>
  <c r="F227" i="24"/>
  <c r="E227" i="24"/>
  <c r="D227" i="24"/>
  <c r="C227" i="24"/>
  <c r="Q226" i="24"/>
  <c r="P226" i="24"/>
  <c r="O226" i="24"/>
  <c r="N226" i="24"/>
  <c r="M226" i="24"/>
  <c r="L226" i="24"/>
  <c r="K226" i="24"/>
  <c r="J226" i="24"/>
  <c r="I226" i="24"/>
  <c r="H226" i="24"/>
  <c r="G226" i="24"/>
  <c r="F226" i="24"/>
  <c r="E226" i="24"/>
  <c r="D226" i="24"/>
  <c r="C226" i="24"/>
  <c r="Q225" i="24"/>
  <c r="P225" i="24"/>
  <c r="O225" i="24"/>
  <c r="N225" i="24"/>
  <c r="M225" i="24"/>
  <c r="L225" i="24"/>
  <c r="K225" i="24"/>
  <c r="J225" i="24"/>
  <c r="I225" i="24"/>
  <c r="H225" i="24"/>
  <c r="G225" i="24"/>
  <c r="F225" i="24"/>
  <c r="E225" i="24"/>
  <c r="D225" i="24"/>
  <c r="C225" i="24"/>
  <c r="Q224" i="24"/>
  <c r="P224" i="24"/>
  <c r="O224" i="24"/>
  <c r="N224" i="24"/>
  <c r="M224" i="24"/>
  <c r="L224" i="24"/>
  <c r="K224" i="24"/>
  <c r="J224" i="24"/>
  <c r="I224" i="24"/>
  <c r="H224" i="24"/>
  <c r="G224" i="24"/>
  <c r="F224" i="24"/>
  <c r="E224" i="24"/>
  <c r="D224" i="24"/>
  <c r="C224" i="24"/>
  <c r="Q223" i="24"/>
  <c r="P223" i="24"/>
  <c r="O223" i="24"/>
  <c r="N223" i="24"/>
  <c r="M223" i="24"/>
  <c r="L223" i="24"/>
  <c r="K223" i="24"/>
  <c r="J223" i="24"/>
  <c r="I223" i="24"/>
  <c r="H223" i="24"/>
  <c r="G223" i="24"/>
  <c r="F223" i="24"/>
  <c r="E223" i="24"/>
  <c r="D223" i="24"/>
  <c r="C223" i="24"/>
  <c r="Q222" i="24"/>
  <c r="P222" i="24"/>
  <c r="O222" i="24"/>
  <c r="N222" i="24"/>
  <c r="M222" i="24"/>
  <c r="L222" i="24"/>
  <c r="K222" i="24"/>
  <c r="J222" i="24"/>
  <c r="I222" i="24"/>
  <c r="H222" i="24"/>
  <c r="G222" i="24"/>
  <c r="F222" i="24"/>
  <c r="E222" i="24"/>
  <c r="D222" i="24"/>
  <c r="C222" i="24"/>
  <c r="Q221" i="24"/>
  <c r="P221" i="24"/>
  <c r="O221" i="24"/>
  <c r="N221" i="24"/>
  <c r="M221" i="24"/>
  <c r="L221" i="24"/>
  <c r="K221" i="24"/>
  <c r="J221" i="24"/>
  <c r="I221" i="24"/>
  <c r="H221" i="24"/>
  <c r="G221" i="24"/>
  <c r="F221" i="24"/>
  <c r="E221" i="24"/>
  <c r="D221" i="24"/>
  <c r="C221" i="24"/>
  <c r="Q220" i="24"/>
  <c r="P220" i="24"/>
  <c r="O220" i="24"/>
  <c r="N220" i="24"/>
  <c r="M220" i="24"/>
  <c r="L220" i="24"/>
  <c r="K220" i="24"/>
  <c r="J220" i="24"/>
  <c r="I220" i="24"/>
  <c r="H220" i="24"/>
  <c r="G220" i="24"/>
  <c r="F220" i="24"/>
  <c r="E220" i="24"/>
  <c r="D220" i="24"/>
  <c r="C220" i="24"/>
  <c r="Q219" i="24"/>
  <c r="P219" i="24"/>
  <c r="O219" i="24"/>
  <c r="N219" i="24"/>
  <c r="M219" i="24"/>
  <c r="L219" i="24"/>
  <c r="K219" i="24"/>
  <c r="J219" i="24"/>
  <c r="I219" i="24"/>
  <c r="H219" i="24"/>
  <c r="G219" i="24"/>
  <c r="F219" i="24"/>
  <c r="E219" i="24"/>
  <c r="D219" i="24"/>
  <c r="C219" i="24"/>
  <c r="AH218" i="24"/>
  <c r="AG218" i="24"/>
  <c r="AF218" i="24"/>
  <c r="O213" i="24" s="1"/>
  <c r="AE218" i="24"/>
  <c r="AD218" i="24"/>
  <c r="AC218" i="24"/>
  <c r="M215" i="24" s="1"/>
  <c r="AB218" i="24"/>
  <c r="AA218" i="24"/>
  <c r="K217" i="24" s="1"/>
  <c r="Z218" i="24"/>
  <c r="J214" i="24" s="1"/>
  <c r="Y218" i="24"/>
  <c r="X218" i="24"/>
  <c r="H216" i="24" s="1"/>
  <c r="W218" i="24"/>
  <c r="V218" i="24"/>
  <c r="F213" i="24" s="1"/>
  <c r="U218" i="24"/>
  <c r="E213" i="24" s="1"/>
  <c r="T218" i="24"/>
  <c r="S218" i="24"/>
  <c r="Q218" i="24"/>
  <c r="P218" i="24"/>
  <c r="O218" i="24"/>
  <c r="L218" i="24"/>
  <c r="J218" i="24"/>
  <c r="I218" i="24"/>
  <c r="AH217" i="24"/>
  <c r="AH8" i="24" s="1"/>
  <c r="AG217" i="24"/>
  <c r="AF217" i="24"/>
  <c r="AE217" i="24"/>
  <c r="AD217" i="24"/>
  <c r="AC217" i="24"/>
  <c r="AB217" i="24"/>
  <c r="AA217" i="24"/>
  <c r="Z217" i="24"/>
  <c r="Y217" i="24"/>
  <c r="X217" i="24"/>
  <c r="W217" i="24"/>
  <c r="V217" i="24"/>
  <c r="U217" i="24"/>
  <c r="T217" i="24"/>
  <c r="D217" i="24" s="1"/>
  <c r="S217" i="24"/>
  <c r="Q217" i="24"/>
  <c r="P217" i="24"/>
  <c r="L217" i="24"/>
  <c r="J217" i="24"/>
  <c r="I217" i="24"/>
  <c r="AH216" i="24"/>
  <c r="AH7" i="24" s="1"/>
  <c r="AG216" i="24"/>
  <c r="AG7" i="24" s="1"/>
  <c r="AF216" i="24"/>
  <c r="AF7" i="24" s="1"/>
  <c r="AE216" i="24"/>
  <c r="AD216" i="24"/>
  <c r="AC216" i="24"/>
  <c r="AB216" i="24"/>
  <c r="AA216" i="24"/>
  <c r="Z216" i="24"/>
  <c r="Y216" i="24"/>
  <c r="I216" i="24" s="1"/>
  <c r="X216" i="24"/>
  <c r="W216" i="24"/>
  <c r="V216" i="24"/>
  <c r="U216" i="24"/>
  <c r="T216" i="24"/>
  <c r="D216" i="24" s="1"/>
  <c r="S216" i="24"/>
  <c r="C216" i="24" s="1"/>
  <c r="P216" i="24"/>
  <c r="L216" i="24"/>
  <c r="J216" i="24"/>
  <c r="AH215" i="24"/>
  <c r="AH6" i="24" s="1"/>
  <c r="AG215" i="24"/>
  <c r="AG6" i="24" s="1"/>
  <c r="AF215" i="24"/>
  <c r="AE215" i="24"/>
  <c r="AD215" i="24"/>
  <c r="AC215" i="24"/>
  <c r="AB215" i="24"/>
  <c r="AA215" i="24"/>
  <c r="Z215" i="24"/>
  <c r="Y215" i="24"/>
  <c r="I215" i="24" s="1"/>
  <c r="X215" i="24"/>
  <c r="W215" i="24"/>
  <c r="V215" i="24"/>
  <c r="U215" i="24"/>
  <c r="T215" i="24"/>
  <c r="D215" i="24" s="1"/>
  <c r="S215" i="24"/>
  <c r="C215" i="24" s="1"/>
  <c r="P215" i="24"/>
  <c r="L215" i="24"/>
  <c r="K215" i="24"/>
  <c r="AH214" i="24"/>
  <c r="AH5" i="24" s="1"/>
  <c r="AG214" i="24"/>
  <c r="AG5" i="24" s="1"/>
  <c r="AF214" i="24"/>
  <c r="AF5" i="24" s="1"/>
  <c r="AE214" i="24"/>
  <c r="AD214" i="24"/>
  <c r="AC214" i="24"/>
  <c r="AB214" i="24"/>
  <c r="AA214" i="24"/>
  <c r="Z214" i="24"/>
  <c r="Z5" i="24" s="1"/>
  <c r="Y214" i="24"/>
  <c r="Y5" i="24" s="1"/>
  <c r="X214" i="24"/>
  <c r="W214" i="24"/>
  <c r="V214" i="24"/>
  <c r="U214" i="24"/>
  <c r="T214" i="24"/>
  <c r="S214" i="24"/>
  <c r="P214" i="24"/>
  <c r="L214" i="24"/>
  <c r="K214" i="24"/>
  <c r="AH213" i="24"/>
  <c r="AH4" i="24" s="1"/>
  <c r="AG213" i="24"/>
  <c r="AG4" i="24" s="1"/>
  <c r="AF213" i="24"/>
  <c r="AF4" i="24" s="1"/>
  <c r="AE213" i="24"/>
  <c r="AD213" i="24"/>
  <c r="AC213" i="24"/>
  <c r="AB213" i="24"/>
  <c r="AA213" i="24"/>
  <c r="Z213" i="24"/>
  <c r="Y213" i="24"/>
  <c r="X213" i="24"/>
  <c r="W213" i="24"/>
  <c r="V213" i="24"/>
  <c r="U213" i="24"/>
  <c r="T213" i="24"/>
  <c r="S213" i="24"/>
  <c r="P213" i="24"/>
  <c r="L213" i="24"/>
  <c r="J213" i="24"/>
  <c r="Q212" i="24"/>
  <c r="P212" i="24"/>
  <c r="O212" i="24"/>
  <c r="N212" i="24"/>
  <c r="M212" i="24"/>
  <c r="L212" i="24"/>
  <c r="K212" i="24"/>
  <c r="J212" i="24"/>
  <c r="I212" i="24"/>
  <c r="H212" i="24"/>
  <c r="G212" i="24"/>
  <c r="F212" i="24"/>
  <c r="E212" i="24"/>
  <c r="D212" i="24"/>
  <c r="C212" i="24"/>
  <c r="Q211" i="24"/>
  <c r="P211" i="24"/>
  <c r="O211" i="24"/>
  <c r="N211" i="24"/>
  <c r="M211" i="24"/>
  <c r="L211" i="24"/>
  <c r="K211" i="24"/>
  <c r="J211" i="24"/>
  <c r="I211" i="24"/>
  <c r="H211" i="24"/>
  <c r="G211" i="24"/>
  <c r="F211" i="24"/>
  <c r="E211" i="24"/>
  <c r="D211" i="24"/>
  <c r="C211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Q201" i="24"/>
  <c r="P201" i="24"/>
  <c r="O201" i="24"/>
  <c r="N201" i="24"/>
  <c r="M201" i="24"/>
  <c r="L201" i="24"/>
  <c r="K201" i="24"/>
  <c r="J201" i="24"/>
  <c r="I201" i="24"/>
  <c r="H201" i="24"/>
  <c r="G201" i="24"/>
  <c r="F201" i="24"/>
  <c r="E201" i="24"/>
  <c r="D201" i="24"/>
  <c r="C201" i="24"/>
  <c r="Q200" i="24"/>
  <c r="P200" i="24"/>
  <c r="O200" i="24"/>
  <c r="N200" i="24"/>
  <c r="M200" i="24"/>
  <c r="L200" i="24"/>
  <c r="K200" i="24"/>
  <c r="J200" i="24"/>
  <c r="I200" i="24"/>
  <c r="H200" i="24"/>
  <c r="G200" i="24"/>
  <c r="F200" i="24"/>
  <c r="E200" i="24"/>
  <c r="D200" i="24"/>
  <c r="C200" i="24"/>
  <c r="Q199" i="24"/>
  <c r="P199" i="24"/>
  <c r="O199" i="24"/>
  <c r="N199" i="24"/>
  <c r="M199" i="24"/>
  <c r="L199" i="24"/>
  <c r="K199" i="24"/>
  <c r="J199" i="24"/>
  <c r="I199" i="24"/>
  <c r="H199" i="24"/>
  <c r="G199" i="24"/>
  <c r="F199" i="24"/>
  <c r="E199" i="24"/>
  <c r="D199" i="24"/>
  <c r="C199" i="24"/>
  <c r="Q198" i="24"/>
  <c r="P198" i="24"/>
  <c r="O198" i="24"/>
  <c r="N198" i="24"/>
  <c r="M198" i="24"/>
  <c r="L198" i="24"/>
  <c r="K198" i="24"/>
  <c r="J198" i="24"/>
  <c r="I198" i="24"/>
  <c r="H198" i="24"/>
  <c r="G198" i="24"/>
  <c r="F198" i="24"/>
  <c r="E198" i="24"/>
  <c r="D198" i="24"/>
  <c r="C198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Q187" i="24"/>
  <c r="P187" i="24"/>
  <c r="O187" i="24"/>
  <c r="N187" i="24"/>
  <c r="M187" i="24"/>
  <c r="L187" i="24"/>
  <c r="K187" i="24"/>
  <c r="J187" i="24"/>
  <c r="I187" i="24"/>
  <c r="H187" i="24"/>
  <c r="G187" i="24"/>
  <c r="F187" i="24"/>
  <c r="E187" i="24"/>
  <c r="D187" i="24"/>
  <c r="C187" i="24"/>
  <c r="Q186" i="24"/>
  <c r="P186" i="24"/>
  <c r="O186" i="24"/>
  <c r="N186" i="24"/>
  <c r="M186" i="24"/>
  <c r="L186" i="24"/>
  <c r="K186" i="24"/>
  <c r="J186" i="24"/>
  <c r="I186" i="24"/>
  <c r="H186" i="24"/>
  <c r="G186" i="24"/>
  <c r="F186" i="24"/>
  <c r="E186" i="24"/>
  <c r="D186" i="24"/>
  <c r="C186" i="24"/>
  <c r="Q185" i="24"/>
  <c r="P185" i="24"/>
  <c r="O185" i="24"/>
  <c r="N185" i="24"/>
  <c r="M185" i="24"/>
  <c r="L185" i="24"/>
  <c r="K185" i="24"/>
  <c r="J185" i="24"/>
  <c r="I185" i="24"/>
  <c r="H185" i="24"/>
  <c r="G185" i="24"/>
  <c r="F185" i="24"/>
  <c r="E185" i="24"/>
  <c r="D185" i="24"/>
  <c r="C185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C177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Q175" i="24"/>
  <c r="P175" i="24"/>
  <c r="O175" i="24"/>
  <c r="N175" i="24"/>
  <c r="M175" i="24"/>
  <c r="L175" i="24"/>
  <c r="K175" i="24"/>
  <c r="J175" i="24"/>
  <c r="I175" i="24"/>
  <c r="H175" i="24"/>
  <c r="G175" i="24"/>
  <c r="F175" i="24"/>
  <c r="E175" i="24"/>
  <c r="D175" i="24"/>
  <c r="C175" i="24"/>
  <c r="Q174" i="24"/>
  <c r="P174" i="24"/>
  <c r="O174" i="24"/>
  <c r="N174" i="24"/>
  <c r="M174" i="24"/>
  <c r="L174" i="24"/>
  <c r="K174" i="24"/>
  <c r="J174" i="24"/>
  <c r="I174" i="24"/>
  <c r="H174" i="24"/>
  <c r="G174" i="24"/>
  <c r="F174" i="24"/>
  <c r="E174" i="24"/>
  <c r="D174" i="24"/>
  <c r="C174" i="24"/>
  <c r="Q173" i="24"/>
  <c r="P173" i="24"/>
  <c r="O173" i="24"/>
  <c r="N173" i="24"/>
  <c r="M173" i="24"/>
  <c r="L173" i="24"/>
  <c r="K173" i="24"/>
  <c r="J173" i="24"/>
  <c r="I173" i="24"/>
  <c r="H173" i="24"/>
  <c r="G173" i="24"/>
  <c r="F173" i="24"/>
  <c r="E173" i="24"/>
  <c r="D173" i="24"/>
  <c r="C173" i="24"/>
  <c r="Q172" i="24"/>
  <c r="P172" i="24"/>
  <c r="O172" i="24"/>
  <c r="N172" i="24"/>
  <c r="M172" i="24"/>
  <c r="L172" i="24"/>
  <c r="K172" i="24"/>
  <c r="J172" i="24"/>
  <c r="I172" i="24"/>
  <c r="H172" i="24"/>
  <c r="G172" i="24"/>
  <c r="F172" i="24"/>
  <c r="E172" i="24"/>
  <c r="D172" i="24"/>
  <c r="C172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Q164" i="24"/>
  <c r="P164" i="24"/>
  <c r="O164" i="24"/>
  <c r="N164" i="24"/>
  <c r="M164" i="24"/>
  <c r="L164" i="24"/>
  <c r="K164" i="24"/>
  <c r="J164" i="24"/>
  <c r="I164" i="24"/>
  <c r="H164" i="24"/>
  <c r="G164" i="24"/>
  <c r="F164" i="24"/>
  <c r="E164" i="24"/>
  <c r="D164" i="24"/>
  <c r="C164" i="24"/>
  <c r="Q163" i="24"/>
  <c r="P163" i="24"/>
  <c r="O163" i="24"/>
  <c r="N163" i="24"/>
  <c r="M163" i="24"/>
  <c r="L163" i="24"/>
  <c r="K163" i="24"/>
  <c r="J163" i="24"/>
  <c r="I163" i="24"/>
  <c r="H163" i="24"/>
  <c r="G163" i="24"/>
  <c r="F163" i="24"/>
  <c r="E163" i="24"/>
  <c r="D163" i="24"/>
  <c r="C163" i="24"/>
  <c r="Q162" i="24"/>
  <c r="P162" i="24"/>
  <c r="O162" i="24"/>
  <c r="N162" i="24"/>
  <c r="M162" i="24"/>
  <c r="L162" i="24"/>
  <c r="K162" i="24"/>
  <c r="J162" i="24"/>
  <c r="I162" i="24"/>
  <c r="H162" i="24"/>
  <c r="G162" i="24"/>
  <c r="F162" i="24"/>
  <c r="E162" i="24"/>
  <c r="D162" i="24"/>
  <c r="C162" i="24"/>
  <c r="Q161" i="24"/>
  <c r="P161" i="24"/>
  <c r="O161" i="24"/>
  <c r="N161" i="24"/>
  <c r="M161" i="24"/>
  <c r="L161" i="24"/>
  <c r="K161" i="24"/>
  <c r="J161" i="24"/>
  <c r="I161" i="24"/>
  <c r="H161" i="24"/>
  <c r="G161" i="24"/>
  <c r="F161" i="24"/>
  <c r="E161" i="24"/>
  <c r="D161" i="24"/>
  <c r="C161" i="24"/>
  <c r="Q160" i="24"/>
  <c r="P160" i="24"/>
  <c r="O160" i="24"/>
  <c r="N160" i="24"/>
  <c r="M160" i="24"/>
  <c r="L160" i="24"/>
  <c r="K160" i="24"/>
  <c r="J160" i="24"/>
  <c r="I160" i="24"/>
  <c r="H160" i="24"/>
  <c r="G160" i="24"/>
  <c r="F160" i="24"/>
  <c r="E160" i="24"/>
  <c r="D160" i="24"/>
  <c r="C160" i="24"/>
  <c r="Q159" i="24"/>
  <c r="P159" i="24"/>
  <c r="O159" i="24"/>
  <c r="N159" i="24"/>
  <c r="M159" i="24"/>
  <c r="L159" i="24"/>
  <c r="K159" i="24"/>
  <c r="J159" i="24"/>
  <c r="I159" i="24"/>
  <c r="H159" i="24"/>
  <c r="G159" i="24"/>
  <c r="F159" i="24"/>
  <c r="E159" i="24"/>
  <c r="D159" i="24"/>
  <c r="C159" i="24"/>
  <c r="Q158" i="24"/>
  <c r="P158" i="24"/>
  <c r="O158" i="24"/>
  <c r="N158" i="24"/>
  <c r="M158" i="24"/>
  <c r="L158" i="24"/>
  <c r="K158" i="24"/>
  <c r="J158" i="24"/>
  <c r="I158" i="24"/>
  <c r="H158" i="24"/>
  <c r="G158" i="24"/>
  <c r="F158" i="24"/>
  <c r="E158" i="24"/>
  <c r="D158" i="24"/>
  <c r="C158" i="24"/>
  <c r="Q157" i="24"/>
  <c r="P157" i="24"/>
  <c r="O157" i="24"/>
  <c r="N157" i="24"/>
  <c r="M157" i="24"/>
  <c r="L157" i="24"/>
  <c r="K157" i="24"/>
  <c r="J157" i="24"/>
  <c r="I157" i="24"/>
  <c r="H157" i="24"/>
  <c r="G157" i="24"/>
  <c r="F157" i="24"/>
  <c r="E157" i="24"/>
  <c r="D157" i="24"/>
  <c r="C157" i="24"/>
  <c r="Q156" i="24"/>
  <c r="P156" i="24"/>
  <c r="O156" i="24"/>
  <c r="N156" i="24"/>
  <c r="M156" i="24"/>
  <c r="L156" i="24"/>
  <c r="K156" i="24"/>
  <c r="J156" i="24"/>
  <c r="I156" i="24"/>
  <c r="H156" i="24"/>
  <c r="G156" i="24"/>
  <c r="F156" i="24"/>
  <c r="E156" i="24"/>
  <c r="D156" i="24"/>
  <c r="C156" i="24"/>
  <c r="Q155" i="24"/>
  <c r="P155" i="24"/>
  <c r="O155" i="24"/>
  <c r="N155" i="24"/>
  <c r="M155" i="24"/>
  <c r="L155" i="24"/>
  <c r="K155" i="24"/>
  <c r="J155" i="24"/>
  <c r="I155" i="24"/>
  <c r="H155" i="24"/>
  <c r="G155" i="24"/>
  <c r="F155" i="24"/>
  <c r="E155" i="24"/>
  <c r="D155" i="24"/>
  <c r="C155" i="24"/>
  <c r="Q154" i="24"/>
  <c r="P154" i="24"/>
  <c r="O154" i="24"/>
  <c r="N154" i="24"/>
  <c r="M154" i="24"/>
  <c r="L154" i="24"/>
  <c r="K154" i="24"/>
  <c r="J154" i="24"/>
  <c r="I154" i="24"/>
  <c r="H154" i="24"/>
  <c r="G154" i="24"/>
  <c r="F154" i="24"/>
  <c r="E154" i="24"/>
  <c r="D154" i="24"/>
  <c r="C154" i="24"/>
  <c r="Q153" i="24"/>
  <c r="P153" i="24"/>
  <c r="O153" i="24"/>
  <c r="N153" i="24"/>
  <c r="M153" i="24"/>
  <c r="L153" i="24"/>
  <c r="K153" i="24"/>
  <c r="J153" i="24"/>
  <c r="I153" i="24"/>
  <c r="H153" i="24"/>
  <c r="G153" i="24"/>
  <c r="F153" i="24"/>
  <c r="E153" i="24"/>
  <c r="D153" i="24"/>
  <c r="C153" i="24"/>
  <c r="Q152" i="24"/>
  <c r="P152" i="24"/>
  <c r="O152" i="24"/>
  <c r="N152" i="24"/>
  <c r="M152" i="24"/>
  <c r="L152" i="24"/>
  <c r="K152" i="24"/>
  <c r="J152" i="24"/>
  <c r="I152" i="24"/>
  <c r="H152" i="24"/>
  <c r="G152" i="24"/>
  <c r="F152" i="24"/>
  <c r="E152" i="24"/>
  <c r="D152" i="24"/>
  <c r="C152" i="24"/>
  <c r="Q151" i="24"/>
  <c r="P151" i="24"/>
  <c r="O151" i="24"/>
  <c r="N151" i="24"/>
  <c r="M151" i="24"/>
  <c r="L151" i="24"/>
  <c r="K151" i="24"/>
  <c r="J151" i="24"/>
  <c r="I151" i="24"/>
  <c r="H151" i="24"/>
  <c r="G151" i="24"/>
  <c r="F151" i="24"/>
  <c r="E151" i="24"/>
  <c r="D151" i="24"/>
  <c r="C151" i="24"/>
  <c r="Q150" i="24"/>
  <c r="P150" i="24"/>
  <c r="O150" i="24"/>
  <c r="N150" i="24"/>
  <c r="M150" i="24"/>
  <c r="L150" i="24"/>
  <c r="K150" i="24"/>
  <c r="J150" i="24"/>
  <c r="I150" i="24"/>
  <c r="H150" i="24"/>
  <c r="G150" i="24"/>
  <c r="F150" i="24"/>
  <c r="E150" i="24"/>
  <c r="D150" i="24"/>
  <c r="C150" i="24"/>
  <c r="Q149" i="24"/>
  <c r="P149" i="24"/>
  <c r="O149" i="24"/>
  <c r="N149" i="24"/>
  <c r="M149" i="24"/>
  <c r="L149" i="24"/>
  <c r="K149" i="24"/>
  <c r="J149" i="24"/>
  <c r="I149" i="24"/>
  <c r="H149" i="24"/>
  <c r="G149" i="24"/>
  <c r="F149" i="24"/>
  <c r="E149" i="24"/>
  <c r="D149" i="24"/>
  <c r="C149" i="24"/>
  <c r="Q148" i="24"/>
  <c r="P148" i="24"/>
  <c r="O148" i="24"/>
  <c r="N148" i="24"/>
  <c r="M148" i="24"/>
  <c r="L148" i="24"/>
  <c r="K148" i="24"/>
  <c r="J148" i="24"/>
  <c r="I148" i="24"/>
  <c r="H148" i="24"/>
  <c r="G148" i="24"/>
  <c r="F148" i="24"/>
  <c r="E148" i="24"/>
  <c r="D148" i="24"/>
  <c r="C148" i="24"/>
  <c r="Q147" i="24"/>
  <c r="P147" i="24"/>
  <c r="O147" i="24"/>
  <c r="N147" i="24"/>
  <c r="M147" i="24"/>
  <c r="L147" i="24"/>
  <c r="K147" i="24"/>
  <c r="J147" i="24"/>
  <c r="I147" i="24"/>
  <c r="H147" i="24"/>
  <c r="G147" i="24"/>
  <c r="F147" i="24"/>
  <c r="E147" i="24"/>
  <c r="D147" i="24"/>
  <c r="C147" i="24"/>
  <c r="Q146" i="24"/>
  <c r="P146" i="24"/>
  <c r="O146" i="24"/>
  <c r="N146" i="24"/>
  <c r="M146" i="24"/>
  <c r="L146" i="24"/>
  <c r="K146" i="24"/>
  <c r="J146" i="24"/>
  <c r="I146" i="24"/>
  <c r="H146" i="24"/>
  <c r="G146" i="24"/>
  <c r="F146" i="24"/>
  <c r="E146" i="24"/>
  <c r="D146" i="24"/>
  <c r="C146" i="24"/>
  <c r="Q145" i="24"/>
  <c r="P145" i="24"/>
  <c r="O145" i="24"/>
  <c r="N145" i="24"/>
  <c r="M145" i="24"/>
  <c r="L145" i="24"/>
  <c r="K145" i="24"/>
  <c r="J145" i="24"/>
  <c r="I145" i="24"/>
  <c r="H145" i="24"/>
  <c r="G145" i="24"/>
  <c r="F145" i="24"/>
  <c r="E145" i="24"/>
  <c r="D145" i="24"/>
  <c r="C145" i="24"/>
  <c r="Q144" i="24"/>
  <c r="P144" i="24"/>
  <c r="O144" i="24"/>
  <c r="N144" i="24"/>
  <c r="M144" i="24"/>
  <c r="L144" i="24"/>
  <c r="K144" i="24"/>
  <c r="J144" i="24"/>
  <c r="I144" i="24"/>
  <c r="H144" i="24"/>
  <c r="G144" i="24"/>
  <c r="F144" i="24"/>
  <c r="E144" i="24"/>
  <c r="D144" i="24"/>
  <c r="C144" i="24"/>
  <c r="Q143" i="24"/>
  <c r="P143" i="24"/>
  <c r="O143" i="24"/>
  <c r="N143" i="24"/>
  <c r="M143" i="24"/>
  <c r="L143" i="24"/>
  <c r="K143" i="24"/>
  <c r="J143" i="24"/>
  <c r="I143" i="24"/>
  <c r="H143" i="24"/>
  <c r="G143" i="24"/>
  <c r="F143" i="24"/>
  <c r="E143" i="24"/>
  <c r="D143" i="24"/>
  <c r="C143" i="24"/>
  <c r="Q142" i="24"/>
  <c r="P142" i="24"/>
  <c r="O142" i="24"/>
  <c r="N142" i="24"/>
  <c r="M142" i="24"/>
  <c r="L142" i="24"/>
  <c r="K142" i="24"/>
  <c r="J142" i="24"/>
  <c r="I142" i="24"/>
  <c r="H142" i="24"/>
  <c r="G142" i="24"/>
  <c r="F142" i="24"/>
  <c r="E142" i="24"/>
  <c r="D142" i="24"/>
  <c r="C142" i="24"/>
  <c r="Q141" i="24"/>
  <c r="P141" i="24"/>
  <c r="O141" i="24"/>
  <c r="N141" i="24"/>
  <c r="M141" i="24"/>
  <c r="L141" i="24"/>
  <c r="K141" i="24"/>
  <c r="J141" i="24"/>
  <c r="I141" i="24"/>
  <c r="H141" i="24"/>
  <c r="G141" i="24"/>
  <c r="F141" i="24"/>
  <c r="E141" i="24"/>
  <c r="D141" i="24"/>
  <c r="C141" i="24"/>
  <c r="Q140" i="24"/>
  <c r="P140" i="24"/>
  <c r="O140" i="24"/>
  <c r="N140" i="24"/>
  <c r="M140" i="24"/>
  <c r="L140" i="24"/>
  <c r="K140" i="24"/>
  <c r="J140" i="24"/>
  <c r="I140" i="24"/>
  <c r="H140" i="24"/>
  <c r="G140" i="24"/>
  <c r="F140" i="24"/>
  <c r="E140" i="24"/>
  <c r="D140" i="24"/>
  <c r="C140" i="24"/>
  <c r="Q139" i="24"/>
  <c r="P139" i="24"/>
  <c r="O139" i="24"/>
  <c r="N139" i="24"/>
  <c r="M139" i="24"/>
  <c r="L139" i="24"/>
  <c r="K139" i="24"/>
  <c r="J139" i="24"/>
  <c r="I139" i="24"/>
  <c r="H139" i="24"/>
  <c r="G139" i="24"/>
  <c r="F139" i="24"/>
  <c r="E139" i="24"/>
  <c r="D139" i="24"/>
  <c r="C139" i="24"/>
  <c r="Q138" i="24"/>
  <c r="P138" i="24"/>
  <c r="O138" i="24"/>
  <c r="N138" i="24"/>
  <c r="M138" i="24"/>
  <c r="L138" i="24"/>
  <c r="K138" i="24"/>
  <c r="J138" i="24"/>
  <c r="I138" i="24"/>
  <c r="H138" i="24"/>
  <c r="G138" i="24"/>
  <c r="F138" i="24"/>
  <c r="E138" i="24"/>
  <c r="D138" i="24"/>
  <c r="C138" i="24"/>
  <c r="Q137" i="24"/>
  <c r="P137" i="24"/>
  <c r="O137" i="24"/>
  <c r="N137" i="24"/>
  <c r="M137" i="24"/>
  <c r="L137" i="24"/>
  <c r="K137" i="24"/>
  <c r="J137" i="24"/>
  <c r="I137" i="24"/>
  <c r="H137" i="24"/>
  <c r="G137" i="24"/>
  <c r="F137" i="24"/>
  <c r="E137" i="24"/>
  <c r="D137" i="24"/>
  <c r="C137" i="24"/>
  <c r="Q136" i="24"/>
  <c r="P136" i="24"/>
  <c r="O136" i="24"/>
  <c r="N136" i="24"/>
  <c r="M136" i="24"/>
  <c r="L136" i="24"/>
  <c r="K136" i="24"/>
  <c r="J136" i="24"/>
  <c r="I136" i="24"/>
  <c r="H136" i="24"/>
  <c r="G136" i="24"/>
  <c r="F136" i="24"/>
  <c r="E136" i="24"/>
  <c r="D136" i="24"/>
  <c r="C136" i="24"/>
  <c r="Q135" i="24"/>
  <c r="P135" i="24"/>
  <c r="O135" i="24"/>
  <c r="N135" i="24"/>
  <c r="M135" i="24"/>
  <c r="L135" i="24"/>
  <c r="K135" i="24"/>
  <c r="J135" i="24"/>
  <c r="I135" i="24"/>
  <c r="H135" i="24"/>
  <c r="G135" i="24"/>
  <c r="F135" i="24"/>
  <c r="E135" i="24"/>
  <c r="D135" i="24"/>
  <c r="C135" i="24"/>
  <c r="AE134" i="24"/>
  <c r="AD134" i="24"/>
  <c r="AC134" i="24"/>
  <c r="M134" i="24" s="1"/>
  <c r="AB134" i="24"/>
  <c r="L134" i="24" s="1"/>
  <c r="AA134" i="24"/>
  <c r="K131" i="24" s="1"/>
  <c r="Z134" i="24"/>
  <c r="J133" i="24" s="1"/>
  <c r="Y134" i="24"/>
  <c r="X134" i="24"/>
  <c r="W134" i="24"/>
  <c r="V134" i="24"/>
  <c r="F134" i="24" s="1"/>
  <c r="U134" i="24"/>
  <c r="E134" i="24" s="1"/>
  <c r="T134" i="24"/>
  <c r="D134" i="24" s="1"/>
  <c r="S134" i="24"/>
  <c r="Q134" i="24"/>
  <c r="P134" i="24"/>
  <c r="O134" i="24"/>
  <c r="AE133" i="24"/>
  <c r="AD133" i="24"/>
  <c r="AC133" i="24"/>
  <c r="AC8" i="24" s="1"/>
  <c r="AB133" i="24"/>
  <c r="AA133" i="24"/>
  <c r="Z133" i="24"/>
  <c r="Y133" i="24"/>
  <c r="X133" i="24"/>
  <c r="X8" i="24" s="1"/>
  <c r="W133" i="24"/>
  <c r="V133" i="24"/>
  <c r="F133" i="24" s="1"/>
  <c r="U133" i="24"/>
  <c r="T133" i="24"/>
  <c r="S133" i="24"/>
  <c r="Q133" i="24"/>
  <c r="P133" i="24"/>
  <c r="O133" i="24"/>
  <c r="L133" i="24"/>
  <c r="K133" i="24"/>
  <c r="AE132" i="24"/>
  <c r="AD132" i="24"/>
  <c r="AC132" i="24"/>
  <c r="AB132" i="24"/>
  <c r="AA132" i="24"/>
  <c r="Z132" i="24"/>
  <c r="Z7" i="24" s="1"/>
  <c r="Y132" i="24"/>
  <c r="Y7" i="24" s="1"/>
  <c r="X132" i="24"/>
  <c r="W132" i="24"/>
  <c r="V132" i="24"/>
  <c r="U132" i="24"/>
  <c r="T132" i="24"/>
  <c r="S132" i="24"/>
  <c r="Q132" i="24"/>
  <c r="P132" i="24"/>
  <c r="O132" i="24"/>
  <c r="AE131" i="24"/>
  <c r="AD131" i="24"/>
  <c r="AC131" i="24"/>
  <c r="AB131" i="24"/>
  <c r="AA131" i="24"/>
  <c r="Z131" i="24"/>
  <c r="Y131" i="24"/>
  <c r="X131" i="24"/>
  <c r="W131" i="24"/>
  <c r="V131" i="24"/>
  <c r="U131" i="24"/>
  <c r="T131" i="24"/>
  <c r="S131" i="24"/>
  <c r="Q131" i="24"/>
  <c r="P131" i="24"/>
  <c r="O131" i="24"/>
  <c r="L131" i="24"/>
  <c r="AE130" i="24"/>
  <c r="AD130" i="24"/>
  <c r="AC130" i="24"/>
  <c r="AB130" i="24"/>
  <c r="AA130" i="24"/>
  <c r="Z130" i="24"/>
  <c r="Y130" i="24"/>
  <c r="X130" i="24"/>
  <c r="W130" i="24"/>
  <c r="V130" i="24"/>
  <c r="U130" i="24"/>
  <c r="T130" i="24"/>
  <c r="S130" i="24"/>
  <c r="Q130" i="24"/>
  <c r="P130" i="24"/>
  <c r="O130" i="24"/>
  <c r="AE129" i="24"/>
  <c r="AD129" i="24"/>
  <c r="AD4" i="24" s="1"/>
  <c r="AC129" i="24"/>
  <c r="AB129" i="24"/>
  <c r="AA129" i="24"/>
  <c r="Z129" i="24"/>
  <c r="Y129" i="24"/>
  <c r="X129" i="24"/>
  <c r="W129" i="24"/>
  <c r="V129" i="24"/>
  <c r="V4" i="24" s="1"/>
  <c r="U129" i="24"/>
  <c r="T129" i="24"/>
  <c r="S129" i="24"/>
  <c r="Q129" i="24"/>
  <c r="P129" i="24"/>
  <c r="O129" i="24"/>
  <c r="Q128" i="24"/>
  <c r="P128" i="24"/>
  <c r="O128" i="24"/>
  <c r="N128" i="24"/>
  <c r="M128" i="24"/>
  <c r="L128" i="24"/>
  <c r="K128" i="24"/>
  <c r="J128" i="24"/>
  <c r="I128" i="24"/>
  <c r="H128" i="24"/>
  <c r="G128" i="24"/>
  <c r="F128" i="24"/>
  <c r="E128" i="24"/>
  <c r="D128" i="24"/>
  <c r="C128" i="24"/>
  <c r="Q127" i="24"/>
  <c r="P127" i="24"/>
  <c r="O127" i="24"/>
  <c r="N127" i="24"/>
  <c r="M127" i="24"/>
  <c r="L127" i="24"/>
  <c r="K127" i="24"/>
  <c r="J127" i="24"/>
  <c r="I127" i="24"/>
  <c r="H127" i="24"/>
  <c r="G127" i="24"/>
  <c r="F127" i="24"/>
  <c r="E127" i="24"/>
  <c r="D127" i="24"/>
  <c r="C127" i="24"/>
  <c r="Q126" i="24"/>
  <c r="P126" i="24"/>
  <c r="O126" i="24"/>
  <c r="N126" i="24"/>
  <c r="M126" i="24"/>
  <c r="L126" i="24"/>
  <c r="K126" i="24"/>
  <c r="J126" i="24"/>
  <c r="I126" i="24"/>
  <c r="H126" i="24"/>
  <c r="G126" i="24"/>
  <c r="F126" i="24"/>
  <c r="E126" i="24"/>
  <c r="D126" i="24"/>
  <c r="C126" i="24"/>
  <c r="Q125" i="24"/>
  <c r="P125" i="24"/>
  <c r="O125" i="24"/>
  <c r="N125" i="24"/>
  <c r="M125" i="24"/>
  <c r="L125" i="24"/>
  <c r="K125" i="24"/>
  <c r="J125" i="24"/>
  <c r="I125" i="24"/>
  <c r="H125" i="24"/>
  <c r="G125" i="24"/>
  <c r="F125" i="24"/>
  <c r="E125" i="24"/>
  <c r="D125" i="24"/>
  <c r="C125" i="24"/>
  <c r="Q124" i="24"/>
  <c r="P124" i="24"/>
  <c r="O124" i="24"/>
  <c r="N124" i="24"/>
  <c r="M124" i="24"/>
  <c r="L124" i="24"/>
  <c r="K124" i="24"/>
  <c r="J124" i="24"/>
  <c r="I124" i="24"/>
  <c r="H124" i="24"/>
  <c r="G124" i="24"/>
  <c r="F124" i="24"/>
  <c r="E124" i="24"/>
  <c r="D124" i="24"/>
  <c r="C124" i="24"/>
  <c r="Q123" i="24"/>
  <c r="P123" i="24"/>
  <c r="O123" i="24"/>
  <c r="N123" i="24"/>
  <c r="M123" i="24"/>
  <c r="L123" i="24"/>
  <c r="K123" i="24"/>
  <c r="J123" i="24"/>
  <c r="I123" i="24"/>
  <c r="H123" i="24"/>
  <c r="G123" i="24"/>
  <c r="F123" i="24"/>
  <c r="E123" i="24"/>
  <c r="D123" i="24"/>
  <c r="C123" i="24"/>
  <c r="Q122" i="24"/>
  <c r="P122" i="24"/>
  <c r="O122" i="24"/>
  <c r="N122" i="24"/>
  <c r="M122" i="24"/>
  <c r="L122" i="24"/>
  <c r="K122" i="24"/>
  <c r="J122" i="24"/>
  <c r="I122" i="24"/>
  <c r="H122" i="24"/>
  <c r="G122" i="24"/>
  <c r="F122" i="24"/>
  <c r="E122" i="24"/>
  <c r="D122" i="24"/>
  <c r="C122" i="24"/>
  <c r="Q121" i="24"/>
  <c r="P121" i="24"/>
  <c r="O121" i="24"/>
  <c r="N121" i="24"/>
  <c r="M121" i="24"/>
  <c r="L121" i="24"/>
  <c r="K121" i="24"/>
  <c r="J121" i="24"/>
  <c r="I121" i="24"/>
  <c r="H121" i="24"/>
  <c r="G121" i="24"/>
  <c r="F121" i="24"/>
  <c r="E121" i="24"/>
  <c r="D121" i="24"/>
  <c r="C121" i="24"/>
  <c r="Q120" i="24"/>
  <c r="P120" i="24"/>
  <c r="O120" i="24"/>
  <c r="N120" i="24"/>
  <c r="M120" i="24"/>
  <c r="L120" i="24"/>
  <c r="K120" i="24"/>
  <c r="J120" i="24"/>
  <c r="I120" i="24"/>
  <c r="H120" i="24"/>
  <c r="G120" i="24"/>
  <c r="F120" i="24"/>
  <c r="E120" i="24"/>
  <c r="D120" i="24"/>
  <c r="C120" i="24"/>
  <c r="Q119" i="24"/>
  <c r="P119" i="24"/>
  <c r="O119" i="24"/>
  <c r="N119" i="24"/>
  <c r="M119" i="24"/>
  <c r="L119" i="24"/>
  <c r="K119" i="24"/>
  <c r="J119" i="24"/>
  <c r="I119" i="24"/>
  <c r="H119" i="24"/>
  <c r="G119" i="24"/>
  <c r="F119" i="24"/>
  <c r="E119" i="24"/>
  <c r="D119" i="24"/>
  <c r="C119" i="24"/>
  <c r="Q118" i="24"/>
  <c r="P118" i="24"/>
  <c r="O118" i="24"/>
  <c r="N118" i="24"/>
  <c r="M118" i="24"/>
  <c r="L118" i="24"/>
  <c r="K118" i="24"/>
  <c r="J118" i="24"/>
  <c r="I118" i="24"/>
  <c r="H118" i="24"/>
  <c r="G118" i="24"/>
  <c r="F118" i="24"/>
  <c r="E118" i="24"/>
  <c r="D118" i="24"/>
  <c r="C118" i="24"/>
  <c r="Q117" i="24"/>
  <c r="P117" i="24"/>
  <c r="O117" i="24"/>
  <c r="N117" i="24"/>
  <c r="M117" i="24"/>
  <c r="L117" i="24"/>
  <c r="K117" i="24"/>
  <c r="J117" i="24"/>
  <c r="I117" i="24"/>
  <c r="H117" i="24"/>
  <c r="G117" i="24"/>
  <c r="F117" i="24"/>
  <c r="E117" i="24"/>
  <c r="D117" i="24"/>
  <c r="C117" i="24"/>
  <c r="Q116" i="24"/>
  <c r="P116" i="24"/>
  <c r="O116" i="24"/>
  <c r="N116" i="24"/>
  <c r="M116" i="24"/>
  <c r="L116" i="24"/>
  <c r="K116" i="24"/>
  <c r="J116" i="24"/>
  <c r="I116" i="24"/>
  <c r="H116" i="24"/>
  <c r="G116" i="24"/>
  <c r="F116" i="24"/>
  <c r="E116" i="24"/>
  <c r="D116" i="24"/>
  <c r="C116" i="24"/>
  <c r="Q115" i="24"/>
  <c r="P115" i="24"/>
  <c r="O115" i="24"/>
  <c r="N115" i="24"/>
  <c r="M115" i="24"/>
  <c r="L115" i="24"/>
  <c r="K115" i="24"/>
  <c r="J115" i="24"/>
  <c r="I115" i="24"/>
  <c r="H115" i="24"/>
  <c r="G115" i="24"/>
  <c r="F115" i="24"/>
  <c r="E115" i="24"/>
  <c r="D115" i="24"/>
  <c r="C115" i="24"/>
  <c r="Q114" i="24"/>
  <c r="P114" i="24"/>
  <c r="O114" i="24"/>
  <c r="N114" i="24"/>
  <c r="M114" i="24"/>
  <c r="L114" i="24"/>
  <c r="K114" i="24"/>
  <c r="J114" i="24"/>
  <c r="I114" i="24"/>
  <c r="H114" i="24"/>
  <c r="G114" i="24"/>
  <c r="F114" i="24"/>
  <c r="E114" i="24"/>
  <c r="D114" i="24"/>
  <c r="C114" i="24"/>
  <c r="Q113" i="24"/>
  <c r="P113" i="24"/>
  <c r="O113" i="24"/>
  <c r="N113" i="24"/>
  <c r="M113" i="24"/>
  <c r="L113" i="24"/>
  <c r="K113" i="24"/>
  <c r="J113" i="24"/>
  <c r="I113" i="24"/>
  <c r="H113" i="24"/>
  <c r="G113" i="24"/>
  <c r="F113" i="24"/>
  <c r="E113" i="24"/>
  <c r="D113" i="24"/>
  <c r="C113" i="24"/>
  <c r="Q112" i="24"/>
  <c r="P112" i="24"/>
  <c r="O112" i="24"/>
  <c r="N112" i="24"/>
  <c r="M112" i="24"/>
  <c r="L112" i="24"/>
  <c r="K112" i="24"/>
  <c r="J112" i="24"/>
  <c r="I112" i="24"/>
  <c r="H112" i="24"/>
  <c r="G112" i="24"/>
  <c r="F112" i="24"/>
  <c r="E112" i="24"/>
  <c r="D112" i="24"/>
  <c r="C112" i="24"/>
  <c r="Q111" i="24"/>
  <c r="P111" i="24"/>
  <c r="O111" i="24"/>
  <c r="N111" i="24"/>
  <c r="M111" i="24"/>
  <c r="L111" i="24"/>
  <c r="K111" i="24"/>
  <c r="J111" i="24"/>
  <c r="I111" i="24"/>
  <c r="H111" i="24"/>
  <c r="G111" i="24"/>
  <c r="F111" i="24"/>
  <c r="E111" i="24"/>
  <c r="D111" i="24"/>
  <c r="C111" i="24"/>
  <c r="Q110" i="24"/>
  <c r="P110" i="24"/>
  <c r="O110" i="24"/>
  <c r="N110" i="24"/>
  <c r="M110" i="24"/>
  <c r="L110" i="24"/>
  <c r="K110" i="24"/>
  <c r="J110" i="24"/>
  <c r="I110" i="24"/>
  <c r="H110" i="24"/>
  <c r="G110" i="24"/>
  <c r="F110" i="24"/>
  <c r="E110" i="24"/>
  <c r="D110" i="24"/>
  <c r="C110" i="24"/>
  <c r="Q109" i="24"/>
  <c r="P109" i="24"/>
  <c r="O109" i="24"/>
  <c r="N109" i="24"/>
  <c r="M109" i="24"/>
  <c r="L109" i="24"/>
  <c r="K109" i="24"/>
  <c r="J109" i="24"/>
  <c r="I109" i="24"/>
  <c r="H109" i="24"/>
  <c r="G109" i="24"/>
  <c r="F109" i="24"/>
  <c r="E109" i="24"/>
  <c r="D109" i="24"/>
  <c r="C109" i="24"/>
  <c r="Q108" i="24"/>
  <c r="P108" i="24"/>
  <c r="O108" i="24"/>
  <c r="N108" i="24"/>
  <c r="M108" i="24"/>
  <c r="L108" i="24"/>
  <c r="K108" i="24"/>
  <c r="J108" i="24"/>
  <c r="I108" i="24"/>
  <c r="H108" i="24"/>
  <c r="G108" i="24"/>
  <c r="F108" i="24"/>
  <c r="E108" i="24"/>
  <c r="D108" i="24"/>
  <c r="C108" i="24"/>
  <c r="Q107" i="24"/>
  <c r="P107" i="24"/>
  <c r="O107" i="24"/>
  <c r="N107" i="24"/>
  <c r="M107" i="24"/>
  <c r="L107" i="24"/>
  <c r="K107" i="24"/>
  <c r="J107" i="24"/>
  <c r="I107" i="24"/>
  <c r="H107" i="24"/>
  <c r="G107" i="24"/>
  <c r="F107" i="24"/>
  <c r="E107" i="24"/>
  <c r="D107" i="24"/>
  <c r="C107" i="24"/>
  <c r="Q106" i="24"/>
  <c r="P106" i="24"/>
  <c r="O106" i="24"/>
  <c r="N106" i="24"/>
  <c r="M106" i="24"/>
  <c r="L106" i="24"/>
  <c r="K106" i="24"/>
  <c r="J106" i="24"/>
  <c r="I106" i="24"/>
  <c r="H106" i="24"/>
  <c r="G106" i="24"/>
  <c r="F106" i="24"/>
  <c r="E106" i="24"/>
  <c r="D106" i="24"/>
  <c r="C106" i="24"/>
  <c r="Q105" i="24"/>
  <c r="P105" i="24"/>
  <c r="O105" i="24"/>
  <c r="N105" i="24"/>
  <c r="M105" i="24"/>
  <c r="L105" i="24"/>
  <c r="K105" i="24"/>
  <c r="J105" i="24"/>
  <c r="I105" i="24"/>
  <c r="H105" i="24"/>
  <c r="G105" i="24"/>
  <c r="F105" i="24"/>
  <c r="E105" i="24"/>
  <c r="D105" i="24"/>
  <c r="C105" i="24"/>
  <c r="Q104" i="24"/>
  <c r="P104" i="24"/>
  <c r="O104" i="24"/>
  <c r="N104" i="24"/>
  <c r="M104" i="24"/>
  <c r="L104" i="24"/>
  <c r="K104" i="24"/>
  <c r="J104" i="24"/>
  <c r="I104" i="24"/>
  <c r="H104" i="24"/>
  <c r="G104" i="24"/>
  <c r="F104" i="24"/>
  <c r="E104" i="24"/>
  <c r="D104" i="24"/>
  <c r="C104" i="24"/>
  <c r="Q103" i="24"/>
  <c r="P103" i="24"/>
  <c r="O103" i="24"/>
  <c r="N103" i="24"/>
  <c r="M103" i="24"/>
  <c r="L103" i="24"/>
  <c r="K103" i="24"/>
  <c r="J103" i="24"/>
  <c r="I103" i="24"/>
  <c r="H103" i="24"/>
  <c r="G103" i="24"/>
  <c r="F103" i="24"/>
  <c r="E103" i="24"/>
  <c r="D103" i="24"/>
  <c r="C103" i="24"/>
  <c r="Q102" i="24"/>
  <c r="P102" i="24"/>
  <c r="O102" i="24"/>
  <c r="N102" i="24"/>
  <c r="M102" i="24"/>
  <c r="L102" i="24"/>
  <c r="K102" i="24"/>
  <c r="J102" i="24"/>
  <c r="I102" i="24"/>
  <c r="H102" i="24"/>
  <c r="G102" i="24"/>
  <c r="F102" i="24"/>
  <c r="E102" i="24"/>
  <c r="D102" i="24"/>
  <c r="C102" i="24"/>
  <c r="Q101" i="24"/>
  <c r="P101" i="24"/>
  <c r="O101" i="24"/>
  <c r="N101" i="24"/>
  <c r="M101" i="24"/>
  <c r="L101" i="24"/>
  <c r="K101" i="24"/>
  <c r="J101" i="24"/>
  <c r="I101" i="24"/>
  <c r="H101" i="24"/>
  <c r="G101" i="24"/>
  <c r="F101" i="24"/>
  <c r="E101" i="24"/>
  <c r="D101" i="24"/>
  <c r="C101" i="24"/>
  <c r="Q100" i="24"/>
  <c r="P100" i="24"/>
  <c r="O100" i="24"/>
  <c r="N100" i="24"/>
  <c r="M100" i="24"/>
  <c r="L100" i="24"/>
  <c r="K100" i="24"/>
  <c r="J100" i="24"/>
  <c r="I100" i="24"/>
  <c r="H100" i="24"/>
  <c r="G100" i="24"/>
  <c r="F100" i="24"/>
  <c r="E100" i="24"/>
  <c r="D100" i="24"/>
  <c r="C100" i="24"/>
  <c r="Q99" i="24"/>
  <c r="P99" i="24"/>
  <c r="O99" i="24"/>
  <c r="N99" i="24"/>
  <c r="M99" i="24"/>
  <c r="L99" i="24"/>
  <c r="K99" i="24"/>
  <c r="J99" i="24"/>
  <c r="I99" i="24"/>
  <c r="H99" i="24"/>
  <c r="G99" i="24"/>
  <c r="F99" i="24"/>
  <c r="E99" i="24"/>
  <c r="D99" i="24"/>
  <c r="C99" i="24"/>
  <c r="Q98" i="24"/>
  <c r="P98" i="24"/>
  <c r="O98" i="24"/>
  <c r="N98" i="24"/>
  <c r="M98" i="24"/>
  <c r="L98" i="24"/>
  <c r="K98" i="24"/>
  <c r="J98" i="24"/>
  <c r="I98" i="24"/>
  <c r="H98" i="24"/>
  <c r="G98" i="24"/>
  <c r="F98" i="24"/>
  <c r="E98" i="24"/>
  <c r="D98" i="24"/>
  <c r="C98" i="24"/>
  <c r="Q97" i="24"/>
  <c r="P97" i="24"/>
  <c r="O97" i="24"/>
  <c r="N97" i="24"/>
  <c r="M97" i="24"/>
  <c r="L97" i="24"/>
  <c r="K97" i="24"/>
  <c r="J97" i="24"/>
  <c r="I97" i="24"/>
  <c r="H97" i="24"/>
  <c r="G97" i="24"/>
  <c r="F97" i="24"/>
  <c r="E97" i="24"/>
  <c r="D97" i="24"/>
  <c r="C97" i="24"/>
  <c r="Q96" i="24"/>
  <c r="P96" i="24"/>
  <c r="O96" i="24"/>
  <c r="N96" i="24"/>
  <c r="M96" i="24"/>
  <c r="L96" i="24"/>
  <c r="K96" i="24"/>
  <c r="J96" i="24"/>
  <c r="I96" i="24"/>
  <c r="H96" i="24"/>
  <c r="G96" i="24"/>
  <c r="F96" i="24"/>
  <c r="E96" i="24"/>
  <c r="D96" i="24"/>
  <c r="C96" i="24"/>
  <c r="Q95" i="24"/>
  <c r="P95" i="24"/>
  <c r="O95" i="24"/>
  <c r="N95" i="24"/>
  <c r="M95" i="24"/>
  <c r="L95" i="24"/>
  <c r="K95" i="24"/>
  <c r="J95" i="24"/>
  <c r="I95" i="24"/>
  <c r="H95" i="24"/>
  <c r="G95" i="24"/>
  <c r="F95" i="24"/>
  <c r="E95" i="24"/>
  <c r="D95" i="24"/>
  <c r="C95" i="24"/>
  <c r="Q94" i="24"/>
  <c r="P94" i="24"/>
  <c r="O94" i="24"/>
  <c r="N94" i="24"/>
  <c r="M94" i="24"/>
  <c r="L94" i="24"/>
  <c r="K94" i="24"/>
  <c r="J94" i="24"/>
  <c r="I94" i="24"/>
  <c r="H94" i="24"/>
  <c r="G94" i="24"/>
  <c r="F94" i="24"/>
  <c r="E94" i="24"/>
  <c r="D94" i="24"/>
  <c r="C94" i="24"/>
  <c r="Q93" i="24"/>
  <c r="P93" i="24"/>
  <c r="O93" i="24"/>
  <c r="N93" i="24"/>
  <c r="M93" i="24"/>
  <c r="L93" i="24"/>
  <c r="K93" i="24"/>
  <c r="J93" i="24"/>
  <c r="I93" i="24"/>
  <c r="H93" i="24"/>
  <c r="G93" i="24"/>
  <c r="F93" i="24"/>
  <c r="E93" i="24"/>
  <c r="D93" i="24"/>
  <c r="C93" i="24"/>
  <c r="Q92" i="24"/>
  <c r="P92" i="24"/>
  <c r="O92" i="24"/>
  <c r="N92" i="24"/>
  <c r="M92" i="24"/>
  <c r="L92" i="24"/>
  <c r="K92" i="24"/>
  <c r="J92" i="24"/>
  <c r="I92" i="24"/>
  <c r="H92" i="24"/>
  <c r="G92" i="24"/>
  <c r="F92" i="24"/>
  <c r="E92" i="24"/>
  <c r="D92" i="24"/>
  <c r="C92" i="24"/>
  <c r="Q91" i="24"/>
  <c r="P91" i="24"/>
  <c r="O91" i="24"/>
  <c r="N91" i="24"/>
  <c r="M91" i="24"/>
  <c r="L91" i="24"/>
  <c r="K91" i="24"/>
  <c r="J91" i="24"/>
  <c r="I91" i="24"/>
  <c r="H91" i="24"/>
  <c r="G91" i="24"/>
  <c r="F91" i="24"/>
  <c r="E91" i="24"/>
  <c r="D91" i="24"/>
  <c r="C91" i="24"/>
  <c r="Q90" i="24"/>
  <c r="P90" i="24"/>
  <c r="O90" i="24"/>
  <c r="N90" i="24"/>
  <c r="M90" i="24"/>
  <c r="L90" i="24"/>
  <c r="K90" i="24"/>
  <c r="J90" i="24"/>
  <c r="I90" i="24"/>
  <c r="H90" i="24"/>
  <c r="G90" i="24"/>
  <c r="F90" i="24"/>
  <c r="E90" i="24"/>
  <c r="D90" i="24"/>
  <c r="C90" i="24"/>
  <c r="Q89" i="24"/>
  <c r="P89" i="24"/>
  <c r="O89" i="24"/>
  <c r="N89" i="24"/>
  <c r="M89" i="24"/>
  <c r="L89" i="24"/>
  <c r="K89" i="24"/>
  <c r="J89" i="24"/>
  <c r="I89" i="24"/>
  <c r="H89" i="24"/>
  <c r="G89" i="24"/>
  <c r="F89" i="24"/>
  <c r="E89" i="24"/>
  <c r="D89" i="24"/>
  <c r="C89" i="24"/>
  <c r="Q88" i="24"/>
  <c r="P88" i="24"/>
  <c r="O88" i="24"/>
  <c r="N88" i="24"/>
  <c r="M88" i="24"/>
  <c r="L88" i="24"/>
  <c r="K88" i="24"/>
  <c r="J88" i="24"/>
  <c r="I88" i="24"/>
  <c r="H88" i="24"/>
  <c r="G88" i="24"/>
  <c r="F88" i="24"/>
  <c r="E88" i="24"/>
  <c r="D88" i="24"/>
  <c r="C88" i="24"/>
  <c r="Q87" i="24"/>
  <c r="P87" i="24"/>
  <c r="O87" i="24"/>
  <c r="N87" i="24"/>
  <c r="M87" i="24"/>
  <c r="L87" i="24"/>
  <c r="K87" i="24"/>
  <c r="J87" i="24"/>
  <c r="I87" i="24"/>
  <c r="H87" i="24"/>
  <c r="G87" i="24"/>
  <c r="F87" i="24"/>
  <c r="E87" i="24"/>
  <c r="D87" i="24"/>
  <c r="C87" i="24"/>
  <c r="Q86" i="24"/>
  <c r="P86" i="24"/>
  <c r="O86" i="24"/>
  <c r="N86" i="24"/>
  <c r="M86" i="24"/>
  <c r="L86" i="24"/>
  <c r="K86" i="24"/>
  <c r="J86" i="24"/>
  <c r="I86" i="24"/>
  <c r="H86" i="24"/>
  <c r="G86" i="24"/>
  <c r="F86" i="24"/>
  <c r="E86" i="24"/>
  <c r="D86" i="24"/>
  <c r="C86" i="24"/>
  <c r="Q85" i="24"/>
  <c r="P85" i="24"/>
  <c r="O85" i="24"/>
  <c r="N85" i="24"/>
  <c r="M85" i="24"/>
  <c r="L85" i="24"/>
  <c r="K85" i="24"/>
  <c r="J85" i="24"/>
  <c r="I85" i="24"/>
  <c r="H85" i="24"/>
  <c r="G85" i="24"/>
  <c r="F85" i="24"/>
  <c r="E85" i="24"/>
  <c r="D85" i="24"/>
  <c r="C85" i="24"/>
  <c r="Q84" i="24"/>
  <c r="P84" i="24"/>
  <c r="O84" i="24"/>
  <c r="N84" i="24"/>
  <c r="M84" i="24"/>
  <c r="L84" i="24"/>
  <c r="K84" i="24"/>
  <c r="J84" i="24"/>
  <c r="I84" i="24"/>
  <c r="H84" i="24"/>
  <c r="G84" i="24"/>
  <c r="F84" i="24"/>
  <c r="E84" i="24"/>
  <c r="D84" i="24"/>
  <c r="C84" i="24"/>
  <c r="Q83" i="24"/>
  <c r="P83" i="24"/>
  <c r="O83" i="24"/>
  <c r="N83" i="24"/>
  <c r="M83" i="24"/>
  <c r="L83" i="24"/>
  <c r="K83" i="24"/>
  <c r="J83" i="24"/>
  <c r="I83" i="24"/>
  <c r="H83" i="24"/>
  <c r="G83" i="24"/>
  <c r="F83" i="24"/>
  <c r="E83" i="24"/>
  <c r="D83" i="24"/>
  <c r="C83" i="24"/>
  <c r="Q82" i="24"/>
  <c r="P82" i="24"/>
  <c r="O82" i="24"/>
  <c r="N82" i="24"/>
  <c r="M82" i="24"/>
  <c r="L82" i="24"/>
  <c r="K82" i="24"/>
  <c r="J82" i="24"/>
  <c r="I82" i="24"/>
  <c r="H82" i="24"/>
  <c r="G82" i="24"/>
  <c r="F82" i="24"/>
  <c r="E82" i="24"/>
  <c r="D82" i="24"/>
  <c r="C82" i="24"/>
  <c r="Q81" i="24"/>
  <c r="P81" i="24"/>
  <c r="O81" i="24"/>
  <c r="N81" i="24"/>
  <c r="M81" i="24"/>
  <c r="L81" i="24"/>
  <c r="K81" i="24"/>
  <c r="J81" i="24"/>
  <c r="I81" i="24"/>
  <c r="H81" i="24"/>
  <c r="G81" i="24"/>
  <c r="F81" i="24"/>
  <c r="E81" i="24"/>
  <c r="D81" i="24"/>
  <c r="C81" i="24"/>
  <c r="Q80" i="24"/>
  <c r="P80" i="24"/>
  <c r="O80" i="24"/>
  <c r="N80" i="24"/>
  <c r="M80" i="24"/>
  <c r="L80" i="24"/>
  <c r="K80" i="24"/>
  <c r="J80" i="24"/>
  <c r="I80" i="24"/>
  <c r="H80" i="24"/>
  <c r="G80" i="24"/>
  <c r="F80" i="24"/>
  <c r="E80" i="24"/>
  <c r="D80" i="24"/>
  <c r="C80" i="24"/>
  <c r="Q79" i="24"/>
  <c r="P79" i="24"/>
  <c r="O79" i="24"/>
  <c r="N79" i="24"/>
  <c r="M79" i="24"/>
  <c r="L79" i="24"/>
  <c r="K79" i="24"/>
  <c r="J79" i="24"/>
  <c r="I79" i="24"/>
  <c r="H79" i="24"/>
  <c r="G79" i="24"/>
  <c r="F79" i="24"/>
  <c r="E79" i="24"/>
  <c r="D79" i="24"/>
  <c r="C79" i="24"/>
  <c r="Q78" i="24"/>
  <c r="P78" i="24"/>
  <c r="O78" i="24"/>
  <c r="N78" i="24"/>
  <c r="M78" i="24"/>
  <c r="L78" i="24"/>
  <c r="K78" i="24"/>
  <c r="J78" i="24"/>
  <c r="I78" i="24"/>
  <c r="H78" i="24"/>
  <c r="G78" i="24"/>
  <c r="F78" i="24"/>
  <c r="E78" i="24"/>
  <c r="D78" i="24"/>
  <c r="C78" i="24"/>
  <c r="Q77" i="24"/>
  <c r="P77" i="24"/>
  <c r="O77" i="24"/>
  <c r="N77" i="24"/>
  <c r="M77" i="24"/>
  <c r="L77" i="24"/>
  <c r="K77" i="24"/>
  <c r="J77" i="24"/>
  <c r="I77" i="24"/>
  <c r="H77" i="24"/>
  <c r="G77" i="24"/>
  <c r="F77" i="24"/>
  <c r="E77" i="24"/>
  <c r="D77" i="24"/>
  <c r="C77" i="24"/>
  <c r="Q76" i="24"/>
  <c r="P76" i="24"/>
  <c r="O76" i="24"/>
  <c r="N76" i="24"/>
  <c r="M76" i="24"/>
  <c r="L76" i="24"/>
  <c r="K76" i="24"/>
  <c r="J76" i="24"/>
  <c r="I76" i="24"/>
  <c r="H76" i="24"/>
  <c r="G76" i="24"/>
  <c r="F76" i="24"/>
  <c r="E76" i="24"/>
  <c r="D76" i="24"/>
  <c r="C76" i="24"/>
  <c r="Q75" i="24"/>
  <c r="P75" i="24"/>
  <c r="O75" i="24"/>
  <c r="N75" i="24"/>
  <c r="M75" i="24"/>
  <c r="L75" i="24"/>
  <c r="K75" i="24"/>
  <c r="J75" i="24"/>
  <c r="I75" i="24"/>
  <c r="H75" i="24"/>
  <c r="G75" i="24"/>
  <c r="F75" i="24"/>
  <c r="E75" i="24"/>
  <c r="D75" i="24"/>
  <c r="C75" i="24"/>
  <c r="Q74" i="24"/>
  <c r="P74" i="24"/>
  <c r="O74" i="24"/>
  <c r="N74" i="24"/>
  <c r="M74" i="24"/>
  <c r="L74" i="24"/>
  <c r="K74" i="24"/>
  <c r="J74" i="24"/>
  <c r="I74" i="24"/>
  <c r="H74" i="24"/>
  <c r="G74" i="24"/>
  <c r="F74" i="24"/>
  <c r="E74" i="24"/>
  <c r="D74" i="24"/>
  <c r="C74" i="24"/>
  <c r="Q73" i="24"/>
  <c r="P73" i="24"/>
  <c r="O73" i="24"/>
  <c r="N73" i="24"/>
  <c r="M73" i="24"/>
  <c r="L73" i="24"/>
  <c r="K73" i="24"/>
  <c r="J73" i="24"/>
  <c r="I73" i="24"/>
  <c r="H73" i="24"/>
  <c r="G73" i="24"/>
  <c r="F73" i="24"/>
  <c r="E73" i="24"/>
  <c r="D73" i="24"/>
  <c r="C73" i="24"/>
  <c r="Q72" i="24"/>
  <c r="P72" i="24"/>
  <c r="O72" i="24"/>
  <c r="N72" i="24"/>
  <c r="M72" i="24"/>
  <c r="L72" i="24"/>
  <c r="K72" i="24"/>
  <c r="J72" i="24"/>
  <c r="I72" i="24"/>
  <c r="H72" i="24"/>
  <c r="G72" i="24"/>
  <c r="F72" i="24"/>
  <c r="E72" i="24"/>
  <c r="D72" i="24"/>
  <c r="C72" i="24"/>
  <c r="Q71" i="24"/>
  <c r="P71" i="24"/>
  <c r="O71" i="24"/>
  <c r="N71" i="24"/>
  <c r="M71" i="24"/>
  <c r="L71" i="24"/>
  <c r="K71" i="24"/>
  <c r="J71" i="24"/>
  <c r="I71" i="24"/>
  <c r="H71" i="24"/>
  <c r="G71" i="24"/>
  <c r="F71" i="24"/>
  <c r="E71" i="24"/>
  <c r="D71" i="24"/>
  <c r="C71" i="24"/>
  <c r="Q70" i="24"/>
  <c r="P70" i="24"/>
  <c r="O70" i="24"/>
  <c r="N70" i="24"/>
  <c r="M70" i="24"/>
  <c r="L70" i="24"/>
  <c r="K70" i="24"/>
  <c r="J70" i="24"/>
  <c r="I70" i="24"/>
  <c r="H70" i="24"/>
  <c r="G70" i="24"/>
  <c r="F70" i="24"/>
  <c r="E70" i="24"/>
  <c r="D70" i="24"/>
  <c r="C70" i="24"/>
  <c r="Q69" i="24"/>
  <c r="P69" i="24"/>
  <c r="O69" i="24"/>
  <c r="N69" i="24"/>
  <c r="M69" i="24"/>
  <c r="L69" i="24"/>
  <c r="K69" i="24"/>
  <c r="J69" i="24"/>
  <c r="I69" i="24"/>
  <c r="H69" i="24"/>
  <c r="G69" i="24"/>
  <c r="F69" i="24"/>
  <c r="E69" i="24"/>
  <c r="D69" i="24"/>
  <c r="C69" i="24"/>
  <c r="Q68" i="24"/>
  <c r="P68" i="24"/>
  <c r="O68" i="24"/>
  <c r="N68" i="24"/>
  <c r="M68" i="24"/>
  <c r="L68" i="24"/>
  <c r="K68" i="24"/>
  <c r="J68" i="24"/>
  <c r="I68" i="24"/>
  <c r="H68" i="24"/>
  <c r="G68" i="24"/>
  <c r="F68" i="24"/>
  <c r="E68" i="24"/>
  <c r="D68" i="24"/>
  <c r="C68" i="24"/>
  <c r="Q67" i="24"/>
  <c r="P67" i="24"/>
  <c r="O67" i="24"/>
  <c r="N67" i="24"/>
  <c r="M67" i="24"/>
  <c r="L67" i="24"/>
  <c r="K67" i="24"/>
  <c r="J67" i="24"/>
  <c r="I67" i="24"/>
  <c r="H67" i="24"/>
  <c r="G67" i="24"/>
  <c r="F67" i="24"/>
  <c r="E67" i="24"/>
  <c r="D67" i="24"/>
  <c r="C67" i="24"/>
  <c r="Q66" i="24"/>
  <c r="P66" i="24"/>
  <c r="O66" i="24"/>
  <c r="N66" i="24"/>
  <c r="M66" i="24"/>
  <c r="L66" i="24"/>
  <c r="K66" i="24"/>
  <c r="J66" i="24"/>
  <c r="I66" i="24"/>
  <c r="H66" i="24"/>
  <c r="G66" i="24"/>
  <c r="F66" i="24"/>
  <c r="E66" i="24"/>
  <c r="D66" i="24"/>
  <c r="C66" i="24"/>
  <c r="Q65" i="24"/>
  <c r="P65" i="24"/>
  <c r="O65" i="24"/>
  <c r="N65" i="24"/>
  <c r="M65" i="24"/>
  <c r="L65" i="24"/>
  <c r="K65" i="24"/>
  <c r="J65" i="24"/>
  <c r="I65" i="24"/>
  <c r="H65" i="24"/>
  <c r="G65" i="24"/>
  <c r="F65" i="24"/>
  <c r="E65" i="24"/>
  <c r="D65" i="24"/>
  <c r="C65" i="24"/>
  <c r="Q64" i="24"/>
  <c r="P64" i="24"/>
  <c r="O64" i="24"/>
  <c r="N64" i="24"/>
  <c r="M64" i="24"/>
  <c r="L64" i="24"/>
  <c r="K64" i="24"/>
  <c r="J64" i="24"/>
  <c r="I64" i="24"/>
  <c r="H64" i="24"/>
  <c r="G64" i="24"/>
  <c r="F64" i="24"/>
  <c r="E64" i="24"/>
  <c r="D64" i="24"/>
  <c r="C64" i="24"/>
  <c r="Q63" i="24"/>
  <c r="P63" i="24"/>
  <c r="O63" i="24"/>
  <c r="N63" i="24"/>
  <c r="M63" i="24"/>
  <c r="L63" i="24"/>
  <c r="K63" i="24"/>
  <c r="J63" i="24"/>
  <c r="I63" i="24"/>
  <c r="H63" i="24"/>
  <c r="G63" i="24"/>
  <c r="F63" i="24"/>
  <c r="E63" i="24"/>
  <c r="D63" i="24"/>
  <c r="C63" i="24"/>
  <c r="Q62" i="24"/>
  <c r="P62" i="24"/>
  <c r="O62" i="24"/>
  <c r="N62" i="24"/>
  <c r="M62" i="24"/>
  <c r="L62" i="24"/>
  <c r="K62" i="24"/>
  <c r="J62" i="24"/>
  <c r="I62" i="24"/>
  <c r="H62" i="24"/>
  <c r="G62" i="24"/>
  <c r="F62" i="24"/>
  <c r="E62" i="24"/>
  <c r="D62" i="24"/>
  <c r="C62" i="24"/>
  <c r="Q61" i="24"/>
  <c r="P61" i="24"/>
  <c r="O61" i="24"/>
  <c r="N61" i="24"/>
  <c r="M61" i="24"/>
  <c r="L61" i="24"/>
  <c r="K61" i="24"/>
  <c r="J61" i="24"/>
  <c r="I61" i="24"/>
  <c r="H61" i="24"/>
  <c r="G61" i="24"/>
  <c r="F61" i="24"/>
  <c r="E61" i="24"/>
  <c r="D61" i="24"/>
  <c r="C61" i="24"/>
  <c r="Q60" i="24"/>
  <c r="P60" i="24"/>
  <c r="O60" i="24"/>
  <c r="N60" i="24"/>
  <c r="M60" i="24"/>
  <c r="L60" i="24"/>
  <c r="K60" i="24"/>
  <c r="J60" i="24"/>
  <c r="I60" i="24"/>
  <c r="H60" i="24"/>
  <c r="G60" i="24"/>
  <c r="F60" i="24"/>
  <c r="E60" i="24"/>
  <c r="D60" i="24"/>
  <c r="C60" i="24"/>
  <c r="Q59" i="24"/>
  <c r="P59" i="24"/>
  <c r="O59" i="24"/>
  <c r="N59" i="24"/>
  <c r="M59" i="24"/>
  <c r="L59" i="24"/>
  <c r="K59" i="24"/>
  <c r="J59" i="24"/>
  <c r="I59" i="24"/>
  <c r="H59" i="24"/>
  <c r="G59" i="24"/>
  <c r="F59" i="24"/>
  <c r="E59" i="24"/>
  <c r="D59" i="24"/>
  <c r="C59" i="24"/>
  <c r="Q58" i="24"/>
  <c r="P58" i="24"/>
  <c r="O58" i="24"/>
  <c r="N58" i="24"/>
  <c r="M58" i="24"/>
  <c r="L58" i="24"/>
  <c r="K58" i="24"/>
  <c r="J58" i="24"/>
  <c r="I58" i="24"/>
  <c r="H58" i="24"/>
  <c r="G58" i="24"/>
  <c r="F58" i="24"/>
  <c r="E58" i="24"/>
  <c r="D58" i="24"/>
  <c r="C58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7" i="24"/>
  <c r="C57" i="24"/>
  <c r="Q56" i="24"/>
  <c r="P56" i="24"/>
  <c r="O56" i="24"/>
  <c r="N56" i="24"/>
  <c r="M56" i="24"/>
  <c r="L56" i="24"/>
  <c r="K56" i="24"/>
  <c r="J56" i="24"/>
  <c r="I56" i="24"/>
  <c r="H56" i="24"/>
  <c r="G56" i="24"/>
  <c r="F56" i="24"/>
  <c r="E56" i="24"/>
  <c r="D56" i="24"/>
  <c r="C56" i="24"/>
  <c r="Q55" i="24"/>
  <c r="P55" i="24"/>
  <c r="O55" i="24"/>
  <c r="N55" i="24"/>
  <c r="M55" i="24"/>
  <c r="L55" i="24"/>
  <c r="K55" i="24"/>
  <c r="J55" i="24"/>
  <c r="I55" i="24"/>
  <c r="H55" i="24"/>
  <c r="G55" i="24"/>
  <c r="F55" i="24"/>
  <c r="E55" i="24"/>
  <c r="D55" i="24"/>
  <c r="C55" i="24"/>
  <c r="Q54" i="24"/>
  <c r="P54" i="24"/>
  <c r="O54" i="24"/>
  <c r="N54" i="24"/>
  <c r="M54" i="24"/>
  <c r="L54" i="24"/>
  <c r="K54" i="24"/>
  <c r="J54" i="24"/>
  <c r="I54" i="24"/>
  <c r="H54" i="24"/>
  <c r="G54" i="24"/>
  <c r="F54" i="24"/>
  <c r="E54" i="24"/>
  <c r="D54" i="24"/>
  <c r="C54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E53" i="24"/>
  <c r="D53" i="24"/>
  <c r="C53" i="24"/>
  <c r="Q52" i="24"/>
  <c r="P52" i="24"/>
  <c r="O52" i="24"/>
  <c r="N52" i="24"/>
  <c r="M52" i="24"/>
  <c r="L52" i="24"/>
  <c r="K52" i="24"/>
  <c r="J52" i="24"/>
  <c r="I52" i="24"/>
  <c r="H52" i="24"/>
  <c r="G52" i="24"/>
  <c r="F52" i="24"/>
  <c r="E52" i="24"/>
  <c r="D52" i="24"/>
  <c r="C52" i="24"/>
  <c r="Q51" i="24"/>
  <c r="P51" i="24"/>
  <c r="O51" i="24"/>
  <c r="N51" i="24"/>
  <c r="M51" i="24"/>
  <c r="L51" i="24"/>
  <c r="K51" i="24"/>
  <c r="J51" i="24"/>
  <c r="I51" i="24"/>
  <c r="H51" i="24"/>
  <c r="G51" i="24"/>
  <c r="F51" i="24"/>
  <c r="E51" i="24"/>
  <c r="D51" i="24"/>
  <c r="C51" i="24"/>
  <c r="Q50" i="24"/>
  <c r="P50" i="24"/>
  <c r="O50" i="24"/>
  <c r="N50" i="24"/>
  <c r="M50" i="24"/>
  <c r="L50" i="24"/>
  <c r="K50" i="24"/>
  <c r="J50" i="24"/>
  <c r="I50" i="24"/>
  <c r="H50" i="24"/>
  <c r="G50" i="24"/>
  <c r="F50" i="24"/>
  <c r="E50" i="24"/>
  <c r="D50" i="24"/>
  <c r="C50" i="24"/>
  <c r="Q49" i="24"/>
  <c r="P49" i="24"/>
  <c r="O49" i="24"/>
  <c r="N49" i="24"/>
  <c r="M49" i="24"/>
  <c r="L49" i="24"/>
  <c r="K49" i="24"/>
  <c r="J49" i="24"/>
  <c r="I49" i="24"/>
  <c r="H49" i="24"/>
  <c r="G49" i="24"/>
  <c r="F49" i="24"/>
  <c r="E49" i="24"/>
  <c r="D49" i="24"/>
  <c r="C49" i="24"/>
  <c r="Q48" i="24"/>
  <c r="P48" i="24"/>
  <c r="O48" i="24"/>
  <c r="N48" i="24"/>
  <c r="M48" i="24"/>
  <c r="L48" i="24"/>
  <c r="K48" i="24"/>
  <c r="J48" i="24"/>
  <c r="I48" i="24"/>
  <c r="H48" i="24"/>
  <c r="G48" i="24"/>
  <c r="F48" i="24"/>
  <c r="E48" i="24"/>
  <c r="D48" i="24"/>
  <c r="C48" i="24"/>
  <c r="Q47" i="24"/>
  <c r="P47" i="24"/>
  <c r="O47" i="24"/>
  <c r="N47" i="24"/>
  <c r="M47" i="24"/>
  <c r="L47" i="24"/>
  <c r="K47" i="24"/>
  <c r="J47" i="24"/>
  <c r="I47" i="24"/>
  <c r="H47" i="24"/>
  <c r="G47" i="24"/>
  <c r="F47" i="24"/>
  <c r="E47" i="24"/>
  <c r="D47" i="24"/>
  <c r="C47" i="24"/>
  <c r="Q46" i="24"/>
  <c r="P46" i="24"/>
  <c r="O46" i="24"/>
  <c r="N46" i="24"/>
  <c r="M46" i="24"/>
  <c r="L46" i="24"/>
  <c r="K46" i="24"/>
  <c r="J46" i="24"/>
  <c r="I46" i="24"/>
  <c r="H46" i="24"/>
  <c r="G46" i="24"/>
  <c r="F46" i="24"/>
  <c r="E46" i="24"/>
  <c r="D46" i="24"/>
  <c r="C46" i="24"/>
  <c r="Q45" i="24"/>
  <c r="P45" i="24"/>
  <c r="O45" i="24"/>
  <c r="N45" i="24"/>
  <c r="M45" i="24"/>
  <c r="L45" i="24"/>
  <c r="K45" i="24"/>
  <c r="J45" i="24"/>
  <c r="I45" i="24"/>
  <c r="H45" i="24"/>
  <c r="G45" i="24"/>
  <c r="F45" i="24"/>
  <c r="E45" i="24"/>
  <c r="D45" i="24"/>
  <c r="C45" i="24"/>
  <c r="Q44" i="24"/>
  <c r="P44" i="24"/>
  <c r="O44" i="24"/>
  <c r="N44" i="24"/>
  <c r="M44" i="24"/>
  <c r="L44" i="24"/>
  <c r="K44" i="24"/>
  <c r="J44" i="24"/>
  <c r="I44" i="24"/>
  <c r="H44" i="24"/>
  <c r="G44" i="24"/>
  <c r="F44" i="24"/>
  <c r="E44" i="24"/>
  <c r="D44" i="24"/>
  <c r="C44" i="24"/>
  <c r="Q43" i="24"/>
  <c r="P43" i="24"/>
  <c r="O43" i="24"/>
  <c r="N43" i="24"/>
  <c r="M43" i="24"/>
  <c r="L43" i="24"/>
  <c r="K43" i="24"/>
  <c r="J43" i="24"/>
  <c r="I43" i="24"/>
  <c r="H43" i="24"/>
  <c r="G43" i="24"/>
  <c r="F43" i="24"/>
  <c r="E43" i="24"/>
  <c r="D43" i="24"/>
  <c r="C43" i="24"/>
  <c r="Q42" i="24"/>
  <c r="P42" i="24"/>
  <c r="O42" i="24"/>
  <c r="N42" i="24"/>
  <c r="M42" i="24"/>
  <c r="L42" i="24"/>
  <c r="K42" i="24"/>
  <c r="J42" i="24"/>
  <c r="I42" i="24"/>
  <c r="H42" i="24"/>
  <c r="G42" i="24"/>
  <c r="F42" i="24"/>
  <c r="E42" i="24"/>
  <c r="D42" i="24"/>
  <c r="C42" i="24"/>
  <c r="Q41" i="24"/>
  <c r="P41" i="24"/>
  <c r="O41" i="24"/>
  <c r="N41" i="24"/>
  <c r="M41" i="24"/>
  <c r="L41" i="24"/>
  <c r="K41" i="24"/>
  <c r="J41" i="24"/>
  <c r="I41" i="24"/>
  <c r="H41" i="24"/>
  <c r="G41" i="24"/>
  <c r="F41" i="24"/>
  <c r="E41" i="24"/>
  <c r="D41" i="24"/>
  <c r="C41" i="24"/>
  <c r="Q40" i="24"/>
  <c r="P40" i="24"/>
  <c r="O40" i="24"/>
  <c r="N40" i="24"/>
  <c r="M40" i="24"/>
  <c r="L40" i="24"/>
  <c r="K40" i="24"/>
  <c r="J40" i="24"/>
  <c r="I40" i="24"/>
  <c r="H40" i="24"/>
  <c r="G40" i="24"/>
  <c r="F40" i="24"/>
  <c r="E40" i="24"/>
  <c r="D40" i="24"/>
  <c r="C40" i="24"/>
  <c r="Q39" i="24"/>
  <c r="P39" i="24"/>
  <c r="O39" i="24"/>
  <c r="N39" i="24"/>
  <c r="M39" i="24"/>
  <c r="L39" i="24"/>
  <c r="K39" i="24"/>
  <c r="J39" i="24"/>
  <c r="I39" i="24"/>
  <c r="H39" i="24"/>
  <c r="G39" i="24"/>
  <c r="F39" i="24"/>
  <c r="E39" i="24"/>
  <c r="D39" i="24"/>
  <c r="C39" i="24"/>
  <c r="Q38" i="24"/>
  <c r="P38" i="24"/>
  <c r="O38" i="24"/>
  <c r="N38" i="24"/>
  <c r="M38" i="24"/>
  <c r="L38" i="24"/>
  <c r="K38" i="24"/>
  <c r="J38" i="24"/>
  <c r="I38" i="24"/>
  <c r="H38" i="24"/>
  <c r="G38" i="24"/>
  <c r="F38" i="24"/>
  <c r="E38" i="24"/>
  <c r="D38" i="24"/>
  <c r="C38" i="24"/>
  <c r="Q37" i="24"/>
  <c r="P37" i="24"/>
  <c r="O37" i="24"/>
  <c r="N37" i="24"/>
  <c r="M37" i="24"/>
  <c r="L37" i="24"/>
  <c r="K37" i="24"/>
  <c r="J37" i="24"/>
  <c r="I37" i="24"/>
  <c r="H37" i="24"/>
  <c r="G37" i="24"/>
  <c r="F37" i="24"/>
  <c r="E37" i="24"/>
  <c r="D37" i="24"/>
  <c r="C37" i="24"/>
  <c r="Q36" i="24"/>
  <c r="P36" i="24"/>
  <c r="O36" i="24"/>
  <c r="N36" i="24"/>
  <c r="M36" i="24"/>
  <c r="L36" i="24"/>
  <c r="K36" i="24"/>
  <c r="J36" i="24"/>
  <c r="I36" i="24"/>
  <c r="H36" i="24"/>
  <c r="G36" i="24"/>
  <c r="F36" i="24"/>
  <c r="E36" i="24"/>
  <c r="D36" i="24"/>
  <c r="C36" i="24"/>
  <c r="Q35" i="24"/>
  <c r="P35" i="24"/>
  <c r="O35" i="24"/>
  <c r="N35" i="24"/>
  <c r="M35" i="24"/>
  <c r="L35" i="24"/>
  <c r="K35" i="24"/>
  <c r="J35" i="24"/>
  <c r="I35" i="24"/>
  <c r="H35" i="24"/>
  <c r="G35" i="24"/>
  <c r="F35" i="24"/>
  <c r="E35" i="24"/>
  <c r="D35" i="24"/>
  <c r="C35" i="24"/>
  <c r="Q34" i="24"/>
  <c r="P34" i="24"/>
  <c r="O34" i="24"/>
  <c r="N34" i="24"/>
  <c r="M34" i="24"/>
  <c r="L34" i="24"/>
  <c r="K34" i="24"/>
  <c r="J34" i="24"/>
  <c r="I34" i="24"/>
  <c r="H34" i="24"/>
  <c r="G34" i="24"/>
  <c r="F34" i="24"/>
  <c r="E34" i="24"/>
  <c r="D34" i="24"/>
  <c r="C34" i="24"/>
  <c r="Q33" i="24"/>
  <c r="P33" i="24"/>
  <c r="O33" i="24"/>
  <c r="N33" i="24"/>
  <c r="M33" i="24"/>
  <c r="L33" i="24"/>
  <c r="K33" i="24"/>
  <c r="J33" i="24"/>
  <c r="I33" i="24"/>
  <c r="H33" i="24"/>
  <c r="G33" i="24"/>
  <c r="F33" i="24"/>
  <c r="E33" i="24"/>
  <c r="D33" i="24"/>
  <c r="C33" i="24"/>
  <c r="Q32" i="24"/>
  <c r="P32" i="24"/>
  <c r="O32" i="24"/>
  <c r="N32" i="24"/>
  <c r="M32" i="24"/>
  <c r="L32" i="24"/>
  <c r="K32" i="24"/>
  <c r="J32" i="24"/>
  <c r="I32" i="24"/>
  <c r="H32" i="24"/>
  <c r="G32" i="24"/>
  <c r="F32" i="24"/>
  <c r="E32" i="24"/>
  <c r="D32" i="24"/>
  <c r="C32" i="24"/>
  <c r="Q31" i="24"/>
  <c r="P31" i="24"/>
  <c r="O31" i="24"/>
  <c r="N31" i="24"/>
  <c r="M31" i="24"/>
  <c r="L31" i="24"/>
  <c r="K31" i="24"/>
  <c r="J31" i="24"/>
  <c r="I31" i="24"/>
  <c r="H31" i="24"/>
  <c r="G31" i="24"/>
  <c r="F31" i="24"/>
  <c r="E31" i="24"/>
  <c r="D31" i="24"/>
  <c r="C31" i="24"/>
  <c r="Q30" i="24"/>
  <c r="P30" i="24"/>
  <c r="O30" i="24"/>
  <c r="N30" i="24"/>
  <c r="M30" i="24"/>
  <c r="L30" i="24"/>
  <c r="K30" i="24"/>
  <c r="J30" i="24"/>
  <c r="I30" i="24"/>
  <c r="H30" i="24"/>
  <c r="G30" i="24"/>
  <c r="F30" i="24"/>
  <c r="E30" i="24"/>
  <c r="D30" i="24"/>
  <c r="C30" i="24"/>
  <c r="Q29" i="24"/>
  <c r="P29" i="24"/>
  <c r="O29" i="24"/>
  <c r="N29" i="24"/>
  <c r="M29" i="24"/>
  <c r="L29" i="24"/>
  <c r="K29" i="24"/>
  <c r="J29" i="24"/>
  <c r="I29" i="24"/>
  <c r="H29" i="24"/>
  <c r="G29" i="24"/>
  <c r="F29" i="24"/>
  <c r="E29" i="24"/>
  <c r="D29" i="24"/>
  <c r="C29" i="24"/>
  <c r="Q28" i="24"/>
  <c r="P28" i="24"/>
  <c r="O28" i="24"/>
  <c r="N28" i="24"/>
  <c r="M28" i="24"/>
  <c r="L28" i="24"/>
  <c r="K28" i="24"/>
  <c r="J28" i="24"/>
  <c r="I28" i="24"/>
  <c r="H28" i="24"/>
  <c r="G28" i="24"/>
  <c r="F28" i="24"/>
  <c r="E28" i="24"/>
  <c r="D28" i="24"/>
  <c r="C28" i="24"/>
  <c r="Q27" i="24"/>
  <c r="P27" i="24"/>
  <c r="O27" i="24"/>
  <c r="N27" i="24"/>
  <c r="M27" i="24"/>
  <c r="L27" i="24"/>
  <c r="K27" i="24"/>
  <c r="J27" i="24"/>
  <c r="I27" i="24"/>
  <c r="H27" i="24"/>
  <c r="G27" i="24"/>
  <c r="F27" i="24"/>
  <c r="E27" i="24"/>
  <c r="D27" i="24"/>
  <c r="C27" i="24"/>
  <c r="Q26" i="24"/>
  <c r="P26" i="24"/>
  <c r="O26" i="24"/>
  <c r="N26" i="24"/>
  <c r="M26" i="24"/>
  <c r="L26" i="24"/>
  <c r="K26" i="24"/>
  <c r="J26" i="24"/>
  <c r="I26" i="24"/>
  <c r="H26" i="24"/>
  <c r="G26" i="24"/>
  <c r="F26" i="24"/>
  <c r="E26" i="24"/>
  <c r="D26" i="24"/>
  <c r="C26" i="24"/>
  <c r="Q25" i="24"/>
  <c r="P25" i="24"/>
  <c r="O25" i="24"/>
  <c r="N25" i="24"/>
  <c r="M25" i="24"/>
  <c r="L25" i="24"/>
  <c r="K25" i="24"/>
  <c r="J25" i="24"/>
  <c r="I25" i="24"/>
  <c r="H25" i="24"/>
  <c r="G25" i="24"/>
  <c r="F25" i="24"/>
  <c r="E25" i="24"/>
  <c r="D25" i="24"/>
  <c r="C25" i="24"/>
  <c r="Q24" i="24"/>
  <c r="P24" i="24"/>
  <c r="O24" i="24"/>
  <c r="N24" i="24"/>
  <c r="M24" i="24"/>
  <c r="L24" i="24"/>
  <c r="K24" i="24"/>
  <c r="J24" i="24"/>
  <c r="I24" i="24"/>
  <c r="H24" i="24"/>
  <c r="G24" i="24"/>
  <c r="F24" i="24"/>
  <c r="E24" i="24"/>
  <c r="D24" i="24"/>
  <c r="C24" i="24"/>
  <c r="Q23" i="24"/>
  <c r="P23" i="24"/>
  <c r="O23" i="24"/>
  <c r="N23" i="24"/>
  <c r="M23" i="24"/>
  <c r="L23" i="24"/>
  <c r="K23" i="24"/>
  <c r="J23" i="24"/>
  <c r="I23" i="24"/>
  <c r="H23" i="24"/>
  <c r="G23" i="24"/>
  <c r="F23" i="24"/>
  <c r="E23" i="24"/>
  <c r="D23" i="24"/>
  <c r="C23" i="24"/>
  <c r="Q22" i="24"/>
  <c r="P22" i="24"/>
  <c r="O22" i="24"/>
  <c r="N22" i="24"/>
  <c r="M22" i="24"/>
  <c r="L22" i="24"/>
  <c r="K22" i="24"/>
  <c r="J22" i="24"/>
  <c r="I22" i="24"/>
  <c r="H22" i="24"/>
  <c r="G22" i="24"/>
  <c r="F22" i="24"/>
  <c r="E22" i="24"/>
  <c r="D22" i="24"/>
  <c r="C22" i="24"/>
  <c r="Q21" i="24"/>
  <c r="P21" i="24"/>
  <c r="O21" i="24"/>
  <c r="N21" i="24"/>
  <c r="M21" i="24"/>
  <c r="L21" i="24"/>
  <c r="K21" i="24"/>
  <c r="J21" i="24"/>
  <c r="I21" i="24"/>
  <c r="H21" i="24"/>
  <c r="G21" i="24"/>
  <c r="F21" i="24"/>
  <c r="E21" i="24"/>
  <c r="D21" i="24"/>
  <c r="C21" i="24"/>
  <c r="Q20" i="24"/>
  <c r="P20" i="24"/>
  <c r="O20" i="24"/>
  <c r="N20" i="24"/>
  <c r="M20" i="24"/>
  <c r="L20" i="24"/>
  <c r="K20" i="24"/>
  <c r="J20" i="24"/>
  <c r="I20" i="24"/>
  <c r="H20" i="24"/>
  <c r="G20" i="24"/>
  <c r="F20" i="24"/>
  <c r="E20" i="24"/>
  <c r="D20" i="24"/>
  <c r="C20" i="24"/>
  <c r="Q19" i="24"/>
  <c r="P19" i="24"/>
  <c r="O19" i="24"/>
  <c r="N19" i="24"/>
  <c r="M19" i="24"/>
  <c r="L19" i="24"/>
  <c r="K19" i="24"/>
  <c r="J19" i="24"/>
  <c r="I19" i="24"/>
  <c r="H19" i="24"/>
  <c r="G19" i="24"/>
  <c r="F19" i="24"/>
  <c r="E19" i="24"/>
  <c r="D19" i="24"/>
  <c r="C19" i="24"/>
  <c r="Q18" i="24"/>
  <c r="P18" i="24"/>
  <c r="O18" i="24"/>
  <c r="N18" i="24"/>
  <c r="M18" i="24"/>
  <c r="L18" i="24"/>
  <c r="K18" i="24"/>
  <c r="J18" i="24"/>
  <c r="I18" i="24"/>
  <c r="H18" i="24"/>
  <c r="G18" i="24"/>
  <c r="F18" i="24"/>
  <c r="E18" i="24"/>
  <c r="D18" i="24"/>
  <c r="C18" i="24"/>
  <c r="Q17" i="24"/>
  <c r="P17" i="24"/>
  <c r="O17" i="24"/>
  <c r="N17" i="24"/>
  <c r="M17" i="24"/>
  <c r="L17" i="24"/>
  <c r="K17" i="24"/>
  <c r="J17" i="24"/>
  <c r="I17" i="24"/>
  <c r="H17" i="24"/>
  <c r="G17" i="24"/>
  <c r="F17" i="24"/>
  <c r="E17" i="24"/>
  <c r="D17" i="24"/>
  <c r="C17" i="24"/>
  <c r="Q16" i="24"/>
  <c r="P16" i="24"/>
  <c r="O16" i="24"/>
  <c r="N16" i="24"/>
  <c r="M16" i="24"/>
  <c r="L16" i="24"/>
  <c r="K16" i="24"/>
  <c r="J16" i="24"/>
  <c r="I16" i="24"/>
  <c r="H16" i="24"/>
  <c r="G16" i="24"/>
  <c r="F16" i="24"/>
  <c r="E16" i="24"/>
  <c r="D16" i="24"/>
  <c r="C16" i="24"/>
  <c r="Q15" i="24"/>
  <c r="P15" i="24"/>
  <c r="O15" i="24"/>
  <c r="N15" i="24"/>
  <c r="M15" i="24"/>
  <c r="L15" i="24"/>
  <c r="K15" i="24"/>
  <c r="J15" i="24"/>
  <c r="I15" i="24"/>
  <c r="H15" i="24"/>
  <c r="G15" i="24"/>
  <c r="F15" i="24"/>
  <c r="E15" i="24"/>
  <c r="D15" i="24"/>
  <c r="C15" i="24"/>
  <c r="Q14" i="24"/>
  <c r="P14" i="24"/>
  <c r="O14" i="24"/>
  <c r="N14" i="24"/>
  <c r="M14" i="24"/>
  <c r="L14" i="24"/>
  <c r="K14" i="24"/>
  <c r="J14" i="24"/>
  <c r="I14" i="24"/>
  <c r="H14" i="24"/>
  <c r="G14" i="24"/>
  <c r="F14" i="24"/>
  <c r="E14" i="24"/>
  <c r="D14" i="24"/>
  <c r="C14" i="24"/>
  <c r="Q13" i="24"/>
  <c r="P13" i="24"/>
  <c r="O13" i="24"/>
  <c r="N13" i="24"/>
  <c r="M13" i="24"/>
  <c r="L13" i="24"/>
  <c r="K13" i="24"/>
  <c r="J13" i="24"/>
  <c r="I13" i="24"/>
  <c r="H13" i="24"/>
  <c r="G13" i="24"/>
  <c r="F13" i="24"/>
  <c r="E13" i="24"/>
  <c r="D13" i="24"/>
  <c r="C13" i="24"/>
  <c r="Q12" i="24"/>
  <c r="P12" i="24"/>
  <c r="O12" i="24"/>
  <c r="N12" i="24"/>
  <c r="M12" i="24"/>
  <c r="L12" i="24"/>
  <c r="K12" i="24"/>
  <c r="J12" i="24"/>
  <c r="I12" i="24"/>
  <c r="H12" i="24"/>
  <c r="G12" i="24"/>
  <c r="F12" i="24"/>
  <c r="E12" i="24"/>
  <c r="D12" i="24"/>
  <c r="C12" i="24"/>
  <c r="Q11" i="24"/>
  <c r="P11" i="24"/>
  <c r="O11" i="24"/>
  <c r="N11" i="24"/>
  <c r="M11" i="24"/>
  <c r="L11" i="24"/>
  <c r="K11" i="24"/>
  <c r="J11" i="24"/>
  <c r="I11" i="24"/>
  <c r="H11" i="24"/>
  <c r="G11" i="24"/>
  <c r="F11" i="24"/>
  <c r="E11" i="24"/>
  <c r="D11" i="24"/>
  <c r="C11" i="24"/>
  <c r="Q10" i="24"/>
  <c r="P10" i="24"/>
  <c r="O10" i="24"/>
  <c r="N10" i="24"/>
  <c r="M10" i="24"/>
  <c r="L10" i="24"/>
  <c r="K10" i="24"/>
  <c r="J10" i="24"/>
  <c r="I10" i="24"/>
  <c r="H10" i="24"/>
  <c r="G10" i="24"/>
  <c r="F10" i="24"/>
  <c r="E10" i="24"/>
  <c r="D10" i="24"/>
  <c r="C10" i="24"/>
  <c r="AH9" i="24"/>
  <c r="Q9" i="24" s="1"/>
  <c r="AG9" i="24"/>
  <c r="P9" i="24" s="1"/>
  <c r="AG8" i="24"/>
  <c r="AF8" i="24"/>
  <c r="AF6" i="24"/>
  <c r="AD5" i="24"/>
  <c r="E217" i="24" l="1"/>
  <c r="F131" i="24"/>
  <c r="AD6" i="24"/>
  <c r="I133" i="24"/>
  <c r="M131" i="24"/>
  <c r="H213" i="24"/>
  <c r="O215" i="24"/>
  <c r="Z8" i="24"/>
  <c r="M129" i="24"/>
  <c r="AF9" i="24"/>
  <c r="O5" i="24" s="1"/>
  <c r="X6" i="24"/>
  <c r="E132" i="24"/>
  <c r="AD7" i="24"/>
  <c r="Z6" i="24"/>
  <c r="U6" i="24"/>
  <c r="AC6" i="24"/>
  <c r="M133" i="24"/>
  <c r="E130" i="24"/>
  <c r="AC9" i="24"/>
  <c r="M6" i="24" s="1"/>
  <c r="AB4" i="24"/>
  <c r="F132" i="24"/>
  <c r="X4" i="24"/>
  <c r="Q338" i="18"/>
  <c r="AI332" i="18"/>
  <c r="Q335" i="18"/>
  <c r="Q337" i="18"/>
  <c r="G292" i="24"/>
  <c r="M213" i="24"/>
  <c r="AC7" i="24"/>
  <c r="M218" i="24"/>
  <c r="K130" i="24"/>
  <c r="AB7" i="24"/>
  <c r="J134" i="24"/>
  <c r="Z4" i="24"/>
  <c r="AA5" i="24"/>
  <c r="M217" i="24"/>
  <c r="AA4" i="24"/>
  <c r="M130" i="24"/>
  <c r="W5" i="24"/>
  <c r="J132" i="24"/>
  <c r="K134" i="24"/>
  <c r="E214" i="24"/>
  <c r="D214" i="24"/>
  <c r="J215" i="24"/>
  <c r="E215" i="24"/>
  <c r="K216" i="24"/>
  <c r="I293" i="24"/>
  <c r="F295" i="24"/>
  <c r="C130" i="24"/>
  <c r="M214" i="24"/>
  <c r="AD9" i="24"/>
  <c r="F293" i="24"/>
  <c r="AA6" i="24"/>
  <c r="K132" i="24"/>
  <c r="Q215" i="24"/>
  <c r="AB5" i="24"/>
  <c r="I294" i="24"/>
  <c r="AA9" i="24"/>
  <c r="K5" i="24" s="1"/>
  <c r="K129" i="24"/>
  <c r="U4" i="24"/>
  <c r="AC4" i="24"/>
  <c r="J131" i="24"/>
  <c r="T6" i="24"/>
  <c r="AB6" i="24"/>
  <c r="M132" i="24"/>
  <c r="W7" i="24"/>
  <c r="AA8" i="24"/>
  <c r="K8" i="24" s="1"/>
  <c r="M216" i="24"/>
  <c r="E218" i="24"/>
  <c r="C217" i="24"/>
  <c r="F291" i="24"/>
  <c r="AC5" i="24"/>
  <c r="D295" i="24"/>
  <c r="AD8" i="24"/>
  <c r="J130" i="24"/>
  <c r="U7" i="24"/>
  <c r="F294" i="24"/>
  <c r="Z9" i="24"/>
  <c r="J129" i="24"/>
  <c r="C131" i="24"/>
  <c r="I214" i="24"/>
  <c r="AB9" i="24"/>
  <c r="L6" i="24" s="1"/>
  <c r="L129" i="24"/>
  <c r="E131" i="24"/>
  <c r="X7" i="24"/>
  <c r="AB8" i="24"/>
  <c r="L8" i="24" s="1"/>
  <c r="G291" i="24"/>
  <c r="F292" i="24"/>
  <c r="AA7" i="24"/>
  <c r="Y8" i="24"/>
  <c r="G296" i="24"/>
  <c r="E295" i="24"/>
  <c r="R337" i="18"/>
  <c r="R334" i="18"/>
  <c r="R338" i="18"/>
  <c r="AJ332" i="18"/>
  <c r="R335" i="18"/>
  <c r="R336" i="18"/>
  <c r="R333" i="18"/>
  <c r="S330" i="18"/>
  <c r="AK326" i="18"/>
  <c r="S332" i="18"/>
  <c r="S327" i="18"/>
  <c r="S331" i="18"/>
  <c r="S329" i="18"/>
  <c r="S328" i="18"/>
  <c r="P332" i="18"/>
  <c r="P331" i="18"/>
  <c r="P327" i="18"/>
  <c r="P330" i="18"/>
  <c r="P328" i="18"/>
  <c r="AH326" i="18"/>
  <c r="P329" i="18"/>
  <c r="P8" i="24"/>
  <c r="P7" i="24"/>
  <c r="P6" i="24"/>
  <c r="P5" i="24"/>
  <c r="O4" i="24"/>
  <c r="Q8" i="24"/>
  <c r="Q216" i="24"/>
  <c r="Q4" i="24"/>
  <c r="N292" i="24"/>
  <c r="N294" i="24"/>
  <c r="N214" i="24"/>
  <c r="N130" i="24"/>
  <c r="AE6" i="24"/>
  <c r="N133" i="24"/>
  <c r="N132" i="24"/>
  <c r="AE4" i="24"/>
  <c r="AE8" i="24"/>
  <c r="AE5" i="24"/>
  <c r="V6" i="24"/>
  <c r="H293" i="24"/>
  <c r="G294" i="24"/>
  <c r="T9" i="24"/>
  <c r="H295" i="24"/>
  <c r="T8" i="24"/>
  <c r="D213" i="24"/>
  <c r="U9" i="24"/>
  <c r="E6" i="24" s="1"/>
  <c r="S4" i="24"/>
  <c r="T4" i="24"/>
  <c r="X5" i="24"/>
  <c r="D218" i="24"/>
  <c r="U5" i="24"/>
  <c r="G213" i="24"/>
  <c r="T5" i="24"/>
  <c r="V5" i="24"/>
  <c r="Y6" i="24"/>
  <c r="T7" i="24"/>
  <c r="H214" i="24"/>
  <c r="S7" i="24"/>
  <c r="F130" i="24"/>
  <c r="G133" i="24"/>
  <c r="Y4" i="24"/>
  <c r="W6" i="24"/>
  <c r="C133" i="24"/>
  <c r="F129" i="24"/>
  <c r="C132" i="24"/>
  <c r="E133" i="24"/>
  <c r="H133" i="24"/>
  <c r="S5" i="24"/>
  <c r="C134" i="24"/>
  <c r="W8" i="24"/>
  <c r="V8" i="24"/>
  <c r="S9" i="24"/>
  <c r="P4" i="24"/>
  <c r="J5" i="24"/>
  <c r="Q5" i="24"/>
  <c r="Q6" i="24"/>
  <c r="Q7" i="24"/>
  <c r="O7" i="24"/>
  <c r="L4" i="24"/>
  <c r="K4" i="24"/>
  <c r="N134" i="24"/>
  <c r="Q214" i="24"/>
  <c r="W4" i="24"/>
  <c r="I213" i="24"/>
  <c r="N218" i="24"/>
  <c r="C292" i="24"/>
  <c r="K296" i="24"/>
  <c r="L9" i="24"/>
  <c r="D131" i="24"/>
  <c r="H132" i="24"/>
  <c r="D133" i="24"/>
  <c r="H134" i="24"/>
  <c r="C214" i="24"/>
  <c r="E216" i="24"/>
  <c r="G218" i="24"/>
  <c r="L292" i="24"/>
  <c r="L294" i="24"/>
  <c r="D296" i="24"/>
  <c r="S6" i="24"/>
  <c r="U8" i="24"/>
  <c r="E9" i="24"/>
  <c r="V9" i="24"/>
  <c r="E129" i="24"/>
  <c r="I130" i="24"/>
  <c r="I132" i="24"/>
  <c r="I134" i="24"/>
  <c r="C213" i="24"/>
  <c r="K213" i="24"/>
  <c r="F216" i="24"/>
  <c r="N216" i="24"/>
  <c r="G217" i="24"/>
  <c r="O217" i="24"/>
  <c r="H218" i="24"/>
  <c r="E292" i="24"/>
  <c r="M292" i="24"/>
  <c r="E294" i="24"/>
  <c r="M294" i="24"/>
  <c r="I295" i="24"/>
  <c r="E296" i="24"/>
  <c r="M296" i="24"/>
  <c r="N293" i="24"/>
  <c r="N295" i="24"/>
  <c r="S8" i="24"/>
  <c r="G130" i="24"/>
  <c r="G132" i="24"/>
  <c r="G134" i="24"/>
  <c r="Q213" i="24"/>
  <c r="K292" i="24"/>
  <c r="G293" i="24"/>
  <c r="D129" i="24"/>
  <c r="H130" i="24"/>
  <c r="F217" i="24"/>
  <c r="N217" i="24"/>
  <c r="H291" i="24"/>
  <c r="D292" i="24"/>
  <c r="D294" i="24"/>
  <c r="L296" i="24"/>
  <c r="W9" i="24"/>
  <c r="AE9" i="24"/>
  <c r="N129" i="24"/>
  <c r="N131" i="24"/>
  <c r="F215" i="24"/>
  <c r="N215" i="24"/>
  <c r="G216" i="24"/>
  <c r="O216" i="24"/>
  <c r="H217" i="24"/>
  <c r="N291" i="24"/>
  <c r="K9" i="24"/>
  <c r="C129" i="24"/>
  <c r="F218" i="24"/>
  <c r="X9" i="24"/>
  <c r="G129" i="24"/>
  <c r="F214" i="24"/>
  <c r="C291" i="24"/>
  <c r="C293" i="24"/>
  <c r="K293" i="24"/>
  <c r="C295" i="24"/>
  <c r="K295" i="24"/>
  <c r="AE7" i="24"/>
  <c r="O8" i="24"/>
  <c r="Y9" i="24"/>
  <c r="H129" i="24"/>
  <c r="D130" i="24"/>
  <c r="L130" i="24"/>
  <c r="H131" i="24"/>
  <c r="D132" i="24"/>
  <c r="L132" i="24"/>
  <c r="N213" i="24"/>
  <c r="G214" i="24"/>
  <c r="O214" i="24"/>
  <c r="H215" i="24"/>
  <c r="C218" i="24"/>
  <c r="K218" i="24"/>
  <c r="D291" i="24"/>
  <c r="L291" i="24"/>
  <c r="H292" i="24"/>
  <c r="D293" i="24"/>
  <c r="L293" i="24"/>
  <c r="H294" i="24"/>
  <c r="C294" i="24"/>
  <c r="K294" i="24"/>
  <c r="G295" i="24"/>
  <c r="G131" i="24"/>
  <c r="G215" i="24"/>
  <c r="I129" i="24"/>
  <c r="I131" i="24"/>
  <c r="E291" i="24"/>
  <c r="M291" i="24"/>
  <c r="E293" i="24"/>
  <c r="M293" i="24"/>
  <c r="S361" i="17"/>
  <c r="R361" i="17"/>
  <c r="Q361" i="17"/>
  <c r="P361" i="17"/>
  <c r="O361" i="17"/>
  <c r="N361" i="17"/>
  <c r="M361" i="17"/>
  <c r="L361" i="17"/>
  <c r="K361" i="17"/>
  <c r="J361" i="17"/>
  <c r="I361" i="17"/>
  <c r="H361" i="17"/>
  <c r="G361" i="17"/>
  <c r="F361" i="17"/>
  <c r="E361" i="17"/>
  <c r="D361" i="17"/>
  <c r="C361" i="17"/>
  <c r="S360" i="17"/>
  <c r="R360" i="17"/>
  <c r="Q360" i="17"/>
  <c r="P360" i="17"/>
  <c r="O360" i="17"/>
  <c r="N360" i="17"/>
  <c r="M360" i="17"/>
  <c r="L360" i="17"/>
  <c r="K360" i="17"/>
  <c r="J360" i="17"/>
  <c r="I360" i="17"/>
  <c r="H360" i="17"/>
  <c r="G360" i="17"/>
  <c r="F360" i="17"/>
  <c r="E360" i="17"/>
  <c r="D360" i="17"/>
  <c r="C360" i="17"/>
  <c r="S359" i="17"/>
  <c r="R359" i="17"/>
  <c r="Q359" i="17"/>
  <c r="P359" i="17"/>
  <c r="O359" i="17"/>
  <c r="N359" i="17"/>
  <c r="M359" i="17"/>
  <c r="L359" i="17"/>
  <c r="K359" i="17"/>
  <c r="J359" i="17"/>
  <c r="I359" i="17"/>
  <c r="H359" i="17"/>
  <c r="G359" i="17"/>
  <c r="F359" i="17"/>
  <c r="E359" i="17"/>
  <c r="D359" i="17"/>
  <c r="C359" i="17"/>
  <c r="S358" i="17"/>
  <c r="R358" i="17"/>
  <c r="Q358" i="17"/>
  <c r="P358" i="17"/>
  <c r="O358" i="17"/>
  <c r="N358" i="17"/>
  <c r="M358" i="17"/>
  <c r="L358" i="17"/>
  <c r="K358" i="17"/>
  <c r="J358" i="17"/>
  <c r="I358" i="17"/>
  <c r="H358" i="17"/>
  <c r="G358" i="17"/>
  <c r="F358" i="17"/>
  <c r="E358" i="17"/>
  <c r="D358" i="17"/>
  <c r="C358" i="17"/>
  <c r="S357" i="17"/>
  <c r="R357" i="17"/>
  <c r="Q357" i="17"/>
  <c r="P357" i="17"/>
  <c r="O357" i="17"/>
  <c r="N357" i="17"/>
  <c r="M357" i="17"/>
  <c r="L357" i="17"/>
  <c r="K357" i="17"/>
  <c r="J357" i="17"/>
  <c r="I357" i="17"/>
  <c r="H357" i="17"/>
  <c r="G357" i="17"/>
  <c r="F357" i="17"/>
  <c r="E357" i="17"/>
  <c r="D357" i="17"/>
  <c r="C357" i="17"/>
  <c r="S356" i="17"/>
  <c r="R356" i="17"/>
  <c r="Q356" i="17"/>
  <c r="P356" i="17"/>
  <c r="O356" i="17"/>
  <c r="N356" i="17"/>
  <c r="M356" i="17"/>
  <c r="L356" i="17"/>
  <c r="K356" i="17"/>
  <c r="J356" i="17"/>
  <c r="I356" i="17"/>
  <c r="H356" i="17"/>
  <c r="G356" i="17"/>
  <c r="F356" i="17"/>
  <c r="E356" i="17"/>
  <c r="D356" i="17"/>
  <c r="C356" i="17"/>
  <c r="S355" i="17"/>
  <c r="R355" i="17"/>
  <c r="Q355" i="17"/>
  <c r="P355" i="17"/>
  <c r="O355" i="17"/>
  <c r="N355" i="17"/>
  <c r="M355" i="17"/>
  <c r="L355" i="17"/>
  <c r="K355" i="17"/>
  <c r="J355" i="17"/>
  <c r="I355" i="17"/>
  <c r="H355" i="17"/>
  <c r="G355" i="17"/>
  <c r="F355" i="17"/>
  <c r="E355" i="17"/>
  <c r="D355" i="17"/>
  <c r="C355" i="17"/>
  <c r="S354" i="17"/>
  <c r="R354" i="17"/>
  <c r="Q354" i="17"/>
  <c r="P354" i="17"/>
  <c r="O354" i="17"/>
  <c r="N354" i="17"/>
  <c r="M354" i="17"/>
  <c r="L354" i="17"/>
  <c r="K354" i="17"/>
  <c r="J354" i="17"/>
  <c r="I354" i="17"/>
  <c r="H354" i="17"/>
  <c r="G354" i="17"/>
  <c r="F354" i="17"/>
  <c r="E354" i="17"/>
  <c r="D354" i="17"/>
  <c r="C354" i="17"/>
  <c r="S353" i="17"/>
  <c r="R353" i="17"/>
  <c r="Q353" i="17"/>
  <c r="P353" i="17"/>
  <c r="O353" i="17"/>
  <c r="N353" i="17"/>
  <c r="M353" i="17"/>
  <c r="L353" i="17"/>
  <c r="K353" i="17"/>
  <c r="J353" i="17"/>
  <c r="I353" i="17"/>
  <c r="H353" i="17"/>
  <c r="G353" i="17"/>
  <c r="F353" i="17"/>
  <c r="E353" i="17"/>
  <c r="D353" i="17"/>
  <c r="C353" i="17"/>
  <c r="S352" i="17"/>
  <c r="R352" i="17"/>
  <c r="Q352" i="17"/>
  <c r="P352" i="17"/>
  <c r="O352" i="17"/>
  <c r="N352" i="17"/>
  <c r="M352" i="17"/>
  <c r="L352" i="17"/>
  <c r="K352" i="17"/>
  <c r="J352" i="17"/>
  <c r="I352" i="17"/>
  <c r="H352" i="17"/>
  <c r="G352" i="17"/>
  <c r="F352" i="17"/>
  <c r="E352" i="17"/>
  <c r="D352" i="17"/>
  <c r="C352" i="17"/>
  <c r="S351" i="17"/>
  <c r="R351" i="17"/>
  <c r="Q351" i="17"/>
  <c r="P351" i="17"/>
  <c r="O351" i="17"/>
  <c r="N351" i="17"/>
  <c r="M351" i="17"/>
  <c r="L351" i="17"/>
  <c r="K351" i="17"/>
  <c r="J351" i="17"/>
  <c r="I351" i="17"/>
  <c r="H351" i="17"/>
  <c r="G351" i="17"/>
  <c r="F351" i="17"/>
  <c r="E351" i="17"/>
  <c r="D351" i="17"/>
  <c r="C351" i="17"/>
  <c r="S350" i="17"/>
  <c r="R350" i="17"/>
  <c r="Q350" i="17"/>
  <c r="P350" i="17"/>
  <c r="O350" i="17"/>
  <c r="N350" i="17"/>
  <c r="M350" i="17"/>
  <c r="L350" i="17"/>
  <c r="K350" i="17"/>
  <c r="J350" i="17"/>
  <c r="I350" i="17"/>
  <c r="H350" i="17"/>
  <c r="G350" i="17"/>
  <c r="F350" i="17"/>
  <c r="E350" i="17"/>
  <c r="D350" i="17"/>
  <c r="C350" i="17"/>
  <c r="S349" i="17"/>
  <c r="R349" i="17"/>
  <c r="Q349" i="17"/>
  <c r="P349" i="17"/>
  <c r="O349" i="17"/>
  <c r="N349" i="17"/>
  <c r="M349" i="17"/>
  <c r="L349" i="17"/>
  <c r="K349" i="17"/>
  <c r="J349" i="17"/>
  <c r="I349" i="17"/>
  <c r="H349" i="17"/>
  <c r="G349" i="17"/>
  <c r="F349" i="17"/>
  <c r="E349" i="17"/>
  <c r="D349" i="17"/>
  <c r="C349" i="17"/>
  <c r="S348" i="17"/>
  <c r="R348" i="17"/>
  <c r="Q348" i="17"/>
  <c r="P348" i="17"/>
  <c r="O348" i="17"/>
  <c r="N348" i="17"/>
  <c r="M348" i="17"/>
  <c r="L348" i="17"/>
  <c r="K348" i="17"/>
  <c r="J348" i="17"/>
  <c r="I348" i="17"/>
  <c r="H348" i="17"/>
  <c r="G348" i="17"/>
  <c r="F348" i="17"/>
  <c r="E348" i="17"/>
  <c r="D348" i="17"/>
  <c r="C348" i="17"/>
  <c r="S347" i="17"/>
  <c r="R347" i="17"/>
  <c r="Q347" i="17"/>
  <c r="P347" i="17"/>
  <c r="O347" i="17"/>
  <c r="N347" i="17"/>
  <c r="M347" i="17"/>
  <c r="L347" i="17"/>
  <c r="K347" i="17"/>
  <c r="J347" i="17"/>
  <c r="I347" i="17"/>
  <c r="H347" i="17"/>
  <c r="G347" i="17"/>
  <c r="F347" i="17"/>
  <c r="E347" i="17"/>
  <c r="D347" i="17"/>
  <c r="C347" i="17"/>
  <c r="S346" i="17"/>
  <c r="R346" i="17"/>
  <c r="Q346" i="17"/>
  <c r="P346" i="17"/>
  <c r="O346" i="17"/>
  <c r="N346" i="17"/>
  <c r="M346" i="17"/>
  <c r="L346" i="17"/>
  <c r="K346" i="17"/>
  <c r="J346" i="17"/>
  <c r="I346" i="17"/>
  <c r="H346" i="17"/>
  <c r="G346" i="17"/>
  <c r="F346" i="17"/>
  <c r="E346" i="17"/>
  <c r="D346" i="17"/>
  <c r="C346" i="17"/>
  <c r="S345" i="17"/>
  <c r="R345" i="17"/>
  <c r="Q345" i="17"/>
  <c r="P345" i="17"/>
  <c r="O345" i="17"/>
  <c r="N345" i="17"/>
  <c r="M345" i="17"/>
  <c r="L345" i="17"/>
  <c r="K345" i="17"/>
  <c r="J345" i="17"/>
  <c r="I345" i="17"/>
  <c r="H345" i="17"/>
  <c r="G345" i="17"/>
  <c r="F345" i="17"/>
  <c r="E345" i="17"/>
  <c r="D345" i="17"/>
  <c r="C345" i="17"/>
  <c r="S344" i="17"/>
  <c r="R344" i="17"/>
  <c r="Q344" i="17"/>
  <c r="P344" i="17"/>
  <c r="O344" i="17"/>
  <c r="N344" i="17"/>
  <c r="M344" i="17"/>
  <c r="L344" i="17"/>
  <c r="K344" i="17"/>
  <c r="J344" i="17"/>
  <c r="I344" i="17"/>
  <c r="H344" i="17"/>
  <c r="G344" i="17"/>
  <c r="F344" i="17"/>
  <c r="E344" i="17"/>
  <c r="D344" i="17"/>
  <c r="C344" i="17"/>
  <c r="S343" i="17"/>
  <c r="R343" i="17"/>
  <c r="Q343" i="17"/>
  <c r="P343" i="17"/>
  <c r="O343" i="17"/>
  <c r="N343" i="17"/>
  <c r="M343" i="17"/>
  <c r="L343" i="17"/>
  <c r="K343" i="17"/>
  <c r="J343" i="17"/>
  <c r="I343" i="17"/>
  <c r="H343" i="17"/>
  <c r="G343" i="17"/>
  <c r="F343" i="17"/>
  <c r="E343" i="17"/>
  <c r="D343" i="17"/>
  <c r="C343" i="17"/>
  <c r="S342" i="17"/>
  <c r="R342" i="17"/>
  <c r="Q342" i="17"/>
  <c r="P342" i="17"/>
  <c r="O342" i="17"/>
  <c r="N342" i="17"/>
  <c r="M342" i="17"/>
  <c r="L342" i="17"/>
  <c r="K342" i="17"/>
  <c r="J342" i="17"/>
  <c r="I342" i="17"/>
  <c r="H342" i="17"/>
  <c r="G342" i="17"/>
  <c r="F342" i="17"/>
  <c r="E342" i="17"/>
  <c r="D342" i="17"/>
  <c r="C342" i="17"/>
  <c r="S341" i="17"/>
  <c r="R341" i="17"/>
  <c r="Q341" i="17"/>
  <c r="P341" i="17"/>
  <c r="O341" i="17"/>
  <c r="N341" i="17"/>
  <c r="M341" i="17"/>
  <c r="L341" i="17"/>
  <c r="K341" i="17"/>
  <c r="J341" i="17"/>
  <c r="I341" i="17"/>
  <c r="H341" i="17"/>
  <c r="G341" i="17"/>
  <c r="F341" i="17"/>
  <c r="E341" i="17"/>
  <c r="D341" i="17"/>
  <c r="C341" i="17"/>
  <c r="S340" i="17"/>
  <c r="R340" i="17"/>
  <c r="Q340" i="17"/>
  <c r="P340" i="17"/>
  <c r="O340" i="17"/>
  <c r="N340" i="17"/>
  <c r="M340" i="17"/>
  <c r="L340" i="17"/>
  <c r="K340" i="17"/>
  <c r="J340" i="17"/>
  <c r="I340" i="17"/>
  <c r="H340" i="17"/>
  <c r="G340" i="17"/>
  <c r="F340" i="17"/>
  <c r="E340" i="17"/>
  <c r="D340" i="17"/>
  <c r="C340" i="17"/>
  <c r="S339" i="17"/>
  <c r="R339" i="17"/>
  <c r="Q339" i="17"/>
  <c r="P339" i="17"/>
  <c r="O339" i="17"/>
  <c r="N339" i="17"/>
  <c r="M339" i="17"/>
  <c r="L339" i="17"/>
  <c r="K339" i="17"/>
  <c r="J339" i="17"/>
  <c r="I339" i="17"/>
  <c r="H339" i="17"/>
  <c r="G339" i="17"/>
  <c r="F339" i="17"/>
  <c r="E339" i="17"/>
  <c r="D339" i="17"/>
  <c r="C339" i="17"/>
  <c r="S338" i="17"/>
  <c r="R338" i="17"/>
  <c r="Q338" i="17"/>
  <c r="P338" i="17"/>
  <c r="O338" i="17"/>
  <c r="N338" i="17"/>
  <c r="M338" i="17"/>
  <c r="L338" i="17"/>
  <c r="K338" i="17"/>
  <c r="J338" i="17"/>
  <c r="I338" i="17"/>
  <c r="H338" i="17"/>
  <c r="G338" i="17"/>
  <c r="F338" i="17"/>
  <c r="E338" i="17"/>
  <c r="D338" i="17"/>
  <c r="C338" i="17"/>
  <c r="S337" i="17"/>
  <c r="R337" i="17"/>
  <c r="Q337" i="17"/>
  <c r="P337" i="17"/>
  <c r="O337" i="17"/>
  <c r="N337" i="17"/>
  <c r="M337" i="17"/>
  <c r="L337" i="17"/>
  <c r="K337" i="17"/>
  <c r="J337" i="17"/>
  <c r="I337" i="17"/>
  <c r="H337" i="17"/>
  <c r="G337" i="17"/>
  <c r="F337" i="17"/>
  <c r="E337" i="17"/>
  <c r="D337" i="17"/>
  <c r="C337" i="17"/>
  <c r="S336" i="17"/>
  <c r="R336" i="17"/>
  <c r="Q336" i="17"/>
  <c r="P336" i="17"/>
  <c r="O336" i="17"/>
  <c r="N336" i="17"/>
  <c r="M336" i="17"/>
  <c r="L336" i="17"/>
  <c r="K336" i="17"/>
  <c r="J336" i="17"/>
  <c r="I336" i="17"/>
  <c r="H336" i="17"/>
  <c r="G336" i="17"/>
  <c r="F336" i="17"/>
  <c r="E336" i="17"/>
  <c r="D336" i="17"/>
  <c r="C336" i="17"/>
  <c r="S335" i="17"/>
  <c r="R335" i="17"/>
  <c r="Q335" i="17"/>
  <c r="P335" i="17"/>
  <c r="O335" i="17"/>
  <c r="N335" i="17"/>
  <c r="M335" i="17"/>
  <c r="L335" i="17"/>
  <c r="K335" i="17"/>
  <c r="J335" i="17"/>
  <c r="I335" i="17"/>
  <c r="H335" i="17"/>
  <c r="G335" i="17"/>
  <c r="F335" i="17"/>
  <c r="E335" i="17"/>
  <c r="D335" i="17"/>
  <c r="C335" i="17"/>
  <c r="S334" i="17"/>
  <c r="R334" i="17"/>
  <c r="Q334" i="17"/>
  <c r="P334" i="17"/>
  <c r="O334" i="17"/>
  <c r="N334" i="17"/>
  <c r="M334" i="17"/>
  <c r="L334" i="17"/>
  <c r="K334" i="17"/>
  <c r="J334" i="17"/>
  <c r="I334" i="17"/>
  <c r="H334" i="17"/>
  <c r="G334" i="17"/>
  <c r="F334" i="17"/>
  <c r="E334" i="17"/>
  <c r="D334" i="17"/>
  <c r="C334" i="17"/>
  <c r="S333" i="17"/>
  <c r="R333" i="17"/>
  <c r="Q333" i="17"/>
  <c r="P333" i="17"/>
  <c r="O333" i="17"/>
  <c r="N333" i="17"/>
  <c r="M333" i="17"/>
  <c r="L333" i="17"/>
  <c r="K333" i="17"/>
  <c r="J333" i="17"/>
  <c r="I333" i="17"/>
  <c r="H333" i="17"/>
  <c r="G333" i="17"/>
  <c r="F333" i="17"/>
  <c r="E333" i="17"/>
  <c r="D333" i="17"/>
  <c r="C333" i="17"/>
  <c r="S332" i="17"/>
  <c r="R332" i="17"/>
  <c r="Q332" i="17"/>
  <c r="P332" i="17"/>
  <c r="O332" i="17"/>
  <c r="N332" i="17"/>
  <c r="M332" i="17"/>
  <c r="L332" i="17"/>
  <c r="K332" i="17"/>
  <c r="J332" i="17"/>
  <c r="I332" i="17"/>
  <c r="H332" i="17"/>
  <c r="G332" i="17"/>
  <c r="F332" i="17"/>
  <c r="E332" i="17"/>
  <c r="D332" i="17"/>
  <c r="C332" i="17"/>
  <c r="S331" i="17"/>
  <c r="R331" i="17"/>
  <c r="Q331" i="17"/>
  <c r="P331" i="17"/>
  <c r="O331" i="17"/>
  <c r="N331" i="17"/>
  <c r="M331" i="17"/>
  <c r="L331" i="17"/>
  <c r="K331" i="17"/>
  <c r="J331" i="17"/>
  <c r="I331" i="17"/>
  <c r="H331" i="17"/>
  <c r="G331" i="17"/>
  <c r="F331" i="17"/>
  <c r="E331" i="17"/>
  <c r="D331" i="17"/>
  <c r="C331" i="17"/>
  <c r="S330" i="17"/>
  <c r="R330" i="17"/>
  <c r="Q330" i="17"/>
  <c r="P330" i="17"/>
  <c r="O330" i="17"/>
  <c r="N330" i="17"/>
  <c r="M330" i="17"/>
  <c r="L330" i="17"/>
  <c r="K330" i="17"/>
  <c r="J330" i="17"/>
  <c r="I330" i="17"/>
  <c r="H330" i="17"/>
  <c r="G330" i="17"/>
  <c r="F330" i="17"/>
  <c r="E330" i="17"/>
  <c r="D330" i="17"/>
  <c r="C330" i="17"/>
  <c r="S329" i="17"/>
  <c r="R329" i="17"/>
  <c r="Q329" i="17"/>
  <c r="P329" i="17"/>
  <c r="O329" i="17"/>
  <c r="N329" i="17"/>
  <c r="M329" i="17"/>
  <c r="L329" i="17"/>
  <c r="K329" i="17"/>
  <c r="J329" i="17"/>
  <c r="I329" i="17"/>
  <c r="H329" i="17"/>
  <c r="G329" i="17"/>
  <c r="F329" i="17"/>
  <c r="E329" i="17"/>
  <c r="D329" i="17"/>
  <c r="C329" i="17"/>
  <c r="S328" i="17"/>
  <c r="R328" i="17"/>
  <c r="Q328" i="17"/>
  <c r="P328" i="17"/>
  <c r="O328" i="17"/>
  <c r="N328" i="17"/>
  <c r="M328" i="17"/>
  <c r="L328" i="17"/>
  <c r="K328" i="17"/>
  <c r="J328" i="17"/>
  <c r="I328" i="17"/>
  <c r="H328" i="17"/>
  <c r="G328" i="17"/>
  <c r="F328" i="17"/>
  <c r="E328" i="17"/>
  <c r="D328" i="17"/>
  <c r="C328" i="17"/>
  <c r="S327" i="17"/>
  <c r="R327" i="17"/>
  <c r="Q327" i="17"/>
  <c r="P327" i="17"/>
  <c r="O327" i="17"/>
  <c r="N327" i="17"/>
  <c r="M327" i="17"/>
  <c r="L327" i="17"/>
  <c r="K327" i="17"/>
  <c r="J327" i="17"/>
  <c r="I327" i="17"/>
  <c r="H327" i="17"/>
  <c r="G327" i="17"/>
  <c r="F327" i="17"/>
  <c r="E327" i="17"/>
  <c r="D327" i="17"/>
  <c r="C327" i="17"/>
  <c r="S326" i="17"/>
  <c r="R326" i="17"/>
  <c r="Q326" i="17"/>
  <c r="P326" i="17"/>
  <c r="O326" i="17"/>
  <c r="N326" i="17"/>
  <c r="M326" i="17"/>
  <c r="L326" i="17"/>
  <c r="K326" i="17"/>
  <c r="J326" i="17"/>
  <c r="I326" i="17"/>
  <c r="H326" i="17"/>
  <c r="G326" i="17"/>
  <c r="F326" i="17"/>
  <c r="E326" i="17"/>
  <c r="D326" i="17"/>
  <c r="C326" i="17"/>
  <c r="S325" i="17"/>
  <c r="R325" i="17"/>
  <c r="Q325" i="17"/>
  <c r="P325" i="17"/>
  <c r="O325" i="17"/>
  <c r="N325" i="17"/>
  <c r="M325" i="17"/>
  <c r="L325" i="17"/>
  <c r="K325" i="17"/>
  <c r="J325" i="17"/>
  <c r="I325" i="17"/>
  <c r="H325" i="17"/>
  <c r="G325" i="17"/>
  <c r="F325" i="17"/>
  <c r="E325" i="17"/>
  <c r="D325" i="17"/>
  <c r="C325" i="17"/>
  <c r="S324" i="17"/>
  <c r="R324" i="17"/>
  <c r="Q324" i="17"/>
  <c r="P324" i="17"/>
  <c r="O324" i="17"/>
  <c r="N324" i="17"/>
  <c r="M324" i="17"/>
  <c r="L324" i="17"/>
  <c r="K324" i="17"/>
  <c r="J324" i="17"/>
  <c r="I324" i="17"/>
  <c r="H324" i="17"/>
  <c r="G324" i="17"/>
  <c r="F324" i="17"/>
  <c r="E324" i="17"/>
  <c r="D324" i="17"/>
  <c r="C324" i="17"/>
  <c r="S323" i="17"/>
  <c r="R323" i="17"/>
  <c r="Q323" i="17"/>
  <c r="P323" i="17"/>
  <c r="O323" i="17"/>
  <c r="N323" i="17"/>
  <c r="M323" i="17"/>
  <c r="L323" i="17"/>
  <c r="K323" i="17"/>
  <c r="J323" i="17"/>
  <c r="I323" i="17"/>
  <c r="H323" i="17"/>
  <c r="G323" i="17"/>
  <c r="F323" i="17"/>
  <c r="E323" i="17"/>
  <c r="D323" i="17"/>
  <c r="C323" i="17"/>
  <c r="S322" i="17"/>
  <c r="R322" i="17"/>
  <c r="Q322" i="17"/>
  <c r="P322" i="17"/>
  <c r="O322" i="17"/>
  <c r="N322" i="17"/>
  <c r="M322" i="17"/>
  <c r="L322" i="17"/>
  <c r="K322" i="17"/>
  <c r="J322" i="17"/>
  <c r="I322" i="17"/>
  <c r="H322" i="17"/>
  <c r="G322" i="17"/>
  <c r="F322" i="17"/>
  <c r="E322" i="17"/>
  <c r="D322" i="17"/>
  <c r="C322" i="17"/>
  <c r="S321" i="17"/>
  <c r="R321" i="17"/>
  <c r="Q321" i="17"/>
  <c r="P321" i="17"/>
  <c r="O321" i="17"/>
  <c r="N321" i="17"/>
  <c r="M321" i="17"/>
  <c r="L321" i="17"/>
  <c r="K321" i="17"/>
  <c r="J321" i="17"/>
  <c r="I321" i="17"/>
  <c r="H321" i="17"/>
  <c r="G321" i="17"/>
  <c r="F321" i="17"/>
  <c r="E321" i="17"/>
  <c r="D321" i="17"/>
  <c r="C321" i="17"/>
  <c r="S320" i="17"/>
  <c r="R320" i="17"/>
  <c r="Q320" i="17"/>
  <c r="P320" i="17"/>
  <c r="O320" i="17"/>
  <c r="N320" i="17"/>
  <c r="M320" i="17"/>
  <c r="L320" i="17"/>
  <c r="K320" i="17"/>
  <c r="J320" i="17"/>
  <c r="I320" i="17"/>
  <c r="H320" i="17"/>
  <c r="G320" i="17"/>
  <c r="F320" i="17"/>
  <c r="E320" i="17"/>
  <c r="D320" i="17"/>
  <c r="C320" i="17"/>
  <c r="S319" i="17"/>
  <c r="R319" i="17"/>
  <c r="Q319" i="17"/>
  <c r="P319" i="17"/>
  <c r="O319" i="17"/>
  <c r="N319" i="17"/>
  <c r="M319" i="17"/>
  <c r="L319" i="17"/>
  <c r="K319" i="17"/>
  <c r="J319" i="17"/>
  <c r="I319" i="17"/>
  <c r="H319" i="17"/>
  <c r="G319" i="17"/>
  <c r="F319" i="17"/>
  <c r="E319" i="17"/>
  <c r="D319" i="17"/>
  <c r="C319" i="17"/>
  <c r="S318" i="17"/>
  <c r="R318" i="17"/>
  <c r="Q318" i="17"/>
  <c r="P318" i="17"/>
  <c r="O318" i="17"/>
  <c r="N318" i="17"/>
  <c r="M318" i="17"/>
  <c r="L318" i="17"/>
  <c r="K318" i="17"/>
  <c r="J318" i="17"/>
  <c r="I318" i="17"/>
  <c r="H318" i="17"/>
  <c r="G318" i="17"/>
  <c r="F318" i="17"/>
  <c r="E318" i="17"/>
  <c r="D318" i="17"/>
  <c r="C318" i="17"/>
  <c r="S317" i="17"/>
  <c r="R317" i="17"/>
  <c r="Q317" i="17"/>
  <c r="P317" i="17"/>
  <c r="O317" i="17"/>
  <c r="N317" i="17"/>
  <c r="M317" i="17"/>
  <c r="L317" i="17"/>
  <c r="K317" i="17"/>
  <c r="J317" i="17"/>
  <c r="I317" i="17"/>
  <c r="H317" i="17"/>
  <c r="G317" i="17"/>
  <c r="F317" i="17"/>
  <c r="E317" i="17"/>
  <c r="D317" i="17"/>
  <c r="C317" i="17"/>
  <c r="S316" i="17"/>
  <c r="R316" i="17"/>
  <c r="Q316" i="17"/>
  <c r="P316" i="17"/>
  <c r="O316" i="17"/>
  <c r="N316" i="17"/>
  <c r="M316" i="17"/>
  <c r="L316" i="17"/>
  <c r="K316" i="17"/>
  <c r="J316" i="17"/>
  <c r="I316" i="17"/>
  <c r="H316" i="17"/>
  <c r="G316" i="17"/>
  <c r="F316" i="17"/>
  <c r="E316" i="17"/>
  <c r="D316" i="17"/>
  <c r="C316" i="17"/>
  <c r="S315" i="17"/>
  <c r="R315" i="17"/>
  <c r="Q315" i="17"/>
  <c r="P315" i="17"/>
  <c r="O315" i="17"/>
  <c r="N315" i="17"/>
  <c r="M315" i="17"/>
  <c r="L315" i="17"/>
  <c r="K315" i="17"/>
  <c r="J315" i="17"/>
  <c r="I315" i="17"/>
  <c r="H315" i="17"/>
  <c r="G315" i="17"/>
  <c r="F315" i="17"/>
  <c r="E315" i="17"/>
  <c r="D315" i="17"/>
  <c r="C315" i="17"/>
  <c r="S314" i="17"/>
  <c r="R314" i="17"/>
  <c r="Q314" i="17"/>
  <c r="P314" i="17"/>
  <c r="O314" i="17"/>
  <c r="N314" i="17"/>
  <c r="M314" i="17"/>
  <c r="L314" i="17"/>
  <c r="K314" i="17"/>
  <c r="J314" i="17"/>
  <c r="I314" i="17"/>
  <c r="H314" i="17"/>
  <c r="G314" i="17"/>
  <c r="F314" i="17"/>
  <c r="E314" i="17"/>
  <c r="D314" i="17"/>
  <c r="C314" i="17"/>
  <c r="S313" i="17"/>
  <c r="R313" i="17"/>
  <c r="Q313" i="17"/>
  <c r="P313" i="17"/>
  <c r="O313" i="17"/>
  <c r="N313" i="17"/>
  <c r="M313" i="17"/>
  <c r="L313" i="17"/>
  <c r="K313" i="17"/>
  <c r="J313" i="17"/>
  <c r="I313" i="17"/>
  <c r="H313" i="17"/>
  <c r="G313" i="17"/>
  <c r="F313" i="17"/>
  <c r="E313" i="17"/>
  <c r="D313" i="17"/>
  <c r="C313" i="17"/>
  <c r="S312" i="17"/>
  <c r="R312" i="17"/>
  <c r="Q312" i="17"/>
  <c r="P312" i="17"/>
  <c r="O312" i="17"/>
  <c r="N312" i="17"/>
  <c r="M312" i="17"/>
  <c r="L312" i="17"/>
  <c r="K312" i="17"/>
  <c r="J312" i="17"/>
  <c r="I312" i="17"/>
  <c r="H312" i="17"/>
  <c r="G312" i="17"/>
  <c r="F312" i="17"/>
  <c r="E312" i="17"/>
  <c r="D312" i="17"/>
  <c r="C312" i="17"/>
  <c r="S311" i="17"/>
  <c r="R311" i="17"/>
  <c r="Q311" i="17"/>
  <c r="P311" i="17"/>
  <c r="O311" i="17"/>
  <c r="N311" i="17"/>
  <c r="M311" i="17"/>
  <c r="L311" i="17"/>
  <c r="K311" i="17"/>
  <c r="J311" i="17"/>
  <c r="I311" i="17"/>
  <c r="H311" i="17"/>
  <c r="G311" i="17"/>
  <c r="F311" i="17"/>
  <c r="E311" i="17"/>
  <c r="D311" i="17"/>
  <c r="C311" i="17"/>
  <c r="S310" i="17"/>
  <c r="R310" i="17"/>
  <c r="Q310" i="17"/>
  <c r="P310" i="17"/>
  <c r="O310" i="17"/>
  <c r="N310" i="17"/>
  <c r="M310" i="17"/>
  <c r="L310" i="17"/>
  <c r="K310" i="17"/>
  <c r="J310" i="17"/>
  <c r="I310" i="17"/>
  <c r="H310" i="17"/>
  <c r="G310" i="17"/>
  <c r="F310" i="17"/>
  <c r="E310" i="17"/>
  <c r="D310" i="17"/>
  <c r="C310" i="17"/>
  <c r="S309" i="17"/>
  <c r="R309" i="17"/>
  <c r="Q309" i="17"/>
  <c r="P309" i="17"/>
  <c r="O309" i="17"/>
  <c r="N309" i="17"/>
  <c r="M309" i="17"/>
  <c r="L309" i="17"/>
  <c r="K309" i="17"/>
  <c r="J309" i="17"/>
  <c r="I309" i="17"/>
  <c r="H309" i="17"/>
  <c r="G309" i="17"/>
  <c r="F309" i="17"/>
  <c r="E309" i="17"/>
  <c r="D309" i="17"/>
  <c r="C309" i="17"/>
  <c r="S308" i="17"/>
  <c r="R308" i="17"/>
  <c r="Q308" i="17"/>
  <c r="P308" i="17"/>
  <c r="O308" i="17"/>
  <c r="N308" i="17"/>
  <c r="M308" i="17"/>
  <c r="L308" i="17"/>
  <c r="K308" i="17"/>
  <c r="J308" i="17"/>
  <c r="I308" i="17"/>
  <c r="H308" i="17"/>
  <c r="G308" i="17"/>
  <c r="F308" i="17"/>
  <c r="E308" i="17"/>
  <c r="D308" i="17"/>
  <c r="C308" i="17"/>
  <c r="S307" i="17"/>
  <c r="R307" i="17"/>
  <c r="Q307" i="17"/>
  <c r="P307" i="17"/>
  <c r="O307" i="17"/>
  <c r="N307" i="17"/>
  <c r="M307" i="17"/>
  <c r="L307" i="17"/>
  <c r="K307" i="17"/>
  <c r="J307" i="17"/>
  <c r="I307" i="17"/>
  <c r="H307" i="17"/>
  <c r="G307" i="17"/>
  <c r="F307" i="17"/>
  <c r="E307" i="17"/>
  <c r="D307" i="17"/>
  <c r="C307" i="17"/>
  <c r="S306" i="17"/>
  <c r="R306" i="17"/>
  <c r="Q306" i="17"/>
  <c r="P306" i="17"/>
  <c r="O306" i="17"/>
  <c r="N306" i="17"/>
  <c r="M306" i="17"/>
  <c r="L306" i="17"/>
  <c r="K306" i="17"/>
  <c r="J306" i="17"/>
  <c r="I306" i="17"/>
  <c r="H306" i="17"/>
  <c r="G306" i="17"/>
  <c r="F306" i="17"/>
  <c r="E306" i="17"/>
  <c r="D306" i="17"/>
  <c r="C306" i="17"/>
  <c r="S305" i="17"/>
  <c r="R305" i="17"/>
  <c r="Q305" i="17"/>
  <c r="P305" i="17"/>
  <c r="O305" i="17"/>
  <c r="N305" i="17"/>
  <c r="M305" i="17"/>
  <c r="L305" i="17"/>
  <c r="K305" i="17"/>
  <c r="J305" i="17"/>
  <c r="I305" i="17"/>
  <c r="H305" i="17"/>
  <c r="G305" i="17"/>
  <c r="F305" i="17"/>
  <c r="E305" i="17"/>
  <c r="D305" i="17"/>
  <c r="C305" i="17"/>
  <c r="S304" i="17"/>
  <c r="R304" i="17"/>
  <c r="Q304" i="17"/>
  <c r="P304" i="17"/>
  <c r="O304" i="17"/>
  <c r="N304" i="17"/>
  <c r="M304" i="17"/>
  <c r="L304" i="17"/>
  <c r="K304" i="17"/>
  <c r="J304" i="17"/>
  <c r="I304" i="17"/>
  <c r="H304" i="17"/>
  <c r="G304" i="17"/>
  <c r="F304" i="17"/>
  <c r="E304" i="17"/>
  <c r="D304" i="17"/>
  <c r="C304" i="17"/>
  <c r="S303" i="17"/>
  <c r="R303" i="17"/>
  <c r="Q303" i="17"/>
  <c r="P303" i="17"/>
  <c r="O303" i="17"/>
  <c r="N303" i="17"/>
  <c r="M303" i="17"/>
  <c r="L303" i="17"/>
  <c r="K303" i="17"/>
  <c r="J303" i="17"/>
  <c r="I303" i="17"/>
  <c r="H303" i="17"/>
  <c r="G303" i="17"/>
  <c r="F303" i="17"/>
  <c r="E303" i="17"/>
  <c r="D303" i="17"/>
  <c r="C303" i="17"/>
  <c r="S302" i="17"/>
  <c r="R302" i="17"/>
  <c r="Q302" i="17"/>
  <c r="P302" i="17"/>
  <c r="O302" i="17"/>
  <c r="N302" i="17"/>
  <c r="M302" i="17"/>
  <c r="L302" i="17"/>
  <c r="K302" i="17"/>
  <c r="J302" i="17"/>
  <c r="I302" i="17"/>
  <c r="H302" i="17"/>
  <c r="G302" i="17"/>
  <c r="F302" i="17"/>
  <c r="E302" i="17"/>
  <c r="D302" i="17"/>
  <c r="C302" i="17"/>
  <c r="J301" i="17"/>
  <c r="R300" i="17"/>
  <c r="J300" i="17"/>
  <c r="K299" i="17"/>
  <c r="P298" i="17"/>
  <c r="O297" i="17"/>
  <c r="N296" i="17"/>
  <c r="S295" i="17"/>
  <c r="R295" i="17"/>
  <c r="Q295" i="17"/>
  <c r="P295" i="17"/>
  <c r="O295" i="17"/>
  <c r="N295" i="17"/>
  <c r="M295" i="17"/>
  <c r="L295" i="17"/>
  <c r="K295" i="17"/>
  <c r="J295" i="17"/>
  <c r="I295" i="17"/>
  <c r="H295" i="17"/>
  <c r="G295" i="17"/>
  <c r="F295" i="17"/>
  <c r="E295" i="17"/>
  <c r="D295" i="17"/>
  <c r="C295" i="17"/>
  <c r="S294" i="17"/>
  <c r="R294" i="17"/>
  <c r="Q294" i="17"/>
  <c r="P294" i="17"/>
  <c r="O294" i="17"/>
  <c r="N294" i="17"/>
  <c r="M294" i="17"/>
  <c r="L294" i="17"/>
  <c r="K294" i="17"/>
  <c r="J294" i="17"/>
  <c r="I294" i="17"/>
  <c r="H294" i="17"/>
  <c r="G294" i="17"/>
  <c r="F294" i="17"/>
  <c r="E294" i="17"/>
  <c r="D294" i="17"/>
  <c r="C294" i="17"/>
  <c r="S293" i="17"/>
  <c r="R293" i="17"/>
  <c r="Q293" i="17"/>
  <c r="P293" i="17"/>
  <c r="O293" i="17"/>
  <c r="N293" i="17"/>
  <c r="M293" i="17"/>
  <c r="L293" i="17"/>
  <c r="K293" i="17"/>
  <c r="J293" i="17"/>
  <c r="I293" i="17"/>
  <c r="H293" i="17"/>
  <c r="G293" i="17"/>
  <c r="F293" i="17"/>
  <c r="E293" i="17"/>
  <c r="D293" i="17"/>
  <c r="C293" i="17"/>
  <c r="S292" i="17"/>
  <c r="R292" i="17"/>
  <c r="Q292" i="17"/>
  <c r="P292" i="17"/>
  <c r="O292" i="17"/>
  <c r="N292" i="17"/>
  <c r="M292" i="17"/>
  <c r="L292" i="17"/>
  <c r="K292" i="17"/>
  <c r="J292" i="17"/>
  <c r="I292" i="17"/>
  <c r="H292" i="17"/>
  <c r="G292" i="17"/>
  <c r="F292" i="17"/>
  <c r="E292" i="17"/>
  <c r="D292" i="17"/>
  <c r="C292" i="17"/>
  <c r="S291" i="17"/>
  <c r="R291" i="17"/>
  <c r="Q291" i="17"/>
  <c r="P291" i="17"/>
  <c r="O291" i="17"/>
  <c r="N291" i="17"/>
  <c r="M291" i="17"/>
  <c r="L291" i="17"/>
  <c r="K291" i="17"/>
  <c r="J291" i="17"/>
  <c r="I291" i="17"/>
  <c r="H291" i="17"/>
  <c r="G291" i="17"/>
  <c r="F291" i="17"/>
  <c r="E291" i="17"/>
  <c r="D291" i="17"/>
  <c r="C291" i="17"/>
  <c r="S290" i="17"/>
  <c r="R290" i="17"/>
  <c r="Q290" i="17"/>
  <c r="P290" i="17"/>
  <c r="O290" i="17"/>
  <c r="N290" i="17"/>
  <c r="M290" i="17"/>
  <c r="L290" i="17"/>
  <c r="K290" i="17"/>
  <c r="J290" i="17"/>
  <c r="I290" i="17"/>
  <c r="H290" i="17"/>
  <c r="G290" i="17"/>
  <c r="F290" i="17"/>
  <c r="E290" i="17"/>
  <c r="D290" i="17"/>
  <c r="C290" i="17"/>
  <c r="S289" i="17"/>
  <c r="R289" i="17"/>
  <c r="Q289" i="17"/>
  <c r="P289" i="17"/>
  <c r="O289" i="17"/>
  <c r="N289" i="17"/>
  <c r="M289" i="17"/>
  <c r="L289" i="17"/>
  <c r="K289" i="17"/>
  <c r="J289" i="17"/>
  <c r="I289" i="17"/>
  <c r="H289" i="17"/>
  <c r="G289" i="17"/>
  <c r="F289" i="17"/>
  <c r="E289" i="17"/>
  <c r="D289" i="17"/>
  <c r="C289" i="17"/>
  <c r="S288" i="17"/>
  <c r="R288" i="17"/>
  <c r="Q288" i="17"/>
  <c r="P288" i="17"/>
  <c r="O288" i="17"/>
  <c r="N288" i="17"/>
  <c r="M288" i="17"/>
  <c r="L288" i="17"/>
  <c r="K288" i="17"/>
  <c r="J288" i="17"/>
  <c r="I288" i="17"/>
  <c r="H288" i="17"/>
  <c r="G288" i="17"/>
  <c r="F288" i="17"/>
  <c r="E288" i="17"/>
  <c r="D288" i="17"/>
  <c r="C288" i="17"/>
  <c r="S287" i="17"/>
  <c r="R287" i="17"/>
  <c r="Q287" i="17"/>
  <c r="P287" i="17"/>
  <c r="O287" i="17"/>
  <c r="N287" i="17"/>
  <c r="M287" i="17"/>
  <c r="L287" i="17"/>
  <c r="K287" i="17"/>
  <c r="J287" i="17"/>
  <c r="I287" i="17"/>
  <c r="H287" i="17"/>
  <c r="G287" i="17"/>
  <c r="F287" i="17"/>
  <c r="E287" i="17"/>
  <c r="D287" i="17"/>
  <c r="C287" i="17"/>
  <c r="S286" i="17"/>
  <c r="R286" i="17"/>
  <c r="Q286" i="17"/>
  <c r="P286" i="17"/>
  <c r="O286" i="17"/>
  <c r="N286" i="17"/>
  <c r="M286" i="17"/>
  <c r="L286" i="17"/>
  <c r="K286" i="17"/>
  <c r="J286" i="17"/>
  <c r="I286" i="17"/>
  <c r="H286" i="17"/>
  <c r="G286" i="17"/>
  <c r="F286" i="17"/>
  <c r="E286" i="17"/>
  <c r="D286" i="17"/>
  <c r="C286" i="17"/>
  <c r="S285" i="17"/>
  <c r="R285" i="17"/>
  <c r="Q285" i="17"/>
  <c r="P285" i="17"/>
  <c r="O285" i="17"/>
  <c r="N285" i="17"/>
  <c r="M285" i="17"/>
  <c r="L285" i="17"/>
  <c r="K285" i="17"/>
  <c r="J285" i="17"/>
  <c r="I285" i="17"/>
  <c r="H285" i="17"/>
  <c r="G285" i="17"/>
  <c r="F285" i="17"/>
  <c r="E285" i="17"/>
  <c r="D285" i="17"/>
  <c r="C285" i="17"/>
  <c r="S284" i="17"/>
  <c r="R284" i="17"/>
  <c r="Q284" i="17"/>
  <c r="P284" i="17"/>
  <c r="O284" i="17"/>
  <c r="N284" i="17"/>
  <c r="M284" i="17"/>
  <c r="L284" i="17"/>
  <c r="K284" i="17"/>
  <c r="J284" i="17"/>
  <c r="I284" i="17"/>
  <c r="H284" i="17"/>
  <c r="G284" i="17"/>
  <c r="F284" i="17"/>
  <c r="E284" i="17"/>
  <c r="D284" i="17"/>
  <c r="C284" i="17"/>
  <c r="S283" i="17"/>
  <c r="R283" i="17"/>
  <c r="Q283" i="17"/>
  <c r="P283" i="17"/>
  <c r="O283" i="17"/>
  <c r="N283" i="17"/>
  <c r="M283" i="17"/>
  <c r="L283" i="17"/>
  <c r="K283" i="17"/>
  <c r="J283" i="17"/>
  <c r="I283" i="17"/>
  <c r="H283" i="17"/>
  <c r="G283" i="17"/>
  <c r="F283" i="17"/>
  <c r="E283" i="17"/>
  <c r="D283" i="17"/>
  <c r="C283" i="17"/>
  <c r="S282" i="17"/>
  <c r="R282" i="17"/>
  <c r="Q282" i="17"/>
  <c r="P282" i="17"/>
  <c r="O282" i="17"/>
  <c r="N282" i="17"/>
  <c r="M282" i="17"/>
  <c r="L282" i="17"/>
  <c r="K282" i="17"/>
  <c r="J282" i="17"/>
  <c r="I282" i="17"/>
  <c r="H282" i="17"/>
  <c r="G282" i="17"/>
  <c r="F282" i="17"/>
  <c r="E282" i="17"/>
  <c r="D282" i="17"/>
  <c r="C282" i="17"/>
  <c r="S281" i="17"/>
  <c r="R281" i="17"/>
  <c r="Q281" i="17"/>
  <c r="P281" i="17"/>
  <c r="O281" i="17"/>
  <c r="N281" i="17"/>
  <c r="M281" i="17"/>
  <c r="L281" i="17"/>
  <c r="K281" i="17"/>
  <c r="J281" i="17"/>
  <c r="I281" i="17"/>
  <c r="H281" i="17"/>
  <c r="G281" i="17"/>
  <c r="F281" i="17"/>
  <c r="E281" i="17"/>
  <c r="D281" i="17"/>
  <c r="C281" i="17"/>
  <c r="S280" i="17"/>
  <c r="R280" i="17"/>
  <c r="Q280" i="17"/>
  <c r="P280" i="17"/>
  <c r="O280" i="17"/>
  <c r="N280" i="17"/>
  <c r="M280" i="17"/>
  <c r="L280" i="17"/>
  <c r="K280" i="17"/>
  <c r="J280" i="17"/>
  <c r="I280" i="17"/>
  <c r="H280" i="17"/>
  <c r="G280" i="17"/>
  <c r="F280" i="17"/>
  <c r="E280" i="17"/>
  <c r="D280" i="17"/>
  <c r="C280" i="17"/>
  <c r="S279" i="17"/>
  <c r="R279" i="17"/>
  <c r="Q279" i="17"/>
  <c r="P279" i="17"/>
  <c r="O279" i="17"/>
  <c r="N279" i="17"/>
  <c r="M279" i="17"/>
  <c r="L279" i="17"/>
  <c r="K279" i="17"/>
  <c r="J279" i="17"/>
  <c r="I279" i="17"/>
  <c r="H279" i="17"/>
  <c r="G279" i="17"/>
  <c r="F279" i="17"/>
  <c r="E279" i="17"/>
  <c r="D279" i="17"/>
  <c r="C279" i="17"/>
  <c r="S278" i="17"/>
  <c r="R278" i="17"/>
  <c r="Q278" i="17"/>
  <c r="P278" i="17"/>
  <c r="O278" i="17"/>
  <c r="N278" i="17"/>
  <c r="M278" i="17"/>
  <c r="L278" i="17"/>
  <c r="K278" i="17"/>
  <c r="J278" i="17"/>
  <c r="I278" i="17"/>
  <c r="H278" i="17"/>
  <c r="G278" i="17"/>
  <c r="F278" i="17"/>
  <c r="E278" i="17"/>
  <c r="D278" i="17"/>
  <c r="C278" i="17"/>
  <c r="S277" i="17"/>
  <c r="R277" i="17"/>
  <c r="Q277" i="17"/>
  <c r="P277" i="17"/>
  <c r="O277" i="17"/>
  <c r="N277" i="17"/>
  <c r="M277" i="17"/>
  <c r="L277" i="17"/>
  <c r="K277" i="17"/>
  <c r="J277" i="17"/>
  <c r="I277" i="17"/>
  <c r="H277" i="17"/>
  <c r="G277" i="17"/>
  <c r="F277" i="17"/>
  <c r="E277" i="17"/>
  <c r="D277" i="17"/>
  <c r="C277" i="17"/>
  <c r="S276" i="17"/>
  <c r="R276" i="17"/>
  <c r="Q276" i="17"/>
  <c r="P276" i="17"/>
  <c r="O276" i="17"/>
  <c r="N276" i="17"/>
  <c r="M276" i="17"/>
  <c r="L276" i="17"/>
  <c r="K276" i="17"/>
  <c r="J276" i="17"/>
  <c r="I276" i="17"/>
  <c r="H276" i="17"/>
  <c r="G276" i="17"/>
  <c r="F276" i="17"/>
  <c r="E276" i="17"/>
  <c r="D276" i="17"/>
  <c r="C276" i="17"/>
  <c r="S275" i="17"/>
  <c r="R275" i="17"/>
  <c r="Q275" i="17"/>
  <c r="P275" i="17"/>
  <c r="O275" i="17"/>
  <c r="N275" i="17"/>
  <c r="M275" i="17"/>
  <c r="L275" i="17"/>
  <c r="K275" i="17"/>
  <c r="J275" i="17"/>
  <c r="I275" i="17"/>
  <c r="H275" i="17"/>
  <c r="G275" i="17"/>
  <c r="F275" i="17"/>
  <c r="E275" i="17"/>
  <c r="D275" i="17"/>
  <c r="C275" i="17"/>
  <c r="S274" i="17"/>
  <c r="R274" i="17"/>
  <c r="Q274" i="17"/>
  <c r="P274" i="17"/>
  <c r="O274" i="17"/>
  <c r="N274" i="17"/>
  <c r="M274" i="17"/>
  <c r="L274" i="17"/>
  <c r="K274" i="17"/>
  <c r="J274" i="17"/>
  <c r="I274" i="17"/>
  <c r="H274" i="17"/>
  <c r="G274" i="17"/>
  <c r="F274" i="17"/>
  <c r="E274" i="17"/>
  <c r="D274" i="17"/>
  <c r="C274" i="17"/>
  <c r="S273" i="17"/>
  <c r="R273" i="17"/>
  <c r="Q273" i="17"/>
  <c r="P273" i="17"/>
  <c r="O273" i="17"/>
  <c r="N273" i="17"/>
  <c r="M273" i="17"/>
  <c r="L273" i="17"/>
  <c r="K273" i="17"/>
  <c r="J273" i="17"/>
  <c r="I273" i="17"/>
  <c r="H273" i="17"/>
  <c r="G273" i="17"/>
  <c r="F273" i="17"/>
  <c r="E273" i="17"/>
  <c r="D273" i="17"/>
  <c r="C273" i="17"/>
  <c r="S272" i="17"/>
  <c r="R272" i="17"/>
  <c r="Q272" i="17"/>
  <c r="P272" i="17"/>
  <c r="O272" i="17"/>
  <c r="N272" i="17"/>
  <c r="M272" i="17"/>
  <c r="L272" i="17"/>
  <c r="K272" i="17"/>
  <c r="J272" i="17"/>
  <c r="I272" i="17"/>
  <c r="H272" i="17"/>
  <c r="G272" i="17"/>
  <c r="F272" i="17"/>
  <c r="E272" i="17"/>
  <c r="D272" i="17"/>
  <c r="C272" i="17"/>
  <c r="S271" i="17"/>
  <c r="R271" i="17"/>
  <c r="Q271" i="17"/>
  <c r="P271" i="17"/>
  <c r="O271" i="17"/>
  <c r="N271" i="17"/>
  <c r="M271" i="17"/>
  <c r="L271" i="17"/>
  <c r="K271" i="17"/>
  <c r="J271" i="17"/>
  <c r="I271" i="17"/>
  <c r="H271" i="17"/>
  <c r="G271" i="17"/>
  <c r="F271" i="17"/>
  <c r="E271" i="17"/>
  <c r="D271" i="17"/>
  <c r="C271" i="17"/>
  <c r="S270" i="17"/>
  <c r="R270" i="17"/>
  <c r="Q270" i="17"/>
  <c r="P270" i="17"/>
  <c r="O270" i="17"/>
  <c r="N270" i="17"/>
  <c r="M270" i="17"/>
  <c r="L270" i="17"/>
  <c r="K270" i="17"/>
  <c r="J270" i="17"/>
  <c r="I270" i="17"/>
  <c r="H270" i="17"/>
  <c r="G270" i="17"/>
  <c r="F270" i="17"/>
  <c r="E270" i="17"/>
  <c r="D270" i="17"/>
  <c r="C270" i="17"/>
  <c r="S269" i="17"/>
  <c r="R269" i="17"/>
  <c r="Q269" i="17"/>
  <c r="P269" i="17"/>
  <c r="O269" i="17"/>
  <c r="N269" i="17"/>
  <c r="M269" i="17"/>
  <c r="L269" i="17"/>
  <c r="K269" i="17"/>
  <c r="J269" i="17"/>
  <c r="I269" i="17"/>
  <c r="H269" i="17"/>
  <c r="G269" i="17"/>
  <c r="F269" i="17"/>
  <c r="E269" i="17"/>
  <c r="D269" i="17"/>
  <c r="C269" i="17"/>
  <c r="S268" i="17"/>
  <c r="R268" i="17"/>
  <c r="Q268" i="17"/>
  <c r="P268" i="17"/>
  <c r="O268" i="17"/>
  <c r="N268" i="17"/>
  <c r="M268" i="17"/>
  <c r="L268" i="17"/>
  <c r="K268" i="17"/>
  <c r="J268" i="17"/>
  <c r="I268" i="17"/>
  <c r="H268" i="17"/>
  <c r="G268" i="17"/>
  <c r="F268" i="17"/>
  <c r="E268" i="17"/>
  <c r="D268" i="17"/>
  <c r="C268" i="17"/>
  <c r="S267" i="17"/>
  <c r="R267" i="17"/>
  <c r="Q267" i="17"/>
  <c r="P267" i="17"/>
  <c r="O267" i="17"/>
  <c r="N267" i="17"/>
  <c r="M267" i="17"/>
  <c r="L267" i="17"/>
  <c r="K267" i="17"/>
  <c r="J267" i="17"/>
  <c r="I267" i="17"/>
  <c r="H267" i="17"/>
  <c r="G267" i="17"/>
  <c r="F267" i="17"/>
  <c r="E267" i="17"/>
  <c r="D267" i="17"/>
  <c r="C267" i="17"/>
  <c r="S266" i="17"/>
  <c r="R266" i="17"/>
  <c r="Q266" i="17"/>
  <c r="P266" i="17"/>
  <c r="O266" i="17"/>
  <c r="N266" i="17"/>
  <c r="M266" i="17"/>
  <c r="L266" i="17"/>
  <c r="K266" i="17"/>
  <c r="J266" i="17"/>
  <c r="I266" i="17"/>
  <c r="H266" i="17"/>
  <c r="G266" i="17"/>
  <c r="F266" i="17"/>
  <c r="E266" i="17"/>
  <c r="D266" i="17"/>
  <c r="C266" i="17"/>
  <c r="S265" i="17"/>
  <c r="R265" i="17"/>
  <c r="Q265" i="17"/>
  <c r="P265" i="17"/>
  <c r="O265" i="17"/>
  <c r="N265" i="17"/>
  <c r="M265" i="17"/>
  <c r="L265" i="17"/>
  <c r="K265" i="17"/>
  <c r="J265" i="17"/>
  <c r="I265" i="17"/>
  <c r="H265" i="17"/>
  <c r="G265" i="17"/>
  <c r="F265" i="17"/>
  <c r="E265" i="17"/>
  <c r="D265" i="17"/>
  <c r="C265" i="17"/>
  <c r="S264" i="17"/>
  <c r="R264" i="17"/>
  <c r="Q264" i="17"/>
  <c r="P264" i="17"/>
  <c r="O264" i="17"/>
  <c r="N264" i="17"/>
  <c r="M264" i="17"/>
  <c r="L264" i="17"/>
  <c r="K264" i="17"/>
  <c r="J264" i="17"/>
  <c r="I264" i="17"/>
  <c r="H264" i="17"/>
  <c r="G264" i="17"/>
  <c r="F264" i="17"/>
  <c r="E264" i="17"/>
  <c r="D264" i="17"/>
  <c r="C264" i="17"/>
  <c r="S263" i="17"/>
  <c r="R263" i="17"/>
  <c r="Q263" i="17"/>
  <c r="P263" i="17"/>
  <c r="O263" i="17"/>
  <c r="N263" i="17"/>
  <c r="M263" i="17"/>
  <c r="L263" i="17"/>
  <c r="K263" i="17"/>
  <c r="J263" i="17"/>
  <c r="I263" i="17"/>
  <c r="H263" i="17"/>
  <c r="G263" i="17"/>
  <c r="F263" i="17"/>
  <c r="E263" i="17"/>
  <c r="D263" i="17"/>
  <c r="C263" i="17"/>
  <c r="S262" i="17"/>
  <c r="R262" i="17"/>
  <c r="Q262" i="17"/>
  <c r="P262" i="17"/>
  <c r="O262" i="17"/>
  <c r="N262" i="17"/>
  <c r="M262" i="17"/>
  <c r="L262" i="17"/>
  <c r="K262" i="17"/>
  <c r="J262" i="17"/>
  <c r="I262" i="17"/>
  <c r="H262" i="17"/>
  <c r="G262" i="17"/>
  <c r="F262" i="17"/>
  <c r="E262" i="17"/>
  <c r="D262" i="17"/>
  <c r="C262" i="17"/>
  <c r="S261" i="17"/>
  <c r="R261" i="17"/>
  <c r="Q261" i="17"/>
  <c r="P261" i="17"/>
  <c r="O261" i="17"/>
  <c r="N261" i="17"/>
  <c r="M261" i="17"/>
  <c r="L261" i="17"/>
  <c r="K261" i="17"/>
  <c r="J261" i="17"/>
  <c r="I261" i="17"/>
  <c r="H261" i="17"/>
  <c r="G261" i="17"/>
  <c r="F261" i="17"/>
  <c r="E261" i="17"/>
  <c r="D261" i="17"/>
  <c r="C261" i="17"/>
  <c r="S260" i="17"/>
  <c r="R260" i="17"/>
  <c r="Q260" i="17"/>
  <c r="P260" i="17"/>
  <c r="O260" i="17"/>
  <c r="N260" i="17"/>
  <c r="M260" i="17"/>
  <c r="L260" i="17"/>
  <c r="K260" i="17"/>
  <c r="J260" i="17"/>
  <c r="I260" i="17"/>
  <c r="H260" i="17"/>
  <c r="G260" i="17"/>
  <c r="F260" i="17"/>
  <c r="E260" i="17"/>
  <c r="D260" i="17"/>
  <c r="C260" i="17"/>
  <c r="S259" i="17"/>
  <c r="R259" i="17"/>
  <c r="Q259" i="17"/>
  <c r="P259" i="17"/>
  <c r="O259" i="17"/>
  <c r="N259" i="17"/>
  <c r="M259" i="17"/>
  <c r="L259" i="17"/>
  <c r="K259" i="17"/>
  <c r="J259" i="17"/>
  <c r="I259" i="17"/>
  <c r="H259" i="17"/>
  <c r="G259" i="17"/>
  <c r="F259" i="17"/>
  <c r="E259" i="17"/>
  <c r="D259" i="17"/>
  <c r="C259" i="17"/>
  <c r="S258" i="17"/>
  <c r="R258" i="17"/>
  <c r="Q258" i="17"/>
  <c r="P258" i="17"/>
  <c r="O258" i="17"/>
  <c r="N258" i="17"/>
  <c r="M258" i="17"/>
  <c r="L258" i="17"/>
  <c r="K258" i="17"/>
  <c r="J258" i="17"/>
  <c r="I258" i="17"/>
  <c r="H258" i="17"/>
  <c r="G258" i="17"/>
  <c r="F258" i="17"/>
  <c r="E258" i="17"/>
  <c r="D258" i="17"/>
  <c r="C258" i="17"/>
  <c r="S257" i="17"/>
  <c r="R257" i="17"/>
  <c r="Q257" i="17"/>
  <c r="P257" i="17"/>
  <c r="O257" i="17"/>
  <c r="N257" i="17"/>
  <c r="M257" i="17"/>
  <c r="L257" i="17"/>
  <c r="K257" i="17"/>
  <c r="J257" i="17"/>
  <c r="I257" i="17"/>
  <c r="H257" i="17"/>
  <c r="G257" i="17"/>
  <c r="F257" i="17"/>
  <c r="E257" i="17"/>
  <c r="D257" i="17"/>
  <c r="C257" i="17"/>
  <c r="S256" i="17"/>
  <c r="R256" i="17"/>
  <c r="Q256" i="17"/>
  <c r="P256" i="17"/>
  <c r="O256" i="17"/>
  <c r="N256" i="17"/>
  <c r="M256" i="17"/>
  <c r="L256" i="17"/>
  <c r="K256" i="17"/>
  <c r="J256" i="17"/>
  <c r="I256" i="17"/>
  <c r="H256" i="17"/>
  <c r="G256" i="17"/>
  <c r="F256" i="17"/>
  <c r="E256" i="17"/>
  <c r="D256" i="17"/>
  <c r="C256" i="17"/>
  <c r="S255" i="17"/>
  <c r="R255" i="17"/>
  <c r="Q255" i="17"/>
  <c r="P255" i="17"/>
  <c r="O255" i="17"/>
  <c r="N255" i="17"/>
  <c r="M255" i="17"/>
  <c r="L255" i="17"/>
  <c r="K255" i="17"/>
  <c r="J255" i="17"/>
  <c r="I255" i="17"/>
  <c r="H255" i="17"/>
  <c r="G255" i="17"/>
  <c r="F255" i="17"/>
  <c r="E255" i="17"/>
  <c r="D255" i="17"/>
  <c r="C255" i="17"/>
  <c r="S254" i="17"/>
  <c r="R254" i="17"/>
  <c r="Q254" i="17"/>
  <c r="P254" i="17"/>
  <c r="O254" i="17"/>
  <c r="N254" i="17"/>
  <c r="M254" i="17"/>
  <c r="L254" i="17"/>
  <c r="K254" i="17"/>
  <c r="J254" i="17"/>
  <c r="I254" i="17"/>
  <c r="H254" i="17"/>
  <c r="G254" i="17"/>
  <c r="F254" i="17"/>
  <c r="E254" i="17"/>
  <c r="D254" i="17"/>
  <c r="C254" i="17"/>
  <c r="S253" i="17"/>
  <c r="R253" i="17"/>
  <c r="Q253" i="17"/>
  <c r="P253" i="17"/>
  <c r="O253" i="17"/>
  <c r="N253" i="17"/>
  <c r="M253" i="17"/>
  <c r="L253" i="17"/>
  <c r="K253" i="17"/>
  <c r="J253" i="17"/>
  <c r="I253" i="17"/>
  <c r="H253" i="17"/>
  <c r="G253" i="17"/>
  <c r="F253" i="17"/>
  <c r="E253" i="17"/>
  <c r="D253" i="17"/>
  <c r="C253" i="17"/>
  <c r="S252" i="17"/>
  <c r="R252" i="17"/>
  <c r="Q252" i="17"/>
  <c r="P252" i="17"/>
  <c r="O252" i="17"/>
  <c r="N252" i="17"/>
  <c r="M252" i="17"/>
  <c r="L252" i="17"/>
  <c r="K252" i="17"/>
  <c r="J252" i="17"/>
  <c r="I252" i="17"/>
  <c r="H252" i="17"/>
  <c r="G252" i="17"/>
  <c r="F252" i="17"/>
  <c r="E252" i="17"/>
  <c r="D252" i="17"/>
  <c r="C252" i="17"/>
  <c r="S251" i="17"/>
  <c r="R251" i="17"/>
  <c r="Q251" i="17"/>
  <c r="P251" i="17"/>
  <c r="O251" i="17"/>
  <c r="N251" i="17"/>
  <c r="M251" i="17"/>
  <c r="L251" i="17"/>
  <c r="K251" i="17"/>
  <c r="J251" i="17"/>
  <c r="I251" i="17"/>
  <c r="H251" i="17"/>
  <c r="G251" i="17"/>
  <c r="F251" i="17"/>
  <c r="E251" i="17"/>
  <c r="D251" i="17"/>
  <c r="C251" i="17"/>
  <c r="S250" i="17"/>
  <c r="R250" i="17"/>
  <c r="Q250" i="17"/>
  <c r="P250" i="17"/>
  <c r="O250" i="17"/>
  <c r="N250" i="17"/>
  <c r="M250" i="17"/>
  <c r="L250" i="17"/>
  <c r="K250" i="17"/>
  <c r="J250" i="17"/>
  <c r="I250" i="17"/>
  <c r="H250" i="17"/>
  <c r="G250" i="17"/>
  <c r="F250" i="17"/>
  <c r="E250" i="17"/>
  <c r="D250" i="17"/>
  <c r="C250" i="17"/>
  <c r="S249" i="17"/>
  <c r="R249" i="17"/>
  <c r="Q249" i="17"/>
  <c r="P249" i="17"/>
  <c r="O249" i="17"/>
  <c r="N249" i="17"/>
  <c r="M249" i="17"/>
  <c r="L249" i="17"/>
  <c r="K249" i="17"/>
  <c r="J249" i="17"/>
  <c r="I249" i="17"/>
  <c r="H249" i="17"/>
  <c r="G249" i="17"/>
  <c r="F249" i="17"/>
  <c r="E249" i="17"/>
  <c r="D249" i="17"/>
  <c r="C249" i="17"/>
  <c r="S248" i="17"/>
  <c r="R248" i="17"/>
  <c r="Q248" i="17"/>
  <c r="P248" i="17"/>
  <c r="O248" i="17"/>
  <c r="N248" i="17"/>
  <c r="M248" i="17"/>
  <c r="L248" i="17"/>
  <c r="K248" i="17"/>
  <c r="J248" i="17"/>
  <c r="I248" i="17"/>
  <c r="H248" i="17"/>
  <c r="G248" i="17"/>
  <c r="F248" i="17"/>
  <c r="E248" i="17"/>
  <c r="D248" i="17"/>
  <c r="C248" i="17"/>
  <c r="S247" i="17"/>
  <c r="R247" i="17"/>
  <c r="Q247" i="17"/>
  <c r="P247" i="17"/>
  <c r="O247" i="17"/>
  <c r="N247" i="17"/>
  <c r="M247" i="17"/>
  <c r="L247" i="17"/>
  <c r="K247" i="17"/>
  <c r="J247" i="17"/>
  <c r="I247" i="17"/>
  <c r="H247" i="17"/>
  <c r="G247" i="17"/>
  <c r="F247" i="17"/>
  <c r="E247" i="17"/>
  <c r="D247" i="17"/>
  <c r="C247" i="17"/>
  <c r="S246" i="17"/>
  <c r="R246" i="17"/>
  <c r="Q246" i="17"/>
  <c r="P246" i="17"/>
  <c r="O246" i="17"/>
  <c r="N246" i="17"/>
  <c r="M246" i="17"/>
  <c r="L246" i="17"/>
  <c r="K246" i="17"/>
  <c r="J246" i="17"/>
  <c r="I246" i="17"/>
  <c r="H246" i="17"/>
  <c r="G246" i="17"/>
  <c r="F246" i="17"/>
  <c r="E246" i="17"/>
  <c r="D246" i="17"/>
  <c r="C246" i="17"/>
  <c r="S245" i="17"/>
  <c r="R245" i="17"/>
  <c r="Q245" i="17"/>
  <c r="P245" i="17"/>
  <c r="O245" i="17"/>
  <c r="N245" i="17"/>
  <c r="M245" i="17"/>
  <c r="L245" i="17"/>
  <c r="K245" i="17"/>
  <c r="J245" i="17"/>
  <c r="I245" i="17"/>
  <c r="H245" i="17"/>
  <c r="G245" i="17"/>
  <c r="F245" i="17"/>
  <c r="E245" i="17"/>
  <c r="D245" i="17"/>
  <c r="C245" i="17"/>
  <c r="S244" i="17"/>
  <c r="R244" i="17"/>
  <c r="Q244" i="17"/>
  <c r="P244" i="17"/>
  <c r="O244" i="17"/>
  <c r="N244" i="17"/>
  <c r="M244" i="17"/>
  <c r="L244" i="17"/>
  <c r="K244" i="17"/>
  <c r="J244" i="17"/>
  <c r="I244" i="17"/>
  <c r="H244" i="17"/>
  <c r="G244" i="17"/>
  <c r="F244" i="17"/>
  <c r="E244" i="17"/>
  <c r="D244" i="17"/>
  <c r="C244" i="17"/>
  <c r="S243" i="17"/>
  <c r="R243" i="17"/>
  <c r="Q243" i="17"/>
  <c r="P243" i="17"/>
  <c r="O243" i="17"/>
  <c r="N243" i="17"/>
  <c r="M243" i="17"/>
  <c r="L243" i="17"/>
  <c r="K243" i="17"/>
  <c r="J243" i="17"/>
  <c r="I243" i="17"/>
  <c r="H243" i="17"/>
  <c r="G243" i="17"/>
  <c r="F243" i="17"/>
  <c r="E243" i="17"/>
  <c r="D243" i="17"/>
  <c r="C243" i="17"/>
  <c r="S242" i="17"/>
  <c r="R242" i="17"/>
  <c r="Q242" i="17"/>
  <c r="P242" i="17"/>
  <c r="O242" i="17"/>
  <c r="N242" i="17"/>
  <c r="M242" i="17"/>
  <c r="L242" i="17"/>
  <c r="K242" i="17"/>
  <c r="J242" i="17"/>
  <c r="I242" i="17"/>
  <c r="H242" i="17"/>
  <c r="G242" i="17"/>
  <c r="F242" i="17"/>
  <c r="E242" i="17"/>
  <c r="D242" i="17"/>
  <c r="C242" i="17"/>
  <c r="S241" i="17"/>
  <c r="R241" i="17"/>
  <c r="Q241" i="17"/>
  <c r="P241" i="17"/>
  <c r="O241" i="17"/>
  <c r="N241" i="17"/>
  <c r="M241" i="17"/>
  <c r="L241" i="17"/>
  <c r="K241" i="17"/>
  <c r="J241" i="17"/>
  <c r="I241" i="17"/>
  <c r="H241" i="17"/>
  <c r="G241" i="17"/>
  <c r="F241" i="17"/>
  <c r="E241" i="17"/>
  <c r="D241" i="17"/>
  <c r="C241" i="17"/>
  <c r="S240" i="17"/>
  <c r="R240" i="17"/>
  <c r="Q240" i="17"/>
  <c r="P240" i="17"/>
  <c r="O240" i="17"/>
  <c r="N240" i="17"/>
  <c r="M240" i="17"/>
  <c r="L240" i="17"/>
  <c r="K240" i="17"/>
  <c r="J240" i="17"/>
  <c r="I240" i="17"/>
  <c r="H240" i="17"/>
  <c r="G240" i="17"/>
  <c r="F240" i="17"/>
  <c r="E240" i="17"/>
  <c r="D240" i="17"/>
  <c r="C240" i="17"/>
  <c r="S239" i="17"/>
  <c r="R239" i="17"/>
  <c r="Q239" i="17"/>
  <c r="P239" i="17"/>
  <c r="O239" i="17"/>
  <c r="N239" i="17"/>
  <c r="M239" i="17"/>
  <c r="L239" i="17"/>
  <c r="K239" i="17"/>
  <c r="J239" i="17"/>
  <c r="I239" i="17"/>
  <c r="H239" i="17"/>
  <c r="G239" i="17"/>
  <c r="F239" i="17"/>
  <c r="E239" i="17"/>
  <c r="D239" i="17"/>
  <c r="C239" i="17"/>
  <c r="S238" i="17"/>
  <c r="R238" i="17"/>
  <c r="Q238" i="17"/>
  <c r="P238" i="17"/>
  <c r="O238" i="17"/>
  <c r="N238" i="17"/>
  <c r="M238" i="17"/>
  <c r="L238" i="17"/>
  <c r="K238" i="17"/>
  <c r="J238" i="17"/>
  <c r="I238" i="17"/>
  <c r="H238" i="17"/>
  <c r="G238" i="17"/>
  <c r="F238" i="17"/>
  <c r="E238" i="17"/>
  <c r="D238" i="17"/>
  <c r="C238" i="17"/>
  <c r="S237" i="17"/>
  <c r="R237" i="17"/>
  <c r="Q237" i="17"/>
  <c r="P237" i="17"/>
  <c r="O237" i="17"/>
  <c r="N237" i="17"/>
  <c r="M237" i="17"/>
  <c r="L237" i="17"/>
  <c r="K237" i="17"/>
  <c r="J237" i="17"/>
  <c r="I237" i="17"/>
  <c r="H237" i="17"/>
  <c r="G237" i="17"/>
  <c r="F237" i="17"/>
  <c r="E237" i="17"/>
  <c r="D237" i="17"/>
  <c r="C237" i="17"/>
  <c r="S236" i="17"/>
  <c r="R236" i="17"/>
  <c r="Q236" i="17"/>
  <c r="P236" i="17"/>
  <c r="O236" i="17"/>
  <c r="N236" i="17"/>
  <c r="M236" i="17"/>
  <c r="L236" i="17"/>
  <c r="K236" i="17"/>
  <c r="J236" i="17"/>
  <c r="I236" i="17"/>
  <c r="H236" i="17"/>
  <c r="G236" i="17"/>
  <c r="F236" i="17"/>
  <c r="E236" i="17"/>
  <c r="D236" i="17"/>
  <c r="C236" i="17"/>
  <c r="S235" i="17"/>
  <c r="R235" i="17"/>
  <c r="Q235" i="17"/>
  <c r="P235" i="17"/>
  <c r="O235" i="17"/>
  <c r="N235" i="17"/>
  <c r="M235" i="17"/>
  <c r="L235" i="17"/>
  <c r="K235" i="17"/>
  <c r="J235" i="17"/>
  <c r="I235" i="17"/>
  <c r="H235" i="17"/>
  <c r="G235" i="17"/>
  <c r="F235" i="17"/>
  <c r="E235" i="17"/>
  <c r="D235" i="17"/>
  <c r="C235" i="17"/>
  <c r="S234" i="17"/>
  <c r="R234" i="17"/>
  <c r="Q234" i="17"/>
  <c r="P234" i="17"/>
  <c r="O234" i="17"/>
  <c r="N234" i="17"/>
  <c r="M234" i="17"/>
  <c r="L234" i="17"/>
  <c r="K234" i="17"/>
  <c r="J234" i="17"/>
  <c r="I234" i="17"/>
  <c r="H234" i="17"/>
  <c r="G234" i="17"/>
  <c r="F234" i="17"/>
  <c r="E234" i="17"/>
  <c r="D234" i="17"/>
  <c r="C234" i="17"/>
  <c r="S233" i="17"/>
  <c r="R233" i="17"/>
  <c r="Q233" i="17"/>
  <c r="P233" i="17"/>
  <c r="O233" i="17"/>
  <c r="N233" i="17"/>
  <c r="M233" i="17"/>
  <c r="L233" i="17"/>
  <c r="K233" i="17"/>
  <c r="J233" i="17"/>
  <c r="I233" i="17"/>
  <c r="H233" i="17"/>
  <c r="G233" i="17"/>
  <c r="F233" i="17"/>
  <c r="E233" i="17"/>
  <c r="D233" i="17"/>
  <c r="C233" i="17"/>
  <c r="S232" i="17"/>
  <c r="R232" i="17"/>
  <c r="Q232" i="17"/>
  <c r="P232" i="17"/>
  <c r="O232" i="17"/>
  <c r="N232" i="17"/>
  <c r="M232" i="17"/>
  <c r="L232" i="17"/>
  <c r="K232" i="17"/>
  <c r="J232" i="17"/>
  <c r="I232" i="17"/>
  <c r="H232" i="17"/>
  <c r="G232" i="17"/>
  <c r="F232" i="17"/>
  <c r="E232" i="17"/>
  <c r="D232" i="17"/>
  <c r="C232" i="17"/>
  <c r="S231" i="17"/>
  <c r="R231" i="17"/>
  <c r="Q231" i="17"/>
  <c r="P231" i="17"/>
  <c r="O231" i="17"/>
  <c r="N231" i="17"/>
  <c r="M231" i="17"/>
  <c r="L231" i="17"/>
  <c r="K231" i="17"/>
  <c r="J231" i="17"/>
  <c r="I231" i="17"/>
  <c r="H231" i="17"/>
  <c r="G231" i="17"/>
  <c r="F231" i="17"/>
  <c r="E231" i="17"/>
  <c r="D231" i="17"/>
  <c r="C231" i="17"/>
  <c r="S230" i="17"/>
  <c r="R230" i="17"/>
  <c r="Q230" i="17"/>
  <c r="P230" i="17"/>
  <c r="O230" i="17"/>
  <c r="N230" i="17"/>
  <c r="M230" i="17"/>
  <c r="L230" i="17"/>
  <c r="K230" i="17"/>
  <c r="J230" i="17"/>
  <c r="I230" i="17"/>
  <c r="H230" i="17"/>
  <c r="G230" i="17"/>
  <c r="F230" i="17"/>
  <c r="E230" i="17"/>
  <c r="D230" i="17"/>
  <c r="C230" i="17"/>
  <c r="S229" i="17"/>
  <c r="R229" i="17"/>
  <c r="Q229" i="17"/>
  <c r="P229" i="17"/>
  <c r="O229" i="17"/>
  <c r="N229" i="17"/>
  <c r="M229" i="17"/>
  <c r="L229" i="17"/>
  <c r="K229" i="17"/>
  <c r="J229" i="17"/>
  <c r="I229" i="17"/>
  <c r="H229" i="17"/>
  <c r="G229" i="17"/>
  <c r="F229" i="17"/>
  <c r="E229" i="17"/>
  <c r="D229" i="17"/>
  <c r="C229" i="17"/>
  <c r="S228" i="17"/>
  <c r="R228" i="17"/>
  <c r="Q228" i="17"/>
  <c r="P228" i="17"/>
  <c r="O228" i="17"/>
  <c r="N228" i="17"/>
  <c r="M228" i="17"/>
  <c r="L228" i="17"/>
  <c r="K228" i="17"/>
  <c r="J228" i="17"/>
  <c r="I228" i="17"/>
  <c r="H228" i="17"/>
  <c r="G228" i="17"/>
  <c r="F228" i="17"/>
  <c r="E228" i="17"/>
  <c r="D228" i="17"/>
  <c r="C228" i="17"/>
  <c r="S227" i="17"/>
  <c r="R227" i="17"/>
  <c r="Q227" i="17"/>
  <c r="P227" i="17"/>
  <c r="O227" i="17"/>
  <c r="N227" i="17"/>
  <c r="M227" i="17"/>
  <c r="L227" i="17"/>
  <c r="K227" i="17"/>
  <c r="J227" i="17"/>
  <c r="I227" i="17"/>
  <c r="H227" i="17"/>
  <c r="G227" i="17"/>
  <c r="F227" i="17"/>
  <c r="E227" i="17"/>
  <c r="D227" i="17"/>
  <c r="C227" i="17"/>
  <c r="S226" i="17"/>
  <c r="R226" i="17"/>
  <c r="Q226" i="17"/>
  <c r="P226" i="17"/>
  <c r="O226" i="17"/>
  <c r="N226" i="17"/>
  <c r="M226" i="17"/>
  <c r="L226" i="17"/>
  <c r="K226" i="17"/>
  <c r="J226" i="17"/>
  <c r="I226" i="17"/>
  <c r="H226" i="17"/>
  <c r="G226" i="17"/>
  <c r="F226" i="17"/>
  <c r="E226" i="17"/>
  <c r="D226" i="17"/>
  <c r="C226" i="17"/>
  <c r="S225" i="17"/>
  <c r="R225" i="17"/>
  <c r="Q225" i="17"/>
  <c r="P225" i="17"/>
  <c r="O225" i="17"/>
  <c r="N225" i="17"/>
  <c r="M225" i="17"/>
  <c r="L225" i="17"/>
  <c r="K225" i="17"/>
  <c r="J225" i="17"/>
  <c r="I225" i="17"/>
  <c r="H225" i="17"/>
  <c r="G225" i="17"/>
  <c r="F225" i="17"/>
  <c r="E225" i="17"/>
  <c r="D225" i="17"/>
  <c r="C225" i="17"/>
  <c r="S224" i="17"/>
  <c r="R224" i="17"/>
  <c r="Q224" i="17"/>
  <c r="P224" i="17"/>
  <c r="O224" i="17"/>
  <c r="N224" i="17"/>
  <c r="M224" i="17"/>
  <c r="L224" i="17"/>
  <c r="K224" i="17"/>
  <c r="J224" i="17"/>
  <c r="I224" i="17"/>
  <c r="H224" i="17"/>
  <c r="G224" i="17"/>
  <c r="F224" i="17"/>
  <c r="E224" i="17"/>
  <c r="D224" i="17"/>
  <c r="C224" i="17"/>
  <c r="P223" i="17"/>
  <c r="P222" i="17"/>
  <c r="L221" i="17"/>
  <c r="M220" i="17"/>
  <c r="L220" i="17"/>
  <c r="M219" i="17"/>
  <c r="L219" i="17"/>
  <c r="D219" i="17"/>
  <c r="C219" i="17"/>
  <c r="S217" i="17"/>
  <c r="R217" i="17"/>
  <c r="Q217" i="17"/>
  <c r="P217" i="17"/>
  <c r="O217" i="17"/>
  <c r="N217" i="17"/>
  <c r="M217" i="17"/>
  <c r="L217" i="17"/>
  <c r="K217" i="17"/>
  <c r="J217" i="17"/>
  <c r="I217" i="17"/>
  <c r="H217" i="17"/>
  <c r="G217" i="17"/>
  <c r="F217" i="17"/>
  <c r="E217" i="17"/>
  <c r="D217" i="17"/>
  <c r="C217" i="17"/>
  <c r="S216" i="17"/>
  <c r="R216" i="17"/>
  <c r="Q216" i="17"/>
  <c r="P216" i="17"/>
  <c r="O216" i="17"/>
  <c r="N216" i="17"/>
  <c r="M216" i="17"/>
  <c r="L216" i="17"/>
  <c r="K216" i="17"/>
  <c r="J216" i="17"/>
  <c r="I216" i="17"/>
  <c r="H216" i="17"/>
  <c r="G216" i="17"/>
  <c r="F216" i="17"/>
  <c r="E216" i="17"/>
  <c r="D216" i="17"/>
  <c r="C216" i="17"/>
  <c r="S215" i="17"/>
  <c r="R215" i="17"/>
  <c r="Q215" i="17"/>
  <c r="P215" i="17"/>
  <c r="O215" i="17"/>
  <c r="N215" i="17"/>
  <c r="M215" i="17"/>
  <c r="L215" i="17"/>
  <c r="K215" i="17"/>
  <c r="J215" i="17"/>
  <c r="I215" i="17"/>
  <c r="H215" i="17"/>
  <c r="G215" i="17"/>
  <c r="F215" i="17"/>
  <c r="E215" i="17"/>
  <c r="D215" i="17"/>
  <c r="C215" i="17"/>
  <c r="S214" i="17"/>
  <c r="R214" i="17"/>
  <c r="Q214" i="17"/>
  <c r="P214" i="17"/>
  <c r="O214" i="17"/>
  <c r="N214" i="17"/>
  <c r="M214" i="17"/>
  <c r="L214" i="17"/>
  <c r="K214" i="17"/>
  <c r="J214" i="17"/>
  <c r="I214" i="17"/>
  <c r="H214" i="17"/>
  <c r="G214" i="17"/>
  <c r="F214" i="17"/>
  <c r="E214" i="17"/>
  <c r="D214" i="17"/>
  <c r="C214" i="17"/>
  <c r="S213" i="17"/>
  <c r="R213" i="17"/>
  <c r="Q213" i="17"/>
  <c r="P213" i="17"/>
  <c r="O213" i="17"/>
  <c r="N213" i="17"/>
  <c r="M213" i="17"/>
  <c r="L213" i="17"/>
  <c r="K213" i="17"/>
  <c r="J213" i="17"/>
  <c r="I213" i="17"/>
  <c r="H213" i="17"/>
  <c r="G213" i="17"/>
  <c r="F213" i="17"/>
  <c r="E213" i="17"/>
  <c r="D213" i="17"/>
  <c r="C213" i="17"/>
  <c r="S212" i="17"/>
  <c r="R212" i="17"/>
  <c r="Q212" i="17"/>
  <c r="P212" i="17"/>
  <c r="O212" i="17"/>
  <c r="N212" i="17"/>
  <c r="M212" i="17"/>
  <c r="L212" i="17"/>
  <c r="K212" i="17"/>
  <c r="J212" i="17"/>
  <c r="I212" i="17"/>
  <c r="H212" i="17"/>
  <c r="G212" i="17"/>
  <c r="F212" i="17"/>
  <c r="E212" i="17"/>
  <c r="D212" i="17"/>
  <c r="C212" i="17"/>
  <c r="S211" i="17"/>
  <c r="R211" i="17"/>
  <c r="Q211" i="17"/>
  <c r="P211" i="17"/>
  <c r="O211" i="17"/>
  <c r="N211" i="17"/>
  <c r="M211" i="17"/>
  <c r="L211" i="17"/>
  <c r="K211" i="17"/>
  <c r="J211" i="17"/>
  <c r="I211" i="17"/>
  <c r="H211" i="17"/>
  <c r="G211" i="17"/>
  <c r="F211" i="17"/>
  <c r="E211" i="17"/>
  <c r="D211" i="17"/>
  <c r="C211" i="17"/>
  <c r="S210" i="17"/>
  <c r="R210" i="17"/>
  <c r="Q210" i="17"/>
  <c r="P210" i="17"/>
  <c r="O210" i="17"/>
  <c r="N210" i="17"/>
  <c r="M210" i="17"/>
  <c r="L210" i="17"/>
  <c r="K210" i="17"/>
  <c r="J210" i="17"/>
  <c r="I210" i="17"/>
  <c r="H210" i="17"/>
  <c r="G210" i="17"/>
  <c r="F210" i="17"/>
  <c r="E210" i="17"/>
  <c r="D210" i="17"/>
  <c r="C210" i="17"/>
  <c r="S209" i="17"/>
  <c r="R209" i="17"/>
  <c r="Q209" i="17"/>
  <c r="P209" i="17"/>
  <c r="O209" i="17"/>
  <c r="N209" i="17"/>
  <c r="M209" i="17"/>
  <c r="L209" i="17"/>
  <c r="K209" i="17"/>
  <c r="J209" i="17"/>
  <c r="I209" i="17"/>
  <c r="H209" i="17"/>
  <c r="G209" i="17"/>
  <c r="F209" i="17"/>
  <c r="E209" i="17"/>
  <c r="D209" i="17"/>
  <c r="C209" i="17"/>
  <c r="S208" i="17"/>
  <c r="R208" i="17"/>
  <c r="Q208" i="17"/>
  <c r="P208" i="17"/>
  <c r="O208" i="17"/>
  <c r="N208" i="17"/>
  <c r="M208" i="17"/>
  <c r="L208" i="17"/>
  <c r="K208" i="17"/>
  <c r="J208" i="17"/>
  <c r="I208" i="17"/>
  <c r="H208" i="17"/>
  <c r="G208" i="17"/>
  <c r="F208" i="17"/>
  <c r="E208" i="17"/>
  <c r="D208" i="17"/>
  <c r="C208" i="17"/>
  <c r="S207" i="17"/>
  <c r="R207" i="17"/>
  <c r="Q207" i="17"/>
  <c r="P207" i="17"/>
  <c r="O207" i="17"/>
  <c r="N207" i="17"/>
  <c r="M207" i="17"/>
  <c r="L207" i="17"/>
  <c r="K207" i="17"/>
  <c r="J207" i="17"/>
  <c r="I207" i="17"/>
  <c r="H207" i="17"/>
  <c r="G207" i="17"/>
  <c r="F207" i="17"/>
  <c r="E207" i="17"/>
  <c r="D207" i="17"/>
  <c r="C207" i="17"/>
  <c r="S206" i="17"/>
  <c r="R206" i="17"/>
  <c r="Q206" i="17"/>
  <c r="P206" i="17"/>
  <c r="O206" i="17"/>
  <c r="N206" i="17"/>
  <c r="M206" i="17"/>
  <c r="L206" i="17"/>
  <c r="K206" i="17"/>
  <c r="J206" i="17"/>
  <c r="I206" i="17"/>
  <c r="H206" i="17"/>
  <c r="G206" i="17"/>
  <c r="F206" i="17"/>
  <c r="E206" i="17"/>
  <c r="D206" i="17"/>
  <c r="C206" i="17"/>
  <c r="S205" i="17"/>
  <c r="R205" i="17"/>
  <c r="Q205" i="17"/>
  <c r="P205" i="17"/>
  <c r="O205" i="17"/>
  <c r="N205" i="17"/>
  <c r="M205" i="17"/>
  <c r="L205" i="17"/>
  <c r="K205" i="17"/>
  <c r="J205" i="17"/>
  <c r="I205" i="17"/>
  <c r="H205" i="17"/>
  <c r="G205" i="17"/>
  <c r="F205" i="17"/>
  <c r="E205" i="17"/>
  <c r="D205" i="17"/>
  <c r="C205" i="17"/>
  <c r="S204" i="17"/>
  <c r="R204" i="17"/>
  <c r="Q204" i="17"/>
  <c r="P204" i="17"/>
  <c r="O204" i="17"/>
  <c r="N204" i="17"/>
  <c r="M204" i="17"/>
  <c r="L204" i="17"/>
  <c r="K204" i="17"/>
  <c r="J204" i="17"/>
  <c r="I204" i="17"/>
  <c r="H204" i="17"/>
  <c r="G204" i="17"/>
  <c r="F204" i="17"/>
  <c r="E204" i="17"/>
  <c r="D204" i="17"/>
  <c r="C204" i="17"/>
  <c r="S203" i="17"/>
  <c r="R203" i="17"/>
  <c r="Q203" i="17"/>
  <c r="P203" i="17"/>
  <c r="O203" i="17"/>
  <c r="N203" i="17"/>
  <c r="M203" i="17"/>
  <c r="L203" i="17"/>
  <c r="K203" i="17"/>
  <c r="J203" i="17"/>
  <c r="I203" i="17"/>
  <c r="H203" i="17"/>
  <c r="G203" i="17"/>
  <c r="F203" i="17"/>
  <c r="E203" i="17"/>
  <c r="D203" i="17"/>
  <c r="C203" i="17"/>
  <c r="S202" i="17"/>
  <c r="R202" i="17"/>
  <c r="Q202" i="17"/>
  <c r="P202" i="17"/>
  <c r="O202" i="17"/>
  <c r="N202" i="17"/>
  <c r="M202" i="17"/>
  <c r="L202" i="17"/>
  <c r="K202" i="17"/>
  <c r="J202" i="17"/>
  <c r="I202" i="17"/>
  <c r="H202" i="17"/>
  <c r="G202" i="17"/>
  <c r="F202" i="17"/>
  <c r="E202" i="17"/>
  <c r="D202" i="17"/>
  <c r="C202" i="17"/>
  <c r="S201" i="17"/>
  <c r="R201" i="17"/>
  <c r="Q201" i="17"/>
  <c r="P201" i="17"/>
  <c r="O201" i="17"/>
  <c r="N201" i="17"/>
  <c r="M201" i="17"/>
  <c r="L201" i="17"/>
  <c r="K201" i="17"/>
  <c r="J201" i="17"/>
  <c r="I201" i="17"/>
  <c r="H201" i="17"/>
  <c r="G201" i="17"/>
  <c r="F201" i="17"/>
  <c r="E201" i="17"/>
  <c r="D201" i="17"/>
  <c r="C201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D200" i="17"/>
  <c r="C200" i="17"/>
  <c r="S199" i="17"/>
  <c r="R199" i="17"/>
  <c r="Q199" i="17"/>
  <c r="P199" i="17"/>
  <c r="O199" i="17"/>
  <c r="N199" i="17"/>
  <c r="M199" i="17"/>
  <c r="L199" i="17"/>
  <c r="K199" i="17"/>
  <c r="J199" i="17"/>
  <c r="I199" i="17"/>
  <c r="H199" i="17"/>
  <c r="G199" i="17"/>
  <c r="F199" i="17"/>
  <c r="E199" i="17"/>
  <c r="D199" i="17"/>
  <c r="C199" i="17"/>
  <c r="S198" i="17"/>
  <c r="R198" i="17"/>
  <c r="Q198" i="17"/>
  <c r="P198" i="17"/>
  <c r="O198" i="17"/>
  <c r="N198" i="17"/>
  <c r="M198" i="17"/>
  <c r="L198" i="17"/>
  <c r="K198" i="17"/>
  <c r="J198" i="17"/>
  <c r="I198" i="17"/>
  <c r="H198" i="17"/>
  <c r="G198" i="17"/>
  <c r="F198" i="17"/>
  <c r="E198" i="17"/>
  <c r="D198" i="17"/>
  <c r="C198" i="17"/>
  <c r="S197" i="17"/>
  <c r="R197" i="17"/>
  <c r="Q197" i="17"/>
  <c r="P197" i="17"/>
  <c r="O197" i="17"/>
  <c r="N197" i="17"/>
  <c r="M197" i="17"/>
  <c r="L197" i="17"/>
  <c r="K197" i="17"/>
  <c r="J197" i="17"/>
  <c r="I197" i="17"/>
  <c r="H197" i="17"/>
  <c r="G197" i="17"/>
  <c r="F197" i="17"/>
  <c r="E197" i="17"/>
  <c r="D197" i="17"/>
  <c r="C197" i="17"/>
  <c r="S196" i="17"/>
  <c r="R196" i="17"/>
  <c r="Q196" i="17"/>
  <c r="P196" i="17"/>
  <c r="O196" i="17"/>
  <c r="N196" i="17"/>
  <c r="M196" i="17"/>
  <c r="L196" i="17"/>
  <c r="K196" i="17"/>
  <c r="J196" i="17"/>
  <c r="I196" i="17"/>
  <c r="H196" i="17"/>
  <c r="G196" i="17"/>
  <c r="F196" i="17"/>
  <c r="E196" i="17"/>
  <c r="D196" i="17"/>
  <c r="C196" i="17"/>
  <c r="S195" i="17"/>
  <c r="R195" i="17"/>
  <c r="Q195" i="17"/>
  <c r="P195" i="17"/>
  <c r="O195" i="17"/>
  <c r="N195" i="17"/>
  <c r="M195" i="17"/>
  <c r="L195" i="17"/>
  <c r="K195" i="17"/>
  <c r="J195" i="17"/>
  <c r="I195" i="17"/>
  <c r="H195" i="17"/>
  <c r="G195" i="17"/>
  <c r="F195" i="17"/>
  <c r="E195" i="17"/>
  <c r="D195" i="17"/>
  <c r="C195" i="17"/>
  <c r="S194" i="17"/>
  <c r="R194" i="17"/>
  <c r="Q194" i="17"/>
  <c r="P194" i="17"/>
  <c r="O194" i="17"/>
  <c r="N194" i="17"/>
  <c r="M194" i="17"/>
  <c r="L194" i="17"/>
  <c r="K194" i="17"/>
  <c r="J194" i="17"/>
  <c r="I194" i="17"/>
  <c r="H194" i="17"/>
  <c r="G194" i="17"/>
  <c r="F194" i="17"/>
  <c r="E194" i="17"/>
  <c r="D194" i="17"/>
  <c r="C194" i="17"/>
  <c r="S193" i="17"/>
  <c r="R193" i="17"/>
  <c r="Q193" i="17"/>
  <c r="P193" i="17"/>
  <c r="O193" i="17"/>
  <c r="N193" i="17"/>
  <c r="M193" i="17"/>
  <c r="L193" i="17"/>
  <c r="K193" i="17"/>
  <c r="J193" i="17"/>
  <c r="I193" i="17"/>
  <c r="H193" i="17"/>
  <c r="G193" i="17"/>
  <c r="F193" i="17"/>
  <c r="E193" i="17"/>
  <c r="D193" i="17"/>
  <c r="C193" i="17"/>
  <c r="S192" i="17"/>
  <c r="R192" i="17"/>
  <c r="Q192" i="17"/>
  <c r="P192" i="17"/>
  <c r="O192" i="17"/>
  <c r="N192" i="17"/>
  <c r="M192" i="17"/>
  <c r="L192" i="17"/>
  <c r="K192" i="17"/>
  <c r="J192" i="17"/>
  <c r="I192" i="17"/>
  <c r="H192" i="17"/>
  <c r="G192" i="17"/>
  <c r="F192" i="17"/>
  <c r="E192" i="17"/>
  <c r="D192" i="17"/>
  <c r="C192" i="17"/>
  <c r="S191" i="17"/>
  <c r="R191" i="17"/>
  <c r="Q191" i="17"/>
  <c r="P191" i="17"/>
  <c r="O191" i="17"/>
  <c r="N191" i="17"/>
  <c r="M191" i="17"/>
  <c r="L191" i="17"/>
  <c r="K191" i="17"/>
  <c r="J191" i="17"/>
  <c r="I191" i="17"/>
  <c r="H191" i="17"/>
  <c r="G191" i="17"/>
  <c r="F191" i="17"/>
  <c r="E191" i="17"/>
  <c r="D191" i="17"/>
  <c r="C191" i="17"/>
  <c r="S190" i="17"/>
  <c r="R190" i="17"/>
  <c r="Q190" i="17"/>
  <c r="P190" i="17"/>
  <c r="O190" i="17"/>
  <c r="N190" i="17"/>
  <c r="M190" i="17"/>
  <c r="L190" i="17"/>
  <c r="K190" i="17"/>
  <c r="J190" i="17"/>
  <c r="I190" i="17"/>
  <c r="H190" i="17"/>
  <c r="G190" i="17"/>
  <c r="F190" i="17"/>
  <c r="E190" i="17"/>
  <c r="D190" i="17"/>
  <c r="C190" i="17"/>
  <c r="S189" i="17"/>
  <c r="R189" i="17"/>
  <c r="Q189" i="17"/>
  <c r="P189" i="17"/>
  <c r="O189" i="17"/>
  <c r="N189" i="17"/>
  <c r="M189" i="17"/>
  <c r="L189" i="17"/>
  <c r="K189" i="17"/>
  <c r="J189" i="17"/>
  <c r="I189" i="17"/>
  <c r="H189" i="17"/>
  <c r="G189" i="17"/>
  <c r="F189" i="17"/>
  <c r="E189" i="17"/>
  <c r="D189" i="17"/>
  <c r="C189" i="17"/>
  <c r="S188" i="17"/>
  <c r="R188" i="17"/>
  <c r="Q188" i="17"/>
  <c r="P188" i="17"/>
  <c r="O188" i="17"/>
  <c r="N188" i="17"/>
  <c r="M188" i="17"/>
  <c r="L188" i="17"/>
  <c r="K188" i="17"/>
  <c r="J188" i="17"/>
  <c r="I188" i="17"/>
  <c r="H188" i="17"/>
  <c r="G188" i="17"/>
  <c r="F188" i="17"/>
  <c r="E188" i="17"/>
  <c r="D188" i="17"/>
  <c r="C188" i="17"/>
  <c r="S187" i="17"/>
  <c r="R187" i="17"/>
  <c r="Q187" i="17"/>
  <c r="P187" i="17"/>
  <c r="O187" i="17"/>
  <c r="N187" i="17"/>
  <c r="M187" i="17"/>
  <c r="L187" i="17"/>
  <c r="K187" i="17"/>
  <c r="J187" i="17"/>
  <c r="I187" i="17"/>
  <c r="H187" i="17"/>
  <c r="G187" i="17"/>
  <c r="F187" i="17"/>
  <c r="E187" i="17"/>
  <c r="D187" i="17"/>
  <c r="C187" i="17"/>
  <c r="S186" i="17"/>
  <c r="R186" i="17"/>
  <c r="Q186" i="17"/>
  <c r="P186" i="17"/>
  <c r="O186" i="17"/>
  <c r="N186" i="17"/>
  <c r="M186" i="17"/>
  <c r="L186" i="17"/>
  <c r="K186" i="17"/>
  <c r="J186" i="17"/>
  <c r="I186" i="17"/>
  <c r="H186" i="17"/>
  <c r="G186" i="17"/>
  <c r="F186" i="17"/>
  <c r="E186" i="17"/>
  <c r="D186" i="17"/>
  <c r="C186" i="17"/>
  <c r="S185" i="17"/>
  <c r="R185" i="17"/>
  <c r="Q185" i="17"/>
  <c r="P185" i="17"/>
  <c r="O185" i="17"/>
  <c r="N185" i="17"/>
  <c r="M185" i="17"/>
  <c r="L185" i="17"/>
  <c r="K185" i="17"/>
  <c r="J185" i="17"/>
  <c r="I185" i="17"/>
  <c r="H185" i="17"/>
  <c r="G185" i="17"/>
  <c r="F185" i="17"/>
  <c r="E185" i="17"/>
  <c r="D185" i="17"/>
  <c r="C185" i="17"/>
  <c r="S184" i="17"/>
  <c r="R184" i="17"/>
  <c r="Q184" i="17"/>
  <c r="P184" i="17"/>
  <c r="O184" i="17"/>
  <c r="N184" i="17"/>
  <c r="M184" i="17"/>
  <c r="L184" i="17"/>
  <c r="K184" i="17"/>
  <c r="J184" i="17"/>
  <c r="I184" i="17"/>
  <c r="H184" i="17"/>
  <c r="G184" i="17"/>
  <c r="F184" i="17"/>
  <c r="E184" i="17"/>
  <c r="D184" i="17"/>
  <c r="C184" i="17"/>
  <c r="S183" i="17"/>
  <c r="R183" i="17"/>
  <c r="Q183" i="17"/>
  <c r="P183" i="17"/>
  <c r="O183" i="17"/>
  <c r="N183" i="17"/>
  <c r="M183" i="17"/>
  <c r="L183" i="17"/>
  <c r="K183" i="17"/>
  <c r="J183" i="17"/>
  <c r="I183" i="17"/>
  <c r="H183" i="17"/>
  <c r="G183" i="17"/>
  <c r="F183" i="17"/>
  <c r="E183" i="17"/>
  <c r="D183" i="17"/>
  <c r="C183" i="17"/>
  <c r="S182" i="17"/>
  <c r="R182" i="17"/>
  <c r="Q182" i="17"/>
  <c r="P182" i="17"/>
  <c r="O182" i="17"/>
  <c r="N182" i="17"/>
  <c r="M182" i="17"/>
  <c r="L182" i="17"/>
  <c r="K182" i="17"/>
  <c r="J182" i="17"/>
  <c r="I182" i="17"/>
  <c r="H182" i="17"/>
  <c r="G182" i="17"/>
  <c r="F182" i="17"/>
  <c r="E182" i="17"/>
  <c r="D182" i="17"/>
  <c r="C182" i="17"/>
  <c r="S181" i="17"/>
  <c r="R181" i="17"/>
  <c r="Q181" i="17"/>
  <c r="P181" i="17"/>
  <c r="O181" i="17"/>
  <c r="N181" i="17"/>
  <c r="M181" i="17"/>
  <c r="L181" i="17"/>
  <c r="K181" i="17"/>
  <c r="J181" i="17"/>
  <c r="I181" i="17"/>
  <c r="H181" i="17"/>
  <c r="G181" i="17"/>
  <c r="F181" i="17"/>
  <c r="E181" i="17"/>
  <c r="D181" i="17"/>
  <c r="C181" i="17"/>
  <c r="S180" i="17"/>
  <c r="R180" i="17"/>
  <c r="Q180" i="17"/>
  <c r="P180" i="17"/>
  <c r="O180" i="17"/>
  <c r="N180" i="17"/>
  <c r="M180" i="17"/>
  <c r="L180" i="17"/>
  <c r="K180" i="17"/>
  <c r="J180" i="17"/>
  <c r="I180" i="17"/>
  <c r="H180" i="17"/>
  <c r="G180" i="17"/>
  <c r="F180" i="17"/>
  <c r="E180" i="17"/>
  <c r="D180" i="17"/>
  <c r="C180" i="17"/>
  <c r="S179" i="17"/>
  <c r="R179" i="17"/>
  <c r="Q179" i="17"/>
  <c r="P179" i="17"/>
  <c r="O179" i="17"/>
  <c r="N179" i="17"/>
  <c r="M179" i="17"/>
  <c r="L179" i="17"/>
  <c r="K179" i="17"/>
  <c r="J179" i="17"/>
  <c r="I179" i="17"/>
  <c r="H179" i="17"/>
  <c r="G179" i="17"/>
  <c r="F179" i="17"/>
  <c r="E179" i="17"/>
  <c r="D179" i="17"/>
  <c r="C179" i="17"/>
  <c r="S178" i="17"/>
  <c r="R178" i="17"/>
  <c r="Q178" i="17"/>
  <c r="P178" i="17"/>
  <c r="O178" i="17"/>
  <c r="N178" i="17"/>
  <c r="M178" i="17"/>
  <c r="L178" i="17"/>
  <c r="K178" i="17"/>
  <c r="J178" i="17"/>
  <c r="I178" i="17"/>
  <c r="H178" i="17"/>
  <c r="G178" i="17"/>
  <c r="F178" i="17"/>
  <c r="E178" i="17"/>
  <c r="D178" i="17"/>
  <c r="C178" i="17"/>
  <c r="S177" i="17"/>
  <c r="R177" i="17"/>
  <c r="Q177" i="17"/>
  <c r="P177" i="17"/>
  <c r="O177" i="17"/>
  <c r="N177" i="17"/>
  <c r="M177" i="17"/>
  <c r="L177" i="17"/>
  <c r="K177" i="17"/>
  <c r="J177" i="17"/>
  <c r="I177" i="17"/>
  <c r="H177" i="17"/>
  <c r="G177" i="17"/>
  <c r="F177" i="17"/>
  <c r="E177" i="17"/>
  <c r="D177" i="17"/>
  <c r="C177" i="17"/>
  <c r="S176" i="17"/>
  <c r="R176" i="17"/>
  <c r="Q176" i="17"/>
  <c r="P176" i="17"/>
  <c r="O176" i="17"/>
  <c r="N176" i="17"/>
  <c r="M176" i="17"/>
  <c r="L176" i="17"/>
  <c r="K176" i="17"/>
  <c r="J176" i="17"/>
  <c r="I176" i="17"/>
  <c r="H176" i="17"/>
  <c r="G176" i="17"/>
  <c r="F176" i="17"/>
  <c r="E176" i="17"/>
  <c r="D176" i="17"/>
  <c r="C176" i="17"/>
  <c r="S175" i="17"/>
  <c r="R175" i="17"/>
  <c r="Q175" i="17"/>
  <c r="P175" i="17"/>
  <c r="O175" i="17"/>
  <c r="N175" i="17"/>
  <c r="M175" i="17"/>
  <c r="L175" i="17"/>
  <c r="K175" i="17"/>
  <c r="J175" i="17"/>
  <c r="I175" i="17"/>
  <c r="H175" i="17"/>
  <c r="G175" i="17"/>
  <c r="F175" i="17"/>
  <c r="E175" i="17"/>
  <c r="D175" i="17"/>
  <c r="C175" i="17"/>
  <c r="S174" i="17"/>
  <c r="R174" i="17"/>
  <c r="Q174" i="17"/>
  <c r="P174" i="17"/>
  <c r="O174" i="17"/>
  <c r="N174" i="17"/>
  <c r="M174" i="17"/>
  <c r="L174" i="17"/>
  <c r="K174" i="17"/>
  <c r="J174" i="17"/>
  <c r="I174" i="17"/>
  <c r="H174" i="17"/>
  <c r="G174" i="17"/>
  <c r="F174" i="17"/>
  <c r="E174" i="17"/>
  <c r="D174" i="17"/>
  <c r="C174" i="17"/>
  <c r="S173" i="17"/>
  <c r="R173" i="17"/>
  <c r="Q173" i="17"/>
  <c r="P173" i="17"/>
  <c r="O173" i="17"/>
  <c r="N173" i="17"/>
  <c r="M173" i="17"/>
  <c r="L173" i="17"/>
  <c r="K173" i="17"/>
  <c r="J173" i="17"/>
  <c r="I173" i="17"/>
  <c r="H173" i="17"/>
  <c r="G173" i="17"/>
  <c r="F173" i="17"/>
  <c r="E173" i="17"/>
  <c r="D173" i="17"/>
  <c r="C173" i="17"/>
  <c r="S172" i="17"/>
  <c r="R172" i="17"/>
  <c r="Q172" i="17"/>
  <c r="P172" i="17"/>
  <c r="O172" i="17"/>
  <c r="N172" i="17"/>
  <c r="M172" i="17"/>
  <c r="L172" i="17"/>
  <c r="K172" i="17"/>
  <c r="J172" i="17"/>
  <c r="I172" i="17"/>
  <c r="H172" i="17"/>
  <c r="G172" i="17"/>
  <c r="F172" i="17"/>
  <c r="E172" i="17"/>
  <c r="D172" i="17"/>
  <c r="C172" i="17"/>
  <c r="S171" i="17"/>
  <c r="R171" i="17"/>
  <c r="Q171" i="17"/>
  <c r="P171" i="17"/>
  <c r="O171" i="17"/>
  <c r="N171" i="17"/>
  <c r="M171" i="17"/>
  <c r="L171" i="17"/>
  <c r="K171" i="17"/>
  <c r="J171" i="17"/>
  <c r="I171" i="17"/>
  <c r="H171" i="17"/>
  <c r="G171" i="17"/>
  <c r="F171" i="17"/>
  <c r="E171" i="17"/>
  <c r="D171" i="17"/>
  <c r="C171" i="17"/>
  <c r="S170" i="17"/>
  <c r="R170" i="17"/>
  <c r="Q170" i="17"/>
  <c r="P170" i="17"/>
  <c r="O170" i="17"/>
  <c r="N170" i="17"/>
  <c r="M170" i="17"/>
  <c r="L170" i="17"/>
  <c r="K170" i="17"/>
  <c r="J170" i="17"/>
  <c r="I170" i="17"/>
  <c r="H170" i="17"/>
  <c r="G170" i="17"/>
  <c r="F170" i="17"/>
  <c r="E170" i="17"/>
  <c r="D170" i="17"/>
  <c r="C170" i="17"/>
  <c r="S169" i="17"/>
  <c r="R169" i="17"/>
  <c r="Q169" i="17"/>
  <c r="P169" i="17"/>
  <c r="O169" i="17"/>
  <c r="N169" i="17"/>
  <c r="M169" i="17"/>
  <c r="L169" i="17"/>
  <c r="K169" i="17"/>
  <c r="J169" i="17"/>
  <c r="I169" i="17"/>
  <c r="H169" i="17"/>
  <c r="G169" i="17"/>
  <c r="F169" i="17"/>
  <c r="E169" i="17"/>
  <c r="D169" i="17"/>
  <c r="C169" i="17"/>
  <c r="S168" i="17"/>
  <c r="R168" i="17"/>
  <c r="Q168" i="17"/>
  <c r="P168" i="17"/>
  <c r="O168" i="17"/>
  <c r="N168" i="17"/>
  <c r="M168" i="17"/>
  <c r="L168" i="17"/>
  <c r="K168" i="17"/>
  <c r="J168" i="17"/>
  <c r="I168" i="17"/>
  <c r="H168" i="17"/>
  <c r="G168" i="17"/>
  <c r="F168" i="17"/>
  <c r="E168" i="17"/>
  <c r="D168" i="17"/>
  <c r="C168" i="17"/>
  <c r="S167" i="17"/>
  <c r="R167" i="17"/>
  <c r="Q167" i="17"/>
  <c r="P167" i="17"/>
  <c r="O167" i="17"/>
  <c r="N167" i="17"/>
  <c r="M167" i="17"/>
  <c r="L167" i="17"/>
  <c r="K167" i="17"/>
  <c r="J167" i="17"/>
  <c r="I167" i="17"/>
  <c r="H167" i="17"/>
  <c r="G167" i="17"/>
  <c r="F167" i="17"/>
  <c r="E167" i="17"/>
  <c r="D167" i="17"/>
  <c r="C167" i="17"/>
  <c r="S166" i="17"/>
  <c r="R166" i="17"/>
  <c r="Q166" i="17"/>
  <c r="P166" i="17"/>
  <c r="O166" i="17"/>
  <c r="N166" i="17"/>
  <c r="M166" i="17"/>
  <c r="L166" i="17"/>
  <c r="K166" i="17"/>
  <c r="J166" i="17"/>
  <c r="I166" i="17"/>
  <c r="H166" i="17"/>
  <c r="G166" i="17"/>
  <c r="F166" i="17"/>
  <c r="E166" i="17"/>
  <c r="D166" i="17"/>
  <c r="C166" i="17"/>
  <c r="S165" i="17"/>
  <c r="R165" i="17"/>
  <c r="Q165" i="17"/>
  <c r="P165" i="17"/>
  <c r="O165" i="17"/>
  <c r="N165" i="17"/>
  <c r="M165" i="17"/>
  <c r="L165" i="17"/>
  <c r="K165" i="17"/>
  <c r="J165" i="17"/>
  <c r="I165" i="17"/>
  <c r="H165" i="17"/>
  <c r="G165" i="17"/>
  <c r="F165" i="17"/>
  <c r="E165" i="17"/>
  <c r="D165" i="17"/>
  <c r="C165" i="17"/>
  <c r="S164" i="17"/>
  <c r="R164" i="17"/>
  <c r="Q164" i="17"/>
  <c r="P164" i="17"/>
  <c r="O164" i="17"/>
  <c r="N164" i="17"/>
  <c r="M164" i="17"/>
  <c r="L164" i="17"/>
  <c r="K164" i="17"/>
  <c r="J164" i="17"/>
  <c r="I164" i="17"/>
  <c r="H164" i="17"/>
  <c r="G164" i="17"/>
  <c r="F164" i="17"/>
  <c r="E164" i="17"/>
  <c r="D164" i="17"/>
  <c r="C164" i="17"/>
  <c r="S163" i="17"/>
  <c r="R163" i="17"/>
  <c r="Q163" i="17"/>
  <c r="P163" i="17"/>
  <c r="O163" i="17"/>
  <c r="N163" i="17"/>
  <c r="M163" i="17"/>
  <c r="L163" i="17"/>
  <c r="K163" i="17"/>
  <c r="J163" i="17"/>
  <c r="I163" i="17"/>
  <c r="H163" i="17"/>
  <c r="G163" i="17"/>
  <c r="F163" i="17"/>
  <c r="E163" i="17"/>
  <c r="D163" i="17"/>
  <c r="C163" i="17"/>
  <c r="S162" i="17"/>
  <c r="R162" i="17"/>
  <c r="Q162" i="17"/>
  <c r="P162" i="17"/>
  <c r="O162" i="17"/>
  <c r="N162" i="17"/>
  <c r="M162" i="17"/>
  <c r="L162" i="17"/>
  <c r="K162" i="17"/>
  <c r="J162" i="17"/>
  <c r="I162" i="17"/>
  <c r="H162" i="17"/>
  <c r="G162" i="17"/>
  <c r="F162" i="17"/>
  <c r="E162" i="17"/>
  <c r="D162" i="17"/>
  <c r="C162" i="17"/>
  <c r="S161" i="17"/>
  <c r="R161" i="17"/>
  <c r="Q161" i="17"/>
  <c r="P161" i="17"/>
  <c r="O161" i="17"/>
  <c r="N161" i="17"/>
  <c r="M161" i="17"/>
  <c r="L161" i="17"/>
  <c r="K161" i="17"/>
  <c r="J161" i="17"/>
  <c r="I161" i="17"/>
  <c r="H161" i="17"/>
  <c r="G161" i="17"/>
  <c r="F161" i="17"/>
  <c r="E161" i="17"/>
  <c r="D161" i="17"/>
  <c r="C161" i="17"/>
  <c r="S160" i="17"/>
  <c r="R160" i="17"/>
  <c r="Q160" i="17"/>
  <c r="P160" i="17"/>
  <c r="O160" i="17"/>
  <c r="N160" i="17"/>
  <c r="M160" i="17"/>
  <c r="L160" i="17"/>
  <c r="K160" i="17"/>
  <c r="J160" i="17"/>
  <c r="I160" i="17"/>
  <c r="H160" i="17"/>
  <c r="G160" i="17"/>
  <c r="F160" i="17"/>
  <c r="E160" i="17"/>
  <c r="D160" i="17"/>
  <c r="C160" i="17"/>
  <c r="S159" i="17"/>
  <c r="R159" i="17"/>
  <c r="Q159" i="17"/>
  <c r="P159" i="17"/>
  <c r="O159" i="17"/>
  <c r="N159" i="17"/>
  <c r="M159" i="17"/>
  <c r="L159" i="17"/>
  <c r="K159" i="17"/>
  <c r="J159" i="17"/>
  <c r="I159" i="17"/>
  <c r="H159" i="17"/>
  <c r="G159" i="17"/>
  <c r="F159" i="17"/>
  <c r="E159" i="17"/>
  <c r="D159" i="17"/>
  <c r="C159" i="17"/>
  <c r="S158" i="17"/>
  <c r="R158" i="17"/>
  <c r="Q158" i="17"/>
  <c r="P158" i="17"/>
  <c r="O158" i="17"/>
  <c r="N158" i="17"/>
  <c r="M158" i="17"/>
  <c r="L158" i="17"/>
  <c r="K158" i="17"/>
  <c r="J158" i="17"/>
  <c r="I158" i="17"/>
  <c r="H158" i="17"/>
  <c r="G158" i="17"/>
  <c r="F158" i="17"/>
  <c r="E158" i="17"/>
  <c r="D158" i="17"/>
  <c r="C158" i="17"/>
  <c r="S157" i="17"/>
  <c r="R157" i="17"/>
  <c r="Q157" i="17"/>
  <c r="P157" i="17"/>
  <c r="O157" i="17"/>
  <c r="N157" i="17"/>
  <c r="M157" i="17"/>
  <c r="L157" i="17"/>
  <c r="K157" i="17"/>
  <c r="J157" i="17"/>
  <c r="I157" i="17"/>
  <c r="H157" i="17"/>
  <c r="G157" i="17"/>
  <c r="F157" i="17"/>
  <c r="E157" i="17"/>
  <c r="D157" i="17"/>
  <c r="C157" i="17"/>
  <c r="S156" i="17"/>
  <c r="R156" i="17"/>
  <c r="Q156" i="17"/>
  <c r="P156" i="17"/>
  <c r="O156" i="17"/>
  <c r="N156" i="17"/>
  <c r="M156" i="17"/>
  <c r="L156" i="17"/>
  <c r="K156" i="17"/>
  <c r="J156" i="17"/>
  <c r="I156" i="17"/>
  <c r="H156" i="17"/>
  <c r="G156" i="17"/>
  <c r="F156" i="17"/>
  <c r="E156" i="17"/>
  <c r="D156" i="17"/>
  <c r="C156" i="17"/>
  <c r="S155" i="17"/>
  <c r="R155" i="17"/>
  <c r="Q155" i="17"/>
  <c r="P155" i="17"/>
  <c r="O155" i="17"/>
  <c r="N155" i="17"/>
  <c r="M155" i="17"/>
  <c r="L155" i="17"/>
  <c r="K155" i="17"/>
  <c r="J155" i="17"/>
  <c r="I155" i="17"/>
  <c r="H155" i="17"/>
  <c r="G155" i="17"/>
  <c r="F155" i="17"/>
  <c r="E155" i="17"/>
  <c r="D155" i="17"/>
  <c r="C155" i="17"/>
  <c r="S154" i="17"/>
  <c r="R154" i="17"/>
  <c r="Q154" i="17"/>
  <c r="P154" i="17"/>
  <c r="O154" i="17"/>
  <c r="N154" i="17"/>
  <c r="M154" i="17"/>
  <c r="L154" i="17"/>
  <c r="K154" i="17"/>
  <c r="J154" i="17"/>
  <c r="I154" i="17"/>
  <c r="H154" i="17"/>
  <c r="G154" i="17"/>
  <c r="F154" i="17"/>
  <c r="E154" i="17"/>
  <c r="D154" i="17"/>
  <c r="C154" i="17"/>
  <c r="S153" i="17"/>
  <c r="R153" i="17"/>
  <c r="Q153" i="17"/>
  <c r="P153" i="17"/>
  <c r="O153" i="17"/>
  <c r="N153" i="17"/>
  <c r="M153" i="17"/>
  <c r="L153" i="17"/>
  <c r="K153" i="17"/>
  <c r="J153" i="17"/>
  <c r="I153" i="17"/>
  <c r="H153" i="17"/>
  <c r="G153" i="17"/>
  <c r="F153" i="17"/>
  <c r="E153" i="17"/>
  <c r="D153" i="17"/>
  <c r="C153" i="17"/>
  <c r="S152" i="17"/>
  <c r="R152" i="17"/>
  <c r="Q152" i="17"/>
  <c r="P152" i="17"/>
  <c r="O152" i="17"/>
  <c r="N152" i="17"/>
  <c r="M152" i="17"/>
  <c r="L152" i="17"/>
  <c r="K152" i="17"/>
  <c r="J152" i="17"/>
  <c r="I152" i="17"/>
  <c r="H152" i="17"/>
  <c r="G152" i="17"/>
  <c r="F152" i="17"/>
  <c r="E152" i="17"/>
  <c r="D152" i="17"/>
  <c r="C152" i="17"/>
  <c r="S151" i="17"/>
  <c r="R151" i="17"/>
  <c r="Q151" i="17"/>
  <c r="P151" i="17"/>
  <c r="O151" i="17"/>
  <c r="N151" i="17"/>
  <c r="M151" i="17"/>
  <c r="L151" i="17"/>
  <c r="K151" i="17"/>
  <c r="J151" i="17"/>
  <c r="I151" i="17"/>
  <c r="H151" i="17"/>
  <c r="G151" i="17"/>
  <c r="F151" i="17"/>
  <c r="E151" i="17"/>
  <c r="D151" i="17"/>
  <c r="C151" i="17"/>
  <c r="S150" i="17"/>
  <c r="R150" i="17"/>
  <c r="Q150" i="17"/>
  <c r="P150" i="17"/>
  <c r="O150" i="17"/>
  <c r="N150" i="17"/>
  <c r="M150" i="17"/>
  <c r="L150" i="17"/>
  <c r="K150" i="17"/>
  <c r="J150" i="17"/>
  <c r="I150" i="17"/>
  <c r="H150" i="17"/>
  <c r="G150" i="17"/>
  <c r="F150" i="17"/>
  <c r="E150" i="17"/>
  <c r="D150" i="17"/>
  <c r="C150" i="17"/>
  <c r="S149" i="17"/>
  <c r="R149" i="17"/>
  <c r="Q149" i="17"/>
  <c r="P149" i="17"/>
  <c r="O149" i="17"/>
  <c r="N149" i="17"/>
  <c r="M149" i="17"/>
  <c r="L149" i="17"/>
  <c r="K149" i="17"/>
  <c r="J149" i="17"/>
  <c r="I149" i="17"/>
  <c r="H149" i="17"/>
  <c r="G149" i="17"/>
  <c r="F149" i="17"/>
  <c r="E149" i="17"/>
  <c r="D149" i="17"/>
  <c r="C149" i="17"/>
  <c r="S148" i="17"/>
  <c r="R148" i="17"/>
  <c r="Q148" i="17"/>
  <c r="P148" i="17"/>
  <c r="O148" i="17"/>
  <c r="N148" i="17"/>
  <c r="M148" i="17"/>
  <c r="L148" i="17"/>
  <c r="K148" i="17"/>
  <c r="J148" i="17"/>
  <c r="I148" i="17"/>
  <c r="H148" i="17"/>
  <c r="G148" i="17"/>
  <c r="F148" i="17"/>
  <c r="E148" i="17"/>
  <c r="D148" i="17"/>
  <c r="C148" i="17"/>
  <c r="S147" i="17"/>
  <c r="R147" i="17"/>
  <c r="Q147" i="17"/>
  <c r="P147" i="17"/>
  <c r="O147" i="17"/>
  <c r="N147" i="17"/>
  <c r="M147" i="17"/>
  <c r="L147" i="17"/>
  <c r="K147" i="17"/>
  <c r="J147" i="17"/>
  <c r="I147" i="17"/>
  <c r="H147" i="17"/>
  <c r="G147" i="17"/>
  <c r="F147" i="17"/>
  <c r="E147" i="17"/>
  <c r="D147" i="17"/>
  <c r="C147" i="17"/>
  <c r="S146" i="17"/>
  <c r="R146" i="17"/>
  <c r="Q146" i="17"/>
  <c r="P146" i="17"/>
  <c r="O146" i="17"/>
  <c r="N146" i="17"/>
  <c r="M146" i="17"/>
  <c r="L146" i="17"/>
  <c r="K146" i="17"/>
  <c r="J146" i="17"/>
  <c r="I146" i="17"/>
  <c r="H146" i="17"/>
  <c r="G146" i="17"/>
  <c r="F146" i="17"/>
  <c r="E146" i="17"/>
  <c r="D146" i="17"/>
  <c r="C146" i="17"/>
  <c r="S145" i="17"/>
  <c r="R145" i="17"/>
  <c r="Q145" i="17"/>
  <c r="P145" i="17"/>
  <c r="O145" i="17"/>
  <c r="N145" i="17"/>
  <c r="M145" i="17"/>
  <c r="L145" i="17"/>
  <c r="K145" i="17"/>
  <c r="J145" i="17"/>
  <c r="I145" i="17"/>
  <c r="H145" i="17"/>
  <c r="G145" i="17"/>
  <c r="F145" i="17"/>
  <c r="E145" i="17"/>
  <c r="D145" i="17"/>
  <c r="C145" i="17"/>
  <c r="S144" i="17"/>
  <c r="R144" i="17"/>
  <c r="Q144" i="17"/>
  <c r="P144" i="17"/>
  <c r="O144" i="17"/>
  <c r="N144" i="17"/>
  <c r="M144" i="17"/>
  <c r="L144" i="17"/>
  <c r="K144" i="17"/>
  <c r="J144" i="17"/>
  <c r="I144" i="17"/>
  <c r="H144" i="17"/>
  <c r="G144" i="17"/>
  <c r="F144" i="17"/>
  <c r="E144" i="17"/>
  <c r="D144" i="17"/>
  <c r="C144" i="17"/>
  <c r="S143" i="17"/>
  <c r="R143" i="17"/>
  <c r="Q143" i="17"/>
  <c r="P143" i="17"/>
  <c r="O143" i="17"/>
  <c r="N143" i="17"/>
  <c r="M143" i="17"/>
  <c r="L143" i="17"/>
  <c r="K143" i="17"/>
  <c r="J143" i="17"/>
  <c r="I143" i="17"/>
  <c r="H143" i="17"/>
  <c r="G143" i="17"/>
  <c r="F143" i="17"/>
  <c r="E143" i="17"/>
  <c r="D143" i="17"/>
  <c r="C143" i="17"/>
  <c r="S142" i="17"/>
  <c r="R142" i="17"/>
  <c r="Q142" i="17"/>
  <c r="P142" i="17"/>
  <c r="O142" i="17"/>
  <c r="N142" i="17"/>
  <c r="M142" i="17"/>
  <c r="L142" i="17"/>
  <c r="K142" i="17"/>
  <c r="J142" i="17"/>
  <c r="I142" i="17"/>
  <c r="H142" i="17"/>
  <c r="G142" i="17"/>
  <c r="F142" i="17"/>
  <c r="E142" i="17"/>
  <c r="D142" i="17"/>
  <c r="C142" i="17"/>
  <c r="S141" i="17"/>
  <c r="R141" i="17"/>
  <c r="Q141" i="17"/>
  <c r="P141" i="17"/>
  <c r="O141" i="17"/>
  <c r="N141" i="17"/>
  <c r="M141" i="17"/>
  <c r="L141" i="17"/>
  <c r="K141" i="17"/>
  <c r="J141" i="17"/>
  <c r="I141" i="17"/>
  <c r="H141" i="17"/>
  <c r="G141" i="17"/>
  <c r="F141" i="17"/>
  <c r="E141" i="17"/>
  <c r="D141" i="17"/>
  <c r="C141" i="17"/>
  <c r="S140" i="17"/>
  <c r="R140" i="17"/>
  <c r="Q140" i="17"/>
  <c r="P140" i="17"/>
  <c r="O140" i="17"/>
  <c r="N140" i="17"/>
  <c r="M140" i="17"/>
  <c r="L140" i="17"/>
  <c r="K140" i="17"/>
  <c r="J140" i="17"/>
  <c r="I140" i="17"/>
  <c r="H140" i="17"/>
  <c r="G140" i="17"/>
  <c r="F140" i="17"/>
  <c r="E140" i="17"/>
  <c r="D140" i="17"/>
  <c r="C140" i="17"/>
  <c r="N139" i="17"/>
  <c r="F139" i="17"/>
  <c r="F138" i="17"/>
  <c r="O137" i="17"/>
  <c r="F137" i="17"/>
  <c r="O136" i="17"/>
  <c r="N136" i="17"/>
  <c r="F136" i="17"/>
  <c r="S135" i="17"/>
  <c r="G135" i="17"/>
  <c r="K134" i="17"/>
  <c r="J134" i="17"/>
  <c r="V296" i="17"/>
  <c r="W296" i="17"/>
  <c r="X296" i="17"/>
  <c r="Y296" i="17"/>
  <c r="Z296" i="17"/>
  <c r="AA296" i="17"/>
  <c r="AB296" i="17"/>
  <c r="AC296" i="17"/>
  <c r="AD296" i="17"/>
  <c r="AE296" i="17"/>
  <c r="AF296" i="17"/>
  <c r="AG296" i="17"/>
  <c r="AH296" i="17"/>
  <c r="AI296" i="17"/>
  <c r="AJ296" i="17"/>
  <c r="AK296" i="17"/>
  <c r="V297" i="17"/>
  <c r="W297" i="17"/>
  <c r="X297" i="17"/>
  <c r="Y297" i="17"/>
  <c r="Z297" i="17"/>
  <c r="AA297" i="17"/>
  <c r="AB297" i="17"/>
  <c r="AC297" i="17"/>
  <c r="AD297" i="17"/>
  <c r="AE297" i="17"/>
  <c r="AF297" i="17"/>
  <c r="AG297" i="17"/>
  <c r="AH297" i="17"/>
  <c r="AI297" i="17"/>
  <c r="AJ297" i="17"/>
  <c r="AK297" i="17"/>
  <c r="V298" i="17"/>
  <c r="W298" i="17"/>
  <c r="X298" i="17"/>
  <c r="Y298" i="17"/>
  <c r="Z298" i="17"/>
  <c r="AA298" i="17"/>
  <c r="AB298" i="17"/>
  <c r="AC298" i="17"/>
  <c r="AD298" i="17"/>
  <c r="AE298" i="17"/>
  <c r="AF298" i="17"/>
  <c r="AG298" i="17"/>
  <c r="AH298" i="17"/>
  <c r="AI298" i="17"/>
  <c r="AJ298" i="17"/>
  <c r="AK298" i="17"/>
  <c r="V299" i="17"/>
  <c r="W299" i="17"/>
  <c r="X299" i="17"/>
  <c r="Y299" i="17"/>
  <c r="Z299" i="17"/>
  <c r="AA299" i="17"/>
  <c r="AB299" i="17"/>
  <c r="AC299" i="17"/>
  <c r="AD299" i="17"/>
  <c r="AE299" i="17"/>
  <c r="AF299" i="17"/>
  <c r="AG299" i="17"/>
  <c r="AH299" i="17"/>
  <c r="AI299" i="17"/>
  <c r="AJ299" i="17"/>
  <c r="AK299" i="17"/>
  <c r="V300" i="17"/>
  <c r="W300" i="17"/>
  <c r="X300" i="17"/>
  <c r="Y300" i="17"/>
  <c r="Z300" i="17"/>
  <c r="AA300" i="17"/>
  <c r="AB300" i="17"/>
  <c r="AC300" i="17"/>
  <c r="AD300" i="17"/>
  <c r="AE300" i="17"/>
  <c r="AF300" i="17"/>
  <c r="AG300" i="17"/>
  <c r="AH300" i="17"/>
  <c r="AI300" i="17"/>
  <c r="AJ300" i="17"/>
  <c r="AK300" i="17"/>
  <c r="V301" i="17"/>
  <c r="D299" i="17" s="1"/>
  <c r="W301" i="17"/>
  <c r="E298" i="17" s="1"/>
  <c r="X301" i="17"/>
  <c r="F296" i="17" s="1"/>
  <c r="Y301" i="17"/>
  <c r="G301" i="17" s="1"/>
  <c r="Z301" i="17"/>
  <c r="H301" i="17" s="1"/>
  <c r="AA301" i="17"/>
  <c r="I300" i="17" s="1"/>
  <c r="AB301" i="17"/>
  <c r="J299" i="17" s="1"/>
  <c r="AC301" i="17"/>
  <c r="AD301" i="17"/>
  <c r="AE301" i="17"/>
  <c r="M300" i="17" s="1"/>
  <c r="AF301" i="17"/>
  <c r="N297" i="17" s="1"/>
  <c r="AG301" i="17"/>
  <c r="O301" i="17" s="1"/>
  <c r="AH301" i="17"/>
  <c r="P301" i="17" s="1"/>
  <c r="AI301" i="17"/>
  <c r="Q300" i="17" s="1"/>
  <c r="AJ301" i="17"/>
  <c r="R299" i="17" s="1"/>
  <c r="AK301" i="17"/>
  <c r="S301" i="17" s="1"/>
  <c r="U297" i="17"/>
  <c r="U298" i="17"/>
  <c r="U299" i="17"/>
  <c r="U300" i="17"/>
  <c r="U301" i="17"/>
  <c r="C300" i="17" s="1"/>
  <c r="U296" i="17"/>
  <c r="V218" i="17"/>
  <c r="W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V219" i="17"/>
  <c r="W219" i="17"/>
  <c r="X219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AK219" i="17"/>
  <c r="V220" i="17"/>
  <c r="W220" i="17"/>
  <c r="X220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AK220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V223" i="17"/>
  <c r="D222" i="17" s="1"/>
  <c r="W223" i="17"/>
  <c r="E220" i="17" s="1"/>
  <c r="X223" i="17"/>
  <c r="F219" i="17" s="1"/>
  <c r="Y223" i="17"/>
  <c r="G223" i="17" s="1"/>
  <c r="Z223" i="17"/>
  <c r="H222" i="17" s="1"/>
  <c r="AA223" i="17"/>
  <c r="I220" i="17" s="1"/>
  <c r="AB223" i="17"/>
  <c r="J219" i="17" s="1"/>
  <c r="AC223" i="17"/>
  <c r="K218" i="17" s="1"/>
  <c r="AD223" i="17"/>
  <c r="L223" i="17" s="1"/>
  <c r="AE223" i="17"/>
  <c r="AF223" i="17"/>
  <c r="AG223" i="17"/>
  <c r="AH223" i="17"/>
  <c r="AI223" i="17"/>
  <c r="Q220" i="17" s="1"/>
  <c r="AJ223" i="17"/>
  <c r="R219" i="17" s="1"/>
  <c r="AK223" i="17"/>
  <c r="S218" i="17" s="1"/>
  <c r="U219" i="17"/>
  <c r="U220" i="17"/>
  <c r="U221" i="17"/>
  <c r="U222" i="17"/>
  <c r="U223" i="17"/>
  <c r="C222" i="17" s="1"/>
  <c r="U218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V139" i="17"/>
  <c r="D137" i="17" s="1"/>
  <c r="W139" i="17"/>
  <c r="E136" i="17" s="1"/>
  <c r="X139" i="17"/>
  <c r="F135" i="17" s="1"/>
  <c r="Y139" i="17"/>
  <c r="G137" i="17" s="1"/>
  <c r="Z139" i="17"/>
  <c r="H136" i="17" s="1"/>
  <c r="AA139" i="17"/>
  <c r="I135" i="17" s="1"/>
  <c r="AB139" i="17"/>
  <c r="J135" i="17" s="1"/>
  <c r="AC139" i="17"/>
  <c r="K138" i="17" s="1"/>
  <c r="AD139" i="17"/>
  <c r="L137" i="17" s="1"/>
  <c r="AE139" i="17"/>
  <c r="M136" i="17" s="1"/>
  <c r="AF139" i="17"/>
  <c r="N135" i="17" s="1"/>
  <c r="AG139" i="17"/>
  <c r="AH139" i="17"/>
  <c r="P136" i="17" s="1"/>
  <c r="AI139" i="17"/>
  <c r="AJ139" i="17"/>
  <c r="R135" i="17" s="1"/>
  <c r="AK139" i="17"/>
  <c r="S138" i="17" s="1"/>
  <c r="U135" i="17"/>
  <c r="U136" i="17"/>
  <c r="U137" i="17"/>
  <c r="U138" i="17"/>
  <c r="U139" i="17"/>
  <c r="U134" i="17"/>
  <c r="K221" i="17" l="1"/>
  <c r="Q223" i="17"/>
  <c r="O296" i="17"/>
  <c r="P297" i="17"/>
  <c r="C299" i="17"/>
  <c r="M4" i="24"/>
  <c r="M7" i="24"/>
  <c r="Q222" i="17"/>
  <c r="P296" i="17"/>
  <c r="Q297" i="17"/>
  <c r="G299" i="17"/>
  <c r="C301" i="17"/>
  <c r="M9" i="24"/>
  <c r="E139" i="17"/>
  <c r="L134" i="17"/>
  <c r="K139" i="17"/>
  <c r="K219" i="17"/>
  <c r="Q221" i="17"/>
  <c r="AJ12" i="17"/>
  <c r="AJ10" i="17"/>
  <c r="AB9" i="17"/>
  <c r="R221" i="17"/>
  <c r="F298" i="17"/>
  <c r="AI12" i="17"/>
  <c r="AA11" i="17"/>
  <c r="AA10" i="17"/>
  <c r="Y13" i="17"/>
  <c r="Y10" i="17"/>
  <c r="E137" i="17"/>
  <c r="S222" i="17"/>
  <c r="F297" i="17"/>
  <c r="D218" i="17"/>
  <c r="S219" i="17"/>
  <c r="D221" i="17"/>
  <c r="I223" i="17"/>
  <c r="G296" i="17"/>
  <c r="G297" i="17"/>
  <c r="H298" i="17"/>
  <c r="O299" i="17"/>
  <c r="Q301" i="17"/>
  <c r="O9" i="24"/>
  <c r="K6" i="24"/>
  <c r="K7" i="24"/>
  <c r="K222" i="17"/>
  <c r="E138" i="17"/>
  <c r="R223" i="17"/>
  <c r="AJ13" i="17"/>
  <c r="AB12" i="17"/>
  <c r="AB11" i="17"/>
  <c r="AJ9" i="17"/>
  <c r="R222" i="17"/>
  <c r="Q296" i="17"/>
  <c r="I301" i="17"/>
  <c r="AA13" i="17"/>
  <c r="AA12" i="17"/>
  <c r="AI10" i="17"/>
  <c r="AA9" i="17"/>
  <c r="Y11" i="17"/>
  <c r="Y9" i="17"/>
  <c r="M139" i="17"/>
  <c r="S221" i="17"/>
  <c r="N299" i="17"/>
  <c r="M8" i="24"/>
  <c r="Z13" i="17"/>
  <c r="Z12" i="17"/>
  <c r="AH11" i="17"/>
  <c r="Z10" i="17"/>
  <c r="Z9" i="17"/>
  <c r="AF14" i="17"/>
  <c r="X13" i="17"/>
  <c r="X12" i="17"/>
  <c r="X11" i="17"/>
  <c r="AF10" i="17"/>
  <c r="AF9" i="17"/>
  <c r="M138" i="17"/>
  <c r="U13" i="17"/>
  <c r="AG14" i="17"/>
  <c r="AG13" i="17"/>
  <c r="AG12" i="17"/>
  <c r="AG11" i="17"/>
  <c r="O11" i="17" s="1"/>
  <c r="AG10" i="17"/>
  <c r="O10" i="17" s="1"/>
  <c r="AG9" i="17"/>
  <c r="C220" i="17"/>
  <c r="AE13" i="17"/>
  <c r="W13" i="17"/>
  <c r="AE12" i="17"/>
  <c r="W12" i="17"/>
  <c r="AE11" i="17"/>
  <c r="W11" i="17"/>
  <c r="AE10" i="17"/>
  <c r="W10" i="17"/>
  <c r="AE9" i="17"/>
  <c r="W9" i="17"/>
  <c r="D134" i="17"/>
  <c r="K135" i="17"/>
  <c r="M137" i="17"/>
  <c r="N138" i="17"/>
  <c r="S139" i="17"/>
  <c r="L218" i="17"/>
  <c r="D220" i="17"/>
  <c r="I221" i="17"/>
  <c r="I222" i="17"/>
  <c r="J223" i="17"/>
  <c r="H296" i="17"/>
  <c r="H297" i="17"/>
  <c r="N298" i="17"/>
  <c r="R301" i="17"/>
  <c r="M5" i="24"/>
  <c r="L5" i="24"/>
  <c r="L7" i="24"/>
  <c r="Q331" i="18"/>
  <c r="Q332" i="18"/>
  <c r="Q327" i="18"/>
  <c r="AI326" i="18"/>
  <c r="Q329" i="18"/>
  <c r="Q328" i="18"/>
  <c r="Q330" i="18"/>
  <c r="O6" i="24"/>
  <c r="K220" i="17"/>
  <c r="D138" i="17"/>
  <c r="AB13" i="17"/>
  <c r="AJ11" i="17"/>
  <c r="AB10" i="17"/>
  <c r="S134" i="17"/>
  <c r="L139" i="17"/>
  <c r="R220" i="17"/>
  <c r="S223" i="17"/>
  <c r="U9" i="17"/>
  <c r="AI13" i="17"/>
  <c r="AI11" i="17"/>
  <c r="AI9" i="17"/>
  <c r="Y12" i="17"/>
  <c r="L138" i="17"/>
  <c r="S220" i="17"/>
  <c r="G298" i="17"/>
  <c r="AH13" i="17"/>
  <c r="AH12" i="17"/>
  <c r="Z11" i="17"/>
  <c r="AH10" i="17"/>
  <c r="AH9" i="17"/>
  <c r="C221" i="17"/>
  <c r="AF13" i="17"/>
  <c r="AF12" i="17"/>
  <c r="N12" i="17" s="1"/>
  <c r="AF11" i="17"/>
  <c r="N11" i="17" s="1"/>
  <c r="X10" i="17"/>
  <c r="X9" i="17"/>
  <c r="H134" i="17"/>
  <c r="N137" i="17"/>
  <c r="D139" i="17"/>
  <c r="N218" i="17"/>
  <c r="J220" i="17"/>
  <c r="J221" i="17"/>
  <c r="J222" i="17"/>
  <c r="K223" i="17"/>
  <c r="I296" i="17"/>
  <c r="I297" i="17"/>
  <c r="O298" i="17"/>
  <c r="D300" i="17"/>
  <c r="N9" i="17"/>
  <c r="N10" i="17"/>
  <c r="N13" i="17"/>
  <c r="N14" i="17"/>
  <c r="O9" i="17"/>
  <c r="O12" i="17"/>
  <c r="O13" i="17"/>
  <c r="O14" i="17"/>
  <c r="AI14" i="17"/>
  <c r="Q139" i="17"/>
  <c r="Q137" i="17"/>
  <c r="Q138" i="17"/>
  <c r="M298" i="17"/>
  <c r="C138" i="17"/>
  <c r="U14" i="17"/>
  <c r="C137" i="17"/>
  <c r="C135" i="17"/>
  <c r="C136" i="17"/>
  <c r="L297" i="17"/>
  <c r="L296" i="17"/>
  <c r="I134" i="17"/>
  <c r="N219" i="17"/>
  <c r="M223" i="17"/>
  <c r="M221" i="17"/>
  <c r="M222" i="17"/>
  <c r="K298" i="17"/>
  <c r="K297" i="17"/>
  <c r="K296" i="17"/>
  <c r="H135" i="17"/>
  <c r="P137" i="17"/>
  <c r="AD13" i="17"/>
  <c r="AD12" i="17"/>
  <c r="V11" i="17"/>
  <c r="V10" i="17"/>
  <c r="E218" i="17"/>
  <c r="L300" i="17"/>
  <c r="K301" i="17"/>
  <c r="D6" i="24"/>
  <c r="J9" i="24"/>
  <c r="J6" i="24"/>
  <c r="J7" i="24"/>
  <c r="J4" i="24"/>
  <c r="C298" i="17"/>
  <c r="P134" i="17"/>
  <c r="G218" i="17"/>
  <c r="M297" i="17"/>
  <c r="L301" i="17"/>
  <c r="J8" i="24"/>
  <c r="AA14" i="17"/>
  <c r="I137" i="17"/>
  <c r="I139" i="17"/>
  <c r="I138" i="17"/>
  <c r="O222" i="17"/>
  <c r="O221" i="17"/>
  <c r="O220" i="17"/>
  <c r="O219" i="17"/>
  <c r="E296" i="17"/>
  <c r="E301" i="17"/>
  <c r="E297" i="17"/>
  <c r="H139" i="17"/>
  <c r="H138" i="17"/>
  <c r="F223" i="17"/>
  <c r="F222" i="17"/>
  <c r="F220" i="17"/>
  <c r="F221" i="17"/>
  <c r="D297" i="17"/>
  <c r="D296" i="17"/>
  <c r="E300" i="17"/>
  <c r="G134" i="17"/>
  <c r="G139" i="17"/>
  <c r="E223" i="17"/>
  <c r="E222" i="17"/>
  <c r="E221" i="17"/>
  <c r="S298" i="17"/>
  <c r="S297" i="17"/>
  <c r="S296" i="17"/>
  <c r="L299" i="17"/>
  <c r="V12" i="17"/>
  <c r="AD10" i="17"/>
  <c r="V9" i="17"/>
  <c r="C139" i="17"/>
  <c r="O223" i="17"/>
  <c r="E219" i="17"/>
  <c r="AC13" i="17"/>
  <c r="AC12" i="17"/>
  <c r="AC11" i="17"/>
  <c r="AK9" i="17"/>
  <c r="Q134" i="17"/>
  <c r="I136" i="17"/>
  <c r="G138" i="17"/>
  <c r="E299" i="17"/>
  <c r="S299" i="17"/>
  <c r="G222" i="17"/>
  <c r="G219" i="17"/>
  <c r="G221" i="17"/>
  <c r="G220" i="17"/>
  <c r="M296" i="17"/>
  <c r="M301" i="17"/>
  <c r="Y14" i="17"/>
  <c r="Q135" i="17"/>
  <c r="P138" i="17"/>
  <c r="P139" i="17"/>
  <c r="N223" i="17"/>
  <c r="N220" i="17"/>
  <c r="N222" i="17"/>
  <c r="N221" i="17"/>
  <c r="X14" i="17"/>
  <c r="O218" i="17"/>
  <c r="D301" i="17"/>
  <c r="O134" i="17"/>
  <c r="O139" i="17"/>
  <c r="W14" i="17"/>
  <c r="Q136" i="17"/>
  <c r="O138" i="17"/>
  <c r="D298" i="17"/>
  <c r="V13" i="17"/>
  <c r="AD11" i="17"/>
  <c r="AD9" i="17"/>
  <c r="AH14" i="17"/>
  <c r="M299" i="17"/>
  <c r="K300" i="17"/>
  <c r="G136" i="17"/>
  <c r="F218" i="17"/>
  <c r="AK13" i="17"/>
  <c r="AK12" i="17"/>
  <c r="AK11" i="17"/>
  <c r="AK10" i="17"/>
  <c r="AC10" i="17"/>
  <c r="AC9" i="17"/>
  <c r="AE14" i="17"/>
  <c r="C134" i="17"/>
  <c r="O135" i="17"/>
  <c r="H137" i="17"/>
  <c r="R139" i="17"/>
  <c r="R138" i="17"/>
  <c r="AJ14" i="17"/>
  <c r="R137" i="17"/>
  <c r="R136" i="17"/>
  <c r="J139" i="17"/>
  <c r="J138" i="17"/>
  <c r="AB14" i="17"/>
  <c r="J136" i="17"/>
  <c r="J137" i="17"/>
  <c r="C218" i="17"/>
  <c r="C223" i="17"/>
  <c r="P221" i="17"/>
  <c r="P220" i="17"/>
  <c r="P218" i="17"/>
  <c r="P219" i="17"/>
  <c r="H221" i="17"/>
  <c r="H220" i="17"/>
  <c r="H219" i="17"/>
  <c r="H218" i="17"/>
  <c r="N300" i="17"/>
  <c r="N301" i="17"/>
  <c r="F301" i="17"/>
  <c r="F300" i="17"/>
  <c r="Z14" i="17"/>
  <c r="R134" i="17"/>
  <c r="P135" i="17"/>
  <c r="M218" i="17"/>
  <c r="H223" i="17"/>
  <c r="L298" i="17"/>
  <c r="F299" i="17"/>
  <c r="S300" i="17"/>
  <c r="AD14" i="17"/>
  <c r="L222" i="17"/>
  <c r="R296" i="17"/>
  <c r="U11" i="17"/>
  <c r="AK14" i="17"/>
  <c r="AC14" i="17"/>
  <c r="E134" i="17"/>
  <c r="M134" i="17"/>
  <c r="D135" i="17"/>
  <c r="L135" i="17"/>
  <c r="K136" i="17"/>
  <c r="S136" i="17"/>
  <c r="I218" i="17"/>
  <c r="Q218" i="17"/>
  <c r="D223" i="17"/>
  <c r="C296" i="17"/>
  <c r="J297" i="17"/>
  <c r="R297" i="17"/>
  <c r="I298" i="17"/>
  <c r="Q298" i="17"/>
  <c r="H299" i="17"/>
  <c r="P299" i="17"/>
  <c r="G300" i="17"/>
  <c r="O300" i="17"/>
  <c r="U12" i="17"/>
  <c r="V14" i="17"/>
  <c r="U10" i="17"/>
  <c r="F134" i="17"/>
  <c r="N134" i="17"/>
  <c r="E135" i="17"/>
  <c r="M135" i="17"/>
  <c r="D136" i="17"/>
  <c r="L136" i="17"/>
  <c r="K137" i="17"/>
  <c r="S137" i="17"/>
  <c r="J218" i="17"/>
  <c r="R218" i="17"/>
  <c r="I219" i="17"/>
  <c r="Q219" i="17"/>
  <c r="C297" i="17"/>
  <c r="J298" i="17"/>
  <c r="R298" i="17"/>
  <c r="I299" i="17"/>
  <c r="Q299" i="17"/>
  <c r="H300" i="17"/>
  <c r="P300" i="17"/>
  <c r="J296" i="17"/>
  <c r="R329" i="18"/>
  <c r="AJ326" i="18"/>
  <c r="R327" i="18"/>
  <c r="R328" i="18"/>
  <c r="R332" i="18"/>
  <c r="R331" i="18"/>
  <c r="R330" i="18"/>
  <c r="AK320" i="18"/>
  <c r="S323" i="18"/>
  <c r="S322" i="18"/>
  <c r="S324" i="18"/>
  <c r="S325" i="18"/>
  <c r="S326" i="18"/>
  <c r="S321" i="18"/>
  <c r="P326" i="18"/>
  <c r="AH320" i="18"/>
  <c r="P323" i="18"/>
  <c r="P325" i="18"/>
  <c r="P321" i="18"/>
  <c r="P322" i="18"/>
  <c r="P324" i="18"/>
  <c r="D8" i="24"/>
  <c r="C7" i="24"/>
  <c r="D7" i="24"/>
  <c r="E5" i="24"/>
  <c r="D5" i="24"/>
  <c r="E7" i="24"/>
  <c r="E8" i="24"/>
  <c r="D9" i="24"/>
  <c r="D4" i="24"/>
  <c r="E4" i="24"/>
  <c r="C6" i="24"/>
  <c r="C9" i="24"/>
  <c r="C5" i="24"/>
  <c r="C8" i="24"/>
  <c r="C4" i="24"/>
  <c r="G7" i="24"/>
  <c r="G8" i="24"/>
  <c r="G9" i="24"/>
  <c r="G4" i="24"/>
  <c r="G5" i="24"/>
  <c r="G6" i="24"/>
  <c r="H8" i="24"/>
  <c r="H9" i="24"/>
  <c r="H5" i="24"/>
  <c r="H4" i="24"/>
  <c r="H6" i="24"/>
  <c r="H7" i="24"/>
  <c r="F6" i="24"/>
  <c r="F4" i="24"/>
  <c r="F7" i="24"/>
  <c r="F8" i="24"/>
  <c r="F5" i="24"/>
  <c r="F9" i="24"/>
  <c r="N6" i="24"/>
  <c r="N7" i="24"/>
  <c r="N8" i="24"/>
  <c r="N4" i="24"/>
  <c r="N9" i="24"/>
  <c r="N5" i="24"/>
  <c r="I9" i="24"/>
  <c r="I8" i="24"/>
  <c r="I7" i="24"/>
  <c r="I4" i="24"/>
  <c r="I5" i="24"/>
  <c r="I6" i="24"/>
  <c r="Q323" i="18" l="1"/>
  <c r="Q321" i="18"/>
  <c r="Q324" i="18"/>
  <c r="AI320" i="18"/>
  <c r="Q325" i="18"/>
  <c r="Q322" i="18"/>
  <c r="Q326" i="18"/>
  <c r="K10" i="17"/>
  <c r="K13" i="17"/>
  <c r="K9" i="17"/>
  <c r="K11" i="17"/>
  <c r="K12" i="17"/>
  <c r="K14" i="17"/>
  <c r="G9" i="17"/>
  <c r="G10" i="17"/>
  <c r="G11" i="17"/>
  <c r="G12" i="17"/>
  <c r="G13" i="17"/>
  <c r="G14" i="17"/>
  <c r="I9" i="17"/>
  <c r="I10" i="17"/>
  <c r="I11" i="17"/>
  <c r="I12" i="17"/>
  <c r="I13" i="17"/>
  <c r="I14" i="17"/>
  <c r="Q9" i="17"/>
  <c r="Q10" i="17"/>
  <c r="Q11" i="17"/>
  <c r="Q12" i="17"/>
  <c r="Q13" i="17"/>
  <c r="Q14" i="17"/>
  <c r="R10" i="17"/>
  <c r="R13" i="17"/>
  <c r="R14" i="17"/>
  <c r="R11" i="17"/>
  <c r="R9" i="17"/>
  <c r="R12" i="17"/>
  <c r="E9" i="17"/>
  <c r="E12" i="17"/>
  <c r="E13" i="17"/>
  <c r="E11" i="17"/>
  <c r="E10" i="17"/>
  <c r="E14" i="17"/>
  <c r="S9" i="17"/>
  <c r="S11" i="17"/>
  <c r="S12" i="17"/>
  <c r="S14" i="17"/>
  <c r="S10" i="17"/>
  <c r="S13" i="17"/>
  <c r="P9" i="17"/>
  <c r="P10" i="17"/>
  <c r="P11" i="17"/>
  <c r="P12" i="17"/>
  <c r="P13" i="17"/>
  <c r="P14" i="17"/>
  <c r="H9" i="17"/>
  <c r="H10" i="17"/>
  <c r="H11" i="17"/>
  <c r="H12" i="17"/>
  <c r="H13" i="17"/>
  <c r="H14" i="17"/>
  <c r="F14" i="17"/>
  <c r="F10" i="17"/>
  <c r="F11" i="17"/>
  <c r="F13" i="17"/>
  <c r="F9" i="17"/>
  <c r="F12" i="17"/>
  <c r="M10" i="17"/>
  <c r="M12" i="17"/>
  <c r="M14" i="17"/>
  <c r="M9" i="17"/>
  <c r="M11" i="17"/>
  <c r="M13" i="17"/>
  <c r="D9" i="17"/>
  <c r="D10" i="17"/>
  <c r="D11" i="17"/>
  <c r="D12" i="17"/>
  <c r="D13" i="17"/>
  <c r="D14" i="17"/>
  <c r="C11" i="17"/>
  <c r="C10" i="17"/>
  <c r="C9" i="17"/>
  <c r="C13" i="17"/>
  <c r="C14" i="17"/>
  <c r="C12" i="17"/>
  <c r="L10" i="17"/>
  <c r="L13" i="17"/>
  <c r="L9" i="17"/>
  <c r="L11" i="17"/>
  <c r="L12" i="17"/>
  <c r="L14" i="17"/>
  <c r="J12" i="17"/>
  <c r="J9" i="17"/>
  <c r="J10" i="17"/>
  <c r="J13" i="17"/>
  <c r="J11" i="17"/>
  <c r="J14" i="17"/>
  <c r="R326" i="18"/>
  <c r="R324" i="18"/>
  <c r="R325" i="18"/>
  <c r="R322" i="18"/>
  <c r="R321" i="18"/>
  <c r="AJ320" i="18"/>
  <c r="R323" i="18"/>
  <c r="S320" i="18"/>
  <c r="S319" i="18"/>
  <c r="S318" i="18"/>
  <c r="S317" i="18"/>
  <c r="S316" i="18"/>
  <c r="S315" i="18"/>
  <c r="AK314" i="18"/>
  <c r="P317" i="18"/>
  <c r="AH314" i="18"/>
  <c r="P320" i="18"/>
  <c r="P318" i="18"/>
  <c r="P319" i="18"/>
  <c r="P316" i="18"/>
  <c r="P315" i="18"/>
  <c r="Q356" i="23"/>
  <c r="P356" i="23"/>
  <c r="O356" i="23"/>
  <c r="N356" i="23"/>
  <c r="M356" i="23"/>
  <c r="L356" i="23"/>
  <c r="K356" i="23"/>
  <c r="J356" i="23"/>
  <c r="I356" i="23"/>
  <c r="H356" i="23"/>
  <c r="G356" i="23"/>
  <c r="F356" i="23"/>
  <c r="E356" i="23"/>
  <c r="D356" i="23"/>
  <c r="C356" i="23"/>
  <c r="Q355" i="23"/>
  <c r="P355" i="23"/>
  <c r="O355" i="23"/>
  <c r="N355" i="23"/>
  <c r="M355" i="23"/>
  <c r="L355" i="23"/>
  <c r="K355" i="23"/>
  <c r="J355" i="23"/>
  <c r="I355" i="23"/>
  <c r="H355" i="23"/>
  <c r="G355" i="23"/>
  <c r="F355" i="23"/>
  <c r="E355" i="23"/>
  <c r="D355" i="23"/>
  <c r="C355" i="23"/>
  <c r="Q354" i="23"/>
  <c r="P354" i="23"/>
  <c r="O354" i="23"/>
  <c r="N354" i="23"/>
  <c r="M354" i="23"/>
  <c r="L354" i="23"/>
  <c r="K354" i="23"/>
  <c r="J354" i="23"/>
  <c r="I354" i="23"/>
  <c r="H354" i="23"/>
  <c r="G354" i="23"/>
  <c r="F354" i="23"/>
  <c r="E354" i="23"/>
  <c r="D354" i="23"/>
  <c r="C354" i="23"/>
  <c r="Q353" i="23"/>
  <c r="P353" i="23"/>
  <c r="O353" i="23"/>
  <c r="N353" i="23"/>
  <c r="M353" i="23"/>
  <c r="L353" i="23"/>
  <c r="K353" i="23"/>
  <c r="J353" i="23"/>
  <c r="I353" i="23"/>
  <c r="H353" i="23"/>
  <c r="G353" i="23"/>
  <c r="F353" i="23"/>
  <c r="E353" i="23"/>
  <c r="D353" i="23"/>
  <c r="C353" i="23"/>
  <c r="Q352" i="23"/>
  <c r="P352" i="23"/>
  <c r="O352" i="23"/>
  <c r="N352" i="23"/>
  <c r="M352" i="23"/>
  <c r="L352" i="23"/>
  <c r="K352" i="23"/>
  <c r="J352" i="23"/>
  <c r="I352" i="23"/>
  <c r="H352" i="23"/>
  <c r="G352" i="23"/>
  <c r="F352" i="23"/>
  <c r="E352" i="23"/>
  <c r="D352" i="23"/>
  <c r="C352" i="23"/>
  <c r="Q351" i="23"/>
  <c r="P351" i="23"/>
  <c r="O351" i="23"/>
  <c r="N351" i="23"/>
  <c r="M351" i="23"/>
  <c r="L351" i="23"/>
  <c r="K351" i="23"/>
  <c r="J351" i="23"/>
  <c r="I351" i="23"/>
  <c r="H351" i="23"/>
  <c r="G351" i="23"/>
  <c r="F351" i="23"/>
  <c r="E351" i="23"/>
  <c r="D351" i="23"/>
  <c r="C351" i="23"/>
  <c r="Q350" i="23"/>
  <c r="P350" i="23"/>
  <c r="O350" i="23"/>
  <c r="N350" i="23"/>
  <c r="M350" i="23"/>
  <c r="L350" i="23"/>
  <c r="K350" i="23"/>
  <c r="J350" i="23"/>
  <c r="I350" i="23"/>
  <c r="H350" i="23"/>
  <c r="G350" i="23"/>
  <c r="F350" i="23"/>
  <c r="E350" i="23"/>
  <c r="D350" i="23"/>
  <c r="C350" i="23"/>
  <c r="Q349" i="23"/>
  <c r="P349" i="23"/>
  <c r="O349" i="23"/>
  <c r="N349" i="23"/>
  <c r="M349" i="23"/>
  <c r="L349" i="23"/>
  <c r="K349" i="23"/>
  <c r="J349" i="23"/>
  <c r="I349" i="23"/>
  <c r="H349" i="23"/>
  <c r="G349" i="23"/>
  <c r="F349" i="23"/>
  <c r="E349" i="23"/>
  <c r="D349" i="23"/>
  <c r="C349" i="23"/>
  <c r="Q348" i="23"/>
  <c r="P348" i="23"/>
  <c r="O348" i="23"/>
  <c r="N348" i="23"/>
  <c r="M348" i="23"/>
  <c r="L348" i="23"/>
  <c r="K348" i="23"/>
  <c r="J348" i="23"/>
  <c r="I348" i="23"/>
  <c r="H348" i="23"/>
  <c r="G348" i="23"/>
  <c r="F348" i="23"/>
  <c r="E348" i="23"/>
  <c r="D348" i="23"/>
  <c r="C348" i="23"/>
  <c r="Q347" i="23"/>
  <c r="P347" i="23"/>
  <c r="O347" i="23"/>
  <c r="N347" i="23"/>
  <c r="M347" i="23"/>
  <c r="L347" i="23"/>
  <c r="K347" i="23"/>
  <c r="J347" i="23"/>
  <c r="I347" i="23"/>
  <c r="H347" i="23"/>
  <c r="G347" i="23"/>
  <c r="F347" i="23"/>
  <c r="E347" i="23"/>
  <c r="D347" i="23"/>
  <c r="C347" i="23"/>
  <c r="Q346" i="23"/>
  <c r="P346" i="23"/>
  <c r="O346" i="23"/>
  <c r="N346" i="23"/>
  <c r="M346" i="23"/>
  <c r="L346" i="23"/>
  <c r="K346" i="23"/>
  <c r="J346" i="23"/>
  <c r="I346" i="23"/>
  <c r="H346" i="23"/>
  <c r="G346" i="23"/>
  <c r="F346" i="23"/>
  <c r="E346" i="23"/>
  <c r="D346" i="23"/>
  <c r="C346" i="23"/>
  <c r="Q345" i="23"/>
  <c r="P345" i="23"/>
  <c r="O345" i="23"/>
  <c r="N345" i="23"/>
  <c r="M345" i="23"/>
  <c r="L345" i="23"/>
  <c r="K345" i="23"/>
  <c r="J345" i="23"/>
  <c r="I345" i="23"/>
  <c r="H345" i="23"/>
  <c r="G345" i="23"/>
  <c r="F345" i="23"/>
  <c r="E345" i="23"/>
  <c r="D345" i="23"/>
  <c r="C345" i="23"/>
  <c r="Q344" i="23"/>
  <c r="P344" i="23"/>
  <c r="O344" i="23"/>
  <c r="N344" i="23"/>
  <c r="M344" i="23"/>
  <c r="L344" i="23"/>
  <c r="K344" i="23"/>
  <c r="J344" i="23"/>
  <c r="I344" i="23"/>
  <c r="H344" i="23"/>
  <c r="G344" i="23"/>
  <c r="F344" i="23"/>
  <c r="E344" i="23"/>
  <c r="D344" i="23"/>
  <c r="C344" i="23"/>
  <c r="Q343" i="23"/>
  <c r="P343" i="23"/>
  <c r="O343" i="23"/>
  <c r="N343" i="23"/>
  <c r="M343" i="23"/>
  <c r="L343" i="23"/>
  <c r="K343" i="23"/>
  <c r="J343" i="23"/>
  <c r="I343" i="23"/>
  <c r="H343" i="23"/>
  <c r="G343" i="23"/>
  <c r="F343" i="23"/>
  <c r="E343" i="23"/>
  <c r="D343" i="23"/>
  <c r="C343" i="23"/>
  <c r="Q342" i="23"/>
  <c r="P342" i="23"/>
  <c r="O342" i="23"/>
  <c r="N342" i="23"/>
  <c r="M342" i="23"/>
  <c r="L342" i="23"/>
  <c r="K342" i="23"/>
  <c r="J342" i="23"/>
  <c r="I342" i="23"/>
  <c r="H342" i="23"/>
  <c r="G342" i="23"/>
  <c r="F342" i="23"/>
  <c r="E342" i="23"/>
  <c r="D342" i="23"/>
  <c r="C342" i="23"/>
  <c r="Q341" i="23"/>
  <c r="P341" i="23"/>
  <c r="O341" i="23"/>
  <c r="N341" i="23"/>
  <c r="M341" i="23"/>
  <c r="L341" i="23"/>
  <c r="K341" i="23"/>
  <c r="J341" i="23"/>
  <c r="I341" i="23"/>
  <c r="H341" i="23"/>
  <c r="G341" i="23"/>
  <c r="F341" i="23"/>
  <c r="E341" i="23"/>
  <c r="D341" i="23"/>
  <c r="C341" i="23"/>
  <c r="Q340" i="23"/>
  <c r="P340" i="23"/>
  <c r="O340" i="23"/>
  <c r="N340" i="23"/>
  <c r="M340" i="23"/>
  <c r="L340" i="23"/>
  <c r="K340" i="23"/>
  <c r="J340" i="23"/>
  <c r="I340" i="23"/>
  <c r="H340" i="23"/>
  <c r="G340" i="23"/>
  <c r="F340" i="23"/>
  <c r="E340" i="23"/>
  <c r="D340" i="23"/>
  <c r="C340" i="23"/>
  <c r="Q339" i="23"/>
  <c r="P339" i="23"/>
  <c r="O339" i="23"/>
  <c r="N339" i="23"/>
  <c r="M339" i="23"/>
  <c r="L339" i="23"/>
  <c r="K339" i="23"/>
  <c r="J339" i="23"/>
  <c r="I339" i="23"/>
  <c r="H339" i="23"/>
  <c r="G339" i="23"/>
  <c r="F339" i="23"/>
  <c r="E339" i="23"/>
  <c r="D339" i="23"/>
  <c r="C339" i="23"/>
  <c r="O333" i="23"/>
  <c r="P333" i="23"/>
  <c r="Q333" i="23"/>
  <c r="O334" i="23"/>
  <c r="P334" i="23"/>
  <c r="Q334" i="23"/>
  <c r="O335" i="23"/>
  <c r="P335" i="23"/>
  <c r="Q335" i="23"/>
  <c r="O336" i="23"/>
  <c r="P336" i="23"/>
  <c r="Q336" i="23"/>
  <c r="O337" i="23"/>
  <c r="P337" i="23"/>
  <c r="Q337" i="23"/>
  <c r="O338" i="23"/>
  <c r="P338" i="23"/>
  <c r="Q338" i="23"/>
  <c r="N338" i="23"/>
  <c r="N337" i="23"/>
  <c r="N336" i="23"/>
  <c r="N335" i="23"/>
  <c r="N334" i="23"/>
  <c r="N333" i="23"/>
  <c r="Q317" i="18" l="1"/>
  <c r="AI314" i="18"/>
  <c r="Q315" i="18"/>
  <c r="Q319" i="18"/>
  <c r="Q316" i="18"/>
  <c r="Q318" i="18"/>
  <c r="Q320" i="18"/>
  <c r="R316" i="18"/>
  <c r="R315" i="18"/>
  <c r="R317" i="18"/>
  <c r="R320" i="18"/>
  <c r="AJ314" i="18"/>
  <c r="R319" i="18"/>
  <c r="R318" i="18"/>
  <c r="S312" i="18"/>
  <c r="AK308" i="18"/>
  <c r="S311" i="18"/>
  <c r="S310" i="18"/>
  <c r="S309" i="18"/>
  <c r="S314" i="18"/>
  <c r="S313" i="18"/>
  <c r="P312" i="18"/>
  <c r="P313" i="18"/>
  <c r="P311" i="18"/>
  <c r="P309" i="18"/>
  <c r="AH308" i="18"/>
  <c r="P310" i="18"/>
  <c r="P314" i="18"/>
  <c r="M338" i="23"/>
  <c r="L338" i="23"/>
  <c r="K338" i="23"/>
  <c r="J338" i="23"/>
  <c r="I338" i="23"/>
  <c r="H338" i="23"/>
  <c r="G338" i="23"/>
  <c r="F338" i="23"/>
  <c r="E338" i="23"/>
  <c r="D338" i="23"/>
  <c r="M337" i="23"/>
  <c r="L337" i="23"/>
  <c r="K337" i="23"/>
  <c r="J337" i="23"/>
  <c r="I337" i="23"/>
  <c r="H337" i="23"/>
  <c r="G337" i="23"/>
  <c r="F337" i="23"/>
  <c r="E337" i="23"/>
  <c r="D337" i="23"/>
  <c r="M336" i="23"/>
  <c r="L336" i="23"/>
  <c r="K336" i="23"/>
  <c r="J336" i="23"/>
  <c r="I336" i="23"/>
  <c r="H336" i="23"/>
  <c r="G336" i="23"/>
  <c r="F336" i="23"/>
  <c r="E336" i="23"/>
  <c r="D336" i="23"/>
  <c r="M335" i="23"/>
  <c r="L335" i="23"/>
  <c r="K335" i="23"/>
  <c r="J335" i="23"/>
  <c r="I335" i="23"/>
  <c r="H335" i="23"/>
  <c r="G335" i="23"/>
  <c r="F335" i="23"/>
  <c r="E335" i="23"/>
  <c r="D335" i="23"/>
  <c r="M334" i="23"/>
  <c r="L334" i="23"/>
  <c r="K334" i="23"/>
  <c r="J334" i="23"/>
  <c r="I334" i="23"/>
  <c r="H334" i="23"/>
  <c r="G334" i="23"/>
  <c r="F334" i="23"/>
  <c r="E334" i="23"/>
  <c r="D334" i="23"/>
  <c r="M333" i="23"/>
  <c r="L333" i="23"/>
  <c r="K333" i="23"/>
  <c r="J333" i="23"/>
  <c r="I333" i="23"/>
  <c r="H333" i="23"/>
  <c r="G333" i="23"/>
  <c r="F333" i="23"/>
  <c r="E333" i="23"/>
  <c r="D333" i="23"/>
  <c r="C338" i="23"/>
  <c r="C337" i="23"/>
  <c r="C336" i="23"/>
  <c r="C335" i="23"/>
  <c r="C334" i="23"/>
  <c r="C333" i="23"/>
  <c r="Q313" i="18" l="1"/>
  <c r="Q311" i="18"/>
  <c r="Q310" i="18"/>
  <c r="AI308" i="18"/>
  <c r="Q314" i="18"/>
  <c r="Q312" i="18"/>
  <c r="Q309" i="18"/>
  <c r="R311" i="18"/>
  <c r="AJ308" i="18"/>
  <c r="R309" i="18"/>
  <c r="R314" i="18"/>
  <c r="R313" i="18"/>
  <c r="R310" i="18"/>
  <c r="R312" i="18"/>
  <c r="S307" i="18"/>
  <c r="S308" i="18"/>
  <c r="S304" i="18"/>
  <c r="S305" i="18"/>
  <c r="S306" i="18"/>
  <c r="AK302" i="18"/>
  <c r="S303" i="18"/>
  <c r="P308" i="18"/>
  <c r="P304" i="18"/>
  <c r="P303" i="18"/>
  <c r="P305" i="18"/>
  <c r="AH302" i="18"/>
  <c r="P306" i="18"/>
  <c r="P307" i="18"/>
  <c r="O327" i="23"/>
  <c r="P327" i="23"/>
  <c r="Q327" i="23"/>
  <c r="O328" i="23"/>
  <c r="P328" i="23"/>
  <c r="Q328" i="23"/>
  <c r="O329" i="23"/>
  <c r="P329" i="23"/>
  <c r="Q329" i="23"/>
  <c r="O330" i="23"/>
  <c r="P330" i="23"/>
  <c r="Q330" i="23"/>
  <c r="O331" i="23"/>
  <c r="P331" i="23"/>
  <c r="Q331" i="23"/>
  <c r="O332" i="23"/>
  <c r="P332" i="23"/>
  <c r="Q332" i="23"/>
  <c r="N328" i="23"/>
  <c r="N329" i="23"/>
  <c r="N330" i="23"/>
  <c r="N331" i="23"/>
  <c r="N332" i="23"/>
  <c r="N327" i="23"/>
  <c r="D327" i="23"/>
  <c r="E327" i="23"/>
  <c r="F327" i="23"/>
  <c r="G327" i="23"/>
  <c r="H327" i="23"/>
  <c r="I327" i="23"/>
  <c r="J327" i="23"/>
  <c r="K327" i="23"/>
  <c r="L327" i="23"/>
  <c r="M327" i="23"/>
  <c r="D328" i="23"/>
  <c r="E328" i="23"/>
  <c r="F328" i="23"/>
  <c r="G328" i="23"/>
  <c r="H328" i="23"/>
  <c r="I328" i="23"/>
  <c r="J328" i="23"/>
  <c r="K328" i="23"/>
  <c r="L328" i="23"/>
  <c r="M328" i="23"/>
  <c r="D329" i="23"/>
  <c r="E329" i="23"/>
  <c r="F329" i="23"/>
  <c r="G329" i="23"/>
  <c r="H329" i="23"/>
  <c r="I329" i="23"/>
  <c r="J329" i="23"/>
  <c r="K329" i="23"/>
  <c r="L329" i="23"/>
  <c r="M329" i="23"/>
  <c r="D330" i="23"/>
  <c r="E330" i="23"/>
  <c r="F330" i="23"/>
  <c r="G330" i="23"/>
  <c r="H330" i="23"/>
  <c r="I330" i="23"/>
  <c r="J330" i="23"/>
  <c r="K330" i="23"/>
  <c r="L330" i="23"/>
  <c r="M330" i="23"/>
  <c r="D331" i="23"/>
  <c r="E331" i="23"/>
  <c r="F331" i="23"/>
  <c r="G331" i="23"/>
  <c r="H331" i="23"/>
  <c r="I331" i="23"/>
  <c r="J331" i="23"/>
  <c r="K331" i="23"/>
  <c r="L331" i="23"/>
  <c r="M331" i="23"/>
  <c r="D332" i="23"/>
  <c r="E332" i="23"/>
  <c r="F332" i="23"/>
  <c r="G332" i="23"/>
  <c r="H332" i="23"/>
  <c r="I332" i="23"/>
  <c r="J332" i="23"/>
  <c r="K332" i="23"/>
  <c r="L332" i="23"/>
  <c r="M332" i="23"/>
  <c r="C328" i="23"/>
  <c r="C329" i="23"/>
  <c r="C330" i="23"/>
  <c r="C331" i="23"/>
  <c r="C332" i="23"/>
  <c r="C327" i="23"/>
  <c r="O321" i="23"/>
  <c r="P321" i="23"/>
  <c r="Q321" i="23"/>
  <c r="O322" i="23"/>
  <c r="P322" i="23"/>
  <c r="Q322" i="23"/>
  <c r="O323" i="23"/>
  <c r="P323" i="23"/>
  <c r="Q323" i="23"/>
  <c r="O324" i="23"/>
  <c r="P324" i="23"/>
  <c r="Q324" i="23"/>
  <c r="O325" i="23"/>
  <c r="P325" i="23"/>
  <c r="Q325" i="23"/>
  <c r="O326" i="23"/>
  <c r="P326" i="23"/>
  <c r="Q326" i="23"/>
  <c r="N322" i="23"/>
  <c r="N323" i="23"/>
  <c r="N324" i="23"/>
  <c r="N325" i="23"/>
  <c r="N326" i="23"/>
  <c r="N321" i="23"/>
  <c r="D321" i="23"/>
  <c r="E321" i="23"/>
  <c r="F321" i="23"/>
  <c r="G321" i="23"/>
  <c r="H321" i="23"/>
  <c r="I321" i="23"/>
  <c r="J321" i="23"/>
  <c r="K321" i="23"/>
  <c r="L321" i="23"/>
  <c r="M321" i="23"/>
  <c r="D322" i="23"/>
  <c r="E322" i="23"/>
  <c r="F322" i="23"/>
  <c r="G322" i="23"/>
  <c r="H322" i="23"/>
  <c r="I322" i="23"/>
  <c r="J322" i="23"/>
  <c r="K322" i="23"/>
  <c r="L322" i="23"/>
  <c r="M322" i="23"/>
  <c r="D323" i="23"/>
  <c r="E323" i="23"/>
  <c r="F323" i="23"/>
  <c r="G323" i="23"/>
  <c r="H323" i="23"/>
  <c r="I323" i="23"/>
  <c r="J323" i="23"/>
  <c r="K323" i="23"/>
  <c r="L323" i="23"/>
  <c r="M323" i="23"/>
  <c r="D324" i="23"/>
  <c r="E324" i="23"/>
  <c r="F324" i="23"/>
  <c r="G324" i="23"/>
  <c r="H324" i="23"/>
  <c r="I324" i="23"/>
  <c r="J324" i="23"/>
  <c r="K324" i="23"/>
  <c r="L324" i="23"/>
  <c r="M324" i="23"/>
  <c r="D325" i="23"/>
  <c r="E325" i="23"/>
  <c r="F325" i="23"/>
  <c r="G325" i="23"/>
  <c r="H325" i="23"/>
  <c r="I325" i="23"/>
  <c r="J325" i="23"/>
  <c r="K325" i="23"/>
  <c r="L325" i="23"/>
  <c r="M325" i="23"/>
  <c r="D326" i="23"/>
  <c r="E326" i="23"/>
  <c r="F326" i="23"/>
  <c r="G326" i="23"/>
  <c r="H326" i="23"/>
  <c r="I326" i="23"/>
  <c r="J326" i="23"/>
  <c r="K326" i="23"/>
  <c r="L326" i="23"/>
  <c r="M326" i="23"/>
  <c r="C322" i="23"/>
  <c r="C323" i="23"/>
  <c r="C324" i="23"/>
  <c r="C325" i="23"/>
  <c r="C326" i="23"/>
  <c r="C321" i="23"/>
  <c r="O315" i="23"/>
  <c r="P315" i="23"/>
  <c r="Q315" i="23"/>
  <c r="O316" i="23"/>
  <c r="P316" i="23"/>
  <c r="Q316" i="23"/>
  <c r="O317" i="23"/>
  <c r="P317" i="23"/>
  <c r="Q317" i="23"/>
  <c r="O318" i="23"/>
  <c r="P318" i="23"/>
  <c r="Q318" i="23"/>
  <c r="O319" i="23"/>
  <c r="P319" i="23"/>
  <c r="Q319" i="23"/>
  <c r="O320" i="23"/>
  <c r="P320" i="23"/>
  <c r="Q320" i="23"/>
  <c r="N316" i="23"/>
  <c r="N317" i="23"/>
  <c r="N318" i="23"/>
  <c r="N319" i="23"/>
  <c r="N320" i="23"/>
  <c r="N315" i="23"/>
  <c r="D315" i="23"/>
  <c r="E315" i="23"/>
  <c r="F315" i="23"/>
  <c r="G315" i="23"/>
  <c r="H315" i="23"/>
  <c r="I315" i="23"/>
  <c r="J315" i="23"/>
  <c r="K315" i="23"/>
  <c r="L315" i="23"/>
  <c r="M315" i="23"/>
  <c r="D316" i="23"/>
  <c r="E316" i="23"/>
  <c r="F316" i="23"/>
  <c r="G316" i="23"/>
  <c r="H316" i="23"/>
  <c r="I316" i="23"/>
  <c r="J316" i="23"/>
  <c r="K316" i="23"/>
  <c r="L316" i="23"/>
  <c r="M316" i="23"/>
  <c r="D317" i="23"/>
  <c r="E317" i="23"/>
  <c r="F317" i="23"/>
  <c r="G317" i="23"/>
  <c r="H317" i="23"/>
  <c r="I317" i="23"/>
  <c r="J317" i="23"/>
  <c r="K317" i="23"/>
  <c r="L317" i="23"/>
  <c r="M317" i="23"/>
  <c r="D318" i="23"/>
  <c r="E318" i="23"/>
  <c r="F318" i="23"/>
  <c r="G318" i="23"/>
  <c r="H318" i="23"/>
  <c r="I318" i="23"/>
  <c r="J318" i="23"/>
  <c r="K318" i="23"/>
  <c r="L318" i="23"/>
  <c r="M318" i="23"/>
  <c r="D319" i="23"/>
  <c r="E319" i="23"/>
  <c r="F319" i="23"/>
  <c r="G319" i="23"/>
  <c r="H319" i="23"/>
  <c r="I319" i="23"/>
  <c r="J319" i="23"/>
  <c r="K319" i="23"/>
  <c r="L319" i="23"/>
  <c r="M319" i="23"/>
  <c r="D320" i="23"/>
  <c r="E320" i="23"/>
  <c r="F320" i="23"/>
  <c r="G320" i="23"/>
  <c r="H320" i="23"/>
  <c r="I320" i="23"/>
  <c r="J320" i="23"/>
  <c r="K320" i="23"/>
  <c r="L320" i="23"/>
  <c r="M320" i="23"/>
  <c r="C316" i="23"/>
  <c r="C317" i="23"/>
  <c r="C318" i="23"/>
  <c r="C319" i="23"/>
  <c r="C320" i="23"/>
  <c r="C315" i="23"/>
  <c r="O309" i="23"/>
  <c r="P309" i="23"/>
  <c r="Q309" i="23"/>
  <c r="O310" i="23"/>
  <c r="P310" i="23"/>
  <c r="Q310" i="23"/>
  <c r="O311" i="23"/>
  <c r="P311" i="23"/>
  <c r="Q311" i="23"/>
  <c r="O312" i="23"/>
  <c r="P312" i="23"/>
  <c r="Q312" i="23"/>
  <c r="O313" i="23"/>
  <c r="P313" i="23"/>
  <c r="Q313" i="23"/>
  <c r="O314" i="23"/>
  <c r="P314" i="23"/>
  <c r="Q314" i="23"/>
  <c r="N310" i="23"/>
  <c r="N311" i="23"/>
  <c r="N312" i="23"/>
  <c r="N313" i="23"/>
  <c r="N314" i="23"/>
  <c r="N309" i="23"/>
  <c r="D309" i="23"/>
  <c r="E309" i="23"/>
  <c r="F309" i="23"/>
  <c r="G309" i="23"/>
  <c r="H309" i="23"/>
  <c r="I309" i="23"/>
  <c r="J309" i="23"/>
  <c r="K309" i="23"/>
  <c r="L309" i="23"/>
  <c r="M309" i="23"/>
  <c r="D310" i="23"/>
  <c r="E310" i="23"/>
  <c r="F310" i="23"/>
  <c r="G310" i="23"/>
  <c r="H310" i="23"/>
  <c r="I310" i="23"/>
  <c r="J310" i="23"/>
  <c r="K310" i="23"/>
  <c r="L310" i="23"/>
  <c r="M310" i="23"/>
  <c r="D311" i="23"/>
  <c r="E311" i="23"/>
  <c r="F311" i="23"/>
  <c r="G311" i="23"/>
  <c r="H311" i="23"/>
  <c r="I311" i="23"/>
  <c r="J311" i="23"/>
  <c r="K311" i="23"/>
  <c r="L311" i="23"/>
  <c r="M311" i="23"/>
  <c r="D312" i="23"/>
  <c r="E312" i="23"/>
  <c r="F312" i="23"/>
  <c r="G312" i="23"/>
  <c r="H312" i="23"/>
  <c r="I312" i="23"/>
  <c r="J312" i="23"/>
  <c r="K312" i="23"/>
  <c r="L312" i="23"/>
  <c r="M312" i="23"/>
  <c r="D313" i="23"/>
  <c r="E313" i="23"/>
  <c r="F313" i="23"/>
  <c r="G313" i="23"/>
  <c r="H313" i="23"/>
  <c r="I313" i="23"/>
  <c r="J313" i="23"/>
  <c r="K313" i="23"/>
  <c r="L313" i="23"/>
  <c r="M313" i="23"/>
  <c r="D314" i="23"/>
  <c r="E314" i="23"/>
  <c r="F314" i="23"/>
  <c r="G314" i="23"/>
  <c r="H314" i="23"/>
  <c r="I314" i="23"/>
  <c r="J314" i="23"/>
  <c r="K314" i="23"/>
  <c r="L314" i="23"/>
  <c r="M314" i="23"/>
  <c r="C310" i="23"/>
  <c r="C311" i="23"/>
  <c r="C312" i="23"/>
  <c r="C313" i="23"/>
  <c r="C314" i="23"/>
  <c r="C309" i="23"/>
  <c r="O303" i="23"/>
  <c r="P303" i="23"/>
  <c r="Q303" i="23"/>
  <c r="O304" i="23"/>
  <c r="P304" i="23"/>
  <c r="Q304" i="23"/>
  <c r="O305" i="23"/>
  <c r="P305" i="23"/>
  <c r="Q305" i="23"/>
  <c r="O306" i="23"/>
  <c r="P306" i="23"/>
  <c r="Q306" i="23"/>
  <c r="O307" i="23"/>
  <c r="P307" i="23"/>
  <c r="Q307" i="23"/>
  <c r="O308" i="23"/>
  <c r="P308" i="23"/>
  <c r="Q308" i="23"/>
  <c r="N304" i="23"/>
  <c r="N305" i="23"/>
  <c r="N306" i="23"/>
  <c r="N307" i="23"/>
  <c r="N308" i="23"/>
  <c r="N303" i="23"/>
  <c r="D303" i="23"/>
  <c r="E303" i="23"/>
  <c r="F303" i="23"/>
  <c r="G303" i="23"/>
  <c r="H303" i="23"/>
  <c r="I303" i="23"/>
  <c r="J303" i="23"/>
  <c r="K303" i="23"/>
  <c r="L303" i="23"/>
  <c r="M303" i="23"/>
  <c r="D304" i="23"/>
  <c r="E304" i="23"/>
  <c r="F304" i="23"/>
  <c r="G304" i="23"/>
  <c r="H304" i="23"/>
  <c r="I304" i="23"/>
  <c r="J304" i="23"/>
  <c r="K304" i="23"/>
  <c r="L304" i="23"/>
  <c r="M304" i="23"/>
  <c r="D305" i="23"/>
  <c r="E305" i="23"/>
  <c r="F305" i="23"/>
  <c r="G305" i="23"/>
  <c r="H305" i="23"/>
  <c r="I305" i="23"/>
  <c r="J305" i="23"/>
  <c r="K305" i="23"/>
  <c r="L305" i="23"/>
  <c r="M305" i="23"/>
  <c r="D306" i="23"/>
  <c r="E306" i="23"/>
  <c r="F306" i="23"/>
  <c r="G306" i="23"/>
  <c r="H306" i="23"/>
  <c r="I306" i="23"/>
  <c r="J306" i="23"/>
  <c r="K306" i="23"/>
  <c r="L306" i="23"/>
  <c r="M306" i="23"/>
  <c r="D307" i="23"/>
  <c r="E307" i="23"/>
  <c r="F307" i="23"/>
  <c r="G307" i="23"/>
  <c r="H307" i="23"/>
  <c r="I307" i="23"/>
  <c r="J307" i="23"/>
  <c r="K307" i="23"/>
  <c r="L307" i="23"/>
  <c r="M307" i="23"/>
  <c r="D308" i="23"/>
  <c r="E308" i="23"/>
  <c r="F308" i="23"/>
  <c r="G308" i="23"/>
  <c r="H308" i="23"/>
  <c r="I308" i="23"/>
  <c r="J308" i="23"/>
  <c r="K308" i="23"/>
  <c r="L308" i="23"/>
  <c r="M308" i="23"/>
  <c r="C304" i="23"/>
  <c r="C305" i="23"/>
  <c r="C306" i="23"/>
  <c r="C307" i="23"/>
  <c r="C308" i="23"/>
  <c r="C303" i="23"/>
  <c r="O297" i="23"/>
  <c r="P297" i="23"/>
  <c r="Q297" i="23"/>
  <c r="O298" i="23"/>
  <c r="P298" i="23"/>
  <c r="Q298" i="23"/>
  <c r="O299" i="23"/>
  <c r="P299" i="23"/>
  <c r="Q299" i="23"/>
  <c r="O300" i="23"/>
  <c r="P300" i="23"/>
  <c r="Q300" i="23"/>
  <c r="O301" i="23"/>
  <c r="P301" i="23"/>
  <c r="Q301" i="23"/>
  <c r="O302" i="23"/>
  <c r="P302" i="23"/>
  <c r="Q302" i="23"/>
  <c r="N298" i="23"/>
  <c r="N299" i="23"/>
  <c r="N300" i="23"/>
  <c r="N301" i="23"/>
  <c r="N302" i="23"/>
  <c r="N297" i="23"/>
  <c r="D297" i="23"/>
  <c r="E297" i="23"/>
  <c r="F297" i="23"/>
  <c r="G297" i="23"/>
  <c r="H297" i="23"/>
  <c r="I297" i="23"/>
  <c r="J297" i="23"/>
  <c r="K297" i="23"/>
  <c r="L297" i="23"/>
  <c r="M297" i="23"/>
  <c r="D298" i="23"/>
  <c r="E298" i="23"/>
  <c r="F298" i="23"/>
  <c r="G298" i="23"/>
  <c r="H298" i="23"/>
  <c r="I298" i="23"/>
  <c r="J298" i="23"/>
  <c r="K298" i="23"/>
  <c r="L298" i="23"/>
  <c r="M298" i="23"/>
  <c r="D299" i="23"/>
  <c r="E299" i="23"/>
  <c r="F299" i="23"/>
  <c r="G299" i="23"/>
  <c r="H299" i="23"/>
  <c r="I299" i="23"/>
  <c r="J299" i="23"/>
  <c r="K299" i="23"/>
  <c r="L299" i="23"/>
  <c r="M299" i="23"/>
  <c r="D300" i="23"/>
  <c r="E300" i="23"/>
  <c r="F300" i="23"/>
  <c r="G300" i="23"/>
  <c r="H300" i="23"/>
  <c r="I300" i="23"/>
  <c r="J300" i="23"/>
  <c r="K300" i="23"/>
  <c r="L300" i="23"/>
  <c r="M300" i="23"/>
  <c r="D301" i="23"/>
  <c r="E301" i="23"/>
  <c r="F301" i="23"/>
  <c r="G301" i="23"/>
  <c r="H301" i="23"/>
  <c r="I301" i="23"/>
  <c r="J301" i="23"/>
  <c r="K301" i="23"/>
  <c r="L301" i="23"/>
  <c r="M301" i="23"/>
  <c r="D302" i="23"/>
  <c r="E302" i="23"/>
  <c r="F302" i="23"/>
  <c r="G302" i="23"/>
  <c r="H302" i="23"/>
  <c r="I302" i="23"/>
  <c r="J302" i="23"/>
  <c r="K302" i="23"/>
  <c r="L302" i="23"/>
  <c r="M302" i="23"/>
  <c r="C298" i="23"/>
  <c r="C299" i="23"/>
  <c r="C300" i="23"/>
  <c r="C301" i="23"/>
  <c r="C302" i="23"/>
  <c r="C297" i="23"/>
  <c r="O291" i="23"/>
  <c r="P291" i="23"/>
  <c r="Q291" i="23"/>
  <c r="O292" i="23"/>
  <c r="P292" i="23"/>
  <c r="Q292" i="23"/>
  <c r="O293" i="23"/>
  <c r="P293" i="23"/>
  <c r="Q293" i="23"/>
  <c r="O294" i="23"/>
  <c r="P294" i="23"/>
  <c r="Q294" i="23"/>
  <c r="O295" i="23"/>
  <c r="P295" i="23"/>
  <c r="Q295" i="23"/>
  <c r="O296" i="23"/>
  <c r="P296" i="23"/>
  <c r="Q296" i="23"/>
  <c r="O285" i="23"/>
  <c r="P285" i="23"/>
  <c r="Q285" i="23"/>
  <c r="O286" i="23"/>
  <c r="P286" i="23"/>
  <c r="Q286" i="23"/>
  <c r="O287" i="23"/>
  <c r="P287" i="23"/>
  <c r="Q287" i="23"/>
  <c r="O288" i="23"/>
  <c r="P288" i="23"/>
  <c r="Q288" i="23"/>
  <c r="O289" i="23"/>
  <c r="P289" i="23"/>
  <c r="Q289" i="23"/>
  <c r="O290" i="23"/>
  <c r="P290" i="23"/>
  <c r="Q290" i="23"/>
  <c r="N286" i="23"/>
  <c r="N287" i="23"/>
  <c r="N288" i="23"/>
  <c r="N289" i="23"/>
  <c r="N290" i="23"/>
  <c r="N285" i="23"/>
  <c r="D285" i="23"/>
  <c r="E285" i="23"/>
  <c r="F285" i="23"/>
  <c r="G285" i="23"/>
  <c r="H285" i="23"/>
  <c r="I285" i="23"/>
  <c r="J285" i="23"/>
  <c r="K285" i="23"/>
  <c r="L285" i="23"/>
  <c r="M285" i="23"/>
  <c r="D286" i="23"/>
  <c r="E286" i="23"/>
  <c r="F286" i="23"/>
  <c r="G286" i="23"/>
  <c r="H286" i="23"/>
  <c r="I286" i="23"/>
  <c r="J286" i="23"/>
  <c r="K286" i="23"/>
  <c r="L286" i="23"/>
  <c r="M286" i="23"/>
  <c r="D287" i="23"/>
  <c r="E287" i="23"/>
  <c r="F287" i="23"/>
  <c r="G287" i="23"/>
  <c r="H287" i="23"/>
  <c r="I287" i="23"/>
  <c r="J287" i="23"/>
  <c r="K287" i="23"/>
  <c r="L287" i="23"/>
  <c r="M287" i="23"/>
  <c r="D288" i="23"/>
  <c r="E288" i="23"/>
  <c r="F288" i="23"/>
  <c r="G288" i="23"/>
  <c r="H288" i="23"/>
  <c r="I288" i="23"/>
  <c r="J288" i="23"/>
  <c r="K288" i="23"/>
  <c r="L288" i="23"/>
  <c r="M288" i="23"/>
  <c r="D289" i="23"/>
  <c r="E289" i="23"/>
  <c r="F289" i="23"/>
  <c r="G289" i="23"/>
  <c r="H289" i="23"/>
  <c r="I289" i="23"/>
  <c r="J289" i="23"/>
  <c r="K289" i="23"/>
  <c r="L289" i="23"/>
  <c r="M289" i="23"/>
  <c r="D290" i="23"/>
  <c r="E290" i="23"/>
  <c r="F290" i="23"/>
  <c r="G290" i="23"/>
  <c r="H290" i="23"/>
  <c r="I290" i="23"/>
  <c r="J290" i="23"/>
  <c r="K290" i="23"/>
  <c r="L290" i="23"/>
  <c r="M290" i="23"/>
  <c r="C286" i="23"/>
  <c r="C287" i="23"/>
  <c r="C288" i="23"/>
  <c r="C289" i="23"/>
  <c r="C290" i="23"/>
  <c r="C285" i="23"/>
  <c r="O279" i="23"/>
  <c r="P279" i="23"/>
  <c r="Q279" i="23"/>
  <c r="O280" i="23"/>
  <c r="P280" i="23"/>
  <c r="Q280" i="23"/>
  <c r="O281" i="23"/>
  <c r="P281" i="23"/>
  <c r="Q281" i="23"/>
  <c r="O282" i="23"/>
  <c r="P282" i="23"/>
  <c r="Q282" i="23"/>
  <c r="O283" i="23"/>
  <c r="P283" i="23"/>
  <c r="Q283" i="23"/>
  <c r="O284" i="23"/>
  <c r="P284" i="23"/>
  <c r="Q284" i="23"/>
  <c r="N280" i="23"/>
  <c r="N281" i="23"/>
  <c r="N282" i="23"/>
  <c r="N283" i="23"/>
  <c r="N284" i="23"/>
  <c r="N279" i="23"/>
  <c r="D279" i="23"/>
  <c r="E279" i="23"/>
  <c r="F279" i="23"/>
  <c r="G279" i="23"/>
  <c r="H279" i="23"/>
  <c r="I279" i="23"/>
  <c r="J279" i="23"/>
  <c r="K279" i="23"/>
  <c r="L279" i="23"/>
  <c r="M279" i="23"/>
  <c r="D280" i="23"/>
  <c r="E280" i="23"/>
  <c r="F280" i="23"/>
  <c r="G280" i="23"/>
  <c r="H280" i="23"/>
  <c r="I280" i="23"/>
  <c r="J280" i="23"/>
  <c r="K280" i="23"/>
  <c r="L280" i="23"/>
  <c r="M280" i="23"/>
  <c r="D281" i="23"/>
  <c r="E281" i="23"/>
  <c r="F281" i="23"/>
  <c r="G281" i="23"/>
  <c r="H281" i="23"/>
  <c r="I281" i="23"/>
  <c r="J281" i="23"/>
  <c r="K281" i="23"/>
  <c r="L281" i="23"/>
  <c r="M281" i="23"/>
  <c r="D282" i="23"/>
  <c r="E282" i="23"/>
  <c r="F282" i="23"/>
  <c r="G282" i="23"/>
  <c r="H282" i="23"/>
  <c r="I282" i="23"/>
  <c r="J282" i="23"/>
  <c r="K282" i="23"/>
  <c r="L282" i="23"/>
  <c r="M282" i="23"/>
  <c r="D283" i="23"/>
  <c r="E283" i="23"/>
  <c r="F283" i="23"/>
  <c r="G283" i="23"/>
  <c r="H283" i="23"/>
  <c r="I283" i="23"/>
  <c r="J283" i="23"/>
  <c r="K283" i="23"/>
  <c r="L283" i="23"/>
  <c r="M283" i="23"/>
  <c r="D284" i="23"/>
  <c r="E284" i="23"/>
  <c r="F284" i="23"/>
  <c r="G284" i="23"/>
  <c r="H284" i="23"/>
  <c r="I284" i="23"/>
  <c r="J284" i="23"/>
  <c r="K284" i="23"/>
  <c r="L284" i="23"/>
  <c r="M284" i="23"/>
  <c r="C280" i="23"/>
  <c r="C281" i="23"/>
  <c r="C282" i="23"/>
  <c r="C283" i="23"/>
  <c r="C284" i="23"/>
  <c r="C279" i="23"/>
  <c r="O273" i="23"/>
  <c r="P273" i="23"/>
  <c r="Q273" i="23"/>
  <c r="O274" i="23"/>
  <c r="P274" i="23"/>
  <c r="Q274" i="23"/>
  <c r="O275" i="23"/>
  <c r="P275" i="23"/>
  <c r="Q275" i="23"/>
  <c r="O276" i="23"/>
  <c r="P276" i="23"/>
  <c r="Q276" i="23"/>
  <c r="O277" i="23"/>
  <c r="P277" i="23"/>
  <c r="Q277" i="23"/>
  <c r="O278" i="23"/>
  <c r="P278" i="23"/>
  <c r="Q278" i="23"/>
  <c r="N274" i="23"/>
  <c r="N275" i="23"/>
  <c r="N276" i="23"/>
  <c r="N277" i="23"/>
  <c r="N278" i="23"/>
  <c r="N273" i="23"/>
  <c r="D273" i="23"/>
  <c r="E273" i="23"/>
  <c r="F273" i="23"/>
  <c r="G273" i="23"/>
  <c r="H273" i="23"/>
  <c r="I273" i="23"/>
  <c r="J273" i="23"/>
  <c r="K273" i="23"/>
  <c r="L273" i="23"/>
  <c r="M273" i="23"/>
  <c r="D274" i="23"/>
  <c r="E274" i="23"/>
  <c r="F274" i="23"/>
  <c r="G274" i="23"/>
  <c r="H274" i="23"/>
  <c r="I274" i="23"/>
  <c r="J274" i="23"/>
  <c r="K274" i="23"/>
  <c r="L274" i="23"/>
  <c r="M274" i="23"/>
  <c r="D275" i="23"/>
  <c r="E275" i="23"/>
  <c r="F275" i="23"/>
  <c r="G275" i="23"/>
  <c r="H275" i="23"/>
  <c r="I275" i="23"/>
  <c r="J275" i="23"/>
  <c r="K275" i="23"/>
  <c r="L275" i="23"/>
  <c r="M275" i="23"/>
  <c r="D276" i="23"/>
  <c r="E276" i="23"/>
  <c r="F276" i="23"/>
  <c r="G276" i="23"/>
  <c r="H276" i="23"/>
  <c r="I276" i="23"/>
  <c r="J276" i="23"/>
  <c r="K276" i="23"/>
  <c r="L276" i="23"/>
  <c r="M276" i="23"/>
  <c r="D277" i="23"/>
  <c r="E277" i="23"/>
  <c r="F277" i="23"/>
  <c r="G277" i="23"/>
  <c r="H277" i="23"/>
  <c r="I277" i="23"/>
  <c r="J277" i="23"/>
  <c r="K277" i="23"/>
  <c r="L277" i="23"/>
  <c r="M277" i="23"/>
  <c r="D278" i="23"/>
  <c r="E278" i="23"/>
  <c r="F278" i="23"/>
  <c r="G278" i="23"/>
  <c r="H278" i="23"/>
  <c r="I278" i="23"/>
  <c r="J278" i="23"/>
  <c r="K278" i="23"/>
  <c r="L278" i="23"/>
  <c r="M278" i="23"/>
  <c r="C274" i="23"/>
  <c r="C275" i="23"/>
  <c r="C276" i="23"/>
  <c r="C277" i="23"/>
  <c r="C278" i="23"/>
  <c r="C273" i="23"/>
  <c r="O267" i="23"/>
  <c r="P267" i="23"/>
  <c r="Q267" i="23"/>
  <c r="O268" i="23"/>
  <c r="P268" i="23"/>
  <c r="Q268" i="23"/>
  <c r="O269" i="23"/>
  <c r="P269" i="23"/>
  <c r="Q269" i="23"/>
  <c r="O270" i="23"/>
  <c r="P270" i="23"/>
  <c r="Q270" i="23"/>
  <c r="O271" i="23"/>
  <c r="P271" i="23"/>
  <c r="Q271" i="23"/>
  <c r="O272" i="23"/>
  <c r="P272" i="23"/>
  <c r="Q272" i="23"/>
  <c r="N268" i="23"/>
  <c r="N269" i="23"/>
  <c r="N270" i="23"/>
  <c r="N271" i="23"/>
  <c r="N272" i="23"/>
  <c r="N267" i="23"/>
  <c r="D267" i="23"/>
  <c r="E267" i="23"/>
  <c r="F267" i="23"/>
  <c r="G267" i="23"/>
  <c r="H267" i="23"/>
  <c r="I267" i="23"/>
  <c r="J267" i="23"/>
  <c r="K267" i="23"/>
  <c r="L267" i="23"/>
  <c r="M267" i="23"/>
  <c r="D268" i="23"/>
  <c r="E268" i="23"/>
  <c r="F268" i="23"/>
  <c r="G268" i="23"/>
  <c r="H268" i="23"/>
  <c r="I268" i="23"/>
  <c r="J268" i="23"/>
  <c r="K268" i="23"/>
  <c r="L268" i="23"/>
  <c r="M268" i="23"/>
  <c r="D269" i="23"/>
  <c r="E269" i="23"/>
  <c r="F269" i="23"/>
  <c r="G269" i="23"/>
  <c r="H269" i="23"/>
  <c r="I269" i="23"/>
  <c r="J269" i="23"/>
  <c r="K269" i="23"/>
  <c r="L269" i="23"/>
  <c r="M269" i="23"/>
  <c r="D270" i="23"/>
  <c r="E270" i="23"/>
  <c r="F270" i="23"/>
  <c r="G270" i="23"/>
  <c r="H270" i="23"/>
  <c r="I270" i="23"/>
  <c r="J270" i="23"/>
  <c r="K270" i="23"/>
  <c r="L270" i="23"/>
  <c r="M270" i="23"/>
  <c r="D271" i="23"/>
  <c r="E271" i="23"/>
  <c r="F271" i="23"/>
  <c r="G271" i="23"/>
  <c r="H271" i="23"/>
  <c r="I271" i="23"/>
  <c r="J271" i="23"/>
  <c r="K271" i="23"/>
  <c r="L271" i="23"/>
  <c r="M271" i="23"/>
  <c r="D272" i="23"/>
  <c r="E272" i="23"/>
  <c r="F272" i="23"/>
  <c r="G272" i="23"/>
  <c r="H272" i="23"/>
  <c r="I272" i="23"/>
  <c r="J272" i="23"/>
  <c r="K272" i="23"/>
  <c r="L272" i="23"/>
  <c r="M272" i="23"/>
  <c r="C268" i="23"/>
  <c r="C269" i="23"/>
  <c r="C270" i="23"/>
  <c r="C271" i="23"/>
  <c r="C272" i="23"/>
  <c r="C267" i="23"/>
  <c r="O261" i="23"/>
  <c r="P261" i="23"/>
  <c r="Q261" i="23"/>
  <c r="O262" i="23"/>
  <c r="P262" i="23"/>
  <c r="Q262" i="23"/>
  <c r="O263" i="23"/>
  <c r="P263" i="23"/>
  <c r="Q263" i="23"/>
  <c r="O264" i="23"/>
  <c r="P264" i="23"/>
  <c r="Q264" i="23"/>
  <c r="O265" i="23"/>
  <c r="P265" i="23"/>
  <c r="Q265" i="23"/>
  <c r="O266" i="23"/>
  <c r="P266" i="23"/>
  <c r="Q266" i="23"/>
  <c r="N262" i="23"/>
  <c r="N263" i="23"/>
  <c r="N264" i="23"/>
  <c r="N265" i="23"/>
  <c r="N266" i="23"/>
  <c r="N261" i="23"/>
  <c r="D261" i="23"/>
  <c r="E261" i="23"/>
  <c r="F261" i="23"/>
  <c r="G261" i="23"/>
  <c r="H261" i="23"/>
  <c r="I261" i="23"/>
  <c r="J261" i="23"/>
  <c r="K261" i="23"/>
  <c r="L261" i="23"/>
  <c r="M261" i="23"/>
  <c r="D262" i="23"/>
  <c r="E262" i="23"/>
  <c r="F262" i="23"/>
  <c r="G262" i="23"/>
  <c r="H262" i="23"/>
  <c r="I262" i="23"/>
  <c r="J262" i="23"/>
  <c r="K262" i="23"/>
  <c r="L262" i="23"/>
  <c r="M262" i="23"/>
  <c r="D263" i="23"/>
  <c r="E263" i="23"/>
  <c r="F263" i="23"/>
  <c r="G263" i="23"/>
  <c r="H263" i="23"/>
  <c r="I263" i="23"/>
  <c r="J263" i="23"/>
  <c r="K263" i="23"/>
  <c r="L263" i="23"/>
  <c r="M263" i="23"/>
  <c r="D264" i="23"/>
  <c r="E264" i="23"/>
  <c r="F264" i="23"/>
  <c r="G264" i="23"/>
  <c r="H264" i="23"/>
  <c r="I264" i="23"/>
  <c r="J264" i="23"/>
  <c r="K264" i="23"/>
  <c r="L264" i="23"/>
  <c r="M264" i="23"/>
  <c r="D265" i="23"/>
  <c r="E265" i="23"/>
  <c r="F265" i="23"/>
  <c r="G265" i="23"/>
  <c r="H265" i="23"/>
  <c r="I265" i="23"/>
  <c r="J265" i="23"/>
  <c r="K265" i="23"/>
  <c r="L265" i="23"/>
  <c r="M265" i="23"/>
  <c r="D266" i="23"/>
  <c r="E266" i="23"/>
  <c r="F266" i="23"/>
  <c r="G266" i="23"/>
  <c r="H266" i="23"/>
  <c r="I266" i="23"/>
  <c r="J266" i="23"/>
  <c r="K266" i="23"/>
  <c r="L266" i="23"/>
  <c r="M266" i="23"/>
  <c r="C262" i="23"/>
  <c r="C263" i="23"/>
  <c r="C264" i="23"/>
  <c r="C265" i="23"/>
  <c r="C266" i="23"/>
  <c r="C261" i="23"/>
  <c r="O255" i="23"/>
  <c r="P255" i="23"/>
  <c r="Q255" i="23"/>
  <c r="O256" i="23"/>
  <c r="P256" i="23"/>
  <c r="Q256" i="23"/>
  <c r="O257" i="23"/>
  <c r="P257" i="23"/>
  <c r="Q257" i="23"/>
  <c r="O258" i="23"/>
  <c r="P258" i="23"/>
  <c r="Q258" i="23"/>
  <c r="O259" i="23"/>
  <c r="P259" i="23"/>
  <c r="Q259" i="23"/>
  <c r="O260" i="23"/>
  <c r="P260" i="23"/>
  <c r="Q260" i="23"/>
  <c r="N256" i="23"/>
  <c r="N257" i="23"/>
  <c r="N258" i="23"/>
  <c r="N259" i="23"/>
  <c r="N260" i="23"/>
  <c r="N255" i="23"/>
  <c r="D255" i="23"/>
  <c r="E255" i="23"/>
  <c r="F255" i="23"/>
  <c r="G255" i="23"/>
  <c r="H255" i="23"/>
  <c r="I255" i="23"/>
  <c r="J255" i="23"/>
  <c r="K255" i="23"/>
  <c r="L255" i="23"/>
  <c r="M255" i="23"/>
  <c r="D256" i="23"/>
  <c r="E256" i="23"/>
  <c r="F256" i="23"/>
  <c r="G256" i="23"/>
  <c r="H256" i="23"/>
  <c r="I256" i="23"/>
  <c r="J256" i="23"/>
  <c r="K256" i="23"/>
  <c r="L256" i="23"/>
  <c r="M256" i="23"/>
  <c r="D257" i="23"/>
  <c r="E257" i="23"/>
  <c r="F257" i="23"/>
  <c r="G257" i="23"/>
  <c r="H257" i="23"/>
  <c r="I257" i="23"/>
  <c r="J257" i="23"/>
  <c r="K257" i="23"/>
  <c r="L257" i="23"/>
  <c r="M257" i="23"/>
  <c r="D258" i="23"/>
  <c r="E258" i="23"/>
  <c r="F258" i="23"/>
  <c r="G258" i="23"/>
  <c r="H258" i="23"/>
  <c r="I258" i="23"/>
  <c r="J258" i="23"/>
  <c r="K258" i="23"/>
  <c r="L258" i="23"/>
  <c r="M258" i="23"/>
  <c r="D259" i="23"/>
  <c r="E259" i="23"/>
  <c r="F259" i="23"/>
  <c r="G259" i="23"/>
  <c r="H259" i="23"/>
  <c r="I259" i="23"/>
  <c r="J259" i="23"/>
  <c r="K259" i="23"/>
  <c r="L259" i="23"/>
  <c r="M259" i="23"/>
  <c r="D260" i="23"/>
  <c r="E260" i="23"/>
  <c r="F260" i="23"/>
  <c r="G260" i="23"/>
  <c r="H260" i="23"/>
  <c r="I260" i="23"/>
  <c r="J260" i="23"/>
  <c r="K260" i="23"/>
  <c r="L260" i="23"/>
  <c r="M260" i="23"/>
  <c r="C256" i="23"/>
  <c r="C257" i="23"/>
  <c r="C258" i="23"/>
  <c r="C259" i="23"/>
  <c r="C260" i="23"/>
  <c r="C255" i="23"/>
  <c r="O249" i="23"/>
  <c r="P249" i="23"/>
  <c r="Q249" i="23"/>
  <c r="O250" i="23"/>
  <c r="P250" i="23"/>
  <c r="Q250" i="23"/>
  <c r="O251" i="23"/>
  <c r="P251" i="23"/>
  <c r="Q251" i="23"/>
  <c r="O252" i="23"/>
  <c r="P252" i="23"/>
  <c r="Q252" i="23"/>
  <c r="O253" i="23"/>
  <c r="P253" i="23"/>
  <c r="Q253" i="23"/>
  <c r="O254" i="23"/>
  <c r="P254" i="23"/>
  <c r="Q254" i="23"/>
  <c r="N250" i="23"/>
  <c r="N251" i="23"/>
  <c r="N252" i="23"/>
  <c r="N253" i="23"/>
  <c r="N254" i="23"/>
  <c r="N249" i="23"/>
  <c r="D249" i="23"/>
  <c r="E249" i="23"/>
  <c r="F249" i="23"/>
  <c r="G249" i="23"/>
  <c r="H249" i="23"/>
  <c r="I249" i="23"/>
  <c r="J249" i="23"/>
  <c r="K249" i="23"/>
  <c r="L249" i="23"/>
  <c r="M249" i="23"/>
  <c r="D250" i="23"/>
  <c r="E250" i="23"/>
  <c r="F250" i="23"/>
  <c r="G250" i="23"/>
  <c r="H250" i="23"/>
  <c r="I250" i="23"/>
  <c r="J250" i="23"/>
  <c r="K250" i="23"/>
  <c r="L250" i="23"/>
  <c r="M250" i="23"/>
  <c r="D251" i="23"/>
  <c r="E251" i="23"/>
  <c r="F251" i="23"/>
  <c r="G251" i="23"/>
  <c r="H251" i="23"/>
  <c r="I251" i="23"/>
  <c r="J251" i="23"/>
  <c r="K251" i="23"/>
  <c r="L251" i="23"/>
  <c r="M251" i="23"/>
  <c r="D252" i="23"/>
  <c r="E252" i="23"/>
  <c r="F252" i="23"/>
  <c r="G252" i="23"/>
  <c r="H252" i="23"/>
  <c r="I252" i="23"/>
  <c r="J252" i="23"/>
  <c r="K252" i="23"/>
  <c r="L252" i="23"/>
  <c r="M252" i="23"/>
  <c r="D253" i="23"/>
  <c r="E253" i="23"/>
  <c r="F253" i="23"/>
  <c r="G253" i="23"/>
  <c r="H253" i="23"/>
  <c r="I253" i="23"/>
  <c r="J253" i="23"/>
  <c r="K253" i="23"/>
  <c r="L253" i="23"/>
  <c r="M253" i="23"/>
  <c r="D254" i="23"/>
  <c r="E254" i="23"/>
  <c r="F254" i="23"/>
  <c r="G254" i="23"/>
  <c r="H254" i="23"/>
  <c r="I254" i="23"/>
  <c r="J254" i="23"/>
  <c r="K254" i="23"/>
  <c r="L254" i="23"/>
  <c r="M254" i="23"/>
  <c r="C250" i="23"/>
  <c r="C251" i="23"/>
  <c r="C252" i="23"/>
  <c r="C253" i="23"/>
  <c r="C254" i="23"/>
  <c r="C249" i="23"/>
  <c r="O243" i="23"/>
  <c r="P243" i="23"/>
  <c r="Q243" i="23"/>
  <c r="O244" i="23"/>
  <c r="P244" i="23"/>
  <c r="Q244" i="23"/>
  <c r="O245" i="23"/>
  <c r="P245" i="23"/>
  <c r="Q245" i="23"/>
  <c r="O246" i="23"/>
  <c r="P246" i="23"/>
  <c r="Q246" i="23"/>
  <c r="O247" i="23"/>
  <c r="P247" i="23"/>
  <c r="Q247" i="23"/>
  <c r="O248" i="23"/>
  <c r="P248" i="23"/>
  <c r="Q248" i="23"/>
  <c r="N244" i="23"/>
  <c r="N245" i="23"/>
  <c r="N246" i="23"/>
  <c r="N247" i="23"/>
  <c r="N248" i="23"/>
  <c r="N243" i="23"/>
  <c r="D243" i="23"/>
  <c r="E243" i="23"/>
  <c r="F243" i="23"/>
  <c r="G243" i="23"/>
  <c r="H243" i="23"/>
  <c r="I243" i="23"/>
  <c r="J243" i="23"/>
  <c r="K243" i="23"/>
  <c r="L243" i="23"/>
  <c r="M243" i="23"/>
  <c r="D244" i="23"/>
  <c r="E244" i="23"/>
  <c r="F244" i="23"/>
  <c r="G244" i="23"/>
  <c r="H244" i="23"/>
  <c r="I244" i="23"/>
  <c r="J244" i="23"/>
  <c r="K244" i="23"/>
  <c r="L244" i="23"/>
  <c r="M244" i="23"/>
  <c r="D245" i="23"/>
  <c r="E245" i="23"/>
  <c r="F245" i="23"/>
  <c r="G245" i="23"/>
  <c r="H245" i="23"/>
  <c r="I245" i="23"/>
  <c r="J245" i="23"/>
  <c r="K245" i="23"/>
  <c r="L245" i="23"/>
  <c r="M245" i="23"/>
  <c r="D246" i="23"/>
  <c r="E246" i="23"/>
  <c r="F246" i="23"/>
  <c r="G246" i="23"/>
  <c r="H246" i="23"/>
  <c r="I246" i="23"/>
  <c r="J246" i="23"/>
  <c r="K246" i="23"/>
  <c r="L246" i="23"/>
  <c r="M246" i="23"/>
  <c r="D247" i="23"/>
  <c r="E247" i="23"/>
  <c r="F247" i="23"/>
  <c r="G247" i="23"/>
  <c r="H247" i="23"/>
  <c r="I247" i="23"/>
  <c r="J247" i="23"/>
  <c r="K247" i="23"/>
  <c r="L247" i="23"/>
  <c r="M247" i="23"/>
  <c r="D248" i="23"/>
  <c r="E248" i="23"/>
  <c r="F248" i="23"/>
  <c r="G248" i="23"/>
  <c r="H248" i="23"/>
  <c r="I248" i="23"/>
  <c r="J248" i="23"/>
  <c r="K248" i="23"/>
  <c r="L248" i="23"/>
  <c r="M248" i="23"/>
  <c r="C244" i="23"/>
  <c r="C245" i="23"/>
  <c r="C246" i="23"/>
  <c r="C247" i="23"/>
  <c r="C248" i="23"/>
  <c r="C243" i="23"/>
  <c r="O237" i="23"/>
  <c r="P237" i="23"/>
  <c r="Q237" i="23"/>
  <c r="O238" i="23"/>
  <c r="P238" i="23"/>
  <c r="Q238" i="23"/>
  <c r="O239" i="23"/>
  <c r="P239" i="23"/>
  <c r="Q239" i="23"/>
  <c r="O240" i="23"/>
  <c r="P240" i="23"/>
  <c r="Q240" i="23"/>
  <c r="O241" i="23"/>
  <c r="P241" i="23"/>
  <c r="Q241" i="23"/>
  <c r="O242" i="23"/>
  <c r="P242" i="23"/>
  <c r="Q242" i="23"/>
  <c r="N238" i="23"/>
  <c r="N239" i="23"/>
  <c r="N240" i="23"/>
  <c r="N241" i="23"/>
  <c r="N242" i="23"/>
  <c r="N237" i="23"/>
  <c r="D237" i="23"/>
  <c r="E237" i="23"/>
  <c r="F237" i="23"/>
  <c r="G237" i="23"/>
  <c r="H237" i="23"/>
  <c r="I237" i="23"/>
  <c r="J237" i="23"/>
  <c r="K237" i="23"/>
  <c r="L237" i="23"/>
  <c r="M237" i="23"/>
  <c r="D238" i="23"/>
  <c r="E238" i="23"/>
  <c r="F238" i="23"/>
  <c r="G238" i="23"/>
  <c r="H238" i="23"/>
  <c r="I238" i="23"/>
  <c r="J238" i="23"/>
  <c r="K238" i="23"/>
  <c r="L238" i="23"/>
  <c r="M238" i="23"/>
  <c r="D239" i="23"/>
  <c r="E239" i="23"/>
  <c r="F239" i="23"/>
  <c r="G239" i="23"/>
  <c r="H239" i="23"/>
  <c r="I239" i="23"/>
  <c r="J239" i="23"/>
  <c r="K239" i="23"/>
  <c r="L239" i="23"/>
  <c r="M239" i="23"/>
  <c r="D240" i="23"/>
  <c r="E240" i="23"/>
  <c r="F240" i="23"/>
  <c r="G240" i="23"/>
  <c r="H240" i="23"/>
  <c r="I240" i="23"/>
  <c r="J240" i="23"/>
  <c r="K240" i="23"/>
  <c r="L240" i="23"/>
  <c r="M240" i="23"/>
  <c r="D241" i="23"/>
  <c r="E241" i="23"/>
  <c r="F241" i="23"/>
  <c r="G241" i="23"/>
  <c r="H241" i="23"/>
  <c r="I241" i="23"/>
  <c r="J241" i="23"/>
  <c r="K241" i="23"/>
  <c r="L241" i="23"/>
  <c r="M241" i="23"/>
  <c r="D242" i="23"/>
  <c r="E242" i="23"/>
  <c r="F242" i="23"/>
  <c r="G242" i="23"/>
  <c r="H242" i="23"/>
  <c r="I242" i="23"/>
  <c r="J242" i="23"/>
  <c r="K242" i="23"/>
  <c r="L242" i="23"/>
  <c r="M242" i="23"/>
  <c r="C238" i="23"/>
  <c r="C239" i="23"/>
  <c r="C240" i="23"/>
  <c r="C241" i="23"/>
  <c r="C242" i="23"/>
  <c r="C237" i="23"/>
  <c r="O231" i="23"/>
  <c r="P231" i="23"/>
  <c r="Q231" i="23"/>
  <c r="O232" i="23"/>
  <c r="P232" i="23"/>
  <c r="Q232" i="23"/>
  <c r="O233" i="23"/>
  <c r="P233" i="23"/>
  <c r="Q233" i="23"/>
  <c r="O234" i="23"/>
  <c r="P234" i="23"/>
  <c r="Q234" i="23"/>
  <c r="O235" i="23"/>
  <c r="P235" i="23"/>
  <c r="Q235" i="23"/>
  <c r="O236" i="23"/>
  <c r="P236" i="23"/>
  <c r="Q236" i="23"/>
  <c r="N232" i="23"/>
  <c r="N233" i="23"/>
  <c r="N234" i="23"/>
  <c r="N235" i="23"/>
  <c r="N236" i="23"/>
  <c r="N231" i="23"/>
  <c r="D231" i="23"/>
  <c r="E231" i="23"/>
  <c r="F231" i="23"/>
  <c r="G231" i="23"/>
  <c r="H231" i="23"/>
  <c r="I231" i="23"/>
  <c r="J231" i="23"/>
  <c r="K231" i="23"/>
  <c r="L231" i="23"/>
  <c r="M231" i="23"/>
  <c r="D232" i="23"/>
  <c r="E232" i="23"/>
  <c r="F232" i="23"/>
  <c r="G232" i="23"/>
  <c r="H232" i="23"/>
  <c r="I232" i="23"/>
  <c r="J232" i="23"/>
  <c r="K232" i="23"/>
  <c r="L232" i="23"/>
  <c r="M232" i="23"/>
  <c r="D233" i="23"/>
  <c r="E233" i="23"/>
  <c r="F233" i="23"/>
  <c r="G233" i="23"/>
  <c r="H233" i="23"/>
  <c r="I233" i="23"/>
  <c r="J233" i="23"/>
  <c r="K233" i="23"/>
  <c r="L233" i="23"/>
  <c r="M233" i="23"/>
  <c r="D234" i="23"/>
  <c r="E234" i="23"/>
  <c r="F234" i="23"/>
  <c r="G234" i="23"/>
  <c r="H234" i="23"/>
  <c r="I234" i="23"/>
  <c r="J234" i="23"/>
  <c r="K234" i="23"/>
  <c r="L234" i="23"/>
  <c r="M234" i="23"/>
  <c r="D235" i="23"/>
  <c r="E235" i="23"/>
  <c r="F235" i="23"/>
  <c r="G235" i="23"/>
  <c r="H235" i="23"/>
  <c r="I235" i="23"/>
  <c r="J235" i="23"/>
  <c r="K235" i="23"/>
  <c r="L235" i="23"/>
  <c r="M235" i="23"/>
  <c r="D236" i="23"/>
  <c r="E236" i="23"/>
  <c r="F236" i="23"/>
  <c r="G236" i="23"/>
  <c r="H236" i="23"/>
  <c r="I236" i="23"/>
  <c r="J236" i="23"/>
  <c r="K236" i="23"/>
  <c r="L236" i="23"/>
  <c r="M236" i="23"/>
  <c r="C232" i="23"/>
  <c r="C233" i="23"/>
  <c r="C234" i="23"/>
  <c r="C235" i="23"/>
  <c r="C236" i="23"/>
  <c r="C231" i="23"/>
  <c r="O225" i="23"/>
  <c r="P225" i="23"/>
  <c r="Q225" i="23"/>
  <c r="O226" i="23"/>
  <c r="P226" i="23"/>
  <c r="Q226" i="23"/>
  <c r="O227" i="23"/>
  <c r="P227" i="23"/>
  <c r="Q227" i="23"/>
  <c r="O228" i="23"/>
  <c r="P228" i="23"/>
  <c r="Q228" i="23"/>
  <c r="O229" i="23"/>
  <c r="P229" i="23"/>
  <c r="Q229" i="23"/>
  <c r="O230" i="23"/>
  <c r="P230" i="23"/>
  <c r="Q230" i="23"/>
  <c r="N226" i="23"/>
  <c r="N227" i="23"/>
  <c r="N228" i="23"/>
  <c r="N229" i="23"/>
  <c r="N230" i="23"/>
  <c r="N225" i="23"/>
  <c r="D225" i="23"/>
  <c r="E225" i="23"/>
  <c r="F225" i="23"/>
  <c r="G225" i="23"/>
  <c r="H225" i="23"/>
  <c r="I225" i="23"/>
  <c r="J225" i="23"/>
  <c r="K225" i="23"/>
  <c r="L225" i="23"/>
  <c r="M225" i="23"/>
  <c r="D226" i="23"/>
  <c r="E226" i="23"/>
  <c r="F226" i="23"/>
  <c r="G226" i="23"/>
  <c r="H226" i="23"/>
  <c r="I226" i="23"/>
  <c r="J226" i="23"/>
  <c r="K226" i="23"/>
  <c r="L226" i="23"/>
  <c r="M226" i="23"/>
  <c r="D227" i="23"/>
  <c r="E227" i="23"/>
  <c r="F227" i="23"/>
  <c r="G227" i="23"/>
  <c r="H227" i="23"/>
  <c r="I227" i="23"/>
  <c r="J227" i="23"/>
  <c r="K227" i="23"/>
  <c r="L227" i="23"/>
  <c r="M227" i="23"/>
  <c r="D228" i="23"/>
  <c r="E228" i="23"/>
  <c r="F228" i="23"/>
  <c r="G228" i="23"/>
  <c r="H228" i="23"/>
  <c r="I228" i="23"/>
  <c r="J228" i="23"/>
  <c r="K228" i="23"/>
  <c r="L228" i="23"/>
  <c r="M228" i="23"/>
  <c r="D229" i="23"/>
  <c r="E229" i="23"/>
  <c r="F229" i="23"/>
  <c r="G229" i="23"/>
  <c r="H229" i="23"/>
  <c r="I229" i="23"/>
  <c r="J229" i="23"/>
  <c r="K229" i="23"/>
  <c r="L229" i="23"/>
  <c r="M229" i="23"/>
  <c r="D230" i="23"/>
  <c r="E230" i="23"/>
  <c r="F230" i="23"/>
  <c r="G230" i="23"/>
  <c r="H230" i="23"/>
  <c r="I230" i="23"/>
  <c r="J230" i="23"/>
  <c r="K230" i="23"/>
  <c r="L230" i="23"/>
  <c r="M230" i="23"/>
  <c r="C226" i="23"/>
  <c r="C227" i="23"/>
  <c r="C228" i="23"/>
  <c r="C229" i="23"/>
  <c r="C230" i="23"/>
  <c r="C225" i="23"/>
  <c r="O219" i="23"/>
  <c r="P219" i="23"/>
  <c r="Q219" i="23"/>
  <c r="O220" i="23"/>
  <c r="P220" i="23"/>
  <c r="Q220" i="23"/>
  <c r="O221" i="23"/>
  <c r="P221" i="23"/>
  <c r="Q221" i="23"/>
  <c r="O222" i="23"/>
  <c r="P222" i="23"/>
  <c r="Q222" i="23"/>
  <c r="O223" i="23"/>
  <c r="P223" i="23"/>
  <c r="Q223" i="23"/>
  <c r="O224" i="23"/>
  <c r="P224" i="23"/>
  <c r="Q224" i="23"/>
  <c r="N220" i="23"/>
  <c r="N221" i="23"/>
  <c r="N222" i="23"/>
  <c r="N223" i="23"/>
  <c r="N224" i="23"/>
  <c r="N219" i="23"/>
  <c r="D219" i="23"/>
  <c r="E219" i="23"/>
  <c r="F219" i="23"/>
  <c r="G219" i="23"/>
  <c r="H219" i="23"/>
  <c r="I219" i="23"/>
  <c r="J219" i="23"/>
  <c r="K219" i="23"/>
  <c r="L219" i="23"/>
  <c r="M219" i="23"/>
  <c r="D220" i="23"/>
  <c r="E220" i="23"/>
  <c r="F220" i="23"/>
  <c r="G220" i="23"/>
  <c r="H220" i="23"/>
  <c r="I220" i="23"/>
  <c r="J220" i="23"/>
  <c r="K220" i="23"/>
  <c r="L220" i="23"/>
  <c r="M220" i="23"/>
  <c r="D221" i="23"/>
  <c r="E221" i="23"/>
  <c r="F221" i="23"/>
  <c r="G221" i="23"/>
  <c r="H221" i="23"/>
  <c r="I221" i="23"/>
  <c r="J221" i="23"/>
  <c r="K221" i="23"/>
  <c r="L221" i="23"/>
  <c r="M221" i="23"/>
  <c r="D222" i="23"/>
  <c r="E222" i="23"/>
  <c r="F222" i="23"/>
  <c r="G222" i="23"/>
  <c r="H222" i="23"/>
  <c r="I222" i="23"/>
  <c r="J222" i="23"/>
  <c r="K222" i="23"/>
  <c r="L222" i="23"/>
  <c r="M222" i="23"/>
  <c r="D223" i="23"/>
  <c r="E223" i="23"/>
  <c r="F223" i="23"/>
  <c r="G223" i="23"/>
  <c r="H223" i="23"/>
  <c r="I223" i="23"/>
  <c r="J223" i="23"/>
  <c r="K223" i="23"/>
  <c r="L223" i="23"/>
  <c r="M223" i="23"/>
  <c r="D224" i="23"/>
  <c r="E224" i="23"/>
  <c r="F224" i="23"/>
  <c r="G224" i="23"/>
  <c r="H224" i="23"/>
  <c r="I224" i="23"/>
  <c r="J224" i="23"/>
  <c r="K224" i="23"/>
  <c r="L224" i="23"/>
  <c r="M224" i="23"/>
  <c r="C220" i="23"/>
  <c r="C221" i="23"/>
  <c r="C222" i="23"/>
  <c r="C223" i="23"/>
  <c r="C224" i="23"/>
  <c r="C219" i="23"/>
  <c r="O207" i="23"/>
  <c r="P207" i="23"/>
  <c r="Q207" i="23"/>
  <c r="O208" i="23"/>
  <c r="P208" i="23"/>
  <c r="Q208" i="23"/>
  <c r="O209" i="23"/>
  <c r="P209" i="23"/>
  <c r="Q209" i="23"/>
  <c r="O210" i="23"/>
  <c r="P210" i="23"/>
  <c r="Q210" i="23"/>
  <c r="O211" i="23"/>
  <c r="P211" i="23"/>
  <c r="Q211" i="23"/>
  <c r="O212" i="23"/>
  <c r="P212" i="23"/>
  <c r="Q212" i="23"/>
  <c r="N208" i="23"/>
  <c r="N209" i="23"/>
  <c r="N210" i="23"/>
  <c r="N211" i="23"/>
  <c r="N212" i="23"/>
  <c r="N207" i="23"/>
  <c r="D207" i="23"/>
  <c r="E207" i="23"/>
  <c r="F207" i="23"/>
  <c r="G207" i="23"/>
  <c r="H207" i="23"/>
  <c r="I207" i="23"/>
  <c r="J207" i="23"/>
  <c r="K207" i="23"/>
  <c r="L207" i="23"/>
  <c r="M207" i="23"/>
  <c r="D208" i="23"/>
  <c r="E208" i="23"/>
  <c r="F208" i="23"/>
  <c r="G208" i="23"/>
  <c r="H208" i="23"/>
  <c r="I208" i="23"/>
  <c r="J208" i="23"/>
  <c r="K208" i="23"/>
  <c r="L208" i="23"/>
  <c r="M208" i="23"/>
  <c r="D209" i="23"/>
  <c r="E209" i="23"/>
  <c r="F209" i="23"/>
  <c r="G209" i="23"/>
  <c r="H209" i="23"/>
  <c r="I209" i="23"/>
  <c r="J209" i="23"/>
  <c r="K209" i="23"/>
  <c r="L209" i="23"/>
  <c r="M209" i="23"/>
  <c r="D210" i="23"/>
  <c r="E210" i="23"/>
  <c r="F210" i="23"/>
  <c r="G210" i="23"/>
  <c r="H210" i="23"/>
  <c r="I210" i="23"/>
  <c r="J210" i="23"/>
  <c r="K210" i="23"/>
  <c r="L210" i="23"/>
  <c r="M210" i="23"/>
  <c r="D211" i="23"/>
  <c r="E211" i="23"/>
  <c r="F211" i="23"/>
  <c r="G211" i="23"/>
  <c r="H211" i="23"/>
  <c r="I211" i="23"/>
  <c r="J211" i="23"/>
  <c r="K211" i="23"/>
  <c r="L211" i="23"/>
  <c r="M211" i="23"/>
  <c r="D212" i="23"/>
  <c r="E212" i="23"/>
  <c r="F212" i="23"/>
  <c r="G212" i="23"/>
  <c r="H212" i="23"/>
  <c r="I212" i="23"/>
  <c r="J212" i="23"/>
  <c r="K212" i="23"/>
  <c r="L212" i="23"/>
  <c r="M212" i="23"/>
  <c r="C208" i="23"/>
  <c r="C209" i="23"/>
  <c r="C210" i="23"/>
  <c r="C211" i="23"/>
  <c r="C212" i="23"/>
  <c r="C207" i="23"/>
  <c r="O201" i="23"/>
  <c r="P201" i="23"/>
  <c r="Q201" i="23"/>
  <c r="O202" i="23"/>
  <c r="P202" i="23"/>
  <c r="Q202" i="23"/>
  <c r="O203" i="23"/>
  <c r="P203" i="23"/>
  <c r="Q203" i="23"/>
  <c r="O204" i="23"/>
  <c r="P204" i="23"/>
  <c r="Q204" i="23"/>
  <c r="O205" i="23"/>
  <c r="P205" i="23"/>
  <c r="Q205" i="23"/>
  <c r="O206" i="23"/>
  <c r="P206" i="23"/>
  <c r="Q206" i="23"/>
  <c r="N202" i="23"/>
  <c r="N203" i="23"/>
  <c r="N204" i="23"/>
  <c r="N205" i="23"/>
  <c r="N206" i="23"/>
  <c r="N201" i="23"/>
  <c r="D201" i="23"/>
  <c r="E201" i="23"/>
  <c r="F201" i="23"/>
  <c r="G201" i="23"/>
  <c r="H201" i="23"/>
  <c r="I201" i="23"/>
  <c r="J201" i="23"/>
  <c r="K201" i="23"/>
  <c r="L201" i="23"/>
  <c r="M201" i="23"/>
  <c r="D202" i="23"/>
  <c r="E202" i="23"/>
  <c r="F202" i="23"/>
  <c r="G202" i="23"/>
  <c r="H202" i="23"/>
  <c r="I202" i="23"/>
  <c r="J202" i="23"/>
  <c r="K202" i="23"/>
  <c r="L202" i="23"/>
  <c r="M202" i="23"/>
  <c r="D203" i="23"/>
  <c r="E203" i="23"/>
  <c r="F203" i="23"/>
  <c r="G203" i="23"/>
  <c r="H203" i="23"/>
  <c r="I203" i="23"/>
  <c r="J203" i="23"/>
  <c r="K203" i="23"/>
  <c r="L203" i="23"/>
  <c r="M203" i="23"/>
  <c r="D204" i="23"/>
  <c r="E204" i="23"/>
  <c r="F204" i="23"/>
  <c r="G204" i="23"/>
  <c r="H204" i="23"/>
  <c r="I204" i="23"/>
  <c r="J204" i="23"/>
  <c r="K204" i="23"/>
  <c r="L204" i="23"/>
  <c r="M204" i="23"/>
  <c r="D205" i="23"/>
  <c r="E205" i="23"/>
  <c r="F205" i="23"/>
  <c r="G205" i="23"/>
  <c r="H205" i="23"/>
  <c r="I205" i="23"/>
  <c r="J205" i="23"/>
  <c r="K205" i="23"/>
  <c r="L205" i="23"/>
  <c r="M205" i="23"/>
  <c r="D206" i="23"/>
  <c r="E206" i="23"/>
  <c r="F206" i="23"/>
  <c r="G206" i="23"/>
  <c r="H206" i="23"/>
  <c r="I206" i="23"/>
  <c r="J206" i="23"/>
  <c r="K206" i="23"/>
  <c r="L206" i="23"/>
  <c r="M206" i="23"/>
  <c r="C202" i="23"/>
  <c r="C203" i="23"/>
  <c r="C204" i="23"/>
  <c r="C205" i="23"/>
  <c r="C206" i="23"/>
  <c r="C201" i="23"/>
  <c r="O195" i="23"/>
  <c r="P195" i="23"/>
  <c r="Q195" i="23"/>
  <c r="O196" i="23"/>
  <c r="P196" i="23"/>
  <c r="Q196" i="23"/>
  <c r="O197" i="23"/>
  <c r="P197" i="23"/>
  <c r="Q197" i="23"/>
  <c r="O198" i="23"/>
  <c r="P198" i="23"/>
  <c r="Q198" i="23"/>
  <c r="O199" i="23"/>
  <c r="P199" i="23"/>
  <c r="Q199" i="23"/>
  <c r="O200" i="23"/>
  <c r="P200" i="23"/>
  <c r="Q200" i="23"/>
  <c r="N196" i="23"/>
  <c r="N197" i="23"/>
  <c r="N198" i="23"/>
  <c r="N199" i="23"/>
  <c r="N200" i="23"/>
  <c r="N195" i="23"/>
  <c r="D195" i="23"/>
  <c r="E195" i="23"/>
  <c r="F195" i="23"/>
  <c r="G195" i="23"/>
  <c r="H195" i="23"/>
  <c r="I195" i="23"/>
  <c r="J195" i="23"/>
  <c r="K195" i="23"/>
  <c r="L195" i="23"/>
  <c r="M195" i="23"/>
  <c r="D196" i="23"/>
  <c r="E196" i="23"/>
  <c r="F196" i="23"/>
  <c r="G196" i="23"/>
  <c r="H196" i="23"/>
  <c r="I196" i="23"/>
  <c r="J196" i="23"/>
  <c r="K196" i="23"/>
  <c r="L196" i="23"/>
  <c r="M196" i="23"/>
  <c r="D197" i="23"/>
  <c r="E197" i="23"/>
  <c r="F197" i="23"/>
  <c r="G197" i="23"/>
  <c r="H197" i="23"/>
  <c r="I197" i="23"/>
  <c r="J197" i="23"/>
  <c r="K197" i="23"/>
  <c r="L197" i="23"/>
  <c r="M197" i="23"/>
  <c r="D198" i="23"/>
  <c r="E198" i="23"/>
  <c r="F198" i="23"/>
  <c r="G198" i="23"/>
  <c r="H198" i="23"/>
  <c r="I198" i="23"/>
  <c r="J198" i="23"/>
  <c r="K198" i="23"/>
  <c r="L198" i="23"/>
  <c r="M198" i="23"/>
  <c r="D199" i="23"/>
  <c r="E199" i="23"/>
  <c r="F199" i="23"/>
  <c r="G199" i="23"/>
  <c r="H199" i="23"/>
  <c r="I199" i="23"/>
  <c r="J199" i="23"/>
  <c r="K199" i="23"/>
  <c r="L199" i="23"/>
  <c r="M199" i="23"/>
  <c r="D200" i="23"/>
  <c r="E200" i="23"/>
  <c r="F200" i="23"/>
  <c r="G200" i="23"/>
  <c r="H200" i="23"/>
  <c r="I200" i="23"/>
  <c r="J200" i="23"/>
  <c r="K200" i="23"/>
  <c r="L200" i="23"/>
  <c r="M200" i="23"/>
  <c r="C196" i="23"/>
  <c r="C197" i="23"/>
  <c r="C198" i="23"/>
  <c r="C199" i="23"/>
  <c r="C200" i="23"/>
  <c r="C195" i="23"/>
  <c r="O189" i="23"/>
  <c r="P189" i="23"/>
  <c r="Q189" i="23"/>
  <c r="O190" i="23"/>
  <c r="P190" i="23"/>
  <c r="Q190" i="23"/>
  <c r="O191" i="23"/>
  <c r="P191" i="23"/>
  <c r="Q191" i="23"/>
  <c r="O192" i="23"/>
  <c r="P192" i="23"/>
  <c r="Q192" i="23"/>
  <c r="O193" i="23"/>
  <c r="P193" i="23"/>
  <c r="Q193" i="23"/>
  <c r="O194" i="23"/>
  <c r="P194" i="23"/>
  <c r="Q194" i="23"/>
  <c r="N190" i="23"/>
  <c r="N191" i="23"/>
  <c r="N192" i="23"/>
  <c r="N193" i="23"/>
  <c r="N194" i="23"/>
  <c r="N189" i="23"/>
  <c r="D189" i="23"/>
  <c r="E189" i="23"/>
  <c r="F189" i="23"/>
  <c r="G189" i="23"/>
  <c r="H189" i="23"/>
  <c r="I189" i="23"/>
  <c r="J189" i="23"/>
  <c r="K189" i="23"/>
  <c r="L189" i="23"/>
  <c r="M189" i="23"/>
  <c r="D190" i="23"/>
  <c r="E190" i="23"/>
  <c r="F190" i="23"/>
  <c r="G190" i="23"/>
  <c r="H190" i="23"/>
  <c r="I190" i="23"/>
  <c r="J190" i="23"/>
  <c r="K190" i="23"/>
  <c r="L190" i="23"/>
  <c r="M190" i="23"/>
  <c r="D191" i="23"/>
  <c r="E191" i="23"/>
  <c r="F191" i="23"/>
  <c r="G191" i="23"/>
  <c r="H191" i="23"/>
  <c r="I191" i="23"/>
  <c r="J191" i="23"/>
  <c r="K191" i="23"/>
  <c r="L191" i="23"/>
  <c r="M191" i="23"/>
  <c r="D192" i="23"/>
  <c r="E192" i="23"/>
  <c r="F192" i="23"/>
  <c r="G192" i="23"/>
  <c r="H192" i="23"/>
  <c r="I192" i="23"/>
  <c r="J192" i="23"/>
  <c r="K192" i="23"/>
  <c r="L192" i="23"/>
  <c r="M192" i="23"/>
  <c r="D193" i="23"/>
  <c r="E193" i="23"/>
  <c r="F193" i="23"/>
  <c r="G193" i="23"/>
  <c r="H193" i="23"/>
  <c r="I193" i="23"/>
  <c r="J193" i="23"/>
  <c r="K193" i="23"/>
  <c r="L193" i="23"/>
  <c r="M193" i="23"/>
  <c r="D194" i="23"/>
  <c r="E194" i="23"/>
  <c r="F194" i="23"/>
  <c r="G194" i="23"/>
  <c r="H194" i="23"/>
  <c r="I194" i="23"/>
  <c r="J194" i="23"/>
  <c r="K194" i="23"/>
  <c r="L194" i="23"/>
  <c r="M194" i="23"/>
  <c r="C190" i="23"/>
  <c r="C191" i="23"/>
  <c r="C192" i="23"/>
  <c r="C193" i="23"/>
  <c r="C194" i="23"/>
  <c r="C189" i="23"/>
  <c r="O183" i="23"/>
  <c r="P183" i="23"/>
  <c r="Q183" i="23"/>
  <c r="O184" i="23"/>
  <c r="P184" i="23"/>
  <c r="Q184" i="23"/>
  <c r="O185" i="23"/>
  <c r="P185" i="23"/>
  <c r="Q185" i="23"/>
  <c r="O186" i="23"/>
  <c r="P186" i="23"/>
  <c r="Q186" i="23"/>
  <c r="O187" i="23"/>
  <c r="P187" i="23"/>
  <c r="Q187" i="23"/>
  <c r="O188" i="23"/>
  <c r="P188" i="23"/>
  <c r="Q188" i="23"/>
  <c r="N184" i="23"/>
  <c r="N185" i="23"/>
  <c r="N186" i="23"/>
  <c r="N187" i="23"/>
  <c r="N188" i="23"/>
  <c r="N183" i="23"/>
  <c r="D183" i="23"/>
  <c r="E183" i="23"/>
  <c r="F183" i="23"/>
  <c r="G183" i="23"/>
  <c r="H183" i="23"/>
  <c r="I183" i="23"/>
  <c r="J183" i="23"/>
  <c r="K183" i="23"/>
  <c r="L183" i="23"/>
  <c r="M183" i="23"/>
  <c r="D184" i="23"/>
  <c r="E184" i="23"/>
  <c r="F184" i="23"/>
  <c r="G184" i="23"/>
  <c r="H184" i="23"/>
  <c r="I184" i="23"/>
  <c r="J184" i="23"/>
  <c r="K184" i="23"/>
  <c r="L184" i="23"/>
  <c r="M184" i="23"/>
  <c r="D185" i="23"/>
  <c r="E185" i="23"/>
  <c r="F185" i="23"/>
  <c r="G185" i="23"/>
  <c r="H185" i="23"/>
  <c r="I185" i="23"/>
  <c r="J185" i="23"/>
  <c r="K185" i="23"/>
  <c r="L185" i="23"/>
  <c r="M185" i="23"/>
  <c r="D186" i="23"/>
  <c r="E186" i="23"/>
  <c r="F186" i="23"/>
  <c r="G186" i="23"/>
  <c r="H186" i="23"/>
  <c r="I186" i="23"/>
  <c r="J186" i="23"/>
  <c r="K186" i="23"/>
  <c r="L186" i="23"/>
  <c r="M186" i="23"/>
  <c r="D187" i="23"/>
  <c r="E187" i="23"/>
  <c r="F187" i="23"/>
  <c r="G187" i="23"/>
  <c r="H187" i="23"/>
  <c r="I187" i="23"/>
  <c r="J187" i="23"/>
  <c r="K187" i="23"/>
  <c r="L187" i="23"/>
  <c r="M187" i="23"/>
  <c r="D188" i="23"/>
  <c r="E188" i="23"/>
  <c r="F188" i="23"/>
  <c r="G188" i="23"/>
  <c r="H188" i="23"/>
  <c r="I188" i="23"/>
  <c r="J188" i="23"/>
  <c r="K188" i="23"/>
  <c r="L188" i="23"/>
  <c r="M188" i="23"/>
  <c r="C184" i="23"/>
  <c r="C185" i="23"/>
  <c r="C186" i="23"/>
  <c r="C187" i="23"/>
  <c r="C188" i="23"/>
  <c r="C183" i="23"/>
  <c r="O177" i="23"/>
  <c r="P177" i="23"/>
  <c r="Q177" i="23"/>
  <c r="O178" i="23"/>
  <c r="P178" i="23"/>
  <c r="Q178" i="23"/>
  <c r="O179" i="23"/>
  <c r="P179" i="23"/>
  <c r="Q179" i="23"/>
  <c r="O180" i="23"/>
  <c r="P180" i="23"/>
  <c r="Q180" i="23"/>
  <c r="O181" i="23"/>
  <c r="P181" i="23"/>
  <c r="Q181" i="23"/>
  <c r="O182" i="23"/>
  <c r="P182" i="23"/>
  <c r="Q182" i="23"/>
  <c r="N178" i="23"/>
  <c r="N179" i="23"/>
  <c r="N180" i="23"/>
  <c r="N181" i="23"/>
  <c r="N182" i="23"/>
  <c r="N177" i="23"/>
  <c r="D177" i="23"/>
  <c r="E177" i="23"/>
  <c r="F177" i="23"/>
  <c r="G177" i="23"/>
  <c r="H177" i="23"/>
  <c r="I177" i="23"/>
  <c r="J177" i="23"/>
  <c r="K177" i="23"/>
  <c r="L177" i="23"/>
  <c r="M177" i="23"/>
  <c r="D178" i="23"/>
  <c r="E178" i="23"/>
  <c r="F178" i="23"/>
  <c r="G178" i="23"/>
  <c r="H178" i="23"/>
  <c r="I178" i="23"/>
  <c r="J178" i="23"/>
  <c r="K178" i="23"/>
  <c r="L178" i="23"/>
  <c r="M178" i="23"/>
  <c r="D179" i="23"/>
  <c r="E179" i="23"/>
  <c r="F179" i="23"/>
  <c r="G179" i="23"/>
  <c r="H179" i="23"/>
  <c r="I179" i="23"/>
  <c r="J179" i="23"/>
  <c r="K179" i="23"/>
  <c r="L179" i="23"/>
  <c r="M179" i="23"/>
  <c r="D180" i="23"/>
  <c r="E180" i="23"/>
  <c r="F180" i="23"/>
  <c r="G180" i="23"/>
  <c r="H180" i="23"/>
  <c r="I180" i="23"/>
  <c r="J180" i="23"/>
  <c r="K180" i="23"/>
  <c r="L180" i="23"/>
  <c r="M180" i="23"/>
  <c r="D181" i="23"/>
  <c r="E181" i="23"/>
  <c r="F181" i="23"/>
  <c r="G181" i="23"/>
  <c r="H181" i="23"/>
  <c r="I181" i="23"/>
  <c r="J181" i="23"/>
  <c r="K181" i="23"/>
  <c r="L181" i="23"/>
  <c r="M181" i="23"/>
  <c r="D182" i="23"/>
  <c r="E182" i="23"/>
  <c r="F182" i="23"/>
  <c r="G182" i="23"/>
  <c r="H182" i="23"/>
  <c r="I182" i="23"/>
  <c r="J182" i="23"/>
  <c r="K182" i="23"/>
  <c r="L182" i="23"/>
  <c r="M182" i="23"/>
  <c r="C178" i="23"/>
  <c r="C179" i="23"/>
  <c r="C180" i="23"/>
  <c r="C181" i="23"/>
  <c r="C182" i="23"/>
  <c r="C177" i="23"/>
  <c r="O171" i="23"/>
  <c r="P171" i="23"/>
  <c r="Q171" i="23"/>
  <c r="O172" i="23"/>
  <c r="P172" i="23"/>
  <c r="Q172" i="23"/>
  <c r="O173" i="23"/>
  <c r="P173" i="23"/>
  <c r="Q173" i="23"/>
  <c r="O174" i="23"/>
  <c r="P174" i="23"/>
  <c r="Q174" i="23"/>
  <c r="O175" i="23"/>
  <c r="P175" i="23"/>
  <c r="Q175" i="23"/>
  <c r="O176" i="23"/>
  <c r="P176" i="23"/>
  <c r="Q176" i="23"/>
  <c r="N172" i="23"/>
  <c r="N173" i="23"/>
  <c r="N174" i="23"/>
  <c r="N175" i="23"/>
  <c r="N176" i="23"/>
  <c r="N171" i="23"/>
  <c r="D171" i="23"/>
  <c r="E171" i="23"/>
  <c r="F171" i="23"/>
  <c r="G171" i="23"/>
  <c r="H171" i="23"/>
  <c r="I171" i="23"/>
  <c r="J171" i="23"/>
  <c r="K171" i="23"/>
  <c r="L171" i="23"/>
  <c r="M171" i="23"/>
  <c r="D172" i="23"/>
  <c r="E172" i="23"/>
  <c r="F172" i="23"/>
  <c r="G172" i="23"/>
  <c r="H172" i="23"/>
  <c r="I172" i="23"/>
  <c r="J172" i="23"/>
  <c r="K172" i="23"/>
  <c r="L172" i="23"/>
  <c r="M172" i="23"/>
  <c r="D173" i="23"/>
  <c r="E173" i="23"/>
  <c r="F173" i="23"/>
  <c r="G173" i="23"/>
  <c r="H173" i="23"/>
  <c r="I173" i="23"/>
  <c r="J173" i="23"/>
  <c r="K173" i="23"/>
  <c r="L173" i="23"/>
  <c r="M173" i="23"/>
  <c r="D174" i="23"/>
  <c r="E174" i="23"/>
  <c r="F174" i="23"/>
  <c r="G174" i="23"/>
  <c r="H174" i="23"/>
  <c r="I174" i="23"/>
  <c r="J174" i="23"/>
  <c r="K174" i="23"/>
  <c r="L174" i="23"/>
  <c r="M174" i="23"/>
  <c r="D175" i="23"/>
  <c r="E175" i="23"/>
  <c r="F175" i="23"/>
  <c r="G175" i="23"/>
  <c r="H175" i="23"/>
  <c r="I175" i="23"/>
  <c r="J175" i="23"/>
  <c r="K175" i="23"/>
  <c r="L175" i="23"/>
  <c r="M175" i="23"/>
  <c r="D176" i="23"/>
  <c r="E176" i="23"/>
  <c r="F176" i="23"/>
  <c r="G176" i="23"/>
  <c r="H176" i="23"/>
  <c r="I176" i="23"/>
  <c r="J176" i="23"/>
  <c r="K176" i="23"/>
  <c r="L176" i="23"/>
  <c r="M176" i="23"/>
  <c r="C172" i="23"/>
  <c r="C173" i="23"/>
  <c r="C174" i="23"/>
  <c r="C175" i="23"/>
  <c r="C176" i="23"/>
  <c r="C171" i="23"/>
  <c r="O165" i="23"/>
  <c r="P165" i="23"/>
  <c r="Q165" i="23"/>
  <c r="O166" i="23"/>
  <c r="P166" i="23"/>
  <c r="Q166" i="23"/>
  <c r="O167" i="23"/>
  <c r="P167" i="23"/>
  <c r="Q167" i="23"/>
  <c r="O168" i="23"/>
  <c r="P168" i="23"/>
  <c r="Q168" i="23"/>
  <c r="O169" i="23"/>
  <c r="P169" i="23"/>
  <c r="Q169" i="23"/>
  <c r="O170" i="23"/>
  <c r="P170" i="23"/>
  <c r="Q170" i="23"/>
  <c r="N166" i="23"/>
  <c r="N167" i="23"/>
  <c r="N168" i="23"/>
  <c r="N169" i="23"/>
  <c r="N170" i="23"/>
  <c r="N165" i="23"/>
  <c r="D165" i="23"/>
  <c r="E165" i="23"/>
  <c r="F165" i="23"/>
  <c r="G165" i="23"/>
  <c r="H165" i="23"/>
  <c r="I165" i="23"/>
  <c r="J165" i="23"/>
  <c r="K165" i="23"/>
  <c r="L165" i="23"/>
  <c r="M165" i="23"/>
  <c r="D166" i="23"/>
  <c r="E166" i="23"/>
  <c r="F166" i="23"/>
  <c r="G166" i="23"/>
  <c r="H166" i="23"/>
  <c r="I166" i="23"/>
  <c r="J166" i="23"/>
  <c r="K166" i="23"/>
  <c r="L166" i="23"/>
  <c r="M166" i="23"/>
  <c r="D167" i="23"/>
  <c r="E167" i="23"/>
  <c r="F167" i="23"/>
  <c r="G167" i="23"/>
  <c r="H167" i="23"/>
  <c r="I167" i="23"/>
  <c r="J167" i="23"/>
  <c r="K167" i="23"/>
  <c r="L167" i="23"/>
  <c r="M167" i="23"/>
  <c r="D168" i="23"/>
  <c r="E168" i="23"/>
  <c r="F168" i="23"/>
  <c r="G168" i="23"/>
  <c r="H168" i="23"/>
  <c r="I168" i="23"/>
  <c r="J168" i="23"/>
  <c r="K168" i="23"/>
  <c r="L168" i="23"/>
  <c r="M168" i="23"/>
  <c r="D169" i="23"/>
  <c r="E169" i="23"/>
  <c r="F169" i="23"/>
  <c r="G169" i="23"/>
  <c r="H169" i="23"/>
  <c r="I169" i="23"/>
  <c r="J169" i="23"/>
  <c r="K169" i="23"/>
  <c r="L169" i="23"/>
  <c r="M169" i="23"/>
  <c r="D170" i="23"/>
  <c r="E170" i="23"/>
  <c r="F170" i="23"/>
  <c r="G170" i="23"/>
  <c r="H170" i="23"/>
  <c r="I170" i="23"/>
  <c r="J170" i="23"/>
  <c r="K170" i="23"/>
  <c r="L170" i="23"/>
  <c r="M170" i="23"/>
  <c r="C166" i="23"/>
  <c r="C167" i="23"/>
  <c r="C168" i="23"/>
  <c r="C169" i="23"/>
  <c r="C170" i="23"/>
  <c r="C165" i="23"/>
  <c r="O159" i="23"/>
  <c r="P159" i="23"/>
  <c r="Q159" i="23"/>
  <c r="O160" i="23"/>
  <c r="P160" i="23"/>
  <c r="Q160" i="23"/>
  <c r="O161" i="23"/>
  <c r="P161" i="23"/>
  <c r="Q161" i="23"/>
  <c r="O162" i="23"/>
  <c r="P162" i="23"/>
  <c r="Q162" i="23"/>
  <c r="O163" i="23"/>
  <c r="P163" i="23"/>
  <c r="Q163" i="23"/>
  <c r="O164" i="23"/>
  <c r="P164" i="23"/>
  <c r="Q164" i="23"/>
  <c r="N160" i="23"/>
  <c r="N161" i="23"/>
  <c r="N162" i="23"/>
  <c r="N163" i="23"/>
  <c r="N164" i="23"/>
  <c r="N159" i="23"/>
  <c r="D159" i="23"/>
  <c r="E159" i="23"/>
  <c r="F159" i="23"/>
  <c r="G159" i="23"/>
  <c r="H159" i="23"/>
  <c r="I159" i="23"/>
  <c r="J159" i="23"/>
  <c r="K159" i="23"/>
  <c r="L159" i="23"/>
  <c r="M159" i="23"/>
  <c r="D160" i="23"/>
  <c r="E160" i="23"/>
  <c r="F160" i="23"/>
  <c r="G160" i="23"/>
  <c r="H160" i="23"/>
  <c r="I160" i="23"/>
  <c r="J160" i="23"/>
  <c r="K160" i="23"/>
  <c r="L160" i="23"/>
  <c r="M160" i="23"/>
  <c r="D161" i="23"/>
  <c r="E161" i="23"/>
  <c r="F161" i="23"/>
  <c r="G161" i="23"/>
  <c r="H161" i="23"/>
  <c r="I161" i="23"/>
  <c r="J161" i="23"/>
  <c r="K161" i="23"/>
  <c r="L161" i="23"/>
  <c r="M161" i="23"/>
  <c r="D162" i="23"/>
  <c r="E162" i="23"/>
  <c r="F162" i="23"/>
  <c r="G162" i="23"/>
  <c r="H162" i="23"/>
  <c r="I162" i="23"/>
  <c r="J162" i="23"/>
  <c r="K162" i="23"/>
  <c r="L162" i="23"/>
  <c r="M162" i="23"/>
  <c r="D163" i="23"/>
  <c r="E163" i="23"/>
  <c r="F163" i="23"/>
  <c r="G163" i="23"/>
  <c r="H163" i="23"/>
  <c r="I163" i="23"/>
  <c r="J163" i="23"/>
  <c r="K163" i="23"/>
  <c r="L163" i="23"/>
  <c r="M163" i="23"/>
  <c r="D164" i="23"/>
  <c r="E164" i="23"/>
  <c r="F164" i="23"/>
  <c r="G164" i="23"/>
  <c r="H164" i="23"/>
  <c r="I164" i="23"/>
  <c r="J164" i="23"/>
  <c r="K164" i="23"/>
  <c r="L164" i="23"/>
  <c r="M164" i="23"/>
  <c r="C160" i="23"/>
  <c r="C161" i="23"/>
  <c r="C162" i="23"/>
  <c r="C163" i="23"/>
  <c r="C164" i="23"/>
  <c r="C159" i="23"/>
  <c r="O153" i="23"/>
  <c r="P153" i="23"/>
  <c r="Q153" i="23"/>
  <c r="O154" i="23"/>
  <c r="P154" i="23"/>
  <c r="Q154" i="23"/>
  <c r="O155" i="23"/>
  <c r="P155" i="23"/>
  <c r="Q155" i="23"/>
  <c r="O156" i="23"/>
  <c r="P156" i="23"/>
  <c r="Q156" i="23"/>
  <c r="O157" i="23"/>
  <c r="P157" i="23"/>
  <c r="Q157" i="23"/>
  <c r="O158" i="23"/>
  <c r="P158" i="23"/>
  <c r="Q158" i="23"/>
  <c r="N154" i="23"/>
  <c r="N155" i="23"/>
  <c r="N156" i="23"/>
  <c r="N157" i="23"/>
  <c r="N158" i="23"/>
  <c r="N153" i="23"/>
  <c r="D153" i="23"/>
  <c r="E153" i="23"/>
  <c r="F153" i="23"/>
  <c r="G153" i="23"/>
  <c r="H153" i="23"/>
  <c r="I153" i="23"/>
  <c r="J153" i="23"/>
  <c r="K153" i="23"/>
  <c r="L153" i="23"/>
  <c r="M153" i="23"/>
  <c r="D154" i="23"/>
  <c r="E154" i="23"/>
  <c r="F154" i="23"/>
  <c r="G154" i="23"/>
  <c r="H154" i="23"/>
  <c r="I154" i="23"/>
  <c r="J154" i="23"/>
  <c r="K154" i="23"/>
  <c r="L154" i="23"/>
  <c r="M154" i="23"/>
  <c r="D155" i="23"/>
  <c r="E155" i="23"/>
  <c r="F155" i="23"/>
  <c r="G155" i="23"/>
  <c r="H155" i="23"/>
  <c r="I155" i="23"/>
  <c r="J155" i="23"/>
  <c r="K155" i="23"/>
  <c r="L155" i="23"/>
  <c r="M155" i="23"/>
  <c r="D156" i="23"/>
  <c r="E156" i="23"/>
  <c r="F156" i="23"/>
  <c r="G156" i="23"/>
  <c r="H156" i="23"/>
  <c r="I156" i="23"/>
  <c r="J156" i="23"/>
  <c r="K156" i="23"/>
  <c r="L156" i="23"/>
  <c r="M156" i="23"/>
  <c r="D157" i="23"/>
  <c r="E157" i="23"/>
  <c r="F157" i="23"/>
  <c r="G157" i="23"/>
  <c r="H157" i="23"/>
  <c r="I157" i="23"/>
  <c r="J157" i="23"/>
  <c r="K157" i="23"/>
  <c r="L157" i="23"/>
  <c r="M157" i="23"/>
  <c r="D158" i="23"/>
  <c r="E158" i="23"/>
  <c r="F158" i="23"/>
  <c r="G158" i="23"/>
  <c r="H158" i="23"/>
  <c r="I158" i="23"/>
  <c r="J158" i="23"/>
  <c r="K158" i="23"/>
  <c r="L158" i="23"/>
  <c r="M158" i="23"/>
  <c r="C154" i="23"/>
  <c r="C155" i="23"/>
  <c r="C156" i="23"/>
  <c r="C157" i="23"/>
  <c r="C158" i="23"/>
  <c r="C153" i="23"/>
  <c r="O147" i="23"/>
  <c r="P147" i="23"/>
  <c r="Q147" i="23"/>
  <c r="O148" i="23"/>
  <c r="P148" i="23"/>
  <c r="Q148" i="23"/>
  <c r="O149" i="23"/>
  <c r="P149" i="23"/>
  <c r="Q149" i="23"/>
  <c r="O150" i="23"/>
  <c r="P150" i="23"/>
  <c r="Q150" i="23"/>
  <c r="O151" i="23"/>
  <c r="P151" i="23"/>
  <c r="Q151" i="23"/>
  <c r="O152" i="23"/>
  <c r="P152" i="23"/>
  <c r="Q152" i="23"/>
  <c r="N148" i="23"/>
  <c r="N149" i="23"/>
  <c r="N150" i="23"/>
  <c r="N151" i="23"/>
  <c r="N152" i="23"/>
  <c r="N147" i="23"/>
  <c r="D147" i="23"/>
  <c r="E147" i="23"/>
  <c r="F147" i="23"/>
  <c r="G147" i="23"/>
  <c r="H147" i="23"/>
  <c r="I147" i="23"/>
  <c r="J147" i="23"/>
  <c r="K147" i="23"/>
  <c r="L147" i="23"/>
  <c r="M147" i="23"/>
  <c r="D148" i="23"/>
  <c r="E148" i="23"/>
  <c r="F148" i="23"/>
  <c r="G148" i="23"/>
  <c r="H148" i="23"/>
  <c r="I148" i="23"/>
  <c r="J148" i="23"/>
  <c r="K148" i="23"/>
  <c r="L148" i="23"/>
  <c r="M148" i="23"/>
  <c r="D149" i="23"/>
  <c r="E149" i="23"/>
  <c r="F149" i="23"/>
  <c r="G149" i="23"/>
  <c r="H149" i="23"/>
  <c r="I149" i="23"/>
  <c r="J149" i="23"/>
  <c r="K149" i="23"/>
  <c r="L149" i="23"/>
  <c r="M149" i="23"/>
  <c r="D150" i="23"/>
  <c r="E150" i="23"/>
  <c r="F150" i="23"/>
  <c r="G150" i="23"/>
  <c r="H150" i="23"/>
  <c r="I150" i="23"/>
  <c r="J150" i="23"/>
  <c r="K150" i="23"/>
  <c r="L150" i="23"/>
  <c r="M150" i="23"/>
  <c r="D151" i="23"/>
  <c r="E151" i="23"/>
  <c r="F151" i="23"/>
  <c r="G151" i="23"/>
  <c r="H151" i="23"/>
  <c r="I151" i="23"/>
  <c r="J151" i="23"/>
  <c r="K151" i="23"/>
  <c r="L151" i="23"/>
  <c r="M151" i="23"/>
  <c r="D152" i="23"/>
  <c r="E152" i="23"/>
  <c r="F152" i="23"/>
  <c r="G152" i="23"/>
  <c r="H152" i="23"/>
  <c r="I152" i="23"/>
  <c r="J152" i="23"/>
  <c r="K152" i="23"/>
  <c r="L152" i="23"/>
  <c r="M152" i="23"/>
  <c r="C148" i="23"/>
  <c r="C149" i="23"/>
  <c r="C150" i="23"/>
  <c r="C151" i="23"/>
  <c r="C152" i="23"/>
  <c r="C147" i="23"/>
  <c r="O141" i="23"/>
  <c r="P141" i="23"/>
  <c r="Q141" i="23"/>
  <c r="O142" i="23"/>
  <c r="P142" i="23"/>
  <c r="Q142" i="23"/>
  <c r="O143" i="23"/>
  <c r="P143" i="23"/>
  <c r="Q143" i="23"/>
  <c r="O144" i="23"/>
  <c r="P144" i="23"/>
  <c r="Q144" i="23"/>
  <c r="O145" i="23"/>
  <c r="P145" i="23"/>
  <c r="Q145" i="23"/>
  <c r="O146" i="23"/>
  <c r="P146" i="23"/>
  <c r="Q146" i="23"/>
  <c r="N142" i="23"/>
  <c r="N143" i="23"/>
  <c r="N144" i="23"/>
  <c r="N145" i="23"/>
  <c r="N146" i="23"/>
  <c r="N141" i="23"/>
  <c r="D141" i="23"/>
  <c r="E141" i="23"/>
  <c r="F141" i="23"/>
  <c r="G141" i="23"/>
  <c r="H141" i="23"/>
  <c r="I141" i="23"/>
  <c r="J141" i="23"/>
  <c r="K141" i="23"/>
  <c r="L141" i="23"/>
  <c r="M141" i="23"/>
  <c r="D142" i="23"/>
  <c r="E142" i="23"/>
  <c r="F142" i="23"/>
  <c r="G142" i="23"/>
  <c r="H142" i="23"/>
  <c r="I142" i="23"/>
  <c r="J142" i="23"/>
  <c r="K142" i="23"/>
  <c r="L142" i="23"/>
  <c r="M142" i="23"/>
  <c r="D143" i="23"/>
  <c r="E143" i="23"/>
  <c r="F143" i="23"/>
  <c r="G143" i="23"/>
  <c r="H143" i="23"/>
  <c r="I143" i="23"/>
  <c r="J143" i="23"/>
  <c r="K143" i="23"/>
  <c r="L143" i="23"/>
  <c r="M143" i="23"/>
  <c r="D144" i="23"/>
  <c r="E144" i="23"/>
  <c r="F144" i="23"/>
  <c r="G144" i="23"/>
  <c r="H144" i="23"/>
  <c r="I144" i="23"/>
  <c r="J144" i="23"/>
  <c r="K144" i="23"/>
  <c r="L144" i="23"/>
  <c r="M144" i="23"/>
  <c r="D145" i="23"/>
  <c r="E145" i="23"/>
  <c r="F145" i="23"/>
  <c r="G145" i="23"/>
  <c r="H145" i="23"/>
  <c r="I145" i="23"/>
  <c r="J145" i="23"/>
  <c r="K145" i="23"/>
  <c r="L145" i="23"/>
  <c r="M145" i="23"/>
  <c r="D146" i="23"/>
  <c r="E146" i="23"/>
  <c r="F146" i="23"/>
  <c r="G146" i="23"/>
  <c r="H146" i="23"/>
  <c r="I146" i="23"/>
  <c r="J146" i="23"/>
  <c r="K146" i="23"/>
  <c r="L146" i="23"/>
  <c r="M146" i="23"/>
  <c r="C142" i="23"/>
  <c r="C143" i="23"/>
  <c r="C144" i="23"/>
  <c r="C145" i="23"/>
  <c r="C146" i="23"/>
  <c r="C141" i="23"/>
  <c r="O135" i="23"/>
  <c r="P135" i="23"/>
  <c r="Q135" i="23"/>
  <c r="O136" i="23"/>
  <c r="P136" i="23"/>
  <c r="Q136" i="23"/>
  <c r="O137" i="23"/>
  <c r="P137" i="23"/>
  <c r="Q137" i="23"/>
  <c r="O138" i="23"/>
  <c r="P138" i="23"/>
  <c r="Q138" i="23"/>
  <c r="O139" i="23"/>
  <c r="P139" i="23"/>
  <c r="Q139" i="23"/>
  <c r="O140" i="23"/>
  <c r="P140" i="23"/>
  <c r="Q140" i="23"/>
  <c r="N136" i="23"/>
  <c r="N137" i="23"/>
  <c r="N138" i="23"/>
  <c r="N139" i="23"/>
  <c r="N140" i="23"/>
  <c r="N135" i="23"/>
  <c r="E135" i="23"/>
  <c r="F135" i="23"/>
  <c r="G135" i="23"/>
  <c r="H135" i="23"/>
  <c r="I135" i="23"/>
  <c r="J135" i="23"/>
  <c r="K135" i="23"/>
  <c r="L135" i="23"/>
  <c r="M135" i="23"/>
  <c r="E136" i="23"/>
  <c r="F136" i="23"/>
  <c r="G136" i="23"/>
  <c r="H136" i="23"/>
  <c r="I136" i="23"/>
  <c r="J136" i="23"/>
  <c r="K136" i="23"/>
  <c r="L136" i="23"/>
  <c r="M136" i="23"/>
  <c r="E137" i="23"/>
  <c r="F137" i="23"/>
  <c r="G137" i="23"/>
  <c r="H137" i="23"/>
  <c r="I137" i="23"/>
  <c r="J137" i="23"/>
  <c r="K137" i="23"/>
  <c r="L137" i="23"/>
  <c r="M137" i="23"/>
  <c r="E138" i="23"/>
  <c r="F138" i="23"/>
  <c r="G138" i="23"/>
  <c r="H138" i="23"/>
  <c r="I138" i="23"/>
  <c r="J138" i="23"/>
  <c r="K138" i="23"/>
  <c r="L138" i="23"/>
  <c r="M138" i="23"/>
  <c r="E139" i="23"/>
  <c r="F139" i="23"/>
  <c r="G139" i="23"/>
  <c r="H139" i="23"/>
  <c r="I139" i="23"/>
  <c r="J139" i="23"/>
  <c r="K139" i="23"/>
  <c r="L139" i="23"/>
  <c r="M139" i="23"/>
  <c r="E140" i="23"/>
  <c r="F140" i="23"/>
  <c r="G140" i="23"/>
  <c r="H140" i="23"/>
  <c r="I140" i="23"/>
  <c r="J140" i="23"/>
  <c r="K140" i="23"/>
  <c r="L140" i="23"/>
  <c r="M140" i="23"/>
  <c r="C136" i="23"/>
  <c r="C137" i="23"/>
  <c r="C138" i="23"/>
  <c r="C139" i="23"/>
  <c r="C140" i="23"/>
  <c r="C135" i="23"/>
  <c r="O129" i="23"/>
  <c r="P129" i="23"/>
  <c r="Q129" i="23"/>
  <c r="O130" i="23"/>
  <c r="P130" i="23"/>
  <c r="Q130" i="23"/>
  <c r="O131" i="23"/>
  <c r="P131" i="23"/>
  <c r="Q131" i="23"/>
  <c r="O132" i="23"/>
  <c r="P132" i="23"/>
  <c r="Q132" i="23"/>
  <c r="O133" i="23"/>
  <c r="P133" i="23"/>
  <c r="Q133" i="23"/>
  <c r="O134" i="23"/>
  <c r="P134" i="23"/>
  <c r="Q134" i="23"/>
  <c r="Q307" i="18" l="1"/>
  <c r="Q304" i="18"/>
  <c r="Q308" i="18"/>
  <c r="AI302" i="18"/>
  <c r="Q305" i="18"/>
  <c r="Q306" i="18"/>
  <c r="Q303" i="18"/>
  <c r="R303" i="18"/>
  <c r="R304" i="18"/>
  <c r="R305" i="18"/>
  <c r="AJ302" i="18"/>
  <c r="R306" i="18"/>
  <c r="R308" i="18"/>
  <c r="R307" i="18"/>
  <c r="AK296" i="18"/>
  <c r="S301" i="18"/>
  <c r="S302" i="18"/>
  <c r="S299" i="18"/>
  <c r="S298" i="18"/>
  <c r="S300" i="18"/>
  <c r="S297" i="18"/>
  <c r="P301" i="18"/>
  <c r="P299" i="18"/>
  <c r="P298" i="18"/>
  <c r="P302" i="18"/>
  <c r="P300" i="18"/>
  <c r="P297" i="18"/>
  <c r="AH296" i="18"/>
  <c r="AD8" i="23"/>
  <c r="AF8" i="23"/>
  <c r="T291" i="23"/>
  <c r="U291" i="23"/>
  <c r="V291" i="23"/>
  <c r="W291" i="23"/>
  <c r="X291" i="23"/>
  <c r="Y291" i="23"/>
  <c r="Z291" i="23"/>
  <c r="AA291" i="23"/>
  <c r="AB291" i="23"/>
  <c r="AC291" i="23"/>
  <c r="AD291" i="23"/>
  <c r="AE291" i="23"/>
  <c r="T292" i="23"/>
  <c r="U292" i="23"/>
  <c r="V292" i="23"/>
  <c r="W292" i="23"/>
  <c r="X292" i="23"/>
  <c r="Y292" i="23"/>
  <c r="Z292" i="23"/>
  <c r="AA292" i="23"/>
  <c r="AB292" i="23"/>
  <c r="AC292" i="23"/>
  <c r="AD292" i="23"/>
  <c r="AE292" i="23"/>
  <c r="T293" i="23"/>
  <c r="U293" i="23"/>
  <c r="V293" i="23"/>
  <c r="W293" i="23"/>
  <c r="X293" i="23"/>
  <c r="Y293" i="23"/>
  <c r="Z293" i="23"/>
  <c r="AA293" i="23"/>
  <c r="AB293" i="23"/>
  <c r="AC293" i="23"/>
  <c r="AD293" i="23"/>
  <c r="AE293" i="23"/>
  <c r="T294" i="23"/>
  <c r="U294" i="23"/>
  <c r="V294" i="23"/>
  <c r="W294" i="23"/>
  <c r="X294" i="23"/>
  <c r="Y294" i="23"/>
  <c r="Z294" i="23"/>
  <c r="AA294" i="23"/>
  <c r="AB294" i="23"/>
  <c r="AC294" i="23"/>
  <c r="AD294" i="23"/>
  <c r="AE294" i="23"/>
  <c r="T295" i="23"/>
  <c r="U295" i="23"/>
  <c r="V295" i="23"/>
  <c r="W295" i="23"/>
  <c r="X295" i="23"/>
  <c r="Y295" i="23"/>
  <c r="Z295" i="23"/>
  <c r="AA295" i="23"/>
  <c r="AB295" i="23"/>
  <c r="AC295" i="23"/>
  <c r="AD295" i="23"/>
  <c r="AE295" i="23"/>
  <c r="T296" i="23"/>
  <c r="D296" i="23" s="1"/>
  <c r="U296" i="23"/>
  <c r="E296" i="23" s="1"/>
  <c r="V296" i="23"/>
  <c r="F296" i="23" s="1"/>
  <c r="W296" i="23"/>
  <c r="G296" i="23" s="1"/>
  <c r="X296" i="23"/>
  <c r="H296" i="23" s="1"/>
  <c r="Y296" i="23"/>
  <c r="I296" i="23" s="1"/>
  <c r="Z296" i="23"/>
  <c r="AA296" i="23"/>
  <c r="AB296" i="23"/>
  <c r="AC296" i="23"/>
  <c r="AD296" i="23"/>
  <c r="AE296" i="23"/>
  <c r="S292" i="23"/>
  <c r="S293" i="23"/>
  <c r="S294" i="23"/>
  <c r="S295" i="23"/>
  <c r="S296" i="23"/>
  <c r="C296" i="23" s="1"/>
  <c r="S291" i="23"/>
  <c r="AF213" i="23"/>
  <c r="AF4" i="23" s="1"/>
  <c r="AG213" i="23"/>
  <c r="AG4" i="23" s="1"/>
  <c r="AH213" i="23"/>
  <c r="AH4" i="23" s="1"/>
  <c r="AF214" i="23"/>
  <c r="AF5" i="23" s="1"/>
  <c r="AG214" i="23"/>
  <c r="AG5" i="23" s="1"/>
  <c r="AH214" i="23"/>
  <c r="AH5" i="23" s="1"/>
  <c r="AF215" i="23"/>
  <c r="AF6" i="23" s="1"/>
  <c r="AG215" i="23"/>
  <c r="AG6" i="23" s="1"/>
  <c r="AH215" i="23"/>
  <c r="AH6" i="23" s="1"/>
  <c r="AF216" i="23"/>
  <c r="AF7" i="23" s="1"/>
  <c r="AG216" i="23"/>
  <c r="AG7" i="23" s="1"/>
  <c r="AH216" i="23"/>
  <c r="AH7" i="23" s="1"/>
  <c r="AF217" i="23"/>
  <c r="AG217" i="23"/>
  <c r="AG8" i="23" s="1"/>
  <c r="AH217" i="23"/>
  <c r="AH8" i="23" s="1"/>
  <c r="AF218" i="23"/>
  <c r="AG218" i="23"/>
  <c r="AH218" i="23"/>
  <c r="T213" i="23"/>
  <c r="U213" i="23"/>
  <c r="V213" i="23"/>
  <c r="W213" i="23"/>
  <c r="X213" i="23"/>
  <c r="Y213" i="23"/>
  <c r="Z213" i="23"/>
  <c r="AA213" i="23"/>
  <c r="AB213" i="23"/>
  <c r="AC213" i="23"/>
  <c r="AD213" i="23"/>
  <c r="AE213" i="23"/>
  <c r="T214" i="23"/>
  <c r="T5" i="23" s="1"/>
  <c r="U214" i="23"/>
  <c r="V214" i="23"/>
  <c r="W214" i="23"/>
  <c r="X214" i="23"/>
  <c r="Y214" i="23"/>
  <c r="Z214" i="23"/>
  <c r="AA214" i="23"/>
  <c r="AB214" i="23"/>
  <c r="AC214" i="23"/>
  <c r="AD214" i="23"/>
  <c r="AE214" i="23"/>
  <c r="T215" i="23"/>
  <c r="U215" i="23"/>
  <c r="V215" i="23"/>
  <c r="W215" i="23"/>
  <c r="X215" i="23"/>
  <c r="Y215" i="23"/>
  <c r="Z215" i="23"/>
  <c r="AA215" i="23"/>
  <c r="AB215" i="23"/>
  <c r="AC215" i="23"/>
  <c r="AD215" i="23"/>
  <c r="AE215" i="23"/>
  <c r="T216" i="23"/>
  <c r="T7" i="23" s="1"/>
  <c r="U216" i="23"/>
  <c r="V216" i="23"/>
  <c r="W216" i="23"/>
  <c r="X216" i="23"/>
  <c r="Y216" i="23"/>
  <c r="Z216" i="23"/>
  <c r="AA216" i="23"/>
  <c r="AB216" i="23"/>
  <c r="AC216" i="23"/>
  <c r="AD216" i="23"/>
  <c r="AD7" i="23" s="1"/>
  <c r="AE216" i="23"/>
  <c r="T217" i="23"/>
  <c r="T8" i="23" s="1"/>
  <c r="U217" i="23"/>
  <c r="U8" i="23" s="1"/>
  <c r="V217" i="23"/>
  <c r="W217" i="23"/>
  <c r="X217" i="23"/>
  <c r="Y217" i="23"/>
  <c r="Z217" i="23"/>
  <c r="AA217" i="23"/>
  <c r="AB217" i="23"/>
  <c r="AC217" i="23"/>
  <c r="AD217" i="23"/>
  <c r="AE217" i="23"/>
  <c r="T218" i="23"/>
  <c r="U218" i="23"/>
  <c r="V218" i="23"/>
  <c r="W218" i="23"/>
  <c r="X218" i="23"/>
  <c r="Y218" i="23"/>
  <c r="Z218" i="23"/>
  <c r="AA218" i="23"/>
  <c r="AB218" i="23"/>
  <c r="AC218" i="23"/>
  <c r="AD218" i="23"/>
  <c r="AE218" i="23"/>
  <c r="S214" i="23"/>
  <c r="S215" i="23"/>
  <c r="S216" i="23"/>
  <c r="S217" i="23"/>
  <c r="S218" i="23"/>
  <c r="S213" i="23"/>
  <c r="U129" i="23"/>
  <c r="V129" i="23"/>
  <c r="W129" i="23"/>
  <c r="X129" i="23"/>
  <c r="Y129" i="23"/>
  <c r="Z129" i="23"/>
  <c r="AA129" i="23"/>
  <c r="AB129" i="23"/>
  <c r="AC129" i="23"/>
  <c r="AD129" i="23"/>
  <c r="AE129" i="23"/>
  <c r="U130" i="23"/>
  <c r="V130" i="23"/>
  <c r="W130" i="23"/>
  <c r="X130" i="23"/>
  <c r="Y130" i="23"/>
  <c r="Z130" i="23"/>
  <c r="Z5" i="23" s="1"/>
  <c r="AA130" i="23"/>
  <c r="AB130" i="23"/>
  <c r="AC130" i="23"/>
  <c r="AD130" i="23"/>
  <c r="AE130" i="23"/>
  <c r="U131" i="23"/>
  <c r="V131" i="23"/>
  <c r="W131" i="23"/>
  <c r="X131" i="23"/>
  <c r="Y131" i="23"/>
  <c r="Z131" i="23"/>
  <c r="AA131" i="23"/>
  <c r="AB131" i="23"/>
  <c r="AC131" i="23"/>
  <c r="AD131" i="23"/>
  <c r="AD6" i="23" s="1"/>
  <c r="AE131" i="23"/>
  <c r="U132" i="23"/>
  <c r="V132" i="23"/>
  <c r="W132" i="23"/>
  <c r="X132" i="23"/>
  <c r="Y132" i="23"/>
  <c r="Z132" i="23"/>
  <c r="Z7" i="23" s="1"/>
  <c r="AA132" i="23"/>
  <c r="AA7" i="23" s="1"/>
  <c r="AB132" i="23"/>
  <c r="AC132" i="23"/>
  <c r="AD132" i="23"/>
  <c r="AE132" i="23"/>
  <c r="V133" i="23"/>
  <c r="W133" i="23"/>
  <c r="W8" i="23" s="1"/>
  <c r="X133" i="23"/>
  <c r="Y133" i="23"/>
  <c r="Z133" i="23"/>
  <c r="Z8" i="23" s="1"/>
  <c r="AA133" i="23"/>
  <c r="AA8" i="23" s="1"/>
  <c r="AB133" i="23"/>
  <c r="AC133" i="23"/>
  <c r="AD133" i="23"/>
  <c r="AE133" i="23"/>
  <c r="AE8" i="23" s="1"/>
  <c r="U134" i="23"/>
  <c r="V134" i="23"/>
  <c r="W134" i="23"/>
  <c r="X134" i="23"/>
  <c r="Y134" i="23"/>
  <c r="Z134" i="23"/>
  <c r="AA134" i="23"/>
  <c r="AB134" i="23"/>
  <c r="AC134" i="23"/>
  <c r="AD134" i="23"/>
  <c r="AE134" i="23"/>
  <c r="S130" i="23"/>
  <c r="S131" i="23"/>
  <c r="S132" i="23"/>
  <c r="S133" i="23"/>
  <c r="S134" i="23"/>
  <c r="S129" i="23"/>
  <c r="Q300" i="18" l="1"/>
  <c r="Q301" i="18"/>
  <c r="Q299" i="18"/>
  <c r="Q302" i="18"/>
  <c r="Q297" i="18"/>
  <c r="AI296" i="18"/>
  <c r="Q298" i="18"/>
  <c r="AC7" i="23"/>
  <c r="AB7" i="23"/>
  <c r="AE5" i="23"/>
  <c r="Z6" i="23"/>
  <c r="AE7" i="23"/>
  <c r="AC8" i="23"/>
  <c r="AB5" i="23"/>
  <c r="AB8" i="23"/>
  <c r="M296" i="23"/>
  <c r="M292" i="23"/>
  <c r="M291" i="23"/>
  <c r="M293" i="23"/>
  <c r="M295" i="23"/>
  <c r="M294" i="23"/>
  <c r="AC6" i="23"/>
  <c r="L291" i="23"/>
  <c r="L293" i="23"/>
  <c r="L295" i="23"/>
  <c r="L292" i="23"/>
  <c r="L294" i="23"/>
  <c r="L296" i="23"/>
  <c r="AD5" i="23"/>
  <c r="J291" i="23"/>
  <c r="J293" i="23"/>
  <c r="J295" i="23"/>
  <c r="J292" i="23"/>
  <c r="J294" i="23"/>
  <c r="J296" i="23"/>
  <c r="K291" i="23"/>
  <c r="K293" i="23"/>
  <c r="K295" i="23"/>
  <c r="K292" i="23"/>
  <c r="K294" i="23"/>
  <c r="K296" i="23"/>
  <c r="AD9" i="23"/>
  <c r="AA5" i="23"/>
  <c r="N292" i="23"/>
  <c r="N293" i="23"/>
  <c r="N294" i="23"/>
  <c r="N291" i="23"/>
  <c r="N295" i="23"/>
  <c r="N296" i="23"/>
  <c r="Q7" i="23"/>
  <c r="N214" i="23"/>
  <c r="N216" i="23"/>
  <c r="N213" i="23"/>
  <c r="N215" i="23"/>
  <c r="N217" i="23"/>
  <c r="N218" i="23"/>
  <c r="AH9" i="23"/>
  <c r="Q9" i="23" s="1"/>
  <c r="Q215" i="23"/>
  <c r="Q213" i="23"/>
  <c r="Q218" i="23"/>
  <c r="Q216" i="23"/>
  <c r="Q214" i="23"/>
  <c r="Q217" i="23"/>
  <c r="AE6" i="23"/>
  <c r="AG9" i="23"/>
  <c r="P9" i="23" s="1"/>
  <c r="P218" i="23"/>
  <c r="P213" i="23"/>
  <c r="P216" i="23"/>
  <c r="P214" i="23"/>
  <c r="P217" i="23"/>
  <c r="P215" i="23"/>
  <c r="M216" i="23"/>
  <c r="M213" i="23"/>
  <c r="M215" i="23"/>
  <c r="M217" i="23"/>
  <c r="M218" i="23"/>
  <c r="M214" i="23"/>
  <c r="K213" i="23"/>
  <c r="K215" i="23"/>
  <c r="K217" i="23"/>
  <c r="K214" i="23"/>
  <c r="K216" i="23"/>
  <c r="K218" i="23"/>
  <c r="AA6" i="23"/>
  <c r="J213" i="23"/>
  <c r="J215" i="23"/>
  <c r="J217" i="23"/>
  <c r="J214" i="23"/>
  <c r="J218" i="23"/>
  <c r="J216" i="23"/>
  <c r="AF9" i="23"/>
  <c r="O9" i="23" s="1"/>
  <c r="O213" i="23"/>
  <c r="O216" i="23"/>
  <c r="O214" i="23"/>
  <c r="O217" i="23"/>
  <c r="O218" i="23"/>
  <c r="O215" i="23"/>
  <c r="L213" i="23"/>
  <c r="L217" i="23"/>
  <c r="L215" i="23"/>
  <c r="L214" i="23"/>
  <c r="L216" i="23"/>
  <c r="L218" i="23"/>
  <c r="AB6" i="23"/>
  <c r="AC5" i="23"/>
  <c r="R297" i="18"/>
  <c r="R302" i="18"/>
  <c r="R301" i="18"/>
  <c r="R299" i="18"/>
  <c r="R300" i="18"/>
  <c r="AJ296" i="18"/>
  <c r="R298" i="18"/>
  <c r="S295" i="18"/>
  <c r="S291" i="18"/>
  <c r="S296" i="18"/>
  <c r="S294" i="18"/>
  <c r="S293" i="18"/>
  <c r="S292" i="18"/>
  <c r="AK290" i="18"/>
  <c r="P291" i="18"/>
  <c r="P293" i="18"/>
  <c r="P294" i="18"/>
  <c r="P295" i="18"/>
  <c r="P292" i="18"/>
  <c r="P296" i="18"/>
  <c r="AH290" i="18"/>
  <c r="N129" i="23"/>
  <c r="F295" i="23"/>
  <c r="F293" i="23"/>
  <c r="F291" i="23"/>
  <c r="C291" i="23"/>
  <c r="G295" i="23"/>
  <c r="G293" i="23"/>
  <c r="G291" i="23"/>
  <c r="C294" i="23"/>
  <c r="C293" i="23"/>
  <c r="E295" i="23"/>
  <c r="E293" i="23"/>
  <c r="E291" i="23"/>
  <c r="C292" i="23"/>
  <c r="D295" i="23"/>
  <c r="D293" i="23"/>
  <c r="D291" i="23"/>
  <c r="C295" i="23"/>
  <c r="I294" i="23"/>
  <c r="I292" i="23"/>
  <c r="H294" i="23"/>
  <c r="H292" i="23"/>
  <c r="G294" i="23"/>
  <c r="G292" i="23"/>
  <c r="F294" i="23"/>
  <c r="F292" i="23"/>
  <c r="I295" i="23"/>
  <c r="E294" i="23"/>
  <c r="I293" i="23"/>
  <c r="E292" i="23"/>
  <c r="I291" i="23"/>
  <c r="H295" i="23"/>
  <c r="D294" i="23"/>
  <c r="H293" i="23"/>
  <c r="D292" i="23"/>
  <c r="H291" i="23"/>
  <c r="U5" i="23"/>
  <c r="Y6" i="23"/>
  <c r="U7" i="23"/>
  <c r="Y8" i="23"/>
  <c r="F215" i="23"/>
  <c r="F213" i="23"/>
  <c r="X8" i="23"/>
  <c r="V8" i="23"/>
  <c r="C216" i="23"/>
  <c r="C215" i="23"/>
  <c r="E215" i="23"/>
  <c r="E213" i="23"/>
  <c r="C214" i="23"/>
  <c r="D215" i="23"/>
  <c r="D213" i="23"/>
  <c r="X6" i="23"/>
  <c r="W6" i="23"/>
  <c r="S8" i="23"/>
  <c r="I217" i="23"/>
  <c r="I218" i="23"/>
  <c r="H216" i="23"/>
  <c r="G216" i="23"/>
  <c r="F217" i="23"/>
  <c r="F218" i="23"/>
  <c r="F214" i="23"/>
  <c r="C213" i="23"/>
  <c r="E218" i="23"/>
  <c r="E217" i="23"/>
  <c r="E216" i="23"/>
  <c r="I215" i="23"/>
  <c r="E214" i="23"/>
  <c r="I213" i="23"/>
  <c r="I216" i="23"/>
  <c r="I214" i="23"/>
  <c r="H217" i="23"/>
  <c r="H218" i="23"/>
  <c r="H214" i="23"/>
  <c r="G218" i="23"/>
  <c r="G217" i="23"/>
  <c r="G214" i="23"/>
  <c r="F216" i="23"/>
  <c r="C217" i="23"/>
  <c r="C218" i="23"/>
  <c r="D218" i="23"/>
  <c r="D217" i="23"/>
  <c r="D216" i="23"/>
  <c r="H215" i="23"/>
  <c r="D214" i="23"/>
  <c r="H213" i="23"/>
  <c r="G215" i="23"/>
  <c r="G213" i="23"/>
  <c r="V6" i="23"/>
  <c r="X7" i="23"/>
  <c r="T6" i="23"/>
  <c r="X5" i="23"/>
  <c r="S7" i="23"/>
  <c r="Y7" i="23"/>
  <c r="U6" i="23"/>
  <c r="Y5" i="23"/>
  <c r="S6" i="23"/>
  <c r="S5" i="23"/>
  <c r="W7" i="23"/>
  <c r="W5" i="23"/>
  <c r="V7" i="23"/>
  <c r="V5" i="23"/>
  <c r="F129" i="23"/>
  <c r="D129" i="23"/>
  <c r="C129" i="23"/>
  <c r="G129" i="23"/>
  <c r="E129" i="23"/>
  <c r="X9" i="23"/>
  <c r="H9" i="23" s="1"/>
  <c r="H130" i="23"/>
  <c r="H134" i="23"/>
  <c r="H131" i="23"/>
  <c r="H132" i="23"/>
  <c r="H133" i="23"/>
  <c r="AE9" i="23"/>
  <c r="N9" i="23" s="1"/>
  <c r="N134" i="23"/>
  <c r="N130" i="23"/>
  <c r="N131" i="23"/>
  <c r="N132" i="23"/>
  <c r="N133" i="23"/>
  <c r="W9" i="23"/>
  <c r="G9" i="23" s="1"/>
  <c r="G130" i="23"/>
  <c r="G134" i="23"/>
  <c r="G131" i="23"/>
  <c r="G133" i="23"/>
  <c r="G132" i="23"/>
  <c r="V9" i="23"/>
  <c r="F132" i="23"/>
  <c r="F131" i="23"/>
  <c r="F133" i="23"/>
  <c r="F130" i="23"/>
  <c r="F134" i="23"/>
  <c r="AA9" i="23"/>
  <c r="K9" i="23" s="1"/>
  <c r="K132" i="23"/>
  <c r="K129" i="23"/>
  <c r="K133" i="23"/>
  <c r="K130" i="23"/>
  <c r="K134" i="23"/>
  <c r="K131" i="23"/>
  <c r="AC9" i="23"/>
  <c r="M9" i="23" s="1"/>
  <c r="M131" i="23"/>
  <c r="M133" i="23"/>
  <c r="M132" i="23"/>
  <c r="M130" i="23"/>
  <c r="M134" i="23"/>
  <c r="M129" i="23"/>
  <c r="I129" i="23"/>
  <c r="Z9" i="23"/>
  <c r="J9" i="23" s="1"/>
  <c r="J129" i="23"/>
  <c r="J133" i="23"/>
  <c r="J130" i="23"/>
  <c r="J134" i="23"/>
  <c r="J131" i="23"/>
  <c r="J132" i="23"/>
  <c r="Y9" i="23"/>
  <c r="I9" i="23" s="1"/>
  <c r="I133" i="23"/>
  <c r="I131" i="23"/>
  <c r="I130" i="23"/>
  <c r="I134" i="23"/>
  <c r="I132" i="23"/>
  <c r="U9" i="23"/>
  <c r="E9" i="23" s="1"/>
  <c r="E131" i="23"/>
  <c r="E132" i="23"/>
  <c r="E130" i="23"/>
  <c r="E134" i="23"/>
  <c r="E133" i="23"/>
  <c r="AB9" i="23"/>
  <c r="L9" i="23" s="1"/>
  <c r="L129" i="23"/>
  <c r="L133" i="23"/>
  <c r="L132" i="23"/>
  <c r="L130" i="23"/>
  <c r="L134" i="23"/>
  <c r="L131" i="23"/>
  <c r="T9" i="23"/>
  <c r="D9" i="23" s="1"/>
  <c r="D132" i="23"/>
  <c r="D133" i="23"/>
  <c r="D130" i="23"/>
  <c r="D134" i="23"/>
  <c r="D131" i="23"/>
  <c r="H129" i="23"/>
  <c r="S9" i="23"/>
  <c r="C9" i="23" s="1"/>
  <c r="C131" i="23"/>
  <c r="C132" i="23"/>
  <c r="C133" i="23"/>
  <c r="C134" i="23"/>
  <c r="C130" i="23"/>
  <c r="AB4" i="23"/>
  <c r="AA4" i="23"/>
  <c r="Z4" i="23"/>
  <c r="AD4" i="23"/>
  <c r="AC4" i="23"/>
  <c r="Y4" i="23"/>
  <c r="X4" i="23"/>
  <c r="S4" i="23"/>
  <c r="AE4" i="23"/>
  <c r="N4" i="23" s="1"/>
  <c r="W4" i="23"/>
  <c r="V4" i="23"/>
  <c r="U4" i="23"/>
  <c r="T4" i="23"/>
  <c r="D14" i="23"/>
  <c r="D12" i="23"/>
  <c r="D11" i="23"/>
  <c r="D16" i="23"/>
  <c r="D13" i="23"/>
  <c r="D10" i="23"/>
  <c r="D15" i="23"/>
  <c r="N42" i="23"/>
  <c r="N38" i="23"/>
  <c r="N39" i="23"/>
  <c r="N44" i="23"/>
  <c r="N40" i="23"/>
  <c r="N43" i="23"/>
  <c r="N41" i="23"/>
  <c r="I85" i="23"/>
  <c r="I83" i="23"/>
  <c r="I81" i="23"/>
  <c r="I84" i="23"/>
  <c r="I86" i="23"/>
  <c r="I82" i="23"/>
  <c r="I80" i="23"/>
  <c r="Q19" i="23"/>
  <c r="Q22" i="23"/>
  <c r="Q23" i="23"/>
  <c r="Q18" i="23"/>
  <c r="Q21" i="23"/>
  <c r="Q20" i="23"/>
  <c r="Q17" i="23"/>
  <c r="O31" i="23"/>
  <c r="O32" i="23"/>
  <c r="O33" i="23"/>
  <c r="O37" i="23"/>
  <c r="O34" i="23"/>
  <c r="O36" i="23"/>
  <c r="O35" i="23"/>
  <c r="L80" i="23"/>
  <c r="L84" i="23"/>
  <c r="L85" i="23"/>
  <c r="L86" i="23"/>
  <c r="L83" i="23"/>
  <c r="L82" i="23"/>
  <c r="L81" i="23"/>
  <c r="P32" i="23"/>
  <c r="P33" i="23"/>
  <c r="P34" i="23"/>
  <c r="P36" i="23"/>
  <c r="P31" i="23"/>
  <c r="P37" i="23"/>
  <c r="P35" i="23"/>
  <c r="E47" i="23"/>
  <c r="E49" i="23"/>
  <c r="E50" i="23"/>
  <c r="E48" i="23"/>
  <c r="E46" i="23"/>
  <c r="E45" i="23"/>
  <c r="E51" i="23"/>
  <c r="F48" i="23"/>
  <c r="F47" i="23"/>
  <c r="F49" i="23"/>
  <c r="F45" i="23"/>
  <c r="F51" i="23"/>
  <c r="F46" i="23"/>
  <c r="F50" i="23"/>
  <c r="N67" i="23"/>
  <c r="N72" i="23"/>
  <c r="N69" i="23"/>
  <c r="N68" i="23"/>
  <c r="N66" i="23"/>
  <c r="N70" i="23"/>
  <c r="N71" i="23"/>
  <c r="O118" i="23"/>
  <c r="O119" i="23"/>
  <c r="O120" i="23"/>
  <c r="O117" i="23"/>
  <c r="O121" i="23"/>
  <c r="O115" i="23"/>
  <c r="O116" i="23"/>
  <c r="D54" i="23"/>
  <c r="D58" i="23"/>
  <c r="D55" i="23"/>
  <c r="D52" i="23"/>
  <c r="D57" i="23"/>
  <c r="D56" i="23"/>
  <c r="D53" i="23"/>
  <c r="C59" i="23"/>
  <c r="C61" i="23"/>
  <c r="C64" i="23"/>
  <c r="C60" i="23"/>
  <c r="C65" i="23"/>
  <c r="C63" i="23"/>
  <c r="C62" i="23"/>
  <c r="E15" i="23"/>
  <c r="E13" i="23"/>
  <c r="E14" i="23"/>
  <c r="E16" i="23"/>
  <c r="E11" i="23"/>
  <c r="E10" i="23"/>
  <c r="E12" i="23"/>
  <c r="N22" i="23"/>
  <c r="N19" i="23"/>
  <c r="N23" i="23"/>
  <c r="N20" i="23"/>
  <c r="N21" i="23"/>
  <c r="N18" i="23"/>
  <c r="N17" i="23"/>
  <c r="P24" i="23"/>
  <c r="P26" i="23"/>
  <c r="P27" i="23"/>
  <c r="P29" i="23"/>
  <c r="P25" i="23"/>
  <c r="P28" i="23"/>
  <c r="P30" i="23"/>
  <c r="E55" i="23"/>
  <c r="E52" i="23"/>
  <c r="E57" i="23"/>
  <c r="E56" i="23"/>
  <c r="E54" i="23"/>
  <c r="E53" i="23"/>
  <c r="E58" i="23"/>
  <c r="D60" i="23"/>
  <c r="D62" i="23"/>
  <c r="D59" i="23"/>
  <c r="D61" i="23"/>
  <c r="D65" i="23"/>
  <c r="D64" i="23"/>
  <c r="D63" i="23"/>
  <c r="L14" i="23"/>
  <c r="L12" i="23"/>
  <c r="L16" i="23"/>
  <c r="L11" i="23"/>
  <c r="L13" i="23"/>
  <c r="L10" i="23"/>
  <c r="L15" i="23"/>
  <c r="N31" i="23"/>
  <c r="N32" i="23"/>
  <c r="N37" i="23"/>
  <c r="N34" i="23"/>
  <c r="N36" i="23"/>
  <c r="N33" i="23"/>
  <c r="N35" i="23"/>
  <c r="M15" i="23"/>
  <c r="M12" i="23"/>
  <c r="M16" i="23"/>
  <c r="M11" i="23"/>
  <c r="M14" i="23"/>
  <c r="M13" i="23"/>
  <c r="M10" i="23"/>
  <c r="D20" i="23"/>
  <c r="D22" i="23"/>
  <c r="D19" i="23"/>
  <c r="D17" i="23"/>
  <c r="D21" i="23"/>
  <c r="D23" i="23"/>
  <c r="D18" i="23"/>
  <c r="C27" i="23"/>
  <c r="C28" i="23"/>
  <c r="C29" i="23"/>
  <c r="C24" i="23"/>
  <c r="C26" i="23"/>
  <c r="C25" i="23"/>
  <c r="C30" i="23"/>
  <c r="P50" i="23"/>
  <c r="P49" i="23"/>
  <c r="P51" i="23"/>
  <c r="P46" i="23"/>
  <c r="P48" i="23"/>
  <c r="P47" i="23"/>
  <c r="P45" i="23"/>
  <c r="G23" i="23"/>
  <c r="G17" i="23"/>
  <c r="G22" i="23"/>
  <c r="G18" i="23"/>
  <c r="G20" i="23"/>
  <c r="G21" i="23"/>
  <c r="G19" i="23"/>
  <c r="O25" i="23"/>
  <c r="O30" i="23"/>
  <c r="O29" i="23"/>
  <c r="O24" i="23"/>
  <c r="O27" i="23"/>
  <c r="O26" i="23"/>
  <c r="O28" i="23"/>
  <c r="C35" i="23"/>
  <c r="C36" i="23"/>
  <c r="C37" i="23"/>
  <c r="C32" i="23"/>
  <c r="C31" i="23"/>
  <c r="C34" i="23"/>
  <c r="C33" i="23"/>
  <c r="O41" i="23"/>
  <c r="O39" i="23"/>
  <c r="O44" i="23"/>
  <c r="O40" i="23"/>
  <c r="O43" i="23"/>
  <c r="O42" i="23"/>
  <c r="O38" i="23"/>
  <c r="P18" i="23"/>
  <c r="P21" i="23"/>
  <c r="P22" i="23"/>
  <c r="P23" i="23"/>
  <c r="P20" i="23"/>
  <c r="P19" i="23"/>
  <c r="P17" i="23"/>
  <c r="C13" i="23"/>
  <c r="C10" i="23"/>
  <c r="C12" i="23"/>
  <c r="C16" i="23"/>
  <c r="C11" i="23"/>
  <c r="C14" i="23"/>
  <c r="C15" i="23"/>
  <c r="E21" i="23"/>
  <c r="E23" i="23"/>
  <c r="E20" i="23"/>
  <c r="E22" i="23"/>
  <c r="E19" i="23"/>
  <c r="E18" i="23"/>
  <c r="E17" i="23"/>
  <c r="L28" i="23"/>
  <c r="L29" i="23"/>
  <c r="L30" i="23"/>
  <c r="L27" i="23"/>
  <c r="L26" i="23"/>
  <c r="L24" i="23"/>
  <c r="L25" i="23"/>
  <c r="D42" i="23"/>
  <c r="D38" i="23"/>
  <c r="D41" i="23"/>
  <c r="D40" i="23"/>
  <c r="D44" i="23"/>
  <c r="D43" i="23"/>
  <c r="D39" i="23"/>
  <c r="G49" i="23"/>
  <c r="G51" i="23"/>
  <c r="G46" i="23"/>
  <c r="G48" i="23"/>
  <c r="G47" i="23"/>
  <c r="G45" i="23"/>
  <c r="G50" i="23"/>
  <c r="D88" i="23"/>
  <c r="D91" i="23"/>
  <c r="D90" i="23"/>
  <c r="D87" i="23"/>
  <c r="D93" i="23"/>
  <c r="D92" i="23"/>
  <c r="D89" i="23"/>
  <c r="O14" i="23"/>
  <c r="O11" i="23"/>
  <c r="O13" i="23"/>
  <c r="O16" i="23"/>
  <c r="O10" i="23"/>
  <c r="O12" i="23"/>
  <c r="O15" i="23"/>
  <c r="I19" i="23"/>
  <c r="I20" i="23"/>
  <c r="I17" i="23"/>
  <c r="I18" i="23"/>
  <c r="I23" i="23"/>
  <c r="I22" i="23"/>
  <c r="I21" i="23"/>
  <c r="Q25" i="23"/>
  <c r="Q26" i="23"/>
  <c r="Q27" i="23"/>
  <c r="Q29" i="23"/>
  <c r="Q24" i="23"/>
  <c r="Q28" i="23"/>
  <c r="Q30" i="23"/>
  <c r="G31" i="23"/>
  <c r="G32" i="23"/>
  <c r="G33" i="23"/>
  <c r="G36" i="23"/>
  <c r="G35" i="23"/>
  <c r="G37" i="23"/>
  <c r="G34" i="23"/>
  <c r="F38" i="23"/>
  <c r="F44" i="23"/>
  <c r="F39" i="23"/>
  <c r="F40" i="23"/>
  <c r="F41" i="23"/>
  <c r="F42" i="23"/>
  <c r="F43" i="23"/>
  <c r="L88" i="23"/>
  <c r="L89" i="23"/>
  <c r="L87" i="23"/>
  <c r="L93" i="23"/>
  <c r="L90" i="23"/>
  <c r="L91" i="23"/>
  <c r="L92" i="23"/>
  <c r="P10" i="23"/>
  <c r="P11" i="23"/>
  <c r="P16" i="23"/>
  <c r="P13" i="23"/>
  <c r="P15" i="23"/>
  <c r="P12" i="23"/>
  <c r="P14" i="23"/>
  <c r="J18" i="23"/>
  <c r="J20" i="23"/>
  <c r="J17" i="23"/>
  <c r="J21" i="23"/>
  <c r="J19" i="23"/>
  <c r="J23" i="23"/>
  <c r="J22" i="23"/>
  <c r="H24" i="23"/>
  <c r="H26" i="23"/>
  <c r="H30" i="23"/>
  <c r="H25" i="23"/>
  <c r="H28" i="23"/>
  <c r="H27" i="23"/>
  <c r="H29" i="23"/>
  <c r="H32" i="23"/>
  <c r="H33" i="23"/>
  <c r="H34" i="23"/>
  <c r="H31" i="23"/>
  <c r="H37" i="23"/>
  <c r="H35" i="23"/>
  <c r="H36" i="23"/>
  <c r="G44" i="23"/>
  <c r="G39" i="23"/>
  <c r="G40" i="23"/>
  <c r="G41" i="23"/>
  <c r="G43" i="23"/>
  <c r="G38" i="23"/>
  <c r="G42" i="23"/>
  <c r="I51" i="23"/>
  <c r="I46" i="23"/>
  <c r="I48" i="23"/>
  <c r="I47" i="23"/>
  <c r="I45" i="23"/>
  <c r="I50" i="23"/>
  <c r="I49" i="23"/>
  <c r="M55" i="23"/>
  <c r="M57" i="23"/>
  <c r="M58" i="23"/>
  <c r="M52" i="23"/>
  <c r="M53" i="23"/>
  <c r="M56" i="23"/>
  <c r="M54" i="23"/>
  <c r="M61" i="23"/>
  <c r="M63" i="23"/>
  <c r="M64" i="23"/>
  <c r="M59" i="23"/>
  <c r="M65" i="23"/>
  <c r="M60" i="23"/>
  <c r="M62" i="23"/>
  <c r="O75" i="23"/>
  <c r="O79" i="23"/>
  <c r="O74" i="23"/>
  <c r="O76" i="23"/>
  <c r="O77" i="23"/>
  <c r="O73" i="23"/>
  <c r="O78" i="23"/>
  <c r="F98" i="23"/>
  <c r="F96" i="23"/>
  <c r="F97" i="23"/>
  <c r="F95" i="23"/>
  <c r="F94" i="23"/>
  <c r="F100" i="23"/>
  <c r="F99" i="23"/>
  <c r="I11" i="23"/>
  <c r="I13" i="23"/>
  <c r="I12" i="23"/>
  <c r="I15" i="23"/>
  <c r="I10" i="23"/>
  <c r="I16" i="23"/>
  <c r="I14" i="23"/>
  <c r="Q11" i="23"/>
  <c r="Q16" i="23"/>
  <c r="Q15" i="23"/>
  <c r="Q10" i="23"/>
  <c r="Q13" i="23"/>
  <c r="Q12" i="23"/>
  <c r="Q14" i="23"/>
  <c r="K19" i="23"/>
  <c r="K21" i="23"/>
  <c r="K20" i="23"/>
  <c r="K18" i="23"/>
  <c r="K17" i="23"/>
  <c r="K22" i="23"/>
  <c r="K23" i="23"/>
  <c r="I25" i="23"/>
  <c r="I27" i="23"/>
  <c r="I24" i="23"/>
  <c r="I28" i="23"/>
  <c r="I26" i="23"/>
  <c r="I30" i="23"/>
  <c r="I29" i="23"/>
  <c r="I33" i="23"/>
  <c r="I34" i="23"/>
  <c r="I35" i="23"/>
  <c r="I31" i="23"/>
  <c r="I37" i="23"/>
  <c r="I36" i="23"/>
  <c r="I32" i="23"/>
  <c r="L42" i="23"/>
  <c r="L38" i="23"/>
  <c r="L41" i="23"/>
  <c r="L44" i="23"/>
  <c r="L39" i="23"/>
  <c r="L43" i="23"/>
  <c r="L40" i="23"/>
  <c r="J70" i="23"/>
  <c r="J66" i="23"/>
  <c r="J68" i="23"/>
  <c r="J71" i="23"/>
  <c r="J69" i="23"/>
  <c r="J67" i="23"/>
  <c r="J72" i="23"/>
  <c r="P76" i="23"/>
  <c r="P74" i="23"/>
  <c r="P77" i="23"/>
  <c r="P75" i="23"/>
  <c r="P78" i="23"/>
  <c r="P73" i="23"/>
  <c r="P79" i="23"/>
  <c r="N90" i="23"/>
  <c r="N91" i="23"/>
  <c r="N92" i="23"/>
  <c r="N93" i="23"/>
  <c r="N88" i="23"/>
  <c r="N87" i="23"/>
  <c r="N89" i="23"/>
  <c r="H100" i="23"/>
  <c r="H98" i="23"/>
  <c r="H95" i="23"/>
  <c r="H96" i="23"/>
  <c r="H94" i="23"/>
  <c r="H99" i="23"/>
  <c r="H97" i="23"/>
  <c r="K59" i="23"/>
  <c r="K61" i="23"/>
  <c r="K65" i="23"/>
  <c r="K62" i="23"/>
  <c r="K64" i="23"/>
  <c r="K60" i="23"/>
  <c r="K63" i="23"/>
  <c r="C79" i="23"/>
  <c r="C75" i="23"/>
  <c r="C77" i="23"/>
  <c r="C74" i="23"/>
  <c r="C78" i="23"/>
  <c r="C73" i="23"/>
  <c r="C76" i="23"/>
  <c r="F16" i="23"/>
  <c r="F14" i="23"/>
  <c r="F11" i="23"/>
  <c r="F13" i="23"/>
  <c r="F10" i="23"/>
  <c r="F12" i="23"/>
  <c r="F15" i="23"/>
  <c r="D28" i="23"/>
  <c r="D29" i="23"/>
  <c r="D30" i="23"/>
  <c r="D27" i="23"/>
  <c r="D24" i="23"/>
  <c r="D25" i="23"/>
  <c r="D26" i="23"/>
  <c r="L60" i="23"/>
  <c r="L62" i="23"/>
  <c r="L64" i="23"/>
  <c r="L63" i="23"/>
  <c r="L65" i="23"/>
  <c r="L59" i="23"/>
  <c r="L61" i="23"/>
  <c r="H16" i="23"/>
  <c r="H12" i="23"/>
  <c r="H13" i="23"/>
  <c r="H15" i="23"/>
  <c r="H10" i="23"/>
  <c r="H11" i="23"/>
  <c r="H14" i="23"/>
  <c r="J12" i="23"/>
  <c r="J15" i="23"/>
  <c r="J10" i="23"/>
  <c r="J14" i="23"/>
  <c r="J13" i="23"/>
  <c r="J16" i="23"/>
  <c r="J11" i="23"/>
  <c r="L20" i="23"/>
  <c r="L22" i="23"/>
  <c r="L18" i="23"/>
  <c r="L21" i="23"/>
  <c r="L17" i="23"/>
  <c r="L23" i="23"/>
  <c r="L19" i="23"/>
  <c r="J26" i="23"/>
  <c r="J27" i="23"/>
  <c r="J28" i="23"/>
  <c r="J25" i="23"/>
  <c r="J30" i="23"/>
  <c r="J29" i="23"/>
  <c r="J24" i="23"/>
  <c r="J34" i="23"/>
  <c r="J35" i="23"/>
  <c r="J36" i="23"/>
  <c r="J33" i="23"/>
  <c r="J37" i="23"/>
  <c r="J32" i="23"/>
  <c r="J31" i="23"/>
  <c r="M42" i="23"/>
  <c r="M38" i="23"/>
  <c r="M39" i="23"/>
  <c r="M44" i="23"/>
  <c r="M43" i="23"/>
  <c r="M41" i="23"/>
  <c r="M40" i="23"/>
  <c r="N48" i="23"/>
  <c r="N47" i="23"/>
  <c r="N49" i="23"/>
  <c r="N45" i="23"/>
  <c r="N51" i="23"/>
  <c r="N50" i="23"/>
  <c r="N46" i="23"/>
  <c r="N56" i="23"/>
  <c r="N58" i="23"/>
  <c r="N55" i="23"/>
  <c r="N52" i="23"/>
  <c r="N57" i="23"/>
  <c r="N53" i="23"/>
  <c r="N54" i="23"/>
  <c r="N62" i="23"/>
  <c r="N63" i="23"/>
  <c r="N64" i="23"/>
  <c r="N59" i="23"/>
  <c r="N60" i="23"/>
  <c r="N65" i="23"/>
  <c r="N61" i="23"/>
  <c r="K71" i="23"/>
  <c r="K68" i="23"/>
  <c r="K70" i="23"/>
  <c r="K69" i="23"/>
  <c r="K67" i="23"/>
  <c r="K72" i="23"/>
  <c r="K66" i="23"/>
  <c r="P92" i="23"/>
  <c r="P93" i="23"/>
  <c r="P88" i="23"/>
  <c r="P89" i="23"/>
  <c r="P90" i="23"/>
  <c r="P87" i="23"/>
  <c r="P91" i="23"/>
  <c r="J94" i="23"/>
  <c r="J100" i="23"/>
  <c r="J97" i="23"/>
  <c r="J96" i="23"/>
  <c r="J95" i="23"/>
  <c r="J99" i="23"/>
  <c r="J98" i="23"/>
  <c r="E42" i="23"/>
  <c r="E38" i="23"/>
  <c r="E44" i="23"/>
  <c r="E39" i="23"/>
  <c r="E41" i="23"/>
  <c r="E40" i="23"/>
  <c r="E43" i="23"/>
  <c r="F56" i="23"/>
  <c r="F52" i="23"/>
  <c r="F54" i="23"/>
  <c r="F53" i="23"/>
  <c r="F58" i="23"/>
  <c r="F57" i="23"/>
  <c r="F55" i="23"/>
  <c r="Q33" i="23"/>
  <c r="Q34" i="23"/>
  <c r="Q35" i="23"/>
  <c r="Q32" i="23"/>
  <c r="Q36" i="23"/>
  <c r="Q31" i="23"/>
  <c r="Q37" i="23"/>
  <c r="H50" i="23"/>
  <c r="H49" i="23"/>
  <c r="H51" i="23"/>
  <c r="H46" i="23"/>
  <c r="H47" i="23"/>
  <c r="H45" i="23"/>
  <c r="H48" i="23"/>
  <c r="L54" i="23"/>
  <c r="L56" i="23"/>
  <c r="L53" i="23"/>
  <c r="L57" i="23"/>
  <c r="L55" i="23"/>
  <c r="L58" i="23"/>
  <c r="L52" i="23"/>
  <c r="K13" i="23"/>
  <c r="K15" i="23"/>
  <c r="K10" i="23"/>
  <c r="K14" i="23"/>
  <c r="K12" i="23"/>
  <c r="K16" i="23"/>
  <c r="K11" i="23"/>
  <c r="C19" i="23"/>
  <c r="C21" i="23"/>
  <c r="C18" i="23"/>
  <c r="C17" i="23"/>
  <c r="C20" i="23"/>
  <c r="C23" i="23"/>
  <c r="C22" i="23"/>
  <c r="M21" i="23"/>
  <c r="M23" i="23"/>
  <c r="M18" i="23"/>
  <c r="M17" i="23"/>
  <c r="M19" i="23"/>
  <c r="M22" i="23"/>
  <c r="M20" i="23"/>
  <c r="K27" i="23"/>
  <c r="K28" i="23"/>
  <c r="K29" i="23"/>
  <c r="K26" i="23"/>
  <c r="K30" i="23"/>
  <c r="K25" i="23"/>
  <c r="K24" i="23"/>
  <c r="K35" i="23"/>
  <c r="K36" i="23"/>
  <c r="K37" i="23"/>
  <c r="K33" i="23"/>
  <c r="K32" i="23"/>
  <c r="K31" i="23"/>
  <c r="K34" i="23"/>
  <c r="O49" i="23"/>
  <c r="O47" i="23"/>
  <c r="O51" i="23"/>
  <c r="O50" i="23"/>
  <c r="O48" i="23"/>
  <c r="O46" i="23"/>
  <c r="O45" i="23"/>
  <c r="O57" i="23"/>
  <c r="O52" i="23"/>
  <c r="O54" i="23"/>
  <c r="O58" i="23"/>
  <c r="O55" i="23"/>
  <c r="O53" i="23"/>
  <c r="O56" i="23"/>
  <c r="L72" i="23"/>
  <c r="L70" i="23"/>
  <c r="L67" i="23"/>
  <c r="L69" i="23"/>
  <c r="L68" i="23"/>
  <c r="L71" i="23"/>
  <c r="L66" i="23"/>
  <c r="G11" i="23"/>
  <c r="G16" i="23"/>
  <c r="G15" i="23"/>
  <c r="G10" i="23"/>
  <c r="G13" i="23"/>
  <c r="G14" i="23"/>
  <c r="G12" i="23"/>
  <c r="N16" i="23"/>
  <c r="N14" i="23"/>
  <c r="N13" i="23"/>
  <c r="N11" i="23"/>
  <c r="N10" i="23"/>
  <c r="N12" i="23"/>
  <c r="N15" i="23"/>
  <c r="F22" i="23"/>
  <c r="F21" i="23"/>
  <c r="F23" i="23"/>
  <c r="F17" i="23"/>
  <c r="F20" i="23"/>
  <c r="F18" i="23"/>
  <c r="F19" i="23"/>
  <c r="E29" i="23"/>
  <c r="E30" i="23"/>
  <c r="E27" i="23"/>
  <c r="E26" i="23"/>
  <c r="E25" i="23"/>
  <c r="E24" i="23"/>
  <c r="E28" i="23"/>
  <c r="M29" i="23"/>
  <c r="M30" i="23"/>
  <c r="M28" i="23"/>
  <c r="M27" i="23"/>
  <c r="M24" i="23"/>
  <c r="M26" i="23"/>
  <c r="M25" i="23"/>
  <c r="D36" i="23"/>
  <c r="D37" i="23"/>
  <c r="D33" i="23"/>
  <c r="D34" i="23"/>
  <c r="D31" i="23"/>
  <c r="D35" i="23"/>
  <c r="D32" i="23"/>
  <c r="L36" i="23"/>
  <c r="L37" i="23"/>
  <c r="L35" i="23"/>
  <c r="L32" i="23"/>
  <c r="L34" i="23"/>
  <c r="L33" i="23"/>
  <c r="L31" i="23"/>
  <c r="H42" i="23"/>
  <c r="H40" i="23"/>
  <c r="H41" i="23"/>
  <c r="H43" i="23"/>
  <c r="H44" i="23"/>
  <c r="H38" i="23"/>
  <c r="H39" i="23"/>
  <c r="P42" i="23"/>
  <c r="P44" i="23"/>
  <c r="P40" i="23"/>
  <c r="P41" i="23"/>
  <c r="P39" i="23"/>
  <c r="P38" i="23"/>
  <c r="P43" i="23"/>
  <c r="K45" i="23"/>
  <c r="K48" i="23"/>
  <c r="K50" i="23"/>
  <c r="K46" i="23"/>
  <c r="K49" i="23"/>
  <c r="K51" i="23"/>
  <c r="K47" i="23"/>
  <c r="G57" i="23"/>
  <c r="G54" i="23"/>
  <c r="G52" i="23"/>
  <c r="G56" i="23"/>
  <c r="G55" i="23"/>
  <c r="G53" i="23"/>
  <c r="G58" i="23"/>
  <c r="Q57" i="23"/>
  <c r="Q54" i="23"/>
  <c r="Q58" i="23"/>
  <c r="Q56" i="23"/>
  <c r="Q53" i="23"/>
  <c r="Q55" i="23"/>
  <c r="Q52" i="23"/>
  <c r="E61" i="23"/>
  <c r="E63" i="23"/>
  <c r="E59" i="23"/>
  <c r="E60" i="23"/>
  <c r="E62" i="23"/>
  <c r="E64" i="23"/>
  <c r="E65" i="23"/>
  <c r="C71" i="23"/>
  <c r="C70" i="23"/>
  <c r="C72" i="23"/>
  <c r="C67" i="23"/>
  <c r="C66" i="23"/>
  <c r="C69" i="23"/>
  <c r="C68" i="23"/>
  <c r="E73" i="23"/>
  <c r="E74" i="23"/>
  <c r="E78" i="23"/>
  <c r="E79" i="23"/>
  <c r="E76" i="23"/>
  <c r="E75" i="23"/>
  <c r="E77" i="23"/>
  <c r="M81" i="23"/>
  <c r="M86" i="23"/>
  <c r="M82" i="23"/>
  <c r="M84" i="23"/>
  <c r="M80" i="23"/>
  <c r="M85" i="23"/>
  <c r="M83" i="23"/>
  <c r="K95" i="23"/>
  <c r="K97" i="23"/>
  <c r="K100" i="23"/>
  <c r="K98" i="23"/>
  <c r="K96" i="23"/>
  <c r="K99" i="23"/>
  <c r="K94" i="23"/>
  <c r="I104" i="23"/>
  <c r="I106" i="23"/>
  <c r="I103" i="23"/>
  <c r="I101" i="23"/>
  <c r="I105" i="23"/>
  <c r="I102" i="23"/>
  <c r="I107" i="23"/>
  <c r="F30" i="23"/>
  <c r="F24" i="23"/>
  <c r="F29" i="23"/>
  <c r="F26" i="23"/>
  <c r="F28" i="23"/>
  <c r="F25" i="23"/>
  <c r="F27" i="23"/>
  <c r="E37" i="23"/>
  <c r="E31" i="23"/>
  <c r="E34" i="23"/>
  <c r="E36" i="23"/>
  <c r="E33" i="23"/>
  <c r="E35" i="23"/>
  <c r="E32" i="23"/>
  <c r="M37" i="23"/>
  <c r="M31" i="23"/>
  <c r="M35" i="23"/>
  <c r="M32" i="23"/>
  <c r="M34" i="23"/>
  <c r="M36" i="23"/>
  <c r="M33" i="23"/>
  <c r="I43" i="23"/>
  <c r="I41" i="23"/>
  <c r="I38" i="23"/>
  <c r="I40" i="23"/>
  <c r="I44" i="23"/>
  <c r="I39" i="23"/>
  <c r="I42" i="23"/>
  <c r="Q43" i="23"/>
  <c r="Q41" i="23"/>
  <c r="Q39" i="23"/>
  <c r="Q38" i="23"/>
  <c r="Q42" i="23"/>
  <c r="Q44" i="23"/>
  <c r="Q40" i="23"/>
  <c r="C45" i="23"/>
  <c r="C50" i="23"/>
  <c r="C47" i="23"/>
  <c r="C51" i="23"/>
  <c r="C46" i="23"/>
  <c r="C49" i="23"/>
  <c r="C48" i="23"/>
  <c r="L46" i="23"/>
  <c r="L50" i="23"/>
  <c r="L45" i="23"/>
  <c r="L47" i="23"/>
  <c r="L51" i="23"/>
  <c r="L49" i="23"/>
  <c r="L48" i="23"/>
  <c r="H56" i="23"/>
  <c r="H58" i="23"/>
  <c r="H54" i="23"/>
  <c r="H55" i="23"/>
  <c r="H57" i="23"/>
  <c r="H53" i="23"/>
  <c r="H52" i="23"/>
  <c r="F62" i="23"/>
  <c r="F64" i="23"/>
  <c r="F60" i="23"/>
  <c r="F61" i="23"/>
  <c r="F65" i="23"/>
  <c r="F63" i="23"/>
  <c r="F59" i="23"/>
  <c r="D72" i="23"/>
  <c r="D70" i="23"/>
  <c r="D67" i="23"/>
  <c r="D66" i="23"/>
  <c r="D71" i="23"/>
  <c r="D68" i="23"/>
  <c r="D69" i="23"/>
  <c r="K79" i="23"/>
  <c r="K77" i="23"/>
  <c r="K76" i="23"/>
  <c r="K73" i="23"/>
  <c r="K78" i="23"/>
  <c r="K75" i="23"/>
  <c r="K74" i="23"/>
  <c r="N98" i="23"/>
  <c r="N96" i="23"/>
  <c r="N94" i="23"/>
  <c r="N97" i="23"/>
  <c r="N95" i="23"/>
  <c r="N100" i="23"/>
  <c r="N99" i="23"/>
  <c r="O104" i="23"/>
  <c r="O107" i="23"/>
  <c r="O106" i="23"/>
  <c r="O101" i="23"/>
  <c r="O102" i="23"/>
  <c r="O103" i="23"/>
  <c r="O105" i="23"/>
  <c r="G110" i="23"/>
  <c r="G111" i="23"/>
  <c r="G112" i="23"/>
  <c r="G109" i="23"/>
  <c r="G113" i="23"/>
  <c r="G114" i="23"/>
  <c r="G108" i="23"/>
  <c r="H18" i="23"/>
  <c r="H23" i="23"/>
  <c r="H19" i="23"/>
  <c r="H17" i="23"/>
  <c r="H21" i="23"/>
  <c r="H22" i="23"/>
  <c r="H20" i="23"/>
  <c r="O23" i="23"/>
  <c r="O17" i="23"/>
  <c r="O20" i="23"/>
  <c r="O21" i="23"/>
  <c r="O22" i="23"/>
  <c r="O18" i="23"/>
  <c r="O19" i="23"/>
  <c r="G25" i="23"/>
  <c r="G29" i="23"/>
  <c r="G24" i="23"/>
  <c r="G26" i="23"/>
  <c r="G28" i="23"/>
  <c r="G27" i="23"/>
  <c r="G30" i="23"/>
  <c r="N30" i="23"/>
  <c r="N24" i="23"/>
  <c r="N29" i="23"/>
  <c r="N25" i="23"/>
  <c r="N27" i="23"/>
  <c r="N26" i="23"/>
  <c r="N28" i="23"/>
  <c r="F31" i="23"/>
  <c r="F32" i="23"/>
  <c r="F36" i="23"/>
  <c r="F35" i="23"/>
  <c r="F33" i="23"/>
  <c r="F34" i="23"/>
  <c r="F37" i="23"/>
  <c r="J44" i="23"/>
  <c r="J43" i="23"/>
  <c r="J42" i="23"/>
  <c r="J40" i="23"/>
  <c r="J39" i="23"/>
  <c r="J38" i="23"/>
  <c r="J41" i="23"/>
  <c r="D46" i="23"/>
  <c r="D50" i="23"/>
  <c r="D45" i="23"/>
  <c r="D47" i="23"/>
  <c r="D49" i="23"/>
  <c r="D48" i="23"/>
  <c r="D51" i="23"/>
  <c r="M47" i="23"/>
  <c r="M50" i="23"/>
  <c r="M45" i="23"/>
  <c r="M48" i="23"/>
  <c r="M51" i="23"/>
  <c r="M49" i="23"/>
  <c r="M46" i="23"/>
  <c r="J58" i="23"/>
  <c r="J52" i="23"/>
  <c r="J53" i="23"/>
  <c r="J56" i="23"/>
  <c r="J57" i="23"/>
  <c r="J54" i="23"/>
  <c r="J55" i="23"/>
  <c r="G63" i="23"/>
  <c r="G64" i="23"/>
  <c r="G65" i="23"/>
  <c r="G61" i="23"/>
  <c r="G62" i="23"/>
  <c r="G60" i="23"/>
  <c r="G59" i="23"/>
  <c r="F72" i="23"/>
  <c r="F69" i="23"/>
  <c r="F71" i="23"/>
  <c r="F66" i="23"/>
  <c r="F70" i="23"/>
  <c r="F67" i="23"/>
  <c r="F68" i="23"/>
  <c r="M73" i="23"/>
  <c r="M77" i="23"/>
  <c r="M79" i="23"/>
  <c r="M75" i="23"/>
  <c r="M76" i="23"/>
  <c r="M74" i="23"/>
  <c r="M78" i="23"/>
  <c r="N82" i="23"/>
  <c r="N85" i="23"/>
  <c r="N81" i="23"/>
  <c r="N84" i="23"/>
  <c r="N80" i="23"/>
  <c r="N83" i="23"/>
  <c r="N86" i="23"/>
  <c r="C87" i="23"/>
  <c r="C89" i="23"/>
  <c r="C92" i="23"/>
  <c r="C90" i="23"/>
  <c r="C93" i="23"/>
  <c r="C91" i="23"/>
  <c r="C88" i="23"/>
  <c r="P103" i="23"/>
  <c r="P105" i="23"/>
  <c r="P107" i="23"/>
  <c r="P102" i="23"/>
  <c r="P101" i="23"/>
  <c r="P106" i="23"/>
  <c r="P104" i="23"/>
  <c r="H119" i="23"/>
  <c r="H120" i="23"/>
  <c r="H121" i="23"/>
  <c r="H118" i="23"/>
  <c r="H115" i="23"/>
  <c r="H116" i="23"/>
  <c r="H117" i="23"/>
  <c r="C42" i="23"/>
  <c r="C43" i="23"/>
  <c r="C39" i="23"/>
  <c r="C38" i="23"/>
  <c r="C41" i="23"/>
  <c r="C44" i="23"/>
  <c r="C40" i="23"/>
  <c r="K43" i="23"/>
  <c r="K40" i="23"/>
  <c r="K44" i="23"/>
  <c r="K42" i="23"/>
  <c r="K39" i="23"/>
  <c r="K38" i="23"/>
  <c r="K41" i="23"/>
  <c r="J51" i="23"/>
  <c r="J48" i="23"/>
  <c r="J45" i="23"/>
  <c r="J46" i="23"/>
  <c r="J50" i="23"/>
  <c r="J47" i="23"/>
  <c r="J49" i="23"/>
  <c r="Q51" i="23"/>
  <c r="Q49" i="23"/>
  <c r="Q46" i="23"/>
  <c r="Q47" i="23"/>
  <c r="Q45" i="23"/>
  <c r="Q50" i="23"/>
  <c r="Q48" i="23"/>
  <c r="I57" i="23"/>
  <c r="I53" i="23"/>
  <c r="I56" i="23"/>
  <c r="I55" i="23"/>
  <c r="I54" i="23"/>
  <c r="I58" i="23"/>
  <c r="I52" i="23"/>
  <c r="P56" i="23"/>
  <c r="P58" i="23"/>
  <c r="P54" i="23"/>
  <c r="P52" i="23"/>
  <c r="P55" i="23"/>
  <c r="P53" i="23"/>
  <c r="P57" i="23"/>
  <c r="H64" i="23"/>
  <c r="H65" i="23"/>
  <c r="H62" i="23"/>
  <c r="H63" i="23"/>
  <c r="H61" i="23"/>
  <c r="H59" i="23"/>
  <c r="H60" i="23"/>
  <c r="O63" i="23"/>
  <c r="O64" i="23"/>
  <c r="O65" i="23"/>
  <c r="O59" i="23"/>
  <c r="O60" i="23"/>
  <c r="O61" i="23"/>
  <c r="O62" i="23"/>
  <c r="G67" i="23"/>
  <c r="G69" i="23"/>
  <c r="G71" i="23"/>
  <c r="G72" i="23"/>
  <c r="G70" i="23"/>
  <c r="G68" i="23"/>
  <c r="G66" i="23"/>
  <c r="O67" i="23"/>
  <c r="O72" i="23"/>
  <c r="O69" i="23"/>
  <c r="O66" i="23"/>
  <c r="O70" i="23"/>
  <c r="O71" i="23"/>
  <c r="O68" i="23"/>
  <c r="G75" i="23"/>
  <c r="G76" i="23"/>
  <c r="G74" i="23"/>
  <c r="G79" i="23"/>
  <c r="G73" i="23"/>
  <c r="G78" i="23"/>
  <c r="G77" i="23"/>
  <c r="D80" i="23"/>
  <c r="D86" i="23"/>
  <c r="D85" i="23"/>
  <c r="D82" i="23"/>
  <c r="D81" i="23"/>
  <c r="D84" i="23"/>
  <c r="D83" i="23"/>
  <c r="Q85" i="23"/>
  <c r="Q81" i="23"/>
  <c r="Q80" i="23"/>
  <c r="Q84" i="23"/>
  <c r="Q82" i="23"/>
  <c r="Q83" i="23"/>
  <c r="Q86" i="23"/>
  <c r="F90" i="23"/>
  <c r="F93" i="23"/>
  <c r="F88" i="23"/>
  <c r="F89" i="23"/>
  <c r="F92" i="23"/>
  <c r="F91" i="23"/>
  <c r="F87" i="23"/>
  <c r="Q98" i="23"/>
  <c r="Q95" i="23"/>
  <c r="Q99" i="23"/>
  <c r="Q97" i="23"/>
  <c r="Q100" i="23"/>
  <c r="Q96" i="23"/>
  <c r="Q94" i="23"/>
  <c r="I65" i="23"/>
  <c r="I59" i="23"/>
  <c r="I63" i="23"/>
  <c r="I61" i="23"/>
  <c r="I62" i="23"/>
  <c r="I60" i="23"/>
  <c r="I64" i="23"/>
  <c r="P64" i="23"/>
  <c r="P65" i="23"/>
  <c r="P60" i="23"/>
  <c r="P61" i="23"/>
  <c r="P62" i="23"/>
  <c r="P63" i="23"/>
  <c r="P59" i="23"/>
  <c r="H68" i="23"/>
  <c r="H71" i="23"/>
  <c r="H66" i="23"/>
  <c r="H72" i="23"/>
  <c r="H70" i="23"/>
  <c r="H67" i="23"/>
  <c r="H69" i="23"/>
  <c r="P68" i="23"/>
  <c r="P69" i="23"/>
  <c r="P71" i="23"/>
  <c r="P66" i="23"/>
  <c r="P67" i="23"/>
  <c r="P72" i="23"/>
  <c r="P70" i="23"/>
  <c r="H76" i="23"/>
  <c r="H74" i="23"/>
  <c r="H78" i="23"/>
  <c r="H77" i="23"/>
  <c r="H79" i="23"/>
  <c r="H73" i="23"/>
  <c r="H75" i="23"/>
  <c r="E81" i="23"/>
  <c r="E86" i="23"/>
  <c r="E82" i="23"/>
  <c r="E80" i="23"/>
  <c r="E84" i="23"/>
  <c r="E83" i="23"/>
  <c r="E85" i="23"/>
  <c r="G91" i="23"/>
  <c r="G93" i="23"/>
  <c r="G90" i="23"/>
  <c r="G89" i="23"/>
  <c r="G92" i="23"/>
  <c r="G88" i="23"/>
  <c r="G87" i="23"/>
  <c r="C53" i="23"/>
  <c r="C57" i="23"/>
  <c r="C58" i="23"/>
  <c r="C55" i="23"/>
  <c r="C56" i="23"/>
  <c r="C54" i="23"/>
  <c r="C52" i="23"/>
  <c r="K53" i="23"/>
  <c r="K56" i="23"/>
  <c r="K57" i="23"/>
  <c r="K55" i="23"/>
  <c r="K54" i="23"/>
  <c r="K58" i="23"/>
  <c r="K52" i="23"/>
  <c r="J60" i="23"/>
  <c r="J65" i="23"/>
  <c r="J62" i="23"/>
  <c r="J63" i="23"/>
  <c r="J59" i="23"/>
  <c r="J61" i="23"/>
  <c r="J64" i="23"/>
  <c r="Q65" i="23"/>
  <c r="Q59" i="23"/>
  <c r="Q64" i="23"/>
  <c r="Q61" i="23"/>
  <c r="Q62" i="23"/>
  <c r="Q60" i="23"/>
  <c r="Q63" i="23"/>
  <c r="I69" i="23"/>
  <c r="I71" i="23"/>
  <c r="I66" i="23"/>
  <c r="I68" i="23"/>
  <c r="I70" i="23"/>
  <c r="I67" i="23"/>
  <c r="I72" i="23"/>
  <c r="Q69" i="23"/>
  <c r="Q71" i="23"/>
  <c r="Q66" i="23"/>
  <c r="Q67" i="23"/>
  <c r="Q70" i="23"/>
  <c r="Q72" i="23"/>
  <c r="Q68" i="23"/>
  <c r="J78" i="23"/>
  <c r="J79" i="23"/>
  <c r="J77" i="23"/>
  <c r="J76" i="23"/>
  <c r="J73" i="23"/>
  <c r="J74" i="23"/>
  <c r="J75" i="23"/>
  <c r="H84" i="23"/>
  <c r="H81" i="23"/>
  <c r="H80" i="23"/>
  <c r="H86" i="23"/>
  <c r="H85" i="23"/>
  <c r="H83" i="23"/>
  <c r="H82" i="23"/>
  <c r="H92" i="23"/>
  <c r="H90" i="23"/>
  <c r="H93" i="23"/>
  <c r="H89" i="23"/>
  <c r="H91" i="23"/>
  <c r="H88" i="23"/>
  <c r="H87" i="23"/>
  <c r="E97" i="23"/>
  <c r="E96" i="23"/>
  <c r="E99" i="23"/>
  <c r="E100" i="23"/>
  <c r="E98" i="23"/>
  <c r="E95" i="23"/>
  <c r="E94" i="23"/>
  <c r="F109" i="23"/>
  <c r="F110" i="23"/>
  <c r="F111" i="23"/>
  <c r="F113" i="23"/>
  <c r="F112" i="23"/>
  <c r="F114" i="23"/>
  <c r="F108" i="23"/>
  <c r="G118" i="23"/>
  <c r="G119" i="23"/>
  <c r="G120" i="23"/>
  <c r="G116" i="23"/>
  <c r="G121" i="23"/>
  <c r="G117" i="23"/>
  <c r="G115" i="23"/>
  <c r="F125" i="23"/>
  <c r="F126" i="23"/>
  <c r="F127" i="23"/>
  <c r="F123" i="23"/>
  <c r="F128" i="23"/>
  <c r="F122" i="23"/>
  <c r="F124" i="23"/>
  <c r="F74" i="23"/>
  <c r="F79" i="23"/>
  <c r="F73" i="23"/>
  <c r="F75" i="23"/>
  <c r="F76" i="23"/>
  <c r="F77" i="23"/>
  <c r="F78" i="23"/>
  <c r="N74" i="23"/>
  <c r="N76" i="23"/>
  <c r="N75" i="23"/>
  <c r="N79" i="23"/>
  <c r="N78" i="23"/>
  <c r="N77" i="23"/>
  <c r="N73" i="23"/>
  <c r="F82" i="23"/>
  <c r="F84" i="23"/>
  <c r="F83" i="23"/>
  <c r="F80" i="23"/>
  <c r="F86" i="23"/>
  <c r="F85" i="23"/>
  <c r="F81" i="23"/>
  <c r="P84" i="23"/>
  <c r="P85" i="23"/>
  <c r="P83" i="23"/>
  <c r="P82" i="23"/>
  <c r="P80" i="23"/>
  <c r="P86" i="23"/>
  <c r="P81" i="23"/>
  <c r="M89" i="23"/>
  <c r="M91" i="23"/>
  <c r="M88" i="23"/>
  <c r="M93" i="23"/>
  <c r="M87" i="23"/>
  <c r="M92" i="23"/>
  <c r="M90" i="23"/>
  <c r="O99" i="23"/>
  <c r="O96" i="23"/>
  <c r="O98" i="23"/>
  <c r="O97" i="23"/>
  <c r="O100" i="23"/>
  <c r="O94" i="23"/>
  <c r="O95" i="23"/>
  <c r="Q104" i="23"/>
  <c r="Q106" i="23"/>
  <c r="Q101" i="23"/>
  <c r="Q102" i="23"/>
  <c r="Q103" i="23"/>
  <c r="Q105" i="23"/>
  <c r="Q107" i="23"/>
  <c r="E108" i="23"/>
  <c r="E109" i="23"/>
  <c r="E110" i="23"/>
  <c r="E114" i="23"/>
  <c r="E111" i="23"/>
  <c r="E113" i="23"/>
  <c r="E112" i="23"/>
  <c r="L115" i="23"/>
  <c r="L116" i="23"/>
  <c r="L117" i="23"/>
  <c r="L119" i="23"/>
  <c r="L120" i="23"/>
  <c r="L121" i="23"/>
  <c r="L118" i="23"/>
  <c r="I77" i="23"/>
  <c r="I78" i="23"/>
  <c r="I79" i="23"/>
  <c r="I76" i="23"/>
  <c r="I73" i="23"/>
  <c r="I74" i="23"/>
  <c r="I75" i="23"/>
  <c r="Q77" i="23"/>
  <c r="Q76" i="23"/>
  <c r="Q74" i="23"/>
  <c r="Q75" i="23"/>
  <c r="Q78" i="23"/>
  <c r="Q73" i="23"/>
  <c r="Q79" i="23"/>
  <c r="J86" i="23"/>
  <c r="J83" i="23"/>
  <c r="J82" i="23"/>
  <c r="J85" i="23"/>
  <c r="J81" i="23"/>
  <c r="J80" i="23"/>
  <c r="J84" i="23"/>
  <c r="E89" i="23"/>
  <c r="E91" i="23"/>
  <c r="E88" i="23"/>
  <c r="E87" i="23"/>
  <c r="E93" i="23"/>
  <c r="E92" i="23"/>
  <c r="E90" i="23"/>
  <c r="O91" i="23"/>
  <c r="O93" i="23"/>
  <c r="O88" i="23"/>
  <c r="O90" i="23"/>
  <c r="O87" i="23"/>
  <c r="O89" i="23"/>
  <c r="O92" i="23"/>
  <c r="G99" i="23"/>
  <c r="G98" i="23"/>
  <c r="G94" i="23"/>
  <c r="G95" i="23"/>
  <c r="G100" i="23"/>
  <c r="G96" i="23"/>
  <c r="G97" i="23"/>
  <c r="H111" i="23"/>
  <c r="H112" i="23"/>
  <c r="H113" i="23"/>
  <c r="H108" i="23"/>
  <c r="H114" i="23"/>
  <c r="H110" i="23"/>
  <c r="H109" i="23"/>
  <c r="E124" i="23"/>
  <c r="E125" i="23"/>
  <c r="E126" i="23"/>
  <c r="E128" i="23"/>
  <c r="E123" i="23"/>
  <c r="E122" i="23"/>
  <c r="E127" i="23"/>
  <c r="G83" i="23"/>
  <c r="G85" i="23"/>
  <c r="G86" i="23"/>
  <c r="G84" i="23"/>
  <c r="G82" i="23"/>
  <c r="G81" i="23"/>
  <c r="G80" i="23"/>
  <c r="O83" i="23"/>
  <c r="O86" i="23"/>
  <c r="O84" i="23"/>
  <c r="O82" i="23"/>
  <c r="O80" i="23"/>
  <c r="O85" i="23"/>
  <c r="O81" i="23"/>
  <c r="I93" i="23"/>
  <c r="I90" i="23"/>
  <c r="I87" i="23"/>
  <c r="I91" i="23"/>
  <c r="I89" i="23"/>
  <c r="I92" i="23"/>
  <c r="I88" i="23"/>
  <c r="C95" i="23"/>
  <c r="C99" i="23"/>
  <c r="C94" i="23"/>
  <c r="C100" i="23"/>
  <c r="C97" i="23"/>
  <c r="C98" i="23"/>
  <c r="C96" i="23"/>
  <c r="L96" i="23"/>
  <c r="L99" i="23"/>
  <c r="L94" i="23"/>
  <c r="L95" i="23"/>
  <c r="L97" i="23"/>
  <c r="L98" i="23"/>
  <c r="L100" i="23"/>
  <c r="F103" i="23"/>
  <c r="F104" i="23"/>
  <c r="F107" i="23"/>
  <c r="F102" i="23"/>
  <c r="F101" i="23"/>
  <c r="F105" i="23"/>
  <c r="F106" i="23"/>
  <c r="I112" i="23"/>
  <c r="I113" i="23"/>
  <c r="I114" i="23"/>
  <c r="I111" i="23"/>
  <c r="I108" i="23"/>
  <c r="I110" i="23"/>
  <c r="I109" i="23"/>
  <c r="G126" i="23"/>
  <c r="G127" i="23"/>
  <c r="G128" i="23"/>
  <c r="G123" i="23"/>
  <c r="G125" i="23"/>
  <c r="G122" i="23"/>
  <c r="G124" i="23"/>
  <c r="K87" i="23"/>
  <c r="K92" i="23"/>
  <c r="K89" i="23"/>
  <c r="K90" i="23"/>
  <c r="K88" i="23"/>
  <c r="K91" i="23"/>
  <c r="K93" i="23"/>
  <c r="D96" i="23"/>
  <c r="D99" i="23"/>
  <c r="D94" i="23"/>
  <c r="D95" i="23"/>
  <c r="D100" i="23"/>
  <c r="D97" i="23"/>
  <c r="D98" i="23"/>
  <c r="M97" i="23"/>
  <c r="M99" i="23"/>
  <c r="M94" i="23"/>
  <c r="M96" i="23"/>
  <c r="M98" i="23"/>
  <c r="M95" i="23"/>
  <c r="M100" i="23"/>
  <c r="G104" i="23"/>
  <c r="G103" i="23"/>
  <c r="G105" i="23"/>
  <c r="G101" i="23"/>
  <c r="G102" i="23"/>
  <c r="G107" i="23"/>
  <c r="G106" i="23"/>
  <c r="O110" i="23"/>
  <c r="O111" i="23"/>
  <c r="O112" i="23"/>
  <c r="O114" i="23"/>
  <c r="O108" i="23"/>
  <c r="O113" i="23"/>
  <c r="O109" i="23"/>
  <c r="E116" i="23"/>
  <c r="E117" i="23"/>
  <c r="E118" i="23"/>
  <c r="E121" i="23"/>
  <c r="E120" i="23"/>
  <c r="E119" i="23"/>
  <c r="E115" i="23"/>
  <c r="K122" i="23"/>
  <c r="K123" i="23"/>
  <c r="K124" i="23"/>
  <c r="K127" i="23"/>
  <c r="K125" i="23"/>
  <c r="K128" i="23"/>
  <c r="K126" i="23"/>
  <c r="H103" i="23"/>
  <c r="H105" i="23"/>
  <c r="H104" i="23"/>
  <c r="H106" i="23"/>
  <c r="H102" i="23"/>
  <c r="H101" i="23"/>
  <c r="H107" i="23"/>
  <c r="P111" i="23"/>
  <c r="P112" i="23"/>
  <c r="P113" i="23"/>
  <c r="P114" i="23"/>
  <c r="P109" i="23"/>
  <c r="P110" i="23"/>
  <c r="P108" i="23"/>
  <c r="F117" i="23"/>
  <c r="F118" i="23"/>
  <c r="F119" i="23"/>
  <c r="F116" i="23"/>
  <c r="F120" i="23"/>
  <c r="F121" i="23"/>
  <c r="F115" i="23"/>
  <c r="L123" i="23"/>
  <c r="L124" i="23"/>
  <c r="L125" i="23"/>
  <c r="L122" i="23"/>
  <c r="L126" i="23"/>
  <c r="L128" i="23"/>
  <c r="L127" i="23"/>
  <c r="J105" i="23"/>
  <c r="J107" i="23"/>
  <c r="J104" i="23"/>
  <c r="J102" i="23"/>
  <c r="J106" i="23"/>
  <c r="J101" i="23"/>
  <c r="J103" i="23"/>
  <c r="M108" i="23"/>
  <c r="M109" i="23"/>
  <c r="M110" i="23"/>
  <c r="M112" i="23"/>
  <c r="M113" i="23"/>
  <c r="M114" i="23"/>
  <c r="M111" i="23"/>
  <c r="M116" i="23"/>
  <c r="M117" i="23"/>
  <c r="M118" i="23"/>
  <c r="M115" i="23"/>
  <c r="M119" i="23"/>
  <c r="M121" i="23"/>
  <c r="M120" i="23"/>
  <c r="M124" i="23"/>
  <c r="M125" i="23"/>
  <c r="M126" i="23"/>
  <c r="M122" i="23"/>
  <c r="M127" i="23"/>
  <c r="M128" i="23"/>
  <c r="M123" i="23"/>
  <c r="C122" i="23"/>
  <c r="C123" i="23"/>
  <c r="C124" i="23"/>
  <c r="C126" i="23"/>
  <c r="C128" i="23"/>
  <c r="C127" i="23"/>
  <c r="C125" i="23"/>
  <c r="E67" i="23"/>
  <c r="E72" i="23"/>
  <c r="E69" i="23"/>
  <c r="E66" i="23"/>
  <c r="E71" i="23"/>
  <c r="E68" i="23"/>
  <c r="E70" i="23"/>
  <c r="M70" i="23"/>
  <c r="M67" i="23"/>
  <c r="M72" i="23"/>
  <c r="M68" i="23"/>
  <c r="M71" i="23"/>
  <c r="M69" i="23"/>
  <c r="M66" i="23"/>
  <c r="D77" i="23"/>
  <c r="D75" i="23"/>
  <c r="D78" i="23"/>
  <c r="D73" i="23"/>
  <c r="D79" i="23"/>
  <c r="D74" i="23"/>
  <c r="D76" i="23"/>
  <c r="L79" i="23"/>
  <c r="L78" i="23"/>
  <c r="L75" i="23"/>
  <c r="L77" i="23"/>
  <c r="L76" i="23"/>
  <c r="L73" i="23"/>
  <c r="L74" i="23"/>
  <c r="C84" i="23"/>
  <c r="C82" i="23"/>
  <c r="C80" i="23"/>
  <c r="C81" i="23"/>
  <c r="C86" i="23"/>
  <c r="C85" i="23"/>
  <c r="C83" i="23"/>
  <c r="K80" i="23"/>
  <c r="K86" i="23"/>
  <c r="K85" i="23"/>
  <c r="K83" i="23"/>
  <c r="K81" i="23"/>
  <c r="K82" i="23"/>
  <c r="K84" i="23"/>
  <c r="J92" i="23"/>
  <c r="J93" i="23"/>
  <c r="J89" i="23"/>
  <c r="J88" i="23"/>
  <c r="J90" i="23"/>
  <c r="J91" i="23"/>
  <c r="J87" i="23"/>
  <c r="Q93" i="23"/>
  <c r="Q90" i="23"/>
  <c r="Q88" i="23"/>
  <c r="Q91" i="23"/>
  <c r="Q89" i="23"/>
  <c r="Q87" i="23"/>
  <c r="Q92" i="23"/>
  <c r="I95" i="23"/>
  <c r="I100" i="23"/>
  <c r="I94" i="23"/>
  <c r="I97" i="23"/>
  <c r="I96" i="23"/>
  <c r="I99" i="23"/>
  <c r="I98" i="23"/>
  <c r="P100" i="23"/>
  <c r="P98" i="23"/>
  <c r="P99" i="23"/>
  <c r="P94" i="23"/>
  <c r="P95" i="23"/>
  <c r="P97" i="23"/>
  <c r="P96" i="23"/>
  <c r="N103" i="23"/>
  <c r="N107" i="23"/>
  <c r="N106" i="23"/>
  <c r="N101" i="23"/>
  <c r="N102" i="23"/>
  <c r="N104" i="23"/>
  <c r="N105" i="23"/>
  <c r="N109" i="23"/>
  <c r="N110" i="23"/>
  <c r="N111" i="23"/>
  <c r="N112" i="23"/>
  <c r="N114" i="23"/>
  <c r="N108" i="23"/>
  <c r="N113" i="23"/>
  <c r="D115" i="23"/>
  <c r="D116" i="23"/>
  <c r="D117" i="23"/>
  <c r="D121" i="23"/>
  <c r="D118" i="23"/>
  <c r="D120" i="23"/>
  <c r="D119" i="23"/>
  <c r="N117" i="23"/>
  <c r="N118" i="23"/>
  <c r="N119" i="23"/>
  <c r="N121" i="23"/>
  <c r="N120" i="23"/>
  <c r="N116" i="23"/>
  <c r="N115" i="23"/>
  <c r="D123" i="23"/>
  <c r="D124" i="23"/>
  <c r="D125" i="23"/>
  <c r="D128" i="23"/>
  <c r="D126" i="23"/>
  <c r="D127" i="23"/>
  <c r="D122" i="23"/>
  <c r="N125" i="23"/>
  <c r="N126" i="23"/>
  <c r="N127" i="23"/>
  <c r="N124" i="23"/>
  <c r="N128" i="23"/>
  <c r="N123" i="23"/>
  <c r="N122" i="23"/>
  <c r="C106" i="23"/>
  <c r="C107" i="23"/>
  <c r="C103" i="23"/>
  <c r="C105" i="23"/>
  <c r="C101" i="23"/>
  <c r="C104" i="23"/>
  <c r="C102" i="23"/>
  <c r="K106" i="23"/>
  <c r="K107" i="23"/>
  <c r="K105" i="23"/>
  <c r="K104" i="23"/>
  <c r="K102" i="23"/>
  <c r="K101" i="23"/>
  <c r="K103" i="23"/>
  <c r="J113" i="23"/>
  <c r="J114" i="23"/>
  <c r="J108" i="23"/>
  <c r="J110" i="23"/>
  <c r="J112" i="23"/>
  <c r="J109" i="23"/>
  <c r="J111" i="23"/>
  <c r="Q112" i="23"/>
  <c r="Q113" i="23"/>
  <c r="Q114" i="23"/>
  <c r="Q109" i="23"/>
  <c r="Q111" i="23"/>
  <c r="Q108" i="23"/>
  <c r="Q110" i="23"/>
  <c r="I120" i="23"/>
  <c r="I121" i="23"/>
  <c r="I118" i="23"/>
  <c r="I115" i="23"/>
  <c r="I116" i="23"/>
  <c r="I117" i="23"/>
  <c r="I119" i="23"/>
  <c r="P119" i="23"/>
  <c r="P120" i="23"/>
  <c r="P121" i="23"/>
  <c r="P116" i="23"/>
  <c r="P115" i="23"/>
  <c r="P118" i="23"/>
  <c r="P117" i="23"/>
  <c r="H127" i="23"/>
  <c r="H128" i="23"/>
  <c r="H125" i="23"/>
  <c r="H122" i="23"/>
  <c r="H124" i="23"/>
  <c r="H126" i="23"/>
  <c r="H123" i="23"/>
  <c r="O126" i="23"/>
  <c r="O127" i="23"/>
  <c r="O128" i="23"/>
  <c r="O124" i="23"/>
  <c r="O123" i="23"/>
  <c r="O125" i="23"/>
  <c r="O122" i="23"/>
  <c r="D107" i="23"/>
  <c r="D103" i="23"/>
  <c r="D104" i="23"/>
  <c r="D102" i="23"/>
  <c r="D101" i="23"/>
  <c r="D106" i="23"/>
  <c r="D105" i="23"/>
  <c r="L107" i="23"/>
  <c r="L106" i="23"/>
  <c r="L105" i="23"/>
  <c r="L103" i="23"/>
  <c r="L102" i="23"/>
  <c r="L101" i="23"/>
  <c r="L104" i="23"/>
  <c r="C114" i="23"/>
  <c r="C108" i="23"/>
  <c r="C112" i="23"/>
  <c r="C109" i="23"/>
  <c r="C113" i="23"/>
  <c r="C110" i="23"/>
  <c r="C111" i="23"/>
  <c r="K114" i="23"/>
  <c r="K108" i="23"/>
  <c r="K113" i="23"/>
  <c r="K110" i="23"/>
  <c r="K112" i="23"/>
  <c r="K111" i="23"/>
  <c r="K109" i="23"/>
  <c r="J121" i="23"/>
  <c r="J115" i="23"/>
  <c r="J120" i="23"/>
  <c r="J117" i="23"/>
  <c r="J116" i="23"/>
  <c r="J118" i="23"/>
  <c r="J119" i="23"/>
  <c r="Q120" i="23"/>
  <c r="Q121" i="23"/>
  <c r="Q119" i="23"/>
  <c r="Q116" i="23"/>
  <c r="Q115" i="23"/>
  <c r="Q117" i="23"/>
  <c r="Q118" i="23"/>
  <c r="I128" i="23"/>
  <c r="I122" i="23"/>
  <c r="I125" i="23"/>
  <c r="I127" i="23"/>
  <c r="I126" i="23"/>
  <c r="I123" i="23"/>
  <c r="I124" i="23"/>
  <c r="P127" i="23"/>
  <c r="P128" i="23"/>
  <c r="P126" i="23"/>
  <c r="P123" i="23"/>
  <c r="P125" i="23"/>
  <c r="P124" i="23"/>
  <c r="P122" i="23"/>
  <c r="E107" i="23"/>
  <c r="E103" i="23"/>
  <c r="E104" i="23"/>
  <c r="E102" i="23"/>
  <c r="E101" i="23"/>
  <c r="E106" i="23"/>
  <c r="E105" i="23"/>
  <c r="M105" i="23"/>
  <c r="M106" i="23"/>
  <c r="M107" i="23"/>
  <c r="M104" i="23"/>
  <c r="M103" i="23"/>
  <c r="M101" i="23"/>
  <c r="M102" i="23"/>
  <c r="D108" i="23"/>
  <c r="D109" i="23"/>
  <c r="D114" i="23"/>
  <c r="D111" i="23"/>
  <c r="D110" i="23"/>
  <c r="D113" i="23"/>
  <c r="D112" i="23"/>
  <c r="L108" i="23"/>
  <c r="L109" i="23"/>
  <c r="L110" i="23"/>
  <c r="L112" i="23"/>
  <c r="L114" i="23"/>
  <c r="L111" i="23"/>
  <c r="L113" i="23"/>
  <c r="C115" i="23"/>
  <c r="C116" i="23"/>
  <c r="C119" i="23"/>
  <c r="C121" i="23"/>
  <c r="C118" i="23"/>
  <c r="C120" i="23"/>
  <c r="C117" i="23"/>
  <c r="K115" i="23"/>
  <c r="K116" i="23"/>
  <c r="K120" i="23"/>
  <c r="K117" i="23"/>
  <c r="K118" i="23"/>
  <c r="K121" i="23"/>
  <c r="K119" i="23"/>
  <c r="J122" i="23"/>
  <c r="J123" i="23"/>
  <c r="J127" i="23"/>
  <c r="J124" i="23"/>
  <c r="J128" i="23"/>
  <c r="J126" i="23"/>
  <c r="J125" i="23"/>
  <c r="Q128" i="23"/>
  <c r="Q122" i="23"/>
  <c r="Q126" i="23"/>
  <c r="Q123" i="23"/>
  <c r="Q125" i="23"/>
  <c r="Q127" i="23"/>
  <c r="Q124" i="23"/>
  <c r="O8" i="23" l="1"/>
  <c r="Q292" i="18"/>
  <c r="AI290" i="18"/>
  <c r="Q291" i="18"/>
  <c r="Q295" i="18"/>
  <c r="Q296" i="18"/>
  <c r="Q294" i="18"/>
  <c r="Q293" i="18"/>
  <c r="P5" i="23"/>
  <c r="P4" i="23"/>
  <c r="Q5" i="23"/>
  <c r="Q6" i="23"/>
  <c r="P8" i="23"/>
  <c r="N6" i="23"/>
  <c r="O6" i="23"/>
  <c r="O5" i="23"/>
  <c r="Q8" i="23"/>
  <c r="K4" i="23"/>
  <c r="K5" i="23"/>
  <c r="Q4" i="23"/>
  <c r="P6" i="23"/>
  <c r="O4" i="23"/>
  <c r="P7" i="23"/>
  <c r="O7" i="23"/>
  <c r="L7" i="23"/>
  <c r="K8" i="23"/>
  <c r="J5" i="23"/>
  <c r="R295" i="18"/>
  <c r="R296" i="18"/>
  <c r="R294" i="18"/>
  <c r="R292" i="18"/>
  <c r="AJ290" i="18"/>
  <c r="R293" i="18"/>
  <c r="R291" i="18"/>
  <c r="S285" i="18"/>
  <c r="AK284" i="18"/>
  <c r="S287" i="18"/>
  <c r="S290" i="18"/>
  <c r="S289" i="18"/>
  <c r="S288" i="18"/>
  <c r="S286" i="18"/>
  <c r="P287" i="18"/>
  <c r="P286" i="18"/>
  <c r="AH284" i="18"/>
  <c r="P290" i="18"/>
  <c r="P285" i="18"/>
  <c r="P289" i="18"/>
  <c r="P288" i="18"/>
  <c r="L8" i="23"/>
  <c r="J8" i="23"/>
  <c r="K6" i="23"/>
  <c r="F5" i="23"/>
  <c r="H4" i="23"/>
  <c r="H5" i="23"/>
  <c r="H7" i="23"/>
  <c r="D4" i="23"/>
  <c r="I5" i="23"/>
  <c r="I4" i="23"/>
  <c r="I6" i="23"/>
  <c r="D7" i="23"/>
  <c r="D6" i="23"/>
  <c r="D8" i="23"/>
  <c r="D5" i="23"/>
  <c r="M4" i="23"/>
  <c r="E7" i="23"/>
  <c r="G8" i="23"/>
  <c r="E4" i="23"/>
  <c r="E8" i="23"/>
  <c r="L5" i="23"/>
  <c r="F4" i="23"/>
  <c r="J4" i="23"/>
  <c r="M8" i="23"/>
  <c r="G5" i="23"/>
  <c r="K7" i="23"/>
  <c r="M6" i="23"/>
  <c r="H6" i="23"/>
  <c r="F9" i="23"/>
  <c r="F8" i="23"/>
  <c r="E6" i="23"/>
  <c r="G4" i="23"/>
  <c r="F7" i="23"/>
  <c r="L6" i="23"/>
  <c r="N5" i="23"/>
  <c r="N8" i="23"/>
  <c r="I7" i="23"/>
  <c r="H8" i="23"/>
  <c r="M7" i="23"/>
  <c r="L4" i="23"/>
  <c r="G7" i="23"/>
  <c r="F6" i="23"/>
  <c r="M5" i="23"/>
  <c r="G6" i="23"/>
  <c r="J6" i="23"/>
  <c r="N7" i="23"/>
  <c r="E5" i="23"/>
  <c r="J7" i="23"/>
  <c r="I8" i="23"/>
  <c r="C8" i="23"/>
  <c r="C7" i="23"/>
  <c r="C4" i="23"/>
  <c r="C6" i="23"/>
  <c r="C5" i="23"/>
  <c r="T13" i="21"/>
  <c r="S13" i="21"/>
  <c r="R13" i="21"/>
  <c r="Q13" i="21"/>
  <c r="P13" i="21"/>
  <c r="O13" i="21"/>
  <c r="N13" i="21"/>
  <c r="M13" i="21"/>
  <c r="L13" i="21"/>
  <c r="K13" i="21"/>
  <c r="J13" i="21"/>
  <c r="H13" i="21"/>
  <c r="G13" i="21"/>
  <c r="F13" i="21"/>
  <c r="E13" i="21"/>
  <c r="D13" i="21"/>
  <c r="C13" i="21"/>
  <c r="T12" i="21"/>
  <c r="S12" i="21"/>
  <c r="R12" i="21"/>
  <c r="Q12" i="21"/>
  <c r="P12" i="21"/>
  <c r="O12" i="21"/>
  <c r="N12" i="21"/>
  <c r="M12" i="21"/>
  <c r="L12" i="21"/>
  <c r="K12" i="21"/>
  <c r="J12" i="21"/>
  <c r="H12" i="21"/>
  <c r="G12" i="21"/>
  <c r="F12" i="21"/>
  <c r="E12" i="21"/>
  <c r="D12" i="21"/>
  <c r="C12" i="21"/>
  <c r="T11" i="21"/>
  <c r="S11" i="21"/>
  <c r="R11" i="21"/>
  <c r="Q11" i="21"/>
  <c r="P11" i="21"/>
  <c r="O11" i="21"/>
  <c r="N11" i="21"/>
  <c r="M11" i="21"/>
  <c r="L11" i="21"/>
  <c r="K11" i="21"/>
  <c r="J11" i="21"/>
  <c r="H11" i="21"/>
  <c r="G11" i="21"/>
  <c r="F11" i="21"/>
  <c r="E11" i="21"/>
  <c r="D11" i="21"/>
  <c r="C11" i="21"/>
  <c r="T10" i="21"/>
  <c r="S10" i="21"/>
  <c r="R10" i="21"/>
  <c r="Q10" i="21"/>
  <c r="P10" i="21"/>
  <c r="O10" i="21"/>
  <c r="N10" i="21"/>
  <c r="M10" i="21"/>
  <c r="L10" i="21"/>
  <c r="K10" i="21"/>
  <c r="J10" i="21"/>
  <c r="H10" i="21"/>
  <c r="G10" i="21"/>
  <c r="F10" i="21"/>
  <c r="E10" i="21"/>
  <c r="D10" i="21"/>
  <c r="C10" i="21"/>
  <c r="T9" i="21"/>
  <c r="S9" i="21"/>
  <c r="R9" i="21"/>
  <c r="Q9" i="21"/>
  <c r="P9" i="21"/>
  <c r="O9" i="21"/>
  <c r="N9" i="21"/>
  <c r="M9" i="21"/>
  <c r="L9" i="21"/>
  <c r="K9" i="21"/>
  <c r="J9" i="21"/>
  <c r="H9" i="21"/>
  <c r="G9" i="21"/>
  <c r="F9" i="21"/>
  <c r="E9" i="21"/>
  <c r="D9" i="21"/>
  <c r="C9" i="21"/>
  <c r="H14" i="21" l="1"/>
  <c r="Q14" i="21"/>
  <c r="Q290" i="18"/>
  <c r="Q286" i="18"/>
  <c r="Q289" i="18"/>
  <c r="Q288" i="18"/>
  <c r="Q287" i="18"/>
  <c r="Q285" i="18"/>
  <c r="AI284" i="18"/>
  <c r="F14" i="21"/>
  <c r="O14" i="21"/>
  <c r="G14" i="21"/>
  <c r="P14" i="21"/>
  <c r="R14" i="21"/>
  <c r="J14" i="21"/>
  <c r="R286" i="18"/>
  <c r="R285" i="18"/>
  <c r="R289" i="18"/>
  <c r="AJ284" i="18"/>
  <c r="R288" i="18"/>
  <c r="R287" i="18"/>
  <c r="R290" i="18"/>
  <c r="AK278" i="18"/>
  <c r="S284" i="18"/>
  <c r="S283" i="18"/>
  <c r="S282" i="18"/>
  <c r="S281" i="18"/>
  <c r="S280" i="18"/>
  <c r="S279" i="18"/>
  <c r="P283" i="18"/>
  <c r="P284" i="18"/>
  <c r="AH278" i="18"/>
  <c r="P279" i="18"/>
  <c r="P280" i="18"/>
  <c r="P281" i="18"/>
  <c r="P282" i="18"/>
  <c r="C14" i="21"/>
  <c r="L14" i="21"/>
  <c r="T14" i="21"/>
  <c r="S14" i="21"/>
  <c r="D14" i="21"/>
  <c r="M14" i="21"/>
  <c r="K14" i="21"/>
  <c r="E14" i="21"/>
  <c r="N14" i="21"/>
  <c r="O164" i="5"/>
  <c r="M164" i="5"/>
  <c r="L164" i="5"/>
  <c r="K164" i="5"/>
  <c r="J164" i="5"/>
  <c r="G164" i="5"/>
  <c r="O155" i="5"/>
  <c r="M155" i="5"/>
  <c r="L155" i="5"/>
  <c r="K155" i="5"/>
  <c r="J155" i="5"/>
  <c r="G155" i="5"/>
  <c r="N155" i="5" s="1"/>
  <c r="O146" i="5"/>
  <c r="M146" i="5"/>
  <c r="L146" i="5"/>
  <c r="K146" i="5"/>
  <c r="J146" i="5"/>
  <c r="G146" i="5"/>
  <c r="O137" i="5"/>
  <c r="N137" i="5" s="1"/>
  <c r="M137" i="5"/>
  <c r="L137" i="5"/>
  <c r="K137" i="5"/>
  <c r="J137" i="5"/>
  <c r="G137" i="5"/>
  <c r="O128" i="5"/>
  <c r="M128" i="5"/>
  <c r="L128" i="5"/>
  <c r="K128" i="5"/>
  <c r="J128" i="5"/>
  <c r="G128" i="5"/>
  <c r="O119" i="5"/>
  <c r="M119" i="5"/>
  <c r="L119" i="5"/>
  <c r="K119" i="5"/>
  <c r="J119" i="5"/>
  <c r="G119" i="5"/>
  <c r="N119" i="5" s="1"/>
  <c r="O110" i="5"/>
  <c r="M110" i="5"/>
  <c r="L110" i="5"/>
  <c r="K110" i="5"/>
  <c r="J110" i="5"/>
  <c r="G110" i="5"/>
  <c r="O101" i="5"/>
  <c r="N101" i="5" s="1"/>
  <c r="M101" i="5"/>
  <c r="L101" i="5"/>
  <c r="K101" i="5"/>
  <c r="J101" i="5"/>
  <c r="G101" i="5"/>
  <c r="O92" i="5"/>
  <c r="N92" i="5" s="1"/>
  <c r="M92" i="5"/>
  <c r="L92" i="5"/>
  <c r="K92" i="5"/>
  <c r="J92" i="5"/>
  <c r="G92" i="5"/>
  <c r="O83" i="5"/>
  <c r="M83" i="5"/>
  <c r="L83" i="5"/>
  <c r="K83" i="5"/>
  <c r="J83" i="5"/>
  <c r="G83" i="5"/>
  <c r="O74" i="5"/>
  <c r="M74" i="5"/>
  <c r="L74" i="5"/>
  <c r="K74" i="5"/>
  <c r="J74" i="5"/>
  <c r="G74" i="5"/>
  <c r="O65" i="5"/>
  <c r="N65" i="5"/>
  <c r="M65" i="5"/>
  <c r="L65" i="5"/>
  <c r="K65" i="5"/>
  <c r="J65" i="5"/>
  <c r="G65" i="5"/>
  <c r="O56" i="5"/>
  <c r="N56" i="5" s="1"/>
  <c r="M56" i="5"/>
  <c r="L56" i="5"/>
  <c r="K56" i="5"/>
  <c r="J56" i="5"/>
  <c r="G56" i="5"/>
  <c r="O47" i="5"/>
  <c r="N47" i="5"/>
  <c r="M47" i="5"/>
  <c r="L47" i="5"/>
  <c r="K47" i="5"/>
  <c r="J47" i="5"/>
  <c r="G47" i="5"/>
  <c r="O38" i="5"/>
  <c r="M38" i="5"/>
  <c r="L38" i="5"/>
  <c r="K38" i="5"/>
  <c r="J38" i="5"/>
  <c r="G38" i="5"/>
  <c r="O29" i="5"/>
  <c r="M29" i="5"/>
  <c r="L29" i="5"/>
  <c r="K29" i="5"/>
  <c r="J29" i="5"/>
  <c r="G29" i="5"/>
  <c r="N29" i="5" s="1"/>
  <c r="I20" i="5"/>
  <c r="G20" i="5" s="1"/>
  <c r="I11" i="5"/>
  <c r="G11" i="5" s="1"/>
  <c r="I187" i="1"/>
  <c r="H187" i="1"/>
  <c r="G187" i="1"/>
  <c r="F187" i="1"/>
  <c r="E187" i="1"/>
  <c r="D187" i="1"/>
  <c r="C187" i="1"/>
  <c r="I186" i="1"/>
  <c r="H186" i="1"/>
  <c r="G186" i="1"/>
  <c r="F186" i="1"/>
  <c r="E186" i="1"/>
  <c r="D186" i="1"/>
  <c r="C186" i="1"/>
  <c r="I185" i="1"/>
  <c r="H185" i="1"/>
  <c r="G185" i="1"/>
  <c r="F185" i="1"/>
  <c r="E185" i="1"/>
  <c r="D185" i="1"/>
  <c r="C185" i="1"/>
  <c r="P184" i="1"/>
  <c r="O184" i="1"/>
  <c r="N184" i="1"/>
  <c r="M184" i="1"/>
  <c r="L184" i="1"/>
  <c r="K184" i="1"/>
  <c r="J184" i="1"/>
  <c r="I183" i="1"/>
  <c r="H183" i="1"/>
  <c r="G183" i="1"/>
  <c r="F183" i="1"/>
  <c r="E183" i="1"/>
  <c r="D183" i="1"/>
  <c r="C183" i="1"/>
  <c r="I182" i="1"/>
  <c r="H182" i="1"/>
  <c r="G182" i="1"/>
  <c r="F182" i="1"/>
  <c r="E182" i="1"/>
  <c r="D182" i="1"/>
  <c r="C182" i="1"/>
  <c r="I181" i="1"/>
  <c r="H181" i="1"/>
  <c r="G181" i="1"/>
  <c r="F181" i="1"/>
  <c r="E181" i="1"/>
  <c r="D181" i="1"/>
  <c r="C181" i="1"/>
  <c r="I180" i="1"/>
  <c r="H180" i="1"/>
  <c r="G180" i="1"/>
  <c r="F180" i="1"/>
  <c r="E180" i="1"/>
  <c r="D180" i="1"/>
  <c r="C180" i="1"/>
  <c r="I179" i="1"/>
  <c r="H179" i="1"/>
  <c r="G179" i="1"/>
  <c r="F179" i="1"/>
  <c r="E179" i="1"/>
  <c r="D179" i="1"/>
  <c r="C179" i="1"/>
  <c r="I178" i="1"/>
  <c r="H178" i="1"/>
  <c r="G178" i="1"/>
  <c r="F178" i="1"/>
  <c r="E178" i="1"/>
  <c r="D178" i="1"/>
  <c r="C178" i="1"/>
  <c r="I177" i="1"/>
  <c r="H177" i="1"/>
  <c r="G177" i="1"/>
  <c r="F177" i="1"/>
  <c r="E177" i="1"/>
  <c r="D177" i="1"/>
  <c r="C177" i="1"/>
  <c r="I176" i="1"/>
  <c r="H176" i="1"/>
  <c r="G176" i="1"/>
  <c r="F176" i="1"/>
  <c r="E176" i="1"/>
  <c r="D176" i="1"/>
  <c r="C176" i="1"/>
  <c r="I175" i="1"/>
  <c r="H175" i="1"/>
  <c r="G175" i="1"/>
  <c r="F175" i="1"/>
  <c r="E175" i="1"/>
  <c r="D175" i="1"/>
  <c r="C175" i="1"/>
  <c r="P174" i="1"/>
  <c r="O174" i="1"/>
  <c r="N174" i="1"/>
  <c r="M174" i="1"/>
  <c r="F174" i="1" s="1"/>
  <c r="L174" i="1"/>
  <c r="K174" i="1"/>
  <c r="D174" i="1" s="1"/>
  <c r="J174" i="1"/>
  <c r="I174" i="1" s="1"/>
  <c r="I173" i="1"/>
  <c r="H173" i="1"/>
  <c r="G173" i="1"/>
  <c r="F173" i="1"/>
  <c r="E173" i="1"/>
  <c r="D173" i="1"/>
  <c r="C173" i="1"/>
  <c r="I172" i="1"/>
  <c r="H172" i="1"/>
  <c r="G172" i="1"/>
  <c r="F172" i="1"/>
  <c r="E172" i="1"/>
  <c r="D172" i="1"/>
  <c r="C172" i="1"/>
  <c r="I171" i="1"/>
  <c r="H171" i="1"/>
  <c r="G171" i="1"/>
  <c r="F171" i="1"/>
  <c r="E171" i="1"/>
  <c r="D171" i="1"/>
  <c r="C171" i="1"/>
  <c r="I170" i="1"/>
  <c r="H170" i="1"/>
  <c r="G170" i="1"/>
  <c r="F170" i="1"/>
  <c r="E170" i="1"/>
  <c r="D170" i="1"/>
  <c r="C170" i="1"/>
  <c r="I169" i="1"/>
  <c r="H169" i="1"/>
  <c r="G169" i="1"/>
  <c r="F169" i="1"/>
  <c r="E169" i="1"/>
  <c r="D169" i="1"/>
  <c r="C169" i="1"/>
  <c r="I168" i="1"/>
  <c r="H168" i="1"/>
  <c r="G168" i="1"/>
  <c r="F168" i="1"/>
  <c r="E168" i="1"/>
  <c r="D168" i="1"/>
  <c r="C168" i="1"/>
  <c r="I167" i="1"/>
  <c r="H167" i="1"/>
  <c r="G167" i="1"/>
  <c r="F167" i="1"/>
  <c r="E167" i="1"/>
  <c r="D167" i="1"/>
  <c r="C167" i="1"/>
  <c r="I166" i="1"/>
  <c r="H166" i="1"/>
  <c r="G166" i="1"/>
  <c r="F166" i="1"/>
  <c r="E166" i="1"/>
  <c r="D166" i="1"/>
  <c r="C166" i="1"/>
  <c r="I165" i="1"/>
  <c r="H165" i="1"/>
  <c r="G165" i="1"/>
  <c r="F165" i="1"/>
  <c r="E165" i="1"/>
  <c r="D165" i="1"/>
  <c r="C165" i="1"/>
  <c r="P164" i="1"/>
  <c r="O164" i="1"/>
  <c r="N164" i="1"/>
  <c r="M164" i="1"/>
  <c r="L164" i="1"/>
  <c r="K164" i="1"/>
  <c r="J164" i="1"/>
  <c r="I163" i="1"/>
  <c r="H163" i="1"/>
  <c r="G163" i="1"/>
  <c r="F163" i="1"/>
  <c r="E163" i="1"/>
  <c r="D163" i="1"/>
  <c r="C163" i="1"/>
  <c r="I162" i="1"/>
  <c r="H162" i="1"/>
  <c r="G162" i="1"/>
  <c r="F162" i="1"/>
  <c r="E162" i="1"/>
  <c r="D162" i="1"/>
  <c r="C162" i="1"/>
  <c r="I161" i="1"/>
  <c r="H161" i="1"/>
  <c r="G161" i="1"/>
  <c r="F161" i="1"/>
  <c r="E161" i="1"/>
  <c r="D161" i="1"/>
  <c r="C161" i="1"/>
  <c r="I160" i="1"/>
  <c r="H160" i="1"/>
  <c r="G160" i="1"/>
  <c r="F160" i="1"/>
  <c r="E160" i="1"/>
  <c r="D160" i="1"/>
  <c r="C160" i="1"/>
  <c r="I159" i="1"/>
  <c r="H159" i="1"/>
  <c r="G159" i="1"/>
  <c r="F159" i="1"/>
  <c r="E159" i="1"/>
  <c r="D159" i="1"/>
  <c r="C159" i="1"/>
  <c r="I158" i="1"/>
  <c r="H158" i="1"/>
  <c r="G158" i="1"/>
  <c r="F158" i="1"/>
  <c r="E158" i="1"/>
  <c r="D158" i="1"/>
  <c r="C158" i="1"/>
  <c r="I157" i="1"/>
  <c r="H157" i="1"/>
  <c r="G157" i="1"/>
  <c r="F157" i="1"/>
  <c r="E157" i="1"/>
  <c r="D157" i="1"/>
  <c r="C157" i="1"/>
  <c r="I156" i="1"/>
  <c r="H156" i="1"/>
  <c r="G156" i="1"/>
  <c r="F156" i="1"/>
  <c r="E156" i="1"/>
  <c r="D156" i="1"/>
  <c r="C156" i="1"/>
  <c r="I155" i="1"/>
  <c r="H155" i="1"/>
  <c r="G155" i="1"/>
  <c r="F155" i="1"/>
  <c r="E155" i="1"/>
  <c r="D155" i="1"/>
  <c r="C155" i="1"/>
  <c r="P154" i="1"/>
  <c r="D154" i="1" s="1"/>
  <c r="O154" i="1"/>
  <c r="N154" i="1"/>
  <c r="M154" i="1"/>
  <c r="L154" i="1"/>
  <c r="K154" i="1"/>
  <c r="J154" i="1"/>
  <c r="I153" i="1"/>
  <c r="H153" i="1"/>
  <c r="G153" i="1"/>
  <c r="F153" i="1"/>
  <c r="E153" i="1"/>
  <c r="D153" i="1"/>
  <c r="C153" i="1"/>
  <c r="I152" i="1"/>
  <c r="H152" i="1"/>
  <c r="G152" i="1"/>
  <c r="F152" i="1"/>
  <c r="E152" i="1"/>
  <c r="D152" i="1"/>
  <c r="C152" i="1"/>
  <c r="I151" i="1"/>
  <c r="H151" i="1"/>
  <c r="G151" i="1"/>
  <c r="F151" i="1"/>
  <c r="E151" i="1"/>
  <c r="D151" i="1"/>
  <c r="C151" i="1"/>
  <c r="I150" i="1"/>
  <c r="H150" i="1"/>
  <c r="G150" i="1"/>
  <c r="F150" i="1"/>
  <c r="E150" i="1"/>
  <c r="D150" i="1"/>
  <c r="C150" i="1"/>
  <c r="I149" i="1"/>
  <c r="H149" i="1"/>
  <c r="G149" i="1"/>
  <c r="F149" i="1"/>
  <c r="E149" i="1"/>
  <c r="D149" i="1"/>
  <c r="C149" i="1"/>
  <c r="I148" i="1"/>
  <c r="H148" i="1"/>
  <c r="G148" i="1"/>
  <c r="F148" i="1"/>
  <c r="E148" i="1"/>
  <c r="D148" i="1"/>
  <c r="C148" i="1"/>
  <c r="I147" i="1"/>
  <c r="H147" i="1"/>
  <c r="G147" i="1"/>
  <c r="F147" i="1"/>
  <c r="E147" i="1"/>
  <c r="D147" i="1"/>
  <c r="C147" i="1"/>
  <c r="I146" i="1"/>
  <c r="H146" i="1"/>
  <c r="G146" i="1"/>
  <c r="F146" i="1"/>
  <c r="E146" i="1"/>
  <c r="D146" i="1"/>
  <c r="C146" i="1"/>
  <c r="I145" i="1"/>
  <c r="H145" i="1"/>
  <c r="G145" i="1"/>
  <c r="F145" i="1"/>
  <c r="E145" i="1"/>
  <c r="D145" i="1"/>
  <c r="C145" i="1"/>
  <c r="P144" i="1"/>
  <c r="O144" i="1"/>
  <c r="N144" i="1"/>
  <c r="M144" i="1"/>
  <c r="L144" i="1"/>
  <c r="K144" i="1"/>
  <c r="J144" i="1"/>
  <c r="I143" i="1"/>
  <c r="H143" i="1"/>
  <c r="G143" i="1"/>
  <c r="F143" i="1"/>
  <c r="E143" i="1"/>
  <c r="D143" i="1"/>
  <c r="C143" i="1"/>
  <c r="I142" i="1"/>
  <c r="H142" i="1"/>
  <c r="G142" i="1"/>
  <c r="F142" i="1"/>
  <c r="E142" i="1"/>
  <c r="D142" i="1"/>
  <c r="C142" i="1"/>
  <c r="I141" i="1"/>
  <c r="H141" i="1"/>
  <c r="G141" i="1"/>
  <c r="F141" i="1"/>
  <c r="E141" i="1"/>
  <c r="D141" i="1"/>
  <c r="C141" i="1"/>
  <c r="I140" i="1"/>
  <c r="H140" i="1"/>
  <c r="G140" i="1"/>
  <c r="F140" i="1"/>
  <c r="E140" i="1"/>
  <c r="D140" i="1"/>
  <c r="C140" i="1"/>
  <c r="I139" i="1"/>
  <c r="H139" i="1"/>
  <c r="G139" i="1"/>
  <c r="F139" i="1"/>
  <c r="E139" i="1"/>
  <c r="D139" i="1"/>
  <c r="C139" i="1"/>
  <c r="I138" i="1"/>
  <c r="H138" i="1"/>
  <c r="G138" i="1"/>
  <c r="F138" i="1"/>
  <c r="E138" i="1"/>
  <c r="D138" i="1"/>
  <c r="C138" i="1"/>
  <c r="I137" i="1"/>
  <c r="H137" i="1"/>
  <c r="G137" i="1"/>
  <c r="F137" i="1"/>
  <c r="E137" i="1"/>
  <c r="D137" i="1"/>
  <c r="C137" i="1"/>
  <c r="I136" i="1"/>
  <c r="H136" i="1"/>
  <c r="G136" i="1"/>
  <c r="F136" i="1"/>
  <c r="E136" i="1"/>
  <c r="D136" i="1"/>
  <c r="C136" i="1"/>
  <c r="I135" i="1"/>
  <c r="H135" i="1"/>
  <c r="G135" i="1"/>
  <c r="F135" i="1"/>
  <c r="E135" i="1"/>
  <c r="D135" i="1"/>
  <c r="C135" i="1"/>
  <c r="P134" i="1"/>
  <c r="O134" i="1"/>
  <c r="N134" i="1"/>
  <c r="M134" i="1"/>
  <c r="L134" i="1"/>
  <c r="K134" i="1"/>
  <c r="J134" i="1"/>
  <c r="I133" i="1"/>
  <c r="H133" i="1"/>
  <c r="G133" i="1"/>
  <c r="F133" i="1"/>
  <c r="E133" i="1"/>
  <c r="D133" i="1"/>
  <c r="C133" i="1"/>
  <c r="I132" i="1"/>
  <c r="H132" i="1"/>
  <c r="G132" i="1"/>
  <c r="F132" i="1"/>
  <c r="E132" i="1"/>
  <c r="D132" i="1"/>
  <c r="C132" i="1"/>
  <c r="I131" i="1"/>
  <c r="H131" i="1"/>
  <c r="G131" i="1"/>
  <c r="F131" i="1"/>
  <c r="E131" i="1"/>
  <c r="D131" i="1"/>
  <c r="C131" i="1"/>
  <c r="I130" i="1"/>
  <c r="H130" i="1"/>
  <c r="G130" i="1"/>
  <c r="F130" i="1"/>
  <c r="E130" i="1"/>
  <c r="D130" i="1"/>
  <c r="C130" i="1"/>
  <c r="I129" i="1"/>
  <c r="H129" i="1"/>
  <c r="G129" i="1"/>
  <c r="F129" i="1"/>
  <c r="E129" i="1"/>
  <c r="D129" i="1"/>
  <c r="C129" i="1"/>
  <c r="I128" i="1"/>
  <c r="H128" i="1"/>
  <c r="G128" i="1"/>
  <c r="F128" i="1"/>
  <c r="E128" i="1"/>
  <c r="D128" i="1"/>
  <c r="C128" i="1"/>
  <c r="I127" i="1"/>
  <c r="H127" i="1"/>
  <c r="G127" i="1"/>
  <c r="F127" i="1"/>
  <c r="E127" i="1"/>
  <c r="D127" i="1"/>
  <c r="C127" i="1"/>
  <c r="I126" i="1"/>
  <c r="H126" i="1"/>
  <c r="G126" i="1"/>
  <c r="F126" i="1"/>
  <c r="E126" i="1"/>
  <c r="D126" i="1"/>
  <c r="C126" i="1"/>
  <c r="I125" i="1"/>
  <c r="H125" i="1"/>
  <c r="G125" i="1"/>
  <c r="F125" i="1"/>
  <c r="E125" i="1"/>
  <c r="D125" i="1"/>
  <c r="C125" i="1"/>
  <c r="P124" i="1"/>
  <c r="O124" i="1"/>
  <c r="N124" i="1"/>
  <c r="M124" i="1"/>
  <c r="L124" i="1"/>
  <c r="K124" i="1"/>
  <c r="J124" i="1"/>
  <c r="I123" i="1"/>
  <c r="H123" i="1"/>
  <c r="G123" i="1"/>
  <c r="F123" i="1"/>
  <c r="E123" i="1"/>
  <c r="D123" i="1"/>
  <c r="C123" i="1"/>
  <c r="I122" i="1"/>
  <c r="H122" i="1"/>
  <c r="G122" i="1"/>
  <c r="F122" i="1"/>
  <c r="E122" i="1"/>
  <c r="D122" i="1"/>
  <c r="C122" i="1"/>
  <c r="I121" i="1"/>
  <c r="H121" i="1"/>
  <c r="G121" i="1"/>
  <c r="F121" i="1"/>
  <c r="E121" i="1"/>
  <c r="D121" i="1"/>
  <c r="C121" i="1"/>
  <c r="I120" i="1"/>
  <c r="H120" i="1"/>
  <c r="G120" i="1"/>
  <c r="F120" i="1"/>
  <c r="E120" i="1"/>
  <c r="D120" i="1"/>
  <c r="C120" i="1"/>
  <c r="I119" i="1"/>
  <c r="H119" i="1"/>
  <c r="G119" i="1"/>
  <c r="F119" i="1"/>
  <c r="E119" i="1"/>
  <c r="D119" i="1"/>
  <c r="C119" i="1"/>
  <c r="Q118" i="1"/>
  <c r="I118" i="1"/>
  <c r="H118" i="1"/>
  <c r="G118" i="1"/>
  <c r="F118" i="1"/>
  <c r="E118" i="1"/>
  <c r="D118" i="1"/>
  <c r="C118" i="1"/>
  <c r="I117" i="1"/>
  <c r="H117" i="1"/>
  <c r="G117" i="1"/>
  <c r="F117" i="1"/>
  <c r="E117" i="1"/>
  <c r="D117" i="1"/>
  <c r="C117" i="1"/>
  <c r="I116" i="1"/>
  <c r="H116" i="1"/>
  <c r="G116" i="1"/>
  <c r="F116" i="1"/>
  <c r="E116" i="1"/>
  <c r="D116" i="1"/>
  <c r="C116" i="1"/>
  <c r="I115" i="1"/>
  <c r="H115" i="1"/>
  <c r="G115" i="1"/>
  <c r="F115" i="1"/>
  <c r="E115" i="1"/>
  <c r="D115" i="1"/>
  <c r="C115" i="1"/>
  <c r="P114" i="1"/>
  <c r="O114" i="1"/>
  <c r="N114" i="1"/>
  <c r="M114" i="1"/>
  <c r="L114" i="1"/>
  <c r="K114" i="1"/>
  <c r="J114" i="1"/>
  <c r="I113" i="1"/>
  <c r="H113" i="1"/>
  <c r="G113" i="1"/>
  <c r="F113" i="1"/>
  <c r="E113" i="1"/>
  <c r="D113" i="1"/>
  <c r="C113" i="1"/>
  <c r="I112" i="1"/>
  <c r="H112" i="1"/>
  <c r="G112" i="1"/>
  <c r="F112" i="1"/>
  <c r="E112" i="1"/>
  <c r="D112" i="1"/>
  <c r="C112" i="1"/>
  <c r="I111" i="1"/>
  <c r="H111" i="1"/>
  <c r="G111" i="1"/>
  <c r="F111" i="1"/>
  <c r="E111" i="1"/>
  <c r="D111" i="1"/>
  <c r="C111" i="1"/>
  <c r="I110" i="1"/>
  <c r="H110" i="1"/>
  <c r="G110" i="1"/>
  <c r="F110" i="1"/>
  <c r="E110" i="1"/>
  <c r="D110" i="1"/>
  <c r="C110" i="1"/>
  <c r="I109" i="1"/>
  <c r="H109" i="1"/>
  <c r="G109" i="1"/>
  <c r="F109" i="1"/>
  <c r="E109" i="1"/>
  <c r="D109" i="1"/>
  <c r="C109" i="1"/>
  <c r="I108" i="1"/>
  <c r="H108" i="1"/>
  <c r="G108" i="1"/>
  <c r="F108" i="1"/>
  <c r="E108" i="1"/>
  <c r="D108" i="1"/>
  <c r="C108" i="1"/>
  <c r="I107" i="1"/>
  <c r="H107" i="1"/>
  <c r="G107" i="1"/>
  <c r="F107" i="1"/>
  <c r="E107" i="1"/>
  <c r="D107" i="1"/>
  <c r="C107" i="1"/>
  <c r="I106" i="1"/>
  <c r="H106" i="1"/>
  <c r="G106" i="1"/>
  <c r="F106" i="1"/>
  <c r="E106" i="1"/>
  <c r="D106" i="1"/>
  <c r="C106" i="1"/>
  <c r="I105" i="1"/>
  <c r="H105" i="1"/>
  <c r="G105" i="1"/>
  <c r="F105" i="1"/>
  <c r="E105" i="1"/>
  <c r="D105" i="1"/>
  <c r="C105" i="1"/>
  <c r="P104" i="1"/>
  <c r="I104" i="1" s="1"/>
  <c r="O104" i="1"/>
  <c r="N104" i="1"/>
  <c r="M104" i="1"/>
  <c r="L104" i="1"/>
  <c r="K104" i="1"/>
  <c r="J104" i="1"/>
  <c r="I103" i="1"/>
  <c r="H103" i="1"/>
  <c r="G103" i="1"/>
  <c r="F103" i="1"/>
  <c r="E103" i="1"/>
  <c r="D103" i="1"/>
  <c r="C103" i="1"/>
  <c r="I102" i="1"/>
  <c r="H102" i="1"/>
  <c r="G102" i="1"/>
  <c r="F102" i="1"/>
  <c r="E102" i="1"/>
  <c r="D102" i="1"/>
  <c r="C102" i="1"/>
  <c r="I101" i="1"/>
  <c r="H101" i="1"/>
  <c r="G101" i="1"/>
  <c r="F101" i="1"/>
  <c r="E101" i="1"/>
  <c r="D101" i="1"/>
  <c r="C101" i="1"/>
  <c r="I100" i="1"/>
  <c r="H100" i="1"/>
  <c r="G100" i="1"/>
  <c r="F100" i="1"/>
  <c r="E100" i="1"/>
  <c r="D100" i="1"/>
  <c r="C100" i="1"/>
  <c r="I99" i="1"/>
  <c r="H99" i="1"/>
  <c r="G99" i="1"/>
  <c r="F99" i="1"/>
  <c r="E99" i="1"/>
  <c r="D99" i="1"/>
  <c r="C99" i="1"/>
  <c r="I98" i="1"/>
  <c r="H98" i="1"/>
  <c r="G98" i="1"/>
  <c r="F98" i="1"/>
  <c r="E98" i="1"/>
  <c r="D98" i="1"/>
  <c r="C98" i="1"/>
  <c r="I97" i="1"/>
  <c r="H97" i="1"/>
  <c r="G97" i="1"/>
  <c r="F97" i="1"/>
  <c r="E97" i="1"/>
  <c r="D97" i="1"/>
  <c r="C97" i="1"/>
  <c r="I96" i="1"/>
  <c r="H96" i="1"/>
  <c r="G96" i="1"/>
  <c r="F96" i="1"/>
  <c r="E96" i="1"/>
  <c r="D96" i="1"/>
  <c r="C96" i="1"/>
  <c r="I95" i="1"/>
  <c r="H95" i="1"/>
  <c r="G95" i="1"/>
  <c r="F95" i="1"/>
  <c r="E95" i="1"/>
  <c r="D95" i="1"/>
  <c r="C95" i="1"/>
  <c r="P94" i="1"/>
  <c r="I94" i="1" s="1"/>
  <c r="O94" i="1"/>
  <c r="N94" i="1"/>
  <c r="M94" i="1"/>
  <c r="L94" i="1"/>
  <c r="K94" i="1"/>
  <c r="J94" i="1"/>
  <c r="I93" i="1"/>
  <c r="H93" i="1"/>
  <c r="G93" i="1"/>
  <c r="F93" i="1"/>
  <c r="E93" i="1"/>
  <c r="D93" i="1"/>
  <c r="C93" i="1"/>
  <c r="I92" i="1"/>
  <c r="H92" i="1"/>
  <c r="G92" i="1"/>
  <c r="F92" i="1"/>
  <c r="E92" i="1"/>
  <c r="D92" i="1"/>
  <c r="C92" i="1"/>
  <c r="I91" i="1"/>
  <c r="H91" i="1"/>
  <c r="G91" i="1"/>
  <c r="F91" i="1"/>
  <c r="E91" i="1"/>
  <c r="D91" i="1"/>
  <c r="C91" i="1"/>
  <c r="I90" i="1"/>
  <c r="H90" i="1"/>
  <c r="G90" i="1"/>
  <c r="F90" i="1"/>
  <c r="E90" i="1"/>
  <c r="D90" i="1"/>
  <c r="C90" i="1"/>
  <c r="I89" i="1"/>
  <c r="H89" i="1"/>
  <c r="G89" i="1"/>
  <c r="F89" i="1"/>
  <c r="E89" i="1"/>
  <c r="D89" i="1"/>
  <c r="C89" i="1"/>
  <c r="I88" i="1"/>
  <c r="H88" i="1"/>
  <c r="G88" i="1"/>
  <c r="F88" i="1"/>
  <c r="E88" i="1"/>
  <c r="D88" i="1"/>
  <c r="C88" i="1"/>
  <c r="I87" i="1"/>
  <c r="H87" i="1"/>
  <c r="G87" i="1"/>
  <c r="F87" i="1"/>
  <c r="E87" i="1"/>
  <c r="D87" i="1"/>
  <c r="C87" i="1"/>
  <c r="I86" i="1"/>
  <c r="H86" i="1"/>
  <c r="G86" i="1"/>
  <c r="F86" i="1"/>
  <c r="E86" i="1"/>
  <c r="D86" i="1"/>
  <c r="C86" i="1"/>
  <c r="I85" i="1"/>
  <c r="H85" i="1"/>
  <c r="G85" i="1"/>
  <c r="F85" i="1"/>
  <c r="E85" i="1"/>
  <c r="D85" i="1"/>
  <c r="C85" i="1"/>
  <c r="P84" i="1"/>
  <c r="O84" i="1"/>
  <c r="N84" i="1"/>
  <c r="M84" i="1"/>
  <c r="L84" i="1"/>
  <c r="K84" i="1"/>
  <c r="J84" i="1"/>
  <c r="I83" i="1"/>
  <c r="H83" i="1"/>
  <c r="G83" i="1"/>
  <c r="F83" i="1"/>
  <c r="E83" i="1"/>
  <c r="D83" i="1"/>
  <c r="C83" i="1"/>
  <c r="I82" i="1"/>
  <c r="H82" i="1"/>
  <c r="G82" i="1"/>
  <c r="F82" i="1"/>
  <c r="E82" i="1"/>
  <c r="D82" i="1"/>
  <c r="C82" i="1"/>
  <c r="I81" i="1"/>
  <c r="H81" i="1"/>
  <c r="G81" i="1"/>
  <c r="F81" i="1"/>
  <c r="E81" i="1"/>
  <c r="D81" i="1"/>
  <c r="C81" i="1"/>
  <c r="I80" i="1"/>
  <c r="H80" i="1"/>
  <c r="G80" i="1"/>
  <c r="F80" i="1"/>
  <c r="E80" i="1"/>
  <c r="D80" i="1"/>
  <c r="C80" i="1"/>
  <c r="I79" i="1"/>
  <c r="H79" i="1"/>
  <c r="G79" i="1"/>
  <c r="F79" i="1"/>
  <c r="E79" i="1"/>
  <c r="D79" i="1"/>
  <c r="C79" i="1"/>
  <c r="I78" i="1"/>
  <c r="H78" i="1"/>
  <c r="G78" i="1"/>
  <c r="F78" i="1"/>
  <c r="E78" i="1"/>
  <c r="D78" i="1"/>
  <c r="C78" i="1"/>
  <c r="I77" i="1"/>
  <c r="H77" i="1"/>
  <c r="G77" i="1"/>
  <c r="F77" i="1"/>
  <c r="E77" i="1"/>
  <c r="D77" i="1"/>
  <c r="C77" i="1"/>
  <c r="I76" i="1"/>
  <c r="H76" i="1"/>
  <c r="G76" i="1"/>
  <c r="F76" i="1"/>
  <c r="E76" i="1"/>
  <c r="D76" i="1"/>
  <c r="C76" i="1"/>
  <c r="I75" i="1"/>
  <c r="H75" i="1"/>
  <c r="G75" i="1"/>
  <c r="F75" i="1"/>
  <c r="E75" i="1"/>
  <c r="D75" i="1"/>
  <c r="C75" i="1"/>
  <c r="P74" i="1"/>
  <c r="O74" i="1"/>
  <c r="N74" i="1"/>
  <c r="G74" i="1" s="1"/>
  <c r="M74" i="1"/>
  <c r="L74" i="1"/>
  <c r="K74" i="1"/>
  <c r="J74" i="1"/>
  <c r="C74" i="1" s="1"/>
  <c r="I73" i="1"/>
  <c r="H73" i="1"/>
  <c r="G73" i="1"/>
  <c r="F73" i="1"/>
  <c r="E73" i="1"/>
  <c r="D73" i="1"/>
  <c r="C73" i="1"/>
  <c r="I72" i="1"/>
  <c r="H72" i="1"/>
  <c r="G72" i="1"/>
  <c r="F72" i="1"/>
  <c r="E72" i="1"/>
  <c r="D72" i="1"/>
  <c r="C72" i="1"/>
  <c r="I71" i="1"/>
  <c r="H71" i="1"/>
  <c r="G71" i="1"/>
  <c r="F71" i="1"/>
  <c r="E71" i="1"/>
  <c r="D71" i="1"/>
  <c r="C71" i="1"/>
  <c r="I70" i="1"/>
  <c r="H70" i="1"/>
  <c r="G70" i="1"/>
  <c r="F70" i="1"/>
  <c r="E70" i="1"/>
  <c r="D70" i="1"/>
  <c r="C70" i="1"/>
  <c r="I69" i="1"/>
  <c r="H69" i="1"/>
  <c r="G69" i="1"/>
  <c r="F69" i="1"/>
  <c r="E69" i="1"/>
  <c r="D69" i="1"/>
  <c r="C69" i="1"/>
  <c r="I68" i="1"/>
  <c r="H68" i="1"/>
  <c r="G68" i="1"/>
  <c r="F68" i="1"/>
  <c r="E68" i="1"/>
  <c r="D68" i="1"/>
  <c r="C68" i="1"/>
  <c r="I67" i="1"/>
  <c r="H67" i="1"/>
  <c r="G67" i="1"/>
  <c r="F67" i="1"/>
  <c r="E67" i="1"/>
  <c r="D67" i="1"/>
  <c r="C67" i="1"/>
  <c r="I66" i="1"/>
  <c r="H66" i="1"/>
  <c r="G66" i="1"/>
  <c r="F66" i="1"/>
  <c r="E66" i="1"/>
  <c r="D66" i="1"/>
  <c r="C66" i="1"/>
  <c r="I65" i="1"/>
  <c r="H65" i="1"/>
  <c r="G65" i="1"/>
  <c r="F65" i="1"/>
  <c r="E65" i="1"/>
  <c r="D65" i="1"/>
  <c r="C65" i="1"/>
  <c r="P64" i="1"/>
  <c r="I64" i="1" s="1"/>
  <c r="O64" i="1"/>
  <c r="N64" i="1"/>
  <c r="M64" i="1"/>
  <c r="L64" i="1"/>
  <c r="K64" i="1"/>
  <c r="J64" i="1"/>
  <c r="I63" i="1"/>
  <c r="H63" i="1"/>
  <c r="G63" i="1"/>
  <c r="F63" i="1"/>
  <c r="E63" i="1"/>
  <c r="D63" i="1"/>
  <c r="C63" i="1"/>
  <c r="I62" i="1"/>
  <c r="H62" i="1"/>
  <c r="G62" i="1"/>
  <c r="F62" i="1"/>
  <c r="E62" i="1"/>
  <c r="D62" i="1"/>
  <c r="C62" i="1"/>
  <c r="I61" i="1"/>
  <c r="H61" i="1"/>
  <c r="G61" i="1"/>
  <c r="F61" i="1"/>
  <c r="E61" i="1"/>
  <c r="D61" i="1"/>
  <c r="C61" i="1"/>
  <c r="I60" i="1"/>
  <c r="H60" i="1"/>
  <c r="G60" i="1"/>
  <c r="F60" i="1"/>
  <c r="E60" i="1"/>
  <c r="D60" i="1"/>
  <c r="C60" i="1"/>
  <c r="I59" i="1"/>
  <c r="H59" i="1"/>
  <c r="G59" i="1"/>
  <c r="F59" i="1"/>
  <c r="E59" i="1"/>
  <c r="D59" i="1"/>
  <c r="C59" i="1"/>
  <c r="I58" i="1"/>
  <c r="H58" i="1"/>
  <c r="G58" i="1"/>
  <c r="F58" i="1"/>
  <c r="E58" i="1"/>
  <c r="D58" i="1"/>
  <c r="C58" i="1"/>
  <c r="I57" i="1"/>
  <c r="H57" i="1"/>
  <c r="G57" i="1"/>
  <c r="F57" i="1"/>
  <c r="E57" i="1"/>
  <c r="D57" i="1"/>
  <c r="C57" i="1"/>
  <c r="I56" i="1"/>
  <c r="H56" i="1"/>
  <c r="G56" i="1"/>
  <c r="F56" i="1"/>
  <c r="E56" i="1"/>
  <c r="D56" i="1"/>
  <c r="C56" i="1"/>
  <c r="I55" i="1"/>
  <c r="H55" i="1"/>
  <c r="G55" i="1"/>
  <c r="F55" i="1"/>
  <c r="E55" i="1"/>
  <c r="D55" i="1"/>
  <c r="C55" i="1"/>
  <c r="P54" i="1"/>
  <c r="E54" i="1" s="1"/>
  <c r="O54" i="1"/>
  <c r="N54" i="1"/>
  <c r="M54" i="1"/>
  <c r="L54" i="1"/>
  <c r="K54" i="1"/>
  <c r="J54" i="1"/>
  <c r="I53" i="1"/>
  <c r="H53" i="1"/>
  <c r="G53" i="1"/>
  <c r="F53" i="1"/>
  <c r="E53" i="1"/>
  <c r="D53" i="1"/>
  <c r="C53" i="1"/>
  <c r="I52" i="1"/>
  <c r="H52" i="1"/>
  <c r="G52" i="1"/>
  <c r="F52" i="1"/>
  <c r="E52" i="1"/>
  <c r="D52" i="1"/>
  <c r="C52" i="1"/>
  <c r="I51" i="1"/>
  <c r="H51" i="1"/>
  <c r="G51" i="1"/>
  <c r="F51" i="1"/>
  <c r="E51" i="1"/>
  <c r="D51" i="1"/>
  <c r="C51" i="1"/>
  <c r="I50" i="1"/>
  <c r="H50" i="1"/>
  <c r="G50" i="1"/>
  <c r="F50" i="1"/>
  <c r="E50" i="1"/>
  <c r="D50" i="1"/>
  <c r="C50" i="1"/>
  <c r="I49" i="1"/>
  <c r="H49" i="1"/>
  <c r="G49" i="1"/>
  <c r="F49" i="1"/>
  <c r="E49" i="1"/>
  <c r="D49" i="1"/>
  <c r="C49" i="1"/>
  <c r="I48" i="1"/>
  <c r="H48" i="1"/>
  <c r="G48" i="1"/>
  <c r="F48" i="1"/>
  <c r="E48" i="1"/>
  <c r="D48" i="1"/>
  <c r="C48" i="1"/>
  <c r="I47" i="1"/>
  <c r="H47" i="1"/>
  <c r="G47" i="1"/>
  <c r="F47" i="1"/>
  <c r="E47" i="1"/>
  <c r="D47" i="1"/>
  <c r="C47" i="1"/>
  <c r="I46" i="1"/>
  <c r="H46" i="1"/>
  <c r="G46" i="1"/>
  <c r="F46" i="1"/>
  <c r="E46" i="1"/>
  <c r="D46" i="1"/>
  <c r="C46" i="1"/>
  <c r="I45" i="1"/>
  <c r="H45" i="1"/>
  <c r="G45" i="1"/>
  <c r="F45" i="1"/>
  <c r="E45" i="1"/>
  <c r="D45" i="1"/>
  <c r="C45" i="1"/>
  <c r="P44" i="1"/>
  <c r="I44" i="1" s="1"/>
  <c r="O44" i="1"/>
  <c r="N44" i="1"/>
  <c r="M44" i="1"/>
  <c r="L44" i="1"/>
  <c r="K44" i="1"/>
  <c r="J44" i="1"/>
  <c r="I43" i="1"/>
  <c r="H43" i="1"/>
  <c r="G43" i="1"/>
  <c r="F43" i="1"/>
  <c r="E43" i="1"/>
  <c r="D43" i="1"/>
  <c r="C43" i="1"/>
  <c r="I42" i="1"/>
  <c r="H42" i="1"/>
  <c r="G42" i="1"/>
  <c r="F42" i="1"/>
  <c r="E42" i="1"/>
  <c r="D42" i="1"/>
  <c r="C42" i="1"/>
  <c r="I41" i="1"/>
  <c r="H41" i="1"/>
  <c r="G41" i="1"/>
  <c r="F41" i="1"/>
  <c r="E41" i="1"/>
  <c r="D41" i="1"/>
  <c r="C41" i="1"/>
  <c r="I40" i="1"/>
  <c r="H40" i="1"/>
  <c r="G40" i="1"/>
  <c r="F40" i="1"/>
  <c r="E40" i="1"/>
  <c r="D40" i="1"/>
  <c r="C40" i="1"/>
  <c r="I39" i="1"/>
  <c r="H39" i="1"/>
  <c r="G39" i="1"/>
  <c r="F39" i="1"/>
  <c r="E39" i="1"/>
  <c r="D39" i="1"/>
  <c r="C39" i="1"/>
  <c r="I38" i="1"/>
  <c r="H38" i="1"/>
  <c r="G38" i="1"/>
  <c r="F38" i="1"/>
  <c r="E38" i="1"/>
  <c r="D38" i="1"/>
  <c r="C38" i="1"/>
  <c r="I37" i="1"/>
  <c r="H37" i="1"/>
  <c r="G37" i="1"/>
  <c r="F37" i="1"/>
  <c r="E37" i="1"/>
  <c r="D37" i="1"/>
  <c r="C37" i="1"/>
  <c r="I36" i="1"/>
  <c r="H36" i="1"/>
  <c r="G36" i="1"/>
  <c r="F36" i="1"/>
  <c r="E36" i="1"/>
  <c r="D36" i="1"/>
  <c r="C36" i="1"/>
  <c r="I35" i="1"/>
  <c r="H35" i="1"/>
  <c r="G35" i="1"/>
  <c r="F35" i="1"/>
  <c r="E35" i="1"/>
  <c r="D35" i="1"/>
  <c r="C35" i="1"/>
  <c r="P34" i="1"/>
  <c r="O34" i="1"/>
  <c r="N34" i="1"/>
  <c r="M34" i="1"/>
  <c r="L34" i="1"/>
  <c r="K34" i="1"/>
  <c r="J34" i="1"/>
  <c r="I33" i="1"/>
  <c r="H33" i="1"/>
  <c r="G33" i="1"/>
  <c r="F33" i="1"/>
  <c r="E33" i="1"/>
  <c r="D33" i="1"/>
  <c r="C33" i="1"/>
  <c r="I32" i="1"/>
  <c r="H32" i="1"/>
  <c r="G32" i="1"/>
  <c r="F32" i="1"/>
  <c r="E32" i="1"/>
  <c r="D32" i="1"/>
  <c r="C32" i="1"/>
  <c r="I31" i="1"/>
  <c r="H31" i="1"/>
  <c r="G31" i="1"/>
  <c r="F31" i="1"/>
  <c r="E31" i="1"/>
  <c r="D31" i="1"/>
  <c r="C31" i="1"/>
  <c r="I30" i="1"/>
  <c r="H30" i="1"/>
  <c r="G30" i="1"/>
  <c r="F30" i="1"/>
  <c r="E30" i="1"/>
  <c r="D30" i="1"/>
  <c r="C30" i="1"/>
  <c r="I29" i="1"/>
  <c r="H29" i="1"/>
  <c r="G29" i="1"/>
  <c r="F29" i="1"/>
  <c r="E29" i="1"/>
  <c r="D29" i="1"/>
  <c r="C29" i="1"/>
  <c r="I28" i="1"/>
  <c r="H28" i="1"/>
  <c r="G28" i="1"/>
  <c r="F28" i="1"/>
  <c r="E28" i="1"/>
  <c r="D28" i="1"/>
  <c r="C28" i="1"/>
  <c r="P27" i="1"/>
  <c r="C27" i="1" s="1"/>
  <c r="O27" i="1"/>
  <c r="N27" i="1"/>
  <c r="M27" i="1"/>
  <c r="L27" i="1"/>
  <c r="K27" i="1"/>
  <c r="J27" i="1"/>
  <c r="P26" i="1"/>
  <c r="I26" i="1" s="1"/>
  <c r="O26" i="1"/>
  <c r="N26" i="1"/>
  <c r="M26" i="1"/>
  <c r="L26" i="1"/>
  <c r="K26" i="1"/>
  <c r="J26" i="1"/>
  <c r="P25" i="1"/>
  <c r="I25" i="1" s="1"/>
  <c r="H25" i="1" s="1"/>
  <c r="O25" i="1"/>
  <c r="N25" i="1"/>
  <c r="M25" i="1"/>
  <c r="L25" i="1"/>
  <c r="K25" i="1"/>
  <c r="J25" i="1"/>
  <c r="P23" i="1"/>
  <c r="D23" i="1" s="1"/>
  <c r="O23" i="1"/>
  <c r="N23" i="1"/>
  <c r="M23" i="1"/>
  <c r="L23" i="1"/>
  <c r="K23" i="1"/>
  <c r="J23" i="1"/>
  <c r="P22" i="1"/>
  <c r="D22" i="1" s="1"/>
  <c r="O22" i="1"/>
  <c r="N22" i="1"/>
  <c r="M22" i="1"/>
  <c r="L22" i="1"/>
  <c r="K22" i="1"/>
  <c r="J22" i="1"/>
  <c r="P21" i="1"/>
  <c r="O21" i="1"/>
  <c r="N21" i="1"/>
  <c r="M21" i="1"/>
  <c r="L21" i="1"/>
  <c r="K21" i="1"/>
  <c r="J21" i="1"/>
  <c r="P20" i="1"/>
  <c r="O20" i="1"/>
  <c r="N20" i="1"/>
  <c r="M20" i="1"/>
  <c r="L20" i="1"/>
  <c r="K20" i="1"/>
  <c r="J20" i="1"/>
  <c r="P19" i="1"/>
  <c r="O19" i="1"/>
  <c r="H19" i="1" s="1"/>
  <c r="N19" i="1"/>
  <c r="G19" i="1" s="1"/>
  <c r="M19" i="1"/>
  <c r="L19" i="1"/>
  <c r="K19" i="1"/>
  <c r="J19" i="1"/>
  <c r="P18" i="1"/>
  <c r="O18" i="1"/>
  <c r="N18" i="1"/>
  <c r="M18" i="1"/>
  <c r="F18" i="1" s="1"/>
  <c r="L18" i="1"/>
  <c r="K18" i="1"/>
  <c r="J18" i="1"/>
  <c r="C18" i="1" s="1"/>
  <c r="P17" i="1"/>
  <c r="O17" i="1"/>
  <c r="M17" i="1"/>
  <c r="L17" i="1"/>
  <c r="K17" i="1"/>
  <c r="J17" i="1"/>
  <c r="P16" i="1"/>
  <c r="E16" i="1" s="1"/>
  <c r="G16" i="1"/>
  <c r="P15" i="1"/>
  <c r="D15" i="1" s="1"/>
  <c r="N15" i="1"/>
  <c r="I15" i="1" s="1"/>
  <c r="H15" i="1"/>
  <c r="G15" i="1" s="1"/>
  <c r="F15" i="1"/>
  <c r="E15" i="1"/>
  <c r="I14" i="1"/>
  <c r="H14" i="1"/>
  <c r="G14" i="1"/>
  <c r="F14" i="1"/>
  <c r="E14" i="1"/>
  <c r="D14" i="1"/>
  <c r="C14" i="1"/>
  <c r="N13" i="1"/>
  <c r="I13" i="1"/>
  <c r="H13" i="1"/>
  <c r="F13" i="1"/>
  <c r="E13" i="1"/>
  <c r="D13" i="1"/>
  <c r="C13" i="1"/>
  <c r="N12" i="1"/>
  <c r="I12" i="1"/>
  <c r="H12" i="1"/>
  <c r="F12" i="1"/>
  <c r="E12" i="1"/>
  <c r="D12" i="1"/>
  <c r="C12" i="1"/>
  <c r="N11" i="1"/>
  <c r="I11" i="1"/>
  <c r="H11" i="1"/>
  <c r="F11" i="1"/>
  <c r="E11" i="1"/>
  <c r="D11" i="1"/>
  <c r="C11" i="1"/>
  <c r="N10" i="1"/>
  <c r="I10" i="1"/>
  <c r="H10" i="1"/>
  <c r="F10" i="1"/>
  <c r="E10" i="1"/>
  <c r="D10" i="1"/>
  <c r="C10" i="1"/>
  <c r="N9" i="1"/>
  <c r="I9" i="1"/>
  <c r="H9" i="1"/>
  <c r="G9" i="1" s="1"/>
  <c r="F9" i="1"/>
  <c r="E9" i="1"/>
  <c r="D9" i="1"/>
  <c r="C9" i="1"/>
  <c r="N8" i="1"/>
  <c r="I8" i="1"/>
  <c r="H8" i="1"/>
  <c r="G8" i="1" s="1"/>
  <c r="F8" i="1"/>
  <c r="E8" i="1"/>
  <c r="D8" i="1"/>
  <c r="C8" i="1"/>
  <c r="I184" i="8"/>
  <c r="H184" i="8"/>
  <c r="G184" i="8"/>
  <c r="F184" i="8"/>
  <c r="E184" i="8"/>
  <c r="D184" i="8"/>
  <c r="C184" i="8"/>
  <c r="I174" i="8"/>
  <c r="H174" i="8"/>
  <c r="G174" i="8"/>
  <c r="F174" i="8"/>
  <c r="E174" i="8"/>
  <c r="D174" i="8"/>
  <c r="C174" i="8"/>
  <c r="I164" i="8"/>
  <c r="H164" i="8"/>
  <c r="G164" i="8"/>
  <c r="F164" i="8"/>
  <c r="E164" i="8"/>
  <c r="D164" i="8"/>
  <c r="C164" i="8"/>
  <c r="I154" i="8"/>
  <c r="H154" i="8"/>
  <c r="G154" i="8"/>
  <c r="F154" i="8"/>
  <c r="E154" i="8"/>
  <c r="D154" i="8"/>
  <c r="C154" i="8"/>
  <c r="I144" i="8"/>
  <c r="H144" i="8"/>
  <c r="G144" i="8"/>
  <c r="F144" i="8"/>
  <c r="E144" i="8"/>
  <c r="D144" i="8"/>
  <c r="C144" i="8"/>
  <c r="I134" i="8"/>
  <c r="H134" i="8"/>
  <c r="G134" i="8"/>
  <c r="F134" i="8"/>
  <c r="E134" i="8"/>
  <c r="D134" i="8"/>
  <c r="C134" i="8"/>
  <c r="I124" i="8"/>
  <c r="H124" i="8"/>
  <c r="G124" i="8"/>
  <c r="F124" i="8"/>
  <c r="E124" i="8"/>
  <c r="D124" i="8"/>
  <c r="C124" i="8"/>
  <c r="I114" i="8"/>
  <c r="H114" i="8"/>
  <c r="G114" i="8"/>
  <c r="F114" i="8"/>
  <c r="E114" i="8"/>
  <c r="D114" i="8"/>
  <c r="C114" i="8"/>
  <c r="I104" i="8"/>
  <c r="H104" i="8"/>
  <c r="G104" i="8"/>
  <c r="F104" i="8"/>
  <c r="E104" i="8"/>
  <c r="D104" i="8"/>
  <c r="C104" i="8"/>
  <c r="I94" i="8"/>
  <c r="H94" i="8"/>
  <c r="G94" i="8"/>
  <c r="F94" i="8"/>
  <c r="E94" i="8"/>
  <c r="D94" i="8"/>
  <c r="C94" i="8"/>
  <c r="I84" i="8"/>
  <c r="H84" i="8"/>
  <c r="G84" i="8"/>
  <c r="F84" i="8"/>
  <c r="E84" i="8"/>
  <c r="D84" i="8"/>
  <c r="C84" i="8"/>
  <c r="I74" i="8"/>
  <c r="H74" i="8"/>
  <c r="G74" i="8"/>
  <c r="F74" i="8"/>
  <c r="E74" i="8"/>
  <c r="D74" i="8"/>
  <c r="C74" i="8"/>
  <c r="I64" i="8"/>
  <c r="H64" i="8"/>
  <c r="G64" i="8"/>
  <c r="F64" i="8"/>
  <c r="E64" i="8"/>
  <c r="D64" i="8"/>
  <c r="C64" i="8"/>
  <c r="I56" i="8"/>
  <c r="I26" i="8" s="1"/>
  <c r="I55" i="8"/>
  <c r="H54" i="8"/>
  <c r="G54" i="8"/>
  <c r="F54" i="8"/>
  <c r="E54" i="8"/>
  <c r="D54" i="8"/>
  <c r="C54" i="8"/>
  <c r="I53" i="8"/>
  <c r="I52" i="8"/>
  <c r="I51" i="8"/>
  <c r="I21" i="8" s="1"/>
  <c r="I50" i="8"/>
  <c r="I49" i="8"/>
  <c r="I48" i="8"/>
  <c r="I44" i="8"/>
  <c r="H44" i="8"/>
  <c r="G44" i="8"/>
  <c r="F44" i="8"/>
  <c r="E44" i="8"/>
  <c r="D44" i="8"/>
  <c r="C44" i="8"/>
  <c r="I34" i="8"/>
  <c r="H34" i="8"/>
  <c r="G34" i="8"/>
  <c r="F34" i="8"/>
  <c r="E34" i="8"/>
  <c r="D34" i="8"/>
  <c r="C34" i="8"/>
  <c r="H26" i="8"/>
  <c r="G26" i="8"/>
  <c r="F26" i="8"/>
  <c r="E26" i="8"/>
  <c r="D26" i="8"/>
  <c r="C26" i="8"/>
  <c r="I25" i="8" s="1"/>
  <c r="H25" i="8"/>
  <c r="G25" i="8"/>
  <c r="F25" i="8"/>
  <c r="E25" i="8"/>
  <c r="D25" i="8"/>
  <c r="C25" i="8"/>
  <c r="I23" i="8"/>
  <c r="H23" i="8"/>
  <c r="G23" i="8"/>
  <c r="F23" i="8"/>
  <c r="E23" i="8"/>
  <c r="D23" i="8"/>
  <c r="C23" i="8"/>
  <c r="H22" i="8"/>
  <c r="G22" i="8"/>
  <c r="F22" i="8"/>
  <c r="E22" i="8"/>
  <c r="D22" i="8"/>
  <c r="C22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I19" i="8" s="1"/>
  <c r="H19" i="8"/>
  <c r="G19" i="8"/>
  <c r="F19" i="8"/>
  <c r="E19" i="8"/>
  <c r="D19" i="8"/>
  <c r="C19" i="8"/>
  <c r="I18" i="8"/>
  <c r="H18" i="8"/>
  <c r="G18" i="8"/>
  <c r="F18" i="8"/>
  <c r="E18" i="8"/>
  <c r="D18" i="8"/>
  <c r="C18" i="8"/>
  <c r="G16" i="8"/>
  <c r="G15" i="8"/>
  <c r="H14" i="8"/>
  <c r="F14" i="8"/>
  <c r="E14" i="8"/>
  <c r="D14" i="8"/>
  <c r="C14" i="8"/>
  <c r="G13" i="8"/>
  <c r="I13" i="8" s="1"/>
  <c r="G12" i="8"/>
  <c r="G11" i="8"/>
  <c r="G10" i="8"/>
  <c r="G9" i="8"/>
  <c r="G8" i="8"/>
  <c r="I8" i="8" s="1"/>
  <c r="I184" i="2"/>
  <c r="H184" i="2"/>
  <c r="G184" i="2"/>
  <c r="F184" i="2"/>
  <c r="E184" i="2"/>
  <c r="D184" i="2"/>
  <c r="C184" i="2"/>
  <c r="I183" i="2"/>
  <c r="H183" i="2"/>
  <c r="G183" i="2"/>
  <c r="F183" i="2"/>
  <c r="E183" i="2"/>
  <c r="D183" i="2"/>
  <c r="C183" i="2"/>
  <c r="P182" i="2"/>
  <c r="P185" i="2" s="1"/>
  <c r="O182" i="2"/>
  <c r="N182" i="2"/>
  <c r="N185" i="2" s="1"/>
  <c r="M182" i="2"/>
  <c r="M185" i="2" s="1"/>
  <c r="L182" i="2"/>
  <c r="L185" i="2" s="1"/>
  <c r="K182" i="2"/>
  <c r="K185" i="2" s="1"/>
  <c r="J182" i="2"/>
  <c r="J185" i="2" s="1"/>
  <c r="I181" i="2"/>
  <c r="H181" i="2"/>
  <c r="G181" i="2"/>
  <c r="F181" i="2"/>
  <c r="E181" i="2"/>
  <c r="D181" i="2"/>
  <c r="C181" i="2"/>
  <c r="I180" i="2"/>
  <c r="H180" i="2"/>
  <c r="G180" i="2"/>
  <c r="F180" i="2"/>
  <c r="E180" i="2"/>
  <c r="D180" i="2"/>
  <c r="C180" i="2"/>
  <c r="I179" i="2"/>
  <c r="H179" i="2"/>
  <c r="G179" i="2"/>
  <c r="F179" i="2"/>
  <c r="E179" i="2"/>
  <c r="D179" i="2"/>
  <c r="C179" i="2"/>
  <c r="I178" i="2"/>
  <c r="H178" i="2"/>
  <c r="G178" i="2"/>
  <c r="F178" i="2"/>
  <c r="E178" i="2"/>
  <c r="D178" i="2"/>
  <c r="C178" i="2"/>
  <c r="I177" i="2"/>
  <c r="H177" i="2"/>
  <c r="G177" i="2"/>
  <c r="F177" i="2"/>
  <c r="E177" i="2"/>
  <c r="D177" i="2"/>
  <c r="C177" i="2"/>
  <c r="I176" i="2"/>
  <c r="H176" i="2"/>
  <c r="G176" i="2"/>
  <c r="F176" i="2"/>
  <c r="E176" i="2"/>
  <c r="D176" i="2"/>
  <c r="C176" i="2"/>
  <c r="I174" i="2"/>
  <c r="H174" i="2"/>
  <c r="G174" i="2"/>
  <c r="F174" i="2"/>
  <c r="E174" i="2"/>
  <c r="D174" i="2"/>
  <c r="C174" i="2"/>
  <c r="I173" i="2"/>
  <c r="H173" i="2"/>
  <c r="G173" i="2"/>
  <c r="F173" i="2"/>
  <c r="E173" i="2"/>
  <c r="D173" i="2"/>
  <c r="C173" i="2"/>
  <c r="P172" i="2"/>
  <c r="O172" i="2"/>
  <c r="O175" i="2" s="1"/>
  <c r="N172" i="2"/>
  <c r="G172" i="2" s="1"/>
  <c r="M172" i="2"/>
  <c r="L172" i="2"/>
  <c r="L175" i="2" s="1"/>
  <c r="K172" i="2"/>
  <c r="K175" i="2" s="1"/>
  <c r="J172" i="2"/>
  <c r="J175" i="2" s="1"/>
  <c r="I171" i="2"/>
  <c r="H171" i="2"/>
  <c r="G171" i="2"/>
  <c r="F171" i="2"/>
  <c r="E171" i="2"/>
  <c r="D171" i="2"/>
  <c r="C171" i="2"/>
  <c r="I170" i="2"/>
  <c r="H170" i="2"/>
  <c r="G170" i="2"/>
  <c r="F170" i="2"/>
  <c r="E170" i="2"/>
  <c r="D170" i="2"/>
  <c r="C170" i="2"/>
  <c r="I169" i="2"/>
  <c r="H169" i="2"/>
  <c r="G169" i="2"/>
  <c r="F169" i="2"/>
  <c r="E169" i="2"/>
  <c r="D169" i="2"/>
  <c r="C169" i="2"/>
  <c r="I168" i="2"/>
  <c r="H168" i="2"/>
  <c r="G168" i="2"/>
  <c r="F168" i="2"/>
  <c r="E168" i="2"/>
  <c r="D168" i="2"/>
  <c r="C168" i="2"/>
  <c r="I167" i="2"/>
  <c r="H167" i="2"/>
  <c r="G167" i="2"/>
  <c r="F167" i="2"/>
  <c r="E167" i="2"/>
  <c r="D167" i="2"/>
  <c r="C167" i="2"/>
  <c r="I166" i="2"/>
  <c r="H166" i="2"/>
  <c r="G166" i="2"/>
  <c r="F166" i="2"/>
  <c r="E166" i="2"/>
  <c r="D166" i="2"/>
  <c r="C166" i="2"/>
  <c r="L165" i="2"/>
  <c r="I164" i="2"/>
  <c r="H164" i="2"/>
  <c r="G164" i="2"/>
  <c r="F164" i="2"/>
  <c r="E164" i="2"/>
  <c r="D164" i="2"/>
  <c r="C164" i="2"/>
  <c r="I163" i="2"/>
  <c r="H163" i="2"/>
  <c r="G163" i="2"/>
  <c r="F163" i="2"/>
  <c r="E163" i="2"/>
  <c r="D163" i="2"/>
  <c r="C163" i="2"/>
  <c r="P162" i="2"/>
  <c r="I162" i="2" s="1"/>
  <c r="O162" i="2"/>
  <c r="H162" i="2" s="1"/>
  <c r="N162" i="2"/>
  <c r="G162" i="2" s="1"/>
  <c r="M162" i="2"/>
  <c r="L162" i="2"/>
  <c r="K162" i="2"/>
  <c r="K165" i="2" s="1"/>
  <c r="J162" i="2"/>
  <c r="J165" i="2" s="1"/>
  <c r="I161" i="2"/>
  <c r="H161" i="2"/>
  <c r="G161" i="2"/>
  <c r="F161" i="2"/>
  <c r="E161" i="2"/>
  <c r="D161" i="2"/>
  <c r="C161" i="2"/>
  <c r="I160" i="2"/>
  <c r="H160" i="2"/>
  <c r="G160" i="2"/>
  <c r="F160" i="2"/>
  <c r="E160" i="2"/>
  <c r="D160" i="2"/>
  <c r="C160" i="2"/>
  <c r="I159" i="2"/>
  <c r="H159" i="2"/>
  <c r="G159" i="2"/>
  <c r="F159" i="2"/>
  <c r="E159" i="2"/>
  <c r="D159" i="2"/>
  <c r="C159" i="2"/>
  <c r="I158" i="2"/>
  <c r="H158" i="2"/>
  <c r="G158" i="2"/>
  <c r="F158" i="2"/>
  <c r="E158" i="2"/>
  <c r="D158" i="2"/>
  <c r="C158" i="2"/>
  <c r="I157" i="2"/>
  <c r="H157" i="2"/>
  <c r="G157" i="2"/>
  <c r="F157" i="2"/>
  <c r="E157" i="2"/>
  <c r="D157" i="2"/>
  <c r="C157" i="2"/>
  <c r="I156" i="2"/>
  <c r="H156" i="2"/>
  <c r="G156" i="2"/>
  <c r="F156" i="2"/>
  <c r="E156" i="2"/>
  <c r="D156" i="2"/>
  <c r="C156" i="2"/>
  <c r="P155" i="2"/>
  <c r="I154" i="2"/>
  <c r="H154" i="2"/>
  <c r="G154" i="2"/>
  <c r="F154" i="2"/>
  <c r="E154" i="2"/>
  <c r="D154" i="2"/>
  <c r="C154" i="2"/>
  <c r="I153" i="2"/>
  <c r="H153" i="2"/>
  <c r="G153" i="2"/>
  <c r="F153" i="2"/>
  <c r="E153" i="2"/>
  <c r="D153" i="2"/>
  <c r="C153" i="2"/>
  <c r="P152" i="2"/>
  <c r="O152" i="2"/>
  <c r="H152" i="2" s="1"/>
  <c r="N152" i="2"/>
  <c r="G152" i="2" s="1"/>
  <c r="M152" i="2"/>
  <c r="M155" i="2" s="1"/>
  <c r="L152" i="2"/>
  <c r="L155" i="2" s="1"/>
  <c r="K152" i="2"/>
  <c r="J152" i="2"/>
  <c r="J155" i="2" s="1"/>
  <c r="I151" i="2"/>
  <c r="H151" i="2"/>
  <c r="G151" i="2"/>
  <c r="F151" i="2"/>
  <c r="E151" i="2"/>
  <c r="D151" i="2"/>
  <c r="C151" i="2"/>
  <c r="I150" i="2"/>
  <c r="H150" i="2"/>
  <c r="G150" i="2"/>
  <c r="F150" i="2"/>
  <c r="E150" i="2"/>
  <c r="D150" i="2"/>
  <c r="C150" i="2"/>
  <c r="I149" i="2"/>
  <c r="H149" i="2"/>
  <c r="G149" i="2"/>
  <c r="F149" i="2"/>
  <c r="E149" i="2"/>
  <c r="D149" i="2"/>
  <c r="C149" i="2"/>
  <c r="I148" i="2"/>
  <c r="H148" i="2"/>
  <c r="G148" i="2"/>
  <c r="F148" i="2"/>
  <c r="E148" i="2"/>
  <c r="D148" i="2"/>
  <c r="C148" i="2"/>
  <c r="I147" i="2"/>
  <c r="H147" i="2"/>
  <c r="G147" i="2"/>
  <c r="F147" i="2"/>
  <c r="E147" i="2"/>
  <c r="D147" i="2"/>
  <c r="C147" i="2"/>
  <c r="I146" i="2"/>
  <c r="H146" i="2"/>
  <c r="G146" i="2"/>
  <c r="F146" i="2"/>
  <c r="E146" i="2"/>
  <c r="D146" i="2"/>
  <c r="C146" i="2"/>
  <c r="K145" i="2"/>
  <c r="I144" i="2"/>
  <c r="H144" i="2"/>
  <c r="G144" i="2"/>
  <c r="F144" i="2"/>
  <c r="E144" i="2"/>
  <c r="D144" i="2"/>
  <c r="C144" i="2"/>
  <c r="I143" i="2"/>
  <c r="H143" i="2"/>
  <c r="G143" i="2"/>
  <c r="F143" i="2"/>
  <c r="E143" i="2"/>
  <c r="D143" i="2"/>
  <c r="C143" i="2"/>
  <c r="P142" i="2"/>
  <c r="P145" i="2" s="1"/>
  <c r="O142" i="2"/>
  <c r="O145" i="2" s="1"/>
  <c r="N142" i="2"/>
  <c r="M142" i="2"/>
  <c r="L142" i="2"/>
  <c r="L145" i="2" s="1"/>
  <c r="K142" i="2"/>
  <c r="J142" i="2"/>
  <c r="J145" i="2" s="1"/>
  <c r="I141" i="2"/>
  <c r="H141" i="2"/>
  <c r="G141" i="2"/>
  <c r="F141" i="2"/>
  <c r="E141" i="2"/>
  <c r="D141" i="2"/>
  <c r="C141" i="2"/>
  <c r="I140" i="2"/>
  <c r="H140" i="2"/>
  <c r="G140" i="2"/>
  <c r="F140" i="2"/>
  <c r="E140" i="2"/>
  <c r="D140" i="2"/>
  <c r="C140" i="2"/>
  <c r="I139" i="2"/>
  <c r="H139" i="2"/>
  <c r="G139" i="2"/>
  <c r="F139" i="2"/>
  <c r="E139" i="2"/>
  <c r="D139" i="2"/>
  <c r="C139" i="2"/>
  <c r="I138" i="2"/>
  <c r="H138" i="2"/>
  <c r="G138" i="2"/>
  <c r="F138" i="2"/>
  <c r="E138" i="2"/>
  <c r="D138" i="2"/>
  <c r="C138" i="2"/>
  <c r="I137" i="2"/>
  <c r="H137" i="2"/>
  <c r="G137" i="2"/>
  <c r="F137" i="2"/>
  <c r="E137" i="2"/>
  <c r="D137" i="2"/>
  <c r="C137" i="2"/>
  <c r="I136" i="2"/>
  <c r="H136" i="2"/>
  <c r="G136" i="2"/>
  <c r="F136" i="2"/>
  <c r="E136" i="2"/>
  <c r="D136" i="2"/>
  <c r="C136" i="2"/>
  <c r="O155" i="2" l="1"/>
  <c r="N155" i="2" s="1"/>
  <c r="D24" i="8"/>
  <c r="C24" i="8" s="1"/>
  <c r="H24" i="8"/>
  <c r="I185" i="2"/>
  <c r="D185" i="2"/>
  <c r="H18" i="1"/>
  <c r="D19" i="1"/>
  <c r="H84" i="1"/>
  <c r="C144" i="1"/>
  <c r="O185" i="2"/>
  <c r="H185" i="2" s="1"/>
  <c r="D152" i="2"/>
  <c r="F17" i="1"/>
  <c r="E18" i="1"/>
  <c r="D184" i="1"/>
  <c r="C184" i="1" s="1"/>
  <c r="G142" i="2"/>
  <c r="I16" i="1"/>
  <c r="H16" i="1" s="1"/>
  <c r="G23" i="1"/>
  <c r="F23" i="1" s="1"/>
  <c r="H26" i="1"/>
  <c r="G26" i="1" s="1"/>
  <c r="F26" i="1" s="1"/>
  <c r="E26" i="1" s="1"/>
  <c r="D26" i="1" s="1"/>
  <c r="C26" i="1" s="1"/>
  <c r="G154" i="1"/>
  <c r="F154" i="1" s="1"/>
  <c r="E154" i="1" s="1"/>
  <c r="H174" i="1"/>
  <c r="G174" i="1" s="1"/>
  <c r="E184" i="1"/>
  <c r="F142" i="2"/>
  <c r="F162" i="2"/>
  <c r="F172" i="2"/>
  <c r="H23" i="1"/>
  <c r="G25" i="1"/>
  <c r="F25" i="1" s="1"/>
  <c r="G114" i="1"/>
  <c r="F114" i="1" s="1"/>
  <c r="E114" i="1" s="1"/>
  <c r="D114" i="1" s="1"/>
  <c r="F184" i="1"/>
  <c r="N74" i="5"/>
  <c r="N110" i="5"/>
  <c r="Q284" i="18"/>
  <c r="Q283" i="18"/>
  <c r="Q282" i="18"/>
  <c r="Q281" i="18"/>
  <c r="Q280" i="18"/>
  <c r="AI278" i="18"/>
  <c r="Q279" i="18"/>
  <c r="F24" i="8"/>
  <c r="E24" i="8" s="1"/>
  <c r="H44" i="1"/>
  <c r="G44" i="1" s="1"/>
  <c r="F44" i="1" s="1"/>
  <c r="C174" i="1"/>
  <c r="M20" i="5"/>
  <c r="C152" i="2"/>
  <c r="F19" i="1"/>
  <c r="E19" i="1" s="1"/>
  <c r="I54" i="1"/>
  <c r="I164" i="1"/>
  <c r="O20" i="5"/>
  <c r="N20" i="5" s="1"/>
  <c r="E162" i="2"/>
  <c r="D162" i="2" s="1"/>
  <c r="E174" i="1"/>
  <c r="I23" i="1"/>
  <c r="F74" i="1"/>
  <c r="E74" i="1" s="1"/>
  <c r="D74" i="1" s="1"/>
  <c r="C154" i="1"/>
  <c r="J11" i="5"/>
  <c r="I142" i="2"/>
  <c r="H142" i="2" s="1"/>
  <c r="E172" i="2"/>
  <c r="D172" i="2" s="1"/>
  <c r="H182" i="2"/>
  <c r="G182" i="2" s="1"/>
  <c r="F182" i="2" s="1"/>
  <c r="C16" i="1"/>
  <c r="D17" i="1"/>
  <c r="C17" i="1" s="1"/>
  <c r="F54" i="1"/>
  <c r="E134" i="1"/>
  <c r="D134" i="1" s="1"/>
  <c r="C134" i="1" s="1"/>
  <c r="G184" i="1"/>
  <c r="K11" i="5"/>
  <c r="N24" i="1"/>
  <c r="I15" i="8"/>
  <c r="O165" i="2"/>
  <c r="N165" i="2" s="1"/>
  <c r="G24" i="8"/>
  <c r="P24" i="1"/>
  <c r="I24" i="1" s="1"/>
  <c r="C22" i="1"/>
  <c r="J24" i="1"/>
  <c r="I21" i="1"/>
  <c r="C142" i="2"/>
  <c r="E182" i="2"/>
  <c r="D182" i="2" s="1"/>
  <c r="C182" i="2" s="1"/>
  <c r="G12" i="1"/>
  <c r="D16" i="1"/>
  <c r="D18" i="1"/>
  <c r="I19" i="1"/>
  <c r="M24" i="1"/>
  <c r="E23" i="1"/>
  <c r="G54" i="1"/>
  <c r="I144" i="1"/>
  <c r="G164" i="1"/>
  <c r="F164" i="1" s="1"/>
  <c r="L11" i="5"/>
  <c r="E142" i="2"/>
  <c r="D142" i="2" s="1"/>
  <c r="H104" i="1"/>
  <c r="G104" i="1" s="1"/>
  <c r="F104" i="1" s="1"/>
  <c r="E104" i="1" s="1"/>
  <c r="D104" i="1" s="1"/>
  <c r="C104" i="1" s="1"/>
  <c r="C114" i="1"/>
  <c r="E17" i="1"/>
  <c r="H20" i="1"/>
  <c r="G20" i="1" s="1"/>
  <c r="F20" i="1" s="1"/>
  <c r="H34" i="1"/>
  <c r="G34" i="1" s="1"/>
  <c r="F34" i="1" s="1"/>
  <c r="E34" i="1" s="1"/>
  <c r="G84" i="1"/>
  <c r="F84" i="1" s="1"/>
  <c r="E84" i="1" s="1"/>
  <c r="D164" i="1"/>
  <c r="E164" i="1"/>
  <c r="F152" i="2"/>
  <c r="K155" i="2"/>
  <c r="I182" i="2"/>
  <c r="C15" i="1"/>
  <c r="F16" i="1"/>
  <c r="L24" i="1"/>
  <c r="F21" i="1"/>
  <c r="E21" i="1" s="1"/>
  <c r="D21" i="1" s="1"/>
  <c r="G22" i="1"/>
  <c r="F22" i="1" s="1"/>
  <c r="E22" i="1" s="1"/>
  <c r="E25" i="1"/>
  <c r="D25" i="1" s="1"/>
  <c r="C25" i="1" s="1"/>
  <c r="H54" i="1"/>
  <c r="D84" i="1"/>
  <c r="C84" i="1" s="1"/>
  <c r="E94" i="1"/>
  <c r="D94" i="1" s="1"/>
  <c r="C94" i="1" s="1"/>
  <c r="H164" i="1"/>
  <c r="O11" i="5"/>
  <c r="R284" i="18"/>
  <c r="R283" i="18"/>
  <c r="R282" i="18"/>
  <c r="R281" i="18"/>
  <c r="R280" i="18"/>
  <c r="R279" i="18"/>
  <c r="AJ278" i="18"/>
  <c r="AK272" i="18"/>
  <c r="S273" i="18"/>
  <c r="S278" i="18"/>
  <c r="S276" i="18"/>
  <c r="S277" i="18"/>
  <c r="S274" i="18"/>
  <c r="S275" i="18"/>
  <c r="P273" i="18"/>
  <c r="P278" i="18"/>
  <c r="P276" i="18"/>
  <c r="AH272" i="18"/>
  <c r="P274" i="18"/>
  <c r="P275" i="18"/>
  <c r="P277" i="18"/>
  <c r="D145" i="2"/>
  <c r="N175" i="2"/>
  <c r="G185" i="2"/>
  <c r="C185" i="2"/>
  <c r="N145" i="2"/>
  <c r="H145" i="2"/>
  <c r="F185" i="2"/>
  <c r="E185" i="2" s="1"/>
  <c r="E20" i="1"/>
  <c r="D20" i="1" s="1"/>
  <c r="C20" i="1" s="1"/>
  <c r="M165" i="2"/>
  <c r="H172" i="2"/>
  <c r="I11" i="8"/>
  <c r="G14" i="8"/>
  <c r="I54" i="8"/>
  <c r="I24" i="8" s="1"/>
  <c r="G11" i="1"/>
  <c r="C21" i="1"/>
  <c r="K24" i="1"/>
  <c r="G27" i="1"/>
  <c r="F27" i="1" s="1"/>
  <c r="E27" i="1" s="1"/>
  <c r="D27" i="1" s="1"/>
  <c r="N146" i="5"/>
  <c r="P165" i="2"/>
  <c r="I165" i="2" s="1"/>
  <c r="I172" i="2"/>
  <c r="I12" i="8"/>
  <c r="G10" i="1"/>
  <c r="I17" i="1"/>
  <c r="H17" i="1" s="1"/>
  <c r="I20" i="1"/>
  <c r="I27" i="1"/>
  <c r="H27" i="1" s="1"/>
  <c r="I184" i="1"/>
  <c r="H184" i="1" s="1"/>
  <c r="E152" i="2"/>
  <c r="C162" i="2"/>
  <c r="D34" i="1"/>
  <c r="C34" i="1" s="1"/>
  <c r="E44" i="1"/>
  <c r="D44" i="1" s="1"/>
  <c r="C44" i="1" s="1"/>
  <c r="C164" i="1"/>
  <c r="N11" i="5"/>
  <c r="M11" i="5" s="1"/>
  <c r="H134" i="1"/>
  <c r="G134" i="1" s="1"/>
  <c r="F134" i="1" s="1"/>
  <c r="H144" i="1"/>
  <c r="G144" i="1" s="1"/>
  <c r="F144" i="1" s="1"/>
  <c r="E144" i="1" s="1"/>
  <c r="D144" i="1" s="1"/>
  <c r="C172" i="2"/>
  <c r="G18" i="1"/>
  <c r="I22" i="1"/>
  <c r="H22" i="1" s="1"/>
  <c r="O24" i="1"/>
  <c r="I34" i="1"/>
  <c r="I124" i="1"/>
  <c r="H124" i="1" s="1"/>
  <c r="G124" i="1" s="1"/>
  <c r="F124" i="1" s="1"/>
  <c r="E124" i="1" s="1"/>
  <c r="D124" i="1" s="1"/>
  <c r="C124" i="1" s="1"/>
  <c r="I134" i="1"/>
  <c r="I154" i="1"/>
  <c r="H154" i="1" s="1"/>
  <c r="J20" i="5"/>
  <c r="N128" i="5"/>
  <c r="I145" i="2"/>
  <c r="H21" i="1"/>
  <c r="G21" i="1" s="1"/>
  <c r="C23" i="1"/>
  <c r="C145" i="2"/>
  <c r="I152" i="2"/>
  <c r="I9" i="8"/>
  <c r="I22" i="8"/>
  <c r="N17" i="1"/>
  <c r="C19" i="1"/>
  <c r="H64" i="1"/>
  <c r="G64" i="1" s="1"/>
  <c r="F64" i="1" s="1"/>
  <c r="E64" i="1" s="1"/>
  <c r="D64" i="1" s="1"/>
  <c r="C64" i="1" s="1"/>
  <c r="H94" i="1"/>
  <c r="G94" i="1" s="1"/>
  <c r="F94" i="1" s="1"/>
  <c r="I114" i="1"/>
  <c r="H114" i="1" s="1"/>
  <c r="K20" i="5"/>
  <c r="N38" i="5"/>
  <c r="N83" i="5"/>
  <c r="N164" i="5"/>
  <c r="I155" i="2"/>
  <c r="H155" i="2" s="1"/>
  <c r="G155" i="2" s="1"/>
  <c r="F155" i="2" s="1"/>
  <c r="E155" i="2" s="1"/>
  <c r="D155" i="2" s="1"/>
  <c r="C155" i="2" s="1"/>
  <c r="C54" i="1"/>
  <c r="I16" i="8"/>
  <c r="D54" i="1"/>
  <c r="P175" i="2"/>
  <c r="I175" i="2" s="1"/>
  <c r="I10" i="8"/>
  <c r="G13" i="1"/>
  <c r="I18" i="1"/>
  <c r="I74" i="1"/>
  <c r="H74" i="1" s="1"/>
  <c r="I84" i="1"/>
  <c r="L20" i="5"/>
  <c r="I134" i="2"/>
  <c r="H134" i="2"/>
  <c r="G134" i="2"/>
  <c r="F134" i="2"/>
  <c r="E134" i="2"/>
  <c r="D134" i="2"/>
  <c r="C134" i="2"/>
  <c r="I133" i="2"/>
  <c r="H133" i="2"/>
  <c r="G133" i="2"/>
  <c r="F133" i="2"/>
  <c r="E133" i="2"/>
  <c r="D133" i="2"/>
  <c r="C133" i="2"/>
  <c r="P132" i="2"/>
  <c r="P135" i="2" s="1"/>
  <c r="I135" i="2" s="1"/>
  <c r="O132" i="2"/>
  <c r="O135" i="2" s="1"/>
  <c r="N132" i="2"/>
  <c r="M132" i="2"/>
  <c r="M135" i="2" s="1"/>
  <c r="L132" i="2"/>
  <c r="L135" i="2" s="1"/>
  <c r="K132" i="2"/>
  <c r="J132" i="2"/>
  <c r="J135" i="2" s="1"/>
  <c r="I131" i="2"/>
  <c r="H131" i="2"/>
  <c r="G131" i="2"/>
  <c r="F131" i="2"/>
  <c r="E131" i="2"/>
  <c r="D131" i="2"/>
  <c r="C131" i="2"/>
  <c r="I130" i="2"/>
  <c r="H130" i="2"/>
  <c r="G130" i="2"/>
  <c r="F130" i="2"/>
  <c r="E130" i="2"/>
  <c r="D130" i="2"/>
  <c r="C130" i="2"/>
  <c r="I129" i="2"/>
  <c r="H129" i="2"/>
  <c r="G129" i="2"/>
  <c r="F129" i="2"/>
  <c r="E129" i="2"/>
  <c r="D129" i="2"/>
  <c r="C129" i="2"/>
  <c r="I128" i="2"/>
  <c r="H128" i="2"/>
  <c r="G128" i="2"/>
  <c r="F128" i="2"/>
  <c r="E128" i="2"/>
  <c r="D128" i="2"/>
  <c r="C128" i="2"/>
  <c r="I127" i="2"/>
  <c r="H127" i="2"/>
  <c r="G127" i="2"/>
  <c r="F127" i="2"/>
  <c r="E127" i="2"/>
  <c r="D127" i="2"/>
  <c r="C127" i="2"/>
  <c r="I126" i="2"/>
  <c r="H126" i="2"/>
  <c r="G126" i="2"/>
  <c r="F126" i="2"/>
  <c r="E126" i="2"/>
  <c r="D126" i="2"/>
  <c r="C126" i="2"/>
  <c r="I124" i="2"/>
  <c r="H124" i="2"/>
  <c r="G124" i="2"/>
  <c r="F124" i="2"/>
  <c r="E124" i="2"/>
  <c r="D124" i="2"/>
  <c r="C124" i="2"/>
  <c r="I123" i="2"/>
  <c r="H123" i="2"/>
  <c r="G123" i="2"/>
  <c r="F123" i="2"/>
  <c r="E123" i="2"/>
  <c r="D123" i="2"/>
  <c r="C123" i="2"/>
  <c r="P122" i="2"/>
  <c r="O122" i="2"/>
  <c r="O125" i="2" s="1"/>
  <c r="N122" i="2"/>
  <c r="M122" i="2"/>
  <c r="M125" i="2" s="1"/>
  <c r="L122" i="2"/>
  <c r="L125" i="2" s="1"/>
  <c r="K122" i="2"/>
  <c r="J122" i="2"/>
  <c r="J125" i="2" s="1"/>
  <c r="I121" i="2"/>
  <c r="H121" i="2"/>
  <c r="G121" i="2"/>
  <c r="F121" i="2"/>
  <c r="E121" i="2"/>
  <c r="D121" i="2"/>
  <c r="C121" i="2"/>
  <c r="I120" i="2"/>
  <c r="H120" i="2"/>
  <c r="G120" i="2"/>
  <c r="F120" i="2"/>
  <c r="E120" i="2"/>
  <c r="D120" i="2"/>
  <c r="C120" i="2"/>
  <c r="I119" i="2"/>
  <c r="H119" i="2"/>
  <c r="G119" i="2"/>
  <c r="F119" i="2"/>
  <c r="E119" i="2"/>
  <c r="D119" i="2"/>
  <c r="C119" i="2"/>
  <c r="I118" i="2"/>
  <c r="H118" i="2"/>
  <c r="G118" i="2"/>
  <c r="F118" i="2"/>
  <c r="E118" i="2"/>
  <c r="D118" i="2"/>
  <c r="C118" i="2"/>
  <c r="I117" i="2"/>
  <c r="H117" i="2"/>
  <c r="G117" i="2"/>
  <c r="F117" i="2"/>
  <c r="E117" i="2"/>
  <c r="D117" i="2"/>
  <c r="C117" i="2"/>
  <c r="I116" i="2"/>
  <c r="H116" i="2"/>
  <c r="G116" i="2"/>
  <c r="F116" i="2"/>
  <c r="E116" i="2"/>
  <c r="D116" i="2"/>
  <c r="C116" i="2"/>
  <c r="I114" i="2"/>
  <c r="H114" i="2"/>
  <c r="G114" i="2"/>
  <c r="F114" i="2"/>
  <c r="E114" i="2"/>
  <c r="D114" i="2"/>
  <c r="C114" i="2"/>
  <c r="I113" i="2"/>
  <c r="H113" i="2"/>
  <c r="G113" i="2"/>
  <c r="F113" i="2"/>
  <c r="E113" i="2"/>
  <c r="D113" i="2"/>
  <c r="C113" i="2"/>
  <c r="P112" i="2"/>
  <c r="O112" i="2"/>
  <c r="O115" i="2" s="1"/>
  <c r="N112" i="2"/>
  <c r="M112" i="2"/>
  <c r="M115" i="2" s="1"/>
  <c r="L112" i="2"/>
  <c r="E112" i="2" s="1"/>
  <c r="K112" i="2"/>
  <c r="K115" i="2" s="1"/>
  <c r="J112" i="2"/>
  <c r="J115" i="2" s="1"/>
  <c r="F112" i="2"/>
  <c r="I111" i="2"/>
  <c r="H111" i="2"/>
  <c r="G111" i="2"/>
  <c r="F111" i="2"/>
  <c r="E111" i="2"/>
  <c r="D111" i="2"/>
  <c r="C111" i="2"/>
  <c r="I110" i="2"/>
  <c r="H110" i="2"/>
  <c r="G110" i="2"/>
  <c r="F110" i="2"/>
  <c r="E110" i="2"/>
  <c r="D110" i="2"/>
  <c r="C110" i="2"/>
  <c r="I109" i="2"/>
  <c r="H109" i="2"/>
  <c r="G109" i="2"/>
  <c r="F109" i="2"/>
  <c r="E109" i="2"/>
  <c r="D109" i="2"/>
  <c r="C109" i="2"/>
  <c r="I108" i="2"/>
  <c r="H108" i="2"/>
  <c r="G108" i="2"/>
  <c r="F108" i="2"/>
  <c r="E108" i="2"/>
  <c r="D108" i="2"/>
  <c r="C108" i="2"/>
  <c r="I107" i="2"/>
  <c r="H107" i="2"/>
  <c r="G107" i="2"/>
  <c r="F107" i="2"/>
  <c r="E107" i="2"/>
  <c r="D107" i="2"/>
  <c r="C107" i="2"/>
  <c r="I106" i="2"/>
  <c r="H106" i="2"/>
  <c r="G106" i="2"/>
  <c r="F106" i="2"/>
  <c r="E106" i="2"/>
  <c r="D106" i="2"/>
  <c r="C106" i="2"/>
  <c r="I104" i="2"/>
  <c r="H104" i="2"/>
  <c r="G104" i="2"/>
  <c r="F104" i="2"/>
  <c r="E104" i="2"/>
  <c r="D104" i="2"/>
  <c r="C104" i="2"/>
  <c r="I103" i="2"/>
  <c r="H103" i="2"/>
  <c r="G103" i="2"/>
  <c r="F103" i="2"/>
  <c r="E103" i="2"/>
  <c r="D103" i="2"/>
  <c r="C103" i="2"/>
  <c r="P102" i="2"/>
  <c r="P105" i="2" s="1"/>
  <c r="I105" i="2" s="1"/>
  <c r="O102" i="2"/>
  <c r="O105" i="2" s="1"/>
  <c r="N102" i="2"/>
  <c r="M102" i="2"/>
  <c r="M105" i="2" s="1"/>
  <c r="L102" i="2"/>
  <c r="E102" i="2" s="1"/>
  <c r="K102" i="2"/>
  <c r="K105" i="2" s="1"/>
  <c r="D105" i="2" s="1"/>
  <c r="J102" i="2"/>
  <c r="J105" i="2" s="1"/>
  <c r="I101" i="2"/>
  <c r="H101" i="2"/>
  <c r="G101" i="2"/>
  <c r="F101" i="2"/>
  <c r="E101" i="2"/>
  <c r="D101" i="2"/>
  <c r="C101" i="2"/>
  <c r="I100" i="2"/>
  <c r="H100" i="2"/>
  <c r="G100" i="2"/>
  <c r="F100" i="2"/>
  <c r="E100" i="2"/>
  <c r="D100" i="2"/>
  <c r="C100" i="2"/>
  <c r="I99" i="2"/>
  <c r="H99" i="2"/>
  <c r="G99" i="2"/>
  <c r="F99" i="2"/>
  <c r="E99" i="2"/>
  <c r="D99" i="2"/>
  <c r="C99" i="2"/>
  <c r="I98" i="2"/>
  <c r="H98" i="2"/>
  <c r="G98" i="2"/>
  <c r="F98" i="2"/>
  <c r="E98" i="2"/>
  <c r="D98" i="2"/>
  <c r="C98" i="2"/>
  <c r="I97" i="2"/>
  <c r="H97" i="2"/>
  <c r="G97" i="2"/>
  <c r="F97" i="2"/>
  <c r="E97" i="2"/>
  <c r="D97" i="2"/>
  <c r="C97" i="2"/>
  <c r="I96" i="2"/>
  <c r="H96" i="2"/>
  <c r="G96" i="2"/>
  <c r="F96" i="2"/>
  <c r="E96" i="2"/>
  <c r="D96" i="2"/>
  <c r="C96" i="2"/>
  <c r="I94" i="2"/>
  <c r="H94" i="2"/>
  <c r="G94" i="2"/>
  <c r="F94" i="2"/>
  <c r="E94" i="2"/>
  <c r="D94" i="2"/>
  <c r="C94" i="2"/>
  <c r="I93" i="2"/>
  <c r="H93" i="2"/>
  <c r="G93" i="2"/>
  <c r="F93" i="2"/>
  <c r="E93" i="2"/>
  <c r="D93" i="2"/>
  <c r="C93" i="2"/>
  <c r="P92" i="2"/>
  <c r="P95" i="2" s="1"/>
  <c r="O92" i="2"/>
  <c r="N92" i="2"/>
  <c r="N95" i="2" s="1"/>
  <c r="M92" i="2"/>
  <c r="M95" i="2" s="1"/>
  <c r="L92" i="2"/>
  <c r="L95" i="2" s="1"/>
  <c r="K92" i="2"/>
  <c r="K95" i="2" s="1"/>
  <c r="J92" i="2"/>
  <c r="J95" i="2" s="1"/>
  <c r="I91" i="2"/>
  <c r="H91" i="2"/>
  <c r="G91" i="2"/>
  <c r="F91" i="2"/>
  <c r="E91" i="2"/>
  <c r="D91" i="2"/>
  <c r="C91" i="2"/>
  <c r="I90" i="2"/>
  <c r="H90" i="2"/>
  <c r="G90" i="2"/>
  <c r="F90" i="2"/>
  <c r="E90" i="2"/>
  <c r="D90" i="2"/>
  <c r="C90" i="2"/>
  <c r="I89" i="2"/>
  <c r="H89" i="2"/>
  <c r="G89" i="2"/>
  <c r="F89" i="2"/>
  <c r="E89" i="2"/>
  <c r="D89" i="2"/>
  <c r="C89" i="2"/>
  <c r="I88" i="2"/>
  <c r="H88" i="2"/>
  <c r="G88" i="2"/>
  <c r="F88" i="2"/>
  <c r="E88" i="2"/>
  <c r="D88" i="2"/>
  <c r="C88" i="2"/>
  <c r="I87" i="2"/>
  <c r="H87" i="2"/>
  <c r="G87" i="2"/>
  <c r="F87" i="2"/>
  <c r="E87" i="2"/>
  <c r="D87" i="2"/>
  <c r="C87" i="2"/>
  <c r="I86" i="2"/>
  <c r="H86" i="2"/>
  <c r="G86" i="2"/>
  <c r="F86" i="2"/>
  <c r="E86" i="2"/>
  <c r="D86" i="2"/>
  <c r="C86" i="2"/>
  <c r="I84" i="2"/>
  <c r="H84" i="2"/>
  <c r="G84" i="2"/>
  <c r="F84" i="2"/>
  <c r="E84" i="2"/>
  <c r="D84" i="2"/>
  <c r="C84" i="2"/>
  <c r="I83" i="2"/>
  <c r="H83" i="2"/>
  <c r="G83" i="2"/>
  <c r="F83" i="2"/>
  <c r="E83" i="2"/>
  <c r="D83" i="2"/>
  <c r="C83" i="2"/>
  <c r="P82" i="2"/>
  <c r="P85" i="2" s="1"/>
  <c r="O82" i="2"/>
  <c r="N82" i="2"/>
  <c r="G82" i="2" s="1"/>
  <c r="M82" i="2"/>
  <c r="F82" i="2" s="1"/>
  <c r="L82" i="2"/>
  <c r="E82" i="2" s="1"/>
  <c r="K82" i="2"/>
  <c r="K85" i="2" s="1"/>
  <c r="J82" i="2"/>
  <c r="J85" i="2" s="1"/>
  <c r="I81" i="2"/>
  <c r="H81" i="2"/>
  <c r="G81" i="2"/>
  <c r="F81" i="2"/>
  <c r="E81" i="2"/>
  <c r="D81" i="2"/>
  <c r="C81" i="2"/>
  <c r="I80" i="2"/>
  <c r="H80" i="2"/>
  <c r="G80" i="2"/>
  <c r="F80" i="2"/>
  <c r="E80" i="2"/>
  <c r="D80" i="2"/>
  <c r="C80" i="2"/>
  <c r="I79" i="2"/>
  <c r="H79" i="2"/>
  <c r="G79" i="2"/>
  <c r="F79" i="2"/>
  <c r="E79" i="2"/>
  <c r="D79" i="2"/>
  <c r="C79" i="2"/>
  <c r="I78" i="2"/>
  <c r="H78" i="2"/>
  <c r="G78" i="2"/>
  <c r="F78" i="2"/>
  <c r="E78" i="2"/>
  <c r="D78" i="2"/>
  <c r="C78" i="2"/>
  <c r="I77" i="2"/>
  <c r="H77" i="2"/>
  <c r="G77" i="2"/>
  <c r="F77" i="2"/>
  <c r="E77" i="2"/>
  <c r="D77" i="2"/>
  <c r="C77" i="2"/>
  <c r="I76" i="2"/>
  <c r="H76" i="2"/>
  <c r="G76" i="2"/>
  <c r="F76" i="2"/>
  <c r="E76" i="2"/>
  <c r="D76" i="2"/>
  <c r="C76" i="2"/>
  <c r="I74" i="2"/>
  <c r="H74" i="2"/>
  <c r="G74" i="2"/>
  <c r="F74" i="2"/>
  <c r="E74" i="2"/>
  <c r="D74" i="2"/>
  <c r="C74" i="2"/>
  <c r="I73" i="2"/>
  <c r="H73" i="2"/>
  <c r="G73" i="2"/>
  <c r="F73" i="2"/>
  <c r="E73" i="2"/>
  <c r="D73" i="2"/>
  <c r="C73" i="2"/>
  <c r="P72" i="2"/>
  <c r="P75" i="2" s="1"/>
  <c r="O72" i="2"/>
  <c r="H72" i="2" s="1"/>
  <c r="N72" i="2"/>
  <c r="N75" i="2" s="1"/>
  <c r="G75" i="2" s="1"/>
  <c r="M72" i="2"/>
  <c r="M75" i="2" s="1"/>
  <c r="L72" i="2"/>
  <c r="L75" i="2" s="1"/>
  <c r="E75" i="2" s="1"/>
  <c r="K72" i="2"/>
  <c r="K75" i="2" s="1"/>
  <c r="J72" i="2"/>
  <c r="C72" i="2" s="1"/>
  <c r="I71" i="2"/>
  <c r="H71" i="2"/>
  <c r="G71" i="2"/>
  <c r="F71" i="2"/>
  <c r="E71" i="2"/>
  <c r="D71" i="2"/>
  <c r="C71" i="2"/>
  <c r="I70" i="2"/>
  <c r="H70" i="2"/>
  <c r="G70" i="2"/>
  <c r="F70" i="2"/>
  <c r="E70" i="2"/>
  <c r="D70" i="2"/>
  <c r="C70" i="2"/>
  <c r="I69" i="2"/>
  <c r="H69" i="2"/>
  <c r="G69" i="2"/>
  <c r="F69" i="2"/>
  <c r="E69" i="2"/>
  <c r="D69" i="2"/>
  <c r="C69" i="2"/>
  <c r="I68" i="2"/>
  <c r="H68" i="2"/>
  <c r="G68" i="2"/>
  <c r="F68" i="2"/>
  <c r="E68" i="2"/>
  <c r="D68" i="2"/>
  <c r="C68" i="2"/>
  <c r="I67" i="2"/>
  <c r="H67" i="2"/>
  <c r="G67" i="2"/>
  <c r="F67" i="2"/>
  <c r="E67" i="2"/>
  <c r="D67" i="2"/>
  <c r="C67" i="2"/>
  <c r="I66" i="2"/>
  <c r="H66" i="2"/>
  <c r="G66" i="2"/>
  <c r="F66" i="2"/>
  <c r="E66" i="2"/>
  <c r="D66" i="2"/>
  <c r="C66" i="2"/>
  <c r="M65" i="2"/>
  <c r="K65" i="2"/>
  <c r="J65" i="2"/>
  <c r="I64" i="2"/>
  <c r="H64" i="2"/>
  <c r="G64" i="2"/>
  <c r="F64" i="2"/>
  <c r="E64" i="2"/>
  <c r="D64" i="2"/>
  <c r="C64" i="2"/>
  <c r="I63" i="2"/>
  <c r="H63" i="2"/>
  <c r="G63" i="2"/>
  <c r="F63" i="2"/>
  <c r="E63" i="2"/>
  <c r="D63" i="2"/>
  <c r="C63" i="2"/>
  <c r="P62" i="2"/>
  <c r="I62" i="2" s="1"/>
  <c r="O62" i="2"/>
  <c r="N62" i="2"/>
  <c r="M62" i="2"/>
  <c r="L62" i="2"/>
  <c r="L65" i="2" s="1"/>
  <c r="K62" i="2"/>
  <c r="J62" i="2"/>
  <c r="I61" i="2"/>
  <c r="H61" i="2"/>
  <c r="G61" i="2"/>
  <c r="F61" i="2"/>
  <c r="E61" i="2"/>
  <c r="D61" i="2"/>
  <c r="C61" i="2"/>
  <c r="I60" i="2"/>
  <c r="H60" i="2"/>
  <c r="G60" i="2"/>
  <c r="F60" i="2"/>
  <c r="E60" i="2"/>
  <c r="D60" i="2"/>
  <c r="C60" i="2"/>
  <c r="I59" i="2"/>
  <c r="H59" i="2"/>
  <c r="G59" i="2"/>
  <c r="F59" i="2"/>
  <c r="E59" i="2"/>
  <c r="D59" i="2"/>
  <c r="C59" i="2"/>
  <c r="I58" i="2"/>
  <c r="H58" i="2"/>
  <c r="G58" i="2"/>
  <c r="F58" i="2"/>
  <c r="E58" i="2"/>
  <c r="D58" i="2"/>
  <c r="C58" i="2"/>
  <c r="I57" i="2"/>
  <c r="H57" i="2"/>
  <c r="G57" i="2"/>
  <c r="F57" i="2"/>
  <c r="E57" i="2"/>
  <c r="D57" i="2"/>
  <c r="C57" i="2"/>
  <c r="I56" i="2"/>
  <c r="H56" i="2"/>
  <c r="G56" i="2"/>
  <c r="F56" i="2"/>
  <c r="E56" i="2"/>
  <c r="D56" i="2"/>
  <c r="C56" i="2"/>
  <c r="C105" i="2" l="1"/>
  <c r="L85" i="2"/>
  <c r="E85" i="2" s="1"/>
  <c r="D85" i="2" s="1"/>
  <c r="O75" i="2"/>
  <c r="H75" i="2" s="1"/>
  <c r="M85" i="2"/>
  <c r="H92" i="2"/>
  <c r="L115" i="2"/>
  <c r="Q275" i="18"/>
  <c r="Q274" i="18"/>
  <c r="Q276" i="18"/>
  <c r="Q277" i="18"/>
  <c r="Q273" i="18"/>
  <c r="Q278" i="18"/>
  <c r="AI272" i="18"/>
  <c r="G17" i="1"/>
  <c r="H122" i="2"/>
  <c r="F72" i="2"/>
  <c r="E72" i="2" s="1"/>
  <c r="I132" i="2"/>
  <c r="G102" i="2"/>
  <c r="F102" i="2" s="1"/>
  <c r="C135" i="2"/>
  <c r="C102" i="2"/>
  <c r="N105" i="2"/>
  <c r="G105" i="2" s="1"/>
  <c r="D122" i="2"/>
  <c r="C122" i="2" s="1"/>
  <c r="D132" i="2"/>
  <c r="O95" i="2"/>
  <c r="F135" i="2"/>
  <c r="G72" i="2"/>
  <c r="I92" i="2"/>
  <c r="G132" i="2"/>
  <c r="F132" i="2" s="1"/>
  <c r="H175" i="2"/>
  <c r="D102" i="2"/>
  <c r="L105" i="2"/>
  <c r="E105" i="2" s="1"/>
  <c r="I14" i="8"/>
  <c r="I17" i="8" s="1"/>
  <c r="H17" i="8" s="1"/>
  <c r="G17" i="8" s="1"/>
  <c r="F17" i="8" s="1"/>
  <c r="E17" i="8" s="1"/>
  <c r="D17" i="8" s="1"/>
  <c r="C17" i="8" s="1"/>
  <c r="D72" i="2"/>
  <c r="C92" i="2"/>
  <c r="D112" i="2"/>
  <c r="C112" i="2" s="1"/>
  <c r="R276" i="18"/>
  <c r="AJ272" i="18"/>
  <c r="R278" i="18"/>
  <c r="R273" i="18"/>
  <c r="R275" i="18"/>
  <c r="R277" i="18"/>
  <c r="R274" i="18"/>
  <c r="AK266" i="18"/>
  <c r="S271" i="18"/>
  <c r="S269" i="18"/>
  <c r="S267" i="18"/>
  <c r="S268" i="18"/>
  <c r="S272" i="18"/>
  <c r="S270" i="18"/>
  <c r="P269" i="18"/>
  <c r="P272" i="18"/>
  <c r="P270" i="18"/>
  <c r="P268" i="18"/>
  <c r="AH266" i="18"/>
  <c r="P271" i="18"/>
  <c r="P267" i="18"/>
  <c r="J75" i="2"/>
  <c r="D75" i="2"/>
  <c r="O85" i="2"/>
  <c r="I85" i="2"/>
  <c r="C85" i="2"/>
  <c r="F105" i="2"/>
  <c r="F85" i="2"/>
  <c r="H105" i="2"/>
  <c r="E95" i="2"/>
  <c r="D95" i="2" s="1"/>
  <c r="C95" i="2" s="1"/>
  <c r="F75" i="2"/>
  <c r="E115" i="2"/>
  <c r="N125" i="2"/>
  <c r="N115" i="2"/>
  <c r="D115" i="2"/>
  <c r="G95" i="2"/>
  <c r="F95" i="2" s="1"/>
  <c r="I122" i="2"/>
  <c r="C132" i="2"/>
  <c r="I72" i="2"/>
  <c r="I82" i="2"/>
  <c r="H82" i="2" s="1"/>
  <c r="I112" i="2"/>
  <c r="P115" i="2"/>
  <c r="I115" i="2" s="1"/>
  <c r="P65" i="2"/>
  <c r="O65" i="2" s="1"/>
  <c r="N65" i="2" s="1"/>
  <c r="G62" i="2"/>
  <c r="F62" i="2" s="1"/>
  <c r="E62" i="2" s="1"/>
  <c r="D62" i="2" s="1"/>
  <c r="C62" i="2" s="1"/>
  <c r="D82" i="2"/>
  <c r="G92" i="2"/>
  <c r="F92" i="2" s="1"/>
  <c r="E92" i="2" s="1"/>
  <c r="D92" i="2" s="1"/>
  <c r="G122" i="2"/>
  <c r="F122" i="2" s="1"/>
  <c r="E122" i="2" s="1"/>
  <c r="P125" i="2"/>
  <c r="I125" i="2" s="1"/>
  <c r="H165" i="2"/>
  <c r="G165" i="2" s="1"/>
  <c r="F165" i="2" s="1"/>
  <c r="E165" i="2" s="1"/>
  <c r="D165" i="2" s="1"/>
  <c r="C165" i="2" s="1"/>
  <c r="H62" i="2"/>
  <c r="N85" i="2"/>
  <c r="G85" i="2" s="1"/>
  <c r="H112" i="2"/>
  <c r="G112" i="2" s="1"/>
  <c r="K135" i="2"/>
  <c r="D135" i="2" s="1"/>
  <c r="E135" i="2"/>
  <c r="K125" i="2"/>
  <c r="H24" i="1"/>
  <c r="G24" i="1" s="1"/>
  <c r="F24" i="1" s="1"/>
  <c r="E24" i="1" s="1"/>
  <c r="D24" i="1" s="1"/>
  <c r="C24" i="1" s="1"/>
  <c r="I102" i="2"/>
  <c r="H102" i="2" s="1"/>
  <c r="F115" i="2"/>
  <c r="E132" i="2"/>
  <c r="M175" i="2"/>
  <c r="F175" i="2" s="1"/>
  <c r="E175" i="2" s="1"/>
  <c r="D175" i="2" s="1"/>
  <c r="C175" i="2" s="1"/>
  <c r="G175" i="2"/>
  <c r="N135" i="2"/>
  <c r="G135" i="2" s="1"/>
  <c r="H135" i="2"/>
  <c r="I95" i="2"/>
  <c r="M145" i="2"/>
  <c r="F145" i="2" s="1"/>
  <c r="E145" i="2" s="1"/>
  <c r="G145" i="2"/>
  <c r="C82" i="2"/>
  <c r="H132" i="2"/>
  <c r="P54" i="2"/>
  <c r="I54" i="2" s="1"/>
  <c r="E54" i="2"/>
  <c r="D54" i="2"/>
  <c r="C54" i="2"/>
  <c r="P53" i="2"/>
  <c r="G53" i="2" s="1"/>
  <c r="O52" i="2"/>
  <c r="N52" i="2"/>
  <c r="N55" i="2" s="1"/>
  <c r="M52" i="2"/>
  <c r="M55" i="2" s="1"/>
  <c r="L52" i="2"/>
  <c r="L55" i="2" s="1"/>
  <c r="K52" i="2"/>
  <c r="K55" i="2" s="1"/>
  <c r="J52" i="2"/>
  <c r="J55" i="2" s="1"/>
  <c r="Q270" i="18" l="1"/>
  <c r="Q272" i="18"/>
  <c r="Q267" i="18"/>
  <c r="Q268" i="18"/>
  <c r="AI266" i="18"/>
  <c r="Q271" i="18"/>
  <c r="Q269" i="18"/>
  <c r="H95" i="2"/>
  <c r="H85" i="2"/>
  <c r="R267" i="18"/>
  <c r="R272" i="18"/>
  <c r="AJ266" i="18"/>
  <c r="R270" i="18"/>
  <c r="R271" i="18"/>
  <c r="R268" i="18"/>
  <c r="R269" i="18"/>
  <c r="S266" i="18"/>
  <c r="S262" i="18"/>
  <c r="S261" i="18"/>
  <c r="S264" i="18"/>
  <c r="S265" i="18"/>
  <c r="AK260" i="18"/>
  <c r="S263" i="18"/>
  <c r="AH260" i="18"/>
  <c r="P263" i="18"/>
  <c r="P265" i="18"/>
  <c r="P261" i="18"/>
  <c r="P264" i="18"/>
  <c r="P262" i="18"/>
  <c r="P266" i="18"/>
  <c r="C65" i="2"/>
  <c r="D53" i="2"/>
  <c r="G115" i="2"/>
  <c r="I53" i="2"/>
  <c r="H53" i="2" s="1"/>
  <c r="C53" i="2"/>
  <c r="H115" i="2"/>
  <c r="F53" i="2"/>
  <c r="G54" i="2"/>
  <c r="C125" i="2"/>
  <c r="C115" i="2"/>
  <c r="E53" i="2"/>
  <c r="F54" i="2"/>
  <c r="H54" i="2"/>
  <c r="I65" i="2"/>
  <c r="H65" i="2" s="1"/>
  <c r="G65" i="2" s="1"/>
  <c r="F65" i="2" s="1"/>
  <c r="E65" i="2" s="1"/>
  <c r="D65" i="2" s="1"/>
  <c r="H125" i="2"/>
  <c r="G125" i="2" s="1"/>
  <c r="F125" i="2" s="1"/>
  <c r="E125" i="2" s="1"/>
  <c r="D125" i="2" s="1"/>
  <c r="I75" i="2"/>
  <c r="C75" i="2"/>
  <c r="P51" i="2"/>
  <c r="I51" i="2" s="1"/>
  <c r="H51" i="2"/>
  <c r="P50" i="2"/>
  <c r="I50" i="2" s="1"/>
  <c r="H50" i="2"/>
  <c r="G50" i="2" s="1"/>
  <c r="F50" i="2"/>
  <c r="D50" i="2"/>
  <c r="P49" i="2"/>
  <c r="I49" i="2" s="1"/>
  <c r="G49" i="2"/>
  <c r="F49" i="2" s="1"/>
  <c r="D49" i="2"/>
  <c r="P48" i="2"/>
  <c r="D48" i="2"/>
  <c r="C48" i="2"/>
  <c r="P47" i="2"/>
  <c r="C47" i="2" s="1"/>
  <c r="P46" i="2"/>
  <c r="I46" i="2" s="1"/>
  <c r="I44" i="2"/>
  <c r="H44" i="2"/>
  <c r="G44" i="2"/>
  <c r="F44" i="2"/>
  <c r="E44" i="2"/>
  <c r="D44" i="2"/>
  <c r="C44" i="2"/>
  <c r="I43" i="2"/>
  <c r="H43" i="2"/>
  <c r="G43" i="2"/>
  <c r="F43" i="2"/>
  <c r="E43" i="2"/>
  <c r="D43" i="2"/>
  <c r="C43" i="2"/>
  <c r="P42" i="2"/>
  <c r="P45" i="2" s="1"/>
  <c r="O42" i="2"/>
  <c r="N42" i="2"/>
  <c r="N45" i="2" s="1"/>
  <c r="M42" i="2"/>
  <c r="L42" i="2"/>
  <c r="K42" i="2"/>
  <c r="K45" i="2" s="1"/>
  <c r="J42" i="2"/>
  <c r="J45" i="2" s="1"/>
  <c r="I41" i="2"/>
  <c r="H41" i="2"/>
  <c r="G41" i="2"/>
  <c r="F41" i="2"/>
  <c r="E41" i="2"/>
  <c r="D41" i="2"/>
  <c r="C41" i="2"/>
  <c r="I40" i="2"/>
  <c r="H40" i="2"/>
  <c r="G40" i="2"/>
  <c r="F40" i="2"/>
  <c r="E40" i="2"/>
  <c r="D40" i="2"/>
  <c r="C40" i="2"/>
  <c r="I39" i="2"/>
  <c r="H39" i="2"/>
  <c r="G39" i="2"/>
  <c r="F39" i="2"/>
  <c r="E39" i="2"/>
  <c r="D39" i="2"/>
  <c r="C39" i="2"/>
  <c r="I38" i="2"/>
  <c r="H38" i="2"/>
  <c r="G38" i="2"/>
  <c r="F38" i="2"/>
  <c r="E38" i="2"/>
  <c r="D38" i="2"/>
  <c r="C38" i="2"/>
  <c r="I37" i="2"/>
  <c r="H37" i="2"/>
  <c r="G37" i="2"/>
  <c r="F37" i="2"/>
  <c r="E37" i="2"/>
  <c r="D37" i="2"/>
  <c r="C37" i="2"/>
  <c r="I36" i="2"/>
  <c r="H36" i="2"/>
  <c r="G36" i="2"/>
  <c r="F36" i="2"/>
  <c r="E36" i="2"/>
  <c r="D36" i="2"/>
  <c r="C36" i="2"/>
  <c r="J35" i="2"/>
  <c r="I34" i="2"/>
  <c r="H34" i="2"/>
  <c r="G34" i="2"/>
  <c r="F34" i="2"/>
  <c r="E34" i="2"/>
  <c r="D34" i="2"/>
  <c r="C34" i="2"/>
  <c r="I33" i="2"/>
  <c r="H33" i="2"/>
  <c r="G33" i="2"/>
  <c r="F33" i="2"/>
  <c r="E33" i="2"/>
  <c r="D33" i="2"/>
  <c r="C33" i="2"/>
  <c r="P32" i="2"/>
  <c r="P35" i="2" s="1"/>
  <c r="O32" i="2"/>
  <c r="O35" i="2" s="1"/>
  <c r="N32" i="2"/>
  <c r="N35" i="2" s="1"/>
  <c r="M32" i="2"/>
  <c r="L32" i="2"/>
  <c r="K32" i="2"/>
  <c r="J32" i="2"/>
  <c r="C32" i="2"/>
  <c r="I31" i="2"/>
  <c r="H31" i="2"/>
  <c r="G31" i="2"/>
  <c r="F31" i="2"/>
  <c r="E31" i="2"/>
  <c r="D31" i="2"/>
  <c r="C31" i="2"/>
  <c r="I30" i="2"/>
  <c r="H30" i="2"/>
  <c r="G30" i="2"/>
  <c r="F30" i="2"/>
  <c r="E30" i="2"/>
  <c r="D30" i="2"/>
  <c r="C30" i="2"/>
  <c r="I29" i="2"/>
  <c r="H29" i="2"/>
  <c r="G29" i="2"/>
  <c r="F29" i="2"/>
  <c r="E29" i="2"/>
  <c r="D29" i="2"/>
  <c r="C29" i="2"/>
  <c r="I28" i="2"/>
  <c r="H28" i="2"/>
  <c r="G28" i="2"/>
  <c r="F28" i="2"/>
  <c r="E28" i="2"/>
  <c r="D28" i="2"/>
  <c r="C28" i="2"/>
  <c r="I27" i="2"/>
  <c r="H27" i="2"/>
  <c r="G27" i="2"/>
  <c r="F27" i="2"/>
  <c r="E27" i="2"/>
  <c r="D27" i="2"/>
  <c r="C27" i="2"/>
  <c r="I26" i="2"/>
  <c r="H26" i="2"/>
  <c r="G26" i="2"/>
  <c r="F26" i="2"/>
  <c r="E26" i="2"/>
  <c r="D26" i="2"/>
  <c r="C26" i="2"/>
  <c r="I24" i="2"/>
  <c r="H24" i="2"/>
  <c r="G24" i="2"/>
  <c r="F24" i="2"/>
  <c r="E24" i="2"/>
  <c r="D24" i="2"/>
  <c r="C24" i="2"/>
  <c r="I23" i="2"/>
  <c r="H23" i="2"/>
  <c r="G23" i="2"/>
  <c r="F23" i="2"/>
  <c r="E23" i="2"/>
  <c r="D23" i="2"/>
  <c r="C23" i="2"/>
  <c r="P22" i="2"/>
  <c r="P25" i="2" s="1"/>
  <c r="O22" i="2"/>
  <c r="H22" i="2" s="1"/>
  <c r="N22" i="2"/>
  <c r="N25" i="2" s="1"/>
  <c r="M22" i="2"/>
  <c r="M25" i="2" s="1"/>
  <c r="L22" i="2"/>
  <c r="L25" i="2" s="1"/>
  <c r="K22" i="2"/>
  <c r="K25" i="2" s="1"/>
  <c r="J22" i="2"/>
  <c r="J25" i="2" s="1"/>
  <c r="I25" i="2" s="1"/>
  <c r="I21" i="2"/>
  <c r="H21" i="2"/>
  <c r="G21" i="2"/>
  <c r="F21" i="2"/>
  <c r="E21" i="2"/>
  <c r="D21" i="2"/>
  <c r="C21" i="2"/>
  <c r="I20" i="2"/>
  <c r="H20" i="2"/>
  <c r="G20" i="2"/>
  <c r="F20" i="2"/>
  <c r="E20" i="2"/>
  <c r="D20" i="2"/>
  <c r="C20" i="2"/>
  <c r="I19" i="2"/>
  <c r="H19" i="2"/>
  <c r="G19" i="2"/>
  <c r="F19" i="2"/>
  <c r="E19" i="2"/>
  <c r="D19" i="2"/>
  <c r="C19" i="2"/>
  <c r="I18" i="2"/>
  <c r="H18" i="2"/>
  <c r="G18" i="2"/>
  <c r="F18" i="2"/>
  <c r="E18" i="2"/>
  <c r="D18" i="2"/>
  <c r="C18" i="2"/>
  <c r="I17" i="2"/>
  <c r="H17" i="2"/>
  <c r="G17" i="2"/>
  <c r="F17" i="2"/>
  <c r="E17" i="2"/>
  <c r="D17" i="2"/>
  <c r="C17" i="2"/>
  <c r="I16" i="2"/>
  <c r="H16" i="2"/>
  <c r="G16" i="2"/>
  <c r="F16" i="2"/>
  <c r="E16" i="2"/>
  <c r="D16" i="2"/>
  <c r="C16" i="2"/>
  <c r="J15" i="2"/>
  <c r="P14" i="2"/>
  <c r="C14" i="2" s="1"/>
  <c r="I14" i="2"/>
  <c r="H14" i="2"/>
  <c r="G14" i="2" s="1"/>
  <c r="E14" i="2"/>
  <c r="P13" i="2"/>
  <c r="D13" i="2" s="1"/>
  <c r="C13" i="2" s="1"/>
  <c r="N13" i="2"/>
  <c r="I13" i="2"/>
  <c r="F13" i="2"/>
  <c r="E13" i="2"/>
  <c r="P12" i="2"/>
  <c r="O12" i="2" s="1"/>
  <c r="O15" i="2" s="1"/>
  <c r="M12" i="2"/>
  <c r="M15" i="2" s="1"/>
  <c r="L12" i="2"/>
  <c r="L15" i="2" s="1"/>
  <c r="K12" i="2"/>
  <c r="K15" i="2" s="1"/>
  <c r="J12" i="2"/>
  <c r="O11" i="2"/>
  <c r="N11" i="2"/>
  <c r="I11" i="2"/>
  <c r="H11" i="2"/>
  <c r="G11" i="2" s="1"/>
  <c r="F11" i="2"/>
  <c r="E11" i="2"/>
  <c r="D11" i="2"/>
  <c r="C11" i="2"/>
  <c r="N10" i="2"/>
  <c r="I10" i="2"/>
  <c r="H10" i="2"/>
  <c r="G10" i="2" s="1"/>
  <c r="F10" i="2"/>
  <c r="E10" i="2"/>
  <c r="D10" i="2"/>
  <c r="C10" i="2"/>
  <c r="N9" i="2"/>
  <c r="G9" i="2" s="1"/>
  <c r="I9" i="2"/>
  <c r="H9" i="2"/>
  <c r="F9" i="2"/>
  <c r="E9" i="2"/>
  <c r="D9" i="2"/>
  <c r="C9" i="2"/>
  <c r="N8" i="2"/>
  <c r="I8" i="2"/>
  <c r="H8" i="2"/>
  <c r="F8" i="2"/>
  <c r="E8" i="2"/>
  <c r="D8" i="2"/>
  <c r="C8" i="2"/>
  <c r="N7" i="2"/>
  <c r="G7" i="2" s="1"/>
  <c r="I7" i="2"/>
  <c r="H7" i="2"/>
  <c r="F7" i="2"/>
  <c r="E7" i="2"/>
  <c r="D7" i="2"/>
  <c r="C7" i="2"/>
  <c r="N6" i="2"/>
  <c r="G6" i="2" s="1"/>
  <c r="I6" i="2"/>
  <c r="H6" i="2"/>
  <c r="F6" i="2"/>
  <c r="E6" i="2"/>
  <c r="D6" i="2"/>
  <c r="C6" i="2"/>
  <c r="P167" i="11"/>
  <c r="O167" i="11"/>
  <c r="N167" i="11"/>
  <c r="M167" i="11"/>
  <c r="L167" i="11"/>
  <c r="K167" i="11"/>
  <c r="J167" i="11"/>
  <c r="P166" i="11"/>
  <c r="O166" i="11"/>
  <c r="N166" i="11"/>
  <c r="M166" i="11"/>
  <c r="L166" i="11"/>
  <c r="K166" i="11"/>
  <c r="J166" i="11"/>
  <c r="P165" i="11"/>
  <c r="O165" i="11"/>
  <c r="N165" i="11"/>
  <c r="M165" i="11"/>
  <c r="L165" i="11"/>
  <c r="K165" i="11"/>
  <c r="J165" i="11"/>
  <c r="P162" i="11"/>
  <c r="O162" i="11"/>
  <c r="N162" i="11"/>
  <c r="M162" i="11"/>
  <c r="L162" i="11"/>
  <c r="K162" i="11"/>
  <c r="J162" i="11"/>
  <c r="P160" i="11"/>
  <c r="O160" i="11"/>
  <c r="N160" i="11"/>
  <c r="M160" i="11"/>
  <c r="L160" i="11"/>
  <c r="K160" i="11"/>
  <c r="J160" i="11"/>
  <c r="P158" i="11"/>
  <c r="O158" i="11"/>
  <c r="N158" i="11"/>
  <c r="M158" i="11"/>
  <c r="L158" i="11"/>
  <c r="K158" i="11"/>
  <c r="J158" i="11"/>
  <c r="P157" i="11"/>
  <c r="O157" i="11"/>
  <c r="N157" i="11"/>
  <c r="M157" i="11"/>
  <c r="L157" i="11"/>
  <c r="K157" i="11"/>
  <c r="J157" i="11"/>
  <c r="P156" i="11"/>
  <c r="O156" i="11"/>
  <c r="N156" i="11"/>
  <c r="M156" i="11"/>
  <c r="L156" i="11"/>
  <c r="K156" i="11"/>
  <c r="J156" i="11"/>
  <c r="P155" i="11"/>
  <c r="O155" i="11"/>
  <c r="N155" i="11"/>
  <c r="M155" i="11"/>
  <c r="L155" i="11"/>
  <c r="K155" i="11"/>
  <c r="J155" i="11"/>
  <c r="P154" i="11"/>
  <c r="O154" i="11"/>
  <c r="N154" i="11"/>
  <c r="M154" i="11"/>
  <c r="L154" i="11"/>
  <c r="K154" i="11"/>
  <c r="J154" i="11"/>
  <c r="P153" i="11"/>
  <c r="O153" i="11"/>
  <c r="N153" i="11"/>
  <c r="M153" i="11"/>
  <c r="L153" i="11"/>
  <c r="K153" i="11"/>
  <c r="J153" i="11"/>
  <c r="P152" i="11"/>
  <c r="O152" i="11"/>
  <c r="N152" i="11"/>
  <c r="M152" i="11"/>
  <c r="L152" i="11"/>
  <c r="K152" i="11"/>
  <c r="J152" i="11"/>
  <c r="P151" i="11"/>
  <c r="O151" i="11"/>
  <c r="N151" i="11"/>
  <c r="M151" i="11"/>
  <c r="L151" i="11"/>
  <c r="K151" i="11"/>
  <c r="J151" i="11"/>
  <c r="P149" i="11"/>
  <c r="O149" i="11"/>
  <c r="N149" i="11"/>
  <c r="M149" i="11"/>
  <c r="L149" i="11"/>
  <c r="K149" i="11"/>
  <c r="J149" i="11"/>
  <c r="P148" i="11"/>
  <c r="O148" i="11"/>
  <c r="N148" i="11"/>
  <c r="M148" i="11"/>
  <c r="L148" i="11"/>
  <c r="K148" i="11"/>
  <c r="J148" i="11"/>
  <c r="P147" i="11"/>
  <c r="O147" i="11"/>
  <c r="N147" i="11"/>
  <c r="M147" i="11"/>
  <c r="L147" i="11"/>
  <c r="K147" i="11"/>
  <c r="J147" i="11"/>
  <c r="P146" i="11"/>
  <c r="O146" i="11"/>
  <c r="N146" i="11"/>
  <c r="M146" i="11"/>
  <c r="L146" i="11"/>
  <c r="K146" i="11"/>
  <c r="J146" i="11"/>
  <c r="P145" i="11"/>
  <c r="O145" i="11"/>
  <c r="N145" i="11"/>
  <c r="M145" i="11"/>
  <c r="L145" i="11"/>
  <c r="K145" i="11"/>
  <c r="J145" i="11"/>
  <c r="P144" i="11"/>
  <c r="O144" i="11"/>
  <c r="N144" i="11"/>
  <c r="M144" i="11"/>
  <c r="L144" i="11"/>
  <c r="K144" i="11"/>
  <c r="J144" i="11"/>
  <c r="P143" i="11"/>
  <c r="O143" i="11"/>
  <c r="N143" i="11"/>
  <c r="M143" i="11"/>
  <c r="L143" i="11"/>
  <c r="K143" i="11"/>
  <c r="J143" i="11"/>
  <c r="P142" i="11"/>
  <c r="O142" i="11"/>
  <c r="N142" i="11"/>
  <c r="M142" i="11"/>
  <c r="L142" i="11"/>
  <c r="K142" i="11"/>
  <c r="J142" i="11"/>
  <c r="P141" i="11"/>
  <c r="O141" i="11"/>
  <c r="N141" i="11"/>
  <c r="M141" i="11"/>
  <c r="L141" i="11"/>
  <c r="K141" i="11"/>
  <c r="J141" i="11"/>
  <c r="P140" i="11"/>
  <c r="O140" i="11"/>
  <c r="N140" i="11"/>
  <c r="M140" i="11"/>
  <c r="L140" i="11"/>
  <c r="K140" i="11"/>
  <c r="J140" i="11"/>
  <c r="P139" i="11"/>
  <c r="O139" i="11"/>
  <c r="N139" i="11"/>
  <c r="M139" i="11"/>
  <c r="L139" i="11"/>
  <c r="K139" i="11"/>
  <c r="J139" i="11"/>
  <c r="P137" i="11"/>
  <c r="O137" i="11"/>
  <c r="N137" i="11"/>
  <c r="M137" i="11"/>
  <c r="L137" i="11"/>
  <c r="K137" i="11"/>
  <c r="J137" i="11"/>
  <c r="P136" i="11"/>
  <c r="O136" i="11"/>
  <c r="N136" i="11"/>
  <c r="M136" i="11"/>
  <c r="L136" i="11"/>
  <c r="K136" i="11"/>
  <c r="J136" i="11"/>
  <c r="P135" i="11"/>
  <c r="O135" i="11"/>
  <c r="N135" i="11"/>
  <c r="M135" i="11"/>
  <c r="L135" i="11"/>
  <c r="K135" i="11"/>
  <c r="J135" i="11"/>
  <c r="P134" i="11"/>
  <c r="O134" i="11"/>
  <c r="N134" i="11"/>
  <c r="M134" i="11"/>
  <c r="L134" i="11"/>
  <c r="K134" i="11"/>
  <c r="J134" i="11"/>
  <c r="P133" i="11"/>
  <c r="O133" i="11"/>
  <c r="N133" i="11"/>
  <c r="M133" i="11"/>
  <c r="L133" i="11"/>
  <c r="K133" i="11"/>
  <c r="J133" i="11"/>
  <c r="P131" i="11"/>
  <c r="O131" i="11"/>
  <c r="N131" i="11"/>
  <c r="M131" i="11"/>
  <c r="L131" i="11"/>
  <c r="K131" i="11"/>
  <c r="J131" i="11"/>
  <c r="P130" i="11"/>
  <c r="O130" i="11"/>
  <c r="N130" i="11"/>
  <c r="M130" i="11"/>
  <c r="L130" i="11"/>
  <c r="K130" i="11"/>
  <c r="J130" i="11"/>
  <c r="P129" i="11"/>
  <c r="O129" i="11"/>
  <c r="N129" i="11"/>
  <c r="M129" i="11"/>
  <c r="L129" i="11"/>
  <c r="K129" i="11"/>
  <c r="J129" i="11"/>
  <c r="P128" i="11"/>
  <c r="O128" i="11"/>
  <c r="N128" i="11"/>
  <c r="M128" i="11"/>
  <c r="L128" i="11"/>
  <c r="K128" i="11"/>
  <c r="J128" i="11"/>
  <c r="P127" i="11"/>
  <c r="O127" i="11"/>
  <c r="N127" i="11"/>
  <c r="M127" i="11"/>
  <c r="L127" i="11"/>
  <c r="K127" i="11"/>
  <c r="J127" i="11"/>
  <c r="P126" i="11"/>
  <c r="O126" i="11"/>
  <c r="N126" i="11"/>
  <c r="M126" i="11"/>
  <c r="L126" i="11"/>
  <c r="K126" i="11"/>
  <c r="J126" i="11"/>
  <c r="P125" i="11"/>
  <c r="O125" i="11"/>
  <c r="N125" i="11"/>
  <c r="M125" i="11"/>
  <c r="L125" i="11"/>
  <c r="K125" i="11"/>
  <c r="J125" i="11"/>
  <c r="P124" i="11"/>
  <c r="O124" i="11"/>
  <c r="N124" i="11"/>
  <c r="M124" i="11"/>
  <c r="L124" i="11"/>
  <c r="K124" i="11"/>
  <c r="J124" i="11"/>
  <c r="P122" i="11"/>
  <c r="O122" i="11"/>
  <c r="N122" i="11"/>
  <c r="M122" i="11"/>
  <c r="L122" i="11"/>
  <c r="K122" i="11"/>
  <c r="J122" i="11"/>
  <c r="P121" i="11"/>
  <c r="O121" i="11"/>
  <c r="N121" i="11"/>
  <c r="M121" i="11"/>
  <c r="L121" i="11"/>
  <c r="K121" i="11"/>
  <c r="J121" i="11"/>
  <c r="P120" i="11"/>
  <c r="O120" i="11"/>
  <c r="N120" i="11"/>
  <c r="M120" i="11"/>
  <c r="L120" i="11"/>
  <c r="K120" i="11"/>
  <c r="J120" i="11"/>
  <c r="P119" i="11"/>
  <c r="O119" i="11"/>
  <c r="N119" i="11"/>
  <c r="M119" i="11"/>
  <c r="L119" i="11"/>
  <c r="K119" i="11"/>
  <c r="J119" i="11"/>
  <c r="P118" i="11"/>
  <c r="O118" i="11"/>
  <c r="N118" i="11"/>
  <c r="M118" i="11"/>
  <c r="L118" i="11"/>
  <c r="K118" i="11"/>
  <c r="J118" i="11"/>
  <c r="P117" i="11"/>
  <c r="O117" i="11"/>
  <c r="N117" i="11"/>
  <c r="M117" i="11"/>
  <c r="L117" i="11"/>
  <c r="K117" i="11"/>
  <c r="J117" i="11"/>
  <c r="P115" i="11"/>
  <c r="O115" i="11"/>
  <c r="N115" i="11"/>
  <c r="M115" i="11"/>
  <c r="L115" i="11"/>
  <c r="K115" i="11"/>
  <c r="J115" i="11"/>
  <c r="P113" i="11"/>
  <c r="O113" i="11"/>
  <c r="N113" i="11"/>
  <c r="M113" i="11"/>
  <c r="L113" i="11"/>
  <c r="K113" i="11"/>
  <c r="J113" i="11"/>
  <c r="P112" i="11"/>
  <c r="O112" i="11"/>
  <c r="N112" i="11"/>
  <c r="M112" i="11"/>
  <c r="L112" i="11"/>
  <c r="K112" i="11"/>
  <c r="J112" i="11"/>
  <c r="P111" i="11"/>
  <c r="O111" i="11"/>
  <c r="N111" i="11"/>
  <c r="M111" i="11"/>
  <c r="L111" i="11"/>
  <c r="K111" i="11"/>
  <c r="J111" i="11"/>
  <c r="P110" i="11"/>
  <c r="O110" i="11"/>
  <c r="N110" i="11"/>
  <c r="M110" i="11"/>
  <c r="L110" i="11"/>
  <c r="K110" i="11"/>
  <c r="J110" i="11"/>
  <c r="P109" i="11"/>
  <c r="O109" i="11"/>
  <c r="N109" i="11"/>
  <c r="M109" i="11"/>
  <c r="L109" i="11"/>
  <c r="K109" i="11"/>
  <c r="J109" i="11"/>
  <c r="P108" i="11"/>
  <c r="O108" i="11"/>
  <c r="N108" i="11"/>
  <c r="M108" i="11"/>
  <c r="L108" i="11"/>
  <c r="K108" i="11"/>
  <c r="J108" i="11"/>
  <c r="P107" i="11"/>
  <c r="O107" i="11"/>
  <c r="N107" i="11"/>
  <c r="M107" i="11"/>
  <c r="L107" i="11"/>
  <c r="K107" i="11"/>
  <c r="J107" i="11"/>
  <c r="P106" i="11"/>
  <c r="O106" i="11"/>
  <c r="N106" i="11"/>
  <c r="M106" i="11"/>
  <c r="L106" i="11"/>
  <c r="K106" i="11"/>
  <c r="J106" i="11"/>
  <c r="P104" i="11"/>
  <c r="O104" i="11"/>
  <c r="N104" i="11"/>
  <c r="M104" i="11"/>
  <c r="L104" i="11"/>
  <c r="K104" i="11"/>
  <c r="J104" i="11"/>
  <c r="P103" i="11"/>
  <c r="O103" i="11"/>
  <c r="N103" i="11"/>
  <c r="M103" i="11"/>
  <c r="L103" i="11"/>
  <c r="K103" i="11"/>
  <c r="J103" i="11"/>
  <c r="P102" i="11"/>
  <c r="O102" i="11"/>
  <c r="N102" i="11"/>
  <c r="M102" i="11"/>
  <c r="L102" i="11"/>
  <c r="K102" i="11"/>
  <c r="J102" i="11"/>
  <c r="P101" i="11"/>
  <c r="O101" i="11"/>
  <c r="N101" i="11"/>
  <c r="M101" i="11"/>
  <c r="L101" i="11"/>
  <c r="K101" i="11"/>
  <c r="J101" i="11"/>
  <c r="P99" i="11"/>
  <c r="O99" i="11"/>
  <c r="N99" i="11"/>
  <c r="M99" i="11"/>
  <c r="L99" i="11"/>
  <c r="K99" i="11"/>
  <c r="J99" i="11"/>
  <c r="P98" i="11"/>
  <c r="O98" i="11"/>
  <c r="N98" i="11"/>
  <c r="M98" i="11"/>
  <c r="L98" i="11"/>
  <c r="K98" i="11"/>
  <c r="J98" i="11"/>
  <c r="P97" i="11"/>
  <c r="O97" i="11"/>
  <c r="N97" i="11"/>
  <c r="M97" i="11"/>
  <c r="L97" i="11"/>
  <c r="K97" i="11"/>
  <c r="J97" i="11"/>
  <c r="P95" i="11"/>
  <c r="O95" i="11"/>
  <c r="N95" i="11"/>
  <c r="M95" i="11"/>
  <c r="L95" i="11"/>
  <c r="K95" i="11"/>
  <c r="J95" i="11"/>
  <c r="P94" i="11"/>
  <c r="O94" i="11"/>
  <c r="N94" i="11"/>
  <c r="M94" i="11"/>
  <c r="L94" i="11"/>
  <c r="K94" i="11"/>
  <c r="J94" i="11"/>
  <c r="P93" i="11"/>
  <c r="O93" i="11"/>
  <c r="N93" i="11"/>
  <c r="M93" i="11"/>
  <c r="L93" i="11"/>
  <c r="K93" i="11"/>
  <c r="J93" i="11"/>
  <c r="P92" i="11"/>
  <c r="O92" i="11"/>
  <c r="N92" i="11"/>
  <c r="M92" i="11"/>
  <c r="L92" i="11"/>
  <c r="K92" i="11"/>
  <c r="J92" i="11"/>
  <c r="P91" i="11"/>
  <c r="O91" i="11"/>
  <c r="N91" i="11"/>
  <c r="M91" i="11"/>
  <c r="L91" i="11"/>
  <c r="K91" i="11"/>
  <c r="J91" i="11"/>
  <c r="P89" i="11"/>
  <c r="O89" i="11"/>
  <c r="N89" i="11"/>
  <c r="M89" i="11"/>
  <c r="L89" i="11"/>
  <c r="K89" i="11"/>
  <c r="J89" i="11"/>
  <c r="P88" i="11"/>
  <c r="O88" i="11"/>
  <c r="N88" i="11"/>
  <c r="M88" i="11"/>
  <c r="L88" i="11"/>
  <c r="K88" i="11"/>
  <c r="J88" i="11"/>
  <c r="P87" i="11"/>
  <c r="O87" i="11"/>
  <c r="N87" i="11"/>
  <c r="M87" i="11"/>
  <c r="L87" i="11"/>
  <c r="K87" i="11"/>
  <c r="J87" i="11"/>
  <c r="P86" i="11"/>
  <c r="O86" i="11"/>
  <c r="N86" i="11"/>
  <c r="M86" i="11"/>
  <c r="L86" i="11"/>
  <c r="K86" i="11"/>
  <c r="J86" i="11"/>
  <c r="P85" i="11"/>
  <c r="O85" i="11"/>
  <c r="N85" i="11"/>
  <c r="M85" i="11"/>
  <c r="L85" i="11"/>
  <c r="K85" i="11"/>
  <c r="J85" i="11"/>
  <c r="P83" i="11"/>
  <c r="O83" i="11"/>
  <c r="N83" i="11"/>
  <c r="M83" i="11"/>
  <c r="L83" i="11"/>
  <c r="K83" i="11"/>
  <c r="J83" i="11"/>
  <c r="P82" i="11"/>
  <c r="O82" i="11"/>
  <c r="N82" i="11"/>
  <c r="M82" i="11"/>
  <c r="L82" i="11"/>
  <c r="K82" i="11"/>
  <c r="J82" i="11"/>
  <c r="P81" i="11"/>
  <c r="O81" i="11"/>
  <c r="N81" i="11"/>
  <c r="M81" i="11"/>
  <c r="L81" i="11"/>
  <c r="K81" i="11"/>
  <c r="J81" i="11"/>
  <c r="P80" i="11"/>
  <c r="O80" i="11"/>
  <c r="N80" i="11"/>
  <c r="M80" i="11"/>
  <c r="L80" i="11"/>
  <c r="K80" i="11"/>
  <c r="J80" i="11"/>
  <c r="P79" i="11"/>
  <c r="O79" i="11"/>
  <c r="N79" i="11"/>
  <c r="M79" i="11"/>
  <c r="L79" i="11"/>
  <c r="K79" i="11"/>
  <c r="J79" i="11"/>
  <c r="P77" i="11"/>
  <c r="O77" i="11"/>
  <c r="N77" i="11"/>
  <c r="M77" i="11"/>
  <c r="L77" i="11"/>
  <c r="K77" i="11"/>
  <c r="J77" i="11"/>
  <c r="P76" i="11"/>
  <c r="O76" i="11"/>
  <c r="N76" i="11"/>
  <c r="M76" i="11"/>
  <c r="L76" i="11"/>
  <c r="K76" i="11"/>
  <c r="J76" i="11"/>
  <c r="P75" i="11"/>
  <c r="O75" i="11"/>
  <c r="N75" i="11"/>
  <c r="M75" i="11"/>
  <c r="L75" i="11"/>
  <c r="K75" i="11"/>
  <c r="J75" i="11"/>
  <c r="P74" i="11"/>
  <c r="O74" i="11"/>
  <c r="N74" i="11"/>
  <c r="M74" i="11"/>
  <c r="L74" i="11"/>
  <c r="K74" i="11"/>
  <c r="J74" i="11"/>
  <c r="P73" i="11"/>
  <c r="O73" i="11"/>
  <c r="N73" i="11"/>
  <c r="M73" i="11"/>
  <c r="L73" i="11"/>
  <c r="K73" i="11"/>
  <c r="J73" i="11"/>
  <c r="P72" i="11"/>
  <c r="O72" i="11"/>
  <c r="N72" i="11"/>
  <c r="M72" i="11"/>
  <c r="L72" i="11"/>
  <c r="K72" i="11"/>
  <c r="J72" i="11"/>
  <c r="P71" i="11"/>
  <c r="O71" i="11"/>
  <c r="N71" i="11"/>
  <c r="M71" i="11"/>
  <c r="L71" i="11"/>
  <c r="K71" i="11"/>
  <c r="J71" i="11"/>
  <c r="P70" i="11"/>
  <c r="O70" i="11"/>
  <c r="N70" i="11"/>
  <c r="M70" i="11"/>
  <c r="L70" i="11"/>
  <c r="K70" i="11"/>
  <c r="J70" i="11"/>
  <c r="P69" i="11"/>
  <c r="O69" i="11"/>
  <c r="N69" i="11"/>
  <c r="M69" i="11"/>
  <c r="L69" i="11"/>
  <c r="K69" i="11"/>
  <c r="J69" i="11"/>
  <c r="P68" i="11"/>
  <c r="O68" i="11"/>
  <c r="N68" i="11"/>
  <c r="M68" i="11"/>
  <c r="L68" i="11"/>
  <c r="K68" i="11"/>
  <c r="J68" i="11"/>
  <c r="P67" i="11"/>
  <c r="O67" i="11"/>
  <c r="N67" i="11"/>
  <c r="M67" i="11"/>
  <c r="L67" i="11"/>
  <c r="K67" i="11"/>
  <c r="J67" i="11"/>
  <c r="P66" i="11"/>
  <c r="O66" i="11"/>
  <c r="N66" i="11"/>
  <c r="M66" i="11"/>
  <c r="L66" i="11"/>
  <c r="K66" i="11"/>
  <c r="J66" i="11"/>
  <c r="P65" i="11"/>
  <c r="O65" i="11"/>
  <c r="N65" i="11"/>
  <c r="M65" i="11"/>
  <c r="L65" i="11"/>
  <c r="K65" i="11"/>
  <c r="J65" i="11"/>
  <c r="P64" i="11"/>
  <c r="O64" i="11"/>
  <c r="N64" i="11"/>
  <c r="M64" i="11"/>
  <c r="L64" i="11"/>
  <c r="K64" i="11"/>
  <c r="J64" i="11"/>
  <c r="P63" i="11"/>
  <c r="O63" i="11"/>
  <c r="N63" i="11"/>
  <c r="M63" i="11"/>
  <c r="L63" i="11"/>
  <c r="K63" i="11"/>
  <c r="J63" i="11"/>
  <c r="P62" i="11"/>
  <c r="O62" i="11"/>
  <c r="N62" i="11"/>
  <c r="M62" i="11"/>
  <c r="L62" i="11"/>
  <c r="K62" i="11"/>
  <c r="J62" i="11"/>
  <c r="P61" i="11"/>
  <c r="O61" i="11"/>
  <c r="N61" i="11"/>
  <c r="M61" i="11"/>
  <c r="L61" i="11"/>
  <c r="K61" i="11"/>
  <c r="J61" i="11"/>
  <c r="P59" i="11"/>
  <c r="O59" i="11"/>
  <c r="N59" i="11"/>
  <c r="M59" i="11"/>
  <c r="L59" i="11"/>
  <c r="K59" i="11"/>
  <c r="J59" i="11"/>
  <c r="P58" i="11"/>
  <c r="O58" i="11"/>
  <c r="N58" i="11"/>
  <c r="M58" i="11"/>
  <c r="L58" i="11"/>
  <c r="K58" i="11"/>
  <c r="J58" i="11"/>
  <c r="P55" i="11"/>
  <c r="O55" i="11"/>
  <c r="N55" i="11"/>
  <c r="M55" i="11"/>
  <c r="L55" i="11"/>
  <c r="K55" i="11"/>
  <c r="J55" i="11"/>
  <c r="P54" i="11"/>
  <c r="O54" i="11"/>
  <c r="N54" i="11"/>
  <c r="M54" i="11"/>
  <c r="L54" i="11"/>
  <c r="K54" i="11"/>
  <c r="J54" i="11"/>
  <c r="P53" i="11"/>
  <c r="O53" i="11"/>
  <c r="N53" i="11"/>
  <c r="M53" i="11"/>
  <c r="L53" i="11"/>
  <c r="K53" i="11"/>
  <c r="J53" i="11"/>
  <c r="P52" i="11"/>
  <c r="O52" i="11"/>
  <c r="N52" i="11"/>
  <c r="M52" i="11"/>
  <c r="L52" i="11"/>
  <c r="K52" i="11"/>
  <c r="J52" i="11"/>
  <c r="P51" i="11"/>
  <c r="O51" i="11"/>
  <c r="N51" i="11"/>
  <c r="M51" i="11"/>
  <c r="L51" i="11"/>
  <c r="K51" i="11"/>
  <c r="J51" i="11"/>
  <c r="I50" i="11"/>
  <c r="M50" i="11" s="1"/>
  <c r="L50" i="11" s="1"/>
  <c r="G49" i="11"/>
  <c r="F49" i="11"/>
  <c r="E49" i="11"/>
  <c r="D49" i="11"/>
  <c r="C49" i="11"/>
  <c r="P48" i="11"/>
  <c r="O48" i="11"/>
  <c r="N48" i="11"/>
  <c r="M48" i="11"/>
  <c r="L48" i="11"/>
  <c r="K48" i="11"/>
  <c r="J48" i="11"/>
  <c r="P47" i="11"/>
  <c r="O47" i="11"/>
  <c r="N47" i="11"/>
  <c r="M47" i="11"/>
  <c r="L47" i="11"/>
  <c r="K47" i="11"/>
  <c r="J47" i="11"/>
  <c r="I46" i="11"/>
  <c r="P46" i="11" s="1"/>
  <c r="P45" i="11"/>
  <c r="O45" i="11"/>
  <c r="N45" i="11"/>
  <c r="M45" i="11"/>
  <c r="L45" i="11"/>
  <c r="K45" i="11"/>
  <c r="J45" i="11"/>
  <c r="P44" i="11"/>
  <c r="O44" i="11"/>
  <c r="N44" i="11"/>
  <c r="M44" i="11"/>
  <c r="L44" i="11"/>
  <c r="K44" i="11"/>
  <c r="J44" i="11"/>
  <c r="I43" i="11"/>
  <c r="J43" i="11" s="1"/>
  <c r="P41" i="11"/>
  <c r="O41" i="11"/>
  <c r="N41" i="11"/>
  <c r="M41" i="11"/>
  <c r="L41" i="11"/>
  <c r="K41" i="11"/>
  <c r="J41" i="11"/>
  <c r="P40" i="11"/>
  <c r="O40" i="11"/>
  <c r="N40" i="11"/>
  <c r="M40" i="11"/>
  <c r="L40" i="11"/>
  <c r="K40" i="11"/>
  <c r="J40" i="11"/>
  <c r="P39" i="11"/>
  <c r="O39" i="11"/>
  <c r="N39" i="11"/>
  <c r="M39" i="11"/>
  <c r="L39" i="11"/>
  <c r="K39" i="11"/>
  <c r="J39" i="11"/>
  <c r="P38" i="11"/>
  <c r="O38" i="11"/>
  <c r="N38" i="11"/>
  <c r="M38" i="11"/>
  <c r="L38" i="11"/>
  <c r="K38" i="11"/>
  <c r="J38" i="11"/>
  <c r="P36" i="11"/>
  <c r="O36" i="11"/>
  <c r="N36" i="11"/>
  <c r="M36" i="11"/>
  <c r="L36" i="11"/>
  <c r="K36" i="11"/>
  <c r="J36" i="11"/>
  <c r="P34" i="11"/>
  <c r="O34" i="11"/>
  <c r="N34" i="11"/>
  <c r="M34" i="11"/>
  <c r="L34" i="11"/>
  <c r="K34" i="11"/>
  <c r="J34" i="11"/>
  <c r="P33" i="11"/>
  <c r="O33" i="11"/>
  <c r="N33" i="11"/>
  <c r="M33" i="11"/>
  <c r="L33" i="11"/>
  <c r="K33" i="11"/>
  <c r="J33" i="11"/>
  <c r="P32" i="11"/>
  <c r="O32" i="11"/>
  <c r="N32" i="11"/>
  <c r="M32" i="11"/>
  <c r="L32" i="11"/>
  <c r="K32" i="11"/>
  <c r="J32" i="11"/>
  <c r="P31" i="11"/>
  <c r="O31" i="11"/>
  <c r="N31" i="11"/>
  <c r="M31" i="11"/>
  <c r="L31" i="11"/>
  <c r="K31" i="11"/>
  <c r="J31" i="11"/>
  <c r="P30" i="11"/>
  <c r="O30" i="11"/>
  <c r="N30" i="11"/>
  <c r="M30" i="11"/>
  <c r="L30" i="11"/>
  <c r="K30" i="11"/>
  <c r="J30" i="11"/>
  <c r="P29" i="11"/>
  <c r="O29" i="11"/>
  <c r="N29" i="11"/>
  <c r="M29" i="11"/>
  <c r="L29" i="11"/>
  <c r="K29" i="11"/>
  <c r="J29" i="11"/>
  <c r="P28" i="11"/>
  <c r="O28" i="11"/>
  <c r="N28" i="11"/>
  <c r="M28" i="11"/>
  <c r="L28" i="11"/>
  <c r="K28" i="11"/>
  <c r="J28" i="11"/>
  <c r="P27" i="11"/>
  <c r="O27" i="11"/>
  <c r="N27" i="11"/>
  <c r="M27" i="11"/>
  <c r="L27" i="11"/>
  <c r="K27" i="11"/>
  <c r="J27" i="11"/>
  <c r="P26" i="11"/>
  <c r="O26" i="11"/>
  <c r="N26" i="11"/>
  <c r="M26" i="11"/>
  <c r="L26" i="11"/>
  <c r="K26" i="11"/>
  <c r="J26" i="11"/>
  <c r="P25" i="11"/>
  <c r="O25" i="11"/>
  <c r="N25" i="11"/>
  <c r="M25" i="11"/>
  <c r="L25" i="11"/>
  <c r="K25" i="11"/>
  <c r="J25" i="11"/>
  <c r="P24" i="11"/>
  <c r="O24" i="11"/>
  <c r="N24" i="11"/>
  <c r="M24" i="11"/>
  <c r="L24" i="11"/>
  <c r="K24" i="11"/>
  <c r="J24" i="11"/>
  <c r="P23" i="11"/>
  <c r="O23" i="11"/>
  <c r="N23" i="11"/>
  <c r="M23" i="11"/>
  <c r="L23" i="11"/>
  <c r="K23" i="11"/>
  <c r="J23" i="11"/>
  <c r="P22" i="11"/>
  <c r="O22" i="11"/>
  <c r="N22" i="11"/>
  <c r="M22" i="11"/>
  <c r="L22" i="11"/>
  <c r="K22" i="11"/>
  <c r="J22" i="11"/>
  <c r="P21" i="11"/>
  <c r="O21" i="11"/>
  <c r="N21" i="11"/>
  <c r="M21" i="11"/>
  <c r="L21" i="11"/>
  <c r="K21" i="11"/>
  <c r="J21" i="11"/>
  <c r="P20" i="11"/>
  <c r="O20" i="11"/>
  <c r="N20" i="11"/>
  <c r="M20" i="11"/>
  <c r="L20" i="11"/>
  <c r="K20" i="11"/>
  <c r="J20" i="11"/>
  <c r="P19" i="11"/>
  <c r="O19" i="11"/>
  <c r="N19" i="11"/>
  <c r="M19" i="11"/>
  <c r="L19" i="11"/>
  <c r="K19" i="11"/>
  <c r="J19" i="11"/>
  <c r="P18" i="11"/>
  <c r="O18" i="11"/>
  <c r="N18" i="11"/>
  <c r="M18" i="11"/>
  <c r="L18" i="11"/>
  <c r="K18" i="11"/>
  <c r="J18" i="11"/>
  <c r="P17" i="11"/>
  <c r="O17" i="11"/>
  <c r="N17" i="11"/>
  <c r="M17" i="11"/>
  <c r="L17" i="11"/>
  <c r="K17" i="11"/>
  <c r="J17" i="11"/>
  <c r="P16" i="11"/>
  <c r="O16" i="11"/>
  <c r="N16" i="11"/>
  <c r="M16" i="11"/>
  <c r="L16" i="11"/>
  <c r="K16" i="11"/>
  <c r="J16" i="11"/>
  <c r="P15" i="11"/>
  <c r="O15" i="11"/>
  <c r="N15" i="11"/>
  <c r="M15" i="11"/>
  <c r="L15" i="11"/>
  <c r="K15" i="11"/>
  <c r="J15" i="11"/>
  <c r="P14" i="11"/>
  <c r="O14" i="11"/>
  <c r="N14" i="11"/>
  <c r="M14" i="11"/>
  <c r="L14" i="11"/>
  <c r="K14" i="11"/>
  <c r="J14" i="11"/>
  <c r="P13" i="11"/>
  <c r="O13" i="11"/>
  <c r="N13" i="11"/>
  <c r="M13" i="11"/>
  <c r="L13" i="11"/>
  <c r="K13" i="11"/>
  <c r="J13" i="11"/>
  <c r="P167" i="3"/>
  <c r="O167" i="3"/>
  <c r="N167" i="3"/>
  <c r="M167" i="3"/>
  <c r="L167" i="3"/>
  <c r="K167" i="3"/>
  <c r="J167" i="3"/>
  <c r="P166" i="3"/>
  <c r="O166" i="3"/>
  <c r="N166" i="3"/>
  <c r="M166" i="3"/>
  <c r="L166" i="3"/>
  <c r="K166" i="3"/>
  <c r="J166" i="3"/>
  <c r="P165" i="3"/>
  <c r="O165" i="3"/>
  <c r="N165" i="3"/>
  <c r="M165" i="3"/>
  <c r="L165" i="3"/>
  <c r="K165" i="3"/>
  <c r="J165" i="3"/>
  <c r="P162" i="3"/>
  <c r="O162" i="3"/>
  <c r="N162" i="3"/>
  <c r="M162" i="3"/>
  <c r="L162" i="3"/>
  <c r="K162" i="3"/>
  <c r="J162" i="3"/>
  <c r="P160" i="3"/>
  <c r="O160" i="3"/>
  <c r="N160" i="3"/>
  <c r="M160" i="3"/>
  <c r="L160" i="3"/>
  <c r="K160" i="3"/>
  <c r="J160" i="3"/>
  <c r="P158" i="3"/>
  <c r="O158" i="3"/>
  <c r="N158" i="3"/>
  <c r="M158" i="3"/>
  <c r="L158" i="3"/>
  <c r="K158" i="3"/>
  <c r="J158" i="3"/>
  <c r="P157" i="3"/>
  <c r="O157" i="3"/>
  <c r="N157" i="3"/>
  <c r="M157" i="3"/>
  <c r="L157" i="3"/>
  <c r="K157" i="3"/>
  <c r="J157" i="3"/>
  <c r="P156" i="3"/>
  <c r="O156" i="3"/>
  <c r="N156" i="3"/>
  <c r="M156" i="3"/>
  <c r="L156" i="3"/>
  <c r="K156" i="3"/>
  <c r="J156" i="3"/>
  <c r="P155" i="3"/>
  <c r="O155" i="3"/>
  <c r="N155" i="3"/>
  <c r="M155" i="3"/>
  <c r="L155" i="3"/>
  <c r="K155" i="3"/>
  <c r="J155" i="3"/>
  <c r="P154" i="3"/>
  <c r="O154" i="3"/>
  <c r="N154" i="3"/>
  <c r="M154" i="3"/>
  <c r="L154" i="3"/>
  <c r="K154" i="3"/>
  <c r="J154" i="3"/>
  <c r="P153" i="3"/>
  <c r="O153" i="3"/>
  <c r="N153" i="3"/>
  <c r="M153" i="3"/>
  <c r="L153" i="3"/>
  <c r="K153" i="3"/>
  <c r="J153" i="3"/>
  <c r="P152" i="3"/>
  <c r="O152" i="3"/>
  <c r="N152" i="3"/>
  <c r="M152" i="3"/>
  <c r="L152" i="3"/>
  <c r="K152" i="3"/>
  <c r="J152" i="3"/>
  <c r="P151" i="3"/>
  <c r="O151" i="3"/>
  <c r="N151" i="3"/>
  <c r="M151" i="3"/>
  <c r="L151" i="3"/>
  <c r="K151" i="3"/>
  <c r="J151" i="3"/>
  <c r="P149" i="3"/>
  <c r="O149" i="3"/>
  <c r="N149" i="3"/>
  <c r="M149" i="3"/>
  <c r="L149" i="3"/>
  <c r="K149" i="3"/>
  <c r="J149" i="3"/>
  <c r="P148" i="3"/>
  <c r="O148" i="3"/>
  <c r="N148" i="3"/>
  <c r="M148" i="3"/>
  <c r="L148" i="3"/>
  <c r="K148" i="3"/>
  <c r="J148" i="3"/>
  <c r="P147" i="3"/>
  <c r="O147" i="3"/>
  <c r="N147" i="3"/>
  <c r="M147" i="3"/>
  <c r="L147" i="3"/>
  <c r="K147" i="3"/>
  <c r="J147" i="3"/>
  <c r="P146" i="3"/>
  <c r="O146" i="3"/>
  <c r="N146" i="3"/>
  <c r="M146" i="3"/>
  <c r="L146" i="3"/>
  <c r="K146" i="3"/>
  <c r="J146" i="3"/>
  <c r="P145" i="3"/>
  <c r="O145" i="3"/>
  <c r="N145" i="3"/>
  <c r="M145" i="3"/>
  <c r="L145" i="3"/>
  <c r="K145" i="3"/>
  <c r="J145" i="3"/>
  <c r="P144" i="3"/>
  <c r="O144" i="3"/>
  <c r="N144" i="3"/>
  <c r="M144" i="3"/>
  <c r="L144" i="3"/>
  <c r="K144" i="3"/>
  <c r="J144" i="3"/>
  <c r="P143" i="3"/>
  <c r="O143" i="3"/>
  <c r="N143" i="3"/>
  <c r="M143" i="3"/>
  <c r="L143" i="3"/>
  <c r="K143" i="3"/>
  <c r="J143" i="3"/>
  <c r="P142" i="3"/>
  <c r="O142" i="3"/>
  <c r="N142" i="3"/>
  <c r="M142" i="3"/>
  <c r="L142" i="3"/>
  <c r="K142" i="3"/>
  <c r="J142" i="3"/>
  <c r="P141" i="3"/>
  <c r="O141" i="3"/>
  <c r="N141" i="3"/>
  <c r="M141" i="3"/>
  <c r="L141" i="3"/>
  <c r="K141" i="3"/>
  <c r="J141" i="3"/>
  <c r="P140" i="3"/>
  <c r="O140" i="3"/>
  <c r="N140" i="3"/>
  <c r="M140" i="3"/>
  <c r="L140" i="3"/>
  <c r="K140" i="3"/>
  <c r="J140" i="3"/>
  <c r="P139" i="3"/>
  <c r="O139" i="3"/>
  <c r="N139" i="3"/>
  <c r="M139" i="3"/>
  <c r="L139" i="3"/>
  <c r="K139" i="3"/>
  <c r="J139" i="3"/>
  <c r="P137" i="3"/>
  <c r="O137" i="3"/>
  <c r="N137" i="3"/>
  <c r="M137" i="3"/>
  <c r="L137" i="3"/>
  <c r="K137" i="3"/>
  <c r="J137" i="3"/>
  <c r="P136" i="3"/>
  <c r="O136" i="3"/>
  <c r="N136" i="3"/>
  <c r="M136" i="3"/>
  <c r="L136" i="3"/>
  <c r="K136" i="3"/>
  <c r="J136" i="3"/>
  <c r="P135" i="3"/>
  <c r="O135" i="3"/>
  <c r="N135" i="3"/>
  <c r="M135" i="3"/>
  <c r="L135" i="3"/>
  <c r="K135" i="3"/>
  <c r="J135" i="3"/>
  <c r="P134" i="3"/>
  <c r="O134" i="3"/>
  <c r="N134" i="3"/>
  <c r="M134" i="3"/>
  <c r="L134" i="3"/>
  <c r="K134" i="3"/>
  <c r="J134" i="3"/>
  <c r="P133" i="3"/>
  <c r="O133" i="3"/>
  <c r="N133" i="3"/>
  <c r="M133" i="3"/>
  <c r="L133" i="3"/>
  <c r="K133" i="3"/>
  <c r="J133" i="3"/>
  <c r="P131" i="3"/>
  <c r="O131" i="3"/>
  <c r="N131" i="3"/>
  <c r="M131" i="3"/>
  <c r="L131" i="3"/>
  <c r="K131" i="3"/>
  <c r="J131" i="3"/>
  <c r="P130" i="3"/>
  <c r="O130" i="3"/>
  <c r="N130" i="3"/>
  <c r="M130" i="3"/>
  <c r="L130" i="3"/>
  <c r="K130" i="3"/>
  <c r="J130" i="3"/>
  <c r="P129" i="3"/>
  <c r="O129" i="3"/>
  <c r="N129" i="3"/>
  <c r="M129" i="3"/>
  <c r="L129" i="3"/>
  <c r="K129" i="3"/>
  <c r="J129" i="3"/>
  <c r="P128" i="3"/>
  <c r="O128" i="3"/>
  <c r="N128" i="3"/>
  <c r="M128" i="3"/>
  <c r="L128" i="3"/>
  <c r="K128" i="3"/>
  <c r="J128" i="3"/>
  <c r="P127" i="3"/>
  <c r="O127" i="3"/>
  <c r="N127" i="3"/>
  <c r="M127" i="3"/>
  <c r="L127" i="3"/>
  <c r="K127" i="3"/>
  <c r="J127" i="3"/>
  <c r="P126" i="3"/>
  <c r="O126" i="3"/>
  <c r="N126" i="3"/>
  <c r="M126" i="3"/>
  <c r="L126" i="3"/>
  <c r="K126" i="3"/>
  <c r="J126" i="3"/>
  <c r="P125" i="3"/>
  <c r="O125" i="3"/>
  <c r="N125" i="3"/>
  <c r="M125" i="3"/>
  <c r="L125" i="3"/>
  <c r="K125" i="3"/>
  <c r="J125" i="3"/>
  <c r="P124" i="3"/>
  <c r="O124" i="3"/>
  <c r="N124" i="3"/>
  <c r="M124" i="3"/>
  <c r="L124" i="3"/>
  <c r="K124" i="3"/>
  <c r="J124" i="3"/>
  <c r="P122" i="3"/>
  <c r="O122" i="3"/>
  <c r="N122" i="3"/>
  <c r="M122" i="3"/>
  <c r="L122" i="3"/>
  <c r="K122" i="3"/>
  <c r="J122" i="3"/>
  <c r="P121" i="3"/>
  <c r="O121" i="3"/>
  <c r="N121" i="3"/>
  <c r="M121" i="3"/>
  <c r="L121" i="3"/>
  <c r="K121" i="3"/>
  <c r="J121" i="3"/>
  <c r="P120" i="3"/>
  <c r="O120" i="3"/>
  <c r="N120" i="3"/>
  <c r="M120" i="3"/>
  <c r="L120" i="3"/>
  <c r="K120" i="3"/>
  <c r="J120" i="3"/>
  <c r="P119" i="3"/>
  <c r="O119" i="3"/>
  <c r="N119" i="3"/>
  <c r="M119" i="3"/>
  <c r="L119" i="3"/>
  <c r="K119" i="3"/>
  <c r="J119" i="3"/>
  <c r="P118" i="3"/>
  <c r="O118" i="3"/>
  <c r="N118" i="3"/>
  <c r="M118" i="3"/>
  <c r="L118" i="3"/>
  <c r="K118" i="3"/>
  <c r="J118" i="3"/>
  <c r="P117" i="3"/>
  <c r="O117" i="3"/>
  <c r="N117" i="3"/>
  <c r="M117" i="3"/>
  <c r="L117" i="3"/>
  <c r="K117" i="3"/>
  <c r="J117" i="3"/>
  <c r="P115" i="3"/>
  <c r="O115" i="3"/>
  <c r="N115" i="3"/>
  <c r="M115" i="3"/>
  <c r="L115" i="3"/>
  <c r="K115" i="3"/>
  <c r="J115" i="3"/>
  <c r="P113" i="3"/>
  <c r="O113" i="3"/>
  <c r="N113" i="3"/>
  <c r="M113" i="3"/>
  <c r="L113" i="3"/>
  <c r="K113" i="3"/>
  <c r="J113" i="3"/>
  <c r="P112" i="3"/>
  <c r="O112" i="3"/>
  <c r="N112" i="3"/>
  <c r="M112" i="3"/>
  <c r="L112" i="3"/>
  <c r="K112" i="3"/>
  <c r="J112" i="3"/>
  <c r="P111" i="3"/>
  <c r="O111" i="3"/>
  <c r="N111" i="3"/>
  <c r="M111" i="3"/>
  <c r="L111" i="3"/>
  <c r="K111" i="3"/>
  <c r="J111" i="3"/>
  <c r="P110" i="3"/>
  <c r="O110" i="3"/>
  <c r="N110" i="3"/>
  <c r="M110" i="3"/>
  <c r="L110" i="3"/>
  <c r="K110" i="3"/>
  <c r="J110" i="3"/>
  <c r="P109" i="3"/>
  <c r="O109" i="3"/>
  <c r="N109" i="3"/>
  <c r="M109" i="3"/>
  <c r="L109" i="3"/>
  <c r="K109" i="3"/>
  <c r="J109" i="3"/>
  <c r="P108" i="3"/>
  <c r="O108" i="3"/>
  <c r="N108" i="3"/>
  <c r="M108" i="3"/>
  <c r="L108" i="3"/>
  <c r="K108" i="3"/>
  <c r="J108" i="3"/>
  <c r="P107" i="3"/>
  <c r="O107" i="3"/>
  <c r="N107" i="3"/>
  <c r="M107" i="3"/>
  <c r="L107" i="3"/>
  <c r="K107" i="3"/>
  <c r="J107" i="3"/>
  <c r="P106" i="3"/>
  <c r="O106" i="3"/>
  <c r="N106" i="3"/>
  <c r="M106" i="3"/>
  <c r="L106" i="3"/>
  <c r="K106" i="3"/>
  <c r="J106" i="3"/>
  <c r="P104" i="3"/>
  <c r="O104" i="3"/>
  <c r="N104" i="3"/>
  <c r="M104" i="3"/>
  <c r="L104" i="3"/>
  <c r="K104" i="3"/>
  <c r="J104" i="3"/>
  <c r="P103" i="3"/>
  <c r="O103" i="3"/>
  <c r="N103" i="3"/>
  <c r="M103" i="3"/>
  <c r="L103" i="3"/>
  <c r="K103" i="3"/>
  <c r="J103" i="3"/>
  <c r="P102" i="3"/>
  <c r="O102" i="3"/>
  <c r="N102" i="3"/>
  <c r="M102" i="3"/>
  <c r="L102" i="3"/>
  <c r="K102" i="3"/>
  <c r="J102" i="3"/>
  <c r="P101" i="3"/>
  <c r="O101" i="3"/>
  <c r="N101" i="3"/>
  <c r="M101" i="3"/>
  <c r="L101" i="3"/>
  <c r="K101" i="3"/>
  <c r="J101" i="3"/>
  <c r="P99" i="3"/>
  <c r="O99" i="3"/>
  <c r="N99" i="3"/>
  <c r="M99" i="3"/>
  <c r="L99" i="3"/>
  <c r="K99" i="3"/>
  <c r="J99" i="3"/>
  <c r="P98" i="3"/>
  <c r="O98" i="3"/>
  <c r="N98" i="3"/>
  <c r="M98" i="3"/>
  <c r="L98" i="3"/>
  <c r="K98" i="3"/>
  <c r="J98" i="3"/>
  <c r="P97" i="3"/>
  <c r="O97" i="3"/>
  <c r="N97" i="3"/>
  <c r="M97" i="3"/>
  <c r="L97" i="3"/>
  <c r="K97" i="3"/>
  <c r="J97" i="3"/>
  <c r="P95" i="3"/>
  <c r="O95" i="3"/>
  <c r="N95" i="3"/>
  <c r="M95" i="3"/>
  <c r="L95" i="3"/>
  <c r="K95" i="3"/>
  <c r="J95" i="3"/>
  <c r="P94" i="3"/>
  <c r="O94" i="3"/>
  <c r="N94" i="3"/>
  <c r="M94" i="3"/>
  <c r="L94" i="3"/>
  <c r="K94" i="3"/>
  <c r="J94" i="3"/>
  <c r="P93" i="3"/>
  <c r="O93" i="3"/>
  <c r="N93" i="3"/>
  <c r="M93" i="3"/>
  <c r="L93" i="3"/>
  <c r="K93" i="3"/>
  <c r="J93" i="3"/>
  <c r="P92" i="3"/>
  <c r="O92" i="3"/>
  <c r="N92" i="3"/>
  <c r="M92" i="3"/>
  <c r="L92" i="3"/>
  <c r="K92" i="3"/>
  <c r="J92" i="3"/>
  <c r="P91" i="3"/>
  <c r="O91" i="3"/>
  <c r="N91" i="3"/>
  <c r="M91" i="3"/>
  <c r="L91" i="3"/>
  <c r="K91" i="3"/>
  <c r="J91" i="3"/>
  <c r="P89" i="3"/>
  <c r="O89" i="3"/>
  <c r="N89" i="3"/>
  <c r="M89" i="3"/>
  <c r="L89" i="3"/>
  <c r="K89" i="3"/>
  <c r="J89" i="3"/>
  <c r="P88" i="3"/>
  <c r="O88" i="3"/>
  <c r="N88" i="3"/>
  <c r="M88" i="3"/>
  <c r="L88" i="3"/>
  <c r="K88" i="3"/>
  <c r="J88" i="3"/>
  <c r="P87" i="3"/>
  <c r="O87" i="3"/>
  <c r="N87" i="3"/>
  <c r="M87" i="3"/>
  <c r="L87" i="3"/>
  <c r="K87" i="3"/>
  <c r="J87" i="3"/>
  <c r="P86" i="3"/>
  <c r="O86" i="3"/>
  <c r="N86" i="3"/>
  <c r="M86" i="3"/>
  <c r="L86" i="3"/>
  <c r="K86" i="3"/>
  <c r="J86" i="3"/>
  <c r="P85" i="3"/>
  <c r="O85" i="3"/>
  <c r="N85" i="3"/>
  <c r="M85" i="3"/>
  <c r="L85" i="3"/>
  <c r="K85" i="3"/>
  <c r="J85" i="3"/>
  <c r="P83" i="3"/>
  <c r="O83" i="3"/>
  <c r="N83" i="3"/>
  <c r="M83" i="3"/>
  <c r="L83" i="3"/>
  <c r="K83" i="3"/>
  <c r="J83" i="3"/>
  <c r="P82" i="3"/>
  <c r="O82" i="3"/>
  <c r="N82" i="3"/>
  <c r="M82" i="3"/>
  <c r="L82" i="3"/>
  <c r="K82" i="3"/>
  <c r="J82" i="3"/>
  <c r="P81" i="3"/>
  <c r="O81" i="3"/>
  <c r="N81" i="3"/>
  <c r="M81" i="3"/>
  <c r="L81" i="3"/>
  <c r="K81" i="3"/>
  <c r="J81" i="3"/>
  <c r="P80" i="3"/>
  <c r="O80" i="3"/>
  <c r="N80" i="3"/>
  <c r="M80" i="3"/>
  <c r="L80" i="3"/>
  <c r="K80" i="3"/>
  <c r="J80" i="3"/>
  <c r="P79" i="3"/>
  <c r="O79" i="3"/>
  <c r="N79" i="3"/>
  <c r="M79" i="3"/>
  <c r="L79" i="3"/>
  <c r="K79" i="3"/>
  <c r="J79" i="3"/>
  <c r="P77" i="3"/>
  <c r="O77" i="3"/>
  <c r="N77" i="3"/>
  <c r="M77" i="3"/>
  <c r="L77" i="3"/>
  <c r="K77" i="3"/>
  <c r="J77" i="3"/>
  <c r="P76" i="3"/>
  <c r="O76" i="3"/>
  <c r="N76" i="3"/>
  <c r="M76" i="3"/>
  <c r="L76" i="3"/>
  <c r="K76" i="3"/>
  <c r="J76" i="3"/>
  <c r="P75" i="3"/>
  <c r="O75" i="3"/>
  <c r="N75" i="3"/>
  <c r="M75" i="3"/>
  <c r="L75" i="3"/>
  <c r="K75" i="3"/>
  <c r="J75" i="3"/>
  <c r="P74" i="3"/>
  <c r="O74" i="3"/>
  <c r="N74" i="3"/>
  <c r="M74" i="3"/>
  <c r="L74" i="3"/>
  <c r="K74" i="3"/>
  <c r="J74" i="3"/>
  <c r="P73" i="3"/>
  <c r="O73" i="3"/>
  <c r="N73" i="3"/>
  <c r="M73" i="3"/>
  <c r="L73" i="3"/>
  <c r="K73" i="3"/>
  <c r="J73" i="3"/>
  <c r="P72" i="3"/>
  <c r="O72" i="3"/>
  <c r="N72" i="3"/>
  <c r="M72" i="3"/>
  <c r="L72" i="3"/>
  <c r="K72" i="3"/>
  <c r="J72" i="3"/>
  <c r="P71" i="3"/>
  <c r="O71" i="3"/>
  <c r="N71" i="3"/>
  <c r="M71" i="3"/>
  <c r="L71" i="3"/>
  <c r="K71" i="3"/>
  <c r="J71" i="3"/>
  <c r="P70" i="3"/>
  <c r="O70" i="3"/>
  <c r="N70" i="3"/>
  <c r="M70" i="3"/>
  <c r="L70" i="3"/>
  <c r="K70" i="3"/>
  <c r="J70" i="3"/>
  <c r="P69" i="3"/>
  <c r="O69" i="3"/>
  <c r="N69" i="3"/>
  <c r="M69" i="3"/>
  <c r="L69" i="3"/>
  <c r="K69" i="3"/>
  <c r="J69" i="3"/>
  <c r="P68" i="3"/>
  <c r="O68" i="3"/>
  <c r="N68" i="3"/>
  <c r="M68" i="3"/>
  <c r="L68" i="3"/>
  <c r="K68" i="3"/>
  <c r="J68" i="3"/>
  <c r="P67" i="3"/>
  <c r="O67" i="3"/>
  <c r="N67" i="3"/>
  <c r="M67" i="3"/>
  <c r="L67" i="3"/>
  <c r="K67" i="3"/>
  <c r="J67" i="3"/>
  <c r="P66" i="3"/>
  <c r="O66" i="3"/>
  <c r="N66" i="3"/>
  <c r="M66" i="3"/>
  <c r="L66" i="3"/>
  <c r="K66" i="3"/>
  <c r="J66" i="3"/>
  <c r="P65" i="3"/>
  <c r="O65" i="3"/>
  <c r="N65" i="3"/>
  <c r="M65" i="3"/>
  <c r="L65" i="3"/>
  <c r="K65" i="3"/>
  <c r="J65" i="3"/>
  <c r="P64" i="3"/>
  <c r="O64" i="3"/>
  <c r="N64" i="3"/>
  <c r="M64" i="3"/>
  <c r="L64" i="3"/>
  <c r="K64" i="3"/>
  <c r="J64" i="3"/>
  <c r="P63" i="3"/>
  <c r="O63" i="3"/>
  <c r="N63" i="3"/>
  <c r="M63" i="3"/>
  <c r="L63" i="3"/>
  <c r="K63" i="3"/>
  <c r="J63" i="3"/>
  <c r="P62" i="3"/>
  <c r="O62" i="3"/>
  <c r="N62" i="3"/>
  <c r="M62" i="3"/>
  <c r="L62" i="3"/>
  <c r="K62" i="3"/>
  <c r="J62" i="3"/>
  <c r="P61" i="3"/>
  <c r="O61" i="3"/>
  <c r="N61" i="3"/>
  <c r="M61" i="3"/>
  <c r="L61" i="3"/>
  <c r="K61" i="3"/>
  <c r="J61" i="3"/>
  <c r="P59" i="3"/>
  <c r="O59" i="3"/>
  <c r="N59" i="3"/>
  <c r="M59" i="3"/>
  <c r="L59" i="3"/>
  <c r="K59" i="3"/>
  <c r="J59" i="3"/>
  <c r="P58" i="3"/>
  <c r="O58" i="3"/>
  <c r="N58" i="3"/>
  <c r="M58" i="3"/>
  <c r="L58" i="3"/>
  <c r="K58" i="3"/>
  <c r="J58" i="3"/>
  <c r="P55" i="3"/>
  <c r="O55" i="3"/>
  <c r="N55" i="3"/>
  <c r="M55" i="3"/>
  <c r="L55" i="3"/>
  <c r="K55" i="3"/>
  <c r="J55" i="3"/>
  <c r="P54" i="3"/>
  <c r="O54" i="3"/>
  <c r="N54" i="3"/>
  <c r="M54" i="3"/>
  <c r="L54" i="3"/>
  <c r="K54" i="3"/>
  <c r="J54" i="3"/>
  <c r="P53" i="3"/>
  <c r="O53" i="3"/>
  <c r="N53" i="3"/>
  <c r="M53" i="3"/>
  <c r="L53" i="3"/>
  <c r="K53" i="3"/>
  <c r="J53" i="3"/>
  <c r="P52" i="3"/>
  <c r="O52" i="3"/>
  <c r="N52" i="3"/>
  <c r="M52" i="3"/>
  <c r="L52" i="3"/>
  <c r="K52" i="3"/>
  <c r="J52" i="3"/>
  <c r="P49" i="3"/>
  <c r="O49" i="3"/>
  <c r="M49" i="3"/>
  <c r="L49" i="3"/>
  <c r="K49" i="3"/>
  <c r="J49" i="3"/>
  <c r="G49" i="3"/>
  <c r="P41" i="3"/>
  <c r="O41" i="3"/>
  <c r="N41" i="3"/>
  <c r="M41" i="3"/>
  <c r="L41" i="3"/>
  <c r="K41" i="3"/>
  <c r="J41" i="3"/>
  <c r="P40" i="3"/>
  <c r="O40" i="3"/>
  <c r="N40" i="3"/>
  <c r="M40" i="3"/>
  <c r="L40" i="3"/>
  <c r="K40" i="3"/>
  <c r="J40" i="3"/>
  <c r="P39" i="3"/>
  <c r="O39" i="3"/>
  <c r="N39" i="3"/>
  <c r="M39" i="3"/>
  <c r="L39" i="3"/>
  <c r="K39" i="3"/>
  <c r="J39" i="3"/>
  <c r="P38" i="3"/>
  <c r="O38" i="3"/>
  <c r="N38" i="3"/>
  <c r="M38" i="3"/>
  <c r="L38" i="3"/>
  <c r="K38" i="3"/>
  <c r="J38" i="3"/>
  <c r="P36" i="3"/>
  <c r="O36" i="3"/>
  <c r="N36" i="3"/>
  <c r="M36" i="3"/>
  <c r="L36" i="3"/>
  <c r="K36" i="3"/>
  <c r="J36" i="3"/>
  <c r="P34" i="3"/>
  <c r="O34" i="3"/>
  <c r="N34" i="3"/>
  <c r="M34" i="3"/>
  <c r="L34" i="3"/>
  <c r="K34" i="3"/>
  <c r="J34" i="3"/>
  <c r="P33" i="3"/>
  <c r="O33" i="3"/>
  <c r="N33" i="3"/>
  <c r="M33" i="3"/>
  <c r="L33" i="3"/>
  <c r="K33" i="3"/>
  <c r="J33" i="3"/>
  <c r="P32" i="3"/>
  <c r="O32" i="3"/>
  <c r="N32" i="3"/>
  <c r="M32" i="3"/>
  <c r="L32" i="3"/>
  <c r="K32" i="3"/>
  <c r="J32" i="3"/>
  <c r="P31" i="3"/>
  <c r="O31" i="3"/>
  <c r="N31" i="3"/>
  <c r="M31" i="3"/>
  <c r="L31" i="3"/>
  <c r="K31" i="3"/>
  <c r="J31" i="3"/>
  <c r="P30" i="3"/>
  <c r="O30" i="3"/>
  <c r="N30" i="3"/>
  <c r="M30" i="3"/>
  <c r="L30" i="3"/>
  <c r="K30" i="3"/>
  <c r="J30" i="3"/>
  <c r="P29" i="3"/>
  <c r="O29" i="3"/>
  <c r="N29" i="3"/>
  <c r="M29" i="3"/>
  <c r="L29" i="3"/>
  <c r="K29" i="3"/>
  <c r="J29" i="3"/>
  <c r="P28" i="3"/>
  <c r="O28" i="3"/>
  <c r="N28" i="3"/>
  <c r="M28" i="3"/>
  <c r="L28" i="3"/>
  <c r="K28" i="3"/>
  <c r="J28" i="3"/>
  <c r="P27" i="3"/>
  <c r="O27" i="3"/>
  <c r="N27" i="3"/>
  <c r="M27" i="3"/>
  <c r="L27" i="3"/>
  <c r="K27" i="3"/>
  <c r="J27" i="3"/>
  <c r="P26" i="3"/>
  <c r="O26" i="3"/>
  <c r="N26" i="3"/>
  <c r="M26" i="3"/>
  <c r="L26" i="3"/>
  <c r="K26" i="3"/>
  <c r="J26" i="3"/>
  <c r="P25" i="3"/>
  <c r="O25" i="3"/>
  <c r="N25" i="3"/>
  <c r="M25" i="3"/>
  <c r="L25" i="3"/>
  <c r="K25" i="3"/>
  <c r="J25" i="3"/>
  <c r="P22" i="3"/>
  <c r="O22" i="3"/>
  <c r="M22" i="3"/>
  <c r="L22" i="3"/>
  <c r="K22" i="3"/>
  <c r="J22" i="3"/>
  <c r="G22" i="3"/>
  <c r="N22" i="3" s="1"/>
  <c r="P18" i="3"/>
  <c r="P17" i="3"/>
  <c r="P16" i="3"/>
  <c r="P15" i="3"/>
  <c r="P14" i="3"/>
  <c r="P13" i="3"/>
  <c r="O13" i="3"/>
  <c r="M13" i="3"/>
  <c r="L13" i="3"/>
  <c r="K13" i="3"/>
  <c r="J13" i="3"/>
  <c r="G13" i="3"/>
  <c r="P12" i="3"/>
  <c r="P11" i="3"/>
  <c r="P10" i="3"/>
  <c r="P9" i="3"/>
  <c r="P8" i="3"/>
  <c r="P7" i="3"/>
  <c r="P168" i="6"/>
  <c r="O168" i="6"/>
  <c r="N168" i="6"/>
  <c r="M168" i="6"/>
  <c r="L168" i="6"/>
  <c r="K168" i="6"/>
  <c r="J168" i="6"/>
  <c r="P167" i="6"/>
  <c r="O167" i="6"/>
  <c r="N167" i="6"/>
  <c r="M167" i="6"/>
  <c r="L167" i="6"/>
  <c r="K167" i="6"/>
  <c r="J167" i="6"/>
  <c r="I166" i="6"/>
  <c r="H166" i="6"/>
  <c r="O166" i="6" s="1"/>
  <c r="G166" i="6"/>
  <c r="F166" i="6"/>
  <c r="E166" i="6"/>
  <c r="D166" i="6"/>
  <c r="C166" i="6"/>
  <c r="P165" i="6"/>
  <c r="O165" i="6"/>
  <c r="N165" i="6"/>
  <c r="M165" i="6"/>
  <c r="L165" i="6"/>
  <c r="K165" i="6"/>
  <c r="J165" i="6"/>
  <c r="P164" i="6"/>
  <c r="O164" i="6"/>
  <c r="N164" i="6"/>
  <c r="M164" i="6"/>
  <c r="L164" i="6"/>
  <c r="K164" i="6"/>
  <c r="J164" i="6"/>
  <c r="P163" i="6"/>
  <c r="O163" i="6"/>
  <c r="N163" i="6"/>
  <c r="M163" i="6"/>
  <c r="L163" i="6"/>
  <c r="K163" i="6"/>
  <c r="J163" i="6"/>
  <c r="P162" i="6"/>
  <c r="O162" i="6"/>
  <c r="N162" i="6"/>
  <c r="M162" i="6"/>
  <c r="L162" i="6"/>
  <c r="K162" i="6"/>
  <c r="J162" i="6"/>
  <c r="P161" i="6"/>
  <c r="O161" i="6"/>
  <c r="N161" i="6"/>
  <c r="M161" i="6"/>
  <c r="L161" i="6"/>
  <c r="K161" i="6"/>
  <c r="J161" i="6"/>
  <c r="P160" i="6"/>
  <c r="O160" i="6"/>
  <c r="N160" i="6"/>
  <c r="M160" i="6"/>
  <c r="L160" i="6"/>
  <c r="K160" i="6"/>
  <c r="J160" i="6"/>
  <c r="P159" i="6"/>
  <c r="O159" i="6"/>
  <c r="N159" i="6"/>
  <c r="M159" i="6"/>
  <c r="L159" i="6"/>
  <c r="K159" i="6"/>
  <c r="J159" i="6"/>
  <c r="P158" i="6"/>
  <c r="O158" i="6"/>
  <c r="N158" i="6"/>
  <c r="M158" i="6"/>
  <c r="L158" i="6"/>
  <c r="K158" i="6"/>
  <c r="J158" i="6"/>
  <c r="I157" i="6"/>
  <c r="M157" i="6" s="1"/>
  <c r="H157" i="6"/>
  <c r="G157" i="6"/>
  <c r="F157" i="6"/>
  <c r="E157" i="6"/>
  <c r="D157" i="6"/>
  <c r="C157" i="6"/>
  <c r="P156" i="6"/>
  <c r="O156" i="6"/>
  <c r="N156" i="6"/>
  <c r="M156" i="6"/>
  <c r="L156" i="6"/>
  <c r="K156" i="6"/>
  <c r="J156" i="6"/>
  <c r="P155" i="6"/>
  <c r="O155" i="6"/>
  <c r="N155" i="6"/>
  <c r="M155" i="6"/>
  <c r="L155" i="6"/>
  <c r="K155" i="6"/>
  <c r="J155" i="6"/>
  <c r="P154" i="6"/>
  <c r="O154" i="6"/>
  <c r="N154" i="6"/>
  <c r="M154" i="6"/>
  <c r="L154" i="6"/>
  <c r="K154" i="6"/>
  <c r="J154" i="6"/>
  <c r="P153" i="6"/>
  <c r="O153" i="6"/>
  <c r="N153" i="6"/>
  <c r="M153" i="6"/>
  <c r="L153" i="6"/>
  <c r="K153" i="6"/>
  <c r="J153" i="6"/>
  <c r="P152" i="6"/>
  <c r="O152" i="6"/>
  <c r="N152" i="6"/>
  <c r="M152" i="6"/>
  <c r="L152" i="6"/>
  <c r="K152" i="6"/>
  <c r="J152" i="6"/>
  <c r="P151" i="6"/>
  <c r="O151" i="6"/>
  <c r="N151" i="6"/>
  <c r="M151" i="6"/>
  <c r="L151" i="6"/>
  <c r="K151" i="6"/>
  <c r="J151" i="6"/>
  <c r="P150" i="6"/>
  <c r="O150" i="6"/>
  <c r="N150" i="6"/>
  <c r="M150" i="6"/>
  <c r="L150" i="6"/>
  <c r="K150" i="6"/>
  <c r="J150" i="6"/>
  <c r="P149" i="6"/>
  <c r="O149" i="6"/>
  <c r="N149" i="6"/>
  <c r="M149" i="6"/>
  <c r="L149" i="6"/>
  <c r="K149" i="6"/>
  <c r="J149" i="6"/>
  <c r="I148" i="6"/>
  <c r="H148" i="6"/>
  <c r="G148" i="6"/>
  <c r="F148" i="6"/>
  <c r="E148" i="6"/>
  <c r="D148" i="6"/>
  <c r="C148" i="6"/>
  <c r="P147" i="6"/>
  <c r="O147" i="6"/>
  <c r="N147" i="6"/>
  <c r="M147" i="6"/>
  <c r="L147" i="6"/>
  <c r="K147" i="6"/>
  <c r="J147" i="6"/>
  <c r="P146" i="6"/>
  <c r="O146" i="6"/>
  <c r="N146" i="6"/>
  <c r="M146" i="6"/>
  <c r="L146" i="6"/>
  <c r="K146" i="6"/>
  <c r="J146" i="6"/>
  <c r="P145" i="6"/>
  <c r="O145" i="6"/>
  <c r="N145" i="6"/>
  <c r="M145" i="6"/>
  <c r="L145" i="6"/>
  <c r="K145" i="6"/>
  <c r="J145" i="6"/>
  <c r="P144" i="6"/>
  <c r="O144" i="6"/>
  <c r="N144" i="6"/>
  <c r="M144" i="6"/>
  <c r="L144" i="6"/>
  <c r="K144" i="6"/>
  <c r="J144" i="6"/>
  <c r="P143" i="6"/>
  <c r="O143" i="6"/>
  <c r="N143" i="6"/>
  <c r="M143" i="6"/>
  <c r="L143" i="6"/>
  <c r="K143" i="6"/>
  <c r="J143" i="6"/>
  <c r="P142" i="6"/>
  <c r="O142" i="6"/>
  <c r="N142" i="6"/>
  <c r="M142" i="6"/>
  <c r="L142" i="6"/>
  <c r="K142" i="6"/>
  <c r="J142" i="6"/>
  <c r="P141" i="6"/>
  <c r="O141" i="6"/>
  <c r="N141" i="6"/>
  <c r="M141" i="6"/>
  <c r="L141" i="6"/>
  <c r="K141" i="6"/>
  <c r="J141" i="6"/>
  <c r="P140" i="6"/>
  <c r="O140" i="6"/>
  <c r="N140" i="6"/>
  <c r="M140" i="6"/>
  <c r="L140" i="6"/>
  <c r="K140" i="6"/>
  <c r="J140" i="6"/>
  <c r="I139" i="6"/>
  <c r="K139" i="6" s="1"/>
  <c r="J139" i="6" s="1"/>
  <c r="H139" i="6"/>
  <c r="G139" i="6"/>
  <c r="F139" i="6"/>
  <c r="E139" i="6"/>
  <c r="D139" i="6"/>
  <c r="C139" i="6"/>
  <c r="P138" i="6"/>
  <c r="O138" i="6"/>
  <c r="N138" i="6"/>
  <c r="M138" i="6"/>
  <c r="L138" i="6"/>
  <c r="K138" i="6"/>
  <c r="J138" i="6"/>
  <c r="P137" i="6"/>
  <c r="O137" i="6"/>
  <c r="N137" i="6"/>
  <c r="M137" i="6"/>
  <c r="L137" i="6"/>
  <c r="K137" i="6"/>
  <c r="J137" i="6"/>
  <c r="P136" i="6"/>
  <c r="O136" i="6"/>
  <c r="N136" i="6"/>
  <c r="M136" i="6"/>
  <c r="L136" i="6"/>
  <c r="K136" i="6"/>
  <c r="J136" i="6"/>
  <c r="P135" i="6"/>
  <c r="O135" i="6"/>
  <c r="N135" i="6"/>
  <c r="M135" i="6"/>
  <c r="L135" i="6"/>
  <c r="K135" i="6"/>
  <c r="J135" i="6"/>
  <c r="P134" i="6"/>
  <c r="O134" i="6"/>
  <c r="N134" i="6"/>
  <c r="M134" i="6"/>
  <c r="L134" i="6"/>
  <c r="K134" i="6"/>
  <c r="J134" i="6"/>
  <c r="P133" i="6"/>
  <c r="O133" i="6"/>
  <c r="N133" i="6"/>
  <c r="M133" i="6"/>
  <c r="L133" i="6"/>
  <c r="K133" i="6"/>
  <c r="J133" i="6"/>
  <c r="P132" i="6"/>
  <c r="O132" i="6"/>
  <c r="N132" i="6"/>
  <c r="M132" i="6"/>
  <c r="L132" i="6"/>
  <c r="K132" i="6"/>
  <c r="J132" i="6"/>
  <c r="P131" i="6"/>
  <c r="O131" i="6"/>
  <c r="N131" i="6"/>
  <c r="M131" i="6"/>
  <c r="L131" i="6"/>
  <c r="K131" i="6"/>
  <c r="J131" i="6"/>
  <c r="I130" i="6"/>
  <c r="H130" i="6"/>
  <c r="G130" i="6"/>
  <c r="F130" i="6"/>
  <c r="E130" i="6"/>
  <c r="D130" i="6"/>
  <c r="C130" i="6"/>
  <c r="P129" i="6"/>
  <c r="O129" i="6"/>
  <c r="N129" i="6"/>
  <c r="M129" i="6"/>
  <c r="L129" i="6"/>
  <c r="K129" i="6"/>
  <c r="J129" i="6"/>
  <c r="P128" i="6"/>
  <c r="O128" i="6"/>
  <c r="N128" i="6"/>
  <c r="M128" i="6"/>
  <c r="L128" i="6"/>
  <c r="K128" i="6"/>
  <c r="J128" i="6"/>
  <c r="P127" i="6"/>
  <c r="O127" i="6"/>
  <c r="N127" i="6"/>
  <c r="M127" i="6"/>
  <c r="L127" i="6"/>
  <c r="K127" i="6"/>
  <c r="J127" i="6"/>
  <c r="P126" i="6"/>
  <c r="O126" i="6"/>
  <c r="N126" i="6"/>
  <c r="M126" i="6"/>
  <c r="L126" i="6"/>
  <c r="K126" i="6"/>
  <c r="J126" i="6"/>
  <c r="P125" i="6"/>
  <c r="O125" i="6"/>
  <c r="N125" i="6"/>
  <c r="M125" i="6"/>
  <c r="L125" i="6"/>
  <c r="K125" i="6"/>
  <c r="J125" i="6"/>
  <c r="P124" i="6"/>
  <c r="O124" i="6"/>
  <c r="N124" i="6"/>
  <c r="M124" i="6"/>
  <c r="L124" i="6"/>
  <c r="K124" i="6"/>
  <c r="J124" i="6"/>
  <c r="P123" i="6"/>
  <c r="O123" i="6"/>
  <c r="N123" i="6"/>
  <c r="M123" i="6"/>
  <c r="L123" i="6"/>
  <c r="K123" i="6"/>
  <c r="J123" i="6"/>
  <c r="P122" i="6"/>
  <c r="O122" i="6"/>
  <c r="N122" i="6"/>
  <c r="M122" i="6"/>
  <c r="L122" i="6"/>
  <c r="K122" i="6"/>
  <c r="J122" i="6"/>
  <c r="I121" i="6"/>
  <c r="H121" i="6"/>
  <c r="O121" i="6" s="1"/>
  <c r="G121" i="6"/>
  <c r="F121" i="6"/>
  <c r="E121" i="6"/>
  <c r="D121" i="6"/>
  <c r="C121" i="6"/>
  <c r="P120" i="6"/>
  <c r="O120" i="6"/>
  <c r="N120" i="6"/>
  <c r="M120" i="6"/>
  <c r="L120" i="6"/>
  <c r="K120" i="6"/>
  <c r="J120" i="6"/>
  <c r="P119" i="6"/>
  <c r="O119" i="6"/>
  <c r="N119" i="6"/>
  <c r="M119" i="6"/>
  <c r="L119" i="6"/>
  <c r="K119" i="6"/>
  <c r="J119" i="6"/>
  <c r="P118" i="6"/>
  <c r="O118" i="6"/>
  <c r="N118" i="6"/>
  <c r="M118" i="6"/>
  <c r="L118" i="6"/>
  <c r="K118" i="6"/>
  <c r="J118" i="6"/>
  <c r="P117" i="6"/>
  <c r="O117" i="6"/>
  <c r="N117" i="6"/>
  <c r="M117" i="6"/>
  <c r="L117" i="6"/>
  <c r="K117" i="6"/>
  <c r="J117" i="6"/>
  <c r="P116" i="6"/>
  <c r="O116" i="6"/>
  <c r="N116" i="6"/>
  <c r="M116" i="6"/>
  <c r="L116" i="6"/>
  <c r="K116" i="6"/>
  <c r="J116" i="6"/>
  <c r="P115" i="6"/>
  <c r="O115" i="6"/>
  <c r="N115" i="6"/>
  <c r="M115" i="6"/>
  <c r="L115" i="6"/>
  <c r="K115" i="6"/>
  <c r="J115" i="6"/>
  <c r="P114" i="6"/>
  <c r="O114" i="6"/>
  <c r="N114" i="6"/>
  <c r="M114" i="6"/>
  <c r="L114" i="6"/>
  <c r="K114" i="6"/>
  <c r="J114" i="6"/>
  <c r="P113" i="6"/>
  <c r="O113" i="6"/>
  <c r="N113" i="6"/>
  <c r="M113" i="6"/>
  <c r="L113" i="6"/>
  <c r="K113" i="6"/>
  <c r="J113" i="6"/>
  <c r="I112" i="6"/>
  <c r="J112" i="6" s="1"/>
  <c r="H112" i="6"/>
  <c r="O112" i="6" s="1"/>
  <c r="G112" i="6"/>
  <c r="N112" i="6" s="1"/>
  <c r="F112" i="6"/>
  <c r="M112" i="6" s="1"/>
  <c r="E112" i="6"/>
  <c r="D112" i="6"/>
  <c r="C112" i="6"/>
  <c r="P111" i="6"/>
  <c r="O111" i="6"/>
  <c r="N111" i="6"/>
  <c r="M111" i="6"/>
  <c r="L111" i="6"/>
  <c r="K111" i="6"/>
  <c r="J111" i="6"/>
  <c r="P110" i="6"/>
  <c r="O110" i="6"/>
  <c r="N110" i="6"/>
  <c r="M110" i="6"/>
  <c r="L110" i="6"/>
  <c r="K110" i="6"/>
  <c r="J110" i="6"/>
  <c r="P109" i="6"/>
  <c r="O109" i="6"/>
  <c r="N109" i="6"/>
  <c r="M109" i="6"/>
  <c r="L109" i="6"/>
  <c r="K109" i="6"/>
  <c r="J109" i="6"/>
  <c r="P108" i="6"/>
  <c r="O108" i="6"/>
  <c r="N108" i="6"/>
  <c r="M108" i="6"/>
  <c r="L108" i="6"/>
  <c r="K108" i="6"/>
  <c r="J108" i="6"/>
  <c r="P107" i="6"/>
  <c r="O107" i="6"/>
  <c r="N107" i="6"/>
  <c r="M107" i="6"/>
  <c r="L107" i="6"/>
  <c r="K107" i="6"/>
  <c r="J107" i="6"/>
  <c r="P106" i="6"/>
  <c r="O106" i="6"/>
  <c r="N106" i="6"/>
  <c r="M106" i="6"/>
  <c r="L106" i="6"/>
  <c r="K106" i="6"/>
  <c r="J106" i="6"/>
  <c r="P105" i="6"/>
  <c r="O105" i="6"/>
  <c r="N105" i="6"/>
  <c r="M105" i="6"/>
  <c r="L105" i="6"/>
  <c r="K105" i="6"/>
  <c r="J105" i="6"/>
  <c r="P104" i="6"/>
  <c r="O104" i="6"/>
  <c r="N104" i="6"/>
  <c r="M104" i="6"/>
  <c r="L104" i="6"/>
  <c r="K104" i="6"/>
  <c r="J104" i="6"/>
  <c r="I103" i="6"/>
  <c r="H103" i="6"/>
  <c r="O103" i="6" s="1"/>
  <c r="G103" i="6"/>
  <c r="F103" i="6"/>
  <c r="E103" i="6"/>
  <c r="L103" i="6" s="1"/>
  <c r="D103" i="6"/>
  <c r="C103" i="6"/>
  <c r="P102" i="6"/>
  <c r="O102" i="6"/>
  <c r="N102" i="6"/>
  <c r="M102" i="6"/>
  <c r="L102" i="6"/>
  <c r="K102" i="6"/>
  <c r="J102" i="6"/>
  <c r="P101" i="6"/>
  <c r="O101" i="6"/>
  <c r="N101" i="6"/>
  <c r="M101" i="6"/>
  <c r="L101" i="6"/>
  <c r="K101" i="6"/>
  <c r="J101" i="6"/>
  <c r="P100" i="6"/>
  <c r="O100" i="6"/>
  <c r="N100" i="6"/>
  <c r="M100" i="6"/>
  <c r="L100" i="6"/>
  <c r="K100" i="6"/>
  <c r="J100" i="6"/>
  <c r="P99" i="6"/>
  <c r="O99" i="6"/>
  <c r="N99" i="6"/>
  <c r="M99" i="6"/>
  <c r="L99" i="6"/>
  <c r="K99" i="6"/>
  <c r="J99" i="6"/>
  <c r="P98" i="6"/>
  <c r="O98" i="6"/>
  <c r="N98" i="6"/>
  <c r="M98" i="6"/>
  <c r="L98" i="6"/>
  <c r="K98" i="6"/>
  <c r="J98" i="6"/>
  <c r="P97" i="6"/>
  <c r="O97" i="6"/>
  <c r="N97" i="6"/>
  <c r="M97" i="6"/>
  <c r="L97" i="6"/>
  <c r="K97" i="6"/>
  <c r="J97" i="6"/>
  <c r="P96" i="6"/>
  <c r="O96" i="6"/>
  <c r="N96" i="6"/>
  <c r="M96" i="6"/>
  <c r="L96" i="6"/>
  <c r="K96" i="6"/>
  <c r="J96" i="6"/>
  <c r="P95" i="6"/>
  <c r="O95" i="6"/>
  <c r="N95" i="6"/>
  <c r="M95" i="6"/>
  <c r="L95" i="6"/>
  <c r="K95" i="6"/>
  <c r="J95" i="6"/>
  <c r="I94" i="6"/>
  <c r="H94" i="6"/>
  <c r="O94" i="6" s="1"/>
  <c r="G94" i="6"/>
  <c r="F94" i="6"/>
  <c r="M94" i="6" s="1"/>
  <c r="E94" i="6"/>
  <c r="L94" i="6" s="1"/>
  <c r="D94" i="6"/>
  <c r="K94" i="6" s="1"/>
  <c r="C94" i="6"/>
  <c r="P93" i="6"/>
  <c r="O93" i="6"/>
  <c r="N93" i="6"/>
  <c r="M93" i="6"/>
  <c r="L93" i="6"/>
  <c r="K93" i="6"/>
  <c r="J93" i="6"/>
  <c r="P92" i="6"/>
  <c r="O92" i="6"/>
  <c r="N92" i="6"/>
  <c r="M92" i="6"/>
  <c r="L92" i="6"/>
  <c r="K92" i="6"/>
  <c r="J92" i="6"/>
  <c r="P91" i="6"/>
  <c r="O91" i="6"/>
  <c r="N91" i="6"/>
  <c r="M91" i="6"/>
  <c r="L91" i="6"/>
  <c r="K91" i="6"/>
  <c r="J91" i="6"/>
  <c r="P90" i="6"/>
  <c r="O90" i="6"/>
  <c r="N90" i="6"/>
  <c r="M90" i="6"/>
  <c r="L90" i="6"/>
  <c r="K90" i="6"/>
  <c r="J90" i="6"/>
  <c r="P89" i="6"/>
  <c r="O89" i="6"/>
  <c r="N89" i="6"/>
  <c r="M89" i="6"/>
  <c r="L89" i="6"/>
  <c r="K89" i="6"/>
  <c r="J89" i="6"/>
  <c r="P88" i="6"/>
  <c r="O88" i="6"/>
  <c r="N88" i="6"/>
  <c r="M88" i="6"/>
  <c r="L88" i="6"/>
  <c r="K88" i="6"/>
  <c r="J88" i="6"/>
  <c r="P87" i="6"/>
  <c r="O87" i="6"/>
  <c r="N87" i="6"/>
  <c r="M87" i="6"/>
  <c r="L87" i="6"/>
  <c r="K87" i="6"/>
  <c r="J87" i="6"/>
  <c r="P86" i="6"/>
  <c r="O86" i="6"/>
  <c r="N86" i="6"/>
  <c r="M86" i="6"/>
  <c r="L86" i="6"/>
  <c r="K86" i="6"/>
  <c r="J86" i="6"/>
  <c r="I85" i="6"/>
  <c r="H85" i="6"/>
  <c r="G85" i="6"/>
  <c r="F85" i="6"/>
  <c r="E85" i="6"/>
  <c r="D85" i="6"/>
  <c r="C85" i="6"/>
  <c r="P84" i="6"/>
  <c r="O84" i="6"/>
  <c r="N84" i="6"/>
  <c r="M84" i="6"/>
  <c r="L84" i="6"/>
  <c r="K84" i="6"/>
  <c r="J84" i="6"/>
  <c r="P83" i="6"/>
  <c r="O83" i="6"/>
  <c r="N83" i="6"/>
  <c r="M83" i="6"/>
  <c r="L83" i="6"/>
  <c r="K83" i="6"/>
  <c r="J83" i="6"/>
  <c r="P82" i="6"/>
  <c r="O82" i="6"/>
  <c r="N82" i="6"/>
  <c r="M82" i="6"/>
  <c r="L82" i="6"/>
  <c r="K82" i="6"/>
  <c r="J82" i="6"/>
  <c r="P81" i="6"/>
  <c r="O81" i="6"/>
  <c r="N81" i="6"/>
  <c r="M81" i="6"/>
  <c r="L81" i="6"/>
  <c r="K81" i="6"/>
  <c r="J81" i="6"/>
  <c r="P80" i="6"/>
  <c r="O80" i="6"/>
  <c r="N80" i="6"/>
  <c r="M80" i="6"/>
  <c r="L80" i="6"/>
  <c r="K80" i="6"/>
  <c r="J80" i="6"/>
  <c r="P79" i="6"/>
  <c r="O79" i="6"/>
  <c r="N79" i="6"/>
  <c r="M79" i="6"/>
  <c r="L79" i="6"/>
  <c r="K79" i="6"/>
  <c r="J79" i="6"/>
  <c r="P78" i="6"/>
  <c r="O78" i="6"/>
  <c r="N78" i="6"/>
  <c r="M78" i="6"/>
  <c r="L78" i="6"/>
  <c r="K78" i="6"/>
  <c r="J78" i="6"/>
  <c r="P77" i="6"/>
  <c r="O77" i="6"/>
  <c r="N77" i="6"/>
  <c r="M77" i="6"/>
  <c r="L77" i="6"/>
  <c r="K77" i="6"/>
  <c r="J77" i="6"/>
  <c r="I76" i="6"/>
  <c r="H76" i="6"/>
  <c r="G76" i="6"/>
  <c r="F76" i="6"/>
  <c r="E76" i="6"/>
  <c r="D76" i="6"/>
  <c r="C76" i="6"/>
  <c r="P75" i="6"/>
  <c r="O75" i="6"/>
  <c r="N75" i="6"/>
  <c r="M75" i="6"/>
  <c r="L75" i="6"/>
  <c r="K75" i="6"/>
  <c r="J75" i="6"/>
  <c r="P74" i="6"/>
  <c r="O74" i="6"/>
  <c r="N74" i="6"/>
  <c r="M74" i="6"/>
  <c r="L74" i="6"/>
  <c r="K74" i="6"/>
  <c r="J74" i="6"/>
  <c r="P73" i="6"/>
  <c r="O73" i="6"/>
  <c r="N73" i="6"/>
  <c r="M73" i="6"/>
  <c r="L73" i="6"/>
  <c r="K73" i="6"/>
  <c r="J73" i="6"/>
  <c r="P72" i="6"/>
  <c r="O72" i="6"/>
  <c r="N72" i="6"/>
  <c r="M72" i="6"/>
  <c r="L72" i="6"/>
  <c r="K72" i="6"/>
  <c r="J72" i="6"/>
  <c r="P71" i="6"/>
  <c r="O71" i="6"/>
  <c r="N71" i="6"/>
  <c r="M71" i="6"/>
  <c r="L71" i="6"/>
  <c r="K71" i="6"/>
  <c r="J71" i="6"/>
  <c r="P70" i="6"/>
  <c r="O70" i="6"/>
  <c r="N70" i="6"/>
  <c r="M70" i="6"/>
  <c r="L70" i="6"/>
  <c r="K70" i="6"/>
  <c r="J70" i="6"/>
  <c r="P69" i="6"/>
  <c r="O69" i="6"/>
  <c r="N69" i="6"/>
  <c r="M69" i="6"/>
  <c r="L69" i="6"/>
  <c r="K69" i="6"/>
  <c r="J69" i="6"/>
  <c r="P68" i="6"/>
  <c r="O68" i="6"/>
  <c r="N68" i="6"/>
  <c r="M68" i="6"/>
  <c r="L68" i="6"/>
  <c r="K68" i="6"/>
  <c r="J68" i="6"/>
  <c r="P67" i="6" s="1"/>
  <c r="M67" i="6"/>
  <c r="L67" i="6" s="1"/>
  <c r="I67" i="6"/>
  <c r="H67" i="6"/>
  <c r="O67" i="6" s="1"/>
  <c r="G67" i="6"/>
  <c r="F67" i="6"/>
  <c r="E67" i="6"/>
  <c r="D67" i="6"/>
  <c r="K67" i="6" s="1"/>
  <c r="J67" i="6" s="1"/>
  <c r="C67" i="6"/>
  <c r="P66" i="6"/>
  <c r="O66" i="6"/>
  <c r="N66" i="6"/>
  <c r="M66" i="6"/>
  <c r="L66" i="6"/>
  <c r="K66" i="6"/>
  <c r="J66" i="6"/>
  <c r="P65" i="6"/>
  <c r="O65" i="6"/>
  <c r="N65" i="6"/>
  <c r="M65" i="6"/>
  <c r="L65" i="6"/>
  <c r="K65" i="6"/>
  <c r="J65" i="6"/>
  <c r="P64" i="6"/>
  <c r="O64" i="6"/>
  <c r="N64" i="6"/>
  <c r="M64" i="6"/>
  <c r="L64" i="6"/>
  <c r="K64" i="6"/>
  <c r="J64" i="6"/>
  <c r="P63" i="6"/>
  <c r="O63" i="6"/>
  <c r="N63" i="6"/>
  <c r="M63" i="6"/>
  <c r="L63" i="6"/>
  <c r="K63" i="6"/>
  <c r="J63" i="6"/>
  <c r="P62" i="6"/>
  <c r="O62" i="6"/>
  <c r="N62" i="6"/>
  <c r="M62" i="6"/>
  <c r="L62" i="6"/>
  <c r="K62" i="6"/>
  <c r="J62" i="6"/>
  <c r="P61" i="6"/>
  <c r="O61" i="6"/>
  <c r="N61" i="6"/>
  <c r="M61" i="6"/>
  <c r="L61" i="6"/>
  <c r="K61" i="6"/>
  <c r="J61" i="6"/>
  <c r="P60" i="6"/>
  <c r="O60" i="6"/>
  <c r="N60" i="6"/>
  <c r="M60" i="6"/>
  <c r="L60" i="6"/>
  <c r="K60" i="6"/>
  <c r="J60" i="6"/>
  <c r="P59" i="6"/>
  <c r="O59" i="6"/>
  <c r="N59" i="6"/>
  <c r="M59" i="6"/>
  <c r="L59" i="6"/>
  <c r="K59" i="6"/>
  <c r="J59" i="6"/>
  <c r="I58" i="6"/>
  <c r="H58" i="6"/>
  <c r="G58" i="6"/>
  <c r="F58" i="6"/>
  <c r="E58" i="6"/>
  <c r="D58" i="6"/>
  <c r="C58" i="6"/>
  <c r="P57" i="6"/>
  <c r="O57" i="6"/>
  <c r="N57" i="6"/>
  <c r="M57" i="6"/>
  <c r="L57" i="6"/>
  <c r="K57" i="6"/>
  <c r="J57" i="6"/>
  <c r="P56" i="6"/>
  <c r="O56" i="6"/>
  <c r="N56" i="6"/>
  <c r="M56" i="6"/>
  <c r="L56" i="6"/>
  <c r="K56" i="6"/>
  <c r="J56" i="6"/>
  <c r="P55" i="6"/>
  <c r="O55" i="6"/>
  <c r="N55" i="6"/>
  <c r="M55" i="6"/>
  <c r="L55" i="6"/>
  <c r="K55" i="6"/>
  <c r="J55" i="6"/>
  <c r="P54" i="6"/>
  <c r="O54" i="6"/>
  <c r="N54" i="6"/>
  <c r="M54" i="6"/>
  <c r="L54" i="6"/>
  <c r="K54" i="6"/>
  <c r="J54" i="6"/>
  <c r="P53" i="6"/>
  <c r="O53" i="6"/>
  <c r="N53" i="6"/>
  <c r="M53" i="6"/>
  <c r="L53" i="6"/>
  <c r="K53" i="6"/>
  <c r="J53" i="6"/>
  <c r="P52" i="6"/>
  <c r="O52" i="6"/>
  <c r="N52" i="6"/>
  <c r="M52" i="6"/>
  <c r="L52" i="6"/>
  <c r="K52" i="6"/>
  <c r="J52" i="6"/>
  <c r="P51" i="6"/>
  <c r="O51" i="6"/>
  <c r="N51" i="6"/>
  <c r="M51" i="6"/>
  <c r="L51" i="6"/>
  <c r="K51" i="6"/>
  <c r="J51" i="6"/>
  <c r="P50" i="6"/>
  <c r="O50" i="6"/>
  <c r="N50" i="6"/>
  <c r="M50" i="6"/>
  <c r="L50" i="6"/>
  <c r="K50" i="6"/>
  <c r="J50" i="6"/>
  <c r="M49" i="6"/>
  <c r="I49" i="6"/>
  <c r="H49" i="6"/>
  <c r="O49" i="6" s="1"/>
  <c r="G49" i="6"/>
  <c r="F49" i="6"/>
  <c r="E49" i="6"/>
  <c r="L49" i="6" s="1"/>
  <c r="D49" i="6"/>
  <c r="K49" i="6" s="1"/>
  <c r="C49" i="6"/>
  <c r="P48" i="6"/>
  <c r="O48" i="6"/>
  <c r="N48" i="6"/>
  <c r="M48" i="6"/>
  <c r="L48" i="6"/>
  <c r="K48" i="6"/>
  <c r="J48" i="6"/>
  <c r="P47" i="6"/>
  <c r="O47" i="6"/>
  <c r="N47" i="6"/>
  <c r="M47" i="6"/>
  <c r="L47" i="6"/>
  <c r="K47" i="6"/>
  <c r="J47" i="6"/>
  <c r="P46" i="6"/>
  <c r="O46" i="6"/>
  <c r="N46" i="6"/>
  <c r="M46" i="6"/>
  <c r="L46" i="6"/>
  <c r="K46" i="6"/>
  <c r="J46" i="6"/>
  <c r="P45" i="6"/>
  <c r="O45" i="6"/>
  <c r="N45" i="6"/>
  <c r="M45" i="6"/>
  <c r="L45" i="6"/>
  <c r="K45" i="6"/>
  <c r="J45" i="6"/>
  <c r="P44" i="6"/>
  <c r="O44" i="6"/>
  <c r="N44" i="6"/>
  <c r="M44" i="6"/>
  <c r="L44" i="6"/>
  <c r="K44" i="6"/>
  <c r="J44" i="6"/>
  <c r="P43" i="6"/>
  <c r="O43" i="6"/>
  <c r="N43" i="6"/>
  <c r="M43" i="6"/>
  <c r="L43" i="6"/>
  <c r="K43" i="6"/>
  <c r="J43" i="6"/>
  <c r="P42" i="6"/>
  <c r="O42" i="6"/>
  <c r="N42" i="6"/>
  <c r="M42" i="6"/>
  <c r="L42" i="6"/>
  <c r="K42" i="6"/>
  <c r="J42" i="6"/>
  <c r="P41" i="6"/>
  <c r="O41" i="6"/>
  <c r="N41" i="6"/>
  <c r="M41" i="6"/>
  <c r="L41" i="6"/>
  <c r="K41" i="6"/>
  <c r="J41" i="6"/>
  <c r="J40" i="6"/>
  <c r="I40" i="6"/>
  <c r="H40" i="6"/>
  <c r="G40" i="6"/>
  <c r="F40" i="6"/>
  <c r="M40" i="6" s="1"/>
  <c r="E40" i="6"/>
  <c r="D40" i="6"/>
  <c r="C40" i="6"/>
  <c r="P39" i="6"/>
  <c r="O39" i="6"/>
  <c r="N39" i="6"/>
  <c r="M39" i="6"/>
  <c r="L39" i="6"/>
  <c r="K39" i="6"/>
  <c r="J39" i="6"/>
  <c r="P38" i="6"/>
  <c r="O38" i="6"/>
  <c r="N38" i="6"/>
  <c r="M38" i="6"/>
  <c r="L38" i="6"/>
  <c r="K38" i="6"/>
  <c r="J38" i="6"/>
  <c r="P37" i="6"/>
  <c r="O37" i="6"/>
  <c r="N37" i="6"/>
  <c r="M37" i="6"/>
  <c r="L37" i="6"/>
  <c r="K37" i="6"/>
  <c r="J37" i="6"/>
  <c r="P36" i="6"/>
  <c r="O36" i="6"/>
  <c r="N36" i="6"/>
  <c r="M36" i="6"/>
  <c r="L36" i="6"/>
  <c r="K36" i="6"/>
  <c r="J36" i="6"/>
  <c r="P35" i="6"/>
  <c r="O35" i="6"/>
  <c r="N35" i="6"/>
  <c r="M35" i="6"/>
  <c r="L35" i="6"/>
  <c r="K35" i="6"/>
  <c r="J35" i="6"/>
  <c r="P34" i="6"/>
  <c r="O34" i="6"/>
  <c r="N34" i="6"/>
  <c r="M34" i="6"/>
  <c r="L34" i="6"/>
  <c r="K34" i="6"/>
  <c r="J34" i="6"/>
  <c r="P33" i="6"/>
  <c r="O33" i="6"/>
  <c r="N33" i="6"/>
  <c r="M33" i="6"/>
  <c r="L33" i="6"/>
  <c r="K33" i="6"/>
  <c r="J33" i="6"/>
  <c r="P32" i="6"/>
  <c r="O32" i="6"/>
  <c r="N32" i="6"/>
  <c r="M32" i="6"/>
  <c r="L32" i="6"/>
  <c r="K32" i="6"/>
  <c r="J32" i="6"/>
  <c r="I31" i="6"/>
  <c r="J31" i="6" s="1"/>
  <c r="H31" i="6"/>
  <c r="G31" i="6"/>
  <c r="F31" i="6"/>
  <c r="E31" i="6"/>
  <c r="D31" i="6"/>
  <c r="C31" i="6"/>
  <c r="P30" i="6"/>
  <c r="O30" i="6"/>
  <c r="N30" i="6"/>
  <c r="M30" i="6"/>
  <c r="L30" i="6"/>
  <c r="K30" i="6"/>
  <c r="J30" i="6"/>
  <c r="P29" i="6"/>
  <c r="O29" i="6"/>
  <c r="N29" i="6"/>
  <c r="M29" i="6"/>
  <c r="L29" i="6"/>
  <c r="K29" i="6"/>
  <c r="J29" i="6"/>
  <c r="P28" i="6"/>
  <c r="O28" i="6"/>
  <c r="N28" i="6"/>
  <c r="M28" i="6"/>
  <c r="L28" i="6"/>
  <c r="K28" i="6"/>
  <c r="J28" i="6"/>
  <c r="P27" i="6"/>
  <c r="O27" i="6"/>
  <c r="N27" i="6"/>
  <c r="M27" i="6"/>
  <c r="L27" i="6"/>
  <c r="K27" i="6"/>
  <c r="J27" i="6"/>
  <c r="P26" i="6"/>
  <c r="O26" i="6"/>
  <c r="N26" i="6"/>
  <c r="M26" i="6"/>
  <c r="L26" i="6"/>
  <c r="K26" i="6"/>
  <c r="J26" i="6"/>
  <c r="P25" i="6"/>
  <c r="O25" i="6"/>
  <c r="N25" i="6"/>
  <c r="M25" i="6"/>
  <c r="L25" i="6"/>
  <c r="K25" i="6"/>
  <c r="J25" i="6"/>
  <c r="P24" i="6" s="1"/>
  <c r="I24" i="6"/>
  <c r="H24" i="6"/>
  <c r="O24" i="6" s="1"/>
  <c r="G24" i="6"/>
  <c r="N24" i="6" s="1"/>
  <c r="F24" i="6"/>
  <c r="M24" i="6" s="1"/>
  <c r="E24" i="6"/>
  <c r="D24" i="6"/>
  <c r="C24" i="6"/>
  <c r="J24" i="6" s="1"/>
  <c r="I23" i="6"/>
  <c r="H23" i="6"/>
  <c r="G23" i="6"/>
  <c r="F23" i="6"/>
  <c r="E23" i="6"/>
  <c r="D23" i="6"/>
  <c r="C23" i="6"/>
  <c r="I21" i="6"/>
  <c r="H21" i="6"/>
  <c r="G21" i="6"/>
  <c r="F21" i="6"/>
  <c r="E21" i="6"/>
  <c r="D21" i="6"/>
  <c r="C21" i="6"/>
  <c r="I20" i="6"/>
  <c r="H20" i="6"/>
  <c r="G20" i="6"/>
  <c r="F20" i="6"/>
  <c r="E20" i="6"/>
  <c r="D20" i="6"/>
  <c r="C20" i="6"/>
  <c r="I19" i="6"/>
  <c r="H19" i="6"/>
  <c r="G19" i="6"/>
  <c r="F19" i="6"/>
  <c r="E19" i="6"/>
  <c r="D19" i="6"/>
  <c r="C19" i="6"/>
  <c r="I18" i="6"/>
  <c r="H18" i="6"/>
  <c r="G18" i="6"/>
  <c r="F18" i="6"/>
  <c r="E18" i="6"/>
  <c r="D18" i="6"/>
  <c r="C18" i="6"/>
  <c r="I17" i="6"/>
  <c r="J17" i="6" s="1"/>
  <c r="H17" i="6"/>
  <c r="O17" i="6" s="1"/>
  <c r="G17" i="6"/>
  <c r="F17" i="6"/>
  <c r="M17" i="6" s="1"/>
  <c r="E17" i="6"/>
  <c r="D17" i="6"/>
  <c r="C17" i="6"/>
  <c r="I16" i="6"/>
  <c r="H16" i="6"/>
  <c r="G16" i="6"/>
  <c r="F16" i="6"/>
  <c r="E16" i="6"/>
  <c r="D16" i="6"/>
  <c r="C16" i="6"/>
  <c r="P15" i="6"/>
  <c r="O15" i="6"/>
  <c r="N15" i="6"/>
  <c r="M15" i="6"/>
  <c r="L15" i="6"/>
  <c r="K15" i="6"/>
  <c r="J15" i="6"/>
  <c r="P14" i="6"/>
  <c r="O14" i="6"/>
  <c r="M14" i="6"/>
  <c r="L14" i="6"/>
  <c r="K14" i="6"/>
  <c r="J14" i="6"/>
  <c r="G14" i="6"/>
  <c r="I13" i="6"/>
  <c r="H13" i="6"/>
  <c r="G13" i="6"/>
  <c r="F13" i="6"/>
  <c r="E13" i="6"/>
  <c r="D13" i="6"/>
  <c r="C13" i="6"/>
  <c r="P12" i="6"/>
  <c r="O12" i="6"/>
  <c r="N12" i="6"/>
  <c r="M12" i="6"/>
  <c r="L12" i="6"/>
  <c r="K12" i="6"/>
  <c r="J12" i="6"/>
  <c r="P11" i="6"/>
  <c r="O11" i="6"/>
  <c r="N11" i="6"/>
  <c r="M11" i="6"/>
  <c r="L11" i="6"/>
  <c r="K11" i="6"/>
  <c r="J11" i="6"/>
  <c r="P10" i="6"/>
  <c r="O10" i="6"/>
  <c r="N10" i="6"/>
  <c r="M10" i="6"/>
  <c r="L10" i="6"/>
  <c r="K10" i="6"/>
  <c r="J10" i="6"/>
  <c r="P9" i="6"/>
  <c r="O9" i="6"/>
  <c r="N9" i="6"/>
  <c r="M9" i="6"/>
  <c r="L9" i="6"/>
  <c r="K9" i="6"/>
  <c r="J9" i="6"/>
  <c r="P8" i="6"/>
  <c r="O8" i="6"/>
  <c r="N8" i="6"/>
  <c r="M8" i="6"/>
  <c r="L8" i="6"/>
  <c r="K8" i="6"/>
  <c r="J8" i="6"/>
  <c r="P7" i="6"/>
  <c r="O7" i="6"/>
  <c r="N7" i="6"/>
  <c r="M7" i="6"/>
  <c r="L7" i="6"/>
  <c r="K7" i="6"/>
  <c r="J7" i="6"/>
  <c r="T134" i="7"/>
  <c r="S134" i="7"/>
  <c r="R134" i="7"/>
  <c r="Q134" i="7"/>
  <c r="P134" i="7"/>
  <c r="O134" i="7"/>
  <c r="N134" i="7"/>
  <c r="M134" i="7"/>
  <c r="L134" i="7"/>
  <c r="T133" i="7"/>
  <c r="S133" i="7"/>
  <c r="R133" i="7"/>
  <c r="Q133" i="7"/>
  <c r="P133" i="7"/>
  <c r="O133" i="7"/>
  <c r="N133" i="7"/>
  <c r="M133" i="7"/>
  <c r="L133" i="7"/>
  <c r="T132" i="7"/>
  <c r="S132" i="7"/>
  <c r="R132" i="7"/>
  <c r="Q132" i="7"/>
  <c r="P132" i="7"/>
  <c r="O132" i="7"/>
  <c r="N132" i="7"/>
  <c r="M132" i="7"/>
  <c r="L132" i="7"/>
  <c r="T131" i="7"/>
  <c r="S131" i="7"/>
  <c r="R131" i="7"/>
  <c r="Q131" i="7"/>
  <c r="P131" i="7"/>
  <c r="O131" i="7"/>
  <c r="N131" i="7"/>
  <c r="M131" i="7"/>
  <c r="L131" i="7"/>
  <c r="T130" i="7"/>
  <c r="S130" i="7"/>
  <c r="R130" i="7"/>
  <c r="Q130" i="7"/>
  <c r="P130" i="7"/>
  <c r="O130" i="7"/>
  <c r="N130" i="7"/>
  <c r="M130" i="7"/>
  <c r="L130" i="7"/>
  <c r="T129" i="7"/>
  <c r="S129" i="7"/>
  <c r="R129" i="7"/>
  <c r="Q129" i="7"/>
  <c r="P129" i="7"/>
  <c r="O129" i="7"/>
  <c r="N129" i="7"/>
  <c r="M129" i="7"/>
  <c r="L129" i="7"/>
  <c r="T128" i="7"/>
  <c r="T152" i="7" s="1"/>
  <c r="S128" i="7"/>
  <c r="R128" i="7"/>
  <c r="Q128" i="7"/>
  <c r="P128" i="7"/>
  <c r="O128" i="7"/>
  <c r="N128" i="7"/>
  <c r="M128" i="7"/>
  <c r="L128" i="7"/>
  <c r="T127" i="7"/>
  <c r="S127" i="7"/>
  <c r="R127" i="7"/>
  <c r="Q127" i="7"/>
  <c r="P127" i="7"/>
  <c r="O127" i="7"/>
  <c r="N127" i="7"/>
  <c r="M127" i="7"/>
  <c r="L127" i="7"/>
  <c r="T126" i="7"/>
  <c r="S126" i="7"/>
  <c r="R126" i="7"/>
  <c r="Q126" i="7"/>
  <c r="P126" i="7"/>
  <c r="O126" i="7"/>
  <c r="N126" i="7"/>
  <c r="M126" i="7"/>
  <c r="L126" i="7"/>
  <c r="T125" i="7"/>
  <c r="S125" i="7"/>
  <c r="R125" i="7"/>
  <c r="Q125" i="7"/>
  <c r="P125" i="7"/>
  <c r="O125" i="7"/>
  <c r="N125" i="7"/>
  <c r="M125" i="7"/>
  <c r="L125" i="7"/>
  <c r="T124" i="7"/>
  <c r="S124" i="7"/>
  <c r="R124" i="7"/>
  <c r="Q124" i="7"/>
  <c r="P124" i="7"/>
  <c r="O124" i="7"/>
  <c r="N124" i="7"/>
  <c r="M124" i="7"/>
  <c r="L124" i="7"/>
  <c r="T123" i="7"/>
  <c r="S123" i="7"/>
  <c r="R123" i="7"/>
  <c r="Q123" i="7"/>
  <c r="P123" i="7"/>
  <c r="O123" i="7"/>
  <c r="N123" i="7"/>
  <c r="M123" i="7"/>
  <c r="L123" i="7"/>
  <c r="T122" i="7"/>
  <c r="S122" i="7"/>
  <c r="R122" i="7"/>
  <c r="Q122" i="7"/>
  <c r="P122" i="7"/>
  <c r="O122" i="7"/>
  <c r="N122" i="7"/>
  <c r="M122" i="7"/>
  <c r="L122" i="7"/>
  <c r="T121" i="7"/>
  <c r="S121" i="7"/>
  <c r="R121" i="7"/>
  <c r="Q121" i="7"/>
  <c r="P121" i="7"/>
  <c r="O121" i="7"/>
  <c r="N121" i="7"/>
  <c r="M121" i="7"/>
  <c r="L121" i="7"/>
  <c r="T120" i="7"/>
  <c r="S120" i="7"/>
  <c r="R120" i="7"/>
  <c r="Q120" i="7"/>
  <c r="P120" i="7"/>
  <c r="O120" i="7"/>
  <c r="N120" i="7"/>
  <c r="M120" i="7"/>
  <c r="L120" i="7"/>
  <c r="T119" i="7"/>
  <c r="S119" i="7"/>
  <c r="R119" i="7"/>
  <c r="Q119" i="7"/>
  <c r="P119" i="7"/>
  <c r="O119" i="7"/>
  <c r="N119" i="7"/>
  <c r="M119" i="7"/>
  <c r="L119" i="7"/>
  <c r="T118" i="7"/>
  <c r="S118" i="7"/>
  <c r="R118" i="7"/>
  <c r="Q118" i="7"/>
  <c r="P118" i="7"/>
  <c r="O118" i="7"/>
  <c r="N118" i="7"/>
  <c r="M118" i="7"/>
  <c r="L118" i="7"/>
  <c r="T117" i="7"/>
  <c r="S117" i="7"/>
  <c r="R117" i="7"/>
  <c r="Q117" i="7"/>
  <c r="P117" i="7"/>
  <c r="O117" i="7"/>
  <c r="N117" i="7"/>
  <c r="M117" i="7"/>
  <c r="L117" i="7"/>
  <c r="T116" i="7"/>
  <c r="S116" i="7"/>
  <c r="R116" i="7"/>
  <c r="Q116" i="7"/>
  <c r="P116" i="7"/>
  <c r="O116" i="7"/>
  <c r="N116" i="7"/>
  <c r="M116" i="7"/>
  <c r="L116" i="7"/>
  <c r="T115" i="7"/>
  <c r="S115" i="7"/>
  <c r="R115" i="7"/>
  <c r="Q115" i="7"/>
  <c r="P115" i="7"/>
  <c r="O115" i="7"/>
  <c r="N115" i="7"/>
  <c r="M115" i="7"/>
  <c r="L115" i="7"/>
  <c r="T114" i="7"/>
  <c r="S114" i="7"/>
  <c r="R114" i="7"/>
  <c r="Q114" i="7"/>
  <c r="P114" i="7"/>
  <c r="O114" i="7"/>
  <c r="N114" i="7"/>
  <c r="M114" i="7"/>
  <c r="L114" i="7"/>
  <c r="T113" i="7"/>
  <c r="S113" i="7"/>
  <c r="R113" i="7"/>
  <c r="Q113" i="7"/>
  <c r="P113" i="7"/>
  <c r="O113" i="7"/>
  <c r="N113" i="7"/>
  <c r="M113" i="7"/>
  <c r="L113" i="7"/>
  <c r="T112" i="7"/>
  <c r="S112" i="7"/>
  <c r="R112" i="7"/>
  <c r="Q112" i="7"/>
  <c r="P112" i="7"/>
  <c r="O112" i="7"/>
  <c r="N112" i="7"/>
  <c r="M112" i="7"/>
  <c r="L112" i="7"/>
  <c r="T111" i="7"/>
  <c r="S111" i="7"/>
  <c r="R111" i="7"/>
  <c r="Q111" i="7"/>
  <c r="P111" i="7"/>
  <c r="O111" i="7"/>
  <c r="N111" i="7"/>
  <c r="M111" i="7"/>
  <c r="L111" i="7"/>
  <c r="T110" i="7"/>
  <c r="S110" i="7"/>
  <c r="R110" i="7"/>
  <c r="Q110" i="7"/>
  <c r="P110" i="7"/>
  <c r="O110" i="7"/>
  <c r="N110" i="7"/>
  <c r="M110" i="7"/>
  <c r="L110" i="7"/>
  <c r="T109" i="7"/>
  <c r="S109" i="7"/>
  <c r="R109" i="7"/>
  <c r="Q109" i="7"/>
  <c r="P109" i="7"/>
  <c r="O109" i="7"/>
  <c r="N109" i="7"/>
  <c r="M109" i="7"/>
  <c r="L109" i="7"/>
  <c r="T108" i="7"/>
  <c r="S108" i="7"/>
  <c r="R108" i="7"/>
  <c r="Q108" i="7"/>
  <c r="P108" i="7"/>
  <c r="O108" i="7"/>
  <c r="N108" i="7"/>
  <c r="M108" i="7"/>
  <c r="L108" i="7"/>
  <c r="T107" i="7"/>
  <c r="S107" i="7"/>
  <c r="R107" i="7"/>
  <c r="Q107" i="7"/>
  <c r="P107" i="7"/>
  <c r="O107" i="7"/>
  <c r="N107" i="7"/>
  <c r="M107" i="7"/>
  <c r="L107" i="7"/>
  <c r="T106" i="7"/>
  <c r="S106" i="7"/>
  <c r="R106" i="7"/>
  <c r="Q106" i="7"/>
  <c r="P106" i="7"/>
  <c r="O106" i="7"/>
  <c r="N106" i="7"/>
  <c r="M106" i="7"/>
  <c r="L106" i="7"/>
  <c r="T105" i="7"/>
  <c r="S105" i="7"/>
  <c r="R105" i="7"/>
  <c r="Q105" i="7"/>
  <c r="P105" i="7"/>
  <c r="O105" i="7"/>
  <c r="N105" i="7"/>
  <c r="M105" i="7"/>
  <c r="L105" i="7"/>
  <c r="T104" i="7"/>
  <c r="S104" i="7"/>
  <c r="R104" i="7"/>
  <c r="Q104" i="7"/>
  <c r="P104" i="7"/>
  <c r="O104" i="7"/>
  <c r="N104" i="7"/>
  <c r="M104" i="7"/>
  <c r="L104" i="7"/>
  <c r="T103" i="7"/>
  <c r="S103" i="7"/>
  <c r="R103" i="7"/>
  <c r="Q103" i="7"/>
  <c r="P103" i="7"/>
  <c r="O103" i="7"/>
  <c r="N103" i="7"/>
  <c r="M103" i="7"/>
  <c r="L103" i="7"/>
  <c r="T102" i="7"/>
  <c r="S102" i="7"/>
  <c r="R102" i="7"/>
  <c r="Q102" i="7"/>
  <c r="P102" i="7"/>
  <c r="O102" i="7"/>
  <c r="N102" i="7"/>
  <c r="M102" i="7"/>
  <c r="L102" i="7"/>
  <c r="T101" i="7"/>
  <c r="S101" i="7"/>
  <c r="R101" i="7"/>
  <c r="Q101" i="7"/>
  <c r="P101" i="7"/>
  <c r="O101" i="7"/>
  <c r="N101" i="7"/>
  <c r="M101" i="7"/>
  <c r="L101" i="7"/>
  <c r="T100" i="7"/>
  <c r="S100" i="7"/>
  <c r="R100" i="7"/>
  <c r="Q100" i="7"/>
  <c r="P100" i="7"/>
  <c r="O100" i="7"/>
  <c r="N100" i="7"/>
  <c r="M100" i="7"/>
  <c r="L100" i="7"/>
  <c r="T99" i="7"/>
  <c r="S99" i="7"/>
  <c r="R99" i="7"/>
  <c r="Q99" i="7"/>
  <c r="P99" i="7"/>
  <c r="O99" i="7"/>
  <c r="N99" i="7"/>
  <c r="M99" i="7"/>
  <c r="L99" i="7"/>
  <c r="T98" i="7"/>
  <c r="S98" i="7"/>
  <c r="R98" i="7"/>
  <c r="Q98" i="7"/>
  <c r="P98" i="7"/>
  <c r="O98" i="7"/>
  <c r="N98" i="7"/>
  <c r="M98" i="7"/>
  <c r="L98" i="7"/>
  <c r="T97" i="7"/>
  <c r="S97" i="7"/>
  <c r="R97" i="7"/>
  <c r="Q97" i="7"/>
  <c r="P97" i="7"/>
  <c r="O97" i="7"/>
  <c r="N97" i="7"/>
  <c r="M97" i="7"/>
  <c r="L97" i="7"/>
  <c r="T96" i="7"/>
  <c r="S96" i="7"/>
  <c r="R96" i="7"/>
  <c r="Q96" i="7"/>
  <c r="P96" i="7"/>
  <c r="O96" i="7"/>
  <c r="N96" i="7"/>
  <c r="M96" i="7"/>
  <c r="L96" i="7"/>
  <c r="T95" i="7"/>
  <c r="S95" i="7"/>
  <c r="R95" i="7"/>
  <c r="Q95" i="7"/>
  <c r="P95" i="7"/>
  <c r="O95" i="7"/>
  <c r="N95" i="7"/>
  <c r="M95" i="7"/>
  <c r="L95" i="7"/>
  <c r="T94" i="7"/>
  <c r="S94" i="7"/>
  <c r="R94" i="7"/>
  <c r="Q94" i="7"/>
  <c r="P94" i="7"/>
  <c r="O94" i="7"/>
  <c r="N94" i="7"/>
  <c r="M94" i="7"/>
  <c r="L94" i="7"/>
  <c r="T93" i="7"/>
  <c r="S93" i="7"/>
  <c r="R93" i="7"/>
  <c r="Q93" i="7"/>
  <c r="P93" i="7"/>
  <c r="O93" i="7"/>
  <c r="O147" i="7" s="1"/>
  <c r="N93" i="7"/>
  <c r="M93" i="7"/>
  <c r="L93" i="7"/>
  <c r="T92" i="7"/>
  <c r="S92" i="7"/>
  <c r="R92" i="7"/>
  <c r="Q92" i="7"/>
  <c r="P92" i="7"/>
  <c r="O92" i="7"/>
  <c r="N92" i="7"/>
  <c r="M92" i="7"/>
  <c r="L92" i="7"/>
  <c r="T91" i="7"/>
  <c r="S91" i="7"/>
  <c r="R91" i="7"/>
  <c r="Q91" i="7"/>
  <c r="P91" i="7"/>
  <c r="O91" i="7"/>
  <c r="N91" i="7"/>
  <c r="M91" i="7"/>
  <c r="L91" i="7"/>
  <c r="T90" i="7"/>
  <c r="S90" i="7"/>
  <c r="R90" i="7"/>
  <c r="Q90" i="7"/>
  <c r="P90" i="7"/>
  <c r="O90" i="7"/>
  <c r="N90" i="7"/>
  <c r="M90" i="7"/>
  <c r="L90" i="7"/>
  <c r="T89" i="7"/>
  <c r="S89" i="7"/>
  <c r="R89" i="7"/>
  <c r="Q89" i="7"/>
  <c r="P89" i="7"/>
  <c r="O89" i="7"/>
  <c r="N89" i="7"/>
  <c r="M89" i="7"/>
  <c r="L89" i="7"/>
  <c r="T88" i="7"/>
  <c r="S88" i="7"/>
  <c r="R88" i="7"/>
  <c r="Q88" i="7"/>
  <c r="P88" i="7"/>
  <c r="O88" i="7"/>
  <c r="N88" i="7"/>
  <c r="M88" i="7"/>
  <c r="L88" i="7"/>
  <c r="T87" i="7"/>
  <c r="S87" i="7"/>
  <c r="R87" i="7"/>
  <c r="Q87" i="7"/>
  <c r="P87" i="7"/>
  <c r="O87" i="7"/>
  <c r="N87" i="7"/>
  <c r="M87" i="7"/>
  <c r="L87" i="7"/>
  <c r="T86" i="7"/>
  <c r="S86" i="7"/>
  <c r="R86" i="7"/>
  <c r="Q86" i="7"/>
  <c r="P86" i="7"/>
  <c r="O86" i="7"/>
  <c r="N86" i="7"/>
  <c r="M86" i="7"/>
  <c r="L86" i="7"/>
  <c r="T85" i="7"/>
  <c r="S85" i="7"/>
  <c r="R85" i="7"/>
  <c r="Q85" i="7"/>
  <c r="P85" i="7"/>
  <c r="O85" i="7"/>
  <c r="N85" i="7"/>
  <c r="M85" i="7"/>
  <c r="L85" i="7"/>
  <c r="T84" i="7"/>
  <c r="S84" i="7"/>
  <c r="R84" i="7"/>
  <c r="Q84" i="7"/>
  <c r="P84" i="7"/>
  <c r="O84" i="7"/>
  <c r="N84" i="7"/>
  <c r="M84" i="7"/>
  <c r="L84" i="7"/>
  <c r="T83" i="7"/>
  <c r="S83" i="7"/>
  <c r="R83" i="7"/>
  <c r="Q83" i="7"/>
  <c r="P83" i="7"/>
  <c r="O83" i="7"/>
  <c r="N83" i="7"/>
  <c r="M83" i="7"/>
  <c r="L83" i="7"/>
  <c r="T82" i="7"/>
  <c r="S82" i="7"/>
  <c r="R82" i="7"/>
  <c r="Q82" i="7"/>
  <c r="P82" i="7"/>
  <c r="O82" i="7"/>
  <c r="N82" i="7"/>
  <c r="M82" i="7"/>
  <c r="L82" i="7"/>
  <c r="T81" i="7"/>
  <c r="S81" i="7"/>
  <c r="R81" i="7"/>
  <c r="Q81" i="7"/>
  <c r="P81" i="7"/>
  <c r="O81" i="7"/>
  <c r="N81" i="7"/>
  <c r="M81" i="7"/>
  <c r="L81" i="7"/>
  <c r="T80" i="7"/>
  <c r="S80" i="7"/>
  <c r="R80" i="7"/>
  <c r="Q80" i="7"/>
  <c r="P80" i="7"/>
  <c r="O80" i="7"/>
  <c r="N80" i="7"/>
  <c r="M80" i="7"/>
  <c r="L80" i="7"/>
  <c r="T79" i="7"/>
  <c r="S79" i="7"/>
  <c r="R79" i="7"/>
  <c r="Q79" i="7"/>
  <c r="P79" i="7"/>
  <c r="O79" i="7"/>
  <c r="N79" i="7"/>
  <c r="M79" i="7"/>
  <c r="L79" i="7"/>
  <c r="T78" i="7"/>
  <c r="S78" i="7"/>
  <c r="R78" i="7"/>
  <c r="Q78" i="7"/>
  <c r="P78" i="7"/>
  <c r="O78" i="7"/>
  <c r="N78" i="7"/>
  <c r="M78" i="7"/>
  <c r="L78" i="7"/>
  <c r="T77" i="7"/>
  <c r="S77" i="7"/>
  <c r="R77" i="7"/>
  <c r="Q77" i="7"/>
  <c r="P77" i="7"/>
  <c r="O77" i="7"/>
  <c r="N77" i="7"/>
  <c r="M77" i="7"/>
  <c r="L77" i="7"/>
  <c r="T76" i="7"/>
  <c r="S76" i="7"/>
  <c r="R76" i="7"/>
  <c r="Q76" i="7"/>
  <c r="P76" i="7"/>
  <c r="O76" i="7"/>
  <c r="N76" i="7"/>
  <c r="M76" i="7"/>
  <c r="L76" i="7"/>
  <c r="T75" i="7"/>
  <c r="S75" i="7"/>
  <c r="R75" i="7"/>
  <c r="Q75" i="7"/>
  <c r="P75" i="7"/>
  <c r="O75" i="7"/>
  <c r="N75" i="7"/>
  <c r="M75" i="7"/>
  <c r="L75" i="7"/>
  <c r="T74" i="7"/>
  <c r="S74" i="7"/>
  <c r="R74" i="7"/>
  <c r="Q74" i="7"/>
  <c r="P74" i="7"/>
  <c r="O74" i="7"/>
  <c r="N74" i="7"/>
  <c r="M74" i="7"/>
  <c r="L74" i="7"/>
  <c r="T73" i="7"/>
  <c r="S73" i="7"/>
  <c r="R73" i="7"/>
  <c r="Q73" i="7"/>
  <c r="P73" i="7"/>
  <c r="O73" i="7"/>
  <c r="N73" i="7"/>
  <c r="M73" i="7"/>
  <c r="L73" i="7"/>
  <c r="T72" i="7"/>
  <c r="S72" i="7"/>
  <c r="R72" i="7"/>
  <c r="Q72" i="7"/>
  <c r="P72" i="7"/>
  <c r="O72" i="7"/>
  <c r="N72" i="7"/>
  <c r="M72" i="7"/>
  <c r="L72" i="7"/>
  <c r="T71" i="7"/>
  <c r="S71" i="7"/>
  <c r="R71" i="7"/>
  <c r="Q71" i="7"/>
  <c r="P71" i="7"/>
  <c r="O71" i="7"/>
  <c r="N71" i="7"/>
  <c r="M71" i="7"/>
  <c r="L71" i="7"/>
  <c r="T70" i="7"/>
  <c r="S70" i="7"/>
  <c r="R70" i="7"/>
  <c r="Q70" i="7"/>
  <c r="P70" i="7"/>
  <c r="O70" i="7"/>
  <c r="N70" i="7"/>
  <c r="M70" i="7"/>
  <c r="L70" i="7"/>
  <c r="T69" i="7"/>
  <c r="S69" i="7"/>
  <c r="R69" i="7"/>
  <c r="Q69" i="7"/>
  <c r="P69" i="7"/>
  <c r="O69" i="7"/>
  <c r="N69" i="7"/>
  <c r="M69" i="7"/>
  <c r="L69" i="7"/>
  <c r="T68" i="7"/>
  <c r="S68" i="7"/>
  <c r="R68" i="7"/>
  <c r="Q68" i="7"/>
  <c r="P68" i="7"/>
  <c r="O68" i="7"/>
  <c r="N68" i="7"/>
  <c r="M68" i="7"/>
  <c r="L68" i="7"/>
  <c r="T67" i="7"/>
  <c r="S67" i="7"/>
  <c r="R67" i="7"/>
  <c r="Q67" i="7"/>
  <c r="P67" i="7"/>
  <c r="O67" i="7"/>
  <c r="N67" i="7"/>
  <c r="M67" i="7"/>
  <c r="L67" i="7"/>
  <c r="T66" i="7"/>
  <c r="S66" i="7"/>
  <c r="R66" i="7"/>
  <c r="Q66" i="7"/>
  <c r="P66" i="7"/>
  <c r="O66" i="7"/>
  <c r="N66" i="7"/>
  <c r="M66" i="7"/>
  <c r="L66" i="7"/>
  <c r="T65" i="7"/>
  <c r="S65" i="7"/>
  <c r="R65" i="7"/>
  <c r="Q65" i="7"/>
  <c r="P65" i="7"/>
  <c r="O65" i="7"/>
  <c r="N65" i="7"/>
  <c r="M65" i="7"/>
  <c r="L65" i="7"/>
  <c r="T64" i="7"/>
  <c r="S64" i="7"/>
  <c r="R64" i="7"/>
  <c r="Q64" i="7"/>
  <c r="P64" i="7"/>
  <c r="O64" i="7"/>
  <c r="N64" i="7"/>
  <c r="M64" i="7"/>
  <c r="L64" i="7"/>
  <c r="T63" i="7"/>
  <c r="S63" i="7"/>
  <c r="R63" i="7"/>
  <c r="Q63" i="7"/>
  <c r="P63" i="7"/>
  <c r="O63" i="7"/>
  <c r="N63" i="7"/>
  <c r="M63" i="7"/>
  <c r="L63" i="7"/>
  <c r="T62" i="7"/>
  <c r="S62" i="7"/>
  <c r="R62" i="7"/>
  <c r="Q62" i="7"/>
  <c r="P62" i="7"/>
  <c r="O62" i="7"/>
  <c r="N62" i="7"/>
  <c r="M62" i="7"/>
  <c r="L62" i="7"/>
  <c r="T61" i="7"/>
  <c r="S61" i="7"/>
  <c r="R61" i="7"/>
  <c r="Q61" i="7"/>
  <c r="P61" i="7"/>
  <c r="O61" i="7"/>
  <c r="N61" i="7"/>
  <c r="M61" i="7"/>
  <c r="L61" i="7"/>
  <c r="T60" i="7"/>
  <c r="S60" i="7"/>
  <c r="R60" i="7"/>
  <c r="Q60" i="7"/>
  <c r="P60" i="7"/>
  <c r="O60" i="7"/>
  <c r="N60" i="7"/>
  <c r="M60" i="7"/>
  <c r="L60" i="7"/>
  <c r="T59" i="7"/>
  <c r="S59" i="7"/>
  <c r="R59" i="7"/>
  <c r="Q59" i="7"/>
  <c r="P59" i="7"/>
  <c r="O59" i="7"/>
  <c r="N59" i="7"/>
  <c r="M59" i="7"/>
  <c r="L59" i="7"/>
  <c r="T58" i="7"/>
  <c r="S58" i="7"/>
  <c r="R58" i="7"/>
  <c r="Q58" i="7"/>
  <c r="P58" i="7"/>
  <c r="O58" i="7"/>
  <c r="N58" i="7"/>
  <c r="M58" i="7"/>
  <c r="L58" i="7"/>
  <c r="T57" i="7"/>
  <c r="S57" i="7"/>
  <c r="R57" i="7"/>
  <c r="Q57" i="7"/>
  <c r="P57" i="7"/>
  <c r="O57" i="7"/>
  <c r="N57" i="7"/>
  <c r="M57" i="7"/>
  <c r="L57" i="7"/>
  <c r="T56" i="7"/>
  <c r="S56" i="7"/>
  <c r="R56" i="7"/>
  <c r="Q56" i="7"/>
  <c r="P56" i="7"/>
  <c r="O56" i="7"/>
  <c r="N56" i="7"/>
  <c r="M56" i="7"/>
  <c r="L56" i="7"/>
  <c r="T55" i="7"/>
  <c r="S55" i="7"/>
  <c r="R55" i="7"/>
  <c r="Q55" i="7"/>
  <c r="P55" i="7"/>
  <c r="O55" i="7"/>
  <c r="N55" i="7"/>
  <c r="M55" i="7"/>
  <c r="L55" i="7"/>
  <c r="T54" i="7"/>
  <c r="S54" i="7"/>
  <c r="R54" i="7"/>
  <c r="Q54" i="7"/>
  <c r="P54" i="7"/>
  <c r="O54" i="7"/>
  <c r="N54" i="7"/>
  <c r="M54" i="7"/>
  <c r="L54" i="7"/>
  <c r="T53" i="7"/>
  <c r="S53" i="7"/>
  <c r="R53" i="7"/>
  <c r="Q53" i="7"/>
  <c r="P53" i="7"/>
  <c r="O53" i="7"/>
  <c r="N53" i="7"/>
  <c r="M53" i="7"/>
  <c r="L53" i="7"/>
  <c r="T52" i="7"/>
  <c r="S52" i="7"/>
  <c r="R52" i="7"/>
  <c r="Q52" i="7"/>
  <c r="P52" i="7"/>
  <c r="O52" i="7"/>
  <c r="N52" i="7"/>
  <c r="M52" i="7"/>
  <c r="L52" i="7"/>
  <c r="T51" i="7"/>
  <c r="S51" i="7"/>
  <c r="R51" i="7"/>
  <c r="Q51" i="7"/>
  <c r="P51" i="7"/>
  <c r="O51" i="7"/>
  <c r="N51" i="7"/>
  <c r="M51" i="7"/>
  <c r="L51" i="7"/>
  <c r="T50" i="7"/>
  <c r="S50" i="7"/>
  <c r="R50" i="7"/>
  <c r="Q50" i="7"/>
  <c r="P50" i="7"/>
  <c r="O50" i="7"/>
  <c r="N50" i="7"/>
  <c r="M50" i="7"/>
  <c r="L50" i="7"/>
  <c r="T49" i="7"/>
  <c r="S49" i="7"/>
  <c r="R49" i="7"/>
  <c r="Q49" i="7"/>
  <c r="P49" i="7"/>
  <c r="O49" i="7"/>
  <c r="N49" i="7"/>
  <c r="M49" i="7"/>
  <c r="L49" i="7"/>
  <c r="T48" i="7"/>
  <c r="S48" i="7"/>
  <c r="R48" i="7"/>
  <c r="Q48" i="7"/>
  <c r="P48" i="7"/>
  <c r="O48" i="7"/>
  <c r="N48" i="7"/>
  <c r="M48" i="7"/>
  <c r="L48" i="7"/>
  <c r="T47" i="7"/>
  <c r="S47" i="7"/>
  <c r="R47" i="7"/>
  <c r="Q47" i="7"/>
  <c r="P47" i="7"/>
  <c r="O47" i="7"/>
  <c r="N47" i="7"/>
  <c r="M47" i="7"/>
  <c r="L47" i="7"/>
  <c r="T46" i="7"/>
  <c r="S46" i="7"/>
  <c r="R46" i="7"/>
  <c r="Q46" i="7"/>
  <c r="P46" i="7"/>
  <c r="O46" i="7"/>
  <c r="N46" i="7"/>
  <c r="M46" i="7"/>
  <c r="L46" i="7"/>
  <c r="T45" i="7"/>
  <c r="S45" i="7"/>
  <c r="R45" i="7"/>
  <c r="Q45" i="7"/>
  <c r="P45" i="7"/>
  <c r="O45" i="7"/>
  <c r="N45" i="7"/>
  <c r="M45" i="7"/>
  <c r="L45" i="7"/>
  <c r="T44" i="7"/>
  <c r="S44" i="7"/>
  <c r="R44" i="7"/>
  <c r="Q44" i="7"/>
  <c r="P44" i="7"/>
  <c r="O44" i="7"/>
  <c r="N44" i="7"/>
  <c r="M44" i="7"/>
  <c r="L44" i="7"/>
  <c r="T43" i="7"/>
  <c r="S43" i="7"/>
  <c r="R43" i="7"/>
  <c r="Q43" i="7"/>
  <c r="P43" i="7"/>
  <c r="O43" i="7"/>
  <c r="N43" i="7"/>
  <c r="M43" i="7"/>
  <c r="L43" i="7"/>
  <c r="T42" i="7"/>
  <c r="S42" i="7"/>
  <c r="R42" i="7"/>
  <c r="Q42" i="7"/>
  <c r="P42" i="7"/>
  <c r="O42" i="7"/>
  <c r="N42" i="7"/>
  <c r="M42" i="7"/>
  <c r="L42" i="7"/>
  <c r="T41" i="7"/>
  <c r="S41" i="7"/>
  <c r="R41" i="7"/>
  <c r="Q41" i="7"/>
  <c r="P41" i="7"/>
  <c r="O41" i="7"/>
  <c r="N41" i="7"/>
  <c r="M41" i="7"/>
  <c r="L41" i="7"/>
  <c r="T40" i="7"/>
  <c r="S40" i="7"/>
  <c r="R40" i="7"/>
  <c r="Q40" i="7"/>
  <c r="P40" i="7"/>
  <c r="O40" i="7"/>
  <c r="N40" i="7"/>
  <c r="M40" i="7"/>
  <c r="L40" i="7"/>
  <c r="T39" i="7"/>
  <c r="S39" i="7"/>
  <c r="R39" i="7"/>
  <c r="Q39" i="7"/>
  <c r="P39" i="7"/>
  <c r="O39" i="7"/>
  <c r="N39" i="7"/>
  <c r="M39" i="7"/>
  <c r="L39" i="7"/>
  <c r="T38" i="7"/>
  <c r="S38" i="7"/>
  <c r="R38" i="7"/>
  <c r="Q38" i="7"/>
  <c r="P38" i="7"/>
  <c r="O38" i="7"/>
  <c r="N38" i="7"/>
  <c r="M38" i="7"/>
  <c r="L38" i="7"/>
  <c r="T37" i="7"/>
  <c r="S37" i="7"/>
  <c r="R37" i="7"/>
  <c r="Q37" i="7"/>
  <c r="P37" i="7"/>
  <c r="O37" i="7"/>
  <c r="N37" i="7"/>
  <c r="M37" i="7"/>
  <c r="L37" i="7"/>
  <c r="T36" i="7"/>
  <c r="S36" i="7"/>
  <c r="R36" i="7"/>
  <c r="Q36" i="7"/>
  <c r="P36" i="7"/>
  <c r="O36" i="7"/>
  <c r="N36" i="7"/>
  <c r="M36" i="7"/>
  <c r="L36" i="7"/>
  <c r="T35" i="7"/>
  <c r="S35" i="7"/>
  <c r="R35" i="7"/>
  <c r="Q35" i="7"/>
  <c r="P35" i="7"/>
  <c r="O35" i="7"/>
  <c r="N35" i="7"/>
  <c r="M35" i="7"/>
  <c r="L35" i="7"/>
  <c r="T34" i="7"/>
  <c r="S34" i="7"/>
  <c r="R34" i="7"/>
  <c r="Q34" i="7"/>
  <c r="P34" i="7"/>
  <c r="O34" i="7"/>
  <c r="N34" i="7"/>
  <c r="M34" i="7"/>
  <c r="L34" i="7"/>
  <c r="T33" i="7"/>
  <c r="S33" i="7"/>
  <c r="R33" i="7"/>
  <c r="Q33" i="7"/>
  <c r="P33" i="7"/>
  <c r="O33" i="7"/>
  <c r="N33" i="7"/>
  <c r="M33" i="7"/>
  <c r="L33" i="7"/>
  <c r="T32" i="7"/>
  <c r="S32" i="7"/>
  <c r="R32" i="7"/>
  <c r="Q32" i="7"/>
  <c r="P32" i="7"/>
  <c r="O32" i="7"/>
  <c r="N32" i="7"/>
  <c r="M32" i="7"/>
  <c r="L32" i="7"/>
  <c r="T31" i="7"/>
  <c r="S31" i="7"/>
  <c r="R31" i="7"/>
  <c r="Q31" i="7"/>
  <c r="P31" i="7"/>
  <c r="O31" i="7"/>
  <c r="N31" i="7"/>
  <c r="M31" i="7"/>
  <c r="L31" i="7"/>
  <c r="T30" i="7"/>
  <c r="S30" i="7"/>
  <c r="R30" i="7"/>
  <c r="Q30" i="7"/>
  <c r="P30" i="7"/>
  <c r="O30" i="7"/>
  <c r="N30" i="7"/>
  <c r="M30" i="7"/>
  <c r="L30" i="7"/>
  <c r="T29" i="7"/>
  <c r="S29" i="7"/>
  <c r="R29" i="7"/>
  <c r="Q29" i="7"/>
  <c r="P29" i="7"/>
  <c r="O29" i="7"/>
  <c r="N29" i="7"/>
  <c r="M29" i="7"/>
  <c r="L29" i="7"/>
  <c r="T28" i="7"/>
  <c r="S28" i="7"/>
  <c r="R28" i="7"/>
  <c r="Q28" i="7"/>
  <c r="P28" i="7"/>
  <c r="O28" i="7"/>
  <c r="N28" i="7"/>
  <c r="M28" i="7"/>
  <c r="L28" i="7"/>
  <c r="T27" i="7"/>
  <c r="S27" i="7"/>
  <c r="R27" i="7"/>
  <c r="Q27" i="7"/>
  <c r="P27" i="7"/>
  <c r="O27" i="7"/>
  <c r="N27" i="7"/>
  <c r="M27" i="7"/>
  <c r="L27" i="7"/>
  <c r="T26" i="7"/>
  <c r="S26" i="7"/>
  <c r="R26" i="7"/>
  <c r="Q26" i="7"/>
  <c r="P26" i="7"/>
  <c r="O26" i="7"/>
  <c r="N26" i="7"/>
  <c r="M26" i="7"/>
  <c r="L26" i="7"/>
  <c r="T25" i="7"/>
  <c r="S25" i="7"/>
  <c r="R25" i="7"/>
  <c r="Q25" i="7"/>
  <c r="P25" i="7"/>
  <c r="O25" i="7"/>
  <c r="N25" i="7"/>
  <c r="M25" i="7"/>
  <c r="L25" i="7"/>
  <c r="T24" i="7"/>
  <c r="S24" i="7"/>
  <c r="R24" i="7"/>
  <c r="Q24" i="7"/>
  <c r="P24" i="7"/>
  <c r="O24" i="7"/>
  <c r="N24" i="7"/>
  <c r="M24" i="7"/>
  <c r="L24" i="7"/>
  <c r="T23" i="7"/>
  <c r="S23" i="7"/>
  <c r="R23" i="7"/>
  <c r="Q23" i="7"/>
  <c r="P23" i="7"/>
  <c r="O23" i="7"/>
  <c r="N23" i="7"/>
  <c r="M23" i="7"/>
  <c r="L23" i="7"/>
  <c r="T22" i="7"/>
  <c r="S22" i="7"/>
  <c r="R22" i="7"/>
  <c r="Q22" i="7"/>
  <c r="P22" i="7"/>
  <c r="O22" i="7"/>
  <c r="N22" i="7"/>
  <c r="M22" i="7"/>
  <c r="L22" i="7"/>
  <c r="T21" i="7"/>
  <c r="S21" i="7"/>
  <c r="R21" i="7"/>
  <c r="Q21" i="7"/>
  <c r="P21" i="7"/>
  <c r="O21" i="7"/>
  <c r="N21" i="7"/>
  <c r="M21" i="7"/>
  <c r="L21" i="7"/>
  <c r="T20" i="7"/>
  <c r="S20" i="7"/>
  <c r="R20" i="7"/>
  <c r="Q20" i="7"/>
  <c r="P20" i="7"/>
  <c r="O20" i="7"/>
  <c r="N20" i="7"/>
  <c r="M20" i="7"/>
  <c r="L20" i="7"/>
  <c r="T19" i="7"/>
  <c r="S19" i="7"/>
  <c r="R19" i="7"/>
  <c r="Q19" i="7"/>
  <c r="P19" i="7"/>
  <c r="O19" i="7"/>
  <c r="N19" i="7"/>
  <c r="M19" i="7"/>
  <c r="L19" i="7"/>
  <c r="T18" i="7"/>
  <c r="S18" i="7"/>
  <c r="R18" i="7"/>
  <c r="Q18" i="7"/>
  <c r="P18" i="7"/>
  <c r="O18" i="7"/>
  <c r="N18" i="7"/>
  <c r="M18" i="7"/>
  <c r="L18" i="7"/>
  <c r="T17" i="7"/>
  <c r="S17" i="7"/>
  <c r="R17" i="7"/>
  <c r="Q17" i="7"/>
  <c r="P17" i="7"/>
  <c r="O17" i="7"/>
  <c r="N17" i="7"/>
  <c r="M17" i="7"/>
  <c r="L17" i="7"/>
  <c r="T16" i="7"/>
  <c r="S16" i="7"/>
  <c r="R16" i="7"/>
  <c r="Q16" i="7"/>
  <c r="P16" i="7"/>
  <c r="O16" i="7"/>
  <c r="N16" i="7"/>
  <c r="M16" i="7"/>
  <c r="L16" i="7"/>
  <c r="L136" i="7" s="1"/>
  <c r="K15" i="7"/>
  <c r="T15" i="7" s="1"/>
  <c r="I15" i="7"/>
  <c r="R15" i="7" s="1"/>
  <c r="H15" i="7"/>
  <c r="Q15" i="7" s="1"/>
  <c r="G15" i="7"/>
  <c r="P9" i="7" s="1"/>
  <c r="F15" i="7"/>
  <c r="O15" i="7" s="1"/>
  <c r="E15" i="7"/>
  <c r="N11" i="7" s="1"/>
  <c r="D15" i="7"/>
  <c r="M13" i="7" s="1"/>
  <c r="C15" i="7"/>
  <c r="L14" i="7" s="1"/>
  <c r="T14" i="7"/>
  <c r="R14" i="7"/>
  <c r="Q14" i="7"/>
  <c r="O14" i="7"/>
  <c r="Q13" i="7"/>
  <c r="P13" i="7"/>
  <c r="O13" i="7"/>
  <c r="J13" i="7"/>
  <c r="Q12" i="7"/>
  <c r="P12" i="7"/>
  <c r="O12" i="7"/>
  <c r="Q11" i="7"/>
  <c r="O9" i="7"/>
  <c r="T152" i="9"/>
  <c r="S152" i="9"/>
  <c r="R152" i="9"/>
  <c r="Q152" i="9"/>
  <c r="P152" i="9"/>
  <c r="O152" i="9"/>
  <c r="N152" i="9"/>
  <c r="M152" i="9"/>
  <c r="L152" i="9"/>
  <c r="T151" i="9"/>
  <c r="S151" i="9"/>
  <c r="R151" i="9"/>
  <c r="Q151" i="9"/>
  <c r="P151" i="9"/>
  <c r="O151" i="9"/>
  <c r="N151" i="9"/>
  <c r="M151" i="9"/>
  <c r="L151" i="9"/>
  <c r="T150" i="9"/>
  <c r="S150" i="9"/>
  <c r="R150" i="9"/>
  <c r="Q150" i="9"/>
  <c r="P150" i="9"/>
  <c r="O150" i="9"/>
  <c r="N150" i="9"/>
  <c r="M150" i="9"/>
  <c r="L150" i="9"/>
  <c r="T149" i="9"/>
  <c r="S149" i="9"/>
  <c r="R149" i="9"/>
  <c r="Q149" i="9"/>
  <c r="P149" i="9"/>
  <c r="O149" i="9"/>
  <c r="N149" i="9"/>
  <c r="M149" i="9"/>
  <c r="L149" i="9"/>
  <c r="T148" i="9"/>
  <c r="S148" i="9"/>
  <c r="R148" i="9"/>
  <c r="Q148" i="9"/>
  <c r="P148" i="9"/>
  <c r="O148" i="9"/>
  <c r="N148" i="9"/>
  <c r="M148" i="9"/>
  <c r="L148" i="9"/>
  <c r="T147" i="9"/>
  <c r="S147" i="9"/>
  <c r="R147" i="9"/>
  <c r="Q147" i="9"/>
  <c r="P147" i="9"/>
  <c r="O147" i="9"/>
  <c r="N147" i="9"/>
  <c r="M147" i="9"/>
  <c r="L147" i="9"/>
  <c r="T146" i="9"/>
  <c r="S146" i="9"/>
  <c r="R146" i="9"/>
  <c r="Q146" i="9"/>
  <c r="P146" i="9"/>
  <c r="O146" i="9"/>
  <c r="N146" i="9"/>
  <c r="M146" i="9"/>
  <c r="L146" i="9"/>
  <c r="T145" i="9"/>
  <c r="S145" i="9"/>
  <c r="R145" i="9"/>
  <c r="Q145" i="9"/>
  <c r="P145" i="9"/>
  <c r="O145" i="9"/>
  <c r="N145" i="9"/>
  <c r="M145" i="9"/>
  <c r="L145" i="9"/>
  <c r="T144" i="9"/>
  <c r="S144" i="9"/>
  <c r="R144" i="9"/>
  <c r="Q144" i="9"/>
  <c r="P144" i="9"/>
  <c r="O144" i="9"/>
  <c r="N144" i="9"/>
  <c r="M144" i="9"/>
  <c r="L144" i="9"/>
  <c r="T143" i="9"/>
  <c r="S143" i="9"/>
  <c r="R143" i="9"/>
  <c r="Q143" i="9"/>
  <c r="P143" i="9"/>
  <c r="O143" i="9"/>
  <c r="N143" i="9"/>
  <c r="M143" i="9"/>
  <c r="L143" i="9"/>
  <c r="T142" i="9"/>
  <c r="S142" i="9"/>
  <c r="R142" i="9"/>
  <c r="Q142" i="9"/>
  <c r="P142" i="9"/>
  <c r="O142" i="9"/>
  <c r="N142" i="9"/>
  <c r="M142" i="9"/>
  <c r="L142" i="9"/>
  <c r="T141" i="9"/>
  <c r="S141" i="9"/>
  <c r="R141" i="9"/>
  <c r="Q141" i="9"/>
  <c r="P141" i="9"/>
  <c r="O141" i="9"/>
  <c r="N141" i="9"/>
  <c r="M141" i="9"/>
  <c r="L141" i="9"/>
  <c r="T140" i="9"/>
  <c r="S140" i="9"/>
  <c r="R140" i="9"/>
  <c r="Q140" i="9"/>
  <c r="P140" i="9"/>
  <c r="O140" i="9"/>
  <c r="N140" i="9"/>
  <c r="M140" i="9"/>
  <c r="L140" i="9"/>
  <c r="T139" i="9"/>
  <c r="S139" i="9"/>
  <c r="R139" i="9"/>
  <c r="Q139" i="9"/>
  <c r="P139" i="9"/>
  <c r="O139" i="9"/>
  <c r="N139" i="9"/>
  <c r="M139" i="9"/>
  <c r="L139" i="9"/>
  <c r="T138" i="9"/>
  <c r="S138" i="9"/>
  <c r="R138" i="9"/>
  <c r="Q138" i="9"/>
  <c r="P138" i="9"/>
  <c r="O138" i="9"/>
  <c r="N138" i="9"/>
  <c r="M138" i="9"/>
  <c r="L138" i="9"/>
  <c r="T137" i="9"/>
  <c r="S137" i="9"/>
  <c r="R137" i="9"/>
  <c r="Q137" i="9"/>
  <c r="P137" i="9"/>
  <c r="O137" i="9"/>
  <c r="N137" i="9"/>
  <c r="M137" i="9"/>
  <c r="L137" i="9"/>
  <c r="T136" i="9"/>
  <c r="S136" i="9"/>
  <c r="R136" i="9"/>
  <c r="Q136" i="9"/>
  <c r="P136" i="9"/>
  <c r="O136" i="9"/>
  <c r="N136" i="9"/>
  <c r="M136" i="9"/>
  <c r="L136" i="9"/>
  <c r="K14" i="9"/>
  <c r="J14" i="9" s="1"/>
  <c r="T13" i="9"/>
  <c r="S13" i="9"/>
  <c r="T12" i="9"/>
  <c r="J12" i="9"/>
  <c r="S12" i="9" s="1"/>
  <c r="H12" i="9"/>
  <c r="G12" i="9"/>
  <c r="F12" i="9"/>
  <c r="F14" i="9" s="1"/>
  <c r="E12" i="9"/>
  <c r="D12" i="9"/>
  <c r="D14" i="9" s="1"/>
  <c r="M8" i="9" s="1"/>
  <c r="C12" i="9"/>
  <c r="C14" i="9" s="1"/>
  <c r="L8" i="9" s="1"/>
  <c r="T11" i="9"/>
  <c r="S11" i="9"/>
  <c r="I11" i="9"/>
  <c r="T10" i="9"/>
  <c r="S10" i="9"/>
  <c r="I10" i="9"/>
  <c r="T9" i="9"/>
  <c r="S9" i="9"/>
  <c r="I9" i="9"/>
  <c r="T8" i="9"/>
  <c r="S8" i="9"/>
  <c r="I8" i="9"/>
  <c r="S15" i="10"/>
  <c r="O15" i="10"/>
  <c r="I15" i="10"/>
  <c r="H15" i="10"/>
  <c r="G15" i="10"/>
  <c r="F15" i="10"/>
  <c r="E15" i="10"/>
  <c r="D15" i="10"/>
  <c r="C15" i="10"/>
  <c r="S14" i="10"/>
  <c r="O14" i="10"/>
  <c r="I14" i="10"/>
  <c r="H14" i="10"/>
  <c r="G14" i="10"/>
  <c r="F14" i="10"/>
  <c r="E14" i="10"/>
  <c r="D14" i="10"/>
  <c r="C14" i="10"/>
  <c r="S13" i="10"/>
  <c r="O13" i="10"/>
  <c r="I13" i="10"/>
  <c r="H13" i="10"/>
  <c r="G13" i="10"/>
  <c r="F13" i="10"/>
  <c r="E13" i="10"/>
  <c r="D13" i="10"/>
  <c r="C13" i="10"/>
  <c r="S12" i="10"/>
  <c r="O12" i="10"/>
  <c r="I12" i="10"/>
  <c r="H12" i="10"/>
  <c r="G12" i="10"/>
  <c r="F12" i="10"/>
  <c r="E12" i="10"/>
  <c r="D12" i="10"/>
  <c r="C12" i="10"/>
  <c r="S11" i="10"/>
  <c r="O11" i="10"/>
  <c r="I11" i="10"/>
  <c r="H11" i="10"/>
  <c r="G11" i="10"/>
  <c r="F11" i="10"/>
  <c r="E11" i="10"/>
  <c r="D11" i="10"/>
  <c r="C11" i="10"/>
  <c r="S10" i="10"/>
  <c r="O10" i="10"/>
  <c r="I10" i="10"/>
  <c r="H10" i="10"/>
  <c r="G10" i="10"/>
  <c r="F10" i="10"/>
  <c r="E10" i="10"/>
  <c r="D10" i="10"/>
  <c r="C10" i="10"/>
  <c r="S9" i="10"/>
  <c r="O9" i="10"/>
  <c r="I9" i="10"/>
  <c r="H9" i="10"/>
  <c r="G9" i="10"/>
  <c r="F9" i="10"/>
  <c r="E9" i="10"/>
  <c r="D9" i="10"/>
  <c r="C9" i="10"/>
  <c r="S15" i="14"/>
  <c r="O15" i="14"/>
  <c r="I15" i="14"/>
  <c r="H15" i="14"/>
  <c r="G15" i="14"/>
  <c r="F15" i="14"/>
  <c r="E15" i="14"/>
  <c r="D15" i="14"/>
  <c r="C15" i="14"/>
  <c r="S14" i="14"/>
  <c r="O14" i="14"/>
  <c r="I14" i="14"/>
  <c r="H14" i="14"/>
  <c r="G14" i="14"/>
  <c r="F14" i="14"/>
  <c r="E14" i="14"/>
  <c r="D14" i="14"/>
  <c r="C14" i="14"/>
  <c r="S13" i="14"/>
  <c r="O13" i="14"/>
  <c r="I13" i="14"/>
  <c r="H13" i="14"/>
  <c r="G13" i="14"/>
  <c r="F13" i="14"/>
  <c r="E13" i="14"/>
  <c r="D13" i="14"/>
  <c r="C13" i="14"/>
  <c r="S12" i="14"/>
  <c r="O12" i="14"/>
  <c r="I12" i="14"/>
  <c r="H12" i="14"/>
  <c r="G12" i="14"/>
  <c r="F12" i="14"/>
  <c r="E12" i="14"/>
  <c r="D12" i="14"/>
  <c r="C12" i="14"/>
  <c r="S11" i="14"/>
  <c r="O11" i="14"/>
  <c r="I11" i="14"/>
  <c r="H11" i="14"/>
  <c r="G11" i="14"/>
  <c r="F11" i="14"/>
  <c r="E11" i="14"/>
  <c r="D11" i="14"/>
  <c r="C11" i="14"/>
  <c r="S10" i="14"/>
  <c r="O10" i="14"/>
  <c r="I10" i="14"/>
  <c r="H10" i="14"/>
  <c r="G10" i="14"/>
  <c r="F10" i="14"/>
  <c r="E10" i="14"/>
  <c r="D10" i="14"/>
  <c r="C10" i="14"/>
  <c r="S9" i="14"/>
  <c r="O9" i="14"/>
  <c r="I9" i="14"/>
  <c r="H9" i="14"/>
  <c r="G9" i="14"/>
  <c r="F9" i="14"/>
  <c r="E9" i="14"/>
  <c r="D9" i="14"/>
  <c r="C9" i="14"/>
  <c r="S15" i="13"/>
  <c r="O15" i="13"/>
  <c r="I15" i="13"/>
  <c r="H15" i="13"/>
  <c r="G15" i="13"/>
  <c r="F15" i="13"/>
  <c r="E15" i="13"/>
  <c r="D15" i="13"/>
  <c r="C15" i="13"/>
  <c r="S14" i="13"/>
  <c r="O14" i="13"/>
  <c r="I14" i="13"/>
  <c r="H14" i="13"/>
  <c r="G14" i="13"/>
  <c r="F14" i="13"/>
  <c r="E14" i="13"/>
  <c r="D14" i="13"/>
  <c r="C14" i="13"/>
  <c r="S13" i="13"/>
  <c r="O13" i="13"/>
  <c r="I13" i="13"/>
  <c r="H13" i="13"/>
  <c r="G13" i="13"/>
  <c r="F13" i="13"/>
  <c r="E13" i="13"/>
  <c r="D13" i="13"/>
  <c r="C13" i="13"/>
  <c r="S12" i="13"/>
  <c r="O12" i="13"/>
  <c r="I12" i="13"/>
  <c r="H12" i="13"/>
  <c r="G12" i="13"/>
  <c r="F12" i="13"/>
  <c r="E12" i="13"/>
  <c r="D12" i="13"/>
  <c r="C12" i="13"/>
  <c r="S11" i="13"/>
  <c r="O11" i="13"/>
  <c r="I11" i="13"/>
  <c r="H11" i="13"/>
  <c r="G11" i="13"/>
  <c r="F11" i="13"/>
  <c r="E11" i="13"/>
  <c r="D11" i="13"/>
  <c r="C11" i="13"/>
  <c r="S10" i="13"/>
  <c r="O10" i="13"/>
  <c r="I10" i="13"/>
  <c r="H10" i="13"/>
  <c r="G10" i="13"/>
  <c r="F10" i="13"/>
  <c r="E10" i="13"/>
  <c r="D10" i="13"/>
  <c r="C10" i="13"/>
  <c r="S9" i="13"/>
  <c r="O9" i="13"/>
  <c r="I9" i="13"/>
  <c r="H9" i="13"/>
  <c r="G9" i="13"/>
  <c r="F9" i="13"/>
  <c r="E9" i="13"/>
  <c r="D9" i="13"/>
  <c r="C9" i="13"/>
  <c r="T360" i="15"/>
  <c r="S360" i="15"/>
  <c r="R360" i="15"/>
  <c r="Q360" i="15"/>
  <c r="P360" i="15"/>
  <c r="O360" i="15"/>
  <c r="N360" i="15"/>
  <c r="M360" i="15"/>
  <c r="L360" i="15"/>
  <c r="K360" i="15"/>
  <c r="J360" i="15"/>
  <c r="I360" i="15"/>
  <c r="H360" i="15"/>
  <c r="G360" i="15"/>
  <c r="F360" i="15"/>
  <c r="E360" i="15"/>
  <c r="D360" i="15"/>
  <c r="C360" i="15"/>
  <c r="T359" i="15"/>
  <c r="S359" i="15"/>
  <c r="R359" i="15"/>
  <c r="Q359" i="15"/>
  <c r="P359" i="15"/>
  <c r="O359" i="15"/>
  <c r="N359" i="15"/>
  <c r="M359" i="15"/>
  <c r="L359" i="15"/>
  <c r="K359" i="15"/>
  <c r="J359" i="15"/>
  <c r="I359" i="15"/>
  <c r="H359" i="15"/>
  <c r="G359" i="15"/>
  <c r="F359" i="15"/>
  <c r="E359" i="15"/>
  <c r="D359" i="15"/>
  <c r="C359" i="15"/>
  <c r="T358" i="15"/>
  <c r="S358" i="15"/>
  <c r="R358" i="15"/>
  <c r="Q358" i="15"/>
  <c r="P358" i="15"/>
  <c r="O358" i="15"/>
  <c r="N358" i="15"/>
  <c r="M358" i="15"/>
  <c r="L358" i="15"/>
  <c r="K358" i="15"/>
  <c r="J358" i="15"/>
  <c r="I358" i="15"/>
  <c r="H358" i="15"/>
  <c r="G358" i="15"/>
  <c r="F358" i="15"/>
  <c r="E358" i="15"/>
  <c r="D358" i="15"/>
  <c r="C358" i="15"/>
  <c r="T357" i="15"/>
  <c r="S357" i="15"/>
  <c r="R357" i="15"/>
  <c r="Q357" i="15"/>
  <c r="P357" i="15"/>
  <c r="O357" i="15"/>
  <c r="N357" i="15"/>
  <c r="M357" i="15"/>
  <c r="L357" i="15"/>
  <c r="K357" i="15"/>
  <c r="J357" i="15"/>
  <c r="I357" i="15"/>
  <c r="H357" i="15"/>
  <c r="G357" i="15"/>
  <c r="F357" i="15"/>
  <c r="E357" i="15"/>
  <c r="D357" i="15"/>
  <c r="C357" i="15"/>
  <c r="T356" i="15"/>
  <c r="S356" i="15"/>
  <c r="R356" i="15"/>
  <c r="Q356" i="15"/>
  <c r="P356" i="15"/>
  <c r="O356" i="15"/>
  <c r="N356" i="15"/>
  <c r="M356" i="15"/>
  <c r="L356" i="15"/>
  <c r="K356" i="15"/>
  <c r="J356" i="15"/>
  <c r="I356" i="15"/>
  <c r="H356" i="15"/>
  <c r="G356" i="15"/>
  <c r="F356" i="15"/>
  <c r="E356" i="15"/>
  <c r="D356" i="15"/>
  <c r="C356" i="15"/>
  <c r="T354" i="15"/>
  <c r="S354" i="15"/>
  <c r="R354" i="15"/>
  <c r="Q354" i="15"/>
  <c r="P354" i="15"/>
  <c r="O354" i="15"/>
  <c r="N354" i="15"/>
  <c r="M354" i="15"/>
  <c r="L354" i="15"/>
  <c r="K354" i="15"/>
  <c r="J354" i="15"/>
  <c r="I354" i="15"/>
  <c r="H354" i="15"/>
  <c r="G354" i="15"/>
  <c r="F354" i="15"/>
  <c r="E354" i="15"/>
  <c r="D354" i="15"/>
  <c r="C354" i="15"/>
  <c r="T353" i="15"/>
  <c r="S353" i="15"/>
  <c r="R353" i="15"/>
  <c r="Q353" i="15"/>
  <c r="P353" i="15"/>
  <c r="O353" i="15"/>
  <c r="N353" i="15"/>
  <c r="M353" i="15"/>
  <c r="L353" i="15"/>
  <c r="K353" i="15"/>
  <c r="J353" i="15"/>
  <c r="I353" i="15"/>
  <c r="H353" i="15"/>
  <c r="G353" i="15"/>
  <c r="F353" i="15"/>
  <c r="E353" i="15"/>
  <c r="D353" i="15"/>
  <c r="C353" i="15"/>
  <c r="T352" i="15"/>
  <c r="S352" i="15"/>
  <c r="R352" i="15"/>
  <c r="Q352" i="15"/>
  <c r="P352" i="15"/>
  <c r="O352" i="15"/>
  <c r="N352" i="15"/>
  <c r="M352" i="15"/>
  <c r="L352" i="15"/>
  <c r="K352" i="15"/>
  <c r="J352" i="15"/>
  <c r="I352" i="15"/>
  <c r="H352" i="15"/>
  <c r="G352" i="15"/>
  <c r="F352" i="15"/>
  <c r="E352" i="15"/>
  <c r="D352" i="15"/>
  <c r="C352" i="15"/>
  <c r="T351" i="15"/>
  <c r="S351" i="15"/>
  <c r="R351" i="15"/>
  <c r="Q351" i="15"/>
  <c r="P351" i="15"/>
  <c r="O351" i="15"/>
  <c r="N351" i="15"/>
  <c r="M351" i="15"/>
  <c r="L351" i="15"/>
  <c r="K351" i="15"/>
  <c r="J351" i="15"/>
  <c r="I351" i="15"/>
  <c r="H351" i="15"/>
  <c r="G351" i="15"/>
  <c r="F351" i="15"/>
  <c r="E351" i="15"/>
  <c r="D351" i="15"/>
  <c r="C351" i="15"/>
  <c r="T350" i="15"/>
  <c r="S350" i="15"/>
  <c r="R350" i="15"/>
  <c r="Q350" i="15"/>
  <c r="P350" i="15"/>
  <c r="O350" i="15"/>
  <c r="N350" i="15"/>
  <c r="M350" i="15"/>
  <c r="L350" i="15"/>
  <c r="K350" i="15"/>
  <c r="J350" i="15"/>
  <c r="I350" i="15"/>
  <c r="H350" i="15"/>
  <c r="G350" i="15"/>
  <c r="F350" i="15"/>
  <c r="E350" i="15"/>
  <c r="D350" i="15"/>
  <c r="C350" i="15"/>
  <c r="T348" i="15"/>
  <c r="S348" i="15"/>
  <c r="R348" i="15"/>
  <c r="Q348" i="15"/>
  <c r="P348" i="15"/>
  <c r="O348" i="15"/>
  <c r="N348" i="15"/>
  <c r="M348" i="15"/>
  <c r="L348" i="15"/>
  <c r="K348" i="15"/>
  <c r="J348" i="15"/>
  <c r="I348" i="15"/>
  <c r="H348" i="15"/>
  <c r="G348" i="15"/>
  <c r="F348" i="15"/>
  <c r="E348" i="15"/>
  <c r="D348" i="15"/>
  <c r="C348" i="15"/>
  <c r="T347" i="15"/>
  <c r="S347" i="15"/>
  <c r="R347" i="15"/>
  <c r="Q347" i="15"/>
  <c r="P347" i="15"/>
  <c r="O347" i="15"/>
  <c r="N347" i="15"/>
  <c r="M347" i="15"/>
  <c r="L347" i="15"/>
  <c r="K347" i="15"/>
  <c r="J347" i="15"/>
  <c r="I347" i="15"/>
  <c r="H347" i="15"/>
  <c r="G347" i="15"/>
  <c r="F347" i="15"/>
  <c r="E347" i="15"/>
  <c r="D347" i="15"/>
  <c r="C347" i="15"/>
  <c r="T346" i="15"/>
  <c r="S346" i="15"/>
  <c r="R346" i="15"/>
  <c r="Q346" i="15"/>
  <c r="P346" i="15"/>
  <c r="O346" i="15"/>
  <c r="N346" i="15"/>
  <c r="M346" i="15"/>
  <c r="L346" i="15"/>
  <c r="K346" i="15"/>
  <c r="J346" i="15"/>
  <c r="I346" i="15"/>
  <c r="H346" i="15"/>
  <c r="G346" i="15"/>
  <c r="F346" i="15"/>
  <c r="E346" i="15"/>
  <c r="D346" i="15"/>
  <c r="C346" i="15"/>
  <c r="T345" i="15"/>
  <c r="S345" i="15"/>
  <c r="R345" i="15"/>
  <c r="Q345" i="15"/>
  <c r="P345" i="15"/>
  <c r="O345" i="15"/>
  <c r="N345" i="15"/>
  <c r="M345" i="15"/>
  <c r="L345" i="15"/>
  <c r="K345" i="15"/>
  <c r="J345" i="15"/>
  <c r="I345" i="15"/>
  <c r="H345" i="15"/>
  <c r="G345" i="15"/>
  <c r="F345" i="15"/>
  <c r="E345" i="15"/>
  <c r="D345" i="15"/>
  <c r="C345" i="15"/>
  <c r="T344" i="15"/>
  <c r="S344" i="15"/>
  <c r="R344" i="15"/>
  <c r="Q344" i="15"/>
  <c r="P344" i="15"/>
  <c r="O344" i="15"/>
  <c r="N344" i="15"/>
  <c r="M344" i="15"/>
  <c r="L344" i="15"/>
  <c r="K344" i="15"/>
  <c r="J344" i="15"/>
  <c r="I344" i="15"/>
  <c r="H344" i="15"/>
  <c r="G344" i="15"/>
  <c r="F344" i="15"/>
  <c r="E344" i="15"/>
  <c r="D344" i="15"/>
  <c r="C344" i="15"/>
  <c r="T342" i="15"/>
  <c r="S342" i="15"/>
  <c r="R342" i="15"/>
  <c r="Q342" i="15"/>
  <c r="P342" i="15"/>
  <c r="O342" i="15"/>
  <c r="N342" i="15"/>
  <c r="M342" i="15"/>
  <c r="L342" i="15"/>
  <c r="K342" i="15"/>
  <c r="J342" i="15"/>
  <c r="I342" i="15"/>
  <c r="H342" i="15"/>
  <c r="G342" i="15"/>
  <c r="F342" i="15"/>
  <c r="E342" i="15"/>
  <c r="D342" i="15"/>
  <c r="C342" i="15"/>
  <c r="T341" i="15"/>
  <c r="S341" i="15"/>
  <c r="R341" i="15"/>
  <c r="Q341" i="15"/>
  <c r="P341" i="15"/>
  <c r="O341" i="15"/>
  <c r="N341" i="15"/>
  <c r="M341" i="15"/>
  <c r="L341" i="15"/>
  <c r="K341" i="15"/>
  <c r="J341" i="15"/>
  <c r="I341" i="15"/>
  <c r="H341" i="15"/>
  <c r="G341" i="15"/>
  <c r="F341" i="15"/>
  <c r="E341" i="15"/>
  <c r="D341" i="15"/>
  <c r="C341" i="15"/>
  <c r="T340" i="15"/>
  <c r="S340" i="15"/>
  <c r="R340" i="15"/>
  <c r="Q340" i="15"/>
  <c r="P340" i="15"/>
  <c r="O340" i="15"/>
  <c r="N340" i="15"/>
  <c r="M340" i="15"/>
  <c r="L340" i="15"/>
  <c r="K340" i="15"/>
  <c r="J340" i="15"/>
  <c r="I340" i="15"/>
  <c r="H340" i="15"/>
  <c r="G340" i="15"/>
  <c r="F340" i="15"/>
  <c r="E340" i="15"/>
  <c r="D340" i="15"/>
  <c r="C340" i="15"/>
  <c r="T339" i="15"/>
  <c r="S339" i="15"/>
  <c r="R339" i="15"/>
  <c r="Q339" i="15"/>
  <c r="P339" i="15"/>
  <c r="O339" i="15"/>
  <c r="N339" i="15"/>
  <c r="M339" i="15"/>
  <c r="L339" i="15"/>
  <c r="K339" i="15"/>
  <c r="J339" i="15"/>
  <c r="I339" i="15"/>
  <c r="H339" i="15"/>
  <c r="G339" i="15"/>
  <c r="F339" i="15"/>
  <c r="E339" i="15"/>
  <c r="D339" i="15"/>
  <c r="C339" i="15"/>
  <c r="T338" i="15"/>
  <c r="S338" i="15"/>
  <c r="R338" i="15"/>
  <c r="Q338" i="15"/>
  <c r="P338" i="15"/>
  <c r="O338" i="15"/>
  <c r="N338" i="15"/>
  <c r="M338" i="15"/>
  <c r="L338" i="15"/>
  <c r="K338" i="15"/>
  <c r="J338" i="15"/>
  <c r="I338" i="15"/>
  <c r="H338" i="15"/>
  <c r="G338" i="15"/>
  <c r="F338" i="15"/>
  <c r="E338" i="15"/>
  <c r="D338" i="15"/>
  <c r="C338" i="15"/>
  <c r="T336" i="15"/>
  <c r="S336" i="15"/>
  <c r="R336" i="15"/>
  <c r="Q336" i="15"/>
  <c r="P336" i="15"/>
  <c r="O336" i="15"/>
  <c r="N336" i="15"/>
  <c r="M336" i="15"/>
  <c r="L336" i="15"/>
  <c r="K336" i="15"/>
  <c r="J336" i="15"/>
  <c r="I336" i="15"/>
  <c r="H336" i="15"/>
  <c r="G336" i="15"/>
  <c r="F336" i="15"/>
  <c r="E336" i="15"/>
  <c r="D336" i="15"/>
  <c r="C336" i="15"/>
  <c r="T335" i="15"/>
  <c r="S335" i="15"/>
  <c r="R335" i="15"/>
  <c r="Q335" i="15"/>
  <c r="P335" i="15"/>
  <c r="O335" i="15"/>
  <c r="N335" i="15"/>
  <c r="M335" i="15"/>
  <c r="L335" i="15"/>
  <c r="K335" i="15"/>
  <c r="J335" i="15"/>
  <c r="I335" i="15"/>
  <c r="H335" i="15"/>
  <c r="G335" i="15"/>
  <c r="F335" i="15"/>
  <c r="E335" i="15"/>
  <c r="D335" i="15"/>
  <c r="C335" i="15"/>
  <c r="T334" i="15"/>
  <c r="S334" i="15"/>
  <c r="R334" i="15"/>
  <c r="Q334" i="15"/>
  <c r="P334" i="15"/>
  <c r="O334" i="15"/>
  <c r="N334" i="15"/>
  <c r="M334" i="15"/>
  <c r="L334" i="15"/>
  <c r="K334" i="15"/>
  <c r="J334" i="15"/>
  <c r="I334" i="15"/>
  <c r="H334" i="15"/>
  <c r="G334" i="15"/>
  <c r="F334" i="15"/>
  <c r="E334" i="15"/>
  <c r="D334" i="15"/>
  <c r="C334" i="15"/>
  <c r="T333" i="15"/>
  <c r="S333" i="15"/>
  <c r="R333" i="15"/>
  <c r="Q333" i="15"/>
  <c r="P333" i="15"/>
  <c r="O333" i="15"/>
  <c r="N333" i="15"/>
  <c r="M333" i="15"/>
  <c r="L333" i="15"/>
  <c r="K333" i="15"/>
  <c r="J333" i="15"/>
  <c r="I333" i="15"/>
  <c r="H333" i="15"/>
  <c r="G333" i="15"/>
  <c r="F333" i="15"/>
  <c r="E333" i="15"/>
  <c r="D333" i="15"/>
  <c r="C333" i="15"/>
  <c r="T332" i="15"/>
  <c r="S332" i="15"/>
  <c r="R332" i="15"/>
  <c r="Q332" i="15"/>
  <c r="P332" i="15"/>
  <c r="O332" i="15"/>
  <c r="N332" i="15"/>
  <c r="M332" i="15"/>
  <c r="L332" i="15"/>
  <c r="K332" i="15"/>
  <c r="J332" i="15"/>
  <c r="I332" i="15"/>
  <c r="I337" i="15" s="1"/>
  <c r="H332" i="15"/>
  <c r="H337" i="15" s="1"/>
  <c r="G337" i="15" s="1"/>
  <c r="G332" i="15"/>
  <c r="F332" i="15"/>
  <c r="E332" i="15"/>
  <c r="D332" i="15"/>
  <c r="C332" i="15"/>
  <c r="T330" i="15"/>
  <c r="S330" i="15"/>
  <c r="R330" i="15"/>
  <c r="Q330" i="15"/>
  <c r="P330" i="15"/>
  <c r="O330" i="15"/>
  <c r="N330" i="15"/>
  <c r="M330" i="15"/>
  <c r="L330" i="15"/>
  <c r="K330" i="15"/>
  <c r="J330" i="15"/>
  <c r="I330" i="15"/>
  <c r="H330" i="15"/>
  <c r="G330" i="15"/>
  <c r="F330" i="15"/>
  <c r="E330" i="15"/>
  <c r="D330" i="15"/>
  <c r="C330" i="15"/>
  <c r="T329" i="15"/>
  <c r="S329" i="15"/>
  <c r="R329" i="15"/>
  <c r="Q329" i="15"/>
  <c r="P329" i="15"/>
  <c r="O329" i="15"/>
  <c r="N329" i="15"/>
  <c r="M329" i="15"/>
  <c r="L329" i="15"/>
  <c r="K329" i="15"/>
  <c r="J329" i="15"/>
  <c r="I329" i="15"/>
  <c r="H329" i="15"/>
  <c r="G329" i="15"/>
  <c r="F329" i="15"/>
  <c r="E329" i="15"/>
  <c r="D329" i="15"/>
  <c r="C329" i="15"/>
  <c r="T328" i="15"/>
  <c r="S328" i="15"/>
  <c r="R328" i="15"/>
  <c r="Q328" i="15"/>
  <c r="P328" i="15"/>
  <c r="O328" i="15"/>
  <c r="N328" i="15"/>
  <c r="M328" i="15"/>
  <c r="L328" i="15"/>
  <c r="K328" i="15"/>
  <c r="J328" i="15"/>
  <c r="I328" i="15"/>
  <c r="H328" i="15"/>
  <c r="G328" i="15"/>
  <c r="F328" i="15"/>
  <c r="E328" i="15"/>
  <c r="D328" i="15"/>
  <c r="C328" i="15"/>
  <c r="T327" i="15"/>
  <c r="S327" i="15"/>
  <c r="R327" i="15"/>
  <c r="Q327" i="15"/>
  <c r="P327" i="15"/>
  <c r="O327" i="15"/>
  <c r="N327" i="15"/>
  <c r="M327" i="15"/>
  <c r="L327" i="15"/>
  <c r="K327" i="15"/>
  <c r="J327" i="15"/>
  <c r="I327" i="15"/>
  <c r="H327" i="15"/>
  <c r="G327" i="15"/>
  <c r="F327" i="15"/>
  <c r="E327" i="15"/>
  <c r="D327" i="15"/>
  <c r="C327" i="15"/>
  <c r="T326" i="15"/>
  <c r="S326" i="15"/>
  <c r="R326" i="15"/>
  <c r="Q326" i="15"/>
  <c r="P326" i="15"/>
  <c r="O326" i="15"/>
  <c r="N326" i="15"/>
  <c r="M326" i="15"/>
  <c r="L326" i="15"/>
  <c r="K326" i="15"/>
  <c r="J326" i="15"/>
  <c r="I326" i="15"/>
  <c r="H326" i="15"/>
  <c r="G326" i="15"/>
  <c r="F326" i="15"/>
  <c r="E326" i="15"/>
  <c r="D326" i="15"/>
  <c r="C326" i="15"/>
  <c r="T324" i="15"/>
  <c r="S324" i="15"/>
  <c r="R324" i="15"/>
  <c r="Q324" i="15"/>
  <c r="P324" i="15"/>
  <c r="O324" i="15"/>
  <c r="N324" i="15"/>
  <c r="M324" i="15"/>
  <c r="L324" i="15"/>
  <c r="K324" i="15"/>
  <c r="J324" i="15"/>
  <c r="I324" i="15"/>
  <c r="H324" i="15"/>
  <c r="G324" i="15"/>
  <c r="F324" i="15"/>
  <c r="E324" i="15"/>
  <c r="D324" i="15"/>
  <c r="C324" i="15"/>
  <c r="T323" i="15"/>
  <c r="S323" i="15"/>
  <c r="R323" i="15"/>
  <c r="Q323" i="15"/>
  <c r="P323" i="15"/>
  <c r="O323" i="15"/>
  <c r="N323" i="15"/>
  <c r="M323" i="15"/>
  <c r="L323" i="15"/>
  <c r="K323" i="15"/>
  <c r="J323" i="15"/>
  <c r="I323" i="15"/>
  <c r="H323" i="15"/>
  <c r="G323" i="15"/>
  <c r="F323" i="15"/>
  <c r="E323" i="15"/>
  <c r="D323" i="15"/>
  <c r="C323" i="15"/>
  <c r="T322" i="15"/>
  <c r="S322" i="15"/>
  <c r="R322" i="15"/>
  <c r="Q322" i="15"/>
  <c r="P322" i="15"/>
  <c r="O322" i="15"/>
  <c r="N322" i="15"/>
  <c r="M322" i="15"/>
  <c r="L322" i="15"/>
  <c r="K322" i="15"/>
  <c r="J322" i="15"/>
  <c r="I322" i="15"/>
  <c r="H322" i="15"/>
  <c r="G322" i="15"/>
  <c r="F322" i="15"/>
  <c r="E322" i="15"/>
  <c r="D322" i="15"/>
  <c r="C322" i="15"/>
  <c r="T321" i="15"/>
  <c r="S321" i="15"/>
  <c r="R321" i="15"/>
  <c r="Q321" i="15"/>
  <c r="P321" i="15"/>
  <c r="O321" i="15"/>
  <c r="N321" i="15"/>
  <c r="M321" i="15"/>
  <c r="L321" i="15"/>
  <c r="K321" i="15"/>
  <c r="J321" i="15"/>
  <c r="I321" i="15"/>
  <c r="H321" i="15"/>
  <c r="G321" i="15"/>
  <c r="F321" i="15"/>
  <c r="E321" i="15"/>
  <c r="D321" i="15"/>
  <c r="C321" i="15"/>
  <c r="T320" i="15"/>
  <c r="S320" i="15"/>
  <c r="R320" i="15"/>
  <c r="Q320" i="15"/>
  <c r="P320" i="15"/>
  <c r="O320" i="15"/>
  <c r="N320" i="15"/>
  <c r="M320" i="15"/>
  <c r="L320" i="15"/>
  <c r="K320" i="15"/>
  <c r="J320" i="15"/>
  <c r="I320" i="15"/>
  <c r="H320" i="15"/>
  <c r="G320" i="15"/>
  <c r="F320" i="15"/>
  <c r="E320" i="15"/>
  <c r="D320" i="15"/>
  <c r="C320" i="15"/>
  <c r="T318" i="15"/>
  <c r="S318" i="15"/>
  <c r="R318" i="15"/>
  <c r="Q318" i="15"/>
  <c r="P318" i="15"/>
  <c r="O318" i="15"/>
  <c r="N318" i="15"/>
  <c r="M318" i="15"/>
  <c r="L318" i="15"/>
  <c r="K318" i="15"/>
  <c r="J318" i="15"/>
  <c r="I318" i="15"/>
  <c r="H318" i="15"/>
  <c r="G318" i="15"/>
  <c r="F318" i="15"/>
  <c r="E318" i="15"/>
  <c r="D318" i="15"/>
  <c r="C318" i="15"/>
  <c r="T317" i="15"/>
  <c r="S317" i="15"/>
  <c r="R317" i="15"/>
  <c r="Q317" i="15"/>
  <c r="P317" i="15"/>
  <c r="O317" i="15"/>
  <c r="N317" i="15"/>
  <c r="M317" i="15"/>
  <c r="L317" i="15"/>
  <c r="K317" i="15"/>
  <c r="J317" i="15"/>
  <c r="I317" i="15"/>
  <c r="H317" i="15"/>
  <c r="G317" i="15"/>
  <c r="F317" i="15"/>
  <c r="E317" i="15"/>
  <c r="D317" i="15"/>
  <c r="C317" i="15"/>
  <c r="T316" i="15"/>
  <c r="S316" i="15"/>
  <c r="R316" i="15"/>
  <c r="Q316" i="15"/>
  <c r="P316" i="15"/>
  <c r="O316" i="15"/>
  <c r="N316" i="15"/>
  <c r="M316" i="15"/>
  <c r="L316" i="15"/>
  <c r="K316" i="15"/>
  <c r="J316" i="15"/>
  <c r="I316" i="15"/>
  <c r="H316" i="15"/>
  <c r="G316" i="15"/>
  <c r="F316" i="15"/>
  <c r="E316" i="15"/>
  <c r="D316" i="15"/>
  <c r="C316" i="15"/>
  <c r="T315" i="15"/>
  <c r="S315" i="15"/>
  <c r="R315" i="15"/>
  <c r="Q315" i="15"/>
  <c r="P315" i="15"/>
  <c r="O315" i="15"/>
  <c r="N315" i="15"/>
  <c r="M315" i="15"/>
  <c r="L315" i="15"/>
  <c r="K315" i="15"/>
  <c r="J315" i="15"/>
  <c r="I315" i="15"/>
  <c r="H315" i="15"/>
  <c r="G315" i="15"/>
  <c r="F315" i="15"/>
  <c r="E315" i="15"/>
  <c r="D315" i="15"/>
  <c r="C315" i="15"/>
  <c r="T314" i="15"/>
  <c r="S314" i="15"/>
  <c r="R314" i="15"/>
  <c r="Q314" i="15"/>
  <c r="P314" i="15"/>
  <c r="O314" i="15"/>
  <c r="N314" i="15"/>
  <c r="M314" i="15"/>
  <c r="L314" i="15"/>
  <c r="K314" i="15"/>
  <c r="J314" i="15"/>
  <c r="I314" i="15"/>
  <c r="H314" i="15"/>
  <c r="G314" i="15"/>
  <c r="G319" i="15" s="1"/>
  <c r="F314" i="15"/>
  <c r="E314" i="15"/>
  <c r="D314" i="15"/>
  <c r="C314" i="15"/>
  <c r="T312" i="15"/>
  <c r="S312" i="15"/>
  <c r="R312" i="15"/>
  <c r="Q312" i="15"/>
  <c r="P312" i="15"/>
  <c r="O312" i="15"/>
  <c r="N312" i="15"/>
  <c r="M312" i="15"/>
  <c r="L312" i="15"/>
  <c r="K312" i="15"/>
  <c r="J312" i="15"/>
  <c r="I312" i="15"/>
  <c r="H312" i="15"/>
  <c r="G312" i="15"/>
  <c r="F312" i="15"/>
  <c r="E312" i="15"/>
  <c r="D312" i="15"/>
  <c r="C312" i="15"/>
  <c r="T311" i="15"/>
  <c r="S311" i="15"/>
  <c r="R311" i="15"/>
  <c r="Q311" i="15"/>
  <c r="P311" i="15"/>
  <c r="O311" i="15"/>
  <c r="N311" i="15"/>
  <c r="M311" i="15"/>
  <c r="L311" i="15"/>
  <c r="K311" i="15"/>
  <c r="J311" i="15"/>
  <c r="I311" i="15"/>
  <c r="H311" i="15"/>
  <c r="G311" i="15"/>
  <c r="F311" i="15"/>
  <c r="E311" i="15"/>
  <c r="D311" i="15"/>
  <c r="C311" i="15"/>
  <c r="T310" i="15"/>
  <c r="S310" i="15"/>
  <c r="R310" i="15"/>
  <c r="Q310" i="15"/>
  <c r="P310" i="15"/>
  <c r="O310" i="15"/>
  <c r="N310" i="15"/>
  <c r="M310" i="15"/>
  <c r="L310" i="15"/>
  <c r="K310" i="15"/>
  <c r="J310" i="15"/>
  <c r="I310" i="15"/>
  <c r="H310" i="15"/>
  <c r="G310" i="15"/>
  <c r="F310" i="15"/>
  <c r="E310" i="15"/>
  <c r="D310" i="15"/>
  <c r="C310" i="15"/>
  <c r="T309" i="15"/>
  <c r="S309" i="15"/>
  <c r="R309" i="15"/>
  <c r="Q309" i="15"/>
  <c r="P309" i="15"/>
  <c r="O309" i="15"/>
  <c r="N309" i="15"/>
  <c r="M309" i="15"/>
  <c r="L309" i="15"/>
  <c r="K309" i="15"/>
  <c r="J309" i="15"/>
  <c r="I309" i="15"/>
  <c r="H309" i="15"/>
  <c r="G309" i="15"/>
  <c r="F309" i="15"/>
  <c r="E309" i="15"/>
  <c r="D309" i="15"/>
  <c r="C309" i="15"/>
  <c r="T308" i="15"/>
  <c r="S308" i="15"/>
  <c r="R308" i="15"/>
  <c r="Q308" i="15"/>
  <c r="P308" i="15"/>
  <c r="O308" i="15"/>
  <c r="N308" i="15"/>
  <c r="M308" i="15"/>
  <c r="L308" i="15"/>
  <c r="K308" i="15"/>
  <c r="J308" i="15"/>
  <c r="I308" i="15"/>
  <c r="H308" i="15"/>
  <c r="G308" i="15"/>
  <c r="F308" i="15"/>
  <c r="E308" i="15"/>
  <c r="D308" i="15"/>
  <c r="C308" i="15"/>
  <c r="T306" i="15"/>
  <c r="S306" i="15"/>
  <c r="R306" i="15"/>
  <c r="Q306" i="15"/>
  <c r="P306" i="15"/>
  <c r="O306" i="15"/>
  <c r="N306" i="15"/>
  <c r="M306" i="15"/>
  <c r="L306" i="15"/>
  <c r="K306" i="15"/>
  <c r="J306" i="15"/>
  <c r="I306" i="15"/>
  <c r="H306" i="15"/>
  <c r="G306" i="15"/>
  <c r="F306" i="15"/>
  <c r="E306" i="15"/>
  <c r="D306" i="15"/>
  <c r="C306" i="15"/>
  <c r="T305" i="15"/>
  <c r="S305" i="15"/>
  <c r="R305" i="15"/>
  <c r="Q305" i="15"/>
  <c r="P305" i="15"/>
  <c r="O305" i="15"/>
  <c r="N305" i="15"/>
  <c r="M305" i="15"/>
  <c r="L305" i="15"/>
  <c r="K305" i="15"/>
  <c r="J305" i="15"/>
  <c r="I305" i="15"/>
  <c r="H305" i="15"/>
  <c r="G305" i="15"/>
  <c r="F305" i="15"/>
  <c r="E305" i="15"/>
  <c r="D305" i="15"/>
  <c r="C305" i="15"/>
  <c r="T304" i="15"/>
  <c r="S304" i="15"/>
  <c r="R304" i="15"/>
  <c r="Q304" i="15"/>
  <c r="P304" i="15"/>
  <c r="O304" i="15"/>
  <c r="N304" i="15"/>
  <c r="M304" i="15"/>
  <c r="L304" i="15"/>
  <c r="K304" i="15"/>
  <c r="J304" i="15"/>
  <c r="I304" i="15"/>
  <c r="H304" i="15"/>
  <c r="G304" i="15"/>
  <c r="F304" i="15"/>
  <c r="E304" i="15"/>
  <c r="D304" i="15"/>
  <c r="C304" i="15"/>
  <c r="T303" i="15"/>
  <c r="S303" i="15"/>
  <c r="R303" i="15"/>
  <c r="Q303" i="15"/>
  <c r="P303" i="15"/>
  <c r="O303" i="15"/>
  <c r="N303" i="15"/>
  <c r="M303" i="15"/>
  <c r="L303" i="15"/>
  <c r="K303" i="15"/>
  <c r="J303" i="15"/>
  <c r="I303" i="15"/>
  <c r="H303" i="15"/>
  <c r="G303" i="15"/>
  <c r="F303" i="15"/>
  <c r="E303" i="15"/>
  <c r="D303" i="15"/>
  <c r="C303" i="15"/>
  <c r="T302" i="15"/>
  <c r="S302" i="15"/>
  <c r="R302" i="15"/>
  <c r="Q302" i="15"/>
  <c r="P302" i="15"/>
  <c r="O302" i="15"/>
  <c r="N302" i="15"/>
  <c r="M302" i="15"/>
  <c r="L302" i="15"/>
  <c r="K302" i="15"/>
  <c r="J302" i="15"/>
  <c r="I302" i="15"/>
  <c r="H302" i="15"/>
  <c r="G302" i="15"/>
  <c r="F302" i="15"/>
  <c r="E302" i="15"/>
  <c r="D302" i="15"/>
  <c r="C302" i="15"/>
  <c r="AM301" i="15"/>
  <c r="AL301" i="15"/>
  <c r="AK301" i="15"/>
  <c r="AJ301" i="15"/>
  <c r="AI301" i="15"/>
  <c r="AH301" i="15"/>
  <c r="AG301" i="15"/>
  <c r="AF301" i="15"/>
  <c r="AE301" i="15"/>
  <c r="AD301" i="15"/>
  <c r="AC301" i="15"/>
  <c r="AB301" i="15"/>
  <c r="AA301" i="15"/>
  <c r="Z301" i="15"/>
  <c r="Y301" i="15"/>
  <c r="X301" i="15"/>
  <c r="W301" i="15"/>
  <c r="V301" i="15"/>
  <c r="P147" i="7" l="1"/>
  <c r="P361" i="15"/>
  <c r="G22" i="6"/>
  <c r="N94" i="6"/>
  <c r="H12" i="2"/>
  <c r="M23" i="6"/>
  <c r="N67" i="6"/>
  <c r="N103" i="6"/>
  <c r="I12" i="2"/>
  <c r="G22" i="2"/>
  <c r="F22" i="2" s="1"/>
  <c r="E22" i="2" s="1"/>
  <c r="D22" i="2" s="1"/>
  <c r="C22" i="2" s="1"/>
  <c r="K157" i="6"/>
  <c r="L313" i="15"/>
  <c r="R361" i="15"/>
  <c r="J157" i="6"/>
  <c r="O45" i="2"/>
  <c r="H45" i="2" s="1"/>
  <c r="I319" i="15"/>
  <c r="T143" i="7"/>
  <c r="L24" i="6"/>
  <c r="L157" i="6"/>
  <c r="I22" i="6"/>
  <c r="P22" i="6" s="1"/>
  <c r="O22" i="6" s="1"/>
  <c r="P17" i="6"/>
  <c r="N31" i="6"/>
  <c r="N49" i="6"/>
  <c r="J121" i="6"/>
  <c r="N157" i="6"/>
  <c r="M166" i="6"/>
  <c r="M43" i="11"/>
  <c r="T313" i="15"/>
  <c r="S313" i="15" s="1"/>
  <c r="R313" i="15" s="1"/>
  <c r="P50" i="11"/>
  <c r="I32" i="2"/>
  <c r="P157" i="6"/>
  <c r="D42" i="2"/>
  <c r="C42" i="2" s="1"/>
  <c r="Q264" i="18"/>
  <c r="AI260" i="18"/>
  <c r="Q266" i="18"/>
  <c r="Q262" i="18"/>
  <c r="Q265" i="18"/>
  <c r="Q261" i="18"/>
  <c r="Q263" i="18"/>
  <c r="D361" i="15"/>
  <c r="D32" i="2"/>
  <c r="G325" i="15"/>
  <c r="E343" i="15"/>
  <c r="M136" i="7"/>
  <c r="K18" i="6"/>
  <c r="J18" i="6" s="1"/>
  <c r="O23" i="6"/>
  <c r="J76" i="6"/>
  <c r="J94" i="6"/>
  <c r="M139" i="6"/>
  <c r="O157" i="6"/>
  <c r="C49" i="2"/>
  <c r="C51" i="2"/>
  <c r="T307" i="15"/>
  <c r="K313" i="15"/>
  <c r="Q313" i="15"/>
  <c r="P313" i="15" s="1"/>
  <c r="O313" i="15" s="1"/>
  <c r="N313" i="15" s="1"/>
  <c r="M313" i="15" s="1"/>
  <c r="L319" i="15"/>
  <c r="K319" i="15" s="1"/>
  <c r="J319" i="15" s="1"/>
  <c r="T319" i="15"/>
  <c r="T325" i="15"/>
  <c r="S325" i="15" s="1"/>
  <c r="R325" i="15" s="1"/>
  <c r="Q325" i="15" s="1"/>
  <c r="P325" i="15" s="1"/>
  <c r="P337" i="15"/>
  <c r="O337" i="15" s="1"/>
  <c r="N337" i="15"/>
  <c r="M337" i="15" s="1"/>
  <c r="L337" i="15" s="1"/>
  <c r="K337" i="15" s="1"/>
  <c r="J337" i="15"/>
  <c r="J343" i="15"/>
  <c r="I343" i="15" s="1"/>
  <c r="H343" i="15" s="1"/>
  <c r="G343" i="15" s="1"/>
  <c r="F343" i="15" s="1"/>
  <c r="S355" i="15"/>
  <c r="S137" i="7"/>
  <c r="R137" i="7"/>
  <c r="S138" i="7"/>
  <c r="S141" i="7"/>
  <c r="R141" i="7" s="1"/>
  <c r="L142" i="7"/>
  <c r="T141" i="7" s="1"/>
  <c r="R145" i="7"/>
  <c r="Q145" i="7"/>
  <c r="P145" i="7" s="1"/>
  <c r="M147" i="7"/>
  <c r="L147" i="7" s="1"/>
  <c r="M149" i="7"/>
  <c r="L149" i="7" s="1"/>
  <c r="P151" i="7"/>
  <c r="O151" i="7" s="1"/>
  <c r="N151" i="7" s="1"/>
  <c r="M151" i="7"/>
  <c r="L151" i="7"/>
  <c r="M31" i="6"/>
  <c r="O25" i="2"/>
  <c r="H25" i="2" s="1"/>
  <c r="G25" i="2" s="1"/>
  <c r="F25" i="2" s="1"/>
  <c r="I42" i="2"/>
  <c r="Q319" i="15"/>
  <c r="O319" i="15"/>
  <c r="Q337" i="15"/>
  <c r="M343" i="15"/>
  <c r="C343" i="15"/>
  <c r="K343" i="15"/>
  <c r="H355" i="15"/>
  <c r="R355" i="15"/>
  <c r="Q355" i="15" s="1"/>
  <c r="P355" i="15" s="1"/>
  <c r="O355" i="15" s="1"/>
  <c r="N355" i="15" s="1"/>
  <c r="M355" i="15" s="1"/>
  <c r="L355" i="15" s="1"/>
  <c r="K355" i="15" s="1"/>
  <c r="R13" i="7"/>
  <c r="S136" i="7"/>
  <c r="L137" i="7"/>
  <c r="T137" i="7"/>
  <c r="M138" i="7"/>
  <c r="R138" i="7"/>
  <c r="Q138" i="7"/>
  <c r="O140" i="7"/>
  <c r="N140" i="7"/>
  <c r="M140" i="7" s="1"/>
  <c r="L140" i="7"/>
  <c r="T139" i="7" s="1"/>
  <c r="M142" i="7"/>
  <c r="Q143" i="7"/>
  <c r="P143" i="7" s="1"/>
  <c r="O145" i="7"/>
  <c r="N145" i="7" s="1"/>
  <c r="O149" i="7"/>
  <c r="N149" i="7"/>
  <c r="F22" i="6"/>
  <c r="N23" i="6"/>
  <c r="O85" i="6"/>
  <c r="O139" i="6"/>
  <c r="N139" i="6" s="1"/>
  <c r="L43" i="11"/>
  <c r="O50" i="11"/>
  <c r="C12" i="2"/>
  <c r="H13" i="2"/>
  <c r="G13" i="2" s="1"/>
  <c r="I22" i="2"/>
  <c r="E49" i="2"/>
  <c r="N138" i="7"/>
  <c r="P140" i="7"/>
  <c r="R142" i="7"/>
  <c r="S143" i="7"/>
  <c r="R143" i="7" s="1"/>
  <c r="L144" i="7"/>
  <c r="N146" i="7"/>
  <c r="H22" i="6"/>
  <c r="C319" i="15"/>
  <c r="S319" i="15"/>
  <c r="O325" i="15"/>
  <c r="E331" i="15"/>
  <c r="D331" i="15" s="1"/>
  <c r="C331" i="15" s="1"/>
  <c r="M331" i="15"/>
  <c r="L331" i="15" s="1"/>
  <c r="K331" i="15" s="1"/>
  <c r="R9" i="7"/>
  <c r="M14" i="7"/>
  <c r="L23" i="6"/>
  <c r="K23" i="6" s="1"/>
  <c r="L31" i="6"/>
  <c r="P31" i="6"/>
  <c r="P85" i="6"/>
  <c r="P148" i="6"/>
  <c r="O148" i="6" s="1"/>
  <c r="N148" i="6" s="1"/>
  <c r="M148" i="6" s="1"/>
  <c r="L166" i="6"/>
  <c r="N43" i="11"/>
  <c r="E42" i="2"/>
  <c r="D51" i="2"/>
  <c r="O307" i="15"/>
  <c r="N307" i="15" s="1"/>
  <c r="J331" i="15"/>
  <c r="I331" i="15" s="1"/>
  <c r="H331" i="15" s="1"/>
  <c r="G331" i="15" s="1"/>
  <c r="F331" i="15" s="1"/>
  <c r="R331" i="15"/>
  <c r="I349" i="15"/>
  <c r="H349" i="15" s="1"/>
  <c r="Q349" i="15"/>
  <c r="P349" i="15" s="1"/>
  <c r="O349" i="15" s="1"/>
  <c r="N349" i="15" s="1"/>
  <c r="M349" i="15" s="1"/>
  <c r="L349" i="15" s="1"/>
  <c r="K349" i="15" s="1"/>
  <c r="J349" i="15" s="1"/>
  <c r="G349" i="15"/>
  <c r="F349" i="15" s="1"/>
  <c r="E349" i="15" s="1"/>
  <c r="D349" i="15" s="1"/>
  <c r="C349" i="15" s="1"/>
  <c r="O361" i="15"/>
  <c r="N361" i="15" s="1"/>
  <c r="M361" i="15" s="1"/>
  <c r="L361" i="15" s="1"/>
  <c r="K361" i="15" s="1"/>
  <c r="P11" i="7"/>
  <c r="N14" i="7"/>
  <c r="J49" i="6"/>
  <c r="P49" i="6"/>
  <c r="P139" i="6"/>
  <c r="J148" i="6"/>
  <c r="O43" i="11"/>
  <c r="F42" i="2"/>
  <c r="C50" i="2"/>
  <c r="E51" i="2"/>
  <c r="T136" i="7"/>
  <c r="M137" i="7"/>
  <c r="T144" i="7"/>
  <c r="M145" i="7"/>
  <c r="P148" i="7"/>
  <c r="R150" i="7"/>
  <c r="S151" i="7"/>
  <c r="R12" i="7"/>
  <c r="O139" i="7"/>
  <c r="Q141" i="7"/>
  <c r="O31" i="6"/>
  <c r="G35" i="2"/>
  <c r="T349" i="15"/>
  <c r="J361" i="15"/>
  <c r="H361" i="15"/>
  <c r="N13" i="7"/>
  <c r="N17" i="6"/>
  <c r="M18" i="6"/>
  <c r="L18" i="6" s="1"/>
  <c r="J23" i="6"/>
  <c r="P23" i="6"/>
  <c r="P112" i="6"/>
  <c r="J166" i="6"/>
  <c r="P166" i="6"/>
  <c r="G8" i="2"/>
  <c r="G42" i="2"/>
  <c r="F51" i="2"/>
  <c r="C307" i="15"/>
  <c r="K307" i="15"/>
  <c r="J307" i="15" s="1"/>
  <c r="I307" i="15" s="1"/>
  <c r="H307" i="15" s="1"/>
  <c r="G307" i="15" s="1"/>
  <c r="F307" i="15" s="1"/>
  <c r="S307" i="15"/>
  <c r="R307" i="15" s="1"/>
  <c r="Q307" i="15" s="1"/>
  <c r="P307" i="15" s="1"/>
  <c r="F337" i="15"/>
  <c r="E337" i="15" s="1"/>
  <c r="T355" i="15"/>
  <c r="R11" i="7"/>
  <c r="C22" i="6"/>
  <c r="P21" i="6" s="1"/>
  <c r="K17" i="6"/>
  <c r="K24" i="6"/>
  <c r="L40" i="6"/>
  <c r="L112" i="6"/>
  <c r="K112" i="6" s="1"/>
  <c r="N13" i="3"/>
  <c r="F14" i="2"/>
  <c r="M45" i="2"/>
  <c r="L45" i="2" s="1"/>
  <c r="E50" i="2"/>
  <c r="G51" i="2"/>
  <c r="R264" i="18"/>
  <c r="R266" i="18"/>
  <c r="R263" i="18"/>
  <c r="R262" i="18"/>
  <c r="R261" i="18"/>
  <c r="R265" i="18"/>
  <c r="AJ260" i="18"/>
  <c r="S260" i="18"/>
  <c r="AK254" i="18"/>
  <c r="S259" i="18"/>
  <c r="S257" i="18"/>
  <c r="S255" i="18"/>
  <c r="S256" i="18"/>
  <c r="S258" i="18"/>
  <c r="P258" i="18"/>
  <c r="P256" i="18"/>
  <c r="P257" i="18"/>
  <c r="P255" i="18"/>
  <c r="AH254" i="18"/>
  <c r="P259" i="18"/>
  <c r="P260" i="18"/>
  <c r="E14" i="9"/>
  <c r="O14" i="9"/>
  <c r="O10" i="9"/>
  <c r="O8" i="9"/>
  <c r="O11" i="9"/>
  <c r="O13" i="9"/>
  <c r="R319" i="15"/>
  <c r="G355" i="15"/>
  <c r="F355" i="15" s="1"/>
  <c r="E355" i="15" s="1"/>
  <c r="D355" i="15" s="1"/>
  <c r="C355" i="15" s="1"/>
  <c r="C361" i="15"/>
  <c r="N139" i="7"/>
  <c r="P141" i="7"/>
  <c r="Q142" i="7"/>
  <c r="P142" i="7" s="1"/>
  <c r="O142" i="7" s="1"/>
  <c r="S144" i="7"/>
  <c r="L145" i="7"/>
  <c r="M146" i="7"/>
  <c r="L146" i="7" s="1"/>
  <c r="T145" i="7" s="1"/>
  <c r="O148" i="7"/>
  <c r="Q150" i="7"/>
  <c r="R151" i="7"/>
  <c r="Q151" i="7" s="1"/>
  <c r="D22" i="6"/>
  <c r="K22" i="6" s="1"/>
  <c r="K31" i="6"/>
  <c r="P58" i="6"/>
  <c r="O58" i="6" s="1"/>
  <c r="N58" i="6" s="1"/>
  <c r="M58" i="6" s="1"/>
  <c r="L58" i="6" s="1"/>
  <c r="K58" i="6" s="1"/>
  <c r="J58" i="6" s="1"/>
  <c r="N85" i="6"/>
  <c r="K85" i="6"/>
  <c r="L139" i="6"/>
  <c r="E32" i="2"/>
  <c r="L35" i="2"/>
  <c r="E35" i="2" s="1"/>
  <c r="E307" i="15"/>
  <c r="D307" i="15" s="1"/>
  <c r="M307" i="15"/>
  <c r="L307" i="15" s="1"/>
  <c r="I313" i="15"/>
  <c r="H313" i="15" s="1"/>
  <c r="G313" i="15" s="1"/>
  <c r="D319" i="15"/>
  <c r="S349" i="15"/>
  <c r="R349" i="15" s="1"/>
  <c r="N137" i="7"/>
  <c r="O138" i="7"/>
  <c r="T151" i="7"/>
  <c r="P13" i="6"/>
  <c r="O13" i="6" s="1"/>
  <c r="N13" i="6" s="1"/>
  <c r="M13" i="6" s="1"/>
  <c r="L13" i="6" s="1"/>
  <c r="K13" i="6" s="1"/>
  <c r="J13" i="6" s="1"/>
  <c r="E22" i="6"/>
  <c r="J85" i="6"/>
  <c r="M121" i="6"/>
  <c r="L121" i="6" s="1"/>
  <c r="F32" i="2"/>
  <c r="M35" i="2"/>
  <c r="F35" i="2" s="1"/>
  <c r="G45" i="2"/>
  <c r="F45" i="2" s="1"/>
  <c r="E45" i="2" s="1"/>
  <c r="D45" i="2" s="1"/>
  <c r="C45" i="2" s="1"/>
  <c r="H48" i="2"/>
  <c r="G48" i="2"/>
  <c r="E48" i="2"/>
  <c r="F48" i="2"/>
  <c r="I48" i="2"/>
  <c r="N147" i="7"/>
  <c r="J355" i="15"/>
  <c r="I355" i="15" s="1"/>
  <c r="T14" i="9"/>
  <c r="S14" i="9" s="1"/>
  <c r="O137" i="7"/>
  <c r="M143" i="7"/>
  <c r="L143" i="7" s="1"/>
  <c r="O12" i="9"/>
  <c r="O136" i="7"/>
  <c r="P137" i="7"/>
  <c r="M103" i="6"/>
  <c r="K103" i="6"/>
  <c r="J103" i="6" s="1"/>
  <c r="I45" i="2"/>
  <c r="D313" i="15"/>
  <c r="C313" i="15" s="1"/>
  <c r="R337" i="15"/>
  <c r="L343" i="15"/>
  <c r="L13" i="9"/>
  <c r="L12" i="9"/>
  <c r="L11" i="9"/>
  <c r="L14" i="9"/>
  <c r="L9" i="9"/>
  <c r="L10" i="9"/>
  <c r="L12" i="7"/>
  <c r="L11" i="7"/>
  <c r="T10" i="7" s="1"/>
  <c r="L13" i="7"/>
  <c r="L10" i="7"/>
  <c r="L15" i="7"/>
  <c r="P136" i="7"/>
  <c r="Q137" i="7"/>
  <c r="S139" i="7"/>
  <c r="R139" i="7" s="1"/>
  <c r="T140" i="7"/>
  <c r="S140" i="7" s="1"/>
  <c r="R140" i="7" s="1"/>
  <c r="Q140" i="7" s="1"/>
  <c r="M141" i="7"/>
  <c r="L141" i="7" s="1"/>
  <c r="O143" i="7"/>
  <c r="N143" i="7" s="1"/>
  <c r="P144" i="7"/>
  <c r="O144" i="7" s="1"/>
  <c r="N144" i="7" s="1"/>
  <c r="M144" i="7" s="1"/>
  <c r="R146" i="7"/>
  <c r="Q146" i="7" s="1"/>
  <c r="T148" i="7"/>
  <c r="S148" i="7" s="1"/>
  <c r="N150" i="7"/>
  <c r="M150" i="7" s="1"/>
  <c r="P152" i="7"/>
  <c r="O152" i="7" s="1"/>
  <c r="L85" i="6"/>
  <c r="K121" i="6"/>
  <c r="N121" i="6"/>
  <c r="L148" i="6"/>
  <c r="K148" i="6" s="1"/>
  <c r="I35" i="2"/>
  <c r="H35" i="2" s="1"/>
  <c r="C35" i="2"/>
  <c r="P52" i="2"/>
  <c r="G46" i="2"/>
  <c r="F46" i="2"/>
  <c r="D46" i="2"/>
  <c r="C46" i="2" s="1"/>
  <c r="E46" i="2"/>
  <c r="H46" i="2"/>
  <c r="S152" i="7"/>
  <c r="Q139" i="7"/>
  <c r="P139" i="7" s="1"/>
  <c r="P146" i="7"/>
  <c r="O146" i="7" s="1"/>
  <c r="R148" i="7"/>
  <c r="Q148" i="7" s="1"/>
  <c r="N152" i="7"/>
  <c r="M152" i="7" s="1"/>
  <c r="L152" i="7" s="1"/>
  <c r="H319" i="15"/>
  <c r="Q331" i="15"/>
  <c r="P331" i="15" s="1"/>
  <c r="O331" i="15" s="1"/>
  <c r="N331" i="15" s="1"/>
  <c r="Q361" i="15"/>
  <c r="J15" i="7"/>
  <c r="T12" i="7"/>
  <c r="T11" i="7"/>
  <c r="T13" i="7"/>
  <c r="P319" i="15"/>
  <c r="N319" i="15"/>
  <c r="M319" i="15" s="1"/>
  <c r="D343" i="15"/>
  <c r="G361" i="15"/>
  <c r="F361" i="15" s="1"/>
  <c r="E361" i="15" s="1"/>
  <c r="M13" i="9"/>
  <c r="M12" i="9"/>
  <c r="M11" i="9"/>
  <c r="M14" i="9"/>
  <c r="M10" i="9"/>
  <c r="M12" i="7"/>
  <c r="M11" i="7"/>
  <c r="M9" i="7"/>
  <c r="L9" i="7" s="1"/>
  <c r="M15" i="7"/>
  <c r="Q136" i="7"/>
  <c r="L17" i="6"/>
  <c r="O18" i="6"/>
  <c r="N18" i="6" s="1"/>
  <c r="O21" i="6"/>
  <c r="N21" i="6" s="1"/>
  <c r="M21" i="6" s="1"/>
  <c r="L21" i="6" s="1"/>
  <c r="K21" i="6" s="1"/>
  <c r="J21" i="6" s="1"/>
  <c r="O40" i="6"/>
  <c r="M85" i="6"/>
  <c r="N46" i="11"/>
  <c r="M46" i="11"/>
  <c r="L46" i="11"/>
  <c r="K46" i="11" s="1"/>
  <c r="O46" i="11"/>
  <c r="J46" i="11"/>
  <c r="E25" i="2"/>
  <c r="D25" i="2" s="1"/>
  <c r="C25" i="2" s="1"/>
  <c r="K35" i="2"/>
  <c r="D35" i="2" s="1"/>
  <c r="N325" i="15"/>
  <c r="M325" i="15" s="1"/>
  <c r="L325" i="15" s="1"/>
  <c r="K325" i="15" s="1"/>
  <c r="J325" i="15" s="1"/>
  <c r="I325" i="15" s="1"/>
  <c r="H325" i="15" s="1"/>
  <c r="P138" i="7"/>
  <c r="T142" i="7"/>
  <c r="S142" i="7" s="1"/>
  <c r="T150" i="7"/>
  <c r="S150" i="7" s="1"/>
  <c r="J313" i="15"/>
  <c r="F319" i="15"/>
  <c r="E319" i="15" s="1"/>
  <c r="F313" i="15"/>
  <c r="E313" i="15" s="1"/>
  <c r="F325" i="15"/>
  <c r="E325" i="15" s="1"/>
  <c r="D325" i="15" s="1"/>
  <c r="C325" i="15" s="1"/>
  <c r="D337" i="15"/>
  <c r="C337" i="15" s="1"/>
  <c r="I361" i="15"/>
  <c r="N12" i="9"/>
  <c r="T9" i="7"/>
  <c r="R136" i="7"/>
  <c r="N136" i="7"/>
  <c r="L138" i="7"/>
  <c r="T138" i="7"/>
  <c r="M139" i="7"/>
  <c r="L139" i="7" s="1"/>
  <c r="O141" i="7"/>
  <c r="N141" i="7" s="1"/>
  <c r="N142" i="7"/>
  <c r="R144" i="7"/>
  <c r="Q144" i="7" s="1"/>
  <c r="S145" i="7"/>
  <c r="T146" i="7"/>
  <c r="S146" i="7" s="1"/>
  <c r="Q147" i="7"/>
  <c r="N148" i="7"/>
  <c r="M148" i="7" s="1"/>
  <c r="L148" i="7" s="1"/>
  <c r="T147" i="7" s="1"/>
  <c r="S147" i="7" s="1"/>
  <c r="R147" i="7" s="1"/>
  <c r="P150" i="7"/>
  <c r="O150" i="7" s="1"/>
  <c r="L150" i="7"/>
  <c r="T149" i="7" s="1"/>
  <c r="S149" i="7" s="1"/>
  <c r="R149" i="7" s="1"/>
  <c r="Q149" i="7" s="1"/>
  <c r="P149" i="7" s="1"/>
  <c r="R152" i="7"/>
  <c r="Q152" i="7" s="1"/>
  <c r="N40" i="6"/>
  <c r="K40" i="6"/>
  <c r="N166" i="6"/>
  <c r="I49" i="11"/>
  <c r="H47" i="2"/>
  <c r="G47" i="2"/>
  <c r="E47" i="2"/>
  <c r="D47" i="2" s="1"/>
  <c r="F47" i="2"/>
  <c r="I47" i="2"/>
  <c r="T337" i="15"/>
  <c r="S337" i="15" s="1"/>
  <c r="Q9" i="7"/>
  <c r="O11" i="7"/>
  <c r="N12" i="7"/>
  <c r="N14" i="6"/>
  <c r="P16" i="6"/>
  <c r="O16" i="6" s="1"/>
  <c r="N16" i="6" s="1"/>
  <c r="M16" i="6" s="1"/>
  <c r="L16" i="6" s="1"/>
  <c r="K16" i="6" s="1"/>
  <c r="J16" i="6" s="1"/>
  <c r="P40" i="6"/>
  <c r="P103" i="6"/>
  <c r="P121" i="6"/>
  <c r="N49" i="3"/>
  <c r="K43" i="11"/>
  <c r="N50" i="11"/>
  <c r="D14" i="2"/>
  <c r="T361" i="15"/>
  <c r="S361" i="15" s="1"/>
  <c r="P20" i="6"/>
  <c r="O20" i="6" s="1"/>
  <c r="N20" i="6" s="1"/>
  <c r="M20" i="6" s="1"/>
  <c r="L20" i="6" s="1"/>
  <c r="K20" i="6" s="1"/>
  <c r="J20" i="6" s="1"/>
  <c r="P76" i="6"/>
  <c r="O76" i="6" s="1"/>
  <c r="N76" i="6" s="1"/>
  <c r="M76" i="6" s="1"/>
  <c r="L76" i="6" s="1"/>
  <c r="K76" i="6" s="1"/>
  <c r="T331" i="15"/>
  <c r="S331" i="15" s="1"/>
  <c r="I12" i="9"/>
  <c r="I14" i="9" s="1"/>
  <c r="N9" i="7"/>
  <c r="P14" i="7"/>
  <c r="P19" i="6"/>
  <c r="O19" i="6" s="1"/>
  <c r="N19" i="6" s="1"/>
  <c r="M19" i="6" s="1"/>
  <c r="L19" i="6" s="1"/>
  <c r="K19" i="6" s="1"/>
  <c r="J19" i="6" s="1"/>
  <c r="P94" i="6"/>
  <c r="P43" i="11"/>
  <c r="J50" i="11"/>
  <c r="N15" i="7"/>
  <c r="P15" i="7"/>
  <c r="P18" i="6"/>
  <c r="K166" i="6"/>
  <c r="K50" i="11"/>
  <c r="H49" i="2"/>
  <c r="T343" i="15"/>
  <c r="S343" i="15" s="1"/>
  <c r="R343" i="15" s="1"/>
  <c r="Q343" i="15" s="1"/>
  <c r="P343" i="15" s="1"/>
  <c r="O343" i="15" s="1"/>
  <c r="N343" i="15" s="1"/>
  <c r="P130" i="6"/>
  <c r="O130" i="6" s="1"/>
  <c r="N130" i="6" s="1"/>
  <c r="M130" i="6" s="1"/>
  <c r="L130" i="6" s="1"/>
  <c r="K130" i="6" s="1"/>
  <c r="J130" i="6" s="1"/>
  <c r="N12" i="2"/>
  <c r="G12" i="2" s="1"/>
  <c r="F12" i="2" s="1"/>
  <c r="E12" i="2" s="1"/>
  <c r="D12" i="2" s="1"/>
  <c r="P15" i="2"/>
  <c r="I15" i="2" s="1"/>
  <c r="H32" i="2"/>
  <c r="G32" i="2" s="1"/>
  <c r="H42" i="2"/>
  <c r="AM300" i="15"/>
  <c r="AL300" i="15"/>
  <c r="AK300" i="15"/>
  <c r="AJ300" i="15"/>
  <c r="AI300" i="15"/>
  <c r="P300" i="15" s="1"/>
  <c r="AH300" i="15"/>
  <c r="O300" i="15" s="1"/>
  <c r="AG300" i="15"/>
  <c r="AF300" i="15"/>
  <c r="M300" i="15" s="1"/>
  <c r="AE300" i="15"/>
  <c r="AD300" i="15"/>
  <c r="AC300" i="15"/>
  <c r="AB300" i="15"/>
  <c r="AA300" i="15"/>
  <c r="H300" i="15" s="1"/>
  <c r="Z300" i="15"/>
  <c r="G300" i="15" s="1"/>
  <c r="Y300" i="15"/>
  <c r="X300" i="15"/>
  <c r="E300" i="15" s="1"/>
  <c r="W300" i="15"/>
  <c r="D300" i="15" s="1"/>
  <c r="V300" i="15"/>
  <c r="T300" i="15"/>
  <c r="S300" i="15"/>
  <c r="R300" i="15"/>
  <c r="Q300" i="15"/>
  <c r="L300" i="15"/>
  <c r="K300" i="15"/>
  <c r="I300" i="15"/>
  <c r="AM299" i="15"/>
  <c r="AL299" i="15"/>
  <c r="AK299" i="15"/>
  <c r="AJ299" i="15"/>
  <c r="AI299" i="15"/>
  <c r="P299" i="15" s="1"/>
  <c r="AH299" i="15"/>
  <c r="AG299" i="15"/>
  <c r="AF299" i="15"/>
  <c r="M299" i="15" s="1"/>
  <c r="AE299" i="15"/>
  <c r="AD299" i="15"/>
  <c r="AC299" i="15"/>
  <c r="AB299" i="15"/>
  <c r="AA299" i="15"/>
  <c r="H299" i="15" s="1"/>
  <c r="Z299" i="15"/>
  <c r="G299" i="15" s="1"/>
  <c r="Y299" i="15"/>
  <c r="F299" i="15" s="1"/>
  <c r="X299" i="15"/>
  <c r="E299" i="15" s="1"/>
  <c r="W299" i="15"/>
  <c r="V299" i="15"/>
  <c r="C299" i="15" s="1"/>
  <c r="T299" i="15"/>
  <c r="S299" i="15"/>
  <c r="R299" i="15"/>
  <c r="Q299" i="15" s="1"/>
  <c r="N299" i="15"/>
  <c r="K299" i="15"/>
  <c r="J299" i="15"/>
  <c r="I299" i="15" s="1"/>
  <c r="AM298" i="15"/>
  <c r="AL298" i="15"/>
  <c r="AK298" i="15"/>
  <c r="AJ298" i="15"/>
  <c r="AI298" i="15"/>
  <c r="AH298" i="15"/>
  <c r="AG298" i="15"/>
  <c r="AF298" i="15"/>
  <c r="AE298" i="15"/>
  <c r="L298" i="15" s="1"/>
  <c r="AD298" i="15"/>
  <c r="AC298" i="15"/>
  <c r="AB298" i="15"/>
  <c r="AA298" i="15"/>
  <c r="Z298" i="15"/>
  <c r="Y298" i="15"/>
  <c r="F298" i="15" s="1"/>
  <c r="X298" i="15"/>
  <c r="W298" i="15"/>
  <c r="D298" i="15" s="1"/>
  <c r="V298" i="15"/>
  <c r="C298" i="15" s="1"/>
  <c r="T298" i="15"/>
  <c r="S298" i="15"/>
  <c r="R298" i="15"/>
  <c r="Q298" i="15"/>
  <c r="N298" i="15"/>
  <c r="M298" i="15"/>
  <c r="K298" i="15"/>
  <c r="J298" i="15"/>
  <c r="I298" i="15"/>
  <c r="E298" i="15"/>
  <c r="AM297" i="15"/>
  <c r="AL297" i="15"/>
  <c r="AK297" i="15"/>
  <c r="AJ297" i="15"/>
  <c r="AI297" i="15"/>
  <c r="AH297" i="15"/>
  <c r="O297" i="15" s="1"/>
  <c r="AG297" i="15"/>
  <c r="AF297" i="15"/>
  <c r="M297" i="15" s="1"/>
  <c r="AE297" i="15"/>
  <c r="AD297" i="15"/>
  <c r="AC297" i="15"/>
  <c r="J297" i="15" s="1"/>
  <c r="AB297" i="15"/>
  <c r="AA297" i="15"/>
  <c r="H297" i="15" s="1"/>
  <c r="Z297" i="15"/>
  <c r="G297" i="15" s="1"/>
  <c r="Y297" i="15"/>
  <c r="X297" i="15"/>
  <c r="E297" i="15" s="1"/>
  <c r="D297" i="15" s="1"/>
  <c r="C297" i="15" s="1"/>
  <c r="W297" i="15"/>
  <c r="V297" i="15"/>
  <c r="T297" i="15" s="1"/>
  <c r="S297" i="15"/>
  <c r="R297" i="15"/>
  <c r="Q297" i="15"/>
  <c r="P297" i="15"/>
  <c r="K297" i="15"/>
  <c r="I297" i="15"/>
  <c r="AM296" i="15"/>
  <c r="AL296" i="15"/>
  <c r="AK296" i="15"/>
  <c r="AJ296" i="15"/>
  <c r="AI296" i="15"/>
  <c r="P296" i="15" s="1"/>
  <c r="AH296" i="15"/>
  <c r="AG296" i="15"/>
  <c r="AF296" i="15"/>
  <c r="M296" i="15" s="1"/>
  <c r="AE296" i="15"/>
  <c r="L296" i="15" s="1"/>
  <c r="AD296" i="15"/>
  <c r="AC296" i="15"/>
  <c r="J296" i="15" s="1"/>
  <c r="AB296" i="15"/>
  <c r="AA296" i="15"/>
  <c r="H296" i="15" s="1"/>
  <c r="Z296" i="15"/>
  <c r="Y296" i="15"/>
  <c r="X296" i="15"/>
  <c r="E296" i="15" s="1"/>
  <c r="W296" i="15"/>
  <c r="D296" i="15" s="1"/>
  <c r="C296" i="15" s="1"/>
  <c r="V296" i="15"/>
  <c r="T296" i="15"/>
  <c r="S296" i="15"/>
  <c r="R296" i="15" s="1"/>
  <c r="Q296" i="15"/>
  <c r="K296" i="15"/>
  <c r="I296" i="15"/>
  <c r="T294" i="15"/>
  <c r="S294" i="15"/>
  <c r="R294" i="15"/>
  <c r="Q294" i="15"/>
  <c r="P294" i="15"/>
  <c r="O294" i="15"/>
  <c r="N294" i="15"/>
  <c r="M294" i="15"/>
  <c r="L294" i="15"/>
  <c r="K294" i="15"/>
  <c r="J294" i="15"/>
  <c r="I294" i="15"/>
  <c r="H294" i="15"/>
  <c r="G294" i="15"/>
  <c r="F294" i="15"/>
  <c r="E294" i="15"/>
  <c r="D294" i="15"/>
  <c r="C294" i="15"/>
  <c r="T293" i="15"/>
  <c r="S293" i="15"/>
  <c r="R293" i="15"/>
  <c r="Q293" i="15"/>
  <c r="P293" i="15"/>
  <c r="O293" i="15"/>
  <c r="N293" i="15"/>
  <c r="M293" i="15"/>
  <c r="L293" i="15"/>
  <c r="K293" i="15"/>
  <c r="J293" i="15"/>
  <c r="I293" i="15"/>
  <c r="H293" i="15"/>
  <c r="G293" i="15"/>
  <c r="F293" i="15"/>
  <c r="E293" i="15"/>
  <c r="D293" i="15"/>
  <c r="C293" i="15"/>
  <c r="T292" i="15"/>
  <c r="S292" i="15"/>
  <c r="R292" i="15"/>
  <c r="Q292" i="15"/>
  <c r="P292" i="15"/>
  <c r="O292" i="15"/>
  <c r="N292" i="15"/>
  <c r="M292" i="15"/>
  <c r="L292" i="15"/>
  <c r="K292" i="15"/>
  <c r="J292" i="15"/>
  <c r="I292" i="15"/>
  <c r="H292" i="15"/>
  <c r="G292" i="15"/>
  <c r="F292" i="15"/>
  <c r="E292" i="15"/>
  <c r="D292" i="15"/>
  <c r="C292" i="15"/>
  <c r="T291" i="15"/>
  <c r="S291" i="15"/>
  <c r="R291" i="15"/>
  <c r="Q291" i="15"/>
  <c r="P291" i="15"/>
  <c r="O291" i="15"/>
  <c r="N291" i="15"/>
  <c r="M291" i="15"/>
  <c r="L291" i="15"/>
  <c r="K291" i="15"/>
  <c r="J291" i="15"/>
  <c r="I291" i="15"/>
  <c r="H291" i="15"/>
  <c r="G291" i="15"/>
  <c r="F291" i="15"/>
  <c r="E291" i="15"/>
  <c r="D291" i="15"/>
  <c r="C291" i="15"/>
  <c r="T290" i="15"/>
  <c r="S290" i="15"/>
  <c r="R290" i="15"/>
  <c r="Q290" i="15"/>
  <c r="P290" i="15"/>
  <c r="O290" i="15"/>
  <c r="N290" i="15"/>
  <c r="M290" i="15"/>
  <c r="L290" i="15"/>
  <c r="K290" i="15"/>
  <c r="J290" i="15"/>
  <c r="I290" i="15"/>
  <c r="H290" i="15"/>
  <c r="G290" i="15"/>
  <c r="F290" i="15"/>
  <c r="F295" i="15" s="1"/>
  <c r="E290" i="15"/>
  <c r="D290" i="15"/>
  <c r="C290" i="15"/>
  <c r="T288" i="15"/>
  <c r="S288" i="15"/>
  <c r="R288" i="15"/>
  <c r="Q288" i="15"/>
  <c r="P288" i="15"/>
  <c r="O288" i="15"/>
  <c r="N288" i="15"/>
  <c r="M288" i="15"/>
  <c r="L288" i="15"/>
  <c r="K288" i="15"/>
  <c r="J288" i="15"/>
  <c r="I288" i="15"/>
  <c r="H288" i="15"/>
  <c r="G288" i="15"/>
  <c r="F288" i="15"/>
  <c r="E288" i="15"/>
  <c r="D288" i="15"/>
  <c r="C288" i="15"/>
  <c r="T287" i="15"/>
  <c r="S287" i="15"/>
  <c r="R287" i="15"/>
  <c r="Q287" i="15"/>
  <c r="P287" i="15"/>
  <c r="O287" i="15"/>
  <c r="N287" i="15"/>
  <c r="M287" i="15"/>
  <c r="L287" i="15"/>
  <c r="K287" i="15"/>
  <c r="J287" i="15"/>
  <c r="I287" i="15"/>
  <c r="H287" i="15"/>
  <c r="G287" i="15"/>
  <c r="F287" i="15"/>
  <c r="E287" i="15"/>
  <c r="D287" i="15"/>
  <c r="C287" i="15"/>
  <c r="T286" i="15"/>
  <c r="S286" i="15"/>
  <c r="R286" i="15"/>
  <c r="Q286" i="15"/>
  <c r="P286" i="15"/>
  <c r="O286" i="15"/>
  <c r="N286" i="15"/>
  <c r="M286" i="15"/>
  <c r="L286" i="15"/>
  <c r="K286" i="15"/>
  <c r="J286" i="15"/>
  <c r="I286" i="15"/>
  <c r="H286" i="15"/>
  <c r="G286" i="15"/>
  <c r="F286" i="15"/>
  <c r="E286" i="15"/>
  <c r="D286" i="15"/>
  <c r="C286" i="15"/>
  <c r="T285" i="15"/>
  <c r="S285" i="15"/>
  <c r="R285" i="15"/>
  <c r="Q285" i="15"/>
  <c r="P285" i="15"/>
  <c r="O285" i="15"/>
  <c r="N285" i="15"/>
  <c r="M285" i="15"/>
  <c r="L285" i="15"/>
  <c r="K285" i="15"/>
  <c r="J285" i="15"/>
  <c r="I285" i="15"/>
  <c r="H285" i="15"/>
  <c r="G285" i="15"/>
  <c r="F285" i="15"/>
  <c r="E285" i="15"/>
  <c r="D285" i="15"/>
  <c r="C285" i="15"/>
  <c r="T284" i="15"/>
  <c r="S284" i="15"/>
  <c r="R284" i="15"/>
  <c r="Q284" i="15"/>
  <c r="P284" i="15"/>
  <c r="O284" i="15"/>
  <c r="N284" i="15"/>
  <c r="M284" i="15"/>
  <c r="L284" i="15"/>
  <c r="K284" i="15"/>
  <c r="K289" i="15" s="1"/>
  <c r="J284" i="15"/>
  <c r="I284" i="15"/>
  <c r="H284" i="15"/>
  <c r="G284" i="15"/>
  <c r="F284" i="15"/>
  <c r="E284" i="15"/>
  <c r="D284" i="15"/>
  <c r="C284" i="15"/>
  <c r="T282" i="15"/>
  <c r="S282" i="15"/>
  <c r="R282" i="15"/>
  <c r="Q282" i="15"/>
  <c r="P282" i="15"/>
  <c r="O282" i="15"/>
  <c r="N282" i="15"/>
  <c r="M282" i="15"/>
  <c r="L282" i="15"/>
  <c r="K282" i="15"/>
  <c r="J282" i="15"/>
  <c r="I282" i="15"/>
  <c r="H282" i="15"/>
  <c r="G282" i="15"/>
  <c r="F282" i="15"/>
  <c r="E282" i="15"/>
  <c r="D282" i="15"/>
  <c r="C282" i="15"/>
  <c r="T281" i="15"/>
  <c r="S281" i="15"/>
  <c r="R281" i="15"/>
  <c r="Q281" i="15"/>
  <c r="P281" i="15"/>
  <c r="O281" i="15"/>
  <c r="N281" i="15"/>
  <c r="M281" i="15"/>
  <c r="L281" i="15"/>
  <c r="K281" i="15"/>
  <c r="J281" i="15"/>
  <c r="I281" i="15"/>
  <c r="H281" i="15"/>
  <c r="G281" i="15"/>
  <c r="F281" i="15"/>
  <c r="E281" i="15"/>
  <c r="D281" i="15"/>
  <c r="C281" i="15"/>
  <c r="T280" i="15"/>
  <c r="S280" i="15"/>
  <c r="R280" i="15"/>
  <c r="Q280" i="15"/>
  <c r="P280" i="15"/>
  <c r="O280" i="15"/>
  <c r="N280" i="15"/>
  <c r="M280" i="15"/>
  <c r="L280" i="15"/>
  <c r="K280" i="15"/>
  <c r="J280" i="15"/>
  <c r="I280" i="15"/>
  <c r="H280" i="15"/>
  <c r="G280" i="15"/>
  <c r="F280" i="15"/>
  <c r="E280" i="15"/>
  <c r="D280" i="15"/>
  <c r="C280" i="15"/>
  <c r="T279" i="15"/>
  <c r="S279" i="15"/>
  <c r="R279" i="15"/>
  <c r="Q279" i="15"/>
  <c r="P279" i="15"/>
  <c r="O279" i="15"/>
  <c r="N279" i="15"/>
  <c r="M279" i="15"/>
  <c r="L279" i="15"/>
  <c r="K279" i="15"/>
  <c r="J279" i="15"/>
  <c r="I279" i="15"/>
  <c r="H279" i="15"/>
  <c r="G279" i="15"/>
  <c r="F279" i="15"/>
  <c r="E279" i="15"/>
  <c r="D279" i="15"/>
  <c r="C279" i="15"/>
  <c r="T278" i="15"/>
  <c r="S278" i="15"/>
  <c r="R278" i="15"/>
  <c r="Q278" i="15"/>
  <c r="P278" i="15"/>
  <c r="O278" i="15"/>
  <c r="N278" i="15"/>
  <c r="M278" i="15"/>
  <c r="M283" i="15" s="1"/>
  <c r="L278" i="15"/>
  <c r="K278" i="15"/>
  <c r="J278" i="15"/>
  <c r="I278" i="15"/>
  <c r="H278" i="15"/>
  <c r="G278" i="15"/>
  <c r="F278" i="15"/>
  <c r="E278" i="15"/>
  <c r="D278" i="15"/>
  <c r="C278" i="15"/>
  <c r="T276" i="15"/>
  <c r="S276" i="15"/>
  <c r="R276" i="15"/>
  <c r="Q276" i="15"/>
  <c r="P276" i="15"/>
  <c r="O276" i="15"/>
  <c r="N276" i="15"/>
  <c r="M276" i="15"/>
  <c r="L276" i="15"/>
  <c r="K276" i="15"/>
  <c r="J276" i="15"/>
  <c r="I276" i="15"/>
  <c r="H276" i="15"/>
  <c r="G276" i="15"/>
  <c r="F276" i="15"/>
  <c r="E276" i="15"/>
  <c r="D276" i="15"/>
  <c r="C276" i="15"/>
  <c r="T275" i="15"/>
  <c r="S275" i="15"/>
  <c r="R275" i="15"/>
  <c r="Q275" i="15"/>
  <c r="P275" i="15"/>
  <c r="O275" i="15"/>
  <c r="N275" i="15"/>
  <c r="M275" i="15"/>
  <c r="L275" i="15"/>
  <c r="K275" i="15"/>
  <c r="J275" i="15"/>
  <c r="I275" i="15"/>
  <c r="H275" i="15"/>
  <c r="G275" i="15"/>
  <c r="F275" i="15"/>
  <c r="E275" i="15"/>
  <c r="D275" i="15"/>
  <c r="C275" i="15"/>
  <c r="T274" i="15"/>
  <c r="S274" i="15"/>
  <c r="R274" i="15"/>
  <c r="Q274" i="15"/>
  <c r="P274" i="15"/>
  <c r="O274" i="15"/>
  <c r="N274" i="15"/>
  <c r="M274" i="15"/>
  <c r="L274" i="15"/>
  <c r="K274" i="15"/>
  <c r="J274" i="15"/>
  <c r="I274" i="15"/>
  <c r="H274" i="15"/>
  <c r="G274" i="15"/>
  <c r="F274" i="15"/>
  <c r="E274" i="15"/>
  <c r="D274" i="15"/>
  <c r="C274" i="15"/>
  <c r="T273" i="15"/>
  <c r="S273" i="15"/>
  <c r="R273" i="15"/>
  <c r="Q273" i="15"/>
  <c r="P273" i="15"/>
  <c r="O273" i="15"/>
  <c r="N273" i="15"/>
  <c r="M273" i="15"/>
  <c r="L273" i="15"/>
  <c r="K273" i="15"/>
  <c r="J273" i="15"/>
  <c r="I273" i="15"/>
  <c r="H273" i="15"/>
  <c r="G273" i="15"/>
  <c r="F273" i="15"/>
  <c r="E273" i="15"/>
  <c r="D273" i="15"/>
  <c r="C273" i="15"/>
  <c r="T272" i="15"/>
  <c r="S272" i="15"/>
  <c r="R272" i="15"/>
  <c r="Q272" i="15"/>
  <c r="P272" i="15"/>
  <c r="O272" i="15"/>
  <c r="N272" i="15"/>
  <c r="M272" i="15"/>
  <c r="L272" i="15"/>
  <c r="K272" i="15"/>
  <c r="J272" i="15"/>
  <c r="I272" i="15"/>
  <c r="H272" i="15"/>
  <c r="G272" i="15"/>
  <c r="F272" i="15"/>
  <c r="E272" i="15"/>
  <c r="D272" i="15"/>
  <c r="C272" i="15"/>
  <c r="T270" i="15"/>
  <c r="S270" i="15"/>
  <c r="R270" i="15"/>
  <c r="Q270" i="15"/>
  <c r="P270" i="15"/>
  <c r="O270" i="15"/>
  <c r="N270" i="15"/>
  <c r="M270" i="15"/>
  <c r="L270" i="15"/>
  <c r="K270" i="15"/>
  <c r="J270" i="15"/>
  <c r="I270" i="15"/>
  <c r="H270" i="15"/>
  <c r="G270" i="15"/>
  <c r="F270" i="15"/>
  <c r="E270" i="15"/>
  <c r="D270" i="15"/>
  <c r="C270" i="15"/>
  <c r="T269" i="15"/>
  <c r="S269" i="15"/>
  <c r="R269" i="15"/>
  <c r="Q269" i="15"/>
  <c r="P269" i="15"/>
  <c r="O269" i="15"/>
  <c r="N269" i="15"/>
  <c r="M269" i="15"/>
  <c r="L269" i="15"/>
  <c r="K269" i="15"/>
  <c r="J269" i="15"/>
  <c r="I269" i="15"/>
  <c r="H269" i="15"/>
  <c r="G269" i="15"/>
  <c r="F269" i="15"/>
  <c r="E269" i="15"/>
  <c r="D269" i="15"/>
  <c r="C269" i="15"/>
  <c r="T268" i="15"/>
  <c r="S268" i="15"/>
  <c r="R268" i="15"/>
  <c r="Q268" i="15"/>
  <c r="P268" i="15"/>
  <c r="O268" i="15"/>
  <c r="N268" i="15"/>
  <c r="M268" i="15"/>
  <c r="L268" i="15"/>
  <c r="K268" i="15"/>
  <c r="J268" i="15"/>
  <c r="I268" i="15"/>
  <c r="H268" i="15"/>
  <c r="G268" i="15"/>
  <c r="F268" i="15"/>
  <c r="E268" i="15"/>
  <c r="D268" i="15"/>
  <c r="C268" i="15"/>
  <c r="T267" i="15"/>
  <c r="S267" i="15"/>
  <c r="R267" i="15"/>
  <c r="Q267" i="15"/>
  <c r="P267" i="15"/>
  <c r="O267" i="15"/>
  <c r="N267" i="15"/>
  <c r="M267" i="15"/>
  <c r="L267" i="15"/>
  <c r="K267" i="15"/>
  <c r="J267" i="15"/>
  <c r="I267" i="15"/>
  <c r="H267" i="15"/>
  <c r="G267" i="15"/>
  <c r="F267" i="15"/>
  <c r="E267" i="15"/>
  <c r="D267" i="15"/>
  <c r="C267" i="15"/>
  <c r="T266" i="15"/>
  <c r="S266" i="15"/>
  <c r="R266" i="15"/>
  <c r="Q266" i="15"/>
  <c r="P266" i="15"/>
  <c r="O266" i="15"/>
  <c r="N266" i="15"/>
  <c r="M266" i="15"/>
  <c r="L266" i="15"/>
  <c r="K266" i="15"/>
  <c r="J266" i="15"/>
  <c r="I266" i="15"/>
  <c r="H266" i="15"/>
  <c r="G266" i="15"/>
  <c r="F266" i="15"/>
  <c r="E266" i="15"/>
  <c r="D266" i="15"/>
  <c r="C266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C264" i="15"/>
  <c r="T263" i="15"/>
  <c r="S263" i="15"/>
  <c r="R263" i="15"/>
  <c r="Q263" i="15"/>
  <c r="P263" i="15"/>
  <c r="O263" i="15"/>
  <c r="N263" i="15"/>
  <c r="M263" i="15"/>
  <c r="L263" i="15"/>
  <c r="K263" i="15"/>
  <c r="J263" i="15"/>
  <c r="I263" i="15"/>
  <c r="H263" i="15"/>
  <c r="G263" i="15"/>
  <c r="F263" i="15"/>
  <c r="E263" i="15"/>
  <c r="D263" i="15"/>
  <c r="C263" i="15"/>
  <c r="T262" i="15"/>
  <c r="S262" i="15"/>
  <c r="R262" i="15"/>
  <c r="Q262" i="15"/>
  <c r="P262" i="15"/>
  <c r="O262" i="15"/>
  <c r="N262" i="15"/>
  <c r="M262" i="15"/>
  <c r="L262" i="15"/>
  <c r="K262" i="15"/>
  <c r="J262" i="15"/>
  <c r="I262" i="15"/>
  <c r="H262" i="15"/>
  <c r="G262" i="15"/>
  <c r="F262" i="15"/>
  <c r="E262" i="15"/>
  <c r="D262" i="15"/>
  <c r="C262" i="15"/>
  <c r="T261" i="15"/>
  <c r="S261" i="15"/>
  <c r="R261" i="15"/>
  <c r="Q261" i="15"/>
  <c r="P261" i="15"/>
  <c r="O261" i="15"/>
  <c r="N261" i="15"/>
  <c r="M261" i="15"/>
  <c r="L261" i="15"/>
  <c r="K261" i="15"/>
  <c r="J261" i="15"/>
  <c r="I261" i="15"/>
  <c r="H261" i="15"/>
  <c r="G261" i="15"/>
  <c r="F261" i="15"/>
  <c r="E261" i="15"/>
  <c r="D261" i="15"/>
  <c r="C261" i="15"/>
  <c r="T260" i="15"/>
  <c r="S260" i="15"/>
  <c r="R260" i="15"/>
  <c r="Q260" i="15"/>
  <c r="P260" i="15"/>
  <c r="O260" i="15"/>
  <c r="N260" i="15"/>
  <c r="M260" i="15"/>
  <c r="L260" i="15"/>
  <c r="K260" i="15"/>
  <c r="J260" i="15"/>
  <c r="I260" i="15"/>
  <c r="H260" i="15"/>
  <c r="G260" i="15"/>
  <c r="F260" i="15"/>
  <c r="E260" i="15"/>
  <c r="D260" i="15"/>
  <c r="C260" i="15"/>
  <c r="T258" i="15"/>
  <c r="S258" i="15"/>
  <c r="R258" i="15"/>
  <c r="Q258" i="15"/>
  <c r="P258" i="15"/>
  <c r="O258" i="15"/>
  <c r="N258" i="15"/>
  <c r="M258" i="15"/>
  <c r="L258" i="15"/>
  <c r="K258" i="15"/>
  <c r="J258" i="15"/>
  <c r="I258" i="15"/>
  <c r="H258" i="15"/>
  <c r="G258" i="15"/>
  <c r="F258" i="15"/>
  <c r="E258" i="15"/>
  <c r="D258" i="15"/>
  <c r="C258" i="15"/>
  <c r="T257" i="15"/>
  <c r="S257" i="15"/>
  <c r="R257" i="15"/>
  <c r="Q257" i="15"/>
  <c r="P257" i="15"/>
  <c r="O257" i="15"/>
  <c r="N257" i="15"/>
  <c r="M257" i="15"/>
  <c r="L257" i="15"/>
  <c r="K257" i="15"/>
  <c r="J257" i="15"/>
  <c r="I257" i="15"/>
  <c r="H257" i="15"/>
  <c r="G257" i="15"/>
  <c r="F257" i="15"/>
  <c r="E257" i="15"/>
  <c r="D257" i="15"/>
  <c r="C257" i="15"/>
  <c r="T256" i="15"/>
  <c r="S256" i="15"/>
  <c r="R256" i="15"/>
  <c r="Q256" i="15"/>
  <c r="P256" i="15"/>
  <c r="O256" i="15"/>
  <c r="N256" i="15"/>
  <c r="M256" i="15"/>
  <c r="L256" i="15"/>
  <c r="K256" i="15"/>
  <c r="J256" i="15"/>
  <c r="I256" i="15"/>
  <c r="H256" i="15"/>
  <c r="G256" i="15"/>
  <c r="F256" i="15"/>
  <c r="E256" i="15"/>
  <c r="D256" i="15"/>
  <c r="C256" i="15"/>
  <c r="T255" i="15"/>
  <c r="S255" i="15"/>
  <c r="R255" i="15"/>
  <c r="Q255" i="15"/>
  <c r="P255" i="15"/>
  <c r="O255" i="15"/>
  <c r="N255" i="15"/>
  <c r="M255" i="15"/>
  <c r="L255" i="15"/>
  <c r="K255" i="15"/>
  <c r="J255" i="15"/>
  <c r="I255" i="15"/>
  <c r="H255" i="15"/>
  <c r="G255" i="15"/>
  <c r="F255" i="15"/>
  <c r="E255" i="15"/>
  <c r="D255" i="15"/>
  <c r="C255" i="15"/>
  <c r="T254" i="15"/>
  <c r="S254" i="15"/>
  <c r="R254" i="15"/>
  <c r="Q254" i="15"/>
  <c r="P254" i="15"/>
  <c r="O254" i="15"/>
  <c r="N254" i="15"/>
  <c r="M254" i="15"/>
  <c r="L254" i="15"/>
  <c r="K254" i="15"/>
  <c r="J254" i="15"/>
  <c r="I254" i="15"/>
  <c r="H254" i="15"/>
  <c r="G254" i="15"/>
  <c r="F254" i="15"/>
  <c r="E254" i="15"/>
  <c r="D254" i="15"/>
  <c r="C254" i="15"/>
  <c r="T252" i="15"/>
  <c r="S252" i="15"/>
  <c r="R252" i="15"/>
  <c r="Q252" i="15"/>
  <c r="P252" i="15"/>
  <c r="O252" i="15"/>
  <c r="N252" i="15"/>
  <c r="M252" i="15"/>
  <c r="L252" i="15"/>
  <c r="K252" i="15"/>
  <c r="J252" i="15"/>
  <c r="I252" i="15"/>
  <c r="H252" i="15"/>
  <c r="G252" i="15"/>
  <c r="F252" i="15"/>
  <c r="E252" i="15"/>
  <c r="D252" i="15"/>
  <c r="C252" i="15"/>
  <c r="T251" i="15"/>
  <c r="S251" i="15"/>
  <c r="R251" i="15"/>
  <c r="Q251" i="15"/>
  <c r="P251" i="15"/>
  <c r="O251" i="15"/>
  <c r="N251" i="15"/>
  <c r="M251" i="15"/>
  <c r="L251" i="15"/>
  <c r="K251" i="15"/>
  <c r="J251" i="15"/>
  <c r="I251" i="15"/>
  <c r="H251" i="15"/>
  <c r="G251" i="15"/>
  <c r="F251" i="15"/>
  <c r="E251" i="15"/>
  <c r="D251" i="15"/>
  <c r="C251" i="15"/>
  <c r="T250" i="15"/>
  <c r="S250" i="15"/>
  <c r="R250" i="15"/>
  <c r="Q250" i="15"/>
  <c r="P250" i="15"/>
  <c r="O250" i="15"/>
  <c r="N250" i="15"/>
  <c r="M250" i="15"/>
  <c r="L250" i="15"/>
  <c r="K250" i="15"/>
  <c r="J250" i="15"/>
  <c r="I250" i="15"/>
  <c r="H250" i="15"/>
  <c r="G250" i="15"/>
  <c r="F250" i="15"/>
  <c r="E250" i="15"/>
  <c r="D250" i="15"/>
  <c r="C250" i="15"/>
  <c r="T249" i="15"/>
  <c r="S249" i="15"/>
  <c r="R249" i="15"/>
  <c r="Q249" i="15"/>
  <c r="P249" i="15"/>
  <c r="O249" i="15"/>
  <c r="N249" i="15"/>
  <c r="M249" i="15"/>
  <c r="L249" i="15"/>
  <c r="K249" i="15"/>
  <c r="J249" i="15"/>
  <c r="I249" i="15"/>
  <c r="H249" i="15"/>
  <c r="G249" i="15"/>
  <c r="F249" i="15"/>
  <c r="E249" i="15"/>
  <c r="D249" i="15"/>
  <c r="C249" i="15"/>
  <c r="T248" i="15"/>
  <c r="S248" i="15"/>
  <c r="R248" i="15"/>
  <c r="Q248" i="15"/>
  <c r="P248" i="15"/>
  <c r="O248" i="15"/>
  <c r="N248" i="15"/>
  <c r="M248" i="15"/>
  <c r="L248" i="15"/>
  <c r="K248" i="15"/>
  <c r="J248" i="15"/>
  <c r="I248" i="15"/>
  <c r="H248" i="15"/>
  <c r="G248" i="15"/>
  <c r="F248" i="15"/>
  <c r="E248" i="15"/>
  <c r="D248" i="15"/>
  <c r="C248" i="15"/>
  <c r="T246" i="15"/>
  <c r="S246" i="15"/>
  <c r="R246" i="15"/>
  <c r="Q246" i="15"/>
  <c r="P246" i="15"/>
  <c r="O246" i="15"/>
  <c r="N246" i="15"/>
  <c r="M246" i="15"/>
  <c r="L246" i="15"/>
  <c r="K246" i="15"/>
  <c r="J246" i="15"/>
  <c r="I246" i="15"/>
  <c r="H246" i="15"/>
  <c r="G246" i="15"/>
  <c r="F246" i="15"/>
  <c r="E246" i="15"/>
  <c r="D246" i="15"/>
  <c r="C246" i="15"/>
  <c r="T245" i="15"/>
  <c r="S245" i="15"/>
  <c r="R245" i="15"/>
  <c r="Q245" i="15"/>
  <c r="P245" i="15"/>
  <c r="O245" i="15"/>
  <c r="N245" i="15"/>
  <c r="M245" i="15"/>
  <c r="L245" i="15"/>
  <c r="K245" i="15"/>
  <c r="J245" i="15"/>
  <c r="I245" i="15"/>
  <c r="H245" i="15"/>
  <c r="G245" i="15"/>
  <c r="F245" i="15"/>
  <c r="E245" i="15"/>
  <c r="D245" i="15"/>
  <c r="C245" i="15"/>
  <c r="T244" i="15"/>
  <c r="S244" i="15"/>
  <c r="R244" i="15"/>
  <c r="Q244" i="15"/>
  <c r="P244" i="15"/>
  <c r="O244" i="15"/>
  <c r="N244" i="15"/>
  <c r="M244" i="15"/>
  <c r="L244" i="15"/>
  <c r="K244" i="15"/>
  <c r="J244" i="15"/>
  <c r="I244" i="15"/>
  <c r="H244" i="15"/>
  <c r="G244" i="15"/>
  <c r="F244" i="15"/>
  <c r="E244" i="15"/>
  <c r="D244" i="15"/>
  <c r="C244" i="15"/>
  <c r="T243" i="15"/>
  <c r="S243" i="15"/>
  <c r="R243" i="15"/>
  <c r="Q243" i="15"/>
  <c r="P243" i="15"/>
  <c r="O243" i="15"/>
  <c r="N243" i="15"/>
  <c r="M243" i="15"/>
  <c r="L243" i="15"/>
  <c r="K243" i="15"/>
  <c r="J243" i="15"/>
  <c r="I243" i="15"/>
  <c r="H243" i="15"/>
  <c r="G243" i="15"/>
  <c r="F243" i="15"/>
  <c r="E243" i="15"/>
  <c r="D243" i="15"/>
  <c r="C243" i="15"/>
  <c r="T242" i="15"/>
  <c r="S242" i="15"/>
  <c r="R242" i="15"/>
  <c r="Q242" i="15"/>
  <c r="P242" i="15"/>
  <c r="O242" i="15"/>
  <c r="N242" i="15"/>
  <c r="M242" i="15"/>
  <c r="L242" i="15"/>
  <c r="K242" i="15"/>
  <c r="J242" i="15"/>
  <c r="I242" i="15"/>
  <c r="H242" i="15"/>
  <c r="G242" i="15"/>
  <c r="F242" i="15"/>
  <c r="E242" i="15"/>
  <c r="D242" i="15"/>
  <c r="C242" i="15"/>
  <c r="T240" i="15"/>
  <c r="S240" i="15"/>
  <c r="R240" i="15"/>
  <c r="Q240" i="15"/>
  <c r="P240" i="15"/>
  <c r="O240" i="15"/>
  <c r="N240" i="15"/>
  <c r="M240" i="15"/>
  <c r="L240" i="15"/>
  <c r="K240" i="15"/>
  <c r="J240" i="15"/>
  <c r="I240" i="15"/>
  <c r="H240" i="15"/>
  <c r="G240" i="15"/>
  <c r="F240" i="15"/>
  <c r="E240" i="15"/>
  <c r="D240" i="15"/>
  <c r="C240" i="15"/>
  <c r="T239" i="15"/>
  <c r="S239" i="15"/>
  <c r="R239" i="15"/>
  <c r="Q239" i="15"/>
  <c r="P239" i="15"/>
  <c r="O239" i="15"/>
  <c r="N239" i="15"/>
  <c r="M239" i="15"/>
  <c r="L239" i="15"/>
  <c r="K239" i="15"/>
  <c r="J239" i="15"/>
  <c r="I239" i="15"/>
  <c r="H239" i="15"/>
  <c r="G239" i="15"/>
  <c r="F239" i="15"/>
  <c r="E239" i="15"/>
  <c r="D239" i="15"/>
  <c r="C239" i="15"/>
  <c r="T238" i="15"/>
  <c r="S238" i="15"/>
  <c r="R238" i="15"/>
  <c r="Q238" i="15"/>
  <c r="P238" i="15"/>
  <c r="O238" i="15"/>
  <c r="N238" i="15"/>
  <c r="M238" i="15"/>
  <c r="L238" i="15"/>
  <c r="K238" i="15"/>
  <c r="J238" i="15"/>
  <c r="I238" i="15"/>
  <c r="H238" i="15"/>
  <c r="G238" i="15"/>
  <c r="F238" i="15"/>
  <c r="E238" i="15"/>
  <c r="D238" i="15"/>
  <c r="C238" i="15"/>
  <c r="T237" i="15"/>
  <c r="S237" i="15"/>
  <c r="R237" i="15"/>
  <c r="Q237" i="15"/>
  <c r="P237" i="15"/>
  <c r="O237" i="15"/>
  <c r="N237" i="15"/>
  <c r="M237" i="15"/>
  <c r="L237" i="15"/>
  <c r="K237" i="15"/>
  <c r="J237" i="15"/>
  <c r="I237" i="15"/>
  <c r="H237" i="15"/>
  <c r="G237" i="15"/>
  <c r="F237" i="15"/>
  <c r="E237" i="15"/>
  <c r="D237" i="15"/>
  <c r="C237" i="15"/>
  <c r="T236" i="15"/>
  <c r="S236" i="15"/>
  <c r="R236" i="15"/>
  <c r="Q236" i="15"/>
  <c r="P236" i="15"/>
  <c r="O236" i="15"/>
  <c r="N236" i="15"/>
  <c r="M236" i="15"/>
  <c r="L236" i="15"/>
  <c r="K236" i="15"/>
  <c r="J236" i="15"/>
  <c r="I236" i="15"/>
  <c r="H236" i="15"/>
  <c r="G236" i="15"/>
  <c r="F236" i="15"/>
  <c r="E236" i="15"/>
  <c r="D236" i="15"/>
  <c r="C236" i="15"/>
  <c r="T234" i="15"/>
  <c r="S234" i="15"/>
  <c r="R234" i="15"/>
  <c r="Q234" i="15"/>
  <c r="P234" i="15"/>
  <c r="O234" i="15"/>
  <c r="N234" i="15"/>
  <c r="M234" i="15"/>
  <c r="L234" i="15"/>
  <c r="K234" i="15"/>
  <c r="J234" i="15"/>
  <c r="I234" i="15"/>
  <c r="H234" i="15"/>
  <c r="G234" i="15"/>
  <c r="F234" i="15"/>
  <c r="E234" i="15"/>
  <c r="D234" i="15"/>
  <c r="C234" i="15"/>
  <c r="T233" i="15"/>
  <c r="S233" i="15"/>
  <c r="R233" i="15"/>
  <c r="Q233" i="15"/>
  <c r="P233" i="15"/>
  <c r="O233" i="15"/>
  <c r="N233" i="15"/>
  <c r="M233" i="15"/>
  <c r="L233" i="15"/>
  <c r="K233" i="15"/>
  <c r="J233" i="15"/>
  <c r="I233" i="15"/>
  <c r="H233" i="15"/>
  <c r="G233" i="15"/>
  <c r="F233" i="15"/>
  <c r="E233" i="15"/>
  <c r="D233" i="15"/>
  <c r="C233" i="15"/>
  <c r="T232" i="15"/>
  <c r="S232" i="15"/>
  <c r="R232" i="15"/>
  <c r="Q232" i="15"/>
  <c r="P232" i="15"/>
  <c r="O232" i="15"/>
  <c r="N232" i="15"/>
  <c r="M232" i="15"/>
  <c r="L232" i="15"/>
  <c r="K232" i="15"/>
  <c r="J232" i="15"/>
  <c r="I232" i="15"/>
  <c r="H232" i="15"/>
  <c r="G232" i="15"/>
  <c r="F232" i="15"/>
  <c r="E232" i="15"/>
  <c r="D232" i="15"/>
  <c r="C232" i="15"/>
  <c r="T231" i="15"/>
  <c r="S231" i="15"/>
  <c r="R231" i="15"/>
  <c r="Q231" i="15"/>
  <c r="P231" i="15"/>
  <c r="O231" i="15"/>
  <c r="N231" i="15"/>
  <c r="M231" i="15"/>
  <c r="L231" i="15"/>
  <c r="K231" i="15"/>
  <c r="J231" i="15"/>
  <c r="I231" i="15"/>
  <c r="H231" i="15"/>
  <c r="G231" i="15"/>
  <c r="F231" i="15"/>
  <c r="E231" i="15"/>
  <c r="D231" i="15"/>
  <c r="C231" i="15"/>
  <c r="T230" i="15"/>
  <c r="S230" i="15"/>
  <c r="R230" i="15"/>
  <c r="Q230" i="15"/>
  <c r="P230" i="15"/>
  <c r="O230" i="15"/>
  <c r="N230" i="15"/>
  <c r="M230" i="15"/>
  <c r="L230" i="15"/>
  <c r="K230" i="15"/>
  <c r="J230" i="15"/>
  <c r="I230" i="15"/>
  <c r="H230" i="15"/>
  <c r="G230" i="15"/>
  <c r="F230" i="15"/>
  <c r="E230" i="15"/>
  <c r="D230" i="15"/>
  <c r="C230" i="15"/>
  <c r="T228" i="15"/>
  <c r="S228" i="15"/>
  <c r="R228" i="15"/>
  <c r="Q228" i="15"/>
  <c r="P228" i="15"/>
  <c r="O228" i="15"/>
  <c r="N228" i="15"/>
  <c r="M228" i="15"/>
  <c r="L228" i="15"/>
  <c r="K228" i="15"/>
  <c r="J228" i="15"/>
  <c r="I228" i="15"/>
  <c r="H228" i="15"/>
  <c r="G228" i="15"/>
  <c r="F228" i="15"/>
  <c r="E228" i="15"/>
  <c r="D228" i="15"/>
  <c r="C228" i="15"/>
  <c r="T227" i="15"/>
  <c r="S227" i="15"/>
  <c r="R227" i="15"/>
  <c r="Q227" i="15"/>
  <c r="P227" i="15"/>
  <c r="O227" i="15"/>
  <c r="N227" i="15"/>
  <c r="M227" i="15"/>
  <c r="L227" i="15"/>
  <c r="K227" i="15"/>
  <c r="J227" i="15"/>
  <c r="I227" i="15"/>
  <c r="H227" i="15"/>
  <c r="G227" i="15"/>
  <c r="F227" i="15"/>
  <c r="E227" i="15"/>
  <c r="D227" i="15"/>
  <c r="C227" i="15"/>
  <c r="T226" i="15"/>
  <c r="S226" i="15"/>
  <c r="R226" i="15"/>
  <c r="Q226" i="15"/>
  <c r="P226" i="15"/>
  <c r="O226" i="15"/>
  <c r="N226" i="15"/>
  <c r="M226" i="15"/>
  <c r="L226" i="15"/>
  <c r="K226" i="15"/>
  <c r="J226" i="15"/>
  <c r="I226" i="15"/>
  <c r="H226" i="15"/>
  <c r="G226" i="15"/>
  <c r="F226" i="15"/>
  <c r="E226" i="15"/>
  <c r="D226" i="15"/>
  <c r="C226" i="15"/>
  <c r="T225" i="15"/>
  <c r="S225" i="15"/>
  <c r="R225" i="15"/>
  <c r="Q225" i="15"/>
  <c r="P225" i="15"/>
  <c r="O225" i="15"/>
  <c r="N225" i="15"/>
  <c r="M225" i="15"/>
  <c r="L225" i="15"/>
  <c r="K225" i="15"/>
  <c r="J225" i="15"/>
  <c r="I225" i="15"/>
  <c r="H225" i="15"/>
  <c r="G225" i="15"/>
  <c r="F225" i="15"/>
  <c r="E225" i="15"/>
  <c r="D225" i="15"/>
  <c r="C225" i="15"/>
  <c r="T224" i="15"/>
  <c r="S224" i="15"/>
  <c r="R224" i="15"/>
  <c r="Q224" i="15"/>
  <c r="P224" i="15"/>
  <c r="O224" i="15"/>
  <c r="N224" i="15"/>
  <c r="M224" i="15"/>
  <c r="L224" i="15"/>
  <c r="K224" i="15"/>
  <c r="J224" i="15"/>
  <c r="I224" i="15"/>
  <c r="H224" i="15"/>
  <c r="G224" i="15"/>
  <c r="F224" i="15"/>
  <c r="E224" i="15"/>
  <c r="D224" i="15"/>
  <c r="C224" i="15"/>
  <c r="AM223" i="15"/>
  <c r="T222" i="15" s="1"/>
  <c r="AL223" i="15"/>
  <c r="S221" i="15" s="1"/>
  <c r="AK223" i="15"/>
  <c r="R222" i="15" s="1"/>
  <c r="AJ223" i="15"/>
  <c r="Q221" i="15" s="1"/>
  <c r="AI223" i="15"/>
  <c r="AH223" i="15"/>
  <c r="AG223" i="15"/>
  <c r="N219" i="15" s="1"/>
  <c r="AF223" i="15"/>
  <c r="AE223" i="15"/>
  <c r="AD223" i="15"/>
  <c r="K219" i="15" s="1"/>
  <c r="AC223" i="15"/>
  <c r="AB223" i="15"/>
  <c r="AA223" i="15"/>
  <c r="Z223" i="15"/>
  <c r="Y223" i="15"/>
  <c r="X223" i="15"/>
  <c r="W223" i="15"/>
  <c r="V223" i="15"/>
  <c r="C221" i="15" s="1"/>
  <c r="AM222" i="15"/>
  <c r="AL222" i="15"/>
  <c r="AK222" i="15"/>
  <c r="AJ222" i="15"/>
  <c r="AI222" i="15"/>
  <c r="AH222" i="15"/>
  <c r="AG222" i="15"/>
  <c r="AF222" i="15"/>
  <c r="AE222" i="15"/>
  <c r="L222" i="15" s="1"/>
  <c r="AD222" i="15"/>
  <c r="AC222" i="15"/>
  <c r="AB222" i="15"/>
  <c r="AA222" i="15"/>
  <c r="Z222" i="15"/>
  <c r="Y222" i="15"/>
  <c r="X222" i="15"/>
  <c r="E222" i="15" s="1"/>
  <c r="W222" i="15"/>
  <c r="D222" i="15" s="1"/>
  <c r="V222" i="15"/>
  <c r="N222" i="15"/>
  <c r="AM221" i="15"/>
  <c r="AL221" i="15"/>
  <c r="AK221" i="15"/>
  <c r="AJ221" i="15"/>
  <c r="AI221" i="15"/>
  <c r="AH221" i="15"/>
  <c r="AG221" i="15"/>
  <c r="AF221" i="15"/>
  <c r="AE221" i="15"/>
  <c r="L221" i="15" s="1"/>
  <c r="K221" i="15" s="1"/>
  <c r="AD221" i="15"/>
  <c r="AC221" i="15"/>
  <c r="AB221" i="15"/>
  <c r="AA221" i="15"/>
  <c r="Z221" i="15"/>
  <c r="Y221" i="15"/>
  <c r="F221" i="15" s="1"/>
  <c r="X221" i="15"/>
  <c r="W221" i="15"/>
  <c r="D221" i="15" s="1"/>
  <c r="V221" i="15"/>
  <c r="T221" i="15"/>
  <c r="AM220" i="15"/>
  <c r="AL220" i="15"/>
  <c r="AK220" i="15"/>
  <c r="AJ220" i="15"/>
  <c r="AI220" i="15"/>
  <c r="AH220" i="15"/>
  <c r="AG220" i="15"/>
  <c r="N220" i="15" s="1"/>
  <c r="AF220" i="15"/>
  <c r="AE220" i="15"/>
  <c r="AD220" i="15"/>
  <c r="AC220" i="15"/>
  <c r="AB220" i="15"/>
  <c r="AA220" i="15"/>
  <c r="Z220" i="15"/>
  <c r="Y220" i="15"/>
  <c r="F220" i="15" s="1"/>
  <c r="X220" i="15"/>
  <c r="W220" i="15"/>
  <c r="V220" i="15"/>
  <c r="T220" i="15"/>
  <c r="AM219" i="15"/>
  <c r="AL219" i="15"/>
  <c r="AK219" i="15"/>
  <c r="AJ219" i="15"/>
  <c r="AI219" i="15"/>
  <c r="AH219" i="15"/>
  <c r="AG219" i="15"/>
  <c r="AF219" i="15"/>
  <c r="AE219" i="15"/>
  <c r="L219" i="15" s="1"/>
  <c r="AD219" i="15"/>
  <c r="AC219" i="15"/>
  <c r="AB219" i="15"/>
  <c r="AA219" i="15"/>
  <c r="Z219" i="15"/>
  <c r="Y219" i="15"/>
  <c r="F219" i="15" s="1"/>
  <c r="X219" i="15"/>
  <c r="W219" i="15"/>
  <c r="D219" i="15" s="1"/>
  <c r="C219" i="15" s="1"/>
  <c r="V219" i="15"/>
  <c r="T219" i="15"/>
  <c r="AM218" i="15"/>
  <c r="AL218" i="15"/>
  <c r="AK218" i="15"/>
  <c r="AJ218" i="15"/>
  <c r="AI218" i="15"/>
  <c r="AH218" i="15"/>
  <c r="AG218" i="15"/>
  <c r="AF218" i="15"/>
  <c r="AE218" i="15"/>
  <c r="L218" i="15" s="1"/>
  <c r="AD218" i="15"/>
  <c r="AC218" i="15"/>
  <c r="AB218" i="15"/>
  <c r="AA218" i="15"/>
  <c r="Z218" i="15"/>
  <c r="Y218" i="15"/>
  <c r="X218" i="15"/>
  <c r="W218" i="15"/>
  <c r="D218" i="15" s="1"/>
  <c r="V218" i="15"/>
  <c r="T218" i="15"/>
  <c r="F218" i="15"/>
  <c r="T216" i="15"/>
  <c r="S216" i="15"/>
  <c r="R216" i="15"/>
  <c r="Q216" i="15"/>
  <c r="P216" i="15"/>
  <c r="O216" i="15"/>
  <c r="N216" i="15"/>
  <c r="M216" i="15"/>
  <c r="L216" i="15"/>
  <c r="K216" i="15"/>
  <c r="J216" i="15"/>
  <c r="I216" i="15"/>
  <c r="H216" i="15"/>
  <c r="G216" i="15"/>
  <c r="F216" i="15"/>
  <c r="E216" i="15"/>
  <c r="D216" i="15"/>
  <c r="C216" i="15"/>
  <c r="T215" i="15"/>
  <c r="S215" i="15"/>
  <c r="R215" i="15"/>
  <c r="Q215" i="15"/>
  <c r="P215" i="15"/>
  <c r="O215" i="15"/>
  <c r="N215" i="15"/>
  <c r="M215" i="15"/>
  <c r="L215" i="15"/>
  <c r="K215" i="15"/>
  <c r="J215" i="15"/>
  <c r="I215" i="15"/>
  <c r="H215" i="15"/>
  <c r="G215" i="15"/>
  <c r="F215" i="15"/>
  <c r="E215" i="15"/>
  <c r="D215" i="15"/>
  <c r="C215" i="15"/>
  <c r="T214" i="15"/>
  <c r="S214" i="15"/>
  <c r="R214" i="15"/>
  <c r="Q214" i="15"/>
  <c r="P214" i="15"/>
  <c r="O214" i="15"/>
  <c r="N214" i="15"/>
  <c r="M214" i="15"/>
  <c r="L214" i="15"/>
  <c r="K214" i="15"/>
  <c r="J214" i="15"/>
  <c r="I214" i="15"/>
  <c r="H214" i="15"/>
  <c r="G214" i="15"/>
  <c r="F214" i="15"/>
  <c r="E214" i="15"/>
  <c r="D214" i="15"/>
  <c r="C214" i="15"/>
  <c r="T213" i="15"/>
  <c r="S213" i="15"/>
  <c r="R213" i="15"/>
  <c r="Q213" i="15"/>
  <c r="P213" i="15"/>
  <c r="O213" i="15"/>
  <c r="N213" i="15"/>
  <c r="M213" i="15"/>
  <c r="L213" i="15"/>
  <c r="K213" i="15"/>
  <c r="J213" i="15"/>
  <c r="I213" i="15"/>
  <c r="H213" i="15"/>
  <c r="G213" i="15"/>
  <c r="F213" i="15"/>
  <c r="E213" i="15"/>
  <c r="D213" i="15"/>
  <c r="C213" i="15"/>
  <c r="T212" i="15"/>
  <c r="S212" i="15"/>
  <c r="R212" i="15"/>
  <c r="Q212" i="15"/>
  <c r="P212" i="15"/>
  <c r="O212" i="15"/>
  <c r="N212" i="15"/>
  <c r="M212" i="15"/>
  <c r="L212" i="15"/>
  <c r="K212" i="15"/>
  <c r="J212" i="15"/>
  <c r="I212" i="15"/>
  <c r="H212" i="15"/>
  <c r="G212" i="15"/>
  <c r="F212" i="15"/>
  <c r="E212" i="15"/>
  <c r="D212" i="15"/>
  <c r="C212" i="15"/>
  <c r="T210" i="15"/>
  <c r="S210" i="15"/>
  <c r="R210" i="15"/>
  <c r="Q210" i="15"/>
  <c r="P210" i="15"/>
  <c r="O210" i="15"/>
  <c r="N210" i="15"/>
  <c r="M210" i="15"/>
  <c r="L210" i="15"/>
  <c r="K210" i="15"/>
  <c r="J210" i="15"/>
  <c r="I210" i="15"/>
  <c r="H210" i="15"/>
  <c r="G210" i="15"/>
  <c r="F210" i="15"/>
  <c r="E210" i="15"/>
  <c r="D210" i="15"/>
  <c r="C210" i="15"/>
  <c r="T209" i="15"/>
  <c r="S209" i="15"/>
  <c r="R209" i="15"/>
  <c r="Q209" i="15"/>
  <c r="P209" i="15"/>
  <c r="O209" i="15"/>
  <c r="N209" i="15"/>
  <c r="M209" i="15"/>
  <c r="L209" i="15"/>
  <c r="K209" i="15"/>
  <c r="J209" i="15"/>
  <c r="I209" i="15"/>
  <c r="H209" i="15"/>
  <c r="G209" i="15"/>
  <c r="F209" i="15"/>
  <c r="E209" i="15"/>
  <c r="D209" i="15"/>
  <c r="C209" i="15"/>
  <c r="T208" i="15"/>
  <c r="S208" i="15"/>
  <c r="R208" i="15"/>
  <c r="Q208" i="15"/>
  <c r="P208" i="15"/>
  <c r="O208" i="15"/>
  <c r="N208" i="15"/>
  <c r="M208" i="15"/>
  <c r="L208" i="15"/>
  <c r="K208" i="15"/>
  <c r="J208" i="15"/>
  <c r="I208" i="15"/>
  <c r="H208" i="15"/>
  <c r="G208" i="15"/>
  <c r="F208" i="15"/>
  <c r="E208" i="15"/>
  <c r="D208" i="15"/>
  <c r="C208" i="15"/>
  <c r="T207" i="15"/>
  <c r="S207" i="15"/>
  <c r="R207" i="15"/>
  <c r="Q207" i="15"/>
  <c r="P207" i="15"/>
  <c r="O207" i="15"/>
  <c r="N207" i="15"/>
  <c r="M207" i="15"/>
  <c r="L207" i="15"/>
  <c r="K207" i="15"/>
  <c r="J207" i="15"/>
  <c r="I207" i="15"/>
  <c r="H207" i="15"/>
  <c r="G207" i="15"/>
  <c r="F207" i="15"/>
  <c r="E207" i="15"/>
  <c r="D207" i="15"/>
  <c r="C207" i="15"/>
  <c r="T206" i="15"/>
  <c r="S206" i="15"/>
  <c r="R206" i="15"/>
  <c r="Q206" i="15"/>
  <c r="P206" i="15"/>
  <c r="O206" i="15"/>
  <c r="N206" i="15"/>
  <c r="M206" i="15"/>
  <c r="L206" i="15"/>
  <c r="K206" i="15"/>
  <c r="J206" i="15"/>
  <c r="I206" i="15"/>
  <c r="H206" i="15"/>
  <c r="G206" i="15"/>
  <c r="F206" i="15"/>
  <c r="E206" i="15"/>
  <c r="D206" i="15"/>
  <c r="C206" i="15"/>
  <c r="T204" i="15"/>
  <c r="S204" i="15"/>
  <c r="R204" i="15"/>
  <c r="Q204" i="15"/>
  <c r="P204" i="15"/>
  <c r="O204" i="15"/>
  <c r="N204" i="15"/>
  <c r="M204" i="15"/>
  <c r="L204" i="15"/>
  <c r="K204" i="15"/>
  <c r="J204" i="15"/>
  <c r="I204" i="15"/>
  <c r="H204" i="15"/>
  <c r="G204" i="15"/>
  <c r="F204" i="15"/>
  <c r="E204" i="15"/>
  <c r="D204" i="15"/>
  <c r="C204" i="15"/>
  <c r="T203" i="15"/>
  <c r="S203" i="15"/>
  <c r="R203" i="15"/>
  <c r="Q203" i="15"/>
  <c r="P203" i="15"/>
  <c r="O203" i="15"/>
  <c r="N203" i="15"/>
  <c r="M203" i="15"/>
  <c r="L203" i="15"/>
  <c r="K203" i="15"/>
  <c r="J203" i="15"/>
  <c r="I203" i="15"/>
  <c r="H203" i="15"/>
  <c r="G203" i="15"/>
  <c r="F203" i="15"/>
  <c r="E203" i="15"/>
  <c r="D203" i="15"/>
  <c r="C203" i="15"/>
  <c r="T202" i="15"/>
  <c r="S202" i="15"/>
  <c r="R202" i="15"/>
  <c r="Q202" i="15"/>
  <c r="P202" i="15"/>
  <c r="O202" i="15"/>
  <c r="N202" i="15"/>
  <c r="M202" i="15"/>
  <c r="L202" i="15"/>
  <c r="K202" i="15"/>
  <c r="J202" i="15"/>
  <c r="I202" i="15"/>
  <c r="H202" i="15"/>
  <c r="G202" i="15"/>
  <c r="F202" i="15"/>
  <c r="E202" i="15"/>
  <c r="D202" i="15"/>
  <c r="C202" i="15"/>
  <c r="T201" i="15"/>
  <c r="S201" i="15"/>
  <c r="R201" i="15"/>
  <c r="Q201" i="15"/>
  <c r="P201" i="15"/>
  <c r="O201" i="15"/>
  <c r="N201" i="15"/>
  <c r="M201" i="15"/>
  <c r="L201" i="15"/>
  <c r="K201" i="15"/>
  <c r="J201" i="15"/>
  <c r="I201" i="15"/>
  <c r="H201" i="15"/>
  <c r="G201" i="15"/>
  <c r="F201" i="15"/>
  <c r="E201" i="15"/>
  <c r="D201" i="15"/>
  <c r="C201" i="15"/>
  <c r="T200" i="15"/>
  <c r="S200" i="15"/>
  <c r="R200" i="15"/>
  <c r="Q200" i="15"/>
  <c r="P200" i="15"/>
  <c r="O200" i="15"/>
  <c r="N200" i="15"/>
  <c r="M200" i="15"/>
  <c r="L200" i="15"/>
  <c r="K200" i="15"/>
  <c r="J200" i="15"/>
  <c r="I200" i="15"/>
  <c r="H200" i="15"/>
  <c r="G200" i="15"/>
  <c r="F200" i="15"/>
  <c r="E200" i="15"/>
  <c r="D200" i="15"/>
  <c r="C200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C198" i="15"/>
  <c r="T197" i="15"/>
  <c r="S197" i="15"/>
  <c r="R197" i="15"/>
  <c r="Q197" i="15"/>
  <c r="P197" i="15"/>
  <c r="O197" i="15"/>
  <c r="N197" i="15"/>
  <c r="M197" i="15"/>
  <c r="L197" i="15"/>
  <c r="K197" i="15"/>
  <c r="J197" i="15"/>
  <c r="I197" i="15"/>
  <c r="H197" i="15"/>
  <c r="G197" i="15"/>
  <c r="F197" i="15"/>
  <c r="E197" i="15"/>
  <c r="D197" i="15"/>
  <c r="C197" i="15"/>
  <c r="T196" i="15"/>
  <c r="S196" i="15"/>
  <c r="R196" i="15"/>
  <c r="Q196" i="15"/>
  <c r="P196" i="15"/>
  <c r="O196" i="15"/>
  <c r="N196" i="15"/>
  <c r="M196" i="15"/>
  <c r="L196" i="15"/>
  <c r="K196" i="15"/>
  <c r="J196" i="15"/>
  <c r="I196" i="15"/>
  <c r="H196" i="15"/>
  <c r="G196" i="15"/>
  <c r="F196" i="15"/>
  <c r="E196" i="15"/>
  <c r="D196" i="15"/>
  <c r="C196" i="15"/>
  <c r="T195" i="15"/>
  <c r="S195" i="15"/>
  <c r="R195" i="15"/>
  <c r="Q195" i="15"/>
  <c r="P195" i="15"/>
  <c r="O195" i="15"/>
  <c r="N195" i="15"/>
  <c r="M195" i="15"/>
  <c r="L195" i="15"/>
  <c r="K195" i="15"/>
  <c r="J195" i="15"/>
  <c r="I195" i="15"/>
  <c r="H195" i="15"/>
  <c r="G195" i="15"/>
  <c r="F195" i="15"/>
  <c r="E195" i="15"/>
  <c r="D195" i="15"/>
  <c r="C195" i="15"/>
  <c r="T194" i="15"/>
  <c r="S194" i="15"/>
  <c r="R194" i="15"/>
  <c r="Q194" i="15"/>
  <c r="P194" i="15"/>
  <c r="O194" i="15"/>
  <c r="N194" i="15"/>
  <c r="M194" i="15"/>
  <c r="L194" i="15"/>
  <c r="K194" i="15"/>
  <c r="J194" i="15"/>
  <c r="I194" i="15"/>
  <c r="H194" i="15"/>
  <c r="G194" i="15"/>
  <c r="F194" i="15"/>
  <c r="E194" i="15"/>
  <c r="D194" i="15"/>
  <c r="C194" i="15"/>
  <c r="T192" i="15"/>
  <c r="S192" i="15"/>
  <c r="R192" i="15"/>
  <c r="Q192" i="15"/>
  <c r="P192" i="15"/>
  <c r="O192" i="15"/>
  <c r="N192" i="15"/>
  <c r="M192" i="15"/>
  <c r="L192" i="15"/>
  <c r="K192" i="15"/>
  <c r="J192" i="15"/>
  <c r="I192" i="15"/>
  <c r="H192" i="15"/>
  <c r="G192" i="15"/>
  <c r="F192" i="15"/>
  <c r="E192" i="15"/>
  <c r="D192" i="15"/>
  <c r="C192" i="15"/>
  <c r="T191" i="15"/>
  <c r="S191" i="15"/>
  <c r="R191" i="15"/>
  <c r="Q191" i="15"/>
  <c r="P191" i="15"/>
  <c r="O191" i="15"/>
  <c r="N191" i="15"/>
  <c r="M191" i="15"/>
  <c r="L191" i="15"/>
  <c r="K191" i="15"/>
  <c r="J191" i="15"/>
  <c r="I191" i="15"/>
  <c r="H191" i="15"/>
  <c r="G191" i="15"/>
  <c r="F191" i="15"/>
  <c r="E191" i="15"/>
  <c r="D191" i="15"/>
  <c r="C191" i="15"/>
  <c r="T190" i="15"/>
  <c r="S190" i="15"/>
  <c r="R190" i="15"/>
  <c r="Q190" i="15"/>
  <c r="P190" i="15"/>
  <c r="O190" i="15"/>
  <c r="N190" i="15"/>
  <c r="M190" i="15"/>
  <c r="L190" i="15"/>
  <c r="K190" i="15"/>
  <c r="J190" i="15"/>
  <c r="I190" i="15"/>
  <c r="H190" i="15"/>
  <c r="G190" i="15"/>
  <c r="F190" i="15"/>
  <c r="E190" i="15"/>
  <c r="D190" i="15"/>
  <c r="C190" i="15"/>
  <c r="T189" i="15"/>
  <c r="S189" i="15"/>
  <c r="R189" i="15"/>
  <c r="Q189" i="15"/>
  <c r="P189" i="15"/>
  <c r="O189" i="15"/>
  <c r="N189" i="15"/>
  <c r="M189" i="15"/>
  <c r="L189" i="15"/>
  <c r="K189" i="15"/>
  <c r="J189" i="15"/>
  <c r="I189" i="15"/>
  <c r="H189" i="15"/>
  <c r="G189" i="15"/>
  <c r="F189" i="15"/>
  <c r="E189" i="15"/>
  <c r="D189" i="15"/>
  <c r="C189" i="15"/>
  <c r="T188" i="15"/>
  <c r="S188" i="15"/>
  <c r="R188" i="15"/>
  <c r="Q188" i="15"/>
  <c r="P188" i="15"/>
  <c r="O188" i="15"/>
  <c r="N188" i="15"/>
  <c r="M188" i="15"/>
  <c r="L188" i="15"/>
  <c r="K188" i="15"/>
  <c r="J188" i="15"/>
  <c r="I188" i="15"/>
  <c r="H188" i="15"/>
  <c r="G188" i="15"/>
  <c r="F188" i="15"/>
  <c r="E188" i="15"/>
  <c r="D188" i="15"/>
  <c r="C188" i="15"/>
  <c r="T186" i="15"/>
  <c r="S186" i="15"/>
  <c r="R186" i="15"/>
  <c r="Q186" i="15"/>
  <c r="P186" i="15"/>
  <c r="O186" i="15"/>
  <c r="N186" i="15"/>
  <c r="M186" i="15"/>
  <c r="L186" i="15"/>
  <c r="K186" i="15"/>
  <c r="J186" i="15"/>
  <c r="I186" i="15"/>
  <c r="H186" i="15"/>
  <c r="G186" i="15"/>
  <c r="F186" i="15"/>
  <c r="E186" i="15"/>
  <c r="D186" i="15"/>
  <c r="C186" i="15"/>
  <c r="T185" i="15"/>
  <c r="S185" i="15"/>
  <c r="R185" i="15"/>
  <c r="Q185" i="15"/>
  <c r="P185" i="15"/>
  <c r="O185" i="15"/>
  <c r="N185" i="15"/>
  <c r="M185" i="15"/>
  <c r="L185" i="15"/>
  <c r="K185" i="15"/>
  <c r="J185" i="15"/>
  <c r="I185" i="15"/>
  <c r="H185" i="15"/>
  <c r="G185" i="15"/>
  <c r="F185" i="15"/>
  <c r="E185" i="15"/>
  <c r="D185" i="15"/>
  <c r="C185" i="15"/>
  <c r="T184" i="15"/>
  <c r="S184" i="15"/>
  <c r="R184" i="15"/>
  <c r="Q184" i="15"/>
  <c r="P184" i="15"/>
  <c r="O184" i="15"/>
  <c r="N184" i="15"/>
  <c r="M184" i="15"/>
  <c r="L184" i="15"/>
  <c r="K184" i="15"/>
  <c r="J184" i="15"/>
  <c r="I184" i="15"/>
  <c r="H184" i="15"/>
  <c r="G184" i="15"/>
  <c r="F184" i="15"/>
  <c r="E184" i="15"/>
  <c r="D184" i="15"/>
  <c r="C184" i="15"/>
  <c r="T183" i="15"/>
  <c r="S183" i="15"/>
  <c r="R183" i="15"/>
  <c r="Q183" i="15"/>
  <c r="P183" i="15"/>
  <c r="O183" i="15"/>
  <c r="N183" i="15"/>
  <c r="M183" i="15"/>
  <c r="L183" i="15"/>
  <c r="K183" i="15"/>
  <c r="J183" i="15"/>
  <c r="I183" i="15"/>
  <c r="H183" i="15"/>
  <c r="G183" i="15"/>
  <c r="F183" i="15"/>
  <c r="E183" i="15"/>
  <c r="D183" i="15"/>
  <c r="C183" i="15"/>
  <c r="T182" i="15"/>
  <c r="S182" i="15"/>
  <c r="R182" i="15"/>
  <c r="Q182" i="15"/>
  <c r="P182" i="15"/>
  <c r="O182" i="15"/>
  <c r="N182" i="15"/>
  <c r="M182" i="15"/>
  <c r="L182" i="15"/>
  <c r="K182" i="15"/>
  <c r="J182" i="15"/>
  <c r="I182" i="15"/>
  <c r="H182" i="15"/>
  <c r="G182" i="15"/>
  <c r="F182" i="15"/>
  <c r="E182" i="15"/>
  <c r="D182" i="15"/>
  <c r="C182" i="15"/>
  <c r="T180" i="15"/>
  <c r="S180" i="15"/>
  <c r="R180" i="15"/>
  <c r="Q180" i="15"/>
  <c r="P180" i="15"/>
  <c r="O180" i="15"/>
  <c r="N180" i="15"/>
  <c r="M180" i="15"/>
  <c r="L180" i="15"/>
  <c r="K180" i="15"/>
  <c r="J180" i="15"/>
  <c r="I180" i="15"/>
  <c r="H180" i="15"/>
  <c r="G180" i="15"/>
  <c r="F180" i="15"/>
  <c r="E180" i="15"/>
  <c r="D180" i="15"/>
  <c r="C180" i="15"/>
  <c r="T179" i="15"/>
  <c r="S179" i="15"/>
  <c r="R179" i="15"/>
  <c r="Q179" i="15"/>
  <c r="P179" i="15"/>
  <c r="O179" i="15"/>
  <c r="N179" i="15"/>
  <c r="M179" i="15"/>
  <c r="L179" i="15"/>
  <c r="K179" i="15"/>
  <c r="J179" i="15"/>
  <c r="I179" i="15"/>
  <c r="H179" i="15"/>
  <c r="G179" i="15"/>
  <c r="F179" i="15"/>
  <c r="E179" i="15"/>
  <c r="D179" i="15"/>
  <c r="C179" i="15"/>
  <c r="T178" i="15"/>
  <c r="S178" i="15"/>
  <c r="R178" i="15"/>
  <c r="Q178" i="15"/>
  <c r="P178" i="15"/>
  <c r="O178" i="15"/>
  <c r="N178" i="15"/>
  <c r="M178" i="15"/>
  <c r="L178" i="15"/>
  <c r="K178" i="15"/>
  <c r="J178" i="15"/>
  <c r="I178" i="15"/>
  <c r="H178" i="15"/>
  <c r="G178" i="15"/>
  <c r="F178" i="15"/>
  <c r="E178" i="15"/>
  <c r="D178" i="15"/>
  <c r="C178" i="15"/>
  <c r="T177" i="15"/>
  <c r="S177" i="15"/>
  <c r="R177" i="15"/>
  <c r="Q177" i="15"/>
  <c r="P177" i="15"/>
  <c r="O177" i="15"/>
  <c r="N177" i="15"/>
  <c r="M177" i="15"/>
  <c r="L177" i="15"/>
  <c r="K177" i="15"/>
  <c r="J177" i="15"/>
  <c r="I177" i="15"/>
  <c r="H177" i="15"/>
  <c r="G177" i="15"/>
  <c r="F177" i="15"/>
  <c r="E177" i="15"/>
  <c r="D177" i="15"/>
  <c r="C177" i="15"/>
  <c r="T176" i="15"/>
  <c r="S176" i="15"/>
  <c r="R176" i="15"/>
  <c r="Q176" i="15"/>
  <c r="P176" i="15"/>
  <c r="O176" i="15"/>
  <c r="N176" i="15"/>
  <c r="N181" i="15" s="1"/>
  <c r="M176" i="15"/>
  <c r="L176" i="15"/>
  <c r="K176" i="15"/>
  <c r="J176" i="15"/>
  <c r="I176" i="15"/>
  <c r="H176" i="15"/>
  <c r="G176" i="15"/>
  <c r="F176" i="15"/>
  <c r="E176" i="15"/>
  <c r="D176" i="15"/>
  <c r="C176" i="15"/>
  <c r="T174" i="15"/>
  <c r="S174" i="15"/>
  <c r="R174" i="15"/>
  <c r="Q174" i="15"/>
  <c r="P174" i="15"/>
  <c r="O174" i="15"/>
  <c r="N174" i="15"/>
  <c r="M174" i="15"/>
  <c r="L174" i="15"/>
  <c r="K174" i="15"/>
  <c r="J174" i="15"/>
  <c r="I174" i="15"/>
  <c r="H174" i="15"/>
  <c r="G174" i="15"/>
  <c r="F174" i="15"/>
  <c r="E174" i="15"/>
  <c r="D174" i="15"/>
  <c r="C174" i="15"/>
  <c r="T173" i="15"/>
  <c r="S173" i="15"/>
  <c r="R173" i="15"/>
  <c r="Q173" i="15"/>
  <c r="P173" i="15"/>
  <c r="O173" i="15"/>
  <c r="N173" i="15"/>
  <c r="M173" i="15"/>
  <c r="L173" i="15"/>
  <c r="K173" i="15"/>
  <c r="J173" i="15"/>
  <c r="I173" i="15"/>
  <c r="H173" i="15"/>
  <c r="G173" i="15"/>
  <c r="F173" i="15"/>
  <c r="E173" i="15"/>
  <c r="D173" i="15"/>
  <c r="C173" i="15"/>
  <c r="T172" i="15"/>
  <c r="S172" i="15"/>
  <c r="R172" i="15"/>
  <c r="Q172" i="15"/>
  <c r="P172" i="15"/>
  <c r="O172" i="15"/>
  <c r="N172" i="15"/>
  <c r="M172" i="15"/>
  <c r="L172" i="15"/>
  <c r="K172" i="15"/>
  <c r="J172" i="15"/>
  <c r="I172" i="15"/>
  <c r="H172" i="15"/>
  <c r="G172" i="15"/>
  <c r="F172" i="15"/>
  <c r="E172" i="15"/>
  <c r="D172" i="15"/>
  <c r="C172" i="15"/>
  <c r="T171" i="15"/>
  <c r="S171" i="15"/>
  <c r="R171" i="15"/>
  <c r="Q171" i="15"/>
  <c r="P171" i="15"/>
  <c r="O171" i="15"/>
  <c r="N171" i="15"/>
  <c r="M171" i="15"/>
  <c r="L171" i="15"/>
  <c r="K171" i="15"/>
  <c r="J171" i="15"/>
  <c r="I171" i="15"/>
  <c r="H171" i="15"/>
  <c r="G171" i="15"/>
  <c r="F171" i="15"/>
  <c r="E171" i="15"/>
  <c r="D171" i="15"/>
  <c r="C171" i="15"/>
  <c r="T170" i="15"/>
  <c r="S170" i="15"/>
  <c r="R170" i="15"/>
  <c r="Q170" i="15"/>
  <c r="P170" i="15"/>
  <c r="O170" i="15"/>
  <c r="N170" i="15"/>
  <c r="M170" i="15"/>
  <c r="L170" i="15"/>
  <c r="K170" i="15"/>
  <c r="J170" i="15"/>
  <c r="I170" i="15"/>
  <c r="H170" i="15"/>
  <c r="G170" i="15"/>
  <c r="F170" i="15"/>
  <c r="E170" i="15"/>
  <c r="D170" i="15"/>
  <c r="C170" i="15"/>
  <c r="T168" i="15"/>
  <c r="S168" i="15"/>
  <c r="R168" i="15"/>
  <c r="Q168" i="15"/>
  <c r="P168" i="15"/>
  <c r="O168" i="15"/>
  <c r="N168" i="15"/>
  <c r="M168" i="15"/>
  <c r="L168" i="15"/>
  <c r="K168" i="15"/>
  <c r="J168" i="15"/>
  <c r="I168" i="15"/>
  <c r="H168" i="15"/>
  <c r="G168" i="15"/>
  <c r="F168" i="15"/>
  <c r="E168" i="15"/>
  <c r="D168" i="15"/>
  <c r="C168" i="15"/>
  <c r="T167" i="15"/>
  <c r="S167" i="15"/>
  <c r="R167" i="15"/>
  <c r="Q167" i="15"/>
  <c r="P167" i="15"/>
  <c r="O167" i="15"/>
  <c r="N167" i="15"/>
  <c r="M167" i="15"/>
  <c r="L167" i="15"/>
  <c r="K167" i="15"/>
  <c r="J167" i="15"/>
  <c r="I167" i="15"/>
  <c r="H167" i="15"/>
  <c r="G167" i="15"/>
  <c r="F167" i="15"/>
  <c r="E167" i="15"/>
  <c r="D167" i="15"/>
  <c r="C167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D166" i="15"/>
  <c r="C166" i="15"/>
  <c r="T165" i="15"/>
  <c r="S165" i="15"/>
  <c r="R165" i="15"/>
  <c r="Q165" i="15"/>
  <c r="P165" i="15"/>
  <c r="O165" i="15"/>
  <c r="N165" i="15"/>
  <c r="M165" i="15"/>
  <c r="L165" i="15"/>
  <c r="K165" i="15"/>
  <c r="J165" i="15"/>
  <c r="I165" i="15"/>
  <c r="H165" i="15"/>
  <c r="G165" i="15"/>
  <c r="F165" i="15"/>
  <c r="E165" i="15"/>
  <c r="D165" i="15"/>
  <c r="C165" i="15"/>
  <c r="T164" i="15"/>
  <c r="S164" i="15"/>
  <c r="R164" i="15"/>
  <c r="R169" i="15" s="1"/>
  <c r="Q164" i="15"/>
  <c r="P164" i="15"/>
  <c r="O164" i="15"/>
  <c r="N164" i="15"/>
  <c r="M164" i="15"/>
  <c r="L164" i="15"/>
  <c r="K164" i="15"/>
  <c r="J164" i="15"/>
  <c r="I164" i="15"/>
  <c r="H164" i="15"/>
  <c r="G164" i="15"/>
  <c r="F164" i="15"/>
  <c r="E164" i="15"/>
  <c r="D164" i="15"/>
  <c r="C164" i="15"/>
  <c r="T162" i="15"/>
  <c r="S162" i="15"/>
  <c r="R162" i="15"/>
  <c r="Q162" i="15"/>
  <c r="P162" i="15"/>
  <c r="O162" i="15"/>
  <c r="N162" i="15"/>
  <c r="M162" i="15"/>
  <c r="L162" i="15"/>
  <c r="K162" i="15"/>
  <c r="J162" i="15"/>
  <c r="I162" i="15"/>
  <c r="H162" i="15"/>
  <c r="G162" i="15"/>
  <c r="F162" i="15"/>
  <c r="E162" i="15"/>
  <c r="D162" i="15"/>
  <c r="C162" i="15"/>
  <c r="T161" i="15"/>
  <c r="S161" i="15"/>
  <c r="R161" i="15"/>
  <c r="Q161" i="15"/>
  <c r="P161" i="15"/>
  <c r="O161" i="15"/>
  <c r="N161" i="15"/>
  <c r="M161" i="15"/>
  <c r="L161" i="15"/>
  <c r="K161" i="15"/>
  <c r="J161" i="15"/>
  <c r="I161" i="15"/>
  <c r="H161" i="15"/>
  <c r="G161" i="15"/>
  <c r="F161" i="15"/>
  <c r="E161" i="15"/>
  <c r="D161" i="15"/>
  <c r="C161" i="15"/>
  <c r="T160" i="15"/>
  <c r="S160" i="15"/>
  <c r="R160" i="15"/>
  <c r="Q160" i="15"/>
  <c r="P160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C160" i="15"/>
  <c r="T159" i="15"/>
  <c r="S159" i="15"/>
  <c r="R159" i="15"/>
  <c r="Q159" i="15"/>
  <c r="P159" i="15"/>
  <c r="O159" i="15"/>
  <c r="N159" i="15"/>
  <c r="M159" i="15"/>
  <c r="L159" i="15"/>
  <c r="K159" i="15"/>
  <c r="J159" i="15"/>
  <c r="I159" i="15"/>
  <c r="H159" i="15"/>
  <c r="G159" i="15"/>
  <c r="F159" i="15"/>
  <c r="E159" i="15"/>
  <c r="D159" i="15"/>
  <c r="C159" i="15"/>
  <c r="T158" i="15"/>
  <c r="S158" i="15"/>
  <c r="R158" i="15"/>
  <c r="Q158" i="15"/>
  <c r="P158" i="15"/>
  <c r="O158" i="15"/>
  <c r="N158" i="15"/>
  <c r="M158" i="15"/>
  <c r="L158" i="15"/>
  <c r="K158" i="15"/>
  <c r="J158" i="15"/>
  <c r="I158" i="15"/>
  <c r="H158" i="15"/>
  <c r="G158" i="15"/>
  <c r="F158" i="15"/>
  <c r="E158" i="15"/>
  <c r="D158" i="15"/>
  <c r="C158" i="15"/>
  <c r="T156" i="15"/>
  <c r="S156" i="15"/>
  <c r="R156" i="15"/>
  <c r="Q156" i="15"/>
  <c r="P156" i="15"/>
  <c r="O156" i="15"/>
  <c r="N156" i="15"/>
  <c r="M156" i="15"/>
  <c r="L156" i="15"/>
  <c r="K156" i="15"/>
  <c r="J156" i="15"/>
  <c r="I156" i="15"/>
  <c r="H156" i="15"/>
  <c r="G156" i="15"/>
  <c r="F156" i="15"/>
  <c r="E156" i="15"/>
  <c r="D156" i="15"/>
  <c r="C156" i="15"/>
  <c r="T155" i="15"/>
  <c r="S155" i="15"/>
  <c r="R155" i="15"/>
  <c r="Q155" i="15"/>
  <c r="P155" i="15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C155" i="15"/>
  <c r="T154" i="15"/>
  <c r="S154" i="15"/>
  <c r="R154" i="15"/>
  <c r="Q154" i="15"/>
  <c r="P154" i="15"/>
  <c r="O154" i="15"/>
  <c r="O157" i="15" s="1"/>
  <c r="N154" i="15"/>
  <c r="M154" i="15"/>
  <c r="L154" i="15"/>
  <c r="K154" i="15"/>
  <c r="J154" i="15"/>
  <c r="I154" i="15"/>
  <c r="H154" i="15"/>
  <c r="G154" i="15"/>
  <c r="F154" i="15"/>
  <c r="E154" i="15"/>
  <c r="D154" i="15"/>
  <c r="C154" i="15"/>
  <c r="T153" i="15"/>
  <c r="S153" i="15"/>
  <c r="R153" i="15"/>
  <c r="Q153" i="15"/>
  <c r="Q157" i="15" s="1"/>
  <c r="P153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C153" i="15"/>
  <c r="T152" i="15"/>
  <c r="S152" i="15"/>
  <c r="R152" i="15"/>
  <c r="Q152" i="15"/>
  <c r="P152" i="15"/>
  <c r="O152" i="15"/>
  <c r="N152" i="15"/>
  <c r="M152" i="15"/>
  <c r="L152" i="15"/>
  <c r="K152" i="15"/>
  <c r="J152" i="15"/>
  <c r="I152" i="15"/>
  <c r="H152" i="15"/>
  <c r="G152" i="15"/>
  <c r="F152" i="15"/>
  <c r="E152" i="15"/>
  <c r="D152" i="15"/>
  <c r="C152" i="15"/>
  <c r="T150" i="15"/>
  <c r="S150" i="15"/>
  <c r="R150" i="15"/>
  <c r="Q150" i="15"/>
  <c r="P150" i="15"/>
  <c r="O150" i="15"/>
  <c r="N150" i="15"/>
  <c r="M150" i="15"/>
  <c r="L150" i="15"/>
  <c r="K150" i="15"/>
  <c r="J150" i="15"/>
  <c r="I150" i="15"/>
  <c r="H150" i="15"/>
  <c r="G150" i="15"/>
  <c r="F150" i="15"/>
  <c r="E150" i="15"/>
  <c r="D150" i="15"/>
  <c r="C150" i="15"/>
  <c r="T149" i="15"/>
  <c r="S149" i="15"/>
  <c r="R149" i="15"/>
  <c r="Q149" i="15"/>
  <c r="P149" i="15"/>
  <c r="O149" i="15"/>
  <c r="N149" i="15"/>
  <c r="M149" i="15"/>
  <c r="L149" i="15"/>
  <c r="K149" i="15"/>
  <c r="J149" i="15"/>
  <c r="I149" i="15"/>
  <c r="H149" i="15"/>
  <c r="G149" i="15"/>
  <c r="F149" i="15"/>
  <c r="E149" i="15"/>
  <c r="D149" i="15"/>
  <c r="C149" i="15"/>
  <c r="T148" i="15"/>
  <c r="S148" i="15"/>
  <c r="R148" i="15"/>
  <c r="Q148" i="15"/>
  <c r="P148" i="15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C148" i="15"/>
  <c r="T147" i="15"/>
  <c r="S147" i="15"/>
  <c r="R147" i="15"/>
  <c r="Q147" i="15"/>
  <c r="P147" i="15"/>
  <c r="O147" i="15"/>
  <c r="N147" i="15"/>
  <c r="M147" i="15"/>
  <c r="L147" i="15"/>
  <c r="K147" i="15"/>
  <c r="J147" i="15"/>
  <c r="I147" i="15"/>
  <c r="H147" i="15"/>
  <c r="G147" i="15"/>
  <c r="F147" i="15"/>
  <c r="E147" i="15"/>
  <c r="D147" i="15"/>
  <c r="C147" i="15"/>
  <c r="T146" i="15"/>
  <c r="S146" i="15"/>
  <c r="R146" i="15"/>
  <c r="Q146" i="15"/>
  <c r="P146" i="15"/>
  <c r="O146" i="15"/>
  <c r="N146" i="15"/>
  <c r="M146" i="15"/>
  <c r="L146" i="15"/>
  <c r="K146" i="15"/>
  <c r="J146" i="15"/>
  <c r="I146" i="15"/>
  <c r="H146" i="15"/>
  <c r="G146" i="15"/>
  <c r="F146" i="15"/>
  <c r="E146" i="15"/>
  <c r="D146" i="15"/>
  <c r="C146" i="15"/>
  <c r="T144" i="15"/>
  <c r="S144" i="15"/>
  <c r="R144" i="15"/>
  <c r="Q144" i="15"/>
  <c r="P144" i="15"/>
  <c r="O144" i="15"/>
  <c r="N144" i="15"/>
  <c r="M144" i="15"/>
  <c r="L144" i="15"/>
  <c r="K144" i="15"/>
  <c r="J144" i="15"/>
  <c r="I144" i="15"/>
  <c r="H144" i="15"/>
  <c r="G144" i="15"/>
  <c r="F144" i="15"/>
  <c r="E144" i="15"/>
  <c r="D144" i="15"/>
  <c r="C144" i="15"/>
  <c r="T143" i="15"/>
  <c r="S143" i="15"/>
  <c r="R143" i="15"/>
  <c r="Q143" i="15"/>
  <c r="P143" i="15"/>
  <c r="O143" i="15"/>
  <c r="N143" i="15"/>
  <c r="M143" i="15"/>
  <c r="L143" i="15"/>
  <c r="K143" i="15"/>
  <c r="J143" i="15"/>
  <c r="I143" i="15"/>
  <c r="H143" i="15"/>
  <c r="G143" i="15"/>
  <c r="F143" i="15"/>
  <c r="E143" i="15"/>
  <c r="D143" i="15"/>
  <c r="C143" i="15"/>
  <c r="T142" i="15"/>
  <c r="S142" i="15"/>
  <c r="R142" i="15"/>
  <c r="Q142" i="15"/>
  <c r="P142" i="15"/>
  <c r="O142" i="15"/>
  <c r="N142" i="15"/>
  <c r="M142" i="15"/>
  <c r="L142" i="15"/>
  <c r="K142" i="15"/>
  <c r="J142" i="15"/>
  <c r="I142" i="15"/>
  <c r="H142" i="15"/>
  <c r="G142" i="15"/>
  <c r="F142" i="15"/>
  <c r="E142" i="15"/>
  <c r="D142" i="15"/>
  <c r="C142" i="15"/>
  <c r="T141" i="15"/>
  <c r="S141" i="15"/>
  <c r="R141" i="15"/>
  <c r="Q141" i="15"/>
  <c r="P141" i="15"/>
  <c r="O141" i="15"/>
  <c r="N141" i="15"/>
  <c r="M141" i="15"/>
  <c r="L141" i="15"/>
  <c r="K141" i="15"/>
  <c r="J141" i="15"/>
  <c r="I141" i="15"/>
  <c r="H141" i="15"/>
  <c r="G141" i="15"/>
  <c r="F141" i="15"/>
  <c r="E141" i="15"/>
  <c r="D141" i="15"/>
  <c r="C141" i="15"/>
  <c r="T140" i="15"/>
  <c r="S140" i="15"/>
  <c r="R140" i="15"/>
  <c r="Q140" i="15"/>
  <c r="P140" i="15"/>
  <c r="O140" i="15"/>
  <c r="N140" i="15"/>
  <c r="N145" i="15" s="1"/>
  <c r="M140" i="15"/>
  <c r="L140" i="15"/>
  <c r="K140" i="15"/>
  <c r="J140" i="15"/>
  <c r="I140" i="15"/>
  <c r="H140" i="15"/>
  <c r="G140" i="15"/>
  <c r="F140" i="15"/>
  <c r="E140" i="15"/>
  <c r="D140" i="15"/>
  <c r="C140" i="15"/>
  <c r="AM139" i="15"/>
  <c r="AL139" i="15"/>
  <c r="AK139" i="15"/>
  <c r="AJ139" i="15"/>
  <c r="AI139" i="15"/>
  <c r="AH139" i="15"/>
  <c r="AG139" i="15"/>
  <c r="AF139" i="15"/>
  <c r="AE139" i="15"/>
  <c r="AD139" i="15"/>
  <c r="AC139" i="15"/>
  <c r="AB139" i="15"/>
  <c r="AA139" i="15"/>
  <c r="Z139" i="15"/>
  <c r="Y139" i="15"/>
  <c r="X139" i="15"/>
  <c r="W139" i="15"/>
  <c r="V139" i="15"/>
  <c r="P187" i="15" l="1"/>
  <c r="N187" i="15"/>
  <c r="L193" i="15"/>
  <c r="T193" i="15"/>
  <c r="S193" i="15" s="1"/>
  <c r="P211" i="15"/>
  <c r="Q218" i="15"/>
  <c r="I218" i="15"/>
  <c r="J220" i="15"/>
  <c r="F229" i="15"/>
  <c r="T241" i="15"/>
  <c r="F259" i="15"/>
  <c r="C175" i="15"/>
  <c r="O193" i="15"/>
  <c r="N193" i="15" s="1"/>
  <c r="M193" i="15" s="1"/>
  <c r="E265" i="15"/>
  <c r="D265" i="15" s="1"/>
  <c r="C295" i="15"/>
  <c r="S295" i="15"/>
  <c r="R295" i="15" s="1"/>
  <c r="E157" i="15"/>
  <c r="H217" i="15"/>
  <c r="P217" i="15"/>
  <c r="N217" i="15"/>
  <c r="E219" i="15"/>
  <c r="M219" i="15"/>
  <c r="Q220" i="15"/>
  <c r="I220" i="15"/>
  <c r="I223" i="15" s="1"/>
  <c r="C222" i="15"/>
  <c r="N22" i="6"/>
  <c r="M22" i="6" s="1"/>
  <c r="M199" i="15"/>
  <c r="L199" i="15" s="1"/>
  <c r="O283" i="15"/>
  <c r="M181" i="15"/>
  <c r="E218" i="15"/>
  <c r="M218" i="15"/>
  <c r="Q222" i="15"/>
  <c r="E295" i="15"/>
  <c r="T169" i="15"/>
  <c r="N157" i="15"/>
  <c r="O199" i="15"/>
  <c r="N199" i="15" s="1"/>
  <c r="K199" i="15"/>
  <c r="J199" i="15" s="1"/>
  <c r="I199" i="15" s="1"/>
  <c r="H199" i="15" s="1"/>
  <c r="G199" i="15" s="1"/>
  <c r="F199" i="15" s="1"/>
  <c r="S211" i="15"/>
  <c r="R211" i="15" s="1"/>
  <c r="K218" i="15"/>
  <c r="J218" i="15" s="1"/>
  <c r="Q193" i="15"/>
  <c r="P193" i="15" s="1"/>
  <c r="G193" i="15"/>
  <c r="S222" i="15"/>
  <c r="I222" i="15"/>
  <c r="E229" i="15"/>
  <c r="M229" i="15"/>
  <c r="C229" i="15"/>
  <c r="C235" i="15"/>
  <c r="K235" i="15"/>
  <c r="J235" i="15" s="1"/>
  <c r="S235" i="15"/>
  <c r="R235" i="15" s="1"/>
  <c r="I235" i="15"/>
  <c r="H235" i="15" s="1"/>
  <c r="G235" i="15"/>
  <c r="F235" i="15" s="1"/>
  <c r="E235" i="15" s="1"/>
  <c r="D235" i="15" s="1"/>
  <c r="Q259" i="15"/>
  <c r="I277" i="15"/>
  <c r="I289" i="15"/>
  <c r="Q289" i="15"/>
  <c r="F297" i="15"/>
  <c r="N297" i="15"/>
  <c r="F300" i="15"/>
  <c r="N300" i="15"/>
  <c r="Q258" i="18"/>
  <c r="Q257" i="18"/>
  <c r="Q256" i="18"/>
  <c r="Q259" i="18"/>
  <c r="AI254" i="18"/>
  <c r="Q260" i="18"/>
  <c r="Q255" i="18"/>
  <c r="L169" i="15"/>
  <c r="S175" i="15"/>
  <c r="H145" i="15"/>
  <c r="D181" i="15"/>
  <c r="C181" i="15" s="1"/>
  <c r="R199" i="15"/>
  <c r="F211" i="15"/>
  <c r="N211" i="15"/>
  <c r="D211" i="15"/>
  <c r="Q219" i="15"/>
  <c r="P219" i="15" s="1"/>
  <c r="I219" i="15"/>
  <c r="E220" i="15"/>
  <c r="M220" i="15"/>
  <c r="L220" i="15" s="1"/>
  <c r="K220" i="15" s="1"/>
  <c r="I221" i="15"/>
  <c r="H222" i="15"/>
  <c r="P221" i="15"/>
  <c r="J22" i="6"/>
  <c r="D157" i="15"/>
  <c r="C157" i="15" s="1"/>
  <c r="L157" i="15"/>
  <c r="K157" i="15" s="1"/>
  <c r="J157" i="15" s="1"/>
  <c r="T157" i="15"/>
  <c r="S157" i="15" s="1"/>
  <c r="R157" i="15" s="1"/>
  <c r="L163" i="15"/>
  <c r="K163" i="15" s="1"/>
  <c r="T163" i="15"/>
  <c r="S163" i="15" s="1"/>
  <c r="R163" i="15" s="1"/>
  <c r="N169" i="15"/>
  <c r="Q181" i="15"/>
  <c r="F205" i="15"/>
  <c r="E205" i="15" s="1"/>
  <c r="L205" i="15"/>
  <c r="L211" i="15"/>
  <c r="K211" i="15" s="1"/>
  <c r="J211" i="15" s="1"/>
  <c r="D229" i="15"/>
  <c r="L229" i="15"/>
  <c r="F253" i="15"/>
  <c r="E253" i="15" s="1"/>
  <c r="N253" i="15"/>
  <c r="M253" i="15" s="1"/>
  <c r="L253" i="15" s="1"/>
  <c r="D259" i="15"/>
  <c r="C259" i="15" s="1"/>
  <c r="T259" i="15"/>
  <c r="S259" i="15" s="1"/>
  <c r="R259" i="15" s="1"/>
  <c r="R265" i="15"/>
  <c r="Q265" i="15" s="1"/>
  <c r="D295" i="15"/>
  <c r="Q145" i="15"/>
  <c r="I151" i="15"/>
  <c r="H151" i="15" s="1"/>
  <c r="G151" i="15" s="1"/>
  <c r="G169" i="15"/>
  <c r="F169" i="15" s="1"/>
  <c r="O169" i="15"/>
  <c r="K169" i="15"/>
  <c r="I169" i="15"/>
  <c r="H169" i="15" s="1"/>
  <c r="P175" i="15"/>
  <c r="S187" i="15"/>
  <c r="R187" i="15" s="1"/>
  <c r="Q187" i="15" s="1"/>
  <c r="C211" i="15"/>
  <c r="Q211" i="15"/>
  <c r="G211" i="15"/>
  <c r="J217" i="15"/>
  <c r="R217" i="15"/>
  <c r="C220" i="15"/>
  <c r="S241" i="15"/>
  <c r="R241" i="15" s="1"/>
  <c r="Q241" i="15" s="1"/>
  <c r="P241" i="15" s="1"/>
  <c r="O241" i="15" s="1"/>
  <c r="N241" i="15" s="1"/>
  <c r="G253" i="15"/>
  <c r="C265" i="15"/>
  <c r="S265" i="15"/>
  <c r="C283" i="15"/>
  <c r="K283" i="15"/>
  <c r="J283" i="15" s="1"/>
  <c r="I283" i="15" s="1"/>
  <c r="H283" i="15" s="1"/>
  <c r="G283" i="15" s="1"/>
  <c r="F283" i="15" s="1"/>
  <c r="S283" i="15"/>
  <c r="R283" i="15" s="1"/>
  <c r="Q283" i="15" s="1"/>
  <c r="P283" i="15" s="1"/>
  <c r="L289" i="15"/>
  <c r="T289" i="15"/>
  <c r="S289" i="15" s="1"/>
  <c r="R289" i="15" s="1"/>
  <c r="E15" i="2"/>
  <c r="D15" i="2" s="1"/>
  <c r="C15" i="2" s="1"/>
  <c r="M157" i="15"/>
  <c r="K193" i="15"/>
  <c r="J193" i="15" s="1"/>
  <c r="Q199" i="15"/>
  <c r="P199" i="15" s="1"/>
  <c r="E259" i="15"/>
  <c r="L181" i="15"/>
  <c r="K181" i="15" s="1"/>
  <c r="J181" i="15" s="1"/>
  <c r="I205" i="15"/>
  <c r="K247" i="15"/>
  <c r="J247" i="15" s="1"/>
  <c r="I247" i="15" s="1"/>
  <c r="G247" i="15"/>
  <c r="F247" i="15" s="1"/>
  <c r="E283" i="15"/>
  <c r="G295" i="15"/>
  <c r="M301" i="15"/>
  <c r="F145" i="15"/>
  <c r="E145" i="15" s="1"/>
  <c r="D145" i="15" s="1"/>
  <c r="C145" i="15" s="1"/>
  <c r="R151" i="15"/>
  <c r="J169" i="15"/>
  <c r="G175" i="15"/>
  <c r="F175" i="15" s="1"/>
  <c r="O175" i="15"/>
  <c r="N175" i="15" s="1"/>
  <c r="I181" i="15"/>
  <c r="H193" i="15"/>
  <c r="T211" i="15"/>
  <c r="C218" i="15"/>
  <c r="E221" i="15"/>
  <c r="K222" i="15"/>
  <c r="J222" i="15" s="1"/>
  <c r="D241" i="15"/>
  <c r="H247" i="15"/>
  <c r="P259" i="15"/>
  <c r="O259" i="15" s="1"/>
  <c r="N259" i="15"/>
  <c r="M259" i="15" s="1"/>
  <c r="L259" i="15"/>
  <c r="K259" i="15" s="1"/>
  <c r="J259" i="15" s="1"/>
  <c r="J265" i="15"/>
  <c r="I265" i="15" s="1"/>
  <c r="M271" i="15"/>
  <c r="L271" i="15" s="1"/>
  <c r="Q277" i="15"/>
  <c r="P295" i="15"/>
  <c r="N295" i="15"/>
  <c r="T295" i="15"/>
  <c r="C300" i="15"/>
  <c r="C301" i="15" s="1"/>
  <c r="J219" i="15"/>
  <c r="O295" i="15"/>
  <c r="O299" i="15"/>
  <c r="G145" i="15"/>
  <c r="O145" i="15"/>
  <c r="I145" i="15"/>
  <c r="I157" i="15"/>
  <c r="H157" i="15" s="1"/>
  <c r="H175" i="15"/>
  <c r="I193" i="15"/>
  <c r="K205" i="15"/>
  <c r="I211" i="15"/>
  <c r="H211" i="15" s="1"/>
  <c r="O211" i="15"/>
  <c r="J221" i="15"/>
  <c r="M222" i="15"/>
  <c r="S229" i="15"/>
  <c r="R229" i="15" s="1"/>
  <c r="Q229" i="15" s="1"/>
  <c r="P229" i="15" s="1"/>
  <c r="O229" i="15" s="1"/>
  <c r="N229" i="15" s="1"/>
  <c r="Q235" i="15"/>
  <c r="P235" i="15" s="1"/>
  <c r="O235" i="15" s="1"/>
  <c r="N235" i="15" s="1"/>
  <c r="M235" i="15" s="1"/>
  <c r="L235" i="15" s="1"/>
  <c r="T247" i="15"/>
  <c r="K253" i="15"/>
  <c r="J253" i="15" s="1"/>
  <c r="Q253" i="15"/>
  <c r="P253" i="15" s="1"/>
  <c r="O253" i="15"/>
  <c r="I259" i="15"/>
  <c r="G265" i="15"/>
  <c r="M265" i="15"/>
  <c r="R271" i="15"/>
  <c r="H15" i="2"/>
  <c r="G157" i="15"/>
  <c r="F157" i="15" s="1"/>
  <c r="T181" i="15"/>
  <c r="S181" i="15" s="1"/>
  <c r="Q205" i="15"/>
  <c r="I253" i="15"/>
  <c r="H253" i="15" s="1"/>
  <c r="J300" i="15"/>
  <c r="P145" i="15"/>
  <c r="D151" i="15"/>
  <c r="L151" i="15"/>
  <c r="T151" i="15"/>
  <c r="J151" i="15"/>
  <c r="D169" i="15"/>
  <c r="Q175" i="15"/>
  <c r="M175" i="15"/>
  <c r="K175" i="15"/>
  <c r="J175" i="15" s="1"/>
  <c r="I175" i="15" s="1"/>
  <c r="H187" i="15"/>
  <c r="G187" i="15" s="1"/>
  <c r="F187" i="15" s="1"/>
  <c r="R193" i="15"/>
  <c r="F193" i="15"/>
  <c r="E193" i="15" s="1"/>
  <c r="D193" i="15" s="1"/>
  <c r="C193" i="15" s="1"/>
  <c r="G217" i="15"/>
  <c r="F217" i="15" s="1"/>
  <c r="M217" i="15"/>
  <c r="L217" i="15" s="1"/>
  <c r="K217" i="15" s="1"/>
  <c r="P220" i="15"/>
  <c r="N221" i="15"/>
  <c r="M221" i="15" s="1"/>
  <c r="T229" i="15"/>
  <c r="D253" i="15"/>
  <c r="T253" i="15"/>
  <c r="H265" i="15"/>
  <c r="P265" i="15"/>
  <c r="O265" i="15" s="1"/>
  <c r="N265" i="15" s="1"/>
  <c r="E271" i="15"/>
  <c r="D271" i="15" s="1"/>
  <c r="C271" i="15" s="1"/>
  <c r="L295" i="15"/>
  <c r="K295" i="15" s="1"/>
  <c r="J295" i="15" s="1"/>
  <c r="P298" i="15"/>
  <c r="O298" i="15" s="1"/>
  <c r="R258" i="18"/>
  <c r="R256" i="18"/>
  <c r="R260" i="18"/>
  <c r="R257" i="18"/>
  <c r="R259" i="18"/>
  <c r="AJ254" i="18"/>
  <c r="R255" i="18"/>
  <c r="S250" i="18"/>
  <c r="S254" i="18"/>
  <c r="S251" i="18"/>
  <c r="S252" i="18"/>
  <c r="S253" i="18"/>
  <c r="AK248" i="18"/>
  <c r="S249" i="18"/>
  <c r="AH248" i="18"/>
  <c r="P251" i="18"/>
  <c r="P253" i="18"/>
  <c r="P254" i="18"/>
  <c r="P250" i="18"/>
  <c r="P249" i="18"/>
  <c r="P252" i="18"/>
  <c r="C169" i="15"/>
  <c r="J205" i="15"/>
  <c r="J289" i="15"/>
  <c r="G296" i="15"/>
  <c r="F296" i="15" s="1"/>
  <c r="O296" i="15"/>
  <c r="N296" i="15" s="1"/>
  <c r="N301" i="15" s="1"/>
  <c r="P301" i="15"/>
  <c r="I163" i="15"/>
  <c r="H163" i="15" s="1"/>
  <c r="G163" i="15" s="1"/>
  <c r="F163" i="15" s="1"/>
  <c r="E163" i="15" s="1"/>
  <c r="Q163" i="15"/>
  <c r="P163" i="15" s="1"/>
  <c r="O163" i="15"/>
  <c r="N163" i="15" s="1"/>
  <c r="M163" i="15" s="1"/>
  <c r="E169" i="15"/>
  <c r="O187" i="15"/>
  <c r="D205" i="15"/>
  <c r="C205" i="15" s="1"/>
  <c r="T205" i="15"/>
  <c r="S205" i="15" s="1"/>
  <c r="R205" i="15" s="1"/>
  <c r="E217" i="15"/>
  <c r="D217" i="15" s="1"/>
  <c r="L223" i="15"/>
  <c r="T235" i="15"/>
  <c r="C241" i="15"/>
  <c r="D277" i="15"/>
  <c r="C277" i="15" s="1"/>
  <c r="T277" i="15"/>
  <c r="S277" i="15" s="1"/>
  <c r="R277" i="15" s="1"/>
  <c r="N283" i="15"/>
  <c r="F289" i="15"/>
  <c r="E289" i="15" s="1"/>
  <c r="M145" i="15"/>
  <c r="L145" i="15" s="1"/>
  <c r="K145" i="15" s="1"/>
  <c r="J145" i="15" s="1"/>
  <c r="M169" i="15"/>
  <c r="L175" i="15"/>
  <c r="H181" i="15"/>
  <c r="G181" i="15" s="1"/>
  <c r="F181" i="15" s="1"/>
  <c r="E181" i="15" s="1"/>
  <c r="T217" i="15"/>
  <c r="H277" i="15"/>
  <c r="G277" i="15" s="1"/>
  <c r="F277" i="15" s="1"/>
  <c r="E277" i="15" s="1"/>
  <c r="H14" i="9"/>
  <c r="R13" i="9"/>
  <c r="R11" i="9"/>
  <c r="R10" i="9"/>
  <c r="R14" i="9"/>
  <c r="R12" i="9"/>
  <c r="R8" i="9"/>
  <c r="R9" i="9"/>
  <c r="J163" i="15"/>
  <c r="C151" i="15"/>
  <c r="E247" i="15"/>
  <c r="D247" i="15" s="1"/>
  <c r="C247" i="15" s="1"/>
  <c r="D283" i="15"/>
  <c r="L283" i="15"/>
  <c r="E301" i="15"/>
  <c r="H289" i="15"/>
  <c r="G289" i="15" s="1"/>
  <c r="K151" i="15"/>
  <c r="C199" i="15"/>
  <c r="E241" i="15"/>
  <c r="S247" i="15"/>
  <c r="R247" i="15" s="1"/>
  <c r="Q247" i="15" s="1"/>
  <c r="P247" i="15" s="1"/>
  <c r="E175" i="15"/>
  <c r="D175" i="15" s="1"/>
  <c r="R175" i="15"/>
  <c r="P181" i="15"/>
  <c r="O181" i="15" s="1"/>
  <c r="E187" i="15"/>
  <c r="D187" i="15" s="1"/>
  <c r="M187" i="15"/>
  <c r="L187" i="15" s="1"/>
  <c r="C187" i="15"/>
  <c r="K187" i="15"/>
  <c r="J187" i="15" s="1"/>
  <c r="I187" i="15" s="1"/>
  <c r="H205" i="15"/>
  <c r="G205" i="15" s="1"/>
  <c r="P205" i="15"/>
  <c r="O205" i="15" s="1"/>
  <c r="N205" i="15" s="1"/>
  <c r="M205" i="15" s="1"/>
  <c r="E211" i="15"/>
  <c r="M211" i="15"/>
  <c r="I217" i="15"/>
  <c r="Q217" i="15"/>
  <c r="G218" i="15"/>
  <c r="G220" i="15"/>
  <c r="G221" i="15"/>
  <c r="G219" i="15"/>
  <c r="O222" i="15"/>
  <c r="O221" i="15"/>
  <c r="O220" i="15"/>
  <c r="O219" i="15"/>
  <c r="O218" i="15"/>
  <c r="N218" i="15" s="1"/>
  <c r="C253" i="15"/>
  <c r="S253" i="15"/>
  <c r="R253" i="15" s="1"/>
  <c r="H259" i="15"/>
  <c r="G259" i="15" s="1"/>
  <c r="T265" i="15"/>
  <c r="K271" i="15"/>
  <c r="J271" i="15" s="1"/>
  <c r="I271" i="15" s="1"/>
  <c r="H271" i="15" s="1"/>
  <c r="G271" i="15" s="1"/>
  <c r="F271" i="15" s="1"/>
  <c r="P277" i="15"/>
  <c r="O277" i="15" s="1"/>
  <c r="N277" i="15" s="1"/>
  <c r="M277" i="15" s="1"/>
  <c r="L277" i="15" s="1"/>
  <c r="K277" i="15" s="1"/>
  <c r="J277" i="15" s="1"/>
  <c r="M295" i="15"/>
  <c r="Q151" i="15"/>
  <c r="P151" i="15" s="1"/>
  <c r="O151" i="15" s="1"/>
  <c r="N151" i="15" s="1"/>
  <c r="M151" i="15" s="1"/>
  <c r="D163" i="15"/>
  <c r="C163" i="15" s="1"/>
  <c r="S169" i="15"/>
  <c r="O217" i="15"/>
  <c r="P289" i="15"/>
  <c r="O289" i="15" s="1"/>
  <c r="N289" i="15" s="1"/>
  <c r="M289" i="15" s="1"/>
  <c r="S151" i="15"/>
  <c r="S199" i="15"/>
  <c r="M241" i="15"/>
  <c r="L241" i="15" s="1"/>
  <c r="K241" i="15" s="1"/>
  <c r="J241" i="15" s="1"/>
  <c r="I241" i="15" s="1"/>
  <c r="H241" i="15" s="1"/>
  <c r="G241" i="15" s="1"/>
  <c r="F241" i="15" s="1"/>
  <c r="F151" i="15"/>
  <c r="E151" i="15" s="1"/>
  <c r="P157" i="15"/>
  <c r="Q169" i="15"/>
  <c r="P169" i="15" s="1"/>
  <c r="R181" i="15"/>
  <c r="E199" i="15"/>
  <c r="D199" i="15" s="1"/>
  <c r="C217" i="15"/>
  <c r="S217" i="15"/>
  <c r="G222" i="15"/>
  <c r="F222" i="15" s="1"/>
  <c r="F223" i="15" s="1"/>
  <c r="K229" i="15"/>
  <c r="J229" i="15" s="1"/>
  <c r="I229" i="15" s="1"/>
  <c r="H229" i="15" s="1"/>
  <c r="G229" i="15" s="1"/>
  <c r="O247" i="15"/>
  <c r="N247" i="15" s="1"/>
  <c r="M247" i="15"/>
  <c r="L247" i="15" s="1"/>
  <c r="F265" i="15"/>
  <c r="L265" i="15"/>
  <c r="K265" i="15" s="1"/>
  <c r="Q271" i="15"/>
  <c r="P271" i="15" s="1"/>
  <c r="O271" i="15" s="1"/>
  <c r="N271" i="15" s="1"/>
  <c r="D289" i="15"/>
  <c r="C289" i="15" s="1"/>
  <c r="I295" i="15"/>
  <c r="H295" i="15" s="1"/>
  <c r="Q295" i="15"/>
  <c r="T187" i="15"/>
  <c r="J49" i="11"/>
  <c r="N49" i="11"/>
  <c r="P49" i="11"/>
  <c r="O49" i="11"/>
  <c r="N15" i="2"/>
  <c r="G15" i="2" s="1"/>
  <c r="F15" i="2" s="1"/>
  <c r="P55" i="2"/>
  <c r="I52" i="2"/>
  <c r="H52" i="2"/>
  <c r="F52" i="2"/>
  <c r="C52" i="2"/>
  <c r="G52" i="2"/>
  <c r="E52" i="2"/>
  <c r="D52" i="2"/>
  <c r="P218" i="15"/>
  <c r="D220" i="15"/>
  <c r="D223" i="15" s="1"/>
  <c r="H298" i="15"/>
  <c r="G298" i="15" s="1"/>
  <c r="K49" i="11"/>
  <c r="T283" i="15"/>
  <c r="S12" i="7"/>
  <c r="S11" i="7"/>
  <c r="S14" i="7"/>
  <c r="S15" i="7"/>
  <c r="S9" i="7"/>
  <c r="R219" i="15"/>
  <c r="L22" i="6"/>
  <c r="T199" i="15"/>
  <c r="H218" i="15"/>
  <c r="S218" i="15"/>
  <c r="H219" i="15"/>
  <c r="S219" i="15"/>
  <c r="H220" i="15"/>
  <c r="R220" i="15"/>
  <c r="P222" i="15"/>
  <c r="T271" i="15"/>
  <c r="S271" i="15" s="1"/>
  <c r="I301" i="15"/>
  <c r="T301" i="15"/>
  <c r="S301" i="15" s="1"/>
  <c r="R301" i="15" s="1"/>
  <c r="Q301" i="15" s="1"/>
  <c r="L299" i="15"/>
  <c r="S13" i="7"/>
  <c r="M49" i="11"/>
  <c r="L49" i="11" s="1"/>
  <c r="T223" i="15"/>
  <c r="T175" i="15"/>
  <c r="S220" i="15"/>
  <c r="H221" i="15"/>
  <c r="R221" i="15"/>
  <c r="L297" i="15"/>
  <c r="L301" i="15" s="1"/>
  <c r="K301" i="15" s="1"/>
  <c r="J301" i="15" s="1"/>
  <c r="S10" i="7"/>
  <c r="R10" i="7" s="1"/>
  <c r="Q10" i="7" s="1"/>
  <c r="P10" i="7" s="1"/>
  <c r="O10" i="7" s="1"/>
  <c r="N10" i="7" s="1"/>
  <c r="M10" i="7" s="1"/>
  <c r="R218" i="15"/>
  <c r="T145" i="15"/>
  <c r="S145" i="15" s="1"/>
  <c r="R145" i="15" s="1"/>
  <c r="D299" i="15"/>
  <c r="N14" i="9"/>
  <c r="N10" i="9"/>
  <c r="N8" i="9"/>
  <c r="N9" i="9"/>
  <c r="M9" i="9" s="1"/>
  <c r="N13" i="9"/>
  <c r="N11" i="9"/>
  <c r="AM138" i="15"/>
  <c r="AL138" i="15"/>
  <c r="AK138" i="15"/>
  <c r="AJ138" i="15"/>
  <c r="AI138" i="15"/>
  <c r="P138" i="15" s="1"/>
  <c r="AH138" i="15"/>
  <c r="O138" i="15" s="1"/>
  <c r="AG138" i="15"/>
  <c r="AF138" i="15"/>
  <c r="M138" i="15" s="1"/>
  <c r="AE138" i="15"/>
  <c r="L138" i="15" s="1"/>
  <c r="AD138" i="15"/>
  <c r="AC138" i="15"/>
  <c r="J138" i="15" s="1"/>
  <c r="AB138" i="15"/>
  <c r="AA138" i="15"/>
  <c r="H138" i="15" s="1"/>
  <c r="Z138" i="15"/>
  <c r="G138" i="15" s="1"/>
  <c r="Y138" i="15"/>
  <c r="X138" i="15"/>
  <c r="W138" i="15"/>
  <c r="D138" i="15" s="1"/>
  <c r="V138" i="15"/>
  <c r="C138" i="15" s="1"/>
  <c r="T138" i="15"/>
  <c r="S138" i="15"/>
  <c r="R138" i="15"/>
  <c r="Q138" i="15"/>
  <c r="K138" i="15"/>
  <c r="I138" i="15"/>
  <c r="E138" i="15"/>
  <c r="AM137" i="15"/>
  <c r="AL137" i="15"/>
  <c r="AK137" i="15"/>
  <c r="AJ137" i="15"/>
  <c r="AI137" i="15"/>
  <c r="P137" i="15" s="1"/>
  <c r="O137" i="15" s="1"/>
  <c r="AH137" i="15"/>
  <c r="AG137" i="15"/>
  <c r="AF137" i="15"/>
  <c r="M137" i="15" s="1"/>
  <c r="AE137" i="15"/>
  <c r="L137" i="15" s="1"/>
  <c r="AD137" i="15"/>
  <c r="AC137" i="15"/>
  <c r="J137" i="15" s="1"/>
  <c r="AB137" i="15"/>
  <c r="AA137" i="15"/>
  <c r="H137" i="15" s="1"/>
  <c r="G137" i="15" s="1"/>
  <c r="Z137" i="15"/>
  <c r="Y137" i="15"/>
  <c r="X137" i="15"/>
  <c r="E137" i="15" s="1"/>
  <c r="W137" i="15"/>
  <c r="V137" i="15"/>
  <c r="T137" i="15" s="1"/>
  <c r="S137" i="15"/>
  <c r="R137" i="15"/>
  <c r="Q137" i="15"/>
  <c r="K137" i="15"/>
  <c r="I137" i="15"/>
  <c r="D137" i="15"/>
  <c r="AM136" i="15"/>
  <c r="AL136" i="15"/>
  <c r="AK136" i="15"/>
  <c r="AJ136" i="15"/>
  <c r="AI136" i="15"/>
  <c r="AH136" i="15"/>
  <c r="AG136" i="15"/>
  <c r="N136" i="15" s="1"/>
  <c r="AF136" i="15"/>
  <c r="M136" i="15" s="1"/>
  <c r="AE136" i="15"/>
  <c r="L136" i="15" s="1"/>
  <c r="AD136" i="15"/>
  <c r="AC136" i="15"/>
  <c r="AB136" i="15"/>
  <c r="AA136" i="15"/>
  <c r="Z136" i="15"/>
  <c r="Y136" i="15"/>
  <c r="F136" i="15" s="1"/>
  <c r="X136" i="15"/>
  <c r="E136" i="15" s="1"/>
  <c r="W136" i="15"/>
  <c r="D136" i="15" s="1"/>
  <c r="V136" i="15"/>
  <c r="T136" i="15"/>
  <c r="S136" i="15"/>
  <c r="R136" i="15"/>
  <c r="Q136" i="15"/>
  <c r="K136" i="15"/>
  <c r="I136" i="15"/>
  <c r="C136" i="15"/>
  <c r="AM135" i="15"/>
  <c r="AL135" i="15"/>
  <c r="AK135" i="15"/>
  <c r="AJ135" i="15"/>
  <c r="AI135" i="15"/>
  <c r="AH135" i="15"/>
  <c r="O135" i="15" s="1"/>
  <c r="AG135" i="15"/>
  <c r="AF135" i="15"/>
  <c r="M135" i="15" s="1"/>
  <c r="AE135" i="15"/>
  <c r="L135" i="15" s="1"/>
  <c r="AD135" i="15"/>
  <c r="AC135" i="15"/>
  <c r="J135" i="15" s="1"/>
  <c r="I135" i="15" s="1"/>
  <c r="AB135" i="15"/>
  <c r="AA135" i="15"/>
  <c r="Z135" i="15"/>
  <c r="G135" i="15" s="1"/>
  <c r="Y135" i="15"/>
  <c r="X135" i="15"/>
  <c r="E135" i="15" s="1"/>
  <c r="W135" i="15"/>
  <c r="D135" i="15" s="1"/>
  <c r="V135" i="15"/>
  <c r="C135" i="15" s="1"/>
  <c r="T135" i="15"/>
  <c r="S135" i="15"/>
  <c r="R135" i="15"/>
  <c r="Q135" i="15" s="1"/>
  <c r="P135" i="15" s="1"/>
  <c r="K135" i="15"/>
  <c r="AM134" i="15"/>
  <c r="AL134" i="15"/>
  <c r="AK134" i="15"/>
  <c r="AJ134" i="15"/>
  <c r="AI134" i="15"/>
  <c r="AH134" i="15"/>
  <c r="AG134" i="15"/>
  <c r="N134" i="15" s="1"/>
  <c r="AF134" i="15"/>
  <c r="M134" i="15" s="1"/>
  <c r="AE134" i="15"/>
  <c r="L134" i="15" s="1"/>
  <c r="AD134" i="15"/>
  <c r="AC134" i="15"/>
  <c r="J134" i="15" s="1"/>
  <c r="AB134" i="15"/>
  <c r="AA134" i="15"/>
  <c r="Z134" i="15"/>
  <c r="Y134" i="15"/>
  <c r="F134" i="15" s="1"/>
  <c r="X134" i="15"/>
  <c r="E134" i="15" s="1"/>
  <c r="W134" i="15"/>
  <c r="D134" i="15" s="1"/>
  <c r="V134" i="15"/>
  <c r="C134" i="15" s="1"/>
  <c r="T134" i="15"/>
  <c r="S134" i="15"/>
  <c r="R134" i="15"/>
  <c r="Q134" i="15"/>
  <c r="P134" i="15"/>
  <c r="O134" i="15" s="1"/>
  <c r="K134" i="15"/>
  <c r="K139" i="15" s="1"/>
  <c r="I134" i="15"/>
  <c r="H134" i="15"/>
  <c r="AI14" i="15"/>
  <c r="P14" i="15" s="1"/>
  <c r="T14" i="15"/>
  <c r="J14" i="15"/>
  <c r="H14" i="15"/>
  <c r="G14" i="15"/>
  <c r="F14" i="15"/>
  <c r="E14" i="15"/>
  <c r="D14" i="15"/>
  <c r="C14" i="15"/>
  <c r="T13" i="15"/>
  <c r="J13" i="15"/>
  <c r="H13" i="15"/>
  <c r="G13" i="15"/>
  <c r="F13" i="15"/>
  <c r="E13" i="15"/>
  <c r="D13" i="15"/>
  <c r="C13" i="15"/>
  <c r="AC12" i="15"/>
  <c r="T12" i="15"/>
  <c r="H12" i="15"/>
  <c r="G12" i="15"/>
  <c r="F12" i="15"/>
  <c r="E12" i="15"/>
  <c r="D12" i="15"/>
  <c r="C12" i="15"/>
  <c r="AC11" i="15"/>
  <c r="T11" i="15"/>
  <c r="H11" i="15"/>
  <c r="G11" i="15"/>
  <c r="F11" i="15"/>
  <c r="E11" i="15"/>
  <c r="D11" i="15"/>
  <c r="C11" i="15"/>
  <c r="AC10" i="15"/>
  <c r="T10" i="15"/>
  <c r="H10" i="15"/>
  <c r="G10" i="15"/>
  <c r="F10" i="15"/>
  <c r="E10" i="15"/>
  <c r="D10" i="15"/>
  <c r="C10" i="15"/>
  <c r="AC9" i="15"/>
  <c r="T9" i="15"/>
  <c r="H9" i="15"/>
  <c r="G9" i="15"/>
  <c r="F9" i="15"/>
  <c r="E9" i="15"/>
  <c r="D9" i="15"/>
  <c r="C9" i="15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C343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C342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C341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C340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C339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C337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C336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C335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C334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C333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C331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C330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C329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C328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C327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C325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C324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C323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C322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C321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C319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C318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C317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C316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C315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C313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C312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C311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C310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C309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C307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C306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C305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C304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C303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C301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C300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C299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C297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C295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C294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C293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C292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C291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C289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C288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C287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C286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C285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W284" i="16"/>
  <c r="V284" i="16"/>
  <c r="Q223" i="15" l="1"/>
  <c r="AI248" i="18"/>
  <c r="Q249" i="18"/>
  <c r="Q251" i="18"/>
  <c r="Q254" i="18"/>
  <c r="Q253" i="18"/>
  <c r="Q252" i="18"/>
  <c r="Q250" i="18"/>
  <c r="E223" i="15"/>
  <c r="M223" i="15"/>
  <c r="C223" i="15"/>
  <c r="D139" i="15"/>
  <c r="D301" i="15"/>
  <c r="E139" i="15"/>
  <c r="M139" i="15"/>
  <c r="R223" i="15"/>
  <c r="K223" i="15"/>
  <c r="J223" i="15" s="1"/>
  <c r="F135" i="15"/>
  <c r="N138" i="15"/>
  <c r="P223" i="15"/>
  <c r="O223" i="15" s="1"/>
  <c r="N223" i="15" s="1"/>
  <c r="F138" i="15"/>
  <c r="G134" i="15"/>
  <c r="N135" i="15"/>
  <c r="O301" i="15"/>
  <c r="T139" i="15"/>
  <c r="C137" i="15"/>
  <c r="C139" i="15" s="1"/>
  <c r="R254" i="18"/>
  <c r="R252" i="18"/>
  <c r="AJ248" i="18"/>
  <c r="R253" i="18"/>
  <c r="R250" i="18"/>
  <c r="R249" i="18"/>
  <c r="R251" i="18"/>
  <c r="S244" i="18"/>
  <c r="S243" i="18"/>
  <c r="S246" i="18"/>
  <c r="S247" i="18"/>
  <c r="S245" i="18"/>
  <c r="AK242" i="18"/>
  <c r="S248" i="18"/>
  <c r="AH242" i="18"/>
  <c r="P248" i="18"/>
  <c r="P243" i="18"/>
  <c r="P245" i="18"/>
  <c r="P246" i="18"/>
  <c r="P244" i="18"/>
  <c r="P247" i="18"/>
  <c r="T290" i="16"/>
  <c r="S290" i="16" s="1"/>
  <c r="R290" i="16" s="1"/>
  <c r="Q290" i="16" s="1"/>
  <c r="P290" i="16" s="1"/>
  <c r="O290" i="16" s="1"/>
  <c r="N290" i="16" s="1"/>
  <c r="M290" i="16" s="1"/>
  <c r="L290" i="16" s="1"/>
  <c r="K290" i="16" s="1"/>
  <c r="J290" i="16" s="1"/>
  <c r="I290" i="16" s="1"/>
  <c r="H290" i="16" s="1"/>
  <c r="G290" i="16" s="1"/>
  <c r="F290" i="16" s="1"/>
  <c r="E290" i="16" s="1"/>
  <c r="D290" i="16" s="1"/>
  <c r="C290" i="16" s="1"/>
  <c r="T314" i="16"/>
  <c r="S314" i="16" s="1"/>
  <c r="R314" i="16" s="1"/>
  <c r="Q314" i="16" s="1"/>
  <c r="P314" i="16" s="1"/>
  <c r="O314" i="16" s="1"/>
  <c r="N314" i="16" s="1"/>
  <c r="M314" i="16" s="1"/>
  <c r="L314" i="16" s="1"/>
  <c r="K314" i="16" s="1"/>
  <c r="J314" i="16" s="1"/>
  <c r="I314" i="16" s="1"/>
  <c r="H314" i="16" s="1"/>
  <c r="G314" i="16" s="1"/>
  <c r="F314" i="16" s="1"/>
  <c r="E314" i="16" s="1"/>
  <c r="D314" i="16" s="1"/>
  <c r="C314" i="16" s="1"/>
  <c r="T338" i="16"/>
  <c r="S338" i="16" s="1"/>
  <c r="R338" i="16" s="1"/>
  <c r="Q338" i="16" s="1"/>
  <c r="P338" i="16" s="1"/>
  <c r="O338" i="16" s="1"/>
  <c r="N338" i="16" s="1"/>
  <c r="M338" i="16" s="1"/>
  <c r="L338" i="16" s="1"/>
  <c r="K338" i="16" s="1"/>
  <c r="J338" i="16" s="1"/>
  <c r="I338" i="16" s="1"/>
  <c r="H338" i="16" s="1"/>
  <c r="G338" i="16" s="1"/>
  <c r="F338" i="16" s="1"/>
  <c r="E338" i="16" s="1"/>
  <c r="D338" i="16" s="1"/>
  <c r="C338" i="16" s="1"/>
  <c r="P9" i="15"/>
  <c r="J9" i="15" s="1"/>
  <c r="L139" i="15"/>
  <c r="N137" i="15"/>
  <c r="G14" i="9"/>
  <c r="Q9" i="9"/>
  <c r="Q8" i="9"/>
  <c r="Q13" i="9"/>
  <c r="Q12" i="9"/>
  <c r="Q10" i="9"/>
  <c r="Q11" i="9"/>
  <c r="Q14" i="9"/>
  <c r="P10" i="15"/>
  <c r="J10" i="15" s="1"/>
  <c r="P136" i="15"/>
  <c r="O136" i="15" s="1"/>
  <c r="O139" i="15" s="1"/>
  <c r="S223" i="15"/>
  <c r="H301" i="15"/>
  <c r="G301" i="15" s="1"/>
  <c r="F301" i="15" s="1"/>
  <c r="T320" i="16"/>
  <c r="S320" i="16" s="1"/>
  <c r="R320" i="16" s="1"/>
  <c r="Q320" i="16" s="1"/>
  <c r="P320" i="16" s="1"/>
  <c r="O320" i="16" s="1"/>
  <c r="N320" i="16" s="1"/>
  <c r="M320" i="16" s="1"/>
  <c r="L320" i="16" s="1"/>
  <c r="K320" i="16" s="1"/>
  <c r="J320" i="16" s="1"/>
  <c r="I320" i="16" s="1"/>
  <c r="H320" i="16" s="1"/>
  <c r="G320" i="16" s="1"/>
  <c r="F320" i="16" s="1"/>
  <c r="E320" i="16" s="1"/>
  <c r="D320" i="16" s="1"/>
  <c r="C320" i="16" s="1"/>
  <c r="T344" i="16"/>
  <c r="S344" i="16" s="1"/>
  <c r="R344" i="16" s="1"/>
  <c r="Q344" i="16" s="1"/>
  <c r="P344" i="16" s="1"/>
  <c r="O344" i="16" s="1"/>
  <c r="N344" i="16" s="1"/>
  <c r="M344" i="16" s="1"/>
  <c r="L344" i="16" s="1"/>
  <c r="K344" i="16" s="1"/>
  <c r="J344" i="16" s="1"/>
  <c r="I344" i="16" s="1"/>
  <c r="H344" i="16" s="1"/>
  <c r="G344" i="16" s="1"/>
  <c r="F344" i="16" s="1"/>
  <c r="E344" i="16" s="1"/>
  <c r="D344" i="16" s="1"/>
  <c r="C344" i="16" s="1"/>
  <c r="P11" i="15"/>
  <c r="J11" i="15" s="1"/>
  <c r="P12" i="15"/>
  <c r="J12" i="15" s="1"/>
  <c r="O55" i="2"/>
  <c r="H55" i="2" s="1"/>
  <c r="I55" i="2"/>
  <c r="F55" i="2"/>
  <c r="E55" i="2"/>
  <c r="D55" i="2"/>
  <c r="C55" i="2"/>
  <c r="G55" i="2"/>
  <c r="T302" i="16"/>
  <c r="S302" i="16" s="1"/>
  <c r="R302" i="16" s="1"/>
  <c r="Q302" i="16" s="1"/>
  <c r="P302" i="16" s="1"/>
  <c r="O302" i="16" s="1"/>
  <c r="N302" i="16" s="1"/>
  <c r="M302" i="16" s="1"/>
  <c r="L302" i="16" s="1"/>
  <c r="K302" i="16" s="1"/>
  <c r="J302" i="16" s="1"/>
  <c r="I302" i="16" s="1"/>
  <c r="H302" i="16" s="1"/>
  <c r="G302" i="16" s="1"/>
  <c r="F302" i="16" s="1"/>
  <c r="E302" i="16" s="1"/>
  <c r="D302" i="16" s="1"/>
  <c r="C302" i="16" s="1"/>
  <c r="T326" i="16"/>
  <c r="S326" i="16" s="1"/>
  <c r="R326" i="16" s="1"/>
  <c r="Q326" i="16" s="1"/>
  <c r="P326" i="16" s="1"/>
  <c r="O326" i="16" s="1"/>
  <c r="N326" i="16" s="1"/>
  <c r="M326" i="16" s="1"/>
  <c r="L326" i="16" s="1"/>
  <c r="K326" i="16" s="1"/>
  <c r="J326" i="16" s="1"/>
  <c r="I326" i="16" s="1"/>
  <c r="H326" i="16" s="1"/>
  <c r="G326" i="16" s="1"/>
  <c r="F326" i="16" s="1"/>
  <c r="E326" i="16" s="1"/>
  <c r="D326" i="16" s="1"/>
  <c r="C326" i="16" s="1"/>
  <c r="P13" i="15"/>
  <c r="Q139" i="15"/>
  <c r="P139" i="15" s="1"/>
  <c r="H136" i="15"/>
  <c r="G136" i="15" s="1"/>
  <c r="H223" i="15"/>
  <c r="G223" i="15" s="1"/>
  <c r="J136" i="15"/>
  <c r="J139" i="15" s="1"/>
  <c r="I139" i="15" s="1"/>
  <c r="T296" i="16"/>
  <c r="S296" i="16" s="1"/>
  <c r="R296" i="16" s="1"/>
  <c r="Q296" i="16" s="1"/>
  <c r="P296" i="16" s="1"/>
  <c r="O296" i="16" s="1"/>
  <c r="N296" i="16" s="1"/>
  <c r="M296" i="16" s="1"/>
  <c r="L296" i="16" s="1"/>
  <c r="K296" i="16" s="1"/>
  <c r="J296" i="16" s="1"/>
  <c r="I296" i="16" s="1"/>
  <c r="H296" i="16" s="1"/>
  <c r="G296" i="16" s="1"/>
  <c r="F296" i="16" s="1"/>
  <c r="E296" i="16" s="1"/>
  <c r="D296" i="16" s="1"/>
  <c r="C296" i="16" s="1"/>
  <c r="F137" i="15"/>
  <c r="T308" i="16"/>
  <c r="S308" i="16" s="1"/>
  <c r="R308" i="16" s="1"/>
  <c r="Q308" i="16" s="1"/>
  <c r="P308" i="16" s="1"/>
  <c r="O308" i="16" s="1"/>
  <c r="N308" i="16" s="1"/>
  <c r="M308" i="16" s="1"/>
  <c r="L308" i="16" s="1"/>
  <c r="K308" i="16" s="1"/>
  <c r="J308" i="16" s="1"/>
  <c r="I308" i="16" s="1"/>
  <c r="H308" i="16" s="1"/>
  <c r="G308" i="16" s="1"/>
  <c r="F308" i="16" s="1"/>
  <c r="E308" i="16" s="1"/>
  <c r="D308" i="16" s="1"/>
  <c r="C308" i="16" s="1"/>
  <c r="T332" i="16"/>
  <c r="S332" i="16" s="1"/>
  <c r="R332" i="16" s="1"/>
  <c r="Q332" i="16" s="1"/>
  <c r="P332" i="16" s="1"/>
  <c r="O332" i="16" s="1"/>
  <c r="N332" i="16" s="1"/>
  <c r="M332" i="16" s="1"/>
  <c r="L332" i="16" s="1"/>
  <c r="K332" i="16" s="1"/>
  <c r="J332" i="16" s="1"/>
  <c r="I332" i="16" s="1"/>
  <c r="H332" i="16" s="1"/>
  <c r="G332" i="16" s="1"/>
  <c r="F332" i="16" s="1"/>
  <c r="E332" i="16" s="1"/>
  <c r="D332" i="16" s="1"/>
  <c r="C332" i="16" s="1"/>
  <c r="S139" i="15"/>
  <c r="R139" i="15" s="1"/>
  <c r="H135" i="15"/>
  <c r="AM283" i="16"/>
  <c r="T283" i="16" s="1"/>
  <c r="AL283" i="16"/>
  <c r="S283" i="16" s="1"/>
  <c r="AK283" i="16"/>
  <c r="R283" i="16" s="1"/>
  <c r="AJ283" i="16"/>
  <c r="Q283" i="16" s="1"/>
  <c r="AI283" i="16"/>
  <c r="AH283" i="16"/>
  <c r="AG283" i="16"/>
  <c r="AF283" i="16"/>
  <c r="AE283" i="16"/>
  <c r="L283" i="16" s="1"/>
  <c r="AD283" i="16"/>
  <c r="K283" i="16" s="1"/>
  <c r="AC283" i="16"/>
  <c r="AB283" i="16"/>
  <c r="I283" i="16" s="1"/>
  <c r="AA283" i="16"/>
  <c r="Z283" i="16"/>
  <c r="Y283" i="16"/>
  <c r="X283" i="16"/>
  <c r="W283" i="16"/>
  <c r="D283" i="16" s="1"/>
  <c r="V283" i="16"/>
  <c r="J283" i="16"/>
  <c r="C283" i="16"/>
  <c r="AM282" i="16"/>
  <c r="AL282" i="16"/>
  <c r="AK282" i="16"/>
  <c r="AJ282" i="16"/>
  <c r="AI282" i="16"/>
  <c r="P282" i="16" s="1"/>
  <c r="AH282" i="16"/>
  <c r="O282" i="16" s="1"/>
  <c r="AG282" i="16"/>
  <c r="N282" i="16" s="1"/>
  <c r="AF282" i="16"/>
  <c r="M282" i="16" s="1"/>
  <c r="AE282" i="16"/>
  <c r="AD282" i="16"/>
  <c r="AC282" i="16"/>
  <c r="AB282" i="16"/>
  <c r="AA282" i="16"/>
  <c r="H282" i="16" s="1"/>
  <c r="Z282" i="16"/>
  <c r="G282" i="16" s="1"/>
  <c r="Y282" i="16"/>
  <c r="F282" i="16" s="1"/>
  <c r="X282" i="16"/>
  <c r="E282" i="16" s="1"/>
  <c r="W282" i="16"/>
  <c r="V282" i="16"/>
  <c r="AM281" i="16"/>
  <c r="T281" i="16" s="1"/>
  <c r="AL281" i="16"/>
  <c r="S281" i="16" s="1"/>
  <c r="AK281" i="16"/>
  <c r="R281" i="16" s="1"/>
  <c r="AJ281" i="16"/>
  <c r="Q281" i="16" s="1"/>
  <c r="AI281" i="16"/>
  <c r="AH281" i="16"/>
  <c r="AG281" i="16"/>
  <c r="AF281" i="16"/>
  <c r="AE281" i="16"/>
  <c r="L281" i="16" s="1"/>
  <c r="AD281" i="16"/>
  <c r="K281" i="16" s="1"/>
  <c r="AC281" i="16"/>
  <c r="J281" i="16" s="1"/>
  <c r="AB281" i="16"/>
  <c r="I281" i="16" s="1"/>
  <c r="AA281" i="16"/>
  <c r="Z281" i="16"/>
  <c r="Y281" i="16"/>
  <c r="X281" i="16"/>
  <c r="W281" i="16"/>
  <c r="D281" i="16" s="1"/>
  <c r="V281" i="16"/>
  <c r="C281" i="16" s="1"/>
  <c r="AM280" i="16"/>
  <c r="AL280" i="16"/>
  <c r="AK280" i="16"/>
  <c r="AJ280" i="16"/>
  <c r="AI280" i="16"/>
  <c r="AH280" i="16"/>
  <c r="AG280" i="16"/>
  <c r="N280" i="16" s="1"/>
  <c r="AF280" i="16"/>
  <c r="M280" i="16" s="1"/>
  <c r="AE280" i="16"/>
  <c r="AD280" i="16"/>
  <c r="AC280" i="16"/>
  <c r="AB280" i="16"/>
  <c r="AA280" i="16"/>
  <c r="Z280" i="16"/>
  <c r="Y280" i="16"/>
  <c r="F280" i="16" s="1"/>
  <c r="X280" i="16"/>
  <c r="W280" i="16"/>
  <c r="V280" i="16"/>
  <c r="T280" i="16" s="1"/>
  <c r="S280" i="16" s="1"/>
  <c r="P280" i="16"/>
  <c r="O280" i="16"/>
  <c r="H280" i="16"/>
  <c r="G280" i="16"/>
  <c r="E280" i="16"/>
  <c r="AM279" i="16"/>
  <c r="T279" i="16" s="1"/>
  <c r="AL279" i="16"/>
  <c r="S279" i="16" s="1"/>
  <c r="AK279" i="16"/>
  <c r="AJ279" i="16"/>
  <c r="Q279" i="16" s="1"/>
  <c r="AI279" i="16"/>
  <c r="AH279" i="16"/>
  <c r="AG279" i="16"/>
  <c r="AF279" i="16"/>
  <c r="AE279" i="16"/>
  <c r="L279" i="16" s="1"/>
  <c r="AD279" i="16"/>
  <c r="AC279" i="16"/>
  <c r="J279" i="16" s="1"/>
  <c r="AB279" i="16"/>
  <c r="I279" i="16" s="1"/>
  <c r="AA279" i="16"/>
  <c r="Z279" i="16"/>
  <c r="Y279" i="16"/>
  <c r="X279" i="16"/>
  <c r="W279" i="16"/>
  <c r="D279" i="16" s="1"/>
  <c r="V279" i="16"/>
  <c r="C279" i="16" s="1"/>
  <c r="R279" i="16"/>
  <c r="K279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C277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C276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C275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C274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C273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C271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C270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C269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C268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C267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C265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C264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C263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C262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C261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C259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C258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C257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C256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C255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C253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C252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C251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C250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C249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C247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C246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C245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C244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C243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C241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C240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C239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C238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C237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C235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C234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C232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C231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C229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C228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C227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C226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C225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C223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C222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C221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C220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C219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C217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C216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C215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C214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C213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C211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C210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C209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C208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C207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W206" i="16"/>
  <c r="V206" i="16"/>
  <c r="AM205" i="16"/>
  <c r="T205" i="16" s="1"/>
  <c r="AL205" i="16"/>
  <c r="S205" i="16" s="1"/>
  <c r="AK205" i="16"/>
  <c r="R205" i="16" s="1"/>
  <c r="AJ205" i="16"/>
  <c r="Q205" i="16" s="1"/>
  <c r="AI205" i="16"/>
  <c r="AH205" i="16"/>
  <c r="AG205" i="16"/>
  <c r="AF205" i="16"/>
  <c r="AE205" i="16"/>
  <c r="L205" i="16" s="1"/>
  <c r="AD205" i="16"/>
  <c r="K205" i="16" s="1"/>
  <c r="AC205" i="16"/>
  <c r="AB205" i="16"/>
  <c r="I205" i="16" s="1"/>
  <c r="AA205" i="16"/>
  <c r="Z205" i="16"/>
  <c r="Y205" i="16"/>
  <c r="X205" i="16"/>
  <c r="W205" i="16"/>
  <c r="D205" i="16" s="1"/>
  <c r="V205" i="16"/>
  <c r="C205" i="16" s="1"/>
  <c r="J205" i="16"/>
  <c r="AM204" i="16"/>
  <c r="AL204" i="16"/>
  <c r="AK204" i="16"/>
  <c r="AJ204" i="16"/>
  <c r="AI204" i="16"/>
  <c r="P204" i="16" s="1"/>
  <c r="AH204" i="16"/>
  <c r="O204" i="16" s="1"/>
  <c r="AG204" i="16"/>
  <c r="N204" i="16" s="1"/>
  <c r="AF204" i="16"/>
  <c r="AE204" i="16"/>
  <c r="AD204" i="16"/>
  <c r="AC204" i="16"/>
  <c r="AB204" i="16"/>
  <c r="AA204" i="16"/>
  <c r="H204" i="16" s="1"/>
  <c r="Z204" i="16"/>
  <c r="G204" i="16" s="1"/>
  <c r="Y204" i="16"/>
  <c r="F204" i="16" s="1"/>
  <c r="X204" i="16"/>
  <c r="W204" i="16"/>
  <c r="V204" i="16"/>
  <c r="T204" i="16" s="1"/>
  <c r="S204" i="16" s="1"/>
  <c r="M204" i="16"/>
  <c r="L204" i="16" s="1"/>
  <c r="K204" i="16" s="1"/>
  <c r="J204" i="16" s="1"/>
  <c r="I204" i="16" s="1"/>
  <c r="E204" i="16"/>
  <c r="AM203" i="16"/>
  <c r="T203" i="16" s="1"/>
  <c r="AL203" i="16"/>
  <c r="S203" i="16" s="1"/>
  <c r="AK203" i="16"/>
  <c r="R203" i="16" s="1"/>
  <c r="AJ203" i="16"/>
  <c r="Q203" i="16" s="1"/>
  <c r="AI203" i="16"/>
  <c r="AH203" i="16"/>
  <c r="AG203" i="16"/>
  <c r="AF203" i="16"/>
  <c r="AE203" i="16"/>
  <c r="L203" i="16" s="1"/>
  <c r="AD203" i="16"/>
  <c r="K203" i="16" s="1"/>
  <c r="AC203" i="16"/>
  <c r="AB203" i="16"/>
  <c r="I203" i="16" s="1"/>
  <c r="AA203" i="16"/>
  <c r="Z203" i="16"/>
  <c r="Y203" i="16"/>
  <c r="X203" i="16"/>
  <c r="W203" i="16"/>
  <c r="D203" i="16" s="1"/>
  <c r="V203" i="16"/>
  <c r="C203" i="16" s="1"/>
  <c r="J203" i="16"/>
  <c r="AM202" i="16"/>
  <c r="AL202" i="16"/>
  <c r="AK202" i="16"/>
  <c r="AJ202" i="16"/>
  <c r="AI202" i="16"/>
  <c r="P202" i="16" s="1"/>
  <c r="AH202" i="16"/>
  <c r="AG202" i="16"/>
  <c r="N202" i="16" s="1"/>
  <c r="AF202" i="16"/>
  <c r="M202" i="16" s="1"/>
  <c r="AE202" i="16"/>
  <c r="AD202" i="16"/>
  <c r="AC202" i="16"/>
  <c r="AB202" i="16"/>
  <c r="AA202" i="16"/>
  <c r="H202" i="16" s="1"/>
  <c r="Z202" i="16"/>
  <c r="Y202" i="16"/>
  <c r="F202" i="16" s="1"/>
  <c r="X202" i="16"/>
  <c r="E202" i="16" s="1"/>
  <c r="W202" i="16"/>
  <c r="V202" i="16"/>
  <c r="O202" i="16"/>
  <c r="G202" i="16"/>
  <c r="AM201" i="16"/>
  <c r="AL201" i="16"/>
  <c r="S201" i="16" s="1"/>
  <c r="AK201" i="16"/>
  <c r="R201" i="16" s="1"/>
  <c r="AJ201" i="16"/>
  <c r="AI201" i="16"/>
  <c r="AH201" i="16"/>
  <c r="AG201" i="16"/>
  <c r="AF201" i="16"/>
  <c r="AE201" i="16"/>
  <c r="AD201" i="16"/>
  <c r="K201" i="16" s="1"/>
  <c r="AC201" i="16"/>
  <c r="J201" i="16" s="1"/>
  <c r="AB201" i="16"/>
  <c r="I201" i="16" s="1"/>
  <c r="AA201" i="16"/>
  <c r="Z201" i="16"/>
  <c r="Y201" i="16"/>
  <c r="X201" i="16"/>
  <c r="W201" i="16"/>
  <c r="D201" i="16" s="1"/>
  <c r="V201" i="16"/>
  <c r="C201" i="16" s="1"/>
  <c r="T201" i="16"/>
  <c r="Q201" i="16"/>
  <c r="L201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C199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C198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C197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C196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C195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C193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C192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C191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C190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C189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C187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C186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C185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C184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C183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C181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C180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C179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C178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C177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C175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C174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C173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C172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C171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C169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C168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C167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C166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C165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C163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C162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C161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C160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C159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C157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C156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C155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C154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C153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C151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C150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C149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C148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C147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C145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C144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C143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C142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C141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C139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C138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C137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C136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C135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C133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C132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C131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C130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C129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C127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C126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C125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C124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C123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W122" i="16"/>
  <c r="V122" i="16"/>
  <c r="AM121" i="16"/>
  <c r="AL121" i="16"/>
  <c r="AK121" i="16"/>
  <c r="AJ121" i="16"/>
  <c r="AI121" i="16"/>
  <c r="P121" i="16" s="1"/>
  <c r="AH121" i="16"/>
  <c r="O121" i="16" s="1"/>
  <c r="AG121" i="16"/>
  <c r="N121" i="16" s="1"/>
  <c r="AF121" i="16"/>
  <c r="M121" i="16" s="1"/>
  <c r="AE121" i="16"/>
  <c r="AD121" i="16"/>
  <c r="AC121" i="16"/>
  <c r="AB121" i="16"/>
  <c r="AA121" i="16"/>
  <c r="H121" i="16" s="1"/>
  <c r="Z121" i="16"/>
  <c r="G121" i="16" s="1"/>
  <c r="Y121" i="16"/>
  <c r="F121" i="16" s="1"/>
  <c r="X121" i="16"/>
  <c r="E121" i="16" s="1"/>
  <c r="W121" i="16"/>
  <c r="V121" i="16"/>
  <c r="AM120" i="16"/>
  <c r="T120" i="16" s="1"/>
  <c r="AL120" i="16"/>
  <c r="AK120" i="16"/>
  <c r="R120" i="16" s="1"/>
  <c r="AJ120" i="16"/>
  <c r="Q120" i="16" s="1"/>
  <c r="AI120" i="16"/>
  <c r="AH120" i="16"/>
  <c r="AG120" i="16"/>
  <c r="AF120" i="16"/>
  <c r="AE120" i="16"/>
  <c r="L120" i="16" s="1"/>
  <c r="AD120" i="16"/>
  <c r="K120" i="16" s="1"/>
  <c r="AC120" i="16"/>
  <c r="J120" i="16" s="1"/>
  <c r="AB120" i="16"/>
  <c r="I120" i="16" s="1"/>
  <c r="AA120" i="16"/>
  <c r="Z120" i="16"/>
  <c r="Y120" i="16"/>
  <c r="X120" i="16"/>
  <c r="W120" i="16"/>
  <c r="D120" i="16" s="1"/>
  <c r="V120" i="16"/>
  <c r="C120" i="16" s="1"/>
  <c r="S120" i="16"/>
  <c r="AM119" i="16"/>
  <c r="AL119" i="16"/>
  <c r="AK119" i="16"/>
  <c r="AJ119" i="16"/>
  <c r="AI119" i="16"/>
  <c r="AH119" i="16"/>
  <c r="O119" i="16" s="1"/>
  <c r="AG119" i="16"/>
  <c r="N119" i="16" s="1"/>
  <c r="AF119" i="16"/>
  <c r="M119" i="16" s="1"/>
  <c r="AE119" i="16"/>
  <c r="AD119" i="16"/>
  <c r="AC119" i="16"/>
  <c r="AB119" i="16"/>
  <c r="AA119" i="16"/>
  <c r="H119" i="16" s="1"/>
  <c r="Z119" i="16"/>
  <c r="G119" i="16" s="1"/>
  <c r="Y119" i="16"/>
  <c r="F119" i="16" s="1"/>
  <c r="X119" i="16"/>
  <c r="E119" i="16" s="1"/>
  <c r="W119" i="16"/>
  <c r="V119" i="16"/>
  <c r="P119" i="16"/>
  <c r="AM118" i="16"/>
  <c r="T118" i="16" s="1"/>
  <c r="AL118" i="16"/>
  <c r="S118" i="16" s="1"/>
  <c r="AK118" i="16"/>
  <c r="R118" i="16" s="1"/>
  <c r="AJ118" i="16"/>
  <c r="Q118" i="16" s="1"/>
  <c r="P118" i="16" s="1"/>
  <c r="O118" i="16" s="1"/>
  <c r="AI118" i="16"/>
  <c r="AH118" i="16"/>
  <c r="AG118" i="16"/>
  <c r="AF118" i="16"/>
  <c r="AE118" i="16"/>
  <c r="L118" i="16" s="1"/>
  <c r="AD118" i="16"/>
  <c r="K118" i="16" s="1"/>
  <c r="AC118" i="16"/>
  <c r="J118" i="16" s="1"/>
  <c r="AB118" i="16"/>
  <c r="I118" i="16" s="1"/>
  <c r="H118" i="16" s="1"/>
  <c r="G118" i="16" s="1"/>
  <c r="AA118" i="16"/>
  <c r="Z118" i="16"/>
  <c r="Y118" i="16"/>
  <c r="X118" i="16"/>
  <c r="W118" i="16"/>
  <c r="D118" i="16" s="1"/>
  <c r="V118" i="16"/>
  <c r="C118" i="16" s="1"/>
  <c r="AM117" i="16"/>
  <c r="AL117" i="16"/>
  <c r="AK117" i="16"/>
  <c r="AJ117" i="16"/>
  <c r="AI117" i="16"/>
  <c r="P117" i="16" s="1"/>
  <c r="AH117" i="16"/>
  <c r="O117" i="16" s="1"/>
  <c r="AG117" i="16"/>
  <c r="N117" i="16" s="1"/>
  <c r="AF117" i="16"/>
  <c r="M117" i="16" s="1"/>
  <c r="L117" i="16" s="1"/>
  <c r="AE117" i="16"/>
  <c r="AD117" i="16"/>
  <c r="AC117" i="16"/>
  <c r="AB117" i="16"/>
  <c r="AA117" i="16"/>
  <c r="H117" i="16" s="1"/>
  <c r="Z117" i="16"/>
  <c r="Y117" i="16"/>
  <c r="F117" i="16" s="1"/>
  <c r="X117" i="16"/>
  <c r="W117" i="16"/>
  <c r="V117" i="16"/>
  <c r="E117" i="16"/>
  <c r="D117" i="16" s="1"/>
  <c r="AI14" i="16"/>
  <c r="AC12" i="16"/>
  <c r="AC11" i="16"/>
  <c r="AC10" i="16"/>
  <c r="AC9" i="16"/>
  <c r="AQ15" i="18"/>
  <c r="AP15" i="18"/>
  <c r="AO15" i="18"/>
  <c r="AN15" i="18"/>
  <c r="AM15" i="18"/>
  <c r="AK15" i="18"/>
  <c r="AG15" i="18"/>
  <c r="O15" i="18" s="1"/>
  <c r="AA15" i="18"/>
  <c r="I11" i="18" s="1"/>
  <c r="R15" i="18"/>
  <c r="Q15" i="18"/>
  <c r="P15" i="18"/>
  <c r="N15" i="18"/>
  <c r="M15" i="18"/>
  <c r="L15" i="18"/>
  <c r="K15" i="18"/>
  <c r="J15" i="18"/>
  <c r="H15" i="18"/>
  <c r="G15" i="18"/>
  <c r="F15" i="18"/>
  <c r="E15" i="18"/>
  <c r="D15" i="18"/>
  <c r="C15" i="18"/>
  <c r="AK14" i="18"/>
  <c r="AG14" i="18"/>
  <c r="AA14" i="18"/>
  <c r="R14" i="18"/>
  <c r="Q14" i="18"/>
  <c r="P14" i="18"/>
  <c r="N14" i="18"/>
  <c r="M14" i="18"/>
  <c r="L14" i="18"/>
  <c r="K14" i="18"/>
  <c r="J14" i="18"/>
  <c r="H14" i="18"/>
  <c r="G14" i="18"/>
  <c r="F14" i="18"/>
  <c r="E14" i="18"/>
  <c r="D14" i="18"/>
  <c r="C14" i="18"/>
  <c r="AK13" i="18"/>
  <c r="AG13" i="18"/>
  <c r="AA13" i="18"/>
  <c r="R13" i="18"/>
  <c r="Q13" i="18"/>
  <c r="P13" i="18"/>
  <c r="N13" i="18"/>
  <c r="M13" i="18"/>
  <c r="L13" i="18"/>
  <c r="K13" i="18"/>
  <c r="J13" i="18"/>
  <c r="H13" i="18"/>
  <c r="G13" i="18"/>
  <c r="F13" i="18"/>
  <c r="E13" i="18"/>
  <c r="D13" i="18"/>
  <c r="C13" i="18"/>
  <c r="AK12" i="18"/>
  <c r="AG12" i="18"/>
  <c r="AA12" i="18"/>
  <c r="R12" i="18"/>
  <c r="Q12" i="18"/>
  <c r="P12" i="18"/>
  <c r="N12" i="18"/>
  <c r="M12" i="18"/>
  <c r="L12" i="18"/>
  <c r="K12" i="18"/>
  <c r="J12" i="18"/>
  <c r="H12" i="18"/>
  <c r="G12" i="18"/>
  <c r="F12" i="18"/>
  <c r="E12" i="18"/>
  <c r="D12" i="18"/>
  <c r="C12" i="18"/>
  <c r="AK11" i="18"/>
  <c r="AG11" i="18"/>
  <c r="R11" i="18"/>
  <c r="Q11" i="18"/>
  <c r="P11" i="18"/>
  <c r="N11" i="18"/>
  <c r="M11" i="18"/>
  <c r="L11" i="18"/>
  <c r="K11" i="18"/>
  <c r="J11" i="18"/>
  <c r="H11" i="18"/>
  <c r="G11" i="18"/>
  <c r="F11" i="18"/>
  <c r="E11" i="18"/>
  <c r="D11" i="18"/>
  <c r="C11" i="18"/>
  <c r="AK10" i="18"/>
  <c r="AG10" i="18"/>
  <c r="R10" i="18"/>
  <c r="Q10" i="18"/>
  <c r="P10" i="18"/>
  <c r="N10" i="18"/>
  <c r="M10" i="18"/>
  <c r="L10" i="18"/>
  <c r="K10" i="18"/>
  <c r="J10" i="18"/>
  <c r="H10" i="18"/>
  <c r="G10" i="18"/>
  <c r="F10" i="18"/>
  <c r="E10" i="18"/>
  <c r="D10" i="18"/>
  <c r="C10" i="18"/>
  <c r="AK9" i="18"/>
  <c r="AG9" i="18"/>
  <c r="R9" i="18"/>
  <c r="Q9" i="18"/>
  <c r="P9" i="18"/>
  <c r="N9" i="18"/>
  <c r="M9" i="18"/>
  <c r="L9" i="18"/>
  <c r="K9" i="18"/>
  <c r="J9" i="18"/>
  <c r="H9" i="18"/>
  <c r="G9" i="18"/>
  <c r="F9" i="18"/>
  <c r="E9" i="18"/>
  <c r="D9" i="18"/>
  <c r="C9" i="18"/>
  <c r="AK15" i="19"/>
  <c r="AG15" i="19"/>
  <c r="AA15" i="19"/>
  <c r="I15" i="19" s="1"/>
  <c r="R15" i="19"/>
  <c r="Q15" i="19"/>
  <c r="P15" i="19"/>
  <c r="N15" i="19"/>
  <c r="M15" i="19"/>
  <c r="L15" i="19"/>
  <c r="K15" i="19"/>
  <c r="J15" i="19"/>
  <c r="H15" i="19"/>
  <c r="G15" i="19"/>
  <c r="F15" i="19"/>
  <c r="E15" i="19"/>
  <c r="D15" i="19"/>
  <c r="C15" i="19"/>
  <c r="AK14" i="19"/>
  <c r="AG14" i="19"/>
  <c r="R14" i="19"/>
  <c r="Q14" i="19"/>
  <c r="P14" i="19"/>
  <c r="N14" i="19"/>
  <c r="M14" i="19"/>
  <c r="L14" i="19"/>
  <c r="K14" i="19"/>
  <c r="J14" i="19"/>
  <c r="H14" i="19"/>
  <c r="G14" i="19"/>
  <c r="F14" i="19"/>
  <c r="E14" i="19"/>
  <c r="D14" i="19"/>
  <c r="C14" i="19"/>
  <c r="AK13" i="19"/>
  <c r="AG13" i="19"/>
  <c r="AA13" i="19"/>
  <c r="R13" i="19"/>
  <c r="Q13" i="19"/>
  <c r="P13" i="19"/>
  <c r="N13" i="19"/>
  <c r="M13" i="19"/>
  <c r="L13" i="19"/>
  <c r="K13" i="19"/>
  <c r="J13" i="19"/>
  <c r="H13" i="19"/>
  <c r="G13" i="19"/>
  <c r="F13" i="19"/>
  <c r="E13" i="19"/>
  <c r="D13" i="19"/>
  <c r="C13" i="19"/>
  <c r="AK12" i="19"/>
  <c r="AG12" i="19"/>
  <c r="AA12" i="19"/>
  <c r="R12" i="19"/>
  <c r="Q12" i="19"/>
  <c r="P12" i="19"/>
  <c r="N12" i="19"/>
  <c r="M12" i="19"/>
  <c r="L12" i="19"/>
  <c r="K12" i="19"/>
  <c r="J12" i="19"/>
  <c r="H12" i="19"/>
  <c r="G12" i="19"/>
  <c r="F12" i="19"/>
  <c r="E12" i="19"/>
  <c r="D12" i="19"/>
  <c r="C12" i="19"/>
  <c r="AK11" i="19"/>
  <c r="AG11" i="19"/>
  <c r="AA11" i="19"/>
  <c r="R11" i="19"/>
  <c r="Q11" i="19"/>
  <c r="P11" i="19"/>
  <c r="N11" i="19"/>
  <c r="M11" i="19"/>
  <c r="L11" i="19"/>
  <c r="K11" i="19"/>
  <c r="J11" i="19"/>
  <c r="H11" i="19"/>
  <c r="G11" i="19"/>
  <c r="F11" i="19"/>
  <c r="E11" i="19"/>
  <c r="D11" i="19"/>
  <c r="C11" i="19"/>
  <c r="AK10" i="19"/>
  <c r="AG10" i="19"/>
  <c r="AA10" i="19"/>
  <c r="R10" i="19"/>
  <c r="Q10" i="19"/>
  <c r="P10" i="19"/>
  <c r="N10" i="19"/>
  <c r="M10" i="19"/>
  <c r="L10" i="19"/>
  <c r="K10" i="19"/>
  <c r="J10" i="19"/>
  <c r="H10" i="19"/>
  <c r="G10" i="19"/>
  <c r="F10" i="19"/>
  <c r="E10" i="19"/>
  <c r="D10" i="19"/>
  <c r="C10" i="19"/>
  <c r="AK9" i="19"/>
  <c r="AG9" i="19"/>
  <c r="AA9" i="19"/>
  <c r="R9" i="19"/>
  <c r="Q9" i="19"/>
  <c r="P9" i="19"/>
  <c r="N9" i="19"/>
  <c r="M9" i="19"/>
  <c r="L9" i="19"/>
  <c r="K9" i="19"/>
  <c r="J9" i="19"/>
  <c r="H9" i="19"/>
  <c r="G9" i="19"/>
  <c r="F9" i="19"/>
  <c r="E9" i="19"/>
  <c r="D9" i="19"/>
  <c r="C9" i="19"/>
  <c r="T378" i="20"/>
  <c r="S378" i="20"/>
  <c r="R378" i="20"/>
  <c r="Q378" i="20"/>
  <c r="P378" i="20"/>
  <c r="O378" i="20"/>
  <c r="N378" i="20"/>
  <c r="M378" i="20"/>
  <c r="L378" i="20"/>
  <c r="K378" i="20"/>
  <c r="J378" i="20"/>
  <c r="I378" i="20"/>
  <c r="H378" i="20"/>
  <c r="G378" i="20"/>
  <c r="F378" i="20"/>
  <c r="E378" i="20"/>
  <c r="D378" i="20"/>
  <c r="C378" i="20"/>
  <c r="T377" i="20"/>
  <c r="S377" i="20"/>
  <c r="R377" i="20"/>
  <c r="Q377" i="20"/>
  <c r="P377" i="20"/>
  <c r="O377" i="20"/>
  <c r="N377" i="20"/>
  <c r="M377" i="20"/>
  <c r="L377" i="20"/>
  <c r="K377" i="20"/>
  <c r="J377" i="20"/>
  <c r="I377" i="20"/>
  <c r="H377" i="20"/>
  <c r="G377" i="20"/>
  <c r="F377" i="20"/>
  <c r="E377" i="20"/>
  <c r="D377" i="20"/>
  <c r="C377" i="20"/>
  <c r="T376" i="20"/>
  <c r="S376" i="20"/>
  <c r="R376" i="20"/>
  <c r="Q376" i="20"/>
  <c r="P376" i="20"/>
  <c r="O376" i="20"/>
  <c r="N376" i="20"/>
  <c r="M376" i="20"/>
  <c r="L376" i="20"/>
  <c r="K376" i="20"/>
  <c r="J376" i="20"/>
  <c r="I376" i="20"/>
  <c r="H376" i="20"/>
  <c r="G376" i="20"/>
  <c r="F376" i="20"/>
  <c r="E376" i="20"/>
  <c r="D376" i="20"/>
  <c r="C376" i="20"/>
  <c r="T375" i="20"/>
  <c r="S375" i="20"/>
  <c r="R375" i="20"/>
  <c r="Q375" i="20"/>
  <c r="P375" i="20"/>
  <c r="O375" i="20"/>
  <c r="N375" i="20"/>
  <c r="M375" i="20"/>
  <c r="L375" i="20"/>
  <c r="K375" i="20"/>
  <c r="J375" i="20"/>
  <c r="I375" i="20"/>
  <c r="H375" i="20"/>
  <c r="G375" i="20"/>
  <c r="F375" i="20"/>
  <c r="E375" i="20"/>
  <c r="D375" i="20"/>
  <c r="C375" i="20"/>
  <c r="T374" i="20"/>
  <c r="S374" i="20"/>
  <c r="R374" i="20"/>
  <c r="Q374" i="20"/>
  <c r="P374" i="20"/>
  <c r="O374" i="20"/>
  <c r="N374" i="20"/>
  <c r="M374" i="20"/>
  <c r="L374" i="20"/>
  <c r="K374" i="20"/>
  <c r="J374" i="20"/>
  <c r="I374" i="20"/>
  <c r="H374" i="20"/>
  <c r="G374" i="20"/>
  <c r="F374" i="20"/>
  <c r="E374" i="20"/>
  <c r="D374" i="20"/>
  <c r="C374" i="20"/>
  <c r="T372" i="20"/>
  <c r="S372" i="20"/>
  <c r="R372" i="20"/>
  <c r="Q372" i="20"/>
  <c r="P372" i="20"/>
  <c r="O372" i="20"/>
  <c r="N372" i="20"/>
  <c r="M372" i="20"/>
  <c r="L372" i="20"/>
  <c r="K372" i="20"/>
  <c r="J372" i="20"/>
  <c r="I372" i="20"/>
  <c r="H372" i="20"/>
  <c r="G372" i="20"/>
  <c r="F372" i="20"/>
  <c r="E372" i="20"/>
  <c r="D372" i="20"/>
  <c r="C372" i="20"/>
  <c r="T371" i="20"/>
  <c r="S371" i="20"/>
  <c r="R371" i="20"/>
  <c r="Q371" i="20"/>
  <c r="P371" i="20"/>
  <c r="O371" i="20"/>
  <c r="N371" i="20"/>
  <c r="M371" i="20"/>
  <c r="L371" i="20"/>
  <c r="K371" i="20"/>
  <c r="J371" i="20"/>
  <c r="I371" i="20"/>
  <c r="H371" i="20"/>
  <c r="G371" i="20"/>
  <c r="F371" i="20"/>
  <c r="E371" i="20"/>
  <c r="D371" i="20"/>
  <c r="C371" i="20"/>
  <c r="T370" i="20"/>
  <c r="S370" i="20"/>
  <c r="R370" i="20"/>
  <c r="Q370" i="20"/>
  <c r="P370" i="20"/>
  <c r="O370" i="20"/>
  <c r="N370" i="20"/>
  <c r="M370" i="20"/>
  <c r="L370" i="20"/>
  <c r="K370" i="20"/>
  <c r="J370" i="20"/>
  <c r="I370" i="20"/>
  <c r="H370" i="20"/>
  <c r="G370" i="20"/>
  <c r="F370" i="20"/>
  <c r="E370" i="20"/>
  <c r="D370" i="20"/>
  <c r="C370" i="20"/>
  <c r="T369" i="20"/>
  <c r="S369" i="20"/>
  <c r="R369" i="20"/>
  <c r="Q369" i="20"/>
  <c r="P369" i="20"/>
  <c r="O369" i="20"/>
  <c r="O373" i="20" s="1"/>
  <c r="N369" i="20"/>
  <c r="M369" i="20"/>
  <c r="L369" i="20"/>
  <c r="K369" i="20"/>
  <c r="J369" i="20"/>
  <c r="I369" i="20"/>
  <c r="H369" i="20"/>
  <c r="G369" i="20"/>
  <c r="F369" i="20"/>
  <c r="E369" i="20"/>
  <c r="D369" i="20"/>
  <c r="C369" i="20"/>
  <c r="T368" i="20"/>
  <c r="S368" i="20"/>
  <c r="R368" i="20"/>
  <c r="Q368" i="20"/>
  <c r="Q373" i="20" s="1"/>
  <c r="P368" i="20"/>
  <c r="O368" i="20"/>
  <c r="N368" i="20"/>
  <c r="M368" i="20"/>
  <c r="L368" i="20"/>
  <c r="K368" i="20"/>
  <c r="J368" i="20"/>
  <c r="J373" i="20" s="1"/>
  <c r="I368" i="20"/>
  <c r="I373" i="20" s="1"/>
  <c r="H368" i="20"/>
  <c r="G368" i="20"/>
  <c r="F368" i="20"/>
  <c r="E368" i="20"/>
  <c r="D368" i="20"/>
  <c r="C368" i="20"/>
  <c r="T366" i="20"/>
  <c r="S366" i="20"/>
  <c r="R366" i="20"/>
  <c r="Q366" i="20"/>
  <c r="P366" i="20"/>
  <c r="O366" i="20"/>
  <c r="N366" i="20"/>
  <c r="M366" i="20"/>
  <c r="L366" i="20"/>
  <c r="K366" i="20"/>
  <c r="J366" i="20"/>
  <c r="I366" i="20"/>
  <c r="H366" i="20"/>
  <c r="G366" i="20"/>
  <c r="F366" i="20"/>
  <c r="E366" i="20"/>
  <c r="D366" i="20"/>
  <c r="C366" i="20"/>
  <c r="T365" i="20"/>
  <c r="S365" i="20"/>
  <c r="R365" i="20"/>
  <c r="Q365" i="20"/>
  <c r="P365" i="20"/>
  <c r="O365" i="20"/>
  <c r="N365" i="20"/>
  <c r="M365" i="20"/>
  <c r="L365" i="20"/>
  <c r="K365" i="20"/>
  <c r="J365" i="20"/>
  <c r="I365" i="20"/>
  <c r="H365" i="20"/>
  <c r="G365" i="20"/>
  <c r="F365" i="20"/>
  <c r="E365" i="20"/>
  <c r="D365" i="20"/>
  <c r="C365" i="20"/>
  <c r="T364" i="20"/>
  <c r="S364" i="20"/>
  <c r="R364" i="20"/>
  <c r="Q364" i="20"/>
  <c r="P364" i="20"/>
  <c r="O364" i="20"/>
  <c r="N364" i="20"/>
  <c r="M364" i="20"/>
  <c r="L364" i="20"/>
  <c r="K364" i="20"/>
  <c r="J364" i="20"/>
  <c r="I364" i="20"/>
  <c r="H364" i="20"/>
  <c r="H367" i="20" s="1"/>
  <c r="G364" i="20"/>
  <c r="F364" i="20"/>
  <c r="E364" i="20"/>
  <c r="D364" i="20"/>
  <c r="C364" i="20"/>
  <c r="T363" i="20"/>
  <c r="S363" i="20"/>
  <c r="R363" i="20"/>
  <c r="Q363" i="20"/>
  <c r="P363" i="20"/>
  <c r="O363" i="20"/>
  <c r="N363" i="20"/>
  <c r="M363" i="20"/>
  <c r="L363" i="20"/>
  <c r="K363" i="20"/>
  <c r="K367" i="20" s="1"/>
  <c r="J363" i="20"/>
  <c r="I363" i="20"/>
  <c r="H363" i="20"/>
  <c r="G363" i="20"/>
  <c r="F363" i="20"/>
  <c r="E363" i="20"/>
  <c r="D363" i="20"/>
  <c r="C363" i="20"/>
  <c r="T362" i="20"/>
  <c r="S362" i="20"/>
  <c r="R362" i="20"/>
  <c r="Q362" i="20"/>
  <c r="P362" i="20"/>
  <c r="O362" i="20"/>
  <c r="N362" i="20"/>
  <c r="M362" i="20"/>
  <c r="L362" i="20"/>
  <c r="K362" i="20"/>
  <c r="J362" i="20"/>
  <c r="I362" i="20"/>
  <c r="H362" i="20"/>
  <c r="G362" i="20"/>
  <c r="F362" i="20"/>
  <c r="E362" i="20"/>
  <c r="D362" i="20"/>
  <c r="C362" i="20"/>
  <c r="T360" i="20"/>
  <c r="S360" i="20"/>
  <c r="R360" i="20"/>
  <c r="Q360" i="20"/>
  <c r="P360" i="20"/>
  <c r="O360" i="20"/>
  <c r="N360" i="20"/>
  <c r="M360" i="20"/>
  <c r="L360" i="20"/>
  <c r="K360" i="20"/>
  <c r="J360" i="20"/>
  <c r="I360" i="20"/>
  <c r="H360" i="20"/>
  <c r="G360" i="20"/>
  <c r="F360" i="20"/>
  <c r="E360" i="20"/>
  <c r="D360" i="20"/>
  <c r="C360" i="20"/>
  <c r="T359" i="20"/>
  <c r="S359" i="20"/>
  <c r="R359" i="20"/>
  <c r="Q359" i="20"/>
  <c r="P359" i="20"/>
  <c r="O359" i="20"/>
  <c r="N359" i="20"/>
  <c r="M359" i="20"/>
  <c r="L359" i="20"/>
  <c r="K359" i="20"/>
  <c r="J359" i="20"/>
  <c r="I359" i="20"/>
  <c r="H359" i="20"/>
  <c r="G359" i="20"/>
  <c r="F359" i="20"/>
  <c r="E359" i="20"/>
  <c r="D359" i="20"/>
  <c r="C359" i="20"/>
  <c r="T358" i="20"/>
  <c r="S358" i="20"/>
  <c r="R358" i="20"/>
  <c r="Q358" i="20"/>
  <c r="P358" i="20"/>
  <c r="O358" i="20"/>
  <c r="N358" i="20"/>
  <c r="M358" i="20"/>
  <c r="L358" i="20"/>
  <c r="K358" i="20"/>
  <c r="J358" i="20"/>
  <c r="I358" i="20"/>
  <c r="H358" i="20"/>
  <c r="G358" i="20"/>
  <c r="F358" i="20"/>
  <c r="E358" i="20"/>
  <c r="D358" i="20"/>
  <c r="C358" i="20"/>
  <c r="T357" i="20"/>
  <c r="S357" i="20"/>
  <c r="R357" i="20"/>
  <c r="Q357" i="20"/>
  <c r="P357" i="20"/>
  <c r="O357" i="20"/>
  <c r="N357" i="20"/>
  <c r="M357" i="20"/>
  <c r="L357" i="20"/>
  <c r="K357" i="20"/>
  <c r="J357" i="20"/>
  <c r="I357" i="20"/>
  <c r="H357" i="20"/>
  <c r="G357" i="20"/>
  <c r="F357" i="20"/>
  <c r="E357" i="20"/>
  <c r="D357" i="20"/>
  <c r="C357" i="20"/>
  <c r="T356" i="20"/>
  <c r="S356" i="20"/>
  <c r="R356" i="20"/>
  <c r="Q356" i="20"/>
  <c r="P356" i="20"/>
  <c r="O356" i="20"/>
  <c r="N356" i="20"/>
  <c r="M356" i="20"/>
  <c r="L356" i="20"/>
  <c r="K356" i="20"/>
  <c r="J356" i="20"/>
  <c r="I356" i="20"/>
  <c r="H356" i="20"/>
  <c r="G356" i="20"/>
  <c r="F356" i="20"/>
  <c r="E356" i="20"/>
  <c r="D356" i="20"/>
  <c r="C356" i="20"/>
  <c r="T354" i="20"/>
  <c r="S354" i="20"/>
  <c r="R354" i="20"/>
  <c r="Q354" i="20"/>
  <c r="P354" i="20"/>
  <c r="O354" i="20"/>
  <c r="N354" i="20"/>
  <c r="M354" i="20"/>
  <c r="L354" i="20"/>
  <c r="K354" i="20"/>
  <c r="J354" i="20"/>
  <c r="I354" i="20"/>
  <c r="H354" i="20"/>
  <c r="G354" i="20"/>
  <c r="F354" i="20"/>
  <c r="E354" i="20"/>
  <c r="D354" i="20"/>
  <c r="C354" i="20"/>
  <c r="T353" i="20"/>
  <c r="S353" i="20"/>
  <c r="R353" i="20"/>
  <c r="Q353" i="20"/>
  <c r="P353" i="20"/>
  <c r="O353" i="20"/>
  <c r="N353" i="20"/>
  <c r="M353" i="20"/>
  <c r="L353" i="20"/>
  <c r="K353" i="20"/>
  <c r="J353" i="20"/>
  <c r="I353" i="20"/>
  <c r="H353" i="20"/>
  <c r="G353" i="20"/>
  <c r="F353" i="20"/>
  <c r="E353" i="20"/>
  <c r="D353" i="20"/>
  <c r="C353" i="20"/>
  <c r="T352" i="20"/>
  <c r="S352" i="20"/>
  <c r="R352" i="20"/>
  <c r="Q352" i="20"/>
  <c r="P352" i="20"/>
  <c r="O352" i="20"/>
  <c r="N352" i="20"/>
  <c r="M352" i="20"/>
  <c r="L352" i="20"/>
  <c r="K352" i="20"/>
  <c r="J352" i="20"/>
  <c r="I352" i="20"/>
  <c r="H352" i="20"/>
  <c r="G352" i="20"/>
  <c r="F352" i="20"/>
  <c r="E352" i="20"/>
  <c r="D352" i="20"/>
  <c r="C352" i="20"/>
  <c r="T351" i="20"/>
  <c r="S351" i="20"/>
  <c r="R351" i="20"/>
  <c r="Q351" i="20"/>
  <c r="P351" i="20"/>
  <c r="O351" i="20"/>
  <c r="N351" i="20"/>
  <c r="M351" i="20"/>
  <c r="L351" i="20"/>
  <c r="K351" i="20"/>
  <c r="J351" i="20"/>
  <c r="I351" i="20"/>
  <c r="H351" i="20"/>
  <c r="G351" i="20"/>
  <c r="F351" i="20"/>
  <c r="E351" i="20"/>
  <c r="D351" i="20"/>
  <c r="C351" i="20"/>
  <c r="T350" i="20"/>
  <c r="S350" i="20"/>
  <c r="R350" i="20"/>
  <c r="Q350" i="20"/>
  <c r="P350" i="20"/>
  <c r="O350" i="20"/>
  <c r="N350" i="20"/>
  <c r="M350" i="20"/>
  <c r="L350" i="20"/>
  <c r="K350" i="20"/>
  <c r="J350" i="20"/>
  <c r="I350" i="20"/>
  <c r="H350" i="20"/>
  <c r="G350" i="20"/>
  <c r="F350" i="20"/>
  <c r="E350" i="20"/>
  <c r="D350" i="20"/>
  <c r="C350" i="20"/>
  <c r="T348" i="20"/>
  <c r="S348" i="20"/>
  <c r="R348" i="20"/>
  <c r="Q348" i="20"/>
  <c r="P348" i="20"/>
  <c r="O348" i="20"/>
  <c r="N348" i="20"/>
  <c r="M348" i="20"/>
  <c r="L348" i="20"/>
  <c r="K348" i="20"/>
  <c r="J348" i="20"/>
  <c r="I348" i="20"/>
  <c r="H348" i="20"/>
  <c r="G348" i="20"/>
  <c r="F348" i="20"/>
  <c r="E348" i="20"/>
  <c r="D348" i="20"/>
  <c r="C348" i="20"/>
  <c r="T347" i="20"/>
  <c r="S347" i="20"/>
  <c r="R347" i="20"/>
  <c r="Q347" i="20"/>
  <c r="P347" i="20"/>
  <c r="O347" i="20"/>
  <c r="N347" i="20"/>
  <c r="M347" i="20"/>
  <c r="L347" i="20"/>
  <c r="K347" i="20"/>
  <c r="J347" i="20"/>
  <c r="I347" i="20"/>
  <c r="H347" i="20"/>
  <c r="G347" i="20"/>
  <c r="F347" i="20"/>
  <c r="E347" i="20"/>
  <c r="D347" i="20"/>
  <c r="C347" i="20"/>
  <c r="T346" i="20"/>
  <c r="S346" i="20"/>
  <c r="R346" i="20"/>
  <c r="Q346" i="20"/>
  <c r="P346" i="20"/>
  <c r="O346" i="20"/>
  <c r="N346" i="20"/>
  <c r="M346" i="20"/>
  <c r="L346" i="20"/>
  <c r="K346" i="20"/>
  <c r="J346" i="20"/>
  <c r="I346" i="20"/>
  <c r="H346" i="20"/>
  <c r="G346" i="20"/>
  <c r="F346" i="20"/>
  <c r="E346" i="20"/>
  <c r="D346" i="20"/>
  <c r="C346" i="20"/>
  <c r="T345" i="20"/>
  <c r="S345" i="20"/>
  <c r="R345" i="20"/>
  <c r="Q345" i="20"/>
  <c r="P345" i="20"/>
  <c r="O345" i="20"/>
  <c r="N345" i="20"/>
  <c r="M345" i="20"/>
  <c r="L345" i="20"/>
  <c r="K345" i="20"/>
  <c r="J345" i="20"/>
  <c r="I345" i="20"/>
  <c r="H345" i="20"/>
  <c r="G345" i="20"/>
  <c r="F345" i="20"/>
  <c r="E345" i="20"/>
  <c r="D345" i="20"/>
  <c r="C345" i="20"/>
  <c r="T344" i="20"/>
  <c r="S344" i="20"/>
  <c r="R344" i="20"/>
  <c r="Q344" i="20"/>
  <c r="P344" i="20"/>
  <c r="O344" i="20"/>
  <c r="N344" i="20"/>
  <c r="M344" i="20"/>
  <c r="L344" i="20"/>
  <c r="K344" i="20"/>
  <c r="J344" i="20"/>
  <c r="I344" i="20"/>
  <c r="H344" i="20"/>
  <c r="G344" i="20"/>
  <c r="F344" i="20"/>
  <c r="E344" i="20"/>
  <c r="D344" i="20"/>
  <c r="C344" i="20"/>
  <c r="H343" i="20"/>
  <c r="T342" i="20"/>
  <c r="S342" i="20"/>
  <c r="R342" i="20"/>
  <c r="Q342" i="20"/>
  <c r="P342" i="20"/>
  <c r="O342" i="20"/>
  <c r="N342" i="20"/>
  <c r="M342" i="20"/>
  <c r="L342" i="20"/>
  <c r="K342" i="20"/>
  <c r="J342" i="20"/>
  <c r="I342" i="20"/>
  <c r="H342" i="20"/>
  <c r="G342" i="20"/>
  <c r="F342" i="20"/>
  <c r="E342" i="20"/>
  <c r="D342" i="20"/>
  <c r="C342" i="20"/>
  <c r="T341" i="20"/>
  <c r="S341" i="20"/>
  <c r="R341" i="20"/>
  <c r="Q341" i="20"/>
  <c r="P341" i="20"/>
  <c r="O341" i="20"/>
  <c r="N341" i="20"/>
  <c r="M341" i="20"/>
  <c r="L341" i="20"/>
  <c r="K341" i="20"/>
  <c r="J341" i="20"/>
  <c r="I341" i="20"/>
  <c r="H341" i="20"/>
  <c r="G341" i="20"/>
  <c r="F341" i="20"/>
  <c r="E341" i="20"/>
  <c r="D341" i="20"/>
  <c r="C341" i="20"/>
  <c r="T340" i="20"/>
  <c r="S340" i="20"/>
  <c r="R340" i="20"/>
  <c r="R343" i="20" s="1"/>
  <c r="Q340" i="20"/>
  <c r="P340" i="20"/>
  <c r="O340" i="20"/>
  <c r="N340" i="20"/>
  <c r="M340" i="20"/>
  <c r="L340" i="20"/>
  <c r="K340" i="20"/>
  <c r="J340" i="20"/>
  <c r="I340" i="20"/>
  <c r="H340" i="20"/>
  <c r="G340" i="20"/>
  <c r="F340" i="20"/>
  <c r="E340" i="20"/>
  <c r="D340" i="20"/>
  <c r="C340" i="20"/>
  <c r="T339" i="20"/>
  <c r="S339" i="20"/>
  <c r="S343" i="20" s="1"/>
  <c r="R339" i="20"/>
  <c r="Q339" i="20"/>
  <c r="P339" i="20"/>
  <c r="O339" i="20"/>
  <c r="N339" i="20"/>
  <c r="M339" i="20"/>
  <c r="L339" i="20"/>
  <c r="K339" i="20"/>
  <c r="J339" i="20"/>
  <c r="I339" i="20"/>
  <c r="H339" i="20"/>
  <c r="G339" i="20"/>
  <c r="F339" i="20"/>
  <c r="E339" i="20"/>
  <c r="D339" i="20"/>
  <c r="C339" i="20"/>
  <c r="C343" i="20" s="1"/>
  <c r="T338" i="20"/>
  <c r="S338" i="20"/>
  <c r="R338" i="20"/>
  <c r="Q338" i="20"/>
  <c r="P338" i="20"/>
  <c r="O338" i="20"/>
  <c r="N338" i="20"/>
  <c r="M338" i="20"/>
  <c r="L338" i="20"/>
  <c r="K338" i="20"/>
  <c r="J338" i="20"/>
  <c r="I338" i="20"/>
  <c r="H338" i="20"/>
  <c r="G338" i="20"/>
  <c r="F338" i="20"/>
  <c r="E338" i="20"/>
  <c r="E343" i="20" s="1"/>
  <c r="D343" i="20" s="1"/>
  <c r="D338" i="20"/>
  <c r="C338" i="20"/>
  <c r="T336" i="20"/>
  <c r="S336" i="20"/>
  <c r="R336" i="20"/>
  <c r="Q336" i="20"/>
  <c r="P336" i="20"/>
  <c r="O336" i="20"/>
  <c r="N336" i="20"/>
  <c r="M336" i="20"/>
  <c r="L336" i="20"/>
  <c r="K336" i="20"/>
  <c r="J336" i="20"/>
  <c r="I336" i="20"/>
  <c r="H336" i="20"/>
  <c r="G336" i="20"/>
  <c r="F336" i="20"/>
  <c r="E336" i="20"/>
  <c r="D336" i="20"/>
  <c r="C336" i="20"/>
  <c r="T335" i="20"/>
  <c r="S335" i="20"/>
  <c r="R335" i="20"/>
  <c r="Q335" i="20"/>
  <c r="P335" i="20"/>
  <c r="O335" i="20"/>
  <c r="N335" i="20"/>
  <c r="M335" i="20"/>
  <c r="L335" i="20"/>
  <c r="K335" i="20"/>
  <c r="J335" i="20"/>
  <c r="I335" i="20"/>
  <c r="H335" i="20"/>
  <c r="G335" i="20"/>
  <c r="F335" i="20"/>
  <c r="E335" i="20"/>
  <c r="D335" i="20"/>
  <c r="C335" i="20"/>
  <c r="T334" i="20"/>
  <c r="S334" i="20"/>
  <c r="R334" i="20"/>
  <c r="Q334" i="20"/>
  <c r="P334" i="20"/>
  <c r="O334" i="20"/>
  <c r="N334" i="20"/>
  <c r="M334" i="20"/>
  <c r="L334" i="20"/>
  <c r="K334" i="20"/>
  <c r="J334" i="20"/>
  <c r="I334" i="20"/>
  <c r="H334" i="20"/>
  <c r="G334" i="20"/>
  <c r="F334" i="20"/>
  <c r="E334" i="20"/>
  <c r="D334" i="20"/>
  <c r="C334" i="20"/>
  <c r="T333" i="20"/>
  <c r="S333" i="20"/>
  <c r="R333" i="20"/>
  <c r="Q333" i="20"/>
  <c r="P333" i="20"/>
  <c r="O333" i="20"/>
  <c r="N333" i="20"/>
  <c r="M333" i="20"/>
  <c r="L333" i="20"/>
  <c r="K333" i="20"/>
  <c r="J333" i="20"/>
  <c r="I333" i="20"/>
  <c r="H333" i="20"/>
  <c r="G333" i="20"/>
  <c r="F333" i="20"/>
  <c r="F337" i="20" s="1"/>
  <c r="E333" i="20"/>
  <c r="D333" i="20"/>
  <c r="C333" i="20"/>
  <c r="T332" i="20"/>
  <c r="S332" i="20"/>
  <c r="R332" i="20"/>
  <c r="Q332" i="20"/>
  <c r="P332" i="20"/>
  <c r="O332" i="20"/>
  <c r="N332" i="20"/>
  <c r="M332" i="20"/>
  <c r="L332" i="20"/>
  <c r="K332" i="20"/>
  <c r="J332" i="20"/>
  <c r="I332" i="20"/>
  <c r="H332" i="20"/>
  <c r="G332" i="20"/>
  <c r="F332" i="20"/>
  <c r="E332" i="20"/>
  <c r="D332" i="20"/>
  <c r="C332" i="20"/>
  <c r="T330" i="20"/>
  <c r="S330" i="20"/>
  <c r="R330" i="20"/>
  <c r="Q330" i="20"/>
  <c r="P330" i="20"/>
  <c r="O330" i="20"/>
  <c r="N330" i="20"/>
  <c r="M330" i="20"/>
  <c r="L330" i="20"/>
  <c r="K330" i="20"/>
  <c r="J330" i="20"/>
  <c r="I330" i="20"/>
  <c r="H330" i="20"/>
  <c r="G330" i="20"/>
  <c r="F330" i="20"/>
  <c r="E330" i="20"/>
  <c r="D330" i="20"/>
  <c r="C330" i="20"/>
  <c r="T329" i="20"/>
  <c r="S329" i="20"/>
  <c r="R329" i="20"/>
  <c r="Q329" i="20"/>
  <c r="P329" i="20"/>
  <c r="O329" i="20"/>
  <c r="N329" i="20"/>
  <c r="M329" i="20"/>
  <c r="L329" i="20"/>
  <c r="K329" i="20"/>
  <c r="J329" i="20"/>
  <c r="I329" i="20"/>
  <c r="H329" i="20"/>
  <c r="G329" i="20"/>
  <c r="F329" i="20"/>
  <c r="E329" i="20"/>
  <c r="D329" i="20"/>
  <c r="C329" i="20"/>
  <c r="T328" i="20"/>
  <c r="S328" i="20"/>
  <c r="R328" i="20"/>
  <c r="Q328" i="20"/>
  <c r="P328" i="20"/>
  <c r="O328" i="20"/>
  <c r="N328" i="20"/>
  <c r="M328" i="20"/>
  <c r="L328" i="20"/>
  <c r="K328" i="20"/>
  <c r="J328" i="20"/>
  <c r="I328" i="20"/>
  <c r="H328" i="20"/>
  <c r="G328" i="20"/>
  <c r="F328" i="20"/>
  <c r="E328" i="20"/>
  <c r="D328" i="20"/>
  <c r="C328" i="20"/>
  <c r="T327" i="20"/>
  <c r="S327" i="20"/>
  <c r="R327" i="20"/>
  <c r="Q327" i="20"/>
  <c r="P327" i="20"/>
  <c r="O327" i="20"/>
  <c r="N327" i="20"/>
  <c r="M327" i="20"/>
  <c r="L327" i="20"/>
  <c r="K327" i="20"/>
  <c r="J327" i="20"/>
  <c r="I327" i="20"/>
  <c r="H327" i="20"/>
  <c r="G327" i="20"/>
  <c r="F327" i="20"/>
  <c r="E327" i="20"/>
  <c r="D327" i="20"/>
  <c r="C327" i="20"/>
  <c r="T326" i="20"/>
  <c r="S326" i="20"/>
  <c r="R326" i="20"/>
  <c r="Q326" i="20"/>
  <c r="P326" i="20"/>
  <c r="O326" i="20"/>
  <c r="N326" i="20"/>
  <c r="M326" i="20"/>
  <c r="L326" i="20"/>
  <c r="K326" i="20"/>
  <c r="J326" i="20"/>
  <c r="I326" i="20"/>
  <c r="H326" i="20"/>
  <c r="G326" i="20"/>
  <c r="F326" i="20"/>
  <c r="E326" i="20"/>
  <c r="D326" i="20"/>
  <c r="C326" i="20"/>
  <c r="T324" i="20"/>
  <c r="S324" i="20"/>
  <c r="R324" i="20"/>
  <c r="Q324" i="20"/>
  <c r="P324" i="20"/>
  <c r="O324" i="20"/>
  <c r="N324" i="20"/>
  <c r="M324" i="20"/>
  <c r="L324" i="20"/>
  <c r="K324" i="20"/>
  <c r="J324" i="20"/>
  <c r="I324" i="20"/>
  <c r="H324" i="20"/>
  <c r="G324" i="20"/>
  <c r="F324" i="20"/>
  <c r="E324" i="20"/>
  <c r="D324" i="20"/>
  <c r="C324" i="20"/>
  <c r="T323" i="20"/>
  <c r="S323" i="20"/>
  <c r="R323" i="20"/>
  <c r="Q323" i="20"/>
  <c r="P323" i="20"/>
  <c r="O323" i="20"/>
  <c r="N323" i="20"/>
  <c r="M323" i="20"/>
  <c r="L323" i="20"/>
  <c r="K323" i="20"/>
  <c r="J323" i="20"/>
  <c r="I323" i="20"/>
  <c r="H323" i="20"/>
  <c r="G323" i="20"/>
  <c r="F323" i="20"/>
  <c r="E323" i="20"/>
  <c r="D323" i="20"/>
  <c r="C323" i="20"/>
  <c r="T322" i="20"/>
  <c r="S322" i="20"/>
  <c r="R322" i="20"/>
  <c r="Q322" i="20"/>
  <c r="P322" i="20"/>
  <c r="O322" i="20"/>
  <c r="N322" i="20"/>
  <c r="M322" i="20"/>
  <c r="L322" i="20"/>
  <c r="K322" i="20"/>
  <c r="J322" i="20"/>
  <c r="I322" i="20"/>
  <c r="H322" i="20"/>
  <c r="G322" i="20"/>
  <c r="F322" i="20"/>
  <c r="E322" i="20"/>
  <c r="D322" i="20"/>
  <c r="C322" i="20"/>
  <c r="T321" i="20"/>
  <c r="S321" i="20"/>
  <c r="R321" i="20"/>
  <c r="Q321" i="20"/>
  <c r="P321" i="20"/>
  <c r="O321" i="20"/>
  <c r="N321" i="20"/>
  <c r="M321" i="20"/>
  <c r="L321" i="20"/>
  <c r="K321" i="20"/>
  <c r="J321" i="20"/>
  <c r="I321" i="20"/>
  <c r="H321" i="20"/>
  <c r="G321" i="20"/>
  <c r="F321" i="20"/>
  <c r="E321" i="20"/>
  <c r="D321" i="20"/>
  <c r="C321" i="20"/>
  <c r="T320" i="20"/>
  <c r="S320" i="20"/>
  <c r="R320" i="20"/>
  <c r="Q320" i="20"/>
  <c r="P320" i="20"/>
  <c r="O320" i="20"/>
  <c r="N320" i="20"/>
  <c r="M320" i="20"/>
  <c r="L320" i="20"/>
  <c r="K320" i="20"/>
  <c r="J320" i="20"/>
  <c r="I320" i="20"/>
  <c r="H320" i="20"/>
  <c r="G320" i="20"/>
  <c r="F320" i="20"/>
  <c r="E320" i="20"/>
  <c r="D320" i="20"/>
  <c r="C320" i="20"/>
  <c r="AM319" i="20"/>
  <c r="AL319" i="20"/>
  <c r="AK319" i="20"/>
  <c r="AJ319" i="20"/>
  <c r="AI319" i="20"/>
  <c r="AH319" i="20"/>
  <c r="AG319" i="20"/>
  <c r="AF319" i="20"/>
  <c r="AE319" i="20"/>
  <c r="AD319" i="20"/>
  <c r="AC319" i="20"/>
  <c r="AB319" i="20"/>
  <c r="AA319" i="20"/>
  <c r="Z319" i="20"/>
  <c r="Y319" i="20"/>
  <c r="X319" i="20"/>
  <c r="W319" i="20"/>
  <c r="V319" i="20"/>
  <c r="AM318" i="20"/>
  <c r="T318" i="20" s="1"/>
  <c r="AL318" i="20"/>
  <c r="S318" i="20" s="1"/>
  <c r="AK318" i="20"/>
  <c r="AJ318" i="20"/>
  <c r="AI318" i="20"/>
  <c r="AH318" i="20"/>
  <c r="O318" i="20" s="1"/>
  <c r="AG318" i="20"/>
  <c r="AF318" i="20"/>
  <c r="AE318" i="20"/>
  <c r="L318" i="20" s="1"/>
  <c r="AD318" i="20"/>
  <c r="AC318" i="20"/>
  <c r="AB318" i="20"/>
  <c r="AA318" i="20"/>
  <c r="Z318" i="20"/>
  <c r="Y318" i="20"/>
  <c r="X318" i="20"/>
  <c r="W318" i="20"/>
  <c r="D318" i="20" s="1"/>
  <c r="V318" i="20"/>
  <c r="AM317" i="20"/>
  <c r="AL317" i="20"/>
  <c r="S317" i="20" s="1"/>
  <c r="AK317" i="20"/>
  <c r="AJ317" i="20"/>
  <c r="AI317" i="20"/>
  <c r="AH317" i="20"/>
  <c r="AG317" i="20"/>
  <c r="AF317" i="20"/>
  <c r="AE317" i="20"/>
  <c r="AD317" i="20"/>
  <c r="K317" i="20" s="1"/>
  <c r="AC317" i="20"/>
  <c r="AB317" i="20"/>
  <c r="AA317" i="20"/>
  <c r="Z317" i="20"/>
  <c r="Y317" i="20"/>
  <c r="X317" i="20"/>
  <c r="W317" i="20"/>
  <c r="V317" i="20"/>
  <c r="AM316" i="20"/>
  <c r="T316" i="20" s="1"/>
  <c r="AL316" i="20"/>
  <c r="AK316" i="20"/>
  <c r="AJ316" i="20"/>
  <c r="Q316" i="20" s="1"/>
  <c r="AI316" i="20"/>
  <c r="P316" i="20" s="1"/>
  <c r="AH316" i="20"/>
  <c r="AG316" i="20"/>
  <c r="AF316" i="20"/>
  <c r="M316" i="20" s="1"/>
  <c r="AE316" i="20"/>
  <c r="L316" i="20" s="1"/>
  <c r="AD316" i="20"/>
  <c r="AC316" i="20"/>
  <c r="AB316" i="20"/>
  <c r="I316" i="20" s="1"/>
  <c r="AA316" i="20"/>
  <c r="H316" i="20" s="1"/>
  <c r="Z316" i="20"/>
  <c r="Y316" i="20"/>
  <c r="X316" i="20"/>
  <c r="W316" i="20"/>
  <c r="D316" i="20" s="1"/>
  <c r="V316" i="20"/>
  <c r="C316" i="20" s="1"/>
  <c r="AM315" i="20"/>
  <c r="AL315" i="20"/>
  <c r="AK315" i="20"/>
  <c r="R315" i="20" s="1"/>
  <c r="AJ315" i="20"/>
  <c r="Q315" i="20" s="1"/>
  <c r="AI315" i="20"/>
  <c r="P315" i="20" s="1"/>
  <c r="AH315" i="20"/>
  <c r="AG315" i="20"/>
  <c r="AF315" i="20"/>
  <c r="AE315" i="20"/>
  <c r="AD315" i="20"/>
  <c r="AC315" i="20"/>
  <c r="AB315" i="20"/>
  <c r="AA315" i="20"/>
  <c r="H315" i="20" s="1"/>
  <c r="Z315" i="20"/>
  <c r="G315" i="20" s="1"/>
  <c r="Y315" i="20"/>
  <c r="X315" i="20"/>
  <c r="E315" i="20" s="1"/>
  <c r="D315" i="20" s="1"/>
  <c r="W315" i="20"/>
  <c r="V315" i="20"/>
  <c r="AM314" i="20"/>
  <c r="AL314" i="20"/>
  <c r="AK314" i="20"/>
  <c r="AJ314" i="20"/>
  <c r="Q314" i="20" s="1"/>
  <c r="AI314" i="20"/>
  <c r="P314" i="20" s="1"/>
  <c r="AH314" i="20"/>
  <c r="AG314" i="20"/>
  <c r="AF314" i="20"/>
  <c r="AE314" i="20"/>
  <c r="L314" i="20" s="1"/>
  <c r="AD314" i="20"/>
  <c r="AC314" i="20"/>
  <c r="AB314" i="20"/>
  <c r="AA314" i="20"/>
  <c r="H314" i="20" s="1"/>
  <c r="Z314" i="20"/>
  <c r="Y314" i="20"/>
  <c r="X314" i="20"/>
  <c r="W314" i="20"/>
  <c r="D314" i="20" s="1"/>
  <c r="V314" i="20"/>
  <c r="T314" i="20" s="1"/>
  <c r="S314" i="20"/>
  <c r="T312" i="20"/>
  <c r="S312" i="20"/>
  <c r="R312" i="20"/>
  <c r="Q312" i="20"/>
  <c r="P312" i="20"/>
  <c r="O312" i="20"/>
  <c r="N312" i="20"/>
  <c r="M312" i="20"/>
  <c r="L312" i="20"/>
  <c r="K312" i="20"/>
  <c r="J312" i="20"/>
  <c r="I312" i="20"/>
  <c r="H312" i="20"/>
  <c r="G312" i="20"/>
  <c r="F312" i="20"/>
  <c r="E312" i="20"/>
  <c r="D312" i="20"/>
  <c r="C312" i="20"/>
  <c r="T311" i="20"/>
  <c r="S311" i="20"/>
  <c r="R311" i="20"/>
  <c r="Q311" i="20"/>
  <c r="P311" i="20"/>
  <c r="O311" i="20"/>
  <c r="N311" i="20"/>
  <c r="M311" i="20"/>
  <c r="L311" i="20"/>
  <c r="K311" i="20"/>
  <c r="J311" i="20"/>
  <c r="I311" i="20"/>
  <c r="H311" i="20"/>
  <c r="G311" i="20"/>
  <c r="F311" i="20"/>
  <c r="E311" i="20"/>
  <c r="D311" i="20"/>
  <c r="C311" i="20"/>
  <c r="T310" i="20"/>
  <c r="S310" i="20"/>
  <c r="R310" i="20"/>
  <c r="Q310" i="20"/>
  <c r="P310" i="20"/>
  <c r="O310" i="20"/>
  <c r="N310" i="20"/>
  <c r="M310" i="20"/>
  <c r="L310" i="20"/>
  <c r="K310" i="20"/>
  <c r="J310" i="20"/>
  <c r="I310" i="20"/>
  <c r="H310" i="20"/>
  <c r="G310" i="20"/>
  <c r="F310" i="20"/>
  <c r="E310" i="20"/>
  <c r="D310" i="20"/>
  <c r="C310" i="20"/>
  <c r="T309" i="20"/>
  <c r="S309" i="20"/>
  <c r="R309" i="20"/>
  <c r="Q309" i="20"/>
  <c r="P309" i="20"/>
  <c r="O309" i="20"/>
  <c r="N309" i="20"/>
  <c r="M309" i="20"/>
  <c r="L309" i="20"/>
  <c r="K309" i="20"/>
  <c r="J309" i="20"/>
  <c r="I309" i="20"/>
  <c r="H309" i="20"/>
  <c r="G309" i="20"/>
  <c r="F309" i="20"/>
  <c r="E309" i="20"/>
  <c r="D309" i="20"/>
  <c r="C309" i="20"/>
  <c r="T308" i="20"/>
  <c r="S308" i="20"/>
  <c r="R308" i="20"/>
  <c r="Q308" i="20"/>
  <c r="P308" i="20"/>
  <c r="O308" i="20"/>
  <c r="N308" i="20"/>
  <c r="M308" i="20"/>
  <c r="L308" i="20"/>
  <c r="K308" i="20"/>
  <c r="J308" i="20"/>
  <c r="I308" i="20"/>
  <c r="H308" i="20"/>
  <c r="G308" i="20"/>
  <c r="F308" i="20"/>
  <c r="E308" i="20"/>
  <c r="D308" i="20"/>
  <c r="C308" i="20"/>
  <c r="T306" i="20"/>
  <c r="S306" i="20"/>
  <c r="R306" i="20"/>
  <c r="Q306" i="20"/>
  <c r="P306" i="20"/>
  <c r="O306" i="20"/>
  <c r="N306" i="20"/>
  <c r="M306" i="20"/>
  <c r="L306" i="20"/>
  <c r="K306" i="20"/>
  <c r="J306" i="20"/>
  <c r="I306" i="20"/>
  <c r="H306" i="20"/>
  <c r="G306" i="20"/>
  <c r="F306" i="20"/>
  <c r="E306" i="20"/>
  <c r="D306" i="20"/>
  <c r="C306" i="20"/>
  <c r="T305" i="20"/>
  <c r="S305" i="20"/>
  <c r="R305" i="20"/>
  <c r="Q305" i="20"/>
  <c r="P305" i="20"/>
  <c r="O305" i="20"/>
  <c r="N305" i="20"/>
  <c r="M305" i="20"/>
  <c r="L305" i="20"/>
  <c r="K305" i="20"/>
  <c r="J305" i="20"/>
  <c r="I305" i="20"/>
  <c r="H305" i="20"/>
  <c r="G305" i="20"/>
  <c r="F305" i="20"/>
  <c r="E305" i="20"/>
  <c r="D305" i="20"/>
  <c r="C305" i="20"/>
  <c r="T304" i="20"/>
  <c r="S304" i="20"/>
  <c r="R304" i="20"/>
  <c r="Q304" i="20"/>
  <c r="P304" i="20"/>
  <c r="O304" i="20"/>
  <c r="N304" i="20"/>
  <c r="M304" i="20"/>
  <c r="L304" i="20"/>
  <c r="K304" i="20"/>
  <c r="J304" i="20"/>
  <c r="I304" i="20"/>
  <c r="H304" i="20"/>
  <c r="G304" i="20"/>
  <c r="F304" i="20"/>
  <c r="E304" i="20"/>
  <c r="D304" i="20"/>
  <c r="C304" i="20"/>
  <c r="T303" i="20"/>
  <c r="S303" i="20"/>
  <c r="R303" i="20"/>
  <c r="Q303" i="20"/>
  <c r="P303" i="20"/>
  <c r="O303" i="20"/>
  <c r="N303" i="20"/>
  <c r="M303" i="20"/>
  <c r="L303" i="20"/>
  <c r="K303" i="20"/>
  <c r="J303" i="20"/>
  <c r="I303" i="20"/>
  <c r="H303" i="20"/>
  <c r="G303" i="20"/>
  <c r="F303" i="20"/>
  <c r="E303" i="20"/>
  <c r="D303" i="20"/>
  <c r="C303" i="20"/>
  <c r="T302" i="20"/>
  <c r="S302" i="20"/>
  <c r="R302" i="20"/>
  <c r="Q302" i="20"/>
  <c r="P302" i="20"/>
  <c r="O302" i="20"/>
  <c r="N302" i="20"/>
  <c r="M302" i="20"/>
  <c r="L302" i="20"/>
  <c r="K302" i="20"/>
  <c r="J302" i="20"/>
  <c r="I302" i="20"/>
  <c r="H302" i="20"/>
  <c r="G302" i="20"/>
  <c r="F302" i="20"/>
  <c r="E302" i="20"/>
  <c r="D302" i="20"/>
  <c r="C302" i="20"/>
  <c r="T300" i="20"/>
  <c r="S300" i="20"/>
  <c r="R300" i="20"/>
  <c r="Q300" i="20"/>
  <c r="P300" i="20"/>
  <c r="O300" i="20"/>
  <c r="N300" i="20"/>
  <c r="M300" i="20"/>
  <c r="L300" i="20"/>
  <c r="K300" i="20"/>
  <c r="J300" i="20"/>
  <c r="I300" i="20"/>
  <c r="H300" i="20"/>
  <c r="G300" i="20"/>
  <c r="F300" i="20"/>
  <c r="E300" i="20"/>
  <c r="D300" i="20"/>
  <c r="C300" i="20"/>
  <c r="T299" i="20"/>
  <c r="S299" i="20"/>
  <c r="R299" i="20"/>
  <c r="Q299" i="20"/>
  <c r="P299" i="20"/>
  <c r="O299" i="20"/>
  <c r="N299" i="20"/>
  <c r="M299" i="20"/>
  <c r="L299" i="20"/>
  <c r="K299" i="20"/>
  <c r="J299" i="20"/>
  <c r="I299" i="20"/>
  <c r="H299" i="20"/>
  <c r="G299" i="20"/>
  <c r="F299" i="20"/>
  <c r="E299" i="20"/>
  <c r="D299" i="20"/>
  <c r="C299" i="20"/>
  <c r="T298" i="20"/>
  <c r="S298" i="20"/>
  <c r="R298" i="20"/>
  <c r="Q298" i="20"/>
  <c r="P298" i="20"/>
  <c r="O298" i="20"/>
  <c r="N298" i="20"/>
  <c r="M298" i="20"/>
  <c r="L298" i="20"/>
  <c r="K298" i="20"/>
  <c r="J298" i="20"/>
  <c r="I298" i="20"/>
  <c r="H298" i="20"/>
  <c r="G298" i="20"/>
  <c r="F298" i="20"/>
  <c r="E298" i="20"/>
  <c r="D298" i="20"/>
  <c r="C298" i="20"/>
  <c r="T297" i="20"/>
  <c r="S297" i="20"/>
  <c r="R297" i="20"/>
  <c r="Q297" i="20"/>
  <c r="P297" i="20"/>
  <c r="O297" i="20"/>
  <c r="N297" i="20"/>
  <c r="M297" i="20"/>
  <c r="L297" i="20"/>
  <c r="K297" i="20"/>
  <c r="J297" i="20"/>
  <c r="I297" i="20"/>
  <c r="H297" i="20"/>
  <c r="G297" i="20"/>
  <c r="F297" i="20"/>
  <c r="E297" i="20"/>
  <c r="D297" i="20"/>
  <c r="C297" i="20"/>
  <c r="T296" i="20"/>
  <c r="S296" i="20"/>
  <c r="R296" i="20"/>
  <c r="Q296" i="20"/>
  <c r="P296" i="20"/>
  <c r="O296" i="20"/>
  <c r="N296" i="20"/>
  <c r="M296" i="20"/>
  <c r="L296" i="20"/>
  <c r="K296" i="20"/>
  <c r="J296" i="20"/>
  <c r="I296" i="20"/>
  <c r="H296" i="20"/>
  <c r="G296" i="20"/>
  <c r="F296" i="20"/>
  <c r="E296" i="20"/>
  <c r="D296" i="20"/>
  <c r="C296" i="20"/>
  <c r="T294" i="20"/>
  <c r="S294" i="20"/>
  <c r="R294" i="20"/>
  <c r="Q294" i="20"/>
  <c r="P294" i="20"/>
  <c r="O294" i="20"/>
  <c r="N294" i="20"/>
  <c r="M294" i="20"/>
  <c r="L294" i="20"/>
  <c r="K294" i="20"/>
  <c r="J294" i="20"/>
  <c r="I294" i="20"/>
  <c r="H294" i="20"/>
  <c r="G294" i="20"/>
  <c r="F294" i="20"/>
  <c r="E294" i="20"/>
  <c r="D294" i="20"/>
  <c r="C294" i="20"/>
  <c r="T293" i="20"/>
  <c r="S293" i="20"/>
  <c r="R293" i="20"/>
  <c r="Q293" i="20"/>
  <c r="P293" i="20"/>
  <c r="O293" i="20"/>
  <c r="N293" i="20"/>
  <c r="M293" i="20"/>
  <c r="L293" i="20"/>
  <c r="K293" i="20"/>
  <c r="J293" i="20"/>
  <c r="I293" i="20"/>
  <c r="H293" i="20"/>
  <c r="G293" i="20"/>
  <c r="F293" i="20"/>
  <c r="E293" i="20"/>
  <c r="D293" i="20"/>
  <c r="C293" i="20"/>
  <c r="T292" i="20"/>
  <c r="S292" i="20"/>
  <c r="R292" i="20"/>
  <c r="Q292" i="20"/>
  <c r="P292" i="20"/>
  <c r="O292" i="20"/>
  <c r="N292" i="20"/>
  <c r="M292" i="20"/>
  <c r="L292" i="20"/>
  <c r="K292" i="20"/>
  <c r="J292" i="20"/>
  <c r="I292" i="20"/>
  <c r="H292" i="20"/>
  <c r="G292" i="20"/>
  <c r="F292" i="20"/>
  <c r="E292" i="20"/>
  <c r="D292" i="20"/>
  <c r="C292" i="20"/>
  <c r="T291" i="20"/>
  <c r="S291" i="20"/>
  <c r="R291" i="20"/>
  <c r="Q291" i="20"/>
  <c r="P291" i="20"/>
  <c r="O291" i="20"/>
  <c r="N291" i="20"/>
  <c r="M291" i="20"/>
  <c r="L291" i="20"/>
  <c r="K291" i="20"/>
  <c r="J291" i="20"/>
  <c r="I291" i="20"/>
  <c r="H291" i="20"/>
  <c r="G291" i="20"/>
  <c r="F291" i="20"/>
  <c r="E291" i="20"/>
  <c r="D291" i="20"/>
  <c r="C291" i="20"/>
  <c r="T290" i="20"/>
  <c r="S290" i="20"/>
  <c r="R290" i="20"/>
  <c r="Q290" i="20"/>
  <c r="P290" i="20"/>
  <c r="O290" i="20"/>
  <c r="N290" i="20"/>
  <c r="M290" i="20"/>
  <c r="L290" i="20"/>
  <c r="K290" i="20"/>
  <c r="J290" i="20"/>
  <c r="I290" i="20"/>
  <c r="H290" i="20"/>
  <c r="G290" i="20"/>
  <c r="F290" i="20"/>
  <c r="E290" i="20"/>
  <c r="D290" i="20"/>
  <c r="C290" i="20"/>
  <c r="T288" i="20"/>
  <c r="S288" i="20"/>
  <c r="R288" i="20"/>
  <c r="Q288" i="20"/>
  <c r="P288" i="20"/>
  <c r="O288" i="20"/>
  <c r="N288" i="20"/>
  <c r="M288" i="20"/>
  <c r="L288" i="20"/>
  <c r="K288" i="20"/>
  <c r="J288" i="20"/>
  <c r="I288" i="20"/>
  <c r="H288" i="20"/>
  <c r="G288" i="20"/>
  <c r="F288" i="20"/>
  <c r="E288" i="20"/>
  <c r="D288" i="20"/>
  <c r="C288" i="20"/>
  <c r="T287" i="20"/>
  <c r="S287" i="20"/>
  <c r="R287" i="20"/>
  <c r="Q287" i="20"/>
  <c r="P287" i="20"/>
  <c r="O287" i="20"/>
  <c r="N287" i="20"/>
  <c r="M287" i="20"/>
  <c r="L287" i="20"/>
  <c r="K287" i="20"/>
  <c r="J287" i="20"/>
  <c r="I287" i="20"/>
  <c r="H287" i="20"/>
  <c r="G287" i="20"/>
  <c r="F287" i="20"/>
  <c r="E287" i="20"/>
  <c r="D287" i="20"/>
  <c r="C287" i="20"/>
  <c r="T286" i="20"/>
  <c r="S286" i="20"/>
  <c r="R286" i="20"/>
  <c r="Q286" i="20"/>
  <c r="P286" i="20"/>
  <c r="O286" i="20"/>
  <c r="N286" i="20"/>
  <c r="M286" i="20"/>
  <c r="L286" i="20"/>
  <c r="K286" i="20"/>
  <c r="J286" i="20"/>
  <c r="I286" i="20"/>
  <c r="H286" i="20"/>
  <c r="G286" i="20"/>
  <c r="F286" i="20"/>
  <c r="E286" i="20"/>
  <c r="D286" i="20"/>
  <c r="C286" i="20"/>
  <c r="T285" i="20"/>
  <c r="S285" i="20"/>
  <c r="R285" i="20"/>
  <c r="Q285" i="20"/>
  <c r="P285" i="20"/>
  <c r="O285" i="20"/>
  <c r="N285" i="20"/>
  <c r="M285" i="20"/>
  <c r="M289" i="20" s="1"/>
  <c r="L285" i="20"/>
  <c r="K285" i="20"/>
  <c r="J285" i="20"/>
  <c r="I285" i="20"/>
  <c r="H285" i="20"/>
  <c r="G285" i="20"/>
  <c r="F285" i="20"/>
  <c r="E285" i="20"/>
  <c r="E289" i="20" s="1"/>
  <c r="D285" i="20"/>
  <c r="C285" i="20"/>
  <c r="T284" i="20"/>
  <c r="S284" i="20"/>
  <c r="R284" i="20"/>
  <c r="Q284" i="20"/>
  <c r="Q289" i="20" s="1"/>
  <c r="P284" i="20"/>
  <c r="O284" i="20"/>
  <c r="O289" i="20" s="1"/>
  <c r="N284" i="20"/>
  <c r="M284" i="20"/>
  <c r="L284" i="20"/>
  <c r="K284" i="20"/>
  <c r="J284" i="20"/>
  <c r="I284" i="20"/>
  <c r="H284" i="20"/>
  <c r="G284" i="20"/>
  <c r="G289" i="20" s="1"/>
  <c r="F284" i="20"/>
  <c r="E284" i="20"/>
  <c r="D284" i="20"/>
  <c r="C284" i="20"/>
  <c r="T282" i="20"/>
  <c r="S282" i="20"/>
  <c r="R282" i="20"/>
  <c r="Q282" i="20"/>
  <c r="P282" i="20"/>
  <c r="O282" i="20"/>
  <c r="N282" i="20"/>
  <c r="M282" i="20"/>
  <c r="L282" i="20"/>
  <c r="K282" i="20"/>
  <c r="J282" i="20"/>
  <c r="I282" i="20"/>
  <c r="H282" i="20"/>
  <c r="G282" i="20"/>
  <c r="F282" i="20"/>
  <c r="E282" i="20"/>
  <c r="D282" i="20"/>
  <c r="C282" i="20"/>
  <c r="T281" i="20"/>
  <c r="S281" i="20"/>
  <c r="R281" i="20"/>
  <c r="Q281" i="20"/>
  <c r="P281" i="20"/>
  <c r="O281" i="20"/>
  <c r="N281" i="20"/>
  <c r="M281" i="20"/>
  <c r="L281" i="20"/>
  <c r="K281" i="20"/>
  <c r="J281" i="20"/>
  <c r="I281" i="20"/>
  <c r="H281" i="20"/>
  <c r="G281" i="20"/>
  <c r="F281" i="20"/>
  <c r="E281" i="20"/>
  <c r="D281" i="20"/>
  <c r="C281" i="20"/>
  <c r="T280" i="20"/>
  <c r="S280" i="20"/>
  <c r="R280" i="20"/>
  <c r="Q280" i="20"/>
  <c r="P280" i="20"/>
  <c r="O280" i="20"/>
  <c r="N280" i="20"/>
  <c r="M280" i="20"/>
  <c r="L280" i="20"/>
  <c r="K280" i="20"/>
  <c r="J280" i="20"/>
  <c r="I280" i="20"/>
  <c r="H280" i="20"/>
  <c r="G280" i="20"/>
  <c r="F280" i="20"/>
  <c r="E280" i="20"/>
  <c r="D280" i="20"/>
  <c r="C280" i="20"/>
  <c r="T279" i="20"/>
  <c r="S279" i="20"/>
  <c r="R279" i="20"/>
  <c r="Q279" i="20"/>
  <c r="P279" i="20"/>
  <c r="P283" i="20" s="1"/>
  <c r="O279" i="20"/>
  <c r="N279" i="20"/>
  <c r="M279" i="20"/>
  <c r="L279" i="20"/>
  <c r="K279" i="20"/>
  <c r="J279" i="20"/>
  <c r="I279" i="20"/>
  <c r="H279" i="20"/>
  <c r="H283" i="20" s="1"/>
  <c r="G279" i="20"/>
  <c r="F279" i="20"/>
  <c r="E279" i="20"/>
  <c r="D279" i="20"/>
  <c r="C279" i="20"/>
  <c r="T278" i="20"/>
  <c r="S278" i="20"/>
  <c r="R278" i="20"/>
  <c r="R283" i="20" s="1"/>
  <c r="Q278" i="20"/>
  <c r="P278" i="20"/>
  <c r="O278" i="20"/>
  <c r="N278" i="20"/>
  <c r="M278" i="20"/>
  <c r="L278" i="20"/>
  <c r="K278" i="20"/>
  <c r="J278" i="20"/>
  <c r="J283" i="20" s="1"/>
  <c r="I278" i="20"/>
  <c r="H278" i="20"/>
  <c r="G278" i="20"/>
  <c r="F278" i="20"/>
  <c r="E278" i="20"/>
  <c r="D278" i="20"/>
  <c r="C278" i="20"/>
  <c r="T276" i="20"/>
  <c r="S276" i="20"/>
  <c r="R276" i="20"/>
  <c r="Q276" i="20"/>
  <c r="P276" i="20"/>
  <c r="O276" i="20"/>
  <c r="N276" i="20"/>
  <c r="M276" i="20"/>
  <c r="L276" i="20"/>
  <c r="K276" i="20"/>
  <c r="J276" i="20"/>
  <c r="I276" i="20"/>
  <c r="H276" i="20"/>
  <c r="G276" i="20"/>
  <c r="F276" i="20"/>
  <c r="E276" i="20"/>
  <c r="D276" i="20"/>
  <c r="C276" i="20"/>
  <c r="T275" i="20"/>
  <c r="S275" i="20"/>
  <c r="R275" i="20"/>
  <c r="Q275" i="20"/>
  <c r="P275" i="20"/>
  <c r="O275" i="20"/>
  <c r="N275" i="20"/>
  <c r="M275" i="20"/>
  <c r="L275" i="20"/>
  <c r="K275" i="20"/>
  <c r="J275" i="20"/>
  <c r="I275" i="20"/>
  <c r="H275" i="20"/>
  <c r="G275" i="20"/>
  <c r="F275" i="20"/>
  <c r="E275" i="20"/>
  <c r="D275" i="20"/>
  <c r="C275" i="20"/>
  <c r="T274" i="20"/>
  <c r="S274" i="20"/>
  <c r="R274" i="20"/>
  <c r="Q274" i="20"/>
  <c r="P274" i="20"/>
  <c r="O274" i="20"/>
  <c r="N274" i="20"/>
  <c r="M274" i="20"/>
  <c r="L274" i="20"/>
  <c r="K274" i="20"/>
  <c r="J274" i="20"/>
  <c r="I274" i="20"/>
  <c r="I277" i="20" s="1"/>
  <c r="H274" i="20"/>
  <c r="G274" i="20"/>
  <c r="F274" i="20"/>
  <c r="E274" i="20"/>
  <c r="D274" i="20"/>
  <c r="C274" i="20"/>
  <c r="T273" i="20"/>
  <c r="S273" i="20"/>
  <c r="R273" i="20"/>
  <c r="Q273" i="20"/>
  <c r="P273" i="20"/>
  <c r="O273" i="20"/>
  <c r="N273" i="20"/>
  <c r="M273" i="20"/>
  <c r="L273" i="20"/>
  <c r="K273" i="20"/>
  <c r="J273" i="20"/>
  <c r="I273" i="20"/>
  <c r="H273" i="20"/>
  <c r="G273" i="20"/>
  <c r="F273" i="20"/>
  <c r="E273" i="20"/>
  <c r="D273" i="20"/>
  <c r="C273" i="20"/>
  <c r="T272" i="20"/>
  <c r="S272" i="20"/>
  <c r="R272" i="20"/>
  <c r="Q272" i="20"/>
  <c r="P272" i="20"/>
  <c r="O272" i="20"/>
  <c r="N272" i="20"/>
  <c r="M272" i="20"/>
  <c r="L272" i="20"/>
  <c r="K272" i="20"/>
  <c r="J272" i="20"/>
  <c r="I272" i="20"/>
  <c r="H272" i="20"/>
  <c r="G272" i="20"/>
  <c r="F272" i="20"/>
  <c r="E272" i="20"/>
  <c r="D272" i="20"/>
  <c r="C272" i="20"/>
  <c r="T270" i="20"/>
  <c r="S270" i="20"/>
  <c r="R270" i="20"/>
  <c r="Q270" i="20"/>
  <c r="P270" i="20"/>
  <c r="O270" i="20"/>
  <c r="N270" i="20"/>
  <c r="M270" i="20"/>
  <c r="L270" i="20"/>
  <c r="K270" i="20"/>
  <c r="J270" i="20"/>
  <c r="I270" i="20"/>
  <c r="H270" i="20"/>
  <c r="G270" i="20"/>
  <c r="F270" i="20"/>
  <c r="E270" i="20"/>
  <c r="D270" i="20"/>
  <c r="C270" i="20"/>
  <c r="T269" i="20"/>
  <c r="S269" i="20"/>
  <c r="R269" i="20"/>
  <c r="Q269" i="20"/>
  <c r="P269" i="20"/>
  <c r="O269" i="20"/>
  <c r="N269" i="20"/>
  <c r="M269" i="20"/>
  <c r="L269" i="20"/>
  <c r="K269" i="20"/>
  <c r="J269" i="20"/>
  <c r="I269" i="20"/>
  <c r="H269" i="20"/>
  <c r="G269" i="20"/>
  <c r="F269" i="20"/>
  <c r="E269" i="20"/>
  <c r="D269" i="20"/>
  <c r="C269" i="20"/>
  <c r="T268" i="20"/>
  <c r="S268" i="20"/>
  <c r="R268" i="20"/>
  <c r="Q268" i="20"/>
  <c r="P268" i="20"/>
  <c r="O268" i="20"/>
  <c r="N268" i="20"/>
  <c r="M268" i="20"/>
  <c r="L268" i="20"/>
  <c r="K268" i="20"/>
  <c r="J268" i="20"/>
  <c r="I268" i="20"/>
  <c r="H268" i="20"/>
  <c r="G268" i="20"/>
  <c r="F268" i="20"/>
  <c r="E268" i="20"/>
  <c r="D268" i="20"/>
  <c r="C268" i="20"/>
  <c r="T267" i="20"/>
  <c r="S267" i="20"/>
  <c r="R267" i="20"/>
  <c r="Q267" i="20"/>
  <c r="P267" i="20"/>
  <c r="O267" i="20"/>
  <c r="N267" i="20"/>
  <c r="M267" i="20"/>
  <c r="L267" i="20"/>
  <c r="K267" i="20"/>
  <c r="J267" i="20"/>
  <c r="I267" i="20"/>
  <c r="H267" i="20"/>
  <c r="G267" i="20"/>
  <c r="F267" i="20"/>
  <c r="E267" i="20"/>
  <c r="D267" i="20"/>
  <c r="C267" i="20"/>
  <c r="T266" i="20"/>
  <c r="S266" i="20"/>
  <c r="R266" i="20"/>
  <c r="Q266" i="20"/>
  <c r="P266" i="20"/>
  <c r="O266" i="20"/>
  <c r="N266" i="20"/>
  <c r="M266" i="20"/>
  <c r="L266" i="20"/>
  <c r="K266" i="20"/>
  <c r="J266" i="20"/>
  <c r="I266" i="20"/>
  <c r="H266" i="20"/>
  <c r="G266" i="20"/>
  <c r="F266" i="20"/>
  <c r="E266" i="20"/>
  <c r="D266" i="20"/>
  <c r="D271" i="20" s="1"/>
  <c r="C266" i="20"/>
  <c r="T264" i="20"/>
  <c r="S264" i="20"/>
  <c r="R264" i="20"/>
  <c r="Q264" i="20"/>
  <c r="P264" i="20"/>
  <c r="O264" i="20"/>
  <c r="N264" i="20"/>
  <c r="M264" i="20"/>
  <c r="L264" i="20"/>
  <c r="K264" i="20"/>
  <c r="J264" i="20"/>
  <c r="I264" i="20"/>
  <c r="H264" i="20"/>
  <c r="G264" i="20"/>
  <c r="F264" i="20"/>
  <c r="E264" i="20"/>
  <c r="D264" i="20"/>
  <c r="C264" i="20"/>
  <c r="T263" i="20"/>
  <c r="S263" i="20"/>
  <c r="R263" i="20"/>
  <c r="Q263" i="20"/>
  <c r="P263" i="20"/>
  <c r="O263" i="20"/>
  <c r="N263" i="20"/>
  <c r="M263" i="20"/>
  <c r="L263" i="20"/>
  <c r="K263" i="20"/>
  <c r="J263" i="20"/>
  <c r="I263" i="20"/>
  <c r="H263" i="20"/>
  <c r="G263" i="20"/>
  <c r="F263" i="20"/>
  <c r="E263" i="20"/>
  <c r="D263" i="20"/>
  <c r="C263" i="20"/>
  <c r="T262" i="20"/>
  <c r="S262" i="20"/>
  <c r="R262" i="20"/>
  <c r="Q262" i="20"/>
  <c r="P262" i="20"/>
  <c r="O262" i="20"/>
  <c r="N262" i="20"/>
  <c r="M262" i="20"/>
  <c r="L262" i="20"/>
  <c r="K262" i="20"/>
  <c r="J262" i="20"/>
  <c r="I262" i="20"/>
  <c r="H262" i="20"/>
  <c r="G262" i="20"/>
  <c r="F262" i="20"/>
  <c r="E262" i="20"/>
  <c r="D262" i="20"/>
  <c r="C262" i="20"/>
  <c r="T261" i="20"/>
  <c r="S261" i="20"/>
  <c r="R261" i="20"/>
  <c r="Q261" i="20"/>
  <c r="P261" i="20"/>
  <c r="O261" i="20"/>
  <c r="N261" i="20"/>
  <c r="M261" i="20"/>
  <c r="L261" i="20"/>
  <c r="K261" i="20"/>
  <c r="J261" i="20"/>
  <c r="I261" i="20"/>
  <c r="H261" i="20"/>
  <c r="G261" i="20"/>
  <c r="F261" i="20"/>
  <c r="E261" i="20"/>
  <c r="D261" i="20"/>
  <c r="C261" i="20"/>
  <c r="T260" i="20"/>
  <c r="S260" i="20"/>
  <c r="R260" i="20"/>
  <c r="Q260" i="20"/>
  <c r="P260" i="20"/>
  <c r="O260" i="20"/>
  <c r="N260" i="20"/>
  <c r="M260" i="20"/>
  <c r="L260" i="20"/>
  <c r="K260" i="20"/>
  <c r="J260" i="20"/>
  <c r="I260" i="20"/>
  <c r="H260" i="20"/>
  <c r="G260" i="20"/>
  <c r="F260" i="20"/>
  <c r="E260" i="20"/>
  <c r="D260" i="20"/>
  <c r="C260" i="20"/>
  <c r="T258" i="20"/>
  <c r="S258" i="20"/>
  <c r="R258" i="20"/>
  <c r="Q258" i="20"/>
  <c r="P258" i="20"/>
  <c r="O258" i="20"/>
  <c r="N258" i="20"/>
  <c r="M258" i="20"/>
  <c r="L258" i="20"/>
  <c r="K258" i="20"/>
  <c r="J258" i="20"/>
  <c r="I258" i="20"/>
  <c r="H258" i="20"/>
  <c r="G258" i="20"/>
  <c r="F258" i="20"/>
  <c r="E258" i="20"/>
  <c r="D258" i="20"/>
  <c r="C258" i="20"/>
  <c r="T257" i="20"/>
  <c r="S257" i="20"/>
  <c r="R257" i="20"/>
  <c r="Q257" i="20"/>
  <c r="P257" i="20"/>
  <c r="O257" i="20"/>
  <c r="N257" i="20"/>
  <c r="M257" i="20"/>
  <c r="L257" i="20"/>
  <c r="K257" i="20"/>
  <c r="J257" i="20"/>
  <c r="I257" i="20"/>
  <c r="H257" i="20"/>
  <c r="G257" i="20"/>
  <c r="F257" i="20"/>
  <c r="E257" i="20"/>
  <c r="D257" i="20"/>
  <c r="C257" i="20"/>
  <c r="T256" i="20"/>
  <c r="S256" i="20"/>
  <c r="R256" i="20"/>
  <c r="Q256" i="20"/>
  <c r="P256" i="20"/>
  <c r="O256" i="20"/>
  <c r="N256" i="20"/>
  <c r="M256" i="20"/>
  <c r="L256" i="20"/>
  <c r="K256" i="20"/>
  <c r="J256" i="20"/>
  <c r="I256" i="20"/>
  <c r="H256" i="20"/>
  <c r="G256" i="20"/>
  <c r="F256" i="20"/>
  <c r="E256" i="20"/>
  <c r="D256" i="20"/>
  <c r="C256" i="20"/>
  <c r="T255" i="20"/>
  <c r="S255" i="20"/>
  <c r="R255" i="20"/>
  <c r="Q255" i="20"/>
  <c r="Q259" i="20" s="1"/>
  <c r="P255" i="20"/>
  <c r="O255" i="20"/>
  <c r="N255" i="20"/>
  <c r="M255" i="20"/>
  <c r="L255" i="20"/>
  <c r="K255" i="20"/>
  <c r="J255" i="20"/>
  <c r="I255" i="20"/>
  <c r="H255" i="20"/>
  <c r="G255" i="20"/>
  <c r="F255" i="20"/>
  <c r="E255" i="20"/>
  <c r="D255" i="20"/>
  <c r="C255" i="20"/>
  <c r="T254" i="20"/>
  <c r="S254" i="20"/>
  <c r="R254" i="20"/>
  <c r="Q254" i="20"/>
  <c r="P254" i="20"/>
  <c r="O254" i="20"/>
  <c r="N254" i="20"/>
  <c r="M254" i="20"/>
  <c r="L254" i="20"/>
  <c r="L259" i="20" s="1"/>
  <c r="K254" i="20"/>
  <c r="J254" i="20"/>
  <c r="I254" i="20"/>
  <c r="H254" i="20"/>
  <c r="G254" i="20"/>
  <c r="F254" i="20"/>
  <c r="E254" i="20"/>
  <c r="D254" i="20"/>
  <c r="C254" i="20"/>
  <c r="T252" i="20"/>
  <c r="S252" i="20"/>
  <c r="R252" i="20"/>
  <c r="Q252" i="20"/>
  <c r="P252" i="20"/>
  <c r="O252" i="20"/>
  <c r="N252" i="20"/>
  <c r="M252" i="20"/>
  <c r="L252" i="20"/>
  <c r="K252" i="20"/>
  <c r="J252" i="20"/>
  <c r="I252" i="20"/>
  <c r="H252" i="20"/>
  <c r="G252" i="20"/>
  <c r="F252" i="20"/>
  <c r="E252" i="20"/>
  <c r="D252" i="20"/>
  <c r="C252" i="20"/>
  <c r="T251" i="20"/>
  <c r="S251" i="20"/>
  <c r="R251" i="20"/>
  <c r="Q251" i="20"/>
  <c r="P251" i="20"/>
  <c r="O251" i="20"/>
  <c r="N251" i="20"/>
  <c r="M251" i="20"/>
  <c r="L251" i="20"/>
  <c r="K251" i="20"/>
  <c r="J251" i="20"/>
  <c r="I251" i="20"/>
  <c r="H251" i="20"/>
  <c r="G251" i="20"/>
  <c r="F251" i="20"/>
  <c r="E251" i="20"/>
  <c r="D251" i="20"/>
  <c r="C251" i="20"/>
  <c r="T250" i="20"/>
  <c r="S250" i="20"/>
  <c r="R250" i="20"/>
  <c r="Q250" i="20"/>
  <c r="P250" i="20"/>
  <c r="O250" i="20"/>
  <c r="N250" i="20"/>
  <c r="M250" i="20"/>
  <c r="L250" i="20"/>
  <c r="K250" i="20"/>
  <c r="J250" i="20"/>
  <c r="I250" i="20"/>
  <c r="H250" i="20"/>
  <c r="G250" i="20"/>
  <c r="F250" i="20"/>
  <c r="E250" i="20"/>
  <c r="D250" i="20"/>
  <c r="C250" i="20"/>
  <c r="T249" i="20"/>
  <c r="S249" i="20"/>
  <c r="R249" i="20"/>
  <c r="Q249" i="20"/>
  <c r="P249" i="20"/>
  <c r="O249" i="20"/>
  <c r="N249" i="20"/>
  <c r="M249" i="20"/>
  <c r="L249" i="20"/>
  <c r="K249" i="20"/>
  <c r="J249" i="20"/>
  <c r="I249" i="20"/>
  <c r="H249" i="20"/>
  <c r="G249" i="20"/>
  <c r="F249" i="20"/>
  <c r="E249" i="20"/>
  <c r="D249" i="20"/>
  <c r="C249" i="20"/>
  <c r="T248" i="20"/>
  <c r="S248" i="20"/>
  <c r="R248" i="20"/>
  <c r="Q248" i="20"/>
  <c r="P248" i="20"/>
  <c r="O248" i="20"/>
  <c r="N248" i="20"/>
  <c r="N253" i="20" s="1"/>
  <c r="M248" i="20"/>
  <c r="L248" i="20"/>
  <c r="L253" i="20" s="1"/>
  <c r="K248" i="20"/>
  <c r="J248" i="20"/>
  <c r="I248" i="20"/>
  <c r="H248" i="20"/>
  <c r="G248" i="20"/>
  <c r="F248" i="20"/>
  <c r="F253" i="20" s="1"/>
  <c r="E248" i="20"/>
  <c r="D248" i="20"/>
  <c r="C248" i="20"/>
  <c r="T246" i="20"/>
  <c r="S246" i="20"/>
  <c r="R246" i="20"/>
  <c r="Q246" i="20"/>
  <c r="P246" i="20"/>
  <c r="O246" i="20"/>
  <c r="N246" i="20"/>
  <c r="M246" i="20"/>
  <c r="L246" i="20"/>
  <c r="K246" i="20"/>
  <c r="J246" i="20"/>
  <c r="I246" i="20"/>
  <c r="H246" i="20"/>
  <c r="G246" i="20"/>
  <c r="F246" i="20"/>
  <c r="E246" i="20"/>
  <c r="D246" i="20"/>
  <c r="C246" i="20"/>
  <c r="T245" i="20"/>
  <c r="S245" i="20"/>
  <c r="R245" i="20"/>
  <c r="Q245" i="20"/>
  <c r="P245" i="20"/>
  <c r="O245" i="20"/>
  <c r="N245" i="20"/>
  <c r="M245" i="20"/>
  <c r="L245" i="20"/>
  <c r="K245" i="20"/>
  <c r="J245" i="20"/>
  <c r="I245" i="20"/>
  <c r="H245" i="20"/>
  <c r="G245" i="20"/>
  <c r="F245" i="20"/>
  <c r="E245" i="20"/>
  <c r="D245" i="20"/>
  <c r="C245" i="20"/>
  <c r="T244" i="20"/>
  <c r="S244" i="20"/>
  <c r="R244" i="20"/>
  <c r="Q244" i="20"/>
  <c r="P244" i="20"/>
  <c r="O244" i="20"/>
  <c r="N244" i="20"/>
  <c r="M244" i="20"/>
  <c r="L244" i="20"/>
  <c r="K244" i="20"/>
  <c r="J244" i="20"/>
  <c r="I244" i="20"/>
  <c r="H244" i="20"/>
  <c r="G244" i="20"/>
  <c r="F244" i="20"/>
  <c r="E244" i="20"/>
  <c r="D244" i="20"/>
  <c r="C244" i="20"/>
  <c r="T243" i="20"/>
  <c r="S243" i="20"/>
  <c r="R243" i="20"/>
  <c r="Q243" i="20"/>
  <c r="P243" i="20"/>
  <c r="O243" i="20"/>
  <c r="N243" i="20"/>
  <c r="M243" i="20"/>
  <c r="L243" i="20"/>
  <c r="K243" i="20"/>
  <c r="J243" i="20"/>
  <c r="I243" i="20"/>
  <c r="H243" i="20"/>
  <c r="G243" i="20"/>
  <c r="F243" i="20"/>
  <c r="E243" i="20"/>
  <c r="D243" i="20"/>
  <c r="C243" i="20"/>
  <c r="T242" i="20"/>
  <c r="S242" i="20"/>
  <c r="R242" i="20"/>
  <c r="Q242" i="20"/>
  <c r="P242" i="20"/>
  <c r="O242" i="20"/>
  <c r="N242" i="20"/>
  <c r="M242" i="20"/>
  <c r="L242" i="20"/>
  <c r="K242" i="20"/>
  <c r="J242" i="20"/>
  <c r="I242" i="20"/>
  <c r="H242" i="20"/>
  <c r="G242" i="20"/>
  <c r="F242" i="20"/>
  <c r="E242" i="20"/>
  <c r="D242" i="20"/>
  <c r="C242" i="20"/>
  <c r="AM241" i="20"/>
  <c r="AL241" i="20"/>
  <c r="AK241" i="20"/>
  <c r="AJ241" i="20"/>
  <c r="AI241" i="20"/>
  <c r="AH241" i="20"/>
  <c r="AG241" i="20"/>
  <c r="AF241" i="20"/>
  <c r="AE241" i="20"/>
  <c r="AD241" i="20"/>
  <c r="K240" i="20" s="1"/>
  <c r="AC241" i="20"/>
  <c r="J238" i="20" s="1"/>
  <c r="I238" i="20" s="1"/>
  <c r="AB241" i="20"/>
  <c r="AA241" i="20"/>
  <c r="Z241" i="20"/>
  <c r="Y241" i="20"/>
  <c r="X241" i="20"/>
  <c r="W241" i="20"/>
  <c r="V241" i="20"/>
  <c r="AM240" i="20"/>
  <c r="AL240" i="20"/>
  <c r="AK240" i="20"/>
  <c r="R240" i="20" s="1"/>
  <c r="AJ240" i="20"/>
  <c r="AI240" i="20"/>
  <c r="AH240" i="20"/>
  <c r="O240" i="20" s="1"/>
  <c r="AG240" i="20"/>
  <c r="N240" i="20" s="1"/>
  <c r="AF240" i="20"/>
  <c r="AE240" i="20"/>
  <c r="AD240" i="20"/>
  <c r="AC240" i="20"/>
  <c r="AB240" i="20"/>
  <c r="I240" i="20" s="1"/>
  <c r="H240" i="20" s="1"/>
  <c r="G240" i="20" s="1"/>
  <c r="AA240" i="20"/>
  <c r="Z240" i="20"/>
  <c r="Y240" i="20"/>
  <c r="X240" i="20"/>
  <c r="W240" i="20"/>
  <c r="V240" i="20"/>
  <c r="Q240" i="20"/>
  <c r="AM239" i="20"/>
  <c r="AL239" i="20"/>
  <c r="S239" i="20" s="1"/>
  <c r="AK239" i="20"/>
  <c r="AJ239" i="20"/>
  <c r="Q239" i="20" s="1"/>
  <c r="AI239" i="20"/>
  <c r="AH239" i="20"/>
  <c r="AG239" i="20"/>
  <c r="AF239" i="20"/>
  <c r="AE239" i="20"/>
  <c r="AD239" i="20"/>
  <c r="AC239" i="20"/>
  <c r="AB239" i="20"/>
  <c r="I239" i="20" s="1"/>
  <c r="AA239" i="20"/>
  <c r="Z239" i="20"/>
  <c r="Y239" i="20"/>
  <c r="X239" i="20"/>
  <c r="W239" i="20"/>
  <c r="V239" i="20"/>
  <c r="C239" i="20" s="1"/>
  <c r="K239" i="20"/>
  <c r="J239" i="20"/>
  <c r="AM238" i="20"/>
  <c r="T238" i="20" s="1"/>
  <c r="AL238" i="20"/>
  <c r="S238" i="20" s="1"/>
  <c r="AK238" i="20"/>
  <c r="AJ238" i="20"/>
  <c r="AI238" i="20"/>
  <c r="AH238" i="20"/>
  <c r="O238" i="20" s="1"/>
  <c r="AG238" i="20"/>
  <c r="AF238" i="20"/>
  <c r="AE238" i="20"/>
  <c r="AD238" i="20"/>
  <c r="AC238" i="20"/>
  <c r="AB238" i="20"/>
  <c r="AA238" i="20"/>
  <c r="Z238" i="20"/>
  <c r="Y238" i="20"/>
  <c r="X238" i="20"/>
  <c r="W238" i="20"/>
  <c r="V238" i="20"/>
  <c r="R238" i="20"/>
  <c r="Q238" i="20" s="1"/>
  <c r="AM237" i="20"/>
  <c r="T237" i="20" s="1"/>
  <c r="S237" i="20" s="1"/>
  <c r="R237" i="20" s="1"/>
  <c r="Q237" i="20" s="1"/>
  <c r="AL237" i="20"/>
  <c r="AK237" i="20"/>
  <c r="AJ237" i="20"/>
  <c r="AI237" i="20"/>
  <c r="AH237" i="20"/>
  <c r="O237" i="20" s="1"/>
  <c r="AG237" i="20"/>
  <c r="N237" i="20" s="1"/>
  <c r="AF237" i="20"/>
  <c r="AE237" i="20"/>
  <c r="L237" i="20" s="1"/>
  <c r="AD237" i="20"/>
  <c r="K237" i="20" s="1"/>
  <c r="AC237" i="20"/>
  <c r="AB237" i="20"/>
  <c r="AA237" i="20"/>
  <c r="Z237" i="20"/>
  <c r="Y237" i="20"/>
  <c r="F237" i="20" s="1"/>
  <c r="X237" i="20"/>
  <c r="W237" i="20"/>
  <c r="D237" i="20" s="1"/>
  <c r="V237" i="20"/>
  <c r="C237" i="20" s="1"/>
  <c r="AM236" i="20"/>
  <c r="T236" i="20" s="1"/>
  <c r="AL236" i="20"/>
  <c r="AK236" i="20"/>
  <c r="R236" i="20" s="1"/>
  <c r="AJ236" i="20"/>
  <c r="Q236" i="20" s="1"/>
  <c r="AI236" i="20"/>
  <c r="AH236" i="20"/>
  <c r="AG236" i="20"/>
  <c r="AF236" i="20"/>
  <c r="AE236" i="20"/>
  <c r="AD236" i="20"/>
  <c r="AC236" i="20"/>
  <c r="AB236" i="20"/>
  <c r="I236" i="20" s="1"/>
  <c r="AA236" i="20"/>
  <c r="Z236" i="20"/>
  <c r="Y236" i="20"/>
  <c r="X236" i="20"/>
  <c r="W236" i="20"/>
  <c r="V236" i="20"/>
  <c r="T234" i="20"/>
  <c r="S234" i="20"/>
  <c r="R234" i="20"/>
  <c r="Q234" i="20"/>
  <c r="P234" i="20"/>
  <c r="O234" i="20"/>
  <c r="N234" i="20"/>
  <c r="M234" i="20"/>
  <c r="L234" i="20"/>
  <c r="K234" i="20"/>
  <c r="J234" i="20"/>
  <c r="I234" i="20"/>
  <c r="H234" i="20"/>
  <c r="G234" i="20"/>
  <c r="F234" i="20"/>
  <c r="E234" i="20"/>
  <c r="D234" i="20"/>
  <c r="C234" i="20"/>
  <c r="T233" i="20"/>
  <c r="T235" i="20" s="1"/>
  <c r="S233" i="20"/>
  <c r="R233" i="20"/>
  <c r="Q233" i="20"/>
  <c r="P233" i="20"/>
  <c r="O233" i="20"/>
  <c r="N233" i="20"/>
  <c r="M233" i="20"/>
  <c r="L233" i="20"/>
  <c r="K233" i="20"/>
  <c r="J233" i="20"/>
  <c r="I233" i="20"/>
  <c r="H233" i="20"/>
  <c r="G233" i="20"/>
  <c r="F233" i="20"/>
  <c r="E233" i="20"/>
  <c r="D233" i="20"/>
  <c r="D235" i="20" s="1"/>
  <c r="C233" i="20"/>
  <c r="T232" i="20"/>
  <c r="S232" i="20"/>
  <c r="R232" i="20"/>
  <c r="Q232" i="20"/>
  <c r="P232" i="20"/>
  <c r="O232" i="20"/>
  <c r="N232" i="20"/>
  <c r="M232" i="20"/>
  <c r="L232" i="20"/>
  <c r="K232" i="20"/>
  <c r="J232" i="20"/>
  <c r="I232" i="20"/>
  <c r="H232" i="20"/>
  <c r="G232" i="20"/>
  <c r="F232" i="20"/>
  <c r="E232" i="20"/>
  <c r="D232" i="20"/>
  <c r="C232" i="20"/>
  <c r="T231" i="20"/>
  <c r="S231" i="20"/>
  <c r="R231" i="20"/>
  <c r="Q231" i="20"/>
  <c r="P231" i="20"/>
  <c r="O231" i="20"/>
  <c r="N231" i="20"/>
  <c r="M231" i="20"/>
  <c r="L231" i="20"/>
  <c r="K231" i="20"/>
  <c r="J231" i="20"/>
  <c r="I231" i="20"/>
  <c r="H231" i="20"/>
  <c r="G231" i="20"/>
  <c r="F231" i="20"/>
  <c r="E231" i="20"/>
  <c r="D231" i="20"/>
  <c r="C231" i="20"/>
  <c r="T230" i="20"/>
  <c r="S230" i="20"/>
  <c r="R230" i="20"/>
  <c r="R235" i="20" s="1"/>
  <c r="Q230" i="20"/>
  <c r="P230" i="20"/>
  <c r="O230" i="20"/>
  <c r="N230" i="20"/>
  <c r="M230" i="20"/>
  <c r="L230" i="20"/>
  <c r="K230" i="20"/>
  <c r="J230" i="20"/>
  <c r="J235" i="20" s="1"/>
  <c r="I230" i="20"/>
  <c r="H230" i="20"/>
  <c r="G230" i="20"/>
  <c r="F230" i="20"/>
  <c r="E230" i="20"/>
  <c r="D230" i="20"/>
  <c r="C230" i="20"/>
  <c r="T228" i="20"/>
  <c r="S228" i="20"/>
  <c r="R228" i="20"/>
  <c r="Q228" i="20"/>
  <c r="P228" i="20"/>
  <c r="O228" i="20"/>
  <c r="N228" i="20"/>
  <c r="M228" i="20"/>
  <c r="L228" i="20"/>
  <c r="K228" i="20"/>
  <c r="J228" i="20"/>
  <c r="I228" i="20"/>
  <c r="H228" i="20"/>
  <c r="G228" i="20"/>
  <c r="F228" i="20"/>
  <c r="E228" i="20"/>
  <c r="D228" i="20"/>
  <c r="C228" i="20"/>
  <c r="T227" i="20"/>
  <c r="S227" i="20"/>
  <c r="R227" i="20"/>
  <c r="Q227" i="20"/>
  <c r="P227" i="20"/>
  <c r="O227" i="20"/>
  <c r="N227" i="20"/>
  <c r="M227" i="20"/>
  <c r="L227" i="20"/>
  <c r="K227" i="20"/>
  <c r="J227" i="20"/>
  <c r="I227" i="20"/>
  <c r="H227" i="20"/>
  <c r="G227" i="20"/>
  <c r="F227" i="20"/>
  <c r="E227" i="20"/>
  <c r="D227" i="20"/>
  <c r="C227" i="20"/>
  <c r="T226" i="20"/>
  <c r="S226" i="20"/>
  <c r="R226" i="20"/>
  <c r="Q226" i="20"/>
  <c r="P226" i="20"/>
  <c r="O226" i="20"/>
  <c r="N226" i="20"/>
  <c r="M226" i="20"/>
  <c r="L226" i="20"/>
  <c r="K226" i="20"/>
  <c r="J226" i="20"/>
  <c r="I226" i="20"/>
  <c r="H226" i="20"/>
  <c r="G226" i="20"/>
  <c r="F226" i="20"/>
  <c r="E226" i="20"/>
  <c r="D226" i="20"/>
  <c r="C226" i="20"/>
  <c r="T225" i="20"/>
  <c r="S225" i="20"/>
  <c r="R225" i="20"/>
  <c r="Q225" i="20"/>
  <c r="P225" i="20"/>
  <c r="O225" i="20"/>
  <c r="N225" i="20"/>
  <c r="M225" i="20"/>
  <c r="L225" i="20"/>
  <c r="K225" i="20"/>
  <c r="K229" i="20" s="1"/>
  <c r="J225" i="20"/>
  <c r="I225" i="20"/>
  <c r="H225" i="20"/>
  <c r="G225" i="20"/>
  <c r="F225" i="20"/>
  <c r="E225" i="20"/>
  <c r="D225" i="20"/>
  <c r="C225" i="20"/>
  <c r="T224" i="20"/>
  <c r="S224" i="20"/>
  <c r="R224" i="20"/>
  <c r="Q224" i="20"/>
  <c r="P224" i="20"/>
  <c r="O224" i="20"/>
  <c r="N224" i="20"/>
  <c r="M224" i="20"/>
  <c r="L224" i="20"/>
  <c r="K224" i="20"/>
  <c r="J224" i="20"/>
  <c r="I224" i="20"/>
  <c r="H224" i="20"/>
  <c r="G224" i="20"/>
  <c r="F224" i="20"/>
  <c r="E224" i="20"/>
  <c r="D224" i="20"/>
  <c r="C224" i="20"/>
  <c r="T222" i="20"/>
  <c r="S222" i="20"/>
  <c r="R222" i="20"/>
  <c r="Q222" i="20"/>
  <c r="P222" i="20"/>
  <c r="O222" i="20"/>
  <c r="N222" i="20"/>
  <c r="M222" i="20"/>
  <c r="L222" i="20"/>
  <c r="K222" i="20"/>
  <c r="J222" i="20"/>
  <c r="I222" i="20"/>
  <c r="H222" i="20"/>
  <c r="G222" i="20"/>
  <c r="F222" i="20"/>
  <c r="E222" i="20"/>
  <c r="D222" i="20"/>
  <c r="C222" i="20"/>
  <c r="T221" i="20"/>
  <c r="S221" i="20"/>
  <c r="R221" i="20"/>
  <c r="Q221" i="20"/>
  <c r="P221" i="20"/>
  <c r="O221" i="20"/>
  <c r="N221" i="20"/>
  <c r="M221" i="20"/>
  <c r="L221" i="20"/>
  <c r="K221" i="20"/>
  <c r="J221" i="20"/>
  <c r="I221" i="20"/>
  <c r="H221" i="20"/>
  <c r="G221" i="20"/>
  <c r="F221" i="20"/>
  <c r="E221" i="20"/>
  <c r="D221" i="20"/>
  <c r="C221" i="20"/>
  <c r="T220" i="20"/>
  <c r="S220" i="20"/>
  <c r="R220" i="20"/>
  <c r="Q220" i="20"/>
  <c r="P220" i="20"/>
  <c r="O220" i="20"/>
  <c r="N220" i="20"/>
  <c r="M220" i="20"/>
  <c r="L220" i="20"/>
  <c r="K220" i="20"/>
  <c r="J220" i="20"/>
  <c r="I220" i="20"/>
  <c r="H220" i="20"/>
  <c r="G220" i="20"/>
  <c r="F220" i="20"/>
  <c r="E220" i="20"/>
  <c r="D220" i="20"/>
  <c r="C220" i="20"/>
  <c r="T219" i="20"/>
  <c r="S219" i="20"/>
  <c r="R219" i="20"/>
  <c r="Q219" i="20"/>
  <c r="P219" i="20"/>
  <c r="O219" i="20"/>
  <c r="N219" i="20"/>
  <c r="M219" i="20"/>
  <c r="L219" i="20"/>
  <c r="K219" i="20"/>
  <c r="J219" i="20"/>
  <c r="I219" i="20"/>
  <c r="H219" i="20"/>
  <c r="G219" i="20"/>
  <c r="F219" i="20"/>
  <c r="E219" i="20"/>
  <c r="D219" i="20"/>
  <c r="C219" i="20"/>
  <c r="T218" i="20"/>
  <c r="S218" i="20"/>
  <c r="R218" i="20"/>
  <c r="Q218" i="20"/>
  <c r="P218" i="20"/>
  <c r="O218" i="20"/>
  <c r="N218" i="20"/>
  <c r="M218" i="20"/>
  <c r="L218" i="20"/>
  <c r="K218" i="20"/>
  <c r="J218" i="20"/>
  <c r="I218" i="20"/>
  <c r="H218" i="20"/>
  <c r="G218" i="20"/>
  <c r="F218" i="20"/>
  <c r="E218" i="20"/>
  <c r="D218" i="20"/>
  <c r="C218" i="20"/>
  <c r="T216" i="20"/>
  <c r="S216" i="20"/>
  <c r="R216" i="20"/>
  <c r="Q216" i="20"/>
  <c r="P216" i="20"/>
  <c r="O216" i="20"/>
  <c r="N216" i="20"/>
  <c r="M216" i="20"/>
  <c r="L216" i="20"/>
  <c r="K216" i="20"/>
  <c r="J216" i="20"/>
  <c r="I216" i="20"/>
  <c r="H216" i="20"/>
  <c r="G216" i="20"/>
  <c r="F216" i="20"/>
  <c r="E216" i="20"/>
  <c r="D216" i="20"/>
  <c r="C216" i="20"/>
  <c r="T215" i="20"/>
  <c r="S215" i="20"/>
  <c r="R215" i="20"/>
  <c r="Q215" i="20"/>
  <c r="P215" i="20"/>
  <c r="O215" i="20"/>
  <c r="N215" i="20"/>
  <c r="M215" i="20"/>
  <c r="L215" i="20"/>
  <c r="K215" i="20"/>
  <c r="J215" i="20"/>
  <c r="I215" i="20"/>
  <c r="H215" i="20"/>
  <c r="G215" i="20"/>
  <c r="F215" i="20"/>
  <c r="E215" i="20"/>
  <c r="D215" i="20"/>
  <c r="C215" i="20"/>
  <c r="T214" i="20"/>
  <c r="S214" i="20"/>
  <c r="R214" i="20"/>
  <c r="Q214" i="20"/>
  <c r="P214" i="20"/>
  <c r="O214" i="20"/>
  <c r="N214" i="20"/>
  <c r="M214" i="20"/>
  <c r="L214" i="20"/>
  <c r="K214" i="20"/>
  <c r="J214" i="20"/>
  <c r="I214" i="20"/>
  <c r="H214" i="20"/>
  <c r="G214" i="20"/>
  <c r="F214" i="20"/>
  <c r="E214" i="20"/>
  <c r="D214" i="20"/>
  <c r="C214" i="20"/>
  <c r="T213" i="20"/>
  <c r="S213" i="20"/>
  <c r="R213" i="20"/>
  <c r="Q213" i="20"/>
  <c r="P213" i="20"/>
  <c r="O213" i="20"/>
  <c r="N213" i="20"/>
  <c r="M213" i="20"/>
  <c r="L213" i="20"/>
  <c r="K213" i="20"/>
  <c r="J213" i="20"/>
  <c r="I213" i="20"/>
  <c r="H213" i="20"/>
  <c r="G213" i="20"/>
  <c r="F213" i="20"/>
  <c r="E213" i="20"/>
  <c r="D213" i="20"/>
  <c r="C213" i="20"/>
  <c r="T212" i="20"/>
  <c r="T217" i="20" s="1"/>
  <c r="S212" i="20"/>
  <c r="R212" i="20"/>
  <c r="Q212" i="20"/>
  <c r="P212" i="20"/>
  <c r="O212" i="20"/>
  <c r="N212" i="20"/>
  <c r="M212" i="20"/>
  <c r="L212" i="20"/>
  <c r="K212" i="20"/>
  <c r="J212" i="20"/>
  <c r="I212" i="20"/>
  <c r="H212" i="20"/>
  <c r="G212" i="20"/>
  <c r="F212" i="20"/>
  <c r="E212" i="20"/>
  <c r="D212" i="20"/>
  <c r="C212" i="20"/>
  <c r="T210" i="20"/>
  <c r="S210" i="20"/>
  <c r="R210" i="20"/>
  <c r="Q210" i="20"/>
  <c r="P210" i="20"/>
  <c r="O210" i="20"/>
  <c r="N210" i="20"/>
  <c r="M210" i="20"/>
  <c r="L210" i="20"/>
  <c r="K210" i="20"/>
  <c r="J210" i="20"/>
  <c r="I210" i="20"/>
  <c r="H210" i="20"/>
  <c r="G210" i="20"/>
  <c r="F210" i="20"/>
  <c r="E210" i="20"/>
  <c r="D210" i="20"/>
  <c r="C210" i="20"/>
  <c r="T209" i="20"/>
  <c r="S209" i="20"/>
  <c r="R209" i="20"/>
  <c r="Q209" i="20"/>
  <c r="P209" i="20"/>
  <c r="O209" i="20"/>
  <c r="N209" i="20"/>
  <c r="M209" i="20"/>
  <c r="L209" i="20"/>
  <c r="K209" i="20"/>
  <c r="J209" i="20"/>
  <c r="I209" i="20"/>
  <c r="H209" i="20"/>
  <c r="G209" i="20"/>
  <c r="F209" i="20"/>
  <c r="E209" i="20"/>
  <c r="D209" i="20"/>
  <c r="C209" i="20"/>
  <c r="T208" i="20"/>
  <c r="S208" i="20"/>
  <c r="R208" i="20"/>
  <c r="Q208" i="20"/>
  <c r="P208" i="20"/>
  <c r="O208" i="20"/>
  <c r="N208" i="20"/>
  <c r="M208" i="20"/>
  <c r="L208" i="20"/>
  <c r="K208" i="20"/>
  <c r="J208" i="20"/>
  <c r="I208" i="20"/>
  <c r="H208" i="20"/>
  <c r="G208" i="20"/>
  <c r="F208" i="20"/>
  <c r="E208" i="20"/>
  <c r="D208" i="20"/>
  <c r="C208" i="20"/>
  <c r="T207" i="20"/>
  <c r="S207" i="20"/>
  <c r="R207" i="20"/>
  <c r="Q207" i="20"/>
  <c r="P207" i="20"/>
  <c r="O207" i="20"/>
  <c r="N207" i="20"/>
  <c r="M207" i="20"/>
  <c r="L207" i="20"/>
  <c r="K207" i="20"/>
  <c r="J207" i="20"/>
  <c r="J211" i="20" s="1"/>
  <c r="I207" i="20"/>
  <c r="H207" i="20"/>
  <c r="G207" i="20"/>
  <c r="F207" i="20"/>
  <c r="E207" i="20"/>
  <c r="D207" i="20"/>
  <c r="C207" i="20"/>
  <c r="T206" i="20"/>
  <c r="S206" i="20"/>
  <c r="R206" i="20"/>
  <c r="Q206" i="20"/>
  <c r="P206" i="20"/>
  <c r="O206" i="20"/>
  <c r="N206" i="20"/>
  <c r="M206" i="20"/>
  <c r="L206" i="20"/>
  <c r="K206" i="20"/>
  <c r="J206" i="20"/>
  <c r="I206" i="20"/>
  <c r="H206" i="20"/>
  <c r="G206" i="20"/>
  <c r="F206" i="20"/>
  <c r="E206" i="20"/>
  <c r="D206" i="20"/>
  <c r="C206" i="20"/>
  <c r="T204" i="20"/>
  <c r="S204" i="20"/>
  <c r="R204" i="20"/>
  <c r="Q204" i="20"/>
  <c r="P204" i="20"/>
  <c r="O204" i="20"/>
  <c r="N204" i="20"/>
  <c r="M204" i="20"/>
  <c r="L204" i="20"/>
  <c r="K204" i="20"/>
  <c r="J204" i="20"/>
  <c r="I204" i="20"/>
  <c r="H204" i="20"/>
  <c r="G204" i="20"/>
  <c r="F204" i="20"/>
  <c r="E204" i="20"/>
  <c r="D204" i="20"/>
  <c r="C204" i="20"/>
  <c r="T203" i="20"/>
  <c r="S203" i="20"/>
  <c r="R203" i="20"/>
  <c r="Q203" i="20"/>
  <c r="P203" i="20"/>
  <c r="O203" i="20"/>
  <c r="N203" i="20"/>
  <c r="M203" i="20"/>
  <c r="L203" i="20"/>
  <c r="K203" i="20"/>
  <c r="J203" i="20"/>
  <c r="I203" i="20"/>
  <c r="H203" i="20"/>
  <c r="G203" i="20"/>
  <c r="F203" i="20"/>
  <c r="E203" i="20"/>
  <c r="D203" i="20"/>
  <c r="C203" i="20"/>
  <c r="T202" i="20"/>
  <c r="S202" i="20"/>
  <c r="R202" i="20"/>
  <c r="Q202" i="20"/>
  <c r="P202" i="20"/>
  <c r="O202" i="20"/>
  <c r="N202" i="20"/>
  <c r="M202" i="20"/>
  <c r="L202" i="20"/>
  <c r="K202" i="20"/>
  <c r="J202" i="20"/>
  <c r="I202" i="20"/>
  <c r="H202" i="20"/>
  <c r="G202" i="20"/>
  <c r="F202" i="20"/>
  <c r="E202" i="20"/>
  <c r="D202" i="20"/>
  <c r="C202" i="20"/>
  <c r="T201" i="20"/>
  <c r="S201" i="20"/>
  <c r="R201" i="20"/>
  <c r="Q201" i="20"/>
  <c r="P201" i="20"/>
  <c r="O201" i="20"/>
  <c r="N201" i="20"/>
  <c r="M201" i="20"/>
  <c r="L201" i="20"/>
  <c r="K201" i="20"/>
  <c r="J201" i="20"/>
  <c r="I201" i="20"/>
  <c r="H201" i="20"/>
  <c r="G201" i="20"/>
  <c r="F201" i="20"/>
  <c r="E201" i="20"/>
  <c r="D201" i="20"/>
  <c r="C201" i="20"/>
  <c r="T200" i="20"/>
  <c r="S200" i="20"/>
  <c r="R200" i="20"/>
  <c r="Q200" i="20"/>
  <c r="P200" i="20"/>
  <c r="O200" i="20"/>
  <c r="N200" i="20"/>
  <c r="M200" i="20"/>
  <c r="L200" i="20"/>
  <c r="K200" i="20"/>
  <c r="J200" i="20"/>
  <c r="I200" i="20"/>
  <c r="H200" i="20"/>
  <c r="G200" i="20"/>
  <c r="F200" i="20"/>
  <c r="E200" i="20"/>
  <c r="D200" i="20"/>
  <c r="C200" i="20"/>
  <c r="T198" i="20"/>
  <c r="S198" i="20"/>
  <c r="R198" i="20"/>
  <c r="Q198" i="20"/>
  <c r="P198" i="20"/>
  <c r="O198" i="20"/>
  <c r="N198" i="20"/>
  <c r="M198" i="20"/>
  <c r="L198" i="20"/>
  <c r="K198" i="20"/>
  <c r="J198" i="20"/>
  <c r="I198" i="20"/>
  <c r="H198" i="20"/>
  <c r="G198" i="20"/>
  <c r="F198" i="20"/>
  <c r="E198" i="20"/>
  <c r="D198" i="20"/>
  <c r="C198" i="20"/>
  <c r="T197" i="20"/>
  <c r="S197" i="20"/>
  <c r="R197" i="20"/>
  <c r="Q197" i="20"/>
  <c r="P197" i="20"/>
  <c r="O197" i="20"/>
  <c r="N197" i="20"/>
  <c r="M197" i="20"/>
  <c r="L197" i="20"/>
  <c r="K197" i="20"/>
  <c r="J197" i="20"/>
  <c r="I197" i="20"/>
  <c r="H197" i="20"/>
  <c r="G197" i="20"/>
  <c r="F197" i="20"/>
  <c r="E197" i="20"/>
  <c r="D197" i="20"/>
  <c r="C197" i="20"/>
  <c r="T196" i="20"/>
  <c r="S196" i="20"/>
  <c r="R196" i="20"/>
  <c r="Q196" i="20"/>
  <c r="P196" i="20"/>
  <c r="O196" i="20"/>
  <c r="N196" i="20"/>
  <c r="M196" i="20"/>
  <c r="L196" i="20"/>
  <c r="K196" i="20"/>
  <c r="J196" i="20"/>
  <c r="I196" i="20"/>
  <c r="H196" i="20"/>
  <c r="G196" i="20"/>
  <c r="F196" i="20"/>
  <c r="E196" i="20"/>
  <c r="D196" i="20"/>
  <c r="C196" i="20"/>
  <c r="T195" i="20"/>
  <c r="S195" i="20"/>
  <c r="R195" i="20"/>
  <c r="Q195" i="20"/>
  <c r="P195" i="20"/>
  <c r="O195" i="20"/>
  <c r="N195" i="20"/>
  <c r="M195" i="20"/>
  <c r="L195" i="20"/>
  <c r="K195" i="20"/>
  <c r="J195" i="20"/>
  <c r="I195" i="20"/>
  <c r="H195" i="20"/>
  <c r="G195" i="20"/>
  <c r="F195" i="20"/>
  <c r="F199" i="20" s="1"/>
  <c r="E195" i="20"/>
  <c r="D195" i="20"/>
  <c r="C195" i="20"/>
  <c r="T194" i="20"/>
  <c r="S194" i="20"/>
  <c r="R194" i="20"/>
  <c r="Q194" i="20"/>
  <c r="P194" i="20"/>
  <c r="O194" i="20"/>
  <c r="N194" i="20"/>
  <c r="M194" i="20"/>
  <c r="L194" i="20"/>
  <c r="K194" i="20"/>
  <c r="J194" i="20"/>
  <c r="I194" i="20"/>
  <c r="H194" i="20"/>
  <c r="G194" i="20"/>
  <c r="F194" i="20"/>
  <c r="E194" i="20"/>
  <c r="D194" i="20"/>
  <c r="C194" i="20"/>
  <c r="T192" i="20"/>
  <c r="S192" i="20"/>
  <c r="R192" i="20"/>
  <c r="Q192" i="20"/>
  <c r="P192" i="20"/>
  <c r="O192" i="20"/>
  <c r="N192" i="20"/>
  <c r="M192" i="20"/>
  <c r="L192" i="20"/>
  <c r="K192" i="20"/>
  <c r="J192" i="20"/>
  <c r="I192" i="20"/>
  <c r="H192" i="20"/>
  <c r="G192" i="20"/>
  <c r="F192" i="20"/>
  <c r="E192" i="20"/>
  <c r="D192" i="20"/>
  <c r="C192" i="20"/>
  <c r="T191" i="20"/>
  <c r="S191" i="20"/>
  <c r="R191" i="20"/>
  <c r="Q191" i="20"/>
  <c r="P191" i="20"/>
  <c r="O191" i="20"/>
  <c r="N191" i="20"/>
  <c r="M191" i="20"/>
  <c r="L191" i="20"/>
  <c r="K191" i="20"/>
  <c r="J191" i="20"/>
  <c r="I191" i="20"/>
  <c r="H191" i="20"/>
  <c r="G191" i="20"/>
  <c r="F191" i="20"/>
  <c r="E191" i="20"/>
  <c r="D191" i="20"/>
  <c r="C191" i="20"/>
  <c r="T190" i="20"/>
  <c r="S190" i="20"/>
  <c r="R190" i="20"/>
  <c r="Q190" i="20"/>
  <c r="P190" i="20"/>
  <c r="O190" i="20"/>
  <c r="N190" i="20"/>
  <c r="M190" i="20"/>
  <c r="L190" i="20"/>
  <c r="K190" i="20"/>
  <c r="J190" i="20"/>
  <c r="I190" i="20"/>
  <c r="H190" i="20"/>
  <c r="G190" i="20"/>
  <c r="F190" i="20"/>
  <c r="E190" i="20"/>
  <c r="D190" i="20"/>
  <c r="C190" i="20"/>
  <c r="T189" i="20"/>
  <c r="S189" i="20"/>
  <c r="R189" i="20"/>
  <c r="Q189" i="20"/>
  <c r="P189" i="20"/>
  <c r="O189" i="20"/>
  <c r="N189" i="20"/>
  <c r="M189" i="20"/>
  <c r="L189" i="20"/>
  <c r="K189" i="20"/>
  <c r="J189" i="20"/>
  <c r="I189" i="20"/>
  <c r="H189" i="20"/>
  <c r="G189" i="20"/>
  <c r="F189" i="20"/>
  <c r="E189" i="20"/>
  <c r="D189" i="20"/>
  <c r="C189" i="20"/>
  <c r="T188" i="20"/>
  <c r="S188" i="20"/>
  <c r="R188" i="20"/>
  <c r="Q188" i="20"/>
  <c r="P188" i="20"/>
  <c r="O188" i="20"/>
  <c r="N188" i="20"/>
  <c r="M188" i="20"/>
  <c r="L188" i="20"/>
  <c r="K188" i="20"/>
  <c r="J188" i="20"/>
  <c r="I188" i="20"/>
  <c r="H188" i="20"/>
  <c r="G188" i="20"/>
  <c r="F188" i="20"/>
  <c r="E188" i="20"/>
  <c r="D188" i="20"/>
  <c r="C188" i="20"/>
  <c r="T186" i="20"/>
  <c r="S186" i="20"/>
  <c r="R186" i="20"/>
  <c r="Q186" i="20"/>
  <c r="P186" i="20"/>
  <c r="O186" i="20"/>
  <c r="N186" i="20"/>
  <c r="M186" i="20"/>
  <c r="L186" i="20"/>
  <c r="K186" i="20"/>
  <c r="J186" i="20"/>
  <c r="I186" i="20"/>
  <c r="H186" i="20"/>
  <c r="G186" i="20"/>
  <c r="F186" i="20"/>
  <c r="E186" i="20"/>
  <c r="D186" i="20"/>
  <c r="C186" i="20"/>
  <c r="T185" i="20"/>
  <c r="S185" i="20"/>
  <c r="R185" i="20"/>
  <c r="Q185" i="20"/>
  <c r="P185" i="20"/>
  <c r="O185" i="20"/>
  <c r="N185" i="20"/>
  <c r="M185" i="20"/>
  <c r="L185" i="20"/>
  <c r="K185" i="20"/>
  <c r="J185" i="20"/>
  <c r="I185" i="20"/>
  <c r="H185" i="20"/>
  <c r="G185" i="20"/>
  <c r="F185" i="20"/>
  <c r="E185" i="20"/>
  <c r="D185" i="20"/>
  <c r="C185" i="20"/>
  <c r="T184" i="20"/>
  <c r="S184" i="20"/>
  <c r="R184" i="20"/>
  <c r="Q184" i="20"/>
  <c r="P184" i="20"/>
  <c r="O184" i="20"/>
  <c r="N184" i="20"/>
  <c r="M184" i="20"/>
  <c r="L184" i="20"/>
  <c r="K184" i="20"/>
  <c r="J184" i="20"/>
  <c r="I184" i="20"/>
  <c r="H184" i="20"/>
  <c r="G184" i="20"/>
  <c r="F184" i="20"/>
  <c r="E184" i="20"/>
  <c r="D184" i="20"/>
  <c r="C184" i="20"/>
  <c r="T183" i="20"/>
  <c r="S183" i="20"/>
  <c r="R183" i="20"/>
  <c r="Q183" i="20"/>
  <c r="P183" i="20"/>
  <c r="O183" i="20"/>
  <c r="N183" i="20"/>
  <c r="M183" i="20"/>
  <c r="L183" i="20"/>
  <c r="K183" i="20"/>
  <c r="J183" i="20"/>
  <c r="I183" i="20"/>
  <c r="H183" i="20"/>
  <c r="G183" i="20"/>
  <c r="F183" i="20"/>
  <c r="E183" i="20"/>
  <c r="D183" i="20"/>
  <c r="C183" i="20"/>
  <c r="T182" i="20"/>
  <c r="S182" i="20"/>
  <c r="R182" i="20"/>
  <c r="Q182" i="20"/>
  <c r="P182" i="20"/>
  <c r="O182" i="20"/>
  <c r="N182" i="20"/>
  <c r="M182" i="20"/>
  <c r="L182" i="20"/>
  <c r="K182" i="20"/>
  <c r="J182" i="20"/>
  <c r="I182" i="20"/>
  <c r="H182" i="20"/>
  <c r="G182" i="20"/>
  <c r="F182" i="20"/>
  <c r="E182" i="20"/>
  <c r="D182" i="20"/>
  <c r="C182" i="20"/>
  <c r="T180" i="20"/>
  <c r="S180" i="20"/>
  <c r="R180" i="20"/>
  <c r="Q180" i="20"/>
  <c r="P180" i="20"/>
  <c r="O180" i="20"/>
  <c r="N180" i="20"/>
  <c r="M180" i="20"/>
  <c r="L180" i="20"/>
  <c r="K180" i="20"/>
  <c r="J180" i="20"/>
  <c r="I180" i="20"/>
  <c r="H180" i="20"/>
  <c r="G180" i="20"/>
  <c r="F180" i="20"/>
  <c r="E180" i="20"/>
  <c r="D180" i="20"/>
  <c r="C180" i="20"/>
  <c r="T179" i="20"/>
  <c r="S179" i="20"/>
  <c r="R179" i="20"/>
  <c r="Q179" i="20"/>
  <c r="P179" i="20"/>
  <c r="O179" i="20"/>
  <c r="N179" i="20"/>
  <c r="M179" i="20"/>
  <c r="L179" i="20"/>
  <c r="K179" i="20"/>
  <c r="J179" i="20"/>
  <c r="I179" i="20"/>
  <c r="H179" i="20"/>
  <c r="G179" i="20"/>
  <c r="F179" i="20"/>
  <c r="E179" i="20"/>
  <c r="D179" i="20"/>
  <c r="C179" i="20"/>
  <c r="T178" i="20"/>
  <c r="S178" i="20"/>
  <c r="R178" i="20"/>
  <c r="Q178" i="20"/>
  <c r="P178" i="20"/>
  <c r="O178" i="20"/>
  <c r="N178" i="20"/>
  <c r="M178" i="20"/>
  <c r="L178" i="20"/>
  <c r="K178" i="20"/>
  <c r="J178" i="20"/>
  <c r="I178" i="20"/>
  <c r="H178" i="20"/>
  <c r="G178" i="20"/>
  <c r="F178" i="20"/>
  <c r="E178" i="20"/>
  <c r="D178" i="20"/>
  <c r="C178" i="20"/>
  <c r="T177" i="20"/>
  <c r="S177" i="20"/>
  <c r="R177" i="20"/>
  <c r="Q177" i="20"/>
  <c r="P177" i="20"/>
  <c r="O177" i="20"/>
  <c r="N177" i="20"/>
  <c r="M177" i="20"/>
  <c r="L177" i="20"/>
  <c r="K177" i="20"/>
  <c r="J177" i="20"/>
  <c r="J181" i="20" s="1"/>
  <c r="I177" i="20"/>
  <c r="H177" i="20"/>
  <c r="G177" i="20"/>
  <c r="F177" i="20"/>
  <c r="E177" i="20"/>
  <c r="D177" i="20"/>
  <c r="C177" i="20"/>
  <c r="T176" i="20"/>
  <c r="S176" i="20"/>
  <c r="R176" i="20"/>
  <c r="Q176" i="20"/>
  <c r="P176" i="20"/>
  <c r="O176" i="20"/>
  <c r="N176" i="20"/>
  <c r="M176" i="20"/>
  <c r="L176" i="20"/>
  <c r="K176" i="20"/>
  <c r="J176" i="20"/>
  <c r="I176" i="20"/>
  <c r="H176" i="20"/>
  <c r="G176" i="20"/>
  <c r="F176" i="20"/>
  <c r="E176" i="20"/>
  <c r="D176" i="20"/>
  <c r="C176" i="20"/>
  <c r="T174" i="20"/>
  <c r="S174" i="20"/>
  <c r="R174" i="20"/>
  <c r="Q174" i="20"/>
  <c r="P174" i="20"/>
  <c r="O174" i="20"/>
  <c r="N174" i="20"/>
  <c r="M174" i="20"/>
  <c r="L174" i="20"/>
  <c r="K174" i="20"/>
  <c r="J174" i="20"/>
  <c r="I174" i="20"/>
  <c r="H174" i="20"/>
  <c r="G174" i="20"/>
  <c r="F174" i="20"/>
  <c r="E174" i="20"/>
  <c r="D174" i="20"/>
  <c r="C174" i="20"/>
  <c r="T173" i="20"/>
  <c r="S173" i="20"/>
  <c r="R173" i="20"/>
  <c r="Q173" i="20"/>
  <c r="P173" i="20"/>
  <c r="O173" i="20"/>
  <c r="N173" i="20"/>
  <c r="M173" i="20"/>
  <c r="L173" i="20"/>
  <c r="K173" i="20"/>
  <c r="J173" i="20"/>
  <c r="I173" i="20"/>
  <c r="H173" i="20"/>
  <c r="G173" i="20"/>
  <c r="F173" i="20"/>
  <c r="E173" i="20"/>
  <c r="D173" i="20"/>
  <c r="C173" i="20"/>
  <c r="T172" i="20"/>
  <c r="S172" i="20"/>
  <c r="R172" i="20"/>
  <c r="Q172" i="20"/>
  <c r="P172" i="20"/>
  <c r="O172" i="20"/>
  <c r="N172" i="20"/>
  <c r="M172" i="20"/>
  <c r="L172" i="20"/>
  <c r="K172" i="20"/>
  <c r="J172" i="20"/>
  <c r="I172" i="20"/>
  <c r="H172" i="20"/>
  <c r="G172" i="20"/>
  <c r="F172" i="20"/>
  <c r="E172" i="20"/>
  <c r="D172" i="20"/>
  <c r="C172" i="20"/>
  <c r="T171" i="20"/>
  <c r="S171" i="20"/>
  <c r="R171" i="20"/>
  <c r="Q171" i="20"/>
  <c r="P171" i="20"/>
  <c r="O171" i="20"/>
  <c r="N171" i="20"/>
  <c r="M171" i="20"/>
  <c r="L171" i="20"/>
  <c r="K171" i="20"/>
  <c r="J171" i="20"/>
  <c r="I171" i="20"/>
  <c r="H171" i="20"/>
  <c r="G171" i="20"/>
  <c r="F171" i="20"/>
  <c r="E171" i="20"/>
  <c r="D171" i="20"/>
  <c r="C171" i="20"/>
  <c r="T170" i="20"/>
  <c r="S170" i="20"/>
  <c r="R170" i="20"/>
  <c r="Q170" i="20"/>
  <c r="P170" i="20"/>
  <c r="O170" i="20"/>
  <c r="N170" i="20"/>
  <c r="M170" i="20"/>
  <c r="L170" i="20"/>
  <c r="K170" i="20"/>
  <c r="J170" i="20"/>
  <c r="I170" i="20"/>
  <c r="H170" i="20"/>
  <c r="G170" i="20"/>
  <c r="F170" i="20"/>
  <c r="E170" i="20"/>
  <c r="D170" i="20"/>
  <c r="C170" i="20"/>
  <c r="T168" i="20"/>
  <c r="S168" i="20"/>
  <c r="R168" i="20"/>
  <c r="Q168" i="20"/>
  <c r="P168" i="20"/>
  <c r="O168" i="20"/>
  <c r="N168" i="20"/>
  <c r="M168" i="20"/>
  <c r="L168" i="20"/>
  <c r="K168" i="20"/>
  <c r="J168" i="20"/>
  <c r="I168" i="20"/>
  <c r="H168" i="20"/>
  <c r="G168" i="20"/>
  <c r="F168" i="20"/>
  <c r="E168" i="20"/>
  <c r="D168" i="20"/>
  <c r="C168" i="20"/>
  <c r="T167" i="20"/>
  <c r="S167" i="20"/>
  <c r="R167" i="20"/>
  <c r="Q167" i="20"/>
  <c r="P167" i="20"/>
  <c r="O167" i="20"/>
  <c r="N167" i="20"/>
  <c r="M167" i="20"/>
  <c r="L167" i="20"/>
  <c r="K167" i="20"/>
  <c r="J167" i="20"/>
  <c r="I167" i="20"/>
  <c r="H167" i="20"/>
  <c r="G167" i="20"/>
  <c r="F167" i="20"/>
  <c r="E167" i="20"/>
  <c r="D167" i="20"/>
  <c r="C167" i="20"/>
  <c r="T166" i="20"/>
  <c r="S166" i="20"/>
  <c r="R166" i="20"/>
  <c r="Q166" i="20"/>
  <c r="P166" i="20"/>
  <c r="O166" i="20"/>
  <c r="N166" i="20"/>
  <c r="M166" i="20"/>
  <c r="L166" i="20"/>
  <c r="K166" i="20"/>
  <c r="J166" i="20"/>
  <c r="I166" i="20"/>
  <c r="H166" i="20"/>
  <c r="G166" i="20"/>
  <c r="F166" i="20"/>
  <c r="E166" i="20"/>
  <c r="D166" i="20"/>
  <c r="C166" i="20"/>
  <c r="T165" i="20"/>
  <c r="S165" i="20"/>
  <c r="R165" i="20"/>
  <c r="Q165" i="20"/>
  <c r="P165" i="20"/>
  <c r="O165" i="20"/>
  <c r="N165" i="20"/>
  <c r="M165" i="20"/>
  <c r="L165" i="20"/>
  <c r="K165" i="20"/>
  <c r="J165" i="20"/>
  <c r="I165" i="20"/>
  <c r="H165" i="20"/>
  <c r="G165" i="20"/>
  <c r="F165" i="20"/>
  <c r="E165" i="20"/>
  <c r="D165" i="20"/>
  <c r="C165" i="20"/>
  <c r="T164" i="20"/>
  <c r="S164" i="20"/>
  <c r="R164" i="20"/>
  <c r="Q164" i="20"/>
  <c r="P164" i="20"/>
  <c r="O164" i="20"/>
  <c r="N164" i="20"/>
  <c r="M164" i="20"/>
  <c r="L164" i="20"/>
  <c r="K164" i="20"/>
  <c r="J164" i="20"/>
  <c r="I164" i="20"/>
  <c r="H164" i="20"/>
  <c r="G164" i="20"/>
  <c r="F164" i="20"/>
  <c r="E164" i="20"/>
  <c r="D164" i="20"/>
  <c r="C164" i="20"/>
  <c r="T162" i="20"/>
  <c r="S162" i="20"/>
  <c r="R162" i="20"/>
  <c r="Q162" i="20"/>
  <c r="P162" i="20"/>
  <c r="O162" i="20"/>
  <c r="N162" i="20"/>
  <c r="M162" i="20"/>
  <c r="L162" i="20"/>
  <c r="K162" i="20"/>
  <c r="J162" i="20"/>
  <c r="I162" i="20"/>
  <c r="H162" i="20"/>
  <c r="G162" i="20"/>
  <c r="F162" i="20"/>
  <c r="E162" i="20"/>
  <c r="D162" i="20"/>
  <c r="C162" i="20"/>
  <c r="T161" i="20"/>
  <c r="S161" i="20"/>
  <c r="R161" i="20"/>
  <c r="Q161" i="20"/>
  <c r="P161" i="20"/>
  <c r="O161" i="20"/>
  <c r="N161" i="20"/>
  <c r="M161" i="20"/>
  <c r="L161" i="20"/>
  <c r="K161" i="20"/>
  <c r="J161" i="20"/>
  <c r="I161" i="20"/>
  <c r="H161" i="20"/>
  <c r="G161" i="20"/>
  <c r="F161" i="20"/>
  <c r="E161" i="20"/>
  <c r="D161" i="20"/>
  <c r="C161" i="20"/>
  <c r="T160" i="20"/>
  <c r="S160" i="20"/>
  <c r="R160" i="20"/>
  <c r="Q160" i="20"/>
  <c r="P160" i="20"/>
  <c r="O160" i="20"/>
  <c r="N160" i="20"/>
  <c r="M160" i="20"/>
  <c r="L160" i="20"/>
  <c r="K160" i="20"/>
  <c r="J160" i="20"/>
  <c r="I160" i="20"/>
  <c r="H160" i="20"/>
  <c r="G160" i="20"/>
  <c r="F160" i="20"/>
  <c r="E160" i="20"/>
  <c r="D160" i="20"/>
  <c r="C160" i="20"/>
  <c r="T159" i="20"/>
  <c r="S159" i="20"/>
  <c r="R159" i="20"/>
  <c r="Q159" i="20"/>
  <c r="P159" i="20"/>
  <c r="O159" i="20"/>
  <c r="N159" i="20"/>
  <c r="M159" i="20"/>
  <c r="L159" i="20"/>
  <c r="K159" i="20"/>
  <c r="J159" i="20"/>
  <c r="I159" i="20"/>
  <c r="H159" i="20"/>
  <c r="G159" i="20"/>
  <c r="F159" i="20"/>
  <c r="E159" i="20"/>
  <c r="D159" i="20"/>
  <c r="C159" i="20"/>
  <c r="T158" i="20"/>
  <c r="S158" i="20"/>
  <c r="R158" i="20"/>
  <c r="Q158" i="20"/>
  <c r="P158" i="20"/>
  <c r="O158" i="20"/>
  <c r="N158" i="20"/>
  <c r="M158" i="20"/>
  <c r="L158" i="20"/>
  <c r="L163" i="20" s="1"/>
  <c r="K158" i="20"/>
  <c r="J158" i="20"/>
  <c r="I158" i="20"/>
  <c r="H158" i="20"/>
  <c r="G158" i="20"/>
  <c r="F158" i="20"/>
  <c r="E158" i="20"/>
  <c r="D158" i="20"/>
  <c r="C158" i="20"/>
  <c r="AM157" i="20"/>
  <c r="AL157" i="20"/>
  <c r="AK157" i="20"/>
  <c r="AJ157" i="20"/>
  <c r="AI157" i="20"/>
  <c r="AH157" i="20"/>
  <c r="AG157" i="20"/>
  <c r="AF157" i="20"/>
  <c r="AE157" i="20"/>
  <c r="AD157" i="20"/>
  <c r="AC157" i="20"/>
  <c r="AB157" i="20"/>
  <c r="AA157" i="20"/>
  <c r="H156" i="20" s="1"/>
  <c r="Z157" i="20"/>
  <c r="Y157" i="20"/>
  <c r="X157" i="20"/>
  <c r="W157" i="20"/>
  <c r="V157" i="20"/>
  <c r="AM156" i="20"/>
  <c r="AL156" i="20"/>
  <c r="AK156" i="20"/>
  <c r="AJ156" i="20"/>
  <c r="AI156" i="20"/>
  <c r="AH156" i="20"/>
  <c r="AG156" i="20"/>
  <c r="AF156" i="20"/>
  <c r="AE156" i="20"/>
  <c r="AD156" i="20"/>
  <c r="AC156" i="20"/>
  <c r="AB156" i="20"/>
  <c r="AA156" i="20"/>
  <c r="Z156" i="20"/>
  <c r="Y156" i="20"/>
  <c r="X156" i="20"/>
  <c r="W156" i="20"/>
  <c r="V156" i="20"/>
  <c r="P156" i="20"/>
  <c r="O156" i="20" s="1"/>
  <c r="AM155" i="20"/>
  <c r="T155" i="20" s="1"/>
  <c r="AL155" i="20"/>
  <c r="AK155" i="20"/>
  <c r="AJ155" i="20"/>
  <c r="AI155" i="20"/>
  <c r="AH155" i="20"/>
  <c r="AG155" i="20"/>
  <c r="AF155" i="20"/>
  <c r="AE155" i="20"/>
  <c r="AD155" i="20"/>
  <c r="AC155" i="20"/>
  <c r="AB155" i="20"/>
  <c r="I155" i="20" s="1"/>
  <c r="AA155" i="20"/>
  <c r="Z155" i="20"/>
  <c r="Y155" i="20"/>
  <c r="X155" i="20"/>
  <c r="W155" i="20"/>
  <c r="D155" i="20" s="1"/>
  <c r="V155" i="20"/>
  <c r="S155" i="20"/>
  <c r="Q155" i="20"/>
  <c r="AM154" i="20"/>
  <c r="AL154" i="20"/>
  <c r="AK154" i="20"/>
  <c r="R154" i="20" s="1"/>
  <c r="AJ154" i="20"/>
  <c r="AI154" i="20"/>
  <c r="AH154" i="20"/>
  <c r="AG154" i="20"/>
  <c r="AF154" i="20"/>
  <c r="AE154" i="20"/>
  <c r="AD154" i="20"/>
  <c r="AC154" i="20"/>
  <c r="AB154" i="20"/>
  <c r="AA154" i="20"/>
  <c r="Z154" i="20"/>
  <c r="Y154" i="20"/>
  <c r="X154" i="20"/>
  <c r="W154" i="20"/>
  <c r="V154" i="20"/>
  <c r="S154" i="20"/>
  <c r="E154" i="20"/>
  <c r="D154" i="20" s="1"/>
  <c r="AM153" i="20"/>
  <c r="T153" i="20" s="1"/>
  <c r="AL153" i="20"/>
  <c r="AK153" i="20"/>
  <c r="AJ153" i="20"/>
  <c r="AI153" i="20"/>
  <c r="AH153" i="20"/>
  <c r="AG153" i="20"/>
  <c r="AF153" i="20"/>
  <c r="M153" i="20" s="1"/>
  <c r="AE153" i="20"/>
  <c r="L153" i="20" s="1"/>
  <c r="AD153" i="20"/>
  <c r="AC153" i="20"/>
  <c r="AB153" i="20"/>
  <c r="AA153" i="20"/>
  <c r="Z153" i="20"/>
  <c r="Y153" i="20"/>
  <c r="X153" i="20"/>
  <c r="W153" i="20"/>
  <c r="V153" i="20"/>
  <c r="AM152" i="20"/>
  <c r="AL152" i="20"/>
  <c r="AK152" i="20"/>
  <c r="AJ152" i="20"/>
  <c r="AI152" i="20"/>
  <c r="AH152" i="20"/>
  <c r="O152" i="20" s="1"/>
  <c r="AG152" i="20"/>
  <c r="AF152" i="20"/>
  <c r="AE152" i="20"/>
  <c r="AD152" i="20"/>
  <c r="AC152" i="20"/>
  <c r="AB152" i="20"/>
  <c r="I152" i="20" s="1"/>
  <c r="AA152" i="20"/>
  <c r="Z152" i="20"/>
  <c r="Y152" i="20"/>
  <c r="X152" i="20"/>
  <c r="W152" i="20"/>
  <c r="V152" i="20"/>
  <c r="R152" i="20"/>
  <c r="D150" i="20"/>
  <c r="AM147" i="20"/>
  <c r="AL147" i="20"/>
  <c r="AK147" i="20"/>
  <c r="AJ147" i="20"/>
  <c r="AI147" i="20"/>
  <c r="AH147" i="20"/>
  <c r="AG147" i="20"/>
  <c r="N147" i="20" s="1"/>
  <c r="AF147" i="20"/>
  <c r="AE147" i="20"/>
  <c r="AD147" i="20"/>
  <c r="K147" i="20" s="1"/>
  <c r="AC147" i="20"/>
  <c r="J147" i="20" s="1"/>
  <c r="AB147" i="20"/>
  <c r="AA147" i="20"/>
  <c r="Z147" i="20"/>
  <c r="G147" i="20" s="1"/>
  <c r="Y147" i="20"/>
  <c r="X147" i="20"/>
  <c r="W147" i="20"/>
  <c r="V147" i="20"/>
  <c r="C147" i="20" s="1"/>
  <c r="T147" i="20"/>
  <c r="S147" i="20"/>
  <c r="R147" i="20"/>
  <c r="Q147" i="20"/>
  <c r="O147" i="20"/>
  <c r="M147" i="20"/>
  <c r="L147" i="20"/>
  <c r="I147" i="20"/>
  <c r="F147" i="20"/>
  <c r="D147" i="20"/>
  <c r="AM139" i="20"/>
  <c r="AL139" i="20"/>
  <c r="AK139" i="20"/>
  <c r="AJ139" i="20"/>
  <c r="AI139" i="20"/>
  <c r="AH139" i="20"/>
  <c r="AG139" i="20"/>
  <c r="N139" i="20" s="1"/>
  <c r="AF139" i="20"/>
  <c r="AE139" i="20"/>
  <c r="AD139" i="20"/>
  <c r="AC139" i="20"/>
  <c r="J139" i="20" s="1"/>
  <c r="AB139" i="20"/>
  <c r="AA139" i="20"/>
  <c r="Z139" i="20"/>
  <c r="G139" i="20" s="1"/>
  <c r="G142" i="20" s="1"/>
  <c r="Y139" i="20"/>
  <c r="F139" i="20" s="1"/>
  <c r="X139" i="20"/>
  <c r="W139" i="20"/>
  <c r="V139" i="20"/>
  <c r="C139" i="20" s="1"/>
  <c r="T139" i="20"/>
  <c r="S139" i="20"/>
  <c r="R139" i="20"/>
  <c r="Q139" i="20"/>
  <c r="P139" i="20" s="1"/>
  <c r="O139" i="20"/>
  <c r="M139" i="20"/>
  <c r="L139" i="20"/>
  <c r="K139" i="20"/>
  <c r="I139" i="20"/>
  <c r="H139" i="20" s="1"/>
  <c r="E139" i="20"/>
  <c r="AM131" i="20"/>
  <c r="AL131" i="20"/>
  <c r="AK131" i="20"/>
  <c r="AJ131" i="20"/>
  <c r="AI131" i="20"/>
  <c r="AH131" i="20"/>
  <c r="AG131" i="20"/>
  <c r="N131" i="20" s="1"/>
  <c r="M131" i="20" s="1"/>
  <c r="AF131" i="20"/>
  <c r="AE131" i="20"/>
  <c r="AD131" i="20"/>
  <c r="K131" i="20" s="1"/>
  <c r="AC131" i="20"/>
  <c r="J131" i="20" s="1"/>
  <c r="AB131" i="20"/>
  <c r="AA131" i="20"/>
  <c r="Z131" i="20"/>
  <c r="Y131" i="20"/>
  <c r="F131" i="20" s="1"/>
  <c r="X131" i="20"/>
  <c r="W131" i="20"/>
  <c r="V131" i="20"/>
  <c r="C131" i="20" s="1"/>
  <c r="T131" i="20"/>
  <c r="S131" i="20"/>
  <c r="R131" i="20"/>
  <c r="Q131" i="20"/>
  <c r="P131" i="20" s="1"/>
  <c r="O131" i="20"/>
  <c r="I131" i="20"/>
  <c r="I134" i="20" s="1"/>
  <c r="AM123" i="20"/>
  <c r="AL123" i="20"/>
  <c r="AK123" i="20"/>
  <c r="R123" i="20" s="1"/>
  <c r="AJ123" i="20"/>
  <c r="AI123" i="20"/>
  <c r="AH123" i="20"/>
  <c r="AG123" i="20"/>
  <c r="N123" i="20" s="1"/>
  <c r="AF123" i="20"/>
  <c r="M123" i="20" s="1"/>
  <c r="AE123" i="20"/>
  <c r="AD123" i="20"/>
  <c r="AC123" i="20"/>
  <c r="J123" i="20" s="1"/>
  <c r="AB123" i="20"/>
  <c r="AA123" i="20"/>
  <c r="Z123" i="20"/>
  <c r="Y123" i="20"/>
  <c r="F123" i="20" s="1"/>
  <c r="X123" i="20"/>
  <c r="W123" i="20"/>
  <c r="V123" i="20"/>
  <c r="T123" i="20" s="1"/>
  <c r="S123" i="20"/>
  <c r="Q123" i="20"/>
  <c r="O123" i="20"/>
  <c r="K123" i="20"/>
  <c r="I123" i="20"/>
  <c r="I126" i="20" s="1"/>
  <c r="H123" i="20"/>
  <c r="H126" i="20" s="1"/>
  <c r="G123" i="20"/>
  <c r="G126" i="20" s="1"/>
  <c r="F126" i="20" s="1"/>
  <c r="E123" i="20"/>
  <c r="D123" i="20"/>
  <c r="D118" i="20"/>
  <c r="AM115" i="20"/>
  <c r="AL115" i="20"/>
  <c r="AK115" i="20"/>
  <c r="AJ115" i="20"/>
  <c r="AI115" i="20"/>
  <c r="AH115" i="20"/>
  <c r="AG115" i="20"/>
  <c r="AF115" i="20"/>
  <c r="AE115" i="20"/>
  <c r="AD115" i="20"/>
  <c r="K115" i="20" s="1"/>
  <c r="AC115" i="20"/>
  <c r="J115" i="20" s="1"/>
  <c r="AB115" i="20"/>
  <c r="AA115" i="20"/>
  <c r="Z115" i="20"/>
  <c r="Y115" i="20"/>
  <c r="F115" i="20" s="1"/>
  <c r="X115" i="20"/>
  <c r="W115" i="20"/>
  <c r="V115" i="20"/>
  <c r="T115" i="20"/>
  <c r="S115" i="20"/>
  <c r="R115" i="20"/>
  <c r="Q115" i="20"/>
  <c r="P115" i="20" s="1"/>
  <c r="O115" i="20"/>
  <c r="N115" i="20"/>
  <c r="M115" i="20" s="1"/>
  <c r="I115" i="20"/>
  <c r="D115" i="20"/>
  <c r="C115" i="20"/>
  <c r="C118" i="20" s="1"/>
  <c r="J110" i="20"/>
  <c r="AM107" i="20"/>
  <c r="AL107" i="20"/>
  <c r="AK107" i="20"/>
  <c r="R107" i="20" s="1"/>
  <c r="AJ107" i="20"/>
  <c r="AI107" i="20"/>
  <c r="AH107" i="20"/>
  <c r="AG107" i="20"/>
  <c r="N107" i="20" s="1"/>
  <c r="AF107" i="20"/>
  <c r="M107" i="20" s="1"/>
  <c r="AE107" i="20"/>
  <c r="AD107" i="20"/>
  <c r="AC107" i="20"/>
  <c r="J107" i="20" s="1"/>
  <c r="AB107" i="20"/>
  <c r="AA107" i="20"/>
  <c r="Z107" i="20"/>
  <c r="G107" i="20" s="1"/>
  <c r="G110" i="20" s="1"/>
  <c r="Y107" i="20"/>
  <c r="X107" i="20"/>
  <c r="E107" i="20" s="1"/>
  <c r="W107" i="20"/>
  <c r="V107" i="20"/>
  <c r="C107" i="20" s="1"/>
  <c r="C110" i="20" s="1"/>
  <c r="S107" i="20"/>
  <c r="O107" i="20"/>
  <c r="I107" i="20"/>
  <c r="F107" i="20"/>
  <c r="D107" i="20"/>
  <c r="D110" i="20" s="1"/>
  <c r="AM99" i="20"/>
  <c r="AL99" i="20"/>
  <c r="AK99" i="20"/>
  <c r="AJ99" i="20"/>
  <c r="AI99" i="20"/>
  <c r="AH99" i="20"/>
  <c r="AG99" i="20"/>
  <c r="N99" i="20" s="1"/>
  <c r="M99" i="20" s="1"/>
  <c r="AF99" i="20"/>
  <c r="AE99" i="20"/>
  <c r="AD99" i="20"/>
  <c r="AC99" i="20"/>
  <c r="J99" i="20" s="1"/>
  <c r="J102" i="20" s="1"/>
  <c r="I102" i="20" s="1"/>
  <c r="H102" i="20" s="1"/>
  <c r="AB99" i="20"/>
  <c r="AA99" i="20"/>
  <c r="Z99" i="20"/>
  <c r="G99" i="20" s="1"/>
  <c r="G102" i="20" s="1"/>
  <c r="Y99" i="20"/>
  <c r="F99" i="20" s="1"/>
  <c r="X99" i="20"/>
  <c r="W99" i="20"/>
  <c r="V99" i="20"/>
  <c r="C99" i="20" s="1"/>
  <c r="T99" i="20"/>
  <c r="S99" i="20"/>
  <c r="R99" i="20"/>
  <c r="Q99" i="20"/>
  <c r="P99" i="20" s="1"/>
  <c r="O99" i="20"/>
  <c r="K99" i="20"/>
  <c r="I99" i="20"/>
  <c r="H99" i="20" s="1"/>
  <c r="AM91" i="20"/>
  <c r="AL91" i="20"/>
  <c r="AK91" i="20"/>
  <c r="AJ91" i="20"/>
  <c r="AI91" i="20"/>
  <c r="AH91" i="20"/>
  <c r="AG91" i="20"/>
  <c r="N91" i="20" s="1"/>
  <c r="AF91" i="20"/>
  <c r="AE91" i="20"/>
  <c r="AD91" i="20"/>
  <c r="AC91" i="20"/>
  <c r="J91" i="20" s="1"/>
  <c r="AB91" i="20"/>
  <c r="AA91" i="20"/>
  <c r="Z91" i="20"/>
  <c r="G91" i="20" s="1"/>
  <c r="G94" i="20" s="1"/>
  <c r="Y91" i="20"/>
  <c r="F91" i="20" s="1"/>
  <c r="X91" i="20"/>
  <c r="W91" i="20"/>
  <c r="V91" i="20"/>
  <c r="T91" i="20"/>
  <c r="S91" i="20"/>
  <c r="R91" i="20"/>
  <c r="Q91" i="20"/>
  <c r="P91" i="20" s="1"/>
  <c r="O91" i="20"/>
  <c r="M91" i="20"/>
  <c r="K91" i="20"/>
  <c r="I91" i="20"/>
  <c r="I94" i="20" s="1"/>
  <c r="H91" i="20"/>
  <c r="H94" i="20" s="1"/>
  <c r="E91" i="20"/>
  <c r="AM83" i="20"/>
  <c r="AL83" i="20"/>
  <c r="AK83" i="20"/>
  <c r="AJ83" i="20"/>
  <c r="AI83" i="20"/>
  <c r="AH83" i="20"/>
  <c r="AG83" i="20"/>
  <c r="AF83" i="20"/>
  <c r="AE83" i="20"/>
  <c r="AD83" i="20"/>
  <c r="AC83" i="20"/>
  <c r="J83" i="20" s="1"/>
  <c r="AB83" i="20"/>
  <c r="AA83" i="20"/>
  <c r="Z83" i="20"/>
  <c r="Y83" i="20"/>
  <c r="X83" i="20"/>
  <c r="W83" i="20"/>
  <c r="V83" i="20"/>
  <c r="C83" i="20" s="1"/>
  <c r="C86" i="20" s="1"/>
  <c r="T83" i="20"/>
  <c r="S83" i="20"/>
  <c r="R83" i="20"/>
  <c r="Q83" i="20"/>
  <c r="O83" i="20"/>
  <c r="N83" i="20"/>
  <c r="M83" i="20" s="1"/>
  <c r="K83" i="20"/>
  <c r="I83" i="20"/>
  <c r="G83" i="20"/>
  <c r="F83" i="20"/>
  <c r="E83" i="20" s="1"/>
  <c r="D83" i="20" s="1"/>
  <c r="I78" i="20"/>
  <c r="AM75" i="20"/>
  <c r="AL75" i="20"/>
  <c r="AK75" i="20"/>
  <c r="R75" i="20" s="1"/>
  <c r="Q75" i="20" s="1"/>
  <c r="AJ75" i="20"/>
  <c r="AI75" i="20"/>
  <c r="AH75" i="20"/>
  <c r="AG75" i="20"/>
  <c r="N75" i="20" s="1"/>
  <c r="AF75" i="20"/>
  <c r="M75" i="20" s="1"/>
  <c r="AE75" i="20"/>
  <c r="AD75" i="20"/>
  <c r="AC75" i="20"/>
  <c r="J75" i="20" s="1"/>
  <c r="J78" i="20" s="1"/>
  <c r="AB75" i="20"/>
  <c r="AA75" i="20"/>
  <c r="Z75" i="20"/>
  <c r="Y75" i="20"/>
  <c r="F75" i="20" s="1"/>
  <c r="X75" i="20"/>
  <c r="W75" i="20"/>
  <c r="V75" i="20"/>
  <c r="C75" i="20" s="1"/>
  <c r="S75" i="20"/>
  <c r="O75" i="20"/>
  <c r="I75" i="20"/>
  <c r="H75" i="20"/>
  <c r="H78" i="20" s="1"/>
  <c r="G75" i="20"/>
  <c r="G78" i="20" s="1"/>
  <c r="E75" i="20"/>
  <c r="AM67" i="20"/>
  <c r="AL67" i="20"/>
  <c r="AK67" i="20"/>
  <c r="AJ67" i="20"/>
  <c r="Q67" i="20" s="1"/>
  <c r="AI67" i="20"/>
  <c r="AH67" i="20"/>
  <c r="AG67" i="20"/>
  <c r="AF67" i="20"/>
  <c r="AE67" i="20"/>
  <c r="AD67" i="20"/>
  <c r="AC67" i="20"/>
  <c r="J67" i="20" s="1"/>
  <c r="J70" i="20" s="1"/>
  <c r="AB67" i="20"/>
  <c r="AA67" i="20"/>
  <c r="Z67" i="20"/>
  <c r="G67" i="20" s="1"/>
  <c r="Y67" i="20"/>
  <c r="X67" i="20"/>
  <c r="W67" i="20"/>
  <c r="V67" i="20"/>
  <c r="C67" i="20" s="1"/>
  <c r="C70" i="20" s="1"/>
  <c r="S67" i="20"/>
  <c r="R67" i="20"/>
  <c r="O67" i="20"/>
  <c r="N67" i="20"/>
  <c r="K67" i="20"/>
  <c r="I67" i="20"/>
  <c r="H67" i="20"/>
  <c r="H70" i="20" s="1"/>
  <c r="F67" i="20"/>
  <c r="D67" i="20"/>
  <c r="D70" i="20" s="1"/>
  <c r="I62" i="20"/>
  <c r="H62" i="20" s="1"/>
  <c r="AM59" i="20"/>
  <c r="AL59" i="20"/>
  <c r="AK59" i="20"/>
  <c r="R59" i="20" s="1"/>
  <c r="AJ59" i="20"/>
  <c r="AI59" i="20"/>
  <c r="AH59" i="20"/>
  <c r="AG59" i="20"/>
  <c r="N59" i="20" s="1"/>
  <c r="AF59" i="20"/>
  <c r="M59" i="20" s="1"/>
  <c r="AE59" i="20"/>
  <c r="AD59" i="20"/>
  <c r="K59" i="20" s="1"/>
  <c r="AC59" i="20"/>
  <c r="J59" i="20" s="1"/>
  <c r="J62" i="20" s="1"/>
  <c r="AB59" i="20"/>
  <c r="AA59" i="20"/>
  <c r="Z59" i="20"/>
  <c r="G59" i="20" s="1"/>
  <c r="G62" i="20" s="1"/>
  <c r="Y59" i="20"/>
  <c r="F59" i="20" s="1"/>
  <c r="X59" i="20"/>
  <c r="E59" i="20" s="1"/>
  <c r="W59" i="20"/>
  <c r="V59" i="20"/>
  <c r="S59" i="20"/>
  <c r="O59" i="20"/>
  <c r="I59" i="20"/>
  <c r="H59" i="20" s="1"/>
  <c r="AM51" i="20"/>
  <c r="AL51" i="20"/>
  <c r="AK51" i="20"/>
  <c r="AJ51" i="20"/>
  <c r="AI51" i="20"/>
  <c r="AH51" i="20"/>
  <c r="AG51" i="20"/>
  <c r="AF51" i="20"/>
  <c r="AE51" i="20"/>
  <c r="AD51" i="20"/>
  <c r="K51" i="20" s="1"/>
  <c r="AC51" i="20"/>
  <c r="J51" i="20" s="1"/>
  <c r="AB51" i="20"/>
  <c r="AA51" i="20"/>
  <c r="Z51" i="20"/>
  <c r="Y51" i="20"/>
  <c r="F51" i="20" s="1"/>
  <c r="E51" i="20" s="1"/>
  <c r="X51" i="20"/>
  <c r="W51" i="20"/>
  <c r="V51" i="20"/>
  <c r="C51" i="20" s="1"/>
  <c r="T51" i="20"/>
  <c r="S51" i="20"/>
  <c r="R51" i="20"/>
  <c r="Q51" i="20"/>
  <c r="P51" i="20" s="1"/>
  <c r="O51" i="20"/>
  <c r="N51" i="20"/>
  <c r="M51" i="20" s="1"/>
  <c r="I51" i="20"/>
  <c r="G51" i="20"/>
  <c r="G54" i="20" s="1"/>
  <c r="AM43" i="20"/>
  <c r="AL43" i="20"/>
  <c r="AK43" i="20"/>
  <c r="AJ43" i="20"/>
  <c r="AI43" i="20"/>
  <c r="AH43" i="20"/>
  <c r="AG43" i="20"/>
  <c r="AF43" i="20"/>
  <c r="M43" i="20" s="1"/>
  <c r="AE43" i="20"/>
  <c r="AD43" i="20"/>
  <c r="AC43" i="20"/>
  <c r="AB43" i="20"/>
  <c r="AA43" i="20"/>
  <c r="Z43" i="20"/>
  <c r="Y43" i="20"/>
  <c r="X43" i="20"/>
  <c r="W43" i="20"/>
  <c r="V43" i="20"/>
  <c r="T43" i="20"/>
  <c r="S43" i="20"/>
  <c r="R43" i="20"/>
  <c r="Q43" i="20"/>
  <c r="P43" i="20" s="1"/>
  <c r="O43" i="20"/>
  <c r="N43" i="20"/>
  <c r="L43" i="20"/>
  <c r="K43" i="20"/>
  <c r="J43" i="20"/>
  <c r="I43" i="20"/>
  <c r="I46" i="20" s="1"/>
  <c r="H43" i="20"/>
  <c r="H46" i="20" s="1"/>
  <c r="G43" i="20"/>
  <c r="G46" i="20" s="1"/>
  <c r="F43" i="20"/>
  <c r="E43" i="20"/>
  <c r="D43" i="20"/>
  <c r="D46" i="20" s="1"/>
  <c r="AM35" i="20"/>
  <c r="AL35" i="20"/>
  <c r="AK35" i="20"/>
  <c r="AJ35" i="20"/>
  <c r="AI35" i="20"/>
  <c r="AH35" i="20"/>
  <c r="AG35" i="20"/>
  <c r="N35" i="20" s="1"/>
  <c r="AF35" i="20"/>
  <c r="AE35" i="20"/>
  <c r="AD35" i="20"/>
  <c r="AC35" i="20"/>
  <c r="J35" i="20" s="1"/>
  <c r="AB35" i="20"/>
  <c r="AA35" i="20"/>
  <c r="Z35" i="20"/>
  <c r="Y35" i="20"/>
  <c r="F35" i="20" s="1"/>
  <c r="X35" i="20"/>
  <c r="W35" i="20"/>
  <c r="V35" i="20"/>
  <c r="C35" i="20" s="1"/>
  <c r="C38" i="20" s="1"/>
  <c r="T35" i="20"/>
  <c r="S35" i="20"/>
  <c r="R35" i="20"/>
  <c r="Q35" i="20"/>
  <c r="O35" i="20"/>
  <c r="K35" i="20"/>
  <c r="I35" i="20"/>
  <c r="D35" i="20"/>
  <c r="D38" i="20" s="1"/>
  <c r="G30" i="20"/>
  <c r="F30" i="20" s="1"/>
  <c r="AM27" i="20"/>
  <c r="AL27" i="20"/>
  <c r="AK27" i="20"/>
  <c r="AJ27" i="20"/>
  <c r="AI27" i="20"/>
  <c r="AH27" i="20"/>
  <c r="AG27" i="20"/>
  <c r="N27" i="20" s="1"/>
  <c r="AF27" i="20"/>
  <c r="M27" i="20" s="1"/>
  <c r="L27" i="20" s="1"/>
  <c r="AE27" i="20"/>
  <c r="AD27" i="20"/>
  <c r="AC27" i="20"/>
  <c r="J27" i="20" s="1"/>
  <c r="J30" i="20" s="1"/>
  <c r="AB27" i="20"/>
  <c r="AA27" i="20"/>
  <c r="Z27" i="20"/>
  <c r="Y27" i="20"/>
  <c r="F27" i="20" s="1"/>
  <c r="X27" i="20"/>
  <c r="E27" i="20" s="1"/>
  <c r="D27" i="20" s="1"/>
  <c r="C27" i="20" s="1"/>
  <c r="T22" i="20" s="1"/>
  <c r="W27" i="20"/>
  <c r="V27" i="20"/>
  <c r="S27" i="20"/>
  <c r="R27" i="20"/>
  <c r="Q27" i="20" s="1"/>
  <c r="O27" i="20"/>
  <c r="K27" i="20"/>
  <c r="I27" i="20"/>
  <c r="I30" i="20" s="1"/>
  <c r="G27" i="20"/>
  <c r="AM19" i="20"/>
  <c r="AL19" i="20"/>
  <c r="AK19" i="20"/>
  <c r="AJ19" i="20"/>
  <c r="AI19" i="20"/>
  <c r="P19" i="20" s="1"/>
  <c r="AH19" i="20"/>
  <c r="O19" i="20" s="1"/>
  <c r="AG19" i="20"/>
  <c r="AF19" i="20"/>
  <c r="AE19" i="20"/>
  <c r="AD19" i="20"/>
  <c r="AC19" i="20"/>
  <c r="AB19" i="20"/>
  <c r="AA19" i="20"/>
  <c r="Z19" i="20"/>
  <c r="G19" i="20" s="1"/>
  <c r="Y19" i="20"/>
  <c r="X19" i="20"/>
  <c r="W19" i="20"/>
  <c r="V19" i="20"/>
  <c r="T19" i="20"/>
  <c r="S19" i="20" s="1"/>
  <c r="I19" i="20"/>
  <c r="E19" i="20"/>
  <c r="P67" i="20" l="1"/>
  <c r="S217" i="20"/>
  <c r="S235" i="20"/>
  <c r="K283" i="20"/>
  <c r="E325" i="20"/>
  <c r="K331" i="20"/>
  <c r="J331" i="20" s="1"/>
  <c r="P205" i="16"/>
  <c r="F46" i="20"/>
  <c r="E46" i="20" s="1"/>
  <c r="E67" i="20"/>
  <c r="I70" i="20"/>
  <c r="C155" i="20"/>
  <c r="G229" i="20"/>
  <c r="O229" i="20"/>
  <c r="E229" i="20"/>
  <c r="S229" i="20"/>
  <c r="M237" i="20"/>
  <c r="G277" i="20"/>
  <c r="F316" i="20"/>
  <c r="E316" i="20" s="1"/>
  <c r="N316" i="20"/>
  <c r="H318" i="20"/>
  <c r="P331" i="20"/>
  <c r="F331" i="20"/>
  <c r="O11" i="19"/>
  <c r="S11" i="19"/>
  <c r="H203" i="16"/>
  <c r="G203" i="16" s="1"/>
  <c r="P203" i="16"/>
  <c r="O203" i="16" s="1"/>
  <c r="H281" i="16"/>
  <c r="G281" i="16" s="1"/>
  <c r="P281" i="16"/>
  <c r="O281" i="16" s="1"/>
  <c r="F139" i="15"/>
  <c r="E35" i="20"/>
  <c r="Q343" i="20"/>
  <c r="F229" i="20"/>
  <c r="O235" i="20"/>
  <c r="R317" i="20"/>
  <c r="Q317" i="20" s="1"/>
  <c r="H361" i="20"/>
  <c r="H205" i="16"/>
  <c r="L99" i="20"/>
  <c r="I142" i="20"/>
  <c r="H142" i="20" s="1"/>
  <c r="M154" i="20"/>
  <c r="I205" i="20"/>
  <c r="Q205" i="20"/>
  <c r="E205" i="20"/>
  <c r="M265" i="20"/>
  <c r="G271" i="20"/>
  <c r="N314" i="20"/>
  <c r="C315" i="20"/>
  <c r="G316" i="20"/>
  <c r="E317" i="20"/>
  <c r="M317" i="20"/>
  <c r="K318" i="20"/>
  <c r="M325" i="20"/>
  <c r="Q325" i="20"/>
  <c r="J355" i="20"/>
  <c r="H355" i="20"/>
  <c r="M373" i="20"/>
  <c r="O379" i="20"/>
  <c r="T117" i="16"/>
  <c r="S117" i="16" s="1"/>
  <c r="C217" i="20"/>
  <c r="Q331" i="20"/>
  <c r="G193" i="20"/>
  <c r="O193" i="20"/>
  <c r="E193" i="20"/>
  <c r="D193" i="20" s="1"/>
  <c r="M193" i="20"/>
  <c r="L193" i="20" s="1"/>
  <c r="E199" i="20"/>
  <c r="M199" i="20"/>
  <c r="C199" i="20"/>
  <c r="S199" i="20"/>
  <c r="R199" i="20" s="1"/>
  <c r="J205" i="20"/>
  <c r="R205" i="20"/>
  <c r="H205" i="20"/>
  <c r="F240" i="20"/>
  <c r="E240" i="20" s="1"/>
  <c r="G238" i="20"/>
  <c r="F238" i="20" s="1"/>
  <c r="K247" i="20"/>
  <c r="J247" i="20" s="1"/>
  <c r="E307" i="20"/>
  <c r="M307" i="20"/>
  <c r="S307" i="20"/>
  <c r="S313" i="20"/>
  <c r="F317" i="20"/>
  <c r="T121" i="16"/>
  <c r="S121" i="16" s="1"/>
  <c r="I283" i="20"/>
  <c r="K217" i="20"/>
  <c r="K235" i="20"/>
  <c r="C283" i="20"/>
  <c r="P123" i="20"/>
  <c r="D199" i="20"/>
  <c r="D223" i="20"/>
  <c r="D236" i="20"/>
  <c r="L236" i="20"/>
  <c r="D238" i="20"/>
  <c r="C238" i="20" s="1"/>
  <c r="L238" i="20"/>
  <c r="K238" i="20" s="1"/>
  <c r="F247" i="20"/>
  <c r="N247" i="20"/>
  <c r="L247" i="20"/>
  <c r="G265" i="20"/>
  <c r="F265" i="20" s="1"/>
  <c r="O265" i="20"/>
  <c r="N265" i="20" s="1"/>
  <c r="Q265" i="20"/>
  <c r="J295" i="20"/>
  <c r="R295" i="20"/>
  <c r="M315" i="20"/>
  <c r="G317" i="20"/>
  <c r="O317" i="20"/>
  <c r="C314" i="20"/>
  <c r="E379" i="20"/>
  <c r="O10" i="19"/>
  <c r="Q247" i="18"/>
  <c r="Q243" i="18"/>
  <c r="Q248" i="18"/>
  <c r="AI242" i="18"/>
  <c r="Q244" i="18"/>
  <c r="Q245" i="18"/>
  <c r="Q246" i="18"/>
  <c r="P27" i="20"/>
  <c r="M35" i="20"/>
  <c r="Q283" i="20"/>
  <c r="I211" i="20"/>
  <c r="H211" i="20" s="1"/>
  <c r="N229" i="20"/>
  <c r="Q235" i="20"/>
  <c r="S283" i="20"/>
  <c r="S331" i="20"/>
  <c r="R331" i="20" s="1"/>
  <c r="L361" i="20"/>
  <c r="D19" i="20"/>
  <c r="C19" i="20" s="1"/>
  <c r="C22" i="20" s="1"/>
  <c r="R155" i="20"/>
  <c r="L115" i="20"/>
  <c r="T199" i="20"/>
  <c r="T59" i="20"/>
  <c r="Q107" i="20"/>
  <c r="K153" i="20"/>
  <c r="J153" i="20" s="1"/>
  <c r="I153" i="20" s="1"/>
  <c r="H153" i="20" s="1"/>
  <c r="S153" i="20"/>
  <c r="R153" i="20" s="1"/>
  <c r="G152" i="20"/>
  <c r="O163" i="20"/>
  <c r="J169" i="20"/>
  <c r="N181" i="20"/>
  <c r="F217" i="20"/>
  <c r="C240" i="20"/>
  <c r="J259" i="20"/>
  <c r="R259" i="20"/>
  <c r="H265" i="20"/>
  <c r="P265" i="20"/>
  <c r="R265" i="20"/>
  <c r="F271" i="20"/>
  <c r="N271" i="20"/>
  <c r="R271" i="20"/>
  <c r="G295" i="20"/>
  <c r="I349" i="20"/>
  <c r="Q349" i="20"/>
  <c r="H120" i="16"/>
  <c r="G120" i="16" s="1"/>
  <c r="P120" i="16"/>
  <c r="O120" i="16" s="1"/>
  <c r="D204" i="16"/>
  <c r="G139" i="15"/>
  <c r="L75" i="20"/>
  <c r="K75" i="20" s="1"/>
  <c r="Q187" i="20"/>
  <c r="P187" i="20" s="1"/>
  <c r="D229" i="20"/>
  <c r="K253" i="20"/>
  <c r="F277" i="20"/>
  <c r="D317" i="20"/>
  <c r="L317" i="20"/>
  <c r="O331" i="20"/>
  <c r="C59" i="20"/>
  <c r="E131" i="20"/>
  <c r="D131" i="20" s="1"/>
  <c r="D134" i="20" s="1"/>
  <c r="D139" i="20"/>
  <c r="P147" i="20"/>
  <c r="H152" i="20"/>
  <c r="G153" i="20"/>
  <c r="F153" i="20" s="1"/>
  <c r="E153" i="20" s="1"/>
  <c r="H163" i="20"/>
  <c r="P163" i="20"/>
  <c r="D169" i="20"/>
  <c r="L169" i="20"/>
  <c r="T169" i="20"/>
  <c r="N169" i="20"/>
  <c r="D187" i="20"/>
  <c r="L187" i="20"/>
  <c r="T187" i="20"/>
  <c r="H199" i="20"/>
  <c r="P199" i="20"/>
  <c r="N199" i="20"/>
  <c r="D205" i="20"/>
  <c r="N217" i="20"/>
  <c r="E237" i="20"/>
  <c r="N238" i="20"/>
  <c r="M238" i="20" s="1"/>
  <c r="H277" i="20"/>
  <c r="P277" i="20"/>
  <c r="D277" i="20"/>
  <c r="C277" i="20" s="1"/>
  <c r="T277" i="20"/>
  <c r="S277" i="20" s="1"/>
  <c r="R277" i="20"/>
  <c r="E283" i="20"/>
  <c r="D307" i="20"/>
  <c r="L307" i="20"/>
  <c r="T307" i="20"/>
  <c r="F307" i="20"/>
  <c r="I313" i="20"/>
  <c r="Q313" i="20"/>
  <c r="K313" i="20"/>
  <c r="E331" i="20"/>
  <c r="M331" i="20"/>
  <c r="C331" i="20"/>
  <c r="R367" i="20"/>
  <c r="D75" i="20"/>
  <c r="L131" i="20"/>
  <c r="Q154" i="20"/>
  <c r="P154" i="20" s="1"/>
  <c r="O154" i="20" s="1"/>
  <c r="N154" i="20" s="1"/>
  <c r="S271" i="20"/>
  <c r="J229" i="20"/>
  <c r="I229" i="20" s="1"/>
  <c r="E253" i="20"/>
  <c r="E271" i="20"/>
  <c r="M271" i="20"/>
  <c r="R313" i="20"/>
  <c r="R121" i="16"/>
  <c r="Q121" i="16" s="1"/>
  <c r="P201" i="16"/>
  <c r="O201" i="16" s="1"/>
  <c r="N201" i="16" s="1"/>
  <c r="M201" i="16" s="1"/>
  <c r="G181" i="20"/>
  <c r="K187" i="20"/>
  <c r="C271" i="20"/>
  <c r="E349" i="20"/>
  <c r="H19" i="20"/>
  <c r="I22" i="20"/>
  <c r="N223" i="20"/>
  <c r="M223" i="20" s="1"/>
  <c r="J240" i="20"/>
  <c r="C247" i="20"/>
  <c r="Q247" i="20"/>
  <c r="P259" i="20"/>
  <c r="O271" i="20"/>
  <c r="F102" i="20"/>
  <c r="L59" i="20"/>
  <c r="S187" i="20"/>
  <c r="M205" i="20"/>
  <c r="L223" i="20"/>
  <c r="E115" i="20"/>
  <c r="O205" i="20"/>
  <c r="C211" i="20"/>
  <c r="S211" i="20"/>
  <c r="C236" i="20"/>
  <c r="C241" i="20" s="1"/>
  <c r="S247" i="20"/>
  <c r="R247" i="20" s="1"/>
  <c r="I247" i="20"/>
  <c r="Q59" i="20"/>
  <c r="P59" i="20" s="1"/>
  <c r="L107" i="20"/>
  <c r="K107" i="20" s="1"/>
  <c r="E126" i="20"/>
  <c r="F211" i="20"/>
  <c r="N211" i="20"/>
  <c r="D211" i="20"/>
  <c r="T211" i="20"/>
  <c r="J217" i="20"/>
  <c r="E236" i="20"/>
  <c r="D247" i="20"/>
  <c r="P247" i="20"/>
  <c r="D295" i="20"/>
  <c r="L295" i="20"/>
  <c r="T295" i="20"/>
  <c r="J317" i="20"/>
  <c r="I317" i="20" s="1"/>
  <c r="F355" i="20"/>
  <c r="J361" i="20"/>
  <c r="R361" i="20"/>
  <c r="I289" i="20"/>
  <c r="Q301" i="20"/>
  <c r="S301" i="20"/>
  <c r="R301" i="20" s="1"/>
  <c r="L313" i="20"/>
  <c r="G355" i="20"/>
  <c r="J379" i="20"/>
  <c r="G163" i="20"/>
  <c r="K163" i="20"/>
  <c r="I169" i="20"/>
  <c r="H169" i="20" s="1"/>
  <c r="T223" i="20"/>
  <c r="F235" i="20"/>
  <c r="E235" i="20" s="1"/>
  <c r="N236" i="20"/>
  <c r="J253" i="20"/>
  <c r="T75" i="20"/>
  <c r="P107" i="20"/>
  <c r="H131" i="20"/>
  <c r="G131" i="20" s="1"/>
  <c r="F193" i="20"/>
  <c r="P236" i="20"/>
  <c r="O236" i="20" s="1"/>
  <c r="E277" i="20"/>
  <c r="M277" i="20"/>
  <c r="O283" i="20"/>
  <c r="I295" i="20"/>
  <c r="H295" i="20" s="1"/>
  <c r="Q295" i="20"/>
  <c r="P295" i="20" s="1"/>
  <c r="K295" i="20"/>
  <c r="S295" i="20"/>
  <c r="H313" i="20"/>
  <c r="G313" i="20" s="1"/>
  <c r="C325" i="20"/>
  <c r="E337" i="20"/>
  <c r="M337" i="20"/>
  <c r="C337" i="20"/>
  <c r="K343" i="20"/>
  <c r="F349" i="20"/>
  <c r="N349" i="20"/>
  <c r="D349" i="20"/>
  <c r="T349" i="20"/>
  <c r="H349" i="20"/>
  <c r="G349" i="20" s="1"/>
  <c r="C367" i="20"/>
  <c r="S367" i="20"/>
  <c r="M367" i="20"/>
  <c r="L367" i="20" s="1"/>
  <c r="G373" i="20"/>
  <c r="I301" i="20"/>
  <c r="F313" i="20"/>
  <c r="N331" i="20"/>
  <c r="E355" i="20"/>
  <c r="D355" i="20" s="1"/>
  <c r="O367" i="20"/>
  <c r="D379" i="20"/>
  <c r="C379" i="20" s="1"/>
  <c r="S9" i="19"/>
  <c r="O12" i="19"/>
  <c r="D202" i="16"/>
  <c r="C202" i="16" s="1"/>
  <c r="P155" i="20"/>
  <c r="O155" i="20" s="1"/>
  <c r="N155" i="20" s="1"/>
  <c r="M155" i="20" s="1"/>
  <c r="F223" i="20"/>
  <c r="E223" i="20" s="1"/>
  <c r="F283" i="20"/>
  <c r="J289" i="20"/>
  <c r="R289" i="20"/>
  <c r="E313" i="20"/>
  <c r="M313" i="20"/>
  <c r="P343" i="20"/>
  <c r="N343" i="20"/>
  <c r="D361" i="20"/>
  <c r="T361" i="20"/>
  <c r="D373" i="20"/>
  <c r="C373" i="20" s="1"/>
  <c r="L373" i="20"/>
  <c r="K373" i="20" s="1"/>
  <c r="T373" i="20"/>
  <c r="S373" i="20" s="1"/>
  <c r="G379" i="20"/>
  <c r="D119" i="16"/>
  <c r="C119" i="16" s="1"/>
  <c r="L119" i="16"/>
  <c r="K119" i="16" s="1"/>
  <c r="L280" i="16"/>
  <c r="H283" i="16"/>
  <c r="G283" i="16" s="1"/>
  <c r="F283" i="16" s="1"/>
  <c r="E283" i="16" s="1"/>
  <c r="P283" i="16"/>
  <c r="O283" i="16" s="1"/>
  <c r="N283" i="16" s="1"/>
  <c r="M283" i="16" s="1"/>
  <c r="D313" i="20"/>
  <c r="J315" i="20"/>
  <c r="I315" i="20" s="1"/>
  <c r="T379" i="20"/>
  <c r="S379" i="20" s="1"/>
  <c r="D59" i="20"/>
  <c r="H155" i="20"/>
  <c r="G155" i="20" s="1"/>
  <c r="F155" i="20" s="1"/>
  <c r="E155" i="20" s="1"/>
  <c r="I163" i="20"/>
  <c r="S169" i="20"/>
  <c r="F236" i="20"/>
  <c r="F241" i="20" s="1"/>
  <c r="J265" i="20"/>
  <c r="F94" i="20"/>
  <c r="E94" i="20" s="1"/>
  <c r="E147" i="20"/>
  <c r="L154" i="20"/>
  <c r="D175" i="20"/>
  <c r="C175" i="20" s="1"/>
  <c r="L175" i="20"/>
  <c r="K175" i="20" s="1"/>
  <c r="T175" i="20"/>
  <c r="S175" i="20" s="1"/>
  <c r="J175" i="20"/>
  <c r="R181" i="20"/>
  <c r="H181" i="20"/>
  <c r="P181" i="20"/>
  <c r="R193" i="20"/>
  <c r="P193" i="20"/>
  <c r="N193" i="20"/>
  <c r="Q211" i="20"/>
  <c r="P211" i="20" s="1"/>
  <c r="O211" i="20"/>
  <c r="G223" i="20"/>
  <c r="O223" i="20"/>
  <c r="G235" i="20"/>
  <c r="P238" i="20"/>
  <c r="R239" i="20"/>
  <c r="H247" i="20"/>
  <c r="C253" i="20"/>
  <c r="S253" i="20"/>
  <c r="Q253" i="20"/>
  <c r="P253" i="20" s="1"/>
  <c r="G259" i="20"/>
  <c r="F259" i="20" s="1"/>
  <c r="O259" i="20"/>
  <c r="N259" i="20" s="1"/>
  <c r="E259" i="20"/>
  <c r="M259" i="20"/>
  <c r="I307" i="20"/>
  <c r="Q307" i="20"/>
  <c r="K307" i="20"/>
  <c r="K314" i="20"/>
  <c r="K325" i="20"/>
  <c r="S325" i="20"/>
  <c r="H331" i="20"/>
  <c r="L331" i="20"/>
  <c r="G343" i="20"/>
  <c r="O343" i="20"/>
  <c r="O15" i="19"/>
  <c r="R117" i="16"/>
  <c r="Q117" i="16" s="1"/>
  <c r="D280" i="16"/>
  <c r="N139" i="15"/>
  <c r="M283" i="20"/>
  <c r="K301" i="20"/>
  <c r="J301" i="20" s="1"/>
  <c r="T313" i="20"/>
  <c r="P349" i="20"/>
  <c r="O355" i="20"/>
  <c r="S355" i="20"/>
  <c r="T355" i="20"/>
  <c r="Q361" i="20"/>
  <c r="L379" i="20"/>
  <c r="K379" i="20" s="1"/>
  <c r="S10" i="19"/>
  <c r="L202" i="16"/>
  <c r="K202" i="16" s="1"/>
  <c r="J202" i="16" s="1"/>
  <c r="Q163" i="20"/>
  <c r="C169" i="20"/>
  <c r="C205" i="20"/>
  <c r="L217" i="20"/>
  <c r="L235" i="20"/>
  <c r="H238" i="20"/>
  <c r="R253" i="20"/>
  <c r="L35" i="20"/>
  <c r="P75" i="20"/>
  <c r="H115" i="20"/>
  <c r="H118" i="20" s="1"/>
  <c r="H147" i="20"/>
  <c r="H150" i="20" s="1"/>
  <c r="G150" i="20" s="1"/>
  <c r="F150" i="20" s="1"/>
  <c r="E175" i="20"/>
  <c r="M175" i="20"/>
  <c r="C181" i="20"/>
  <c r="K181" i="20"/>
  <c r="S181" i="20"/>
  <c r="O181" i="20"/>
  <c r="K199" i="20"/>
  <c r="J199" i="20" s="1"/>
  <c r="G205" i="20"/>
  <c r="S205" i="20"/>
  <c r="D217" i="20"/>
  <c r="H237" i="20"/>
  <c r="G237" i="20" s="1"/>
  <c r="P237" i="20"/>
  <c r="D253" i="20"/>
  <c r="H259" i="20"/>
  <c r="D265" i="20"/>
  <c r="C265" i="20" s="1"/>
  <c r="I271" i="20"/>
  <c r="Q271" i="20"/>
  <c r="D301" i="20"/>
  <c r="L301" i="20"/>
  <c r="T301" i="20"/>
  <c r="F301" i="20"/>
  <c r="F315" i="20"/>
  <c r="N317" i="20"/>
  <c r="D325" i="20"/>
  <c r="L325" i="20"/>
  <c r="T325" i="20"/>
  <c r="P325" i="20"/>
  <c r="O325" i="20" s="1"/>
  <c r="F325" i="20"/>
  <c r="R337" i="20"/>
  <c r="Q337" i="20" s="1"/>
  <c r="P337" i="20"/>
  <c r="N337" i="20"/>
  <c r="R355" i="20"/>
  <c r="P355" i="20"/>
  <c r="O9" i="19"/>
  <c r="F203" i="16"/>
  <c r="E203" i="16" s="1"/>
  <c r="N203" i="16"/>
  <c r="M203" i="16" s="1"/>
  <c r="R247" i="18"/>
  <c r="R244" i="18"/>
  <c r="R243" i="18"/>
  <c r="AJ242" i="18"/>
  <c r="R245" i="18"/>
  <c r="R246" i="18"/>
  <c r="R248" i="18"/>
  <c r="S237" i="18"/>
  <c r="S239" i="18"/>
  <c r="S238" i="18"/>
  <c r="S241" i="18"/>
  <c r="S242" i="18"/>
  <c r="AK236" i="18"/>
  <c r="S240" i="18"/>
  <c r="AH236" i="18"/>
  <c r="P241" i="18"/>
  <c r="P242" i="18"/>
  <c r="P239" i="18"/>
  <c r="P237" i="18"/>
  <c r="P240" i="18"/>
  <c r="P238" i="18"/>
  <c r="S12" i="18"/>
  <c r="I10" i="18"/>
  <c r="I15" i="18"/>
  <c r="O10" i="18"/>
  <c r="S10" i="18"/>
  <c r="O11" i="18"/>
  <c r="O12" i="18"/>
  <c r="O9" i="18"/>
  <c r="O13" i="18"/>
  <c r="S11" i="18"/>
  <c r="S9" i="18"/>
  <c r="I12" i="18"/>
  <c r="I9" i="18"/>
  <c r="I13" i="18"/>
  <c r="S13" i="18"/>
  <c r="N152" i="20"/>
  <c r="J154" i="20"/>
  <c r="I154" i="20" s="1"/>
  <c r="H154" i="20" s="1"/>
  <c r="G154" i="20" s="1"/>
  <c r="F154" i="20" s="1"/>
  <c r="P35" i="20"/>
  <c r="G115" i="20"/>
  <c r="J142" i="20"/>
  <c r="C150" i="20"/>
  <c r="D153" i="20"/>
  <c r="C153" i="20" s="1"/>
  <c r="J163" i="20"/>
  <c r="R163" i="20"/>
  <c r="M169" i="20"/>
  <c r="G175" i="20"/>
  <c r="F175" i="20" s="1"/>
  <c r="F187" i="20"/>
  <c r="E187" i="20" s="1"/>
  <c r="M217" i="20"/>
  <c r="K236" i="20"/>
  <c r="J236" i="20" s="1"/>
  <c r="O349" i="20"/>
  <c r="I355" i="20"/>
  <c r="R314" i="20"/>
  <c r="C43" i="20"/>
  <c r="J38" i="20" s="1"/>
  <c r="I38" i="20" s="1"/>
  <c r="O187" i="20"/>
  <c r="S193" i="20"/>
  <c r="L155" i="20"/>
  <c r="K155" i="20" s="1"/>
  <c r="J155" i="20" s="1"/>
  <c r="I175" i="20"/>
  <c r="E181" i="20"/>
  <c r="D181" i="20" s="1"/>
  <c r="O199" i="20"/>
  <c r="I217" i="20"/>
  <c r="H217" i="20" s="1"/>
  <c r="O217" i="20"/>
  <c r="C223" i="20"/>
  <c r="K223" i="20"/>
  <c r="S223" i="20"/>
  <c r="I223" i="20"/>
  <c r="H223" i="20" s="1"/>
  <c r="M314" i="20"/>
  <c r="J94" i="20"/>
  <c r="C102" i="20"/>
  <c r="C193" i="20"/>
  <c r="F169" i="20"/>
  <c r="E169" i="20" s="1"/>
  <c r="O175" i="20"/>
  <c r="N175" i="20" s="1"/>
  <c r="M181" i="20"/>
  <c r="L181" i="20" s="1"/>
  <c r="Q193" i="20"/>
  <c r="G199" i="20"/>
  <c r="F62" i="20"/>
  <c r="E62" i="20" s="1"/>
  <c r="M67" i="20"/>
  <c r="L67" i="20" s="1"/>
  <c r="H83" i="20"/>
  <c r="H86" i="20" s="1"/>
  <c r="G86" i="20" s="1"/>
  <c r="F86" i="20" s="1"/>
  <c r="E86" i="20" s="1"/>
  <c r="D86" i="20" s="1"/>
  <c r="C163" i="20"/>
  <c r="S163" i="20"/>
  <c r="I181" i="20"/>
  <c r="R307" i="20"/>
  <c r="J46" i="20"/>
  <c r="C54" i="20"/>
  <c r="Q153" i="20"/>
  <c r="P153" i="20" s="1"/>
  <c r="O153" i="20" s="1"/>
  <c r="N153" i="20" s="1"/>
  <c r="T181" i="20"/>
  <c r="C187" i="20"/>
  <c r="E30" i="20"/>
  <c r="D30" i="20" s="1"/>
  <c r="C30" i="20" s="1"/>
  <c r="G187" i="20"/>
  <c r="K193" i="20"/>
  <c r="J126" i="20"/>
  <c r="C134" i="20"/>
  <c r="F163" i="20"/>
  <c r="N163" i="20"/>
  <c r="D163" i="20"/>
  <c r="T163" i="20"/>
  <c r="D240" i="20"/>
  <c r="H301" i="20"/>
  <c r="G301" i="20" s="1"/>
  <c r="K205" i="20"/>
  <c r="Q217" i="20"/>
  <c r="P217" i="20" s="1"/>
  <c r="Q223" i="20"/>
  <c r="P223" i="20" s="1"/>
  <c r="H239" i="20"/>
  <c r="G239" i="20" s="1"/>
  <c r="F239" i="20" s="1"/>
  <c r="E239" i="20" s="1"/>
  <c r="D239" i="20" s="1"/>
  <c r="D289" i="20"/>
  <c r="C289" i="20" s="1"/>
  <c r="T289" i="20"/>
  <c r="S289" i="20" s="1"/>
  <c r="N325" i="20"/>
  <c r="J337" i="20"/>
  <c r="I337" i="20" s="1"/>
  <c r="S349" i="20"/>
  <c r="R349" i="20" s="1"/>
  <c r="C361" i="20"/>
  <c r="S361" i="20"/>
  <c r="F379" i="20"/>
  <c r="F19" i="20"/>
  <c r="F22" i="20" s="1"/>
  <c r="E22" i="20" s="1"/>
  <c r="D22" i="20" s="1"/>
  <c r="N19" i="20"/>
  <c r="M19" i="20" s="1"/>
  <c r="L19" i="20" s="1"/>
  <c r="K19" i="20" s="1"/>
  <c r="L51" i="20"/>
  <c r="F142" i="20"/>
  <c r="E142" i="20" s="1"/>
  <c r="Q152" i="20"/>
  <c r="J152" i="20"/>
  <c r="F181" i="20"/>
  <c r="N187" i="20"/>
  <c r="M187" i="20" s="1"/>
  <c r="J223" i="20"/>
  <c r="R229" i="20"/>
  <c r="Q229" i="20" s="1"/>
  <c r="H229" i="20"/>
  <c r="P229" i="20"/>
  <c r="T229" i="20"/>
  <c r="C235" i="20"/>
  <c r="P235" i="20"/>
  <c r="G253" i="20"/>
  <c r="O253" i="20"/>
  <c r="O277" i="20"/>
  <c r="N277" i="20" s="1"/>
  <c r="F289" i="20"/>
  <c r="J313" i="20"/>
  <c r="J318" i="20"/>
  <c r="I318" i="20" s="1"/>
  <c r="N318" i="20"/>
  <c r="M318" i="20" s="1"/>
  <c r="G367" i="20"/>
  <c r="F120" i="16"/>
  <c r="E120" i="16" s="1"/>
  <c r="N120" i="16"/>
  <c r="M120" i="16" s="1"/>
  <c r="G205" i="16"/>
  <c r="F205" i="16" s="1"/>
  <c r="E205" i="16" s="1"/>
  <c r="H139" i="15"/>
  <c r="F281" i="16"/>
  <c r="E281" i="16" s="1"/>
  <c r="H35" i="20"/>
  <c r="J54" i="20"/>
  <c r="I54" i="20" s="1"/>
  <c r="H107" i="20"/>
  <c r="K154" i="20"/>
  <c r="F152" i="20"/>
  <c r="E163" i="20"/>
  <c r="M163" i="20"/>
  <c r="Q169" i="20"/>
  <c r="P169" i="20" s="1"/>
  <c r="G169" i="20"/>
  <c r="O169" i="20"/>
  <c r="H175" i="20"/>
  <c r="P175" i="20"/>
  <c r="H193" i="20"/>
  <c r="F205" i="20"/>
  <c r="N205" i="20"/>
  <c r="L205" i="20"/>
  <c r="T205" i="20"/>
  <c r="M236" i="20"/>
  <c r="H271" i="20"/>
  <c r="P271" i="20"/>
  <c r="L283" i="20"/>
  <c r="D283" i="20"/>
  <c r="E301" i="20"/>
  <c r="M301" i="20"/>
  <c r="H307" i="20"/>
  <c r="G307" i="20" s="1"/>
  <c r="D337" i="20"/>
  <c r="L337" i="20"/>
  <c r="G361" i="20"/>
  <c r="F361" i="20" s="1"/>
  <c r="O361" i="20"/>
  <c r="N361" i="20" s="1"/>
  <c r="E361" i="20"/>
  <c r="M361" i="20"/>
  <c r="F373" i="20"/>
  <c r="P379" i="20"/>
  <c r="O205" i="16"/>
  <c r="N205" i="16" s="1"/>
  <c r="M205" i="16" s="1"/>
  <c r="P279" i="16"/>
  <c r="N281" i="16"/>
  <c r="M281" i="16" s="1"/>
  <c r="T154" i="20"/>
  <c r="C154" i="20"/>
  <c r="D51" i="20"/>
  <c r="G70" i="20"/>
  <c r="F70" i="20" s="1"/>
  <c r="E70" i="20" s="1"/>
  <c r="L83" i="20"/>
  <c r="T156" i="20"/>
  <c r="S156" i="20" s="1"/>
  <c r="R156" i="20" s="1"/>
  <c r="Q156" i="20" s="1"/>
  <c r="C156" i="20"/>
  <c r="K156" i="20"/>
  <c r="J156" i="20" s="1"/>
  <c r="I156" i="20" s="1"/>
  <c r="G156" i="20"/>
  <c r="F156" i="20" s="1"/>
  <c r="E156" i="20" s="1"/>
  <c r="D156" i="20" s="1"/>
  <c r="R169" i="20"/>
  <c r="Q175" i="20"/>
  <c r="I187" i="20"/>
  <c r="H187" i="20" s="1"/>
  <c r="I199" i="20"/>
  <c r="Q199" i="20"/>
  <c r="K211" i="20"/>
  <c r="C229" i="20"/>
  <c r="N235" i="20"/>
  <c r="M235" i="20" s="1"/>
  <c r="H236" i="20"/>
  <c r="E247" i="20"/>
  <c r="O247" i="20"/>
  <c r="K259" i="20"/>
  <c r="J271" i="20"/>
  <c r="L277" i="20"/>
  <c r="K277" i="20" s="1"/>
  <c r="N283" i="20"/>
  <c r="H289" i="20"/>
  <c r="L289" i="20"/>
  <c r="K289" i="20" s="1"/>
  <c r="J307" i="20"/>
  <c r="P317" i="20"/>
  <c r="H317" i="20"/>
  <c r="H319" i="20" s="1"/>
  <c r="M355" i="20"/>
  <c r="L355" i="20" s="1"/>
  <c r="K361" i="20"/>
  <c r="Q367" i="20"/>
  <c r="N379" i="20"/>
  <c r="S13" i="19"/>
  <c r="I13" i="19"/>
  <c r="T218" i="16"/>
  <c r="S218" i="16" s="1"/>
  <c r="R218" i="16" s="1"/>
  <c r="Q218" i="16" s="1"/>
  <c r="P218" i="16" s="1"/>
  <c r="O218" i="16" s="1"/>
  <c r="N218" i="16" s="1"/>
  <c r="M218" i="16" s="1"/>
  <c r="L218" i="16" s="1"/>
  <c r="K218" i="16" s="1"/>
  <c r="J218" i="16" s="1"/>
  <c r="I218" i="16" s="1"/>
  <c r="H218" i="16" s="1"/>
  <c r="G218" i="16" s="1"/>
  <c r="F218" i="16" s="1"/>
  <c r="E218" i="16" s="1"/>
  <c r="D218" i="16" s="1"/>
  <c r="C218" i="16" s="1"/>
  <c r="T242" i="16"/>
  <c r="S242" i="16" s="1"/>
  <c r="R242" i="16" s="1"/>
  <c r="Q242" i="16" s="1"/>
  <c r="P242" i="16" s="1"/>
  <c r="O242" i="16" s="1"/>
  <c r="N242" i="16" s="1"/>
  <c r="M242" i="16" s="1"/>
  <c r="L242" i="16" s="1"/>
  <c r="K242" i="16" s="1"/>
  <c r="J242" i="16" s="1"/>
  <c r="I242" i="16" s="1"/>
  <c r="H242" i="16" s="1"/>
  <c r="G242" i="16" s="1"/>
  <c r="F242" i="16" s="1"/>
  <c r="E242" i="16" s="1"/>
  <c r="D242" i="16" s="1"/>
  <c r="C242" i="16" s="1"/>
  <c r="T266" i="16"/>
  <c r="S266" i="16" s="1"/>
  <c r="R266" i="16" s="1"/>
  <c r="Q266" i="16" s="1"/>
  <c r="P266" i="16" s="1"/>
  <c r="O266" i="16" s="1"/>
  <c r="N266" i="16" s="1"/>
  <c r="M266" i="16" s="1"/>
  <c r="L266" i="16" s="1"/>
  <c r="K266" i="16" s="1"/>
  <c r="J266" i="16" s="1"/>
  <c r="I266" i="16" s="1"/>
  <c r="H266" i="16" s="1"/>
  <c r="G266" i="16" s="1"/>
  <c r="F266" i="16" s="1"/>
  <c r="E266" i="16" s="1"/>
  <c r="D266" i="16" s="1"/>
  <c r="C266" i="16" s="1"/>
  <c r="R280" i="16"/>
  <c r="Q280" i="16" s="1"/>
  <c r="N156" i="20"/>
  <c r="M156" i="20" s="1"/>
  <c r="L156" i="20" s="1"/>
  <c r="R19" i="20"/>
  <c r="Q19" i="20" s="1"/>
  <c r="S22" i="20"/>
  <c r="F78" i="20"/>
  <c r="E78" i="20" s="1"/>
  <c r="D78" i="20" s="1"/>
  <c r="C78" i="20" s="1"/>
  <c r="F54" i="20"/>
  <c r="E54" i="20" s="1"/>
  <c r="L91" i="20"/>
  <c r="E99" i="20"/>
  <c r="D99" i="20" s="1"/>
  <c r="F110" i="20"/>
  <c r="E110" i="20" s="1"/>
  <c r="I110" i="20"/>
  <c r="H110" i="20" s="1"/>
  <c r="J134" i="20"/>
  <c r="K169" i="20"/>
  <c r="R175" i="20"/>
  <c r="Q181" i="20"/>
  <c r="J187" i="20"/>
  <c r="R187" i="20"/>
  <c r="J193" i="20"/>
  <c r="I193" i="20" s="1"/>
  <c r="P205" i="20"/>
  <c r="E211" i="20"/>
  <c r="M211" i="20"/>
  <c r="S236" i="20"/>
  <c r="Q241" i="20"/>
  <c r="G247" i="20"/>
  <c r="T317" i="20"/>
  <c r="C317" i="20"/>
  <c r="J325" i="20"/>
  <c r="R325" i="20"/>
  <c r="G337" i="20"/>
  <c r="N373" i="20"/>
  <c r="J206" i="16"/>
  <c r="L282" i="16"/>
  <c r="K282" i="16" s="1"/>
  <c r="J282" i="16" s="1"/>
  <c r="I282" i="16" s="1"/>
  <c r="T67" i="20"/>
  <c r="P83" i="20"/>
  <c r="D91" i="20"/>
  <c r="C91" i="20" s="1"/>
  <c r="J86" i="20" s="1"/>
  <c r="I86" i="20" s="1"/>
  <c r="T107" i="20"/>
  <c r="C123" i="20"/>
  <c r="J118" i="20" s="1"/>
  <c r="I118" i="20" s="1"/>
  <c r="L123" i="20"/>
  <c r="D126" i="20"/>
  <c r="T152" i="20"/>
  <c r="G211" i="20"/>
  <c r="R217" i="20"/>
  <c r="T240" i="20"/>
  <c r="S240" i="20" s="1"/>
  <c r="I253" i="20"/>
  <c r="H253" i="20" s="1"/>
  <c r="I259" i="20"/>
  <c r="I265" i="20"/>
  <c r="T283" i="20"/>
  <c r="C295" i="20"/>
  <c r="C301" i="20"/>
  <c r="C307" i="20"/>
  <c r="C313" i="20"/>
  <c r="J314" i="20"/>
  <c r="R318" i="20"/>
  <c r="Q318" i="20" s="1"/>
  <c r="P318" i="20" s="1"/>
  <c r="D331" i="20"/>
  <c r="T331" i="20"/>
  <c r="K337" i="20"/>
  <c r="S337" i="20"/>
  <c r="J343" i="20"/>
  <c r="I343" i="20" s="1"/>
  <c r="N355" i="20"/>
  <c r="E367" i="20"/>
  <c r="D367" i="20" s="1"/>
  <c r="E373" i="20"/>
  <c r="M379" i="20"/>
  <c r="I11" i="19"/>
  <c r="S14" i="18"/>
  <c r="I14" i="18"/>
  <c r="F118" i="16"/>
  <c r="E118" i="16" s="1"/>
  <c r="L121" i="16"/>
  <c r="K121" i="16" s="1"/>
  <c r="J121" i="16" s="1"/>
  <c r="I121" i="16" s="1"/>
  <c r="T146" i="16"/>
  <c r="S146" i="16" s="1"/>
  <c r="R146" i="16" s="1"/>
  <c r="Q146" i="16" s="1"/>
  <c r="P146" i="16" s="1"/>
  <c r="O146" i="16" s="1"/>
  <c r="N146" i="16" s="1"/>
  <c r="M146" i="16" s="1"/>
  <c r="L146" i="16" s="1"/>
  <c r="K146" i="16" s="1"/>
  <c r="J146" i="16" s="1"/>
  <c r="I146" i="16" s="1"/>
  <c r="H146" i="16" s="1"/>
  <c r="G146" i="16" s="1"/>
  <c r="F146" i="16" s="1"/>
  <c r="E146" i="16" s="1"/>
  <c r="D146" i="16" s="1"/>
  <c r="C146" i="16" s="1"/>
  <c r="T170" i="16"/>
  <c r="S170" i="16" s="1"/>
  <c r="R170" i="16" s="1"/>
  <c r="Q170" i="16" s="1"/>
  <c r="P170" i="16" s="1"/>
  <c r="O170" i="16" s="1"/>
  <c r="N170" i="16" s="1"/>
  <c r="M170" i="16" s="1"/>
  <c r="L170" i="16" s="1"/>
  <c r="K170" i="16" s="1"/>
  <c r="J170" i="16" s="1"/>
  <c r="I170" i="16" s="1"/>
  <c r="H170" i="16" s="1"/>
  <c r="G170" i="16" s="1"/>
  <c r="F170" i="16" s="1"/>
  <c r="E170" i="16" s="1"/>
  <c r="D170" i="16" s="1"/>
  <c r="C170" i="16" s="1"/>
  <c r="T194" i="16"/>
  <c r="S194" i="16" s="1"/>
  <c r="R194" i="16" s="1"/>
  <c r="Q194" i="16" s="1"/>
  <c r="P194" i="16" s="1"/>
  <c r="O194" i="16" s="1"/>
  <c r="N194" i="16" s="1"/>
  <c r="M194" i="16" s="1"/>
  <c r="L194" i="16" s="1"/>
  <c r="K194" i="16" s="1"/>
  <c r="J194" i="16" s="1"/>
  <c r="I194" i="16" s="1"/>
  <c r="H194" i="16" s="1"/>
  <c r="G194" i="16" s="1"/>
  <c r="F194" i="16" s="1"/>
  <c r="E194" i="16" s="1"/>
  <c r="D194" i="16" s="1"/>
  <c r="C194" i="16" s="1"/>
  <c r="T200" i="16"/>
  <c r="S200" i="16" s="1"/>
  <c r="R200" i="16" s="1"/>
  <c r="Q200" i="16" s="1"/>
  <c r="P200" i="16" s="1"/>
  <c r="O200" i="16" s="1"/>
  <c r="N200" i="16" s="1"/>
  <c r="M200" i="16" s="1"/>
  <c r="L200" i="16" s="1"/>
  <c r="K200" i="16" s="1"/>
  <c r="J200" i="16" s="1"/>
  <c r="I200" i="16" s="1"/>
  <c r="H200" i="16" s="1"/>
  <c r="G200" i="16" s="1"/>
  <c r="F200" i="16" s="1"/>
  <c r="E200" i="16" s="1"/>
  <c r="D200" i="16" s="1"/>
  <c r="C200" i="16" s="1"/>
  <c r="I202" i="16"/>
  <c r="C204" i="16"/>
  <c r="R211" i="20"/>
  <c r="T247" i="20"/>
  <c r="T253" i="20"/>
  <c r="D259" i="20"/>
  <c r="C259" i="20" s="1"/>
  <c r="T259" i="20"/>
  <c r="S259" i="20" s="1"/>
  <c r="L265" i="20"/>
  <c r="K265" i="20" s="1"/>
  <c r="T265" i="20"/>
  <c r="S265" i="20" s="1"/>
  <c r="K271" i="20"/>
  <c r="Q277" i="20"/>
  <c r="G283" i="20"/>
  <c r="N301" i="20"/>
  <c r="N307" i="20"/>
  <c r="N313" i="20"/>
  <c r="F314" i="20"/>
  <c r="H325" i="20"/>
  <c r="G325" i="20" s="1"/>
  <c r="M343" i="20"/>
  <c r="L343" i="20" s="1"/>
  <c r="K349" i="20"/>
  <c r="J349" i="20" s="1"/>
  <c r="P361" i="20"/>
  <c r="P367" i="20"/>
  <c r="F367" i="20"/>
  <c r="N367" i="20"/>
  <c r="H373" i="20"/>
  <c r="P373" i="20"/>
  <c r="H379" i="20"/>
  <c r="I14" i="19"/>
  <c r="K117" i="16"/>
  <c r="J117" i="16" s="1"/>
  <c r="I117" i="16" s="1"/>
  <c r="G117" i="16"/>
  <c r="G122" i="16" s="1"/>
  <c r="N118" i="16"/>
  <c r="M118" i="16" s="1"/>
  <c r="H201" i="16"/>
  <c r="G201" i="16" s="1"/>
  <c r="F201" i="16" s="1"/>
  <c r="E201" i="16" s="1"/>
  <c r="T278" i="16"/>
  <c r="S278" i="16" s="1"/>
  <c r="R278" i="16" s="1"/>
  <c r="Q278" i="16" s="1"/>
  <c r="P278" i="16" s="1"/>
  <c r="O278" i="16" s="1"/>
  <c r="N278" i="16" s="1"/>
  <c r="M278" i="16" s="1"/>
  <c r="L278" i="16" s="1"/>
  <c r="K278" i="16" s="1"/>
  <c r="J278" i="16" s="1"/>
  <c r="I278" i="16" s="1"/>
  <c r="H278" i="16" s="1"/>
  <c r="G278" i="16" s="1"/>
  <c r="F278" i="16" s="1"/>
  <c r="E278" i="16" s="1"/>
  <c r="D278" i="16" s="1"/>
  <c r="C278" i="16" s="1"/>
  <c r="D282" i="16"/>
  <c r="C282" i="16" s="1"/>
  <c r="H27" i="20"/>
  <c r="H30" i="20" s="1"/>
  <c r="T27" i="20"/>
  <c r="H51" i="20"/>
  <c r="H54" i="20" s="1"/>
  <c r="T193" i="20"/>
  <c r="J237" i="20"/>
  <c r="I237" i="20" s="1"/>
  <c r="I241" i="20" s="1"/>
  <c r="M247" i="20"/>
  <c r="E265" i="20"/>
  <c r="L271" i="20"/>
  <c r="T271" i="20"/>
  <c r="J277" i="20"/>
  <c r="N289" i="20"/>
  <c r="O295" i="20"/>
  <c r="L315" i="20"/>
  <c r="K315" i="20" s="1"/>
  <c r="K316" i="20"/>
  <c r="J316" i="20" s="1"/>
  <c r="S316" i="20"/>
  <c r="R316" i="20" s="1"/>
  <c r="I325" i="20"/>
  <c r="G331" i="20"/>
  <c r="O337" i="20"/>
  <c r="F343" i="20"/>
  <c r="L349" i="20"/>
  <c r="Q355" i="20"/>
  <c r="I361" i="20"/>
  <c r="I379" i="20"/>
  <c r="Q379" i="20"/>
  <c r="S14" i="19"/>
  <c r="O14" i="19"/>
  <c r="T134" i="16"/>
  <c r="S134" i="16" s="1"/>
  <c r="R134" i="16" s="1"/>
  <c r="Q134" i="16" s="1"/>
  <c r="P134" i="16" s="1"/>
  <c r="O134" i="16" s="1"/>
  <c r="N134" i="16" s="1"/>
  <c r="M134" i="16" s="1"/>
  <c r="L134" i="16" s="1"/>
  <c r="K134" i="16" s="1"/>
  <c r="J134" i="16" s="1"/>
  <c r="I134" i="16" s="1"/>
  <c r="H134" i="16" s="1"/>
  <c r="G134" i="16" s="1"/>
  <c r="F134" i="16" s="1"/>
  <c r="E134" i="16" s="1"/>
  <c r="D134" i="16" s="1"/>
  <c r="C134" i="16" s="1"/>
  <c r="T158" i="16"/>
  <c r="S158" i="16" s="1"/>
  <c r="R158" i="16" s="1"/>
  <c r="Q158" i="16" s="1"/>
  <c r="P158" i="16" s="1"/>
  <c r="O158" i="16" s="1"/>
  <c r="N158" i="16" s="1"/>
  <c r="M158" i="16" s="1"/>
  <c r="L158" i="16" s="1"/>
  <c r="K158" i="16" s="1"/>
  <c r="J158" i="16" s="1"/>
  <c r="I158" i="16" s="1"/>
  <c r="H158" i="16" s="1"/>
  <c r="G158" i="16" s="1"/>
  <c r="F158" i="16" s="1"/>
  <c r="E158" i="16" s="1"/>
  <c r="D158" i="16" s="1"/>
  <c r="C158" i="16" s="1"/>
  <c r="T182" i="16"/>
  <c r="S182" i="16" s="1"/>
  <c r="R182" i="16" s="1"/>
  <c r="Q182" i="16" s="1"/>
  <c r="P182" i="16" s="1"/>
  <c r="O182" i="16" s="1"/>
  <c r="N182" i="16" s="1"/>
  <c r="M182" i="16" s="1"/>
  <c r="L182" i="16" s="1"/>
  <c r="K182" i="16" s="1"/>
  <c r="J182" i="16" s="1"/>
  <c r="I182" i="16" s="1"/>
  <c r="H182" i="16" s="1"/>
  <c r="G182" i="16" s="1"/>
  <c r="F182" i="16" s="1"/>
  <c r="E182" i="16" s="1"/>
  <c r="D182" i="16" s="1"/>
  <c r="C182" i="16" s="1"/>
  <c r="R204" i="16"/>
  <c r="Q204" i="16" s="1"/>
  <c r="T224" i="16"/>
  <c r="S224" i="16" s="1"/>
  <c r="R224" i="16" s="1"/>
  <c r="Q224" i="16" s="1"/>
  <c r="P224" i="16" s="1"/>
  <c r="O224" i="16" s="1"/>
  <c r="N224" i="16" s="1"/>
  <c r="M224" i="16" s="1"/>
  <c r="L224" i="16" s="1"/>
  <c r="K224" i="16" s="1"/>
  <c r="J224" i="16" s="1"/>
  <c r="I224" i="16" s="1"/>
  <c r="H224" i="16" s="1"/>
  <c r="G224" i="16" s="1"/>
  <c r="F224" i="16" s="1"/>
  <c r="E224" i="16" s="1"/>
  <c r="D224" i="16" s="1"/>
  <c r="C224" i="16" s="1"/>
  <c r="T248" i="16"/>
  <c r="S248" i="16" s="1"/>
  <c r="R248" i="16" s="1"/>
  <c r="Q248" i="16" s="1"/>
  <c r="P248" i="16" s="1"/>
  <c r="O248" i="16" s="1"/>
  <c r="N248" i="16" s="1"/>
  <c r="M248" i="16" s="1"/>
  <c r="L248" i="16" s="1"/>
  <c r="K248" i="16" s="1"/>
  <c r="J248" i="16" s="1"/>
  <c r="I248" i="16" s="1"/>
  <c r="H248" i="16" s="1"/>
  <c r="G248" i="16" s="1"/>
  <c r="F248" i="16" s="1"/>
  <c r="E248" i="16" s="1"/>
  <c r="D248" i="16" s="1"/>
  <c r="C248" i="16" s="1"/>
  <c r="T272" i="16"/>
  <c r="S272" i="16" s="1"/>
  <c r="R272" i="16" s="1"/>
  <c r="Q272" i="16" s="1"/>
  <c r="P272" i="16" s="1"/>
  <c r="O272" i="16" s="1"/>
  <c r="N272" i="16" s="1"/>
  <c r="M272" i="16" s="1"/>
  <c r="L272" i="16" s="1"/>
  <c r="K272" i="16" s="1"/>
  <c r="J272" i="16" s="1"/>
  <c r="I272" i="16" s="1"/>
  <c r="H272" i="16" s="1"/>
  <c r="G272" i="16" s="1"/>
  <c r="F272" i="16" s="1"/>
  <c r="E272" i="16" s="1"/>
  <c r="D272" i="16" s="1"/>
  <c r="C272" i="16" s="1"/>
  <c r="K280" i="16"/>
  <c r="J280" i="16" s="1"/>
  <c r="I280" i="16" s="1"/>
  <c r="L199" i="20"/>
  <c r="L211" i="20"/>
  <c r="G217" i="20"/>
  <c r="E217" i="20"/>
  <c r="R223" i="20"/>
  <c r="M229" i="20"/>
  <c r="L229" i="20" s="1"/>
  <c r="I235" i="20"/>
  <c r="H235" i="20" s="1"/>
  <c r="E238" i="20"/>
  <c r="M240" i="20"/>
  <c r="L240" i="20" s="1"/>
  <c r="M253" i="20"/>
  <c r="P289" i="20"/>
  <c r="F295" i="20"/>
  <c r="E295" i="20" s="1"/>
  <c r="N295" i="20"/>
  <c r="M295" i="20" s="1"/>
  <c r="P301" i="20"/>
  <c r="O301" i="20" s="1"/>
  <c r="P307" i="20"/>
  <c r="O307" i="20" s="1"/>
  <c r="P313" i="20"/>
  <c r="O313" i="20" s="1"/>
  <c r="N315" i="20"/>
  <c r="I331" i="20"/>
  <c r="H337" i="20"/>
  <c r="M349" i="20"/>
  <c r="C355" i="20"/>
  <c r="K355" i="20"/>
  <c r="J367" i="20"/>
  <c r="I367" i="20" s="1"/>
  <c r="R373" i="20"/>
  <c r="R379" i="20"/>
  <c r="I10" i="19"/>
  <c r="S15" i="19"/>
  <c r="I12" i="19"/>
  <c r="O14" i="18"/>
  <c r="J119" i="16"/>
  <c r="I119" i="16" s="1"/>
  <c r="D121" i="16"/>
  <c r="C121" i="16" s="1"/>
  <c r="C280" i="16"/>
  <c r="O314" i="20"/>
  <c r="T315" i="20"/>
  <c r="S315" i="20" s="1"/>
  <c r="T367" i="20"/>
  <c r="T119" i="16"/>
  <c r="S119" i="16" s="1"/>
  <c r="R119" i="16" s="1"/>
  <c r="Q119" i="16" s="1"/>
  <c r="T128" i="16"/>
  <c r="S128" i="16" s="1"/>
  <c r="R128" i="16" s="1"/>
  <c r="Q128" i="16" s="1"/>
  <c r="P128" i="16" s="1"/>
  <c r="O128" i="16" s="1"/>
  <c r="N128" i="16" s="1"/>
  <c r="M128" i="16" s="1"/>
  <c r="L128" i="16" s="1"/>
  <c r="K128" i="16" s="1"/>
  <c r="J128" i="16" s="1"/>
  <c r="I128" i="16" s="1"/>
  <c r="H128" i="16" s="1"/>
  <c r="G128" i="16" s="1"/>
  <c r="F128" i="16" s="1"/>
  <c r="E128" i="16" s="1"/>
  <c r="D128" i="16" s="1"/>
  <c r="C128" i="16" s="1"/>
  <c r="T152" i="16"/>
  <c r="S152" i="16" s="1"/>
  <c r="R152" i="16" s="1"/>
  <c r="Q152" i="16" s="1"/>
  <c r="P152" i="16" s="1"/>
  <c r="O152" i="16" s="1"/>
  <c r="N152" i="16" s="1"/>
  <c r="M152" i="16" s="1"/>
  <c r="L152" i="16" s="1"/>
  <c r="K152" i="16" s="1"/>
  <c r="J152" i="16" s="1"/>
  <c r="I152" i="16" s="1"/>
  <c r="H152" i="16" s="1"/>
  <c r="G152" i="16" s="1"/>
  <c r="F152" i="16" s="1"/>
  <c r="E152" i="16" s="1"/>
  <c r="D152" i="16" s="1"/>
  <c r="C152" i="16" s="1"/>
  <c r="T176" i="16"/>
  <c r="S176" i="16" s="1"/>
  <c r="R176" i="16" s="1"/>
  <c r="Q176" i="16" s="1"/>
  <c r="P176" i="16" s="1"/>
  <c r="O176" i="16" s="1"/>
  <c r="N176" i="16" s="1"/>
  <c r="M176" i="16" s="1"/>
  <c r="L176" i="16" s="1"/>
  <c r="K176" i="16" s="1"/>
  <c r="J176" i="16" s="1"/>
  <c r="I176" i="16" s="1"/>
  <c r="H176" i="16" s="1"/>
  <c r="G176" i="16" s="1"/>
  <c r="F176" i="16" s="1"/>
  <c r="E176" i="16" s="1"/>
  <c r="D176" i="16" s="1"/>
  <c r="C176" i="16" s="1"/>
  <c r="P239" i="20"/>
  <c r="O239" i="20" s="1"/>
  <c r="N239" i="20" s="1"/>
  <c r="M239" i="20" s="1"/>
  <c r="L239" i="20" s="1"/>
  <c r="O316" i="20"/>
  <c r="T343" i="20"/>
  <c r="O13" i="19"/>
  <c r="S15" i="18"/>
  <c r="C117" i="16"/>
  <c r="T230" i="16"/>
  <c r="S230" i="16" s="1"/>
  <c r="R230" i="16" s="1"/>
  <c r="Q230" i="16" s="1"/>
  <c r="P230" i="16" s="1"/>
  <c r="O230" i="16" s="1"/>
  <c r="N230" i="16" s="1"/>
  <c r="M230" i="16" s="1"/>
  <c r="L230" i="16" s="1"/>
  <c r="K230" i="16" s="1"/>
  <c r="J230" i="16" s="1"/>
  <c r="I230" i="16" s="1"/>
  <c r="H230" i="16" s="1"/>
  <c r="G230" i="16" s="1"/>
  <c r="F230" i="16" s="1"/>
  <c r="E230" i="16" s="1"/>
  <c r="D230" i="16" s="1"/>
  <c r="C230" i="16" s="1"/>
  <c r="T254" i="16"/>
  <c r="S254" i="16" s="1"/>
  <c r="R254" i="16" s="1"/>
  <c r="Q254" i="16" s="1"/>
  <c r="P254" i="16" s="1"/>
  <c r="O254" i="16" s="1"/>
  <c r="N254" i="16" s="1"/>
  <c r="M254" i="16" s="1"/>
  <c r="L254" i="16" s="1"/>
  <c r="K254" i="16" s="1"/>
  <c r="J254" i="16" s="1"/>
  <c r="I254" i="16" s="1"/>
  <c r="H254" i="16" s="1"/>
  <c r="G254" i="16" s="1"/>
  <c r="F254" i="16" s="1"/>
  <c r="E254" i="16" s="1"/>
  <c r="D254" i="16" s="1"/>
  <c r="C254" i="16" s="1"/>
  <c r="P240" i="20"/>
  <c r="G314" i="20"/>
  <c r="C318" i="20"/>
  <c r="T337" i="20"/>
  <c r="I9" i="19"/>
  <c r="S12" i="19"/>
  <c r="T122" i="16"/>
  <c r="S122" i="16" s="1"/>
  <c r="R122" i="16" s="1"/>
  <c r="Q122" i="16" s="1"/>
  <c r="P122" i="16" s="1"/>
  <c r="O122" i="16" s="1"/>
  <c r="T140" i="16"/>
  <c r="S140" i="16" s="1"/>
  <c r="R140" i="16" s="1"/>
  <c r="Q140" i="16" s="1"/>
  <c r="P140" i="16" s="1"/>
  <c r="O140" i="16" s="1"/>
  <c r="N140" i="16" s="1"/>
  <c r="M140" i="16" s="1"/>
  <c r="L140" i="16" s="1"/>
  <c r="K140" i="16" s="1"/>
  <c r="J140" i="16" s="1"/>
  <c r="I140" i="16" s="1"/>
  <c r="H140" i="16" s="1"/>
  <c r="G140" i="16" s="1"/>
  <c r="F140" i="16" s="1"/>
  <c r="E140" i="16" s="1"/>
  <c r="D140" i="16" s="1"/>
  <c r="C140" i="16" s="1"/>
  <c r="T164" i="16"/>
  <c r="S164" i="16" s="1"/>
  <c r="R164" i="16" s="1"/>
  <c r="Q164" i="16" s="1"/>
  <c r="P164" i="16" s="1"/>
  <c r="O164" i="16" s="1"/>
  <c r="N164" i="16" s="1"/>
  <c r="M164" i="16" s="1"/>
  <c r="L164" i="16" s="1"/>
  <c r="K164" i="16" s="1"/>
  <c r="J164" i="16" s="1"/>
  <c r="I164" i="16" s="1"/>
  <c r="H164" i="16" s="1"/>
  <c r="G164" i="16" s="1"/>
  <c r="F164" i="16" s="1"/>
  <c r="E164" i="16" s="1"/>
  <c r="D164" i="16" s="1"/>
  <c r="C164" i="16" s="1"/>
  <c r="T188" i="16"/>
  <c r="S188" i="16" s="1"/>
  <c r="R188" i="16" s="1"/>
  <c r="Q188" i="16" s="1"/>
  <c r="P188" i="16" s="1"/>
  <c r="O188" i="16" s="1"/>
  <c r="N188" i="16" s="1"/>
  <c r="M188" i="16" s="1"/>
  <c r="L188" i="16" s="1"/>
  <c r="K188" i="16" s="1"/>
  <c r="J188" i="16" s="1"/>
  <c r="I188" i="16" s="1"/>
  <c r="H188" i="16" s="1"/>
  <c r="G188" i="16" s="1"/>
  <c r="F188" i="16" s="1"/>
  <c r="E188" i="16" s="1"/>
  <c r="D188" i="16" s="1"/>
  <c r="C188" i="16" s="1"/>
  <c r="T202" i="16"/>
  <c r="S202" i="16" s="1"/>
  <c r="R202" i="16" s="1"/>
  <c r="Q202" i="16" s="1"/>
  <c r="T239" i="20"/>
  <c r="O315" i="20"/>
  <c r="G318" i="20"/>
  <c r="F318" i="20" s="1"/>
  <c r="E318" i="20" s="1"/>
  <c r="C349" i="20"/>
  <c r="T212" i="16"/>
  <c r="S212" i="16" s="1"/>
  <c r="R212" i="16" s="1"/>
  <c r="Q212" i="16" s="1"/>
  <c r="P212" i="16" s="1"/>
  <c r="O212" i="16" s="1"/>
  <c r="N212" i="16" s="1"/>
  <c r="M212" i="16" s="1"/>
  <c r="L212" i="16" s="1"/>
  <c r="K212" i="16" s="1"/>
  <c r="J212" i="16" s="1"/>
  <c r="I212" i="16" s="1"/>
  <c r="H212" i="16" s="1"/>
  <c r="G212" i="16" s="1"/>
  <c r="F212" i="16" s="1"/>
  <c r="E212" i="16" s="1"/>
  <c r="D212" i="16" s="1"/>
  <c r="C212" i="16" s="1"/>
  <c r="T236" i="16"/>
  <c r="S236" i="16" s="1"/>
  <c r="R236" i="16" s="1"/>
  <c r="Q236" i="16" s="1"/>
  <c r="P236" i="16" s="1"/>
  <c r="O236" i="16" s="1"/>
  <c r="N236" i="16" s="1"/>
  <c r="M236" i="16" s="1"/>
  <c r="L236" i="16" s="1"/>
  <c r="K236" i="16" s="1"/>
  <c r="J236" i="16" s="1"/>
  <c r="I236" i="16" s="1"/>
  <c r="H236" i="16" s="1"/>
  <c r="G236" i="16" s="1"/>
  <c r="F236" i="16" s="1"/>
  <c r="E236" i="16" s="1"/>
  <c r="D236" i="16" s="1"/>
  <c r="C236" i="16" s="1"/>
  <c r="T260" i="16"/>
  <c r="S260" i="16" s="1"/>
  <c r="R260" i="16" s="1"/>
  <c r="Q260" i="16" s="1"/>
  <c r="P260" i="16" s="1"/>
  <c r="O260" i="16" s="1"/>
  <c r="N260" i="16" s="1"/>
  <c r="M260" i="16" s="1"/>
  <c r="L260" i="16" s="1"/>
  <c r="K260" i="16" s="1"/>
  <c r="J260" i="16" s="1"/>
  <c r="I260" i="16" s="1"/>
  <c r="H260" i="16" s="1"/>
  <c r="G260" i="16" s="1"/>
  <c r="F260" i="16" s="1"/>
  <c r="E260" i="16" s="1"/>
  <c r="D260" i="16" s="1"/>
  <c r="C260" i="16" s="1"/>
  <c r="H279" i="16"/>
  <c r="T282" i="16"/>
  <c r="P9" i="9"/>
  <c r="O9" i="9" s="1"/>
  <c r="P8" i="9"/>
  <c r="P14" i="9"/>
  <c r="P10" i="9"/>
  <c r="P13" i="9"/>
  <c r="P11" i="9"/>
  <c r="P12" i="9"/>
  <c r="T13" i="20"/>
  <c r="S13" i="20"/>
  <c r="R13" i="20"/>
  <c r="Q13" i="20"/>
  <c r="P13" i="20"/>
  <c r="O13" i="20"/>
  <c r="N13" i="20"/>
  <c r="M13" i="20"/>
  <c r="L13" i="20"/>
  <c r="K13" i="20"/>
  <c r="J13" i="20"/>
  <c r="H13" i="20"/>
  <c r="G13" i="20"/>
  <c r="F13" i="20"/>
  <c r="E13" i="20"/>
  <c r="D13" i="20"/>
  <c r="C13" i="20"/>
  <c r="T12" i="20"/>
  <c r="S12" i="20"/>
  <c r="R12" i="20"/>
  <c r="Q12" i="20"/>
  <c r="P12" i="20"/>
  <c r="O12" i="20"/>
  <c r="N12" i="20"/>
  <c r="M12" i="20"/>
  <c r="L12" i="20"/>
  <c r="K12" i="20"/>
  <c r="J12" i="20"/>
  <c r="H12" i="20"/>
  <c r="G12" i="20"/>
  <c r="F12" i="20"/>
  <c r="E12" i="20"/>
  <c r="D12" i="20"/>
  <c r="C12" i="20"/>
  <c r="T11" i="20"/>
  <c r="S11" i="20"/>
  <c r="R11" i="20"/>
  <c r="Q11" i="20"/>
  <c r="P11" i="20"/>
  <c r="O11" i="20"/>
  <c r="N11" i="20"/>
  <c r="M11" i="20"/>
  <c r="L11" i="20"/>
  <c r="K11" i="20"/>
  <c r="J11" i="20"/>
  <c r="H11" i="20"/>
  <c r="G11" i="20"/>
  <c r="F11" i="20"/>
  <c r="E11" i="20"/>
  <c r="D11" i="20"/>
  <c r="C11" i="20"/>
  <c r="T10" i="20"/>
  <c r="S10" i="20"/>
  <c r="R10" i="20"/>
  <c r="Q10" i="20"/>
  <c r="P10" i="20"/>
  <c r="O10" i="20"/>
  <c r="N10" i="20"/>
  <c r="M10" i="20"/>
  <c r="L10" i="20"/>
  <c r="K10" i="20"/>
  <c r="J10" i="20"/>
  <c r="H10" i="20"/>
  <c r="G10" i="20"/>
  <c r="F10" i="20"/>
  <c r="E10" i="20"/>
  <c r="D10" i="20"/>
  <c r="C10" i="20"/>
  <c r="T9" i="20"/>
  <c r="S9" i="20"/>
  <c r="R9" i="20"/>
  <c r="Q9" i="20"/>
  <c r="P9" i="20"/>
  <c r="O9" i="20"/>
  <c r="N9" i="20"/>
  <c r="M9" i="20"/>
  <c r="L9" i="20"/>
  <c r="K9" i="20"/>
  <c r="J9" i="20"/>
  <c r="H9" i="20"/>
  <c r="G9" i="20"/>
  <c r="F9" i="20"/>
  <c r="F14" i="20" s="1"/>
  <c r="E9" i="20"/>
  <c r="D9" i="20"/>
  <c r="D14" i="20" s="1"/>
  <c r="C9" i="20"/>
  <c r="T344" i="21"/>
  <c r="S344" i="21"/>
  <c r="R344" i="21"/>
  <c r="Q344" i="21"/>
  <c r="P344" i="21"/>
  <c r="O344" i="21"/>
  <c r="N344" i="21"/>
  <c r="M344" i="21"/>
  <c r="L344" i="21"/>
  <c r="K344" i="21"/>
  <c r="J344" i="21"/>
  <c r="I344" i="21"/>
  <c r="H344" i="21"/>
  <c r="G344" i="21"/>
  <c r="F344" i="21"/>
  <c r="E344" i="21"/>
  <c r="D344" i="21"/>
  <c r="C344" i="21"/>
  <c r="T343" i="21"/>
  <c r="S343" i="21"/>
  <c r="R343" i="21"/>
  <c r="Q343" i="21"/>
  <c r="P343" i="21"/>
  <c r="O343" i="21"/>
  <c r="N343" i="21"/>
  <c r="M343" i="21"/>
  <c r="L343" i="21"/>
  <c r="K343" i="21"/>
  <c r="J343" i="21"/>
  <c r="I343" i="21"/>
  <c r="H343" i="21"/>
  <c r="G343" i="21"/>
  <c r="F343" i="21"/>
  <c r="E343" i="21"/>
  <c r="D343" i="21"/>
  <c r="C343" i="21"/>
  <c r="T342" i="21"/>
  <c r="S342" i="21"/>
  <c r="R342" i="21"/>
  <c r="Q342" i="21"/>
  <c r="P342" i="21"/>
  <c r="O342" i="21"/>
  <c r="N342" i="21"/>
  <c r="M342" i="21"/>
  <c r="L342" i="21"/>
  <c r="K342" i="21"/>
  <c r="J342" i="21"/>
  <c r="I342" i="21"/>
  <c r="H342" i="21"/>
  <c r="G342" i="21"/>
  <c r="F342" i="21"/>
  <c r="E342" i="21"/>
  <c r="D342" i="21"/>
  <c r="C342" i="21"/>
  <c r="T341" i="21"/>
  <c r="S341" i="21"/>
  <c r="R341" i="21"/>
  <c r="Q341" i="21"/>
  <c r="P341" i="21"/>
  <c r="O341" i="21"/>
  <c r="N341" i="21"/>
  <c r="M341" i="21"/>
  <c r="L341" i="21"/>
  <c r="K341" i="21"/>
  <c r="J341" i="21"/>
  <c r="I341" i="21"/>
  <c r="H341" i="21"/>
  <c r="G341" i="21"/>
  <c r="F341" i="21"/>
  <c r="E341" i="21"/>
  <c r="D341" i="21"/>
  <c r="C341" i="21"/>
  <c r="T340" i="21"/>
  <c r="S340" i="21"/>
  <c r="R340" i="21"/>
  <c r="Q340" i="21"/>
  <c r="P340" i="21"/>
  <c r="O340" i="21"/>
  <c r="N340" i="21"/>
  <c r="M340" i="21"/>
  <c r="L340" i="21"/>
  <c r="K340" i="21"/>
  <c r="J340" i="21"/>
  <c r="I340" i="21"/>
  <c r="H340" i="21"/>
  <c r="G340" i="21"/>
  <c r="F340" i="21"/>
  <c r="E340" i="21"/>
  <c r="D340" i="21"/>
  <c r="C340" i="21"/>
  <c r="T338" i="21"/>
  <c r="S338" i="21"/>
  <c r="R338" i="21"/>
  <c r="Q338" i="21"/>
  <c r="P338" i="21"/>
  <c r="O338" i="21"/>
  <c r="N338" i="21"/>
  <c r="M338" i="21"/>
  <c r="L338" i="21"/>
  <c r="K338" i="21"/>
  <c r="J338" i="21"/>
  <c r="I338" i="21"/>
  <c r="H338" i="21"/>
  <c r="G338" i="21"/>
  <c r="F338" i="21"/>
  <c r="E338" i="21"/>
  <c r="D338" i="21"/>
  <c r="C338" i="21"/>
  <c r="T337" i="21"/>
  <c r="S337" i="21"/>
  <c r="R337" i="21"/>
  <c r="Q337" i="21"/>
  <c r="P337" i="21"/>
  <c r="O337" i="21"/>
  <c r="N337" i="21"/>
  <c r="M337" i="21"/>
  <c r="L337" i="21"/>
  <c r="K337" i="21"/>
  <c r="J337" i="21"/>
  <c r="I337" i="21"/>
  <c r="H337" i="21"/>
  <c r="G337" i="21"/>
  <c r="F337" i="21"/>
  <c r="E337" i="21"/>
  <c r="D337" i="21"/>
  <c r="C337" i="21"/>
  <c r="T336" i="21"/>
  <c r="S336" i="21"/>
  <c r="R336" i="21"/>
  <c r="Q336" i="21"/>
  <c r="P336" i="21"/>
  <c r="O336" i="21"/>
  <c r="N336" i="21"/>
  <c r="M336" i="21"/>
  <c r="L336" i="21"/>
  <c r="K336" i="21"/>
  <c r="J336" i="21"/>
  <c r="I336" i="21"/>
  <c r="H336" i="21"/>
  <c r="G336" i="21"/>
  <c r="F336" i="21"/>
  <c r="E336" i="21"/>
  <c r="D336" i="21"/>
  <c r="C336" i="21"/>
  <c r="T335" i="21"/>
  <c r="S335" i="21"/>
  <c r="R335" i="21"/>
  <c r="Q335" i="21"/>
  <c r="P335" i="21"/>
  <c r="O335" i="21"/>
  <c r="N335" i="21"/>
  <c r="M335" i="21"/>
  <c r="L335" i="21"/>
  <c r="K335" i="21"/>
  <c r="J335" i="21"/>
  <c r="I335" i="21"/>
  <c r="H335" i="21"/>
  <c r="G335" i="21"/>
  <c r="F335" i="21"/>
  <c r="E335" i="21"/>
  <c r="D335" i="21"/>
  <c r="C335" i="21"/>
  <c r="T334" i="21"/>
  <c r="S334" i="21"/>
  <c r="R334" i="21"/>
  <c r="Q334" i="21"/>
  <c r="P334" i="21"/>
  <c r="O334" i="21"/>
  <c r="N334" i="21"/>
  <c r="M334" i="21"/>
  <c r="L334" i="21"/>
  <c r="K334" i="21"/>
  <c r="J334" i="21"/>
  <c r="I334" i="21"/>
  <c r="H334" i="21"/>
  <c r="G334" i="21"/>
  <c r="F334" i="21"/>
  <c r="E334" i="21"/>
  <c r="D334" i="21"/>
  <c r="C334" i="21"/>
  <c r="T332" i="21"/>
  <c r="S332" i="21"/>
  <c r="R332" i="21"/>
  <c r="Q332" i="21"/>
  <c r="P332" i="21"/>
  <c r="O332" i="21"/>
  <c r="N332" i="21"/>
  <c r="M332" i="21"/>
  <c r="L332" i="21"/>
  <c r="K332" i="21"/>
  <c r="J332" i="21"/>
  <c r="I332" i="21"/>
  <c r="H332" i="21"/>
  <c r="G332" i="21"/>
  <c r="F332" i="21"/>
  <c r="E332" i="21"/>
  <c r="D332" i="21"/>
  <c r="C332" i="21"/>
  <c r="T331" i="21"/>
  <c r="S331" i="21"/>
  <c r="R331" i="21"/>
  <c r="Q331" i="21"/>
  <c r="P331" i="21"/>
  <c r="O331" i="21"/>
  <c r="N331" i="21"/>
  <c r="M331" i="21"/>
  <c r="L331" i="21"/>
  <c r="K331" i="21"/>
  <c r="J331" i="21"/>
  <c r="I331" i="21"/>
  <c r="H331" i="21"/>
  <c r="G331" i="21"/>
  <c r="F331" i="21"/>
  <c r="E331" i="21"/>
  <c r="D331" i="21"/>
  <c r="C331" i="21"/>
  <c r="T330" i="21"/>
  <c r="S330" i="21"/>
  <c r="R330" i="21"/>
  <c r="Q330" i="21"/>
  <c r="P330" i="21"/>
  <c r="O330" i="21"/>
  <c r="N330" i="21"/>
  <c r="M330" i="21"/>
  <c r="L330" i="21"/>
  <c r="K330" i="21"/>
  <c r="J330" i="21"/>
  <c r="I330" i="21"/>
  <c r="H330" i="21"/>
  <c r="G330" i="21"/>
  <c r="F330" i="21"/>
  <c r="E330" i="21"/>
  <c r="D330" i="21"/>
  <c r="C330" i="21"/>
  <c r="T329" i="21"/>
  <c r="S329" i="21"/>
  <c r="R329" i="21"/>
  <c r="Q329" i="21"/>
  <c r="P329" i="21"/>
  <c r="O329" i="21"/>
  <c r="N329" i="21"/>
  <c r="M329" i="21"/>
  <c r="L329" i="21"/>
  <c r="K329" i="21"/>
  <c r="J329" i="21"/>
  <c r="I329" i="21"/>
  <c r="H329" i="21"/>
  <c r="G329" i="21"/>
  <c r="F329" i="21"/>
  <c r="E329" i="21"/>
  <c r="D329" i="21"/>
  <c r="C329" i="21"/>
  <c r="T328" i="21"/>
  <c r="S328" i="21"/>
  <c r="R328" i="21"/>
  <c r="Q328" i="21"/>
  <c r="P328" i="21"/>
  <c r="O328" i="21"/>
  <c r="N328" i="21"/>
  <c r="M328" i="21"/>
  <c r="L328" i="21"/>
  <c r="K328" i="21"/>
  <c r="J328" i="21"/>
  <c r="I328" i="21"/>
  <c r="H328" i="21"/>
  <c r="G328" i="21"/>
  <c r="F328" i="21"/>
  <c r="E328" i="21"/>
  <c r="D328" i="21"/>
  <c r="C328" i="21"/>
  <c r="T326" i="21"/>
  <c r="S326" i="21"/>
  <c r="R326" i="21"/>
  <c r="Q326" i="21"/>
  <c r="P326" i="21"/>
  <c r="O326" i="21"/>
  <c r="N326" i="21"/>
  <c r="M326" i="21"/>
  <c r="L326" i="21"/>
  <c r="K326" i="21"/>
  <c r="J326" i="21"/>
  <c r="I326" i="21"/>
  <c r="H326" i="21"/>
  <c r="G326" i="21"/>
  <c r="F326" i="21"/>
  <c r="E326" i="21"/>
  <c r="D326" i="21"/>
  <c r="C326" i="21"/>
  <c r="T325" i="21"/>
  <c r="S325" i="21"/>
  <c r="R325" i="21"/>
  <c r="Q325" i="21"/>
  <c r="P325" i="21"/>
  <c r="O325" i="21"/>
  <c r="N325" i="21"/>
  <c r="M325" i="21"/>
  <c r="L325" i="21"/>
  <c r="K325" i="21"/>
  <c r="J325" i="21"/>
  <c r="I325" i="21"/>
  <c r="H325" i="21"/>
  <c r="G325" i="21"/>
  <c r="F325" i="21"/>
  <c r="E325" i="21"/>
  <c r="D325" i="21"/>
  <c r="C325" i="21"/>
  <c r="T324" i="21"/>
  <c r="S324" i="21"/>
  <c r="R324" i="21"/>
  <c r="Q324" i="21"/>
  <c r="P324" i="21"/>
  <c r="O324" i="21"/>
  <c r="N324" i="21"/>
  <c r="M324" i="21"/>
  <c r="L324" i="21"/>
  <c r="K324" i="21"/>
  <c r="J324" i="21"/>
  <c r="I324" i="21"/>
  <c r="H324" i="21"/>
  <c r="G324" i="21"/>
  <c r="F324" i="21"/>
  <c r="E324" i="21"/>
  <c r="D324" i="21"/>
  <c r="C324" i="21"/>
  <c r="T323" i="21"/>
  <c r="S323" i="21"/>
  <c r="R323" i="21"/>
  <c r="Q323" i="21"/>
  <c r="P323" i="21"/>
  <c r="O323" i="21"/>
  <c r="N323" i="21"/>
  <c r="M323" i="21"/>
  <c r="L323" i="21"/>
  <c r="K323" i="21"/>
  <c r="J323" i="21"/>
  <c r="I323" i="21"/>
  <c r="H323" i="21"/>
  <c r="G323" i="21"/>
  <c r="F323" i="21"/>
  <c r="E323" i="21"/>
  <c r="D323" i="21"/>
  <c r="C323" i="21"/>
  <c r="T322" i="21"/>
  <c r="S322" i="21"/>
  <c r="R322" i="21"/>
  <c r="Q322" i="21"/>
  <c r="P322" i="21"/>
  <c r="O322" i="21"/>
  <c r="N322" i="21"/>
  <c r="M322" i="21"/>
  <c r="L322" i="21"/>
  <c r="K322" i="21"/>
  <c r="J322" i="21"/>
  <c r="I322" i="21"/>
  <c r="H322" i="21"/>
  <c r="G322" i="21"/>
  <c r="F322" i="21"/>
  <c r="E322" i="21"/>
  <c r="D322" i="21"/>
  <c r="C322" i="21"/>
  <c r="T320" i="21"/>
  <c r="S320" i="21"/>
  <c r="R320" i="21"/>
  <c r="Q320" i="21"/>
  <c r="P320" i="21"/>
  <c r="O320" i="21"/>
  <c r="N320" i="21"/>
  <c r="M320" i="21"/>
  <c r="L320" i="21"/>
  <c r="K320" i="21"/>
  <c r="J320" i="21"/>
  <c r="I320" i="21"/>
  <c r="H320" i="21"/>
  <c r="G320" i="21"/>
  <c r="F320" i="21"/>
  <c r="E320" i="21"/>
  <c r="D320" i="21"/>
  <c r="C320" i="21"/>
  <c r="T319" i="21"/>
  <c r="S319" i="21"/>
  <c r="R319" i="21"/>
  <c r="Q319" i="21"/>
  <c r="P319" i="21"/>
  <c r="O319" i="21"/>
  <c r="N319" i="21"/>
  <c r="M319" i="21"/>
  <c r="L319" i="21"/>
  <c r="K319" i="21"/>
  <c r="J319" i="21"/>
  <c r="I319" i="21"/>
  <c r="H319" i="21"/>
  <c r="G319" i="21"/>
  <c r="F319" i="21"/>
  <c r="E319" i="21"/>
  <c r="D319" i="21"/>
  <c r="C319" i="21"/>
  <c r="T318" i="21"/>
  <c r="S318" i="21"/>
  <c r="R318" i="21"/>
  <c r="Q318" i="21"/>
  <c r="P318" i="21"/>
  <c r="O318" i="21"/>
  <c r="N318" i="21"/>
  <c r="M318" i="21"/>
  <c r="L318" i="21"/>
  <c r="K318" i="21"/>
  <c r="J318" i="21"/>
  <c r="I318" i="21"/>
  <c r="H318" i="21"/>
  <c r="G318" i="21"/>
  <c r="F318" i="21"/>
  <c r="E318" i="21"/>
  <c r="D318" i="21"/>
  <c r="C318" i="21"/>
  <c r="T317" i="21"/>
  <c r="S317" i="21"/>
  <c r="R317" i="21"/>
  <c r="Q317" i="21"/>
  <c r="P317" i="21"/>
  <c r="O317" i="21"/>
  <c r="N317" i="21"/>
  <c r="M317" i="21"/>
  <c r="L317" i="21"/>
  <c r="K317" i="21"/>
  <c r="J317" i="21"/>
  <c r="I317" i="21"/>
  <c r="H317" i="21"/>
  <c r="G317" i="21"/>
  <c r="F317" i="21"/>
  <c r="E317" i="21"/>
  <c r="D317" i="21"/>
  <c r="C317" i="21"/>
  <c r="T316" i="21"/>
  <c r="S316" i="21"/>
  <c r="R316" i="21"/>
  <c r="Q316" i="21"/>
  <c r="P316" i="21"/>
  <c r="O316" i="21"/>
  <c r="N316" i="21"/>
  <c r="M316" i="21"/>
  <c r="L316" i="21"/>
  <c r="K316" i="21"/>
  <c r="J316" i="21"/>
  <c r="I316" i="21"/>
  <c r="H316" i="21"/>
  <c r="G316" i="21"/>
  <c r="F316" i="21"/>
  <c r="E316" i="21"/>
  <c r="D316" i="21"/>
  <c r="C316" i="21"/>
  <c r="T314" i="21"/>
  <c r="S314" i="21"/>
  <c r="R314" i="21"/>
  <c r="Q314" i="21"/>
  <c r="P314" i="21"/>
  <c r="O314" i="21"/>
  <c r="N314" i="21"/>
  <c r="M314" i="21"/>
  <c r="L314" i="21"/>
  <c r="K314" i="21"/>
  <c r="J314" i="21"/>
  <c r="I314" i="21"/>
  <c r="H314" i="21"/>
  <c r="G314" i="21"/>
  <c r="F314" i="21"/>
  <c r="E314" i="21"/>
  <c r="D314" i="21"/>
  <c r="C314" i="21"/>
  <c r="T313" i="21"/>
  <c r="S313" i="21"/>
  <c r="R313" i="21"/>
  <c r="Q313" i="21"/>
  <c r="P313" i="21"/>
  <c r="O313" i="21"/>
  <c r="N313" i="21"/>
  <c r="M313" i="21"/>
  <c r="L313" i="21"/>
  <c r="K313" i="21"/>
  <c r="J313" i="21"/>
  <c r="I313" i="21"/>
  <c r="H313" i="21"/>
  <c r="G313" i="21"/>
  <c r="F313" i="21"/>
  <c r="E313" i="21"/>
  <c r="D313" i="21"/>
  <c r="C313" i="21"/>
  <c r="T312" i="21"/>
  <c r="S312" i="21"/>
  <c r="R312" i="21"/>
  <c r="Q312" i="21"/>
  <c r="P312" i="21"/>
  <c r="O312" i="21"/>
  <c r="N312" i="21"/>
  <c r="M312" i="21"/>
  <c r="L312" i="21"/>
  <c r="K312" i="21"/>
  <c r="J312" i="21"/>
  <c r="I312" i="21"/>
  <c r="H312" i="21"/>
  <c r="G312" i="21"/>
  <c r="F312" i="21"/>
  <c r="E312" i="21"/>
  <c r="D312" i="21"/>
  <c r="C312" i="21"/>
  <c r="T311" i="21"/>
  <c r="S311" i="21"/>
  <c r="R311" i="21"/>
  <c r="Q311" i="21"/>
  <c r="P311" i="21"/>
  <c r="O311" i="21"/>
  <c r="N311" i="21"/>
  <c r="M311" i="21"/>
  <c r="L311" i="21"/>
  <c r="K311" i="21"/>
  <c r="J311" i="21"/>
  <c r="I311" i="21"/>
  <c r="H311" i="21"/>
  <c r="G311" i="21"/>
  <c r="F311" i="21"/>
  <c r="E311" i="21"/>
  <c r="D311" i="21"/>
  <c r="C311" i="21"/>
  <c r="T310" i="21"/>
  <c r="S310" i="21"/>
  <c r="R310" i="21"/>
  <c r="Q310" i="21"/>
  <c r="P310" i="21"/>
  <c r="O310" i="21"/>
  <c r="N310" i="21"/>
  <c r="M310" i="21"/>
  <c r="L310" i="21"/>
  <c r="K310" i="21"/>
  <c r="J310" i="21"/>
  <c r="I310" i="21"/>
  <c r="H310" i="21"/>
  <c r="G310" i="21"/>
  <c r="F310" i="21"/>
  <c r="E310" i="21"/>
  <c r="D310" i="21"/>
  <c r="C310" i="21"/>
  <c r="T308" i="21"/>
  <c r="S308" i="21"/>
  <c r="R308" i="21"/>
  <c r="Q308" i="21"/>
  <c r="P308" i="21"/>
  <c r="O308" i="21"/>
  <c r="N308" i="21"/>
  <c r="M308" i="21"/>
  <c r="L308" i="21"/>
  <c r="K308" i="21"/>
  <c r="J308" i="21"/>
  <c r="I308" i="21"/>
  <c r="H308" i="21"/>
  <c r="G308" i="21"/>
  <c r="F308" i="21"/>
  <c r="E308" i="21"/>
  <c r="D308" i="21"/>
  <c r="C308" i="21"/>
  <c r="T307" i="21"/>
  <c r="S307" i="21"/>
  <c r="R307" i="21"/>
  <c r="Q307" i="21"/>
  <c r="P307" i="21"/>
  <c r="O307" i="21"/>
  <c r="N307" i="21"/>
  <c r="M307" i="21"/>
  <c r="L307" i="21"/>
  <c r="K307" i="21"/>
  <c r="J307" i="21"/>
  <c r="I307" i="21"/>
  <c r="H307" i="21"/>
  <c r="G307" i="21"/>
  <c r="F307" i="21"/>
  <c r="E307" i="21"/>
  <c r="D307" i="21"/>
  <c r="C307" i="21"/>
  <c r="T306" i="21"/>
  <c r="S306" i="21"/>
  <c r="R306" i="21"/>
  <c r="Q306" i="21"/>
  <c r="P306" i="21"/>
  <c r="O306" i="21"/>
  <c r="N306" i="21"/>
  <c r="M306" i="21"/>
  <c r="L306" i="21"/>
  <c r="K306" i="21"/>
  <c r="J306" i="21"/>
  <c r="I306" i="21"/>
  <c r="H306" i="21"/>
  <c r="G306" i="21"/>
  <c r="F306" i="21"/>
  <c r="E306" i="21"/>
  <c r="D306" i="21"/>
  <c r="C306" i="21"/>
  <c r="T305" i="21"/>
  <c r="S305" i="21"/>
  <c r="R305" i="21"/>
  <c r="Q305" i="21"/>
  <c r="P305" i="21"/>
  <c r="O305" i="21"/>
  <c r="N305" i="21"/>
  <c r="M305" i="21"/>
  <c r="L305" i="21"/>
  <c r="K305" i="21"/>
  <c r="J305" i="21"/>
  <c r="I305" i="21"/>
  <c r="H305" i="21"/>
  <c r="G305" i="21"/>
  <c r="F305" i="21"/>
  <c r="E305" i="21"/>
  <c r="D305" i="21"/>
  <c r="C305" i="21"/>
  <c r="T304" i="21"/>
  <c r="S304" i="21"/>
  <c r="R304" i="21"/>
  <c r="Q304" i="21"/>
  <c r="P304" i="21"/>
  <c r="O304" i="21"/>
  <c r="N304" i="21"/>
  <c r="M304" i="21"/>
  <c r="L304" i="21"/>
  <c r="K304" i="21"/>
  <c r="J304" i="21"/>
  <c r="I304" i="21"/>
  <c r="H304" i="21"/>
  <c r="G304" i="21"/>
  <c r="F304" i="21"/>
  <c r="E304" i="21"/>
  <c r="D304" i="21"/>
  <c r="C304" i="21"/>
  <c r="T302" i="21"/>
  <c r="S302" i="21"/>
  <c r="R302" i="21"/>
  <c r="Q302" i="21"/>
  <c r="P302" i="21"/>
  <c r="O302" i="21"/>
  <c r="N302" i="21"/>
  <c r="M302" i="21"/>
  <c r="L302" i="21"/>
  <c r="K302" i="21"/>
  <c r="J302" i="21"/>
  <c r="I302" i="21"/>
  <c r="H302" i="21"/>
  <c r="G302" i="21"/>
  <c r="F302" i="21"/>
  <c r="E302" i="21"/>
  <c r="D302" i="21"/>
  <c r="C302" i="21"/>
  <c r="T301" i="21"/>
  <c r="S301" i="21"/>
  <c r="R301" i="21"/>
  <c r="Q301" i="21"/>
  <c r="P301" i="21"/>
  <c r="O301" i="21"/>
  <c r="N301" i="21"/>
  <c r="M301" i="21"/>
  <c r="L301" i="21"/>
  <c r="K301" i="21"/>
  <c r="J301" i="21"/>
  <c r="I301" i="21"/>
  <c r="H301" i="21"/>
  <c r="G301" i="21"/>
  <c r="F301" i="21"/>
  <c r="E301" i="21"/>
  <c r="D301" i="21"/>
  <c r="C301" i="21"/>
  <c r="T300" i="21"/>
  <c r="S300" i="21"/>
  <c r="R300" i="21"/>
  <c r="Q300" i="21"/>
  <c r="P300" i="21"/>
  <c r="O300" i="21"/>
  <c r="N300" i="21"/>
  <c r="M300" i="21"/>
  <c r="L300" i="21"/>
  <c r="K300" i="21"/>
  <c r="J300" i="21"/>
  <c r="I300" i="21"/>
  <c r="H300" i="21"/>
  <c r="G300" i="21"/>
  <c r="F300" i="21"/>
  <c r="E300" i="21"/>
  <c r="D300" i="21"/>
  <c r="C300" i="21"/>
  <c r="T299" i="21"/>
  <c r="S299" i="21"/>
  <c r="R299" i="21"/>
  <c r="Q299" i="21"/>
  <c r="P299" i="21"/>
  <c r="O299" i="21"/>
  <c r="N299" i="21"/>
  <c r="M299" i="21"/>
  <c r="L299" i="21"/>
  <c r="K299" i="21"/>
  <c r="J299" i="21"/>
  <c r="I299" i="21"/>
  <c r="H299" i="21"/>
  <c r="G299" i="21"/>
  <c r="F299" i="21"/>
  <c r="E299" i="21"/>
  <c r="D299" i="21"/>
  <c r="C299" i="21"/>
  <c r="T298" i="21"/>
  <c r="S298" i="21"/>
  <c r="R298" i="21"/>
  <c r="Q298" i="21"/>
  <c r="P298" i="21"/>
  <c r="O298" i="21"/>
  <c r="N298" i="21"/>
  <c r="M298" i="21"/>
  <c r="L298" i="21"/>
  <c r="K298" i="21"/>
  <c r="J298" i="21"/>
  <c r="I298" i="21"/>
  <c r="H298" i="21"/>
  <c r="G298" i="21"/>
  <c r="F298" i="21"/>
  <c r="E298" i="21"/>
  <c r="D298" i="21"/>
  <c r="C298" i="21"/>
  <c r="T296" i="21"/>
  <c r="S296" i="21"/>
  <c r="R296" i="21"/>
  <c r="Q296" i="21"/>
  <c r="P296" i="21"/>
  <c r="O296" i="21"/>
  <c r="N296" i="21"/>
  <c r="M296" i="21"/>
  <c r="L296" i="21"/>
  <c r="K296" i="21"/>
  <c r="J296" i="21"/>
  <c r="I296" i="21"/>
  <c r="H296" i="21"/>
  <c r="G296" i="21"/>
  <c r="F296" i="21"/>
  <c r="E296" i="21"/>
  <c r="D296" i="21"/>
  <c r="C296" i="21"/>
  <c r="T295" i="21"/>
  <c r="S295" i="21"/>
  <c r="R295" i="21"/>
  <c r="Q295" i="21"/>
  <c r="P295" i="21"/>
  <c r="O295" i="21"/>
  <c r="N295" i="21"/>
  <c r="M295" i="21"/>
  <c r="L295" i="21"/>
  <c r="K295" i="21"/>
  <c r="J295" i="21"/>
  <c r="I295" i="21"/>
  <c r="H295" i="21"/>
  <c r="G295" i="21"/>
  <c r="F295" i="21"/>
  <c r="E295" i="21"/>
  <c r="D295" i="21"/>
  <c r="C295" i="21"/>
  <c r="T294" i="21"/>
  <c r="S294" i="21"/>
  <c r="R294" i="21"/>
  <c r="Q294" i="21"/>
  <c r="P294" i="21"/>
  <c r="O294" i="21"/>
  <c r="N294" i="21"/>
  <c r="M294" i="21"/>
  <c r="L294" i="21"/>
  <c r="K294" i="21"/>
  <c r="J294" i="21"/>
  <c r="I294" i="21"/>
  <c r="H294" i="21"/>
  <c r="G294" i="21"/>
  <c r="F294" i="21"/>
  <c r="E294" i="21"/>
  <c r="D294" i="21"/>
  <c r="C294" i="21"/>
  <c r="T293" i="21"/>
  <c r="S293" i="21"/>
  <c r="R293" i="21"/>
  <c r="Q293" i="21"/>
  <c r="P293" i="21"/>
  <c r="O293" i="21"/>
  <c r="N293" i="21"/>
  <c r="M293" i="21"/>
  <c r="L293" i="21"/>
  <c r="K293" i="21"/>
  <c r="J293" i="21"/>
  <c r="I293" i="21"/>
  <c r="H293" i="21"/>
  <c r="G293" i="21"/>
  <c r="F293" i="21"/>
  <c r="E293" i="21"/>
  <c r="D293" i="21"/>
  <c r="C293" i="21"/>
  <c r="T292" i="21"/>
  <c r="S292" i="21"/>
  <c r="R292" i="21"/>
  <c r="Q292" i="21"/>
  <c r="P292" i="21"/>
  <c r="O292" i="21"/>
  <c r="N292" i="21"/>
  <c r="M292" i="21"/>
  <c r="L292" i="21"/>
  <c r="K292" i="21"/>
  <c r="J292" i="21"/>
  <c r="I292" i="21"/>
  <c r="H292" i="21"/>
  <c r="G292" i="21"/>
  <c r="F292" i="21"/>
  <c r="E292" i="21"/>
  <c r="D292" i="21"/>
  <c r="C292" i="21"/>
  <c r="T290" i="21"/>
  <c r="S290" i="21"/>
  <c r="R290" i="21"/>
  <c r="Q290" i="21"/>
  <c r="P290" i="21"/>
  <c r="O290" i="21"/>
  <c r="N290" i="21"/>
  <c r="M290" i="21"/>
  <c r="L290" i="21"/>
  <c r="K290" i="21"/>
  <c r="J290" i="21"/>
  <c r="I290" i="21"/>
  <c r="H290" i="21"/>
  <c r="G290" i="21"/>
  <c r="F290" i="21"/>
  <c r="E290" i="21"/>
  <c r="D290" i="21"/>
  <c r="C290" i="21"/>
  <c r="T289" i="21"/>
  <c r="S289" i="21"/>
  <c r="R289" i="21"/>
  <c r="Q289" i="21"/>
  <c r="P289" i="21"/>
  <c r="O289" i="21"/>
  <c r="N289" i="21"/>
  <c r="M289" i="21"/>
  <c r="L289" i="21"/>
  <c r="K289" i="21"/>
  <c r="J289" i="21"/>
  <c r="I289" i="21"/>
  <c r="H289" i="21"/>
  <c r="G289" i="21"/>
  <c r="F289" i="21"/>
  <c r="E289" i="21"/>
  <c r="D289" i="21"/>
  <c r="C289" i="21"/>
  <c r="T288" i="21"/>
  <c r="S288" i="21"/>
  <c r="R288" i="21"/>
  <c r="Q288" i="21"/>
  <c r="P288" i="21"/>
  <c r="O288" i="21"/>
  <c r="N288" i="21"/>
  <c r="M288" i="21"/>
  <c r="L288" i="21"/>
  <c r="K288" i="21"/>
  <c r="J288" i="21"/>
  <c r="I288" i="21"/>
  <c r="H288" i="21"/>
  <c r="G288" i="21"/>
  <c r="F288" i="21"/>
  <c r="E288" i="21"/>
  <c r="D288" i="21"/>
  <c r="C288" i="21"/>
  <c r="T287" i="21"/>
  <c r="S287" i="21"/>
  <c r="R287" i="21"/>
  <c r="Q287" i="21"/>
  <c r="P287" i="21"/>
  <c r="O287" i="21"/>
  <c r="N287" i="21"/>
  <c r="M287" i="21"/>
  <c r="L287" i="21"/>
  <c r="K287" i="21"/>
  <c r="J287" i="21"/>
  <c r="I287" i="21"/>
  <c r="H287" i="21"/>
  <c r="G287" i="21"/>
  <c r="F287" i="21"/>
  <c r="E287" i="21"/>
  <c r="D287" i="21"/>
  <c r="C287" i="21"/>
  <c r="T286" i="21"/>
  <c r="S286" i="21"/>
  <c r="R286" i="21"/>
  <c r="Q286" i="21"/>
  <c r="P286" i="21"/>
  <c r="O286" i="21"/>
  <c r="N286" i="21"/>
  <c r="M286" i="21"/>
  <c r="L286" i="21"/>
  <c r="K286" i="21"/>
  <c r="J286" i="21"/>
  <c r="I286" i="21"/>
  <c r="H286" i="21"/>
  <c r="G286" i="21"/>
  <c r="F286" i="21"/>
  <c r="E286" i="21"/>
  <c r="D286" i="21"/>
  <c r="C286" i="21"/>
  <c r="AM285" i="21"/>
  <c r="AL285" i="21"/>
  <c r="AK285" i="21"/>
  <c r="AJ285" i="21"/>
  <c r="AI285" i="21"/>
  <c r="AH285" i="21"/>
  <c r="AG285" i="21"/>
  <c r="AF285" i="21"/>
  <c r="AE285" i="21"/>
  <c r="AD285" i="21"/>
  <c r="AC285" i="21"/>
  <c r="AB285" i="21"/>
  <c r="AA285" i="21"/>
  <c r="Z285" i="21"/>
  <c r="Y285" i="21"/>
  <c r="X285" i="21"/>
  <c r="W285" i="21"/>
  <c r="V285" i="21"/>
  <c r="AM284" i="21"/>
  <c r="AL284" i="21"/>
  <c r="AK284" i="21"/>
  <c r="AJ284" i="21"/>
  <c r="AI284" i="21"/>
  <c r="AH284" i="21"/>
  <c r="AG284" i="21"/>
  <c r="N284" i="21" s="1"/>
  <c r="AF284" i="21"/>
  <c r="M284" i="21" s="1"/>
  <c r="AE284" i="21"/>
  <c r="L284" i="21" s="1"/>
  <c r="AD284" i="21"/>
  <c r="K284" i="21" s="1"/>
  <c r="AC284" i="21"/>
  <c r="AB284" i="21"/>
  <c r="AA284" i="21"/>
  <c r="Z284" i="21"/>
  <c r="Y284" i="21"/>
  <c r="X284" i="21"/>
  <c r="W284" i="21"/>
  <c r="D284" i="21" s="1"/>
  <c r="V284" i="21"/>
  <c r="AM283" i="21"/>
  <c r="AL283" i="21"/>
  <c r="AK283" i="21"/>
  <c r="AJ283" i="21"/>
  <c r="AI283" i="21"/>
  <c r="AH283" i="21"/>
  <c r="O283" i="21" s="1"/>
  <c r="AG283" i="21"/>
  <c r="N283" i="21" s="1"/>
  <c r="AF283" i="21"/>
  <c r="M283" i="21" s="1"/>
  <c r="AE283" i="21"/>
  <c r="L283" i="21" s="1"/>
  <c r="AD283" i="21"/>
  <c r="K283" i="21" s="1"/>
  <c r="AC283" i="21"/>
  <c r="AB283" i="21"/>
  <c r="AA283" i="21"/>
  <c r="Z283" i="21"/>
  <c r="Y283" i="21"/>
  <c r="X283" i="21"/>
  <c r="W283" i="21"/>
  <c r="V283" i="21"/>
  <c r="AM282" i="21"/>
  <c r="AL282" i="21"/>
  <c r="AK282" i="21"/>
  <c r="AJ282" i="21"/>
  <c r="AI282" i="21"/>
  <c r="AH282" i="21"/>
  <c r="O282" i="21" s="1"/>
  <c r="AG282" i="21"/>
  <c r="N282" i="21" s="1"/>
  <c r="AF282" i="21"/>
  <c r="M282" i="21" s="1"/>
  <c r="AE282" i="21"/>
  <c r="L282" i="21" s="1"/>
  <c r="AD282" i="21"/>
  <c r="K282" i="21" s="1"/>
  <c r="AC282" i="21"/>
  <c r="AB282" i="21"/>
  <c r="AA282" i="21"/>
  <c r="Z282" i="21"/>
  <c r="Y282" i="21"/>
  <c r="F282" i="21" s="1"/>
  <c r="X282" i="21"/>
  <c r="W282" i="21"/>
  <c r="V282" i="21"/>
  <c r="AM281" i="21"/>
  <c r="AL281" i="21"/>
  <c r="AK281" i="21"/>
  <c r="AJ281" i="21"/>
  <c r="AI281" i="21"/>
  <c r="P281" i="21" s="1"/>
  <c r="AH281" i="21"/>
  <c r="O281" i="21" s="1"/>
  <c r="AG281" i="21"/>
  <c r="N281" i="21" s="1"/>
  <c r="AF281" i="21"/>
  <c r="M281" i="21" s="1"/>
  <c r="AE281" i="21"/>
  <c r="L281" i="21" s="1"/>
  <c r="AD281" i="21"/>
  <c r="K281" i="21" s="1"/>
  <c r="AC281" i="21"/>
  <c r="AB281" i="21"/>
  <c r="AA281" i="21"/>
  <c r="H281" i="21" s="1"/>
  <c r="Z281" i="21"/>
  <c r="G281" i="21" s="1"/>
  <c r="Y281" i="21"/>
  <c r="F281" i="21" s="1"/>
  <c r="X281" i="21"/>
  <c r="W281" i="21"/>
  <c r="V281" i="21"/>
  <c r="T281" i="21" s="1"/>
  <c r="S281" i="21" s="1"/>
  <c r="AM280" i="21"/>
  <c r="AL280" i="21"/>
  <c r="AK280" i="21"/>
  <c r="AJ280" i="21"/>
  <c r="AI280" i="21"/>
  <c r="P280" i="21" s="1"/>
  <c r="AH280" i="21"/>
  <c r="O280" i="21" s="1"/>
  <c r="AG280" i="21"/>
  <c r="N280" i="21" s="1"/>
  <c r="AF280" i="21"/>
  <c r="M280" i="21" s="1"/>
  <c r="AE280" i="21"/>
  <c r="L280" i="21" s="1"/>
  <c r="AD280" i="21"/>
  <c r="K280" i="21" s="1"/>
  <c r="AC280" i="21"/>
  <c r="AB280" i="21"/>
  <c r="AA280" i="21"/>
  <c r="Z280" i="21"/>
  <c r="Y280" i="21"/>
  <c r="X280" i="21"/>
  <c r="W280" i="21"/>
  <c r="V280" i="21"/>
  <c r="T278" i="21"/>
  <c r="S278" i="21"/>
  <c r="R278" i="21"/>
  <c r="Q278" i="21"/>
  <c r="P278" i="21"/>
  <c r="O278" i="21"/>
  <c r="N278" i="21"/>
  <c r="M278" i="21"/>
  <c r="L278" i="21"/>
  <c r="K278" i="21"/>
  <c r="J278" i="21"/>
  <c r="I278" i="21"/>
  <c r="H278" i="21"/>
  <c r="G278" i="21"/>
  <c r="F278" i="21"/>
  <c r="E278" i="21"/>
  <c r="D278" i="21"/>
  <c r="C278" i="21"/>
  <c r="T277" i="21"/>
  <c r="S277" i="21"/>
  <c r="R277" i="21"/>
  <c r="Q277" i="21"/>
  <c r="P277" i="21"/>
  <c r="O277" i="21"/>
  <c r="N277" i="21"/>
  <c r="M277" i="21"/>
  <c r="L277" i="21"/>
  <c r="K277" i="21"/>
  <c r="J277" i="21"/>
  <c r="I277" i="21"/>
  <c r="H277" i="21"/>
  <c r="G277" i="21"/>
  <c r="F277" i="21"/>
  <c r="E277" i="21"/>
  <c r="D277" i="21"/>
  <c r="C277" i="21"/>
  <c r="T276" i="21"/>
  <c r="S276" i="21"/>
  <c r="R276" i="21"/>
  <c r="Q276" i="21"/>
  <c r="P276" i="21"/>
  <c r="O276" i="21"/>
  <c r="N276" i="21"/>
  <c r="M276" i="21"/>
  <c r="L276" i="21"/>
  <c r="K276" i="21"/>
  <c r="J276" i="21"/>
  <c r="I276" i="21"/>
  <c r="H276" i="21"/>
  <c r="G276" i="21"/>
  <c r="F276" i="21"/>
  <c r="E276" i="21"/>
  <c r="D276" i="21"/>
  <c r="C276" i="21"/>
  <c r="T275" i="21"/>
  <c r="S275" i="21"/>
  <c r="R275" i="21"/>
  <c r="Q275" i="21"/>
  <c r="P275" i="21"/>
  <c r="O275" i="21"/>
  <c r="N275" i="21"/>
  <c r="M275" i="21"/>
  <c r="L275" i="21"/>
  <c r="K275" i="21"/>
  <c r="J275" i="21"/>
  <c r="I275" i="21"/>
  <c r="H275" i="21"/>
  <c r="G275" i="21"/>
  <c r="F275" i="21"/>
  <c r="E275" i="21"/>
  <c r="D275" i="21"/>
  <c r="C275" i="21"/>
  <c r="T274" i="21"/>
  <c r="S274" i="21"/>
  <c r="R274" i="21"/>
  <c r="Q274" i="21"/>
  <c r="P274" i="21"/>
  <c r="O274" i="21"/>
  <c r="N274" i="21"/>
  <c r="M274" i="21"/>
  <c r="L274" i="21"/>
  <c r="K274" i="21"/>
  <c r="J274" i="21"/>
  <c r="I274" i="21"/>
  <c r="H274" i="21"/>
  <c r="G274" i="21"/>
  <c r="F274" i="21"/>
  <c r="E274" i="21"/>
  <c r="D274" i="21"/>
  <c r="C274" i="21"/>
  <c r="T272" i="21"/>
  <c r="S272" i="21"/>
  <c r="R272" i="21"/>
  <c r="Q272" i="21"/>
  <c r="P272" i="21"/>
  <c r="O272" i="21"/>
  <c r="N272" i="21"/>
  <c r="M272" i="21"/>
  <c r="L272" i="21"/>
  <c r="K272" i="21"/>
  <c r="J272" i="21"/>
  <c r="I272" i="21"/>
  <c r="H272" i="21"/>
  <c r="G272" i="21"/>
  <c r="F272" i="21"/>
  <c r="E272" i="21"/>
  <c r="D272" i="21"/>
  <c r="C272" i="21"/>
  <c r="T271" i="21"/>
  <c r="S271" i="21"/>
  <c r="R271" i="21"/>
  <c r="Q271" i="21"/>
  <c r="P271" i="21"/>
  <c r="O271" i="21"/>
  <c r="N271" i="21"/>
  <c r="M271" i="21"/>
  <c r="L271" i="21"/>
  <c r="K271" i="21"/>
  <c r="J271" i="21"/>
  <c r="I271" i="21"/>
  <c r="H271" i="21"/>
  <c r="G271" i="21"/>
  <c r="F271" i="21"/>
  <c r="E271" i="21"/>
  <c r="D271" i="21"/>
  <c r="C271" i="21"/>
  <c r="T270" i="21"/>
  <c r="S270" i="21"/>
  <c r="R270" i="21"/>
  <c r="Q270" i="21"/>
  <c r="P270" i="21"/>
  <c r="O270" i="21"/>
  <c r="N270" i="21"/>
  <c r="M270" i="21"/>
  <c r="L270" i="21"/>
  <c r="K270" i="21"/>
  <c r="J270" i="21"/>
  <c r="I270" i="21"/>
  <c r="H270" i="21"/>
  <c r="G270" i="21"/>
  <c r="F270" i="21"/>
  <c r="E270" i="21"/>
  <c r="D270" i="21"/>
  <c r="C270" i="21"/>
  <c r="T269" i="21"/>
  <c r="S269" i="21"/>
  <c r="R269" i="21"/>
  <c r="Q269" i="21"/>
  <c r="P269" i="21"/>
  <c r="O269" i="21"/>
  <c r="N269" i="21"/>
  <c r="M269" i="21"/>
  <c r="L269" i="21"/>
  <c r="K269" i="21"/>
  <c r="J269" i="21"/>
  <c r="I269" i="21"/>
  <c r="H269" i="21"/>
  <c r="G269" i="21"/>
  <c r="F269" i="21"/>
  <c r="E269" i="21"/>
  <c r="D269" i="21"/>
  <c r="C269" i="21"/>
  <c r="T268" i="21"/>
  <c r="S268" i="21"/>
  <c r="R268" i="21"/>
  <c r="Q268" i="21"/>
  <c r="P268" i="21"/>
  <c r="O268" i="21"/>
  <c r="N268" i="21"/>
  <c r="M268" i="21"/>
  <c r="L268" i="21"/>
  <c r="K268" i="21"/>
  <c r="J268" i="21"/>
  <c r="I268" i="21"/>
  <c r="H268" i="21"/>
  <c r="G268" i="21"/>
  <c r="F268" i="21"/>
  <c r="E268" i="21"/>
  <c r="D268" i="21"/>
  <c r="C268" i="21"/>
  <c r="T266" i="21"/>
  <c r="S266" i="21"/>
  <c r="R266" i="21"/>
  <c r="Q266" i="21"/>
  <c r="P266" i="21"/>
  <c r="O266" i="21"/>
  <c r="N266" i="21"/>
  <c r="M266" i="21"/>
  <c r="L266" i="21"/>
  <c r="K266" i="21"/>
  <c r="J266" i="21"/>
  <c r="I266" i="21"/>
  <c r="H266" i="21"/>
  <c r="G266" i="21"/>
  <c r="F266" i="21"/>
  <c r="E266" i="21"/>
  <c r="D266" i="21"/>
  <c r="C266" i="21"/>
  <c r="T265" i="21"/>
  <c r="S265" i="21"/>
  <c r="R265" i="21"/>
  <c r="Q265" i="21"/>
  <c r="P265" i="21"/>
  <c r="O265" i="21"/>
  <c r="N265" i="21"/>
  <c r="M265" i="21"/>
  <c r="L265" i="21"/>
  <c r="K265" i="21"/>
  <c r="J265" i="21"/>
  <c r="I265" i="21"/>
  <c r="H265" i="21"/>
  <c r="G265" i="21"/>
  <c r="F265" i="21"/>
  <c r="E265" i="21"/>
  <c r="D265" i="21"/>
  <c r="C265" i="21"/>
  <c r="T264" i="21"/>
  <c r="S264" i="21"/>
  <c r="R264" i="21"/>
  <c r="Q264" i="21"/>
  <c r="P264" i="21"/>
  <c r="O264" i="21"/>
  <c r="N264" i="21"/>
  <c r="M264" i="21"/>
  <c r="L264" i="21"/>
  <c r="K264" i="21"/>
  <c r="J264" i="21"/>
  <c r="I264" i="21"/>
  <c r="H264" i="21"/>
  <c r="G264" i="21"/>
  <c r="F264" i="21"/>
  <c r="E264" i="21"/>
  <c r="D264" i="21"/>
  <c r="C264" i="21"/>
  <c r="T263" i="21"/>
  <c r="S263" i="21"/>
  <c r="R263" i="21"/>
  <c r="Q263" i="21"/>
  <c r="P263" i="21"/>
  <c r="O263" i="21"/>
  <c r="N263" i="21"/>
  <c r="M263" i="21"/>
  <c r="L263" i="21"/>
  <c r="K263" i="21"/>
  <c r="J263" i="21"/>
  <c r="I263" i="21"/>
  <c r="H263" i="21"/>
  <c r="G263" i="21"/>
  <c r="F263" i="21"/>
  <c r="E263" i="21"/>
  <c r="D263" i="21"/>
  <c r="C263" i="21"/>
  <c r="T262" i="21"/>
  <c r="S262" i="21"/>
  <c r="R262" i="21"/>
  <c r="Q262" i="21"/>
  <c r="P262" i="21"/>
  <c r="O262" i="21"/>
  <c r="N262" i="21"/>
  <c r="M262" i="21"/>
  <c r="L262" i="21"/>
  <c r="K262" i="21"/>
  <c r="J262" i="21"/>
  <c r="I262" i="21"/>
  <c r="H262" i="21"/>
  <c r="G262" i="21"/>
  <c r="F262" i="21"/>
  <c r="E262" i="21"/>
  <c r="D262" i="21"/>
  <c r="C262" i="21"/>
  <c r="T260" i="21"/>
  <c r="S260" i="21"/>
  <c r="R260" i="21"/>
  <c r="Q260" i="21"/>
  <c r="P260" i="21"/>
  <c r="O260" i="21"/>
  <c r="N260" i="21"/>
  <c r="M260" i="21"/>
  <c r="L260" i="21"/>
  <c r="K260" i="21"/>
  <c r="J260" i="21"/>
  <c r="I260" i="21"/>
  <c r="H260" i="21"/>
  <c r="G260" i="21"/>
  <c r="F260" i="21"/>
  <c r="E260" i="21"/>
  <c r="D260" i="21"/>
  <c r="C260" i="21"/>
  <c r="T259" i="21"/>
  <c r="S259" i="21"/>
  <c r="R259" i="21"/>
  <c r="Q259" i="21"/>
  <c r="P259" i="21"/>
  <c r="O259" i="21"/>
  <c r="N259" i="21"/>
  <c r="M259" i="21"/>
  <c r="L259" i="21"/>
  <c r="K259" i="21"/>
  <c r="J259" i="21"/>
  <c r="I259" i="21"/>
  <c r="H259" i="21"/>
  <c r="G259" i="21"/>
  <c r="F259" i="21"/>
  <c r="E259" i="21"/>
  <c r="D259" i="21"/>
  <c r="C259" i="21"/>
  <c r="T258" i="21"/>
  <c r="S258" i="21"/>
  <c r="R258" i="21"/>
  <c r="Q258" i="21"/>
  <c r="P258" i="21"/>
  <c r="O258" i="21"/>
  <c r="N258" i="21"/>
  <c r="M258" i="21"/>
  <c r="L258" i="21"/>
  <c r="K258" i="21"/>
  <c r="J258" i="21"/>
  <c r="I258" i="21"/>
  <c r="H258" i="21"/>
  <c r="G258" i="21"/>
  <c r="F258" i="21"/>
  <c r="E258" i="21"/>
  <c r="D258" i="21"/>
  <c r="C258" i="21"/>
  <c r="T257" i="21"/>
  <c r="S257" i="21"/>
  <c r="R257" i="21"/>
  <c r="Q257" i="21"/>
  <c r="P257" i="21"/>
  <c r="O257" i="21"/>
  <c r="N257" i="21"/>
  <c r="M257" i="21"/>
  <c r="L257" i="21"/>
  <c r="K257" i="21"/>
  <c r="J257" i="21"/>
  <c r="I257" i="21"/>
  <c r="H257" i="21"/>
  <c r="G257" i="21"/>
  <c r="F257" i="21"/>
  <c r="E257" i="21"/>
  <c r="D257" i="21"/>
  <c r="C257" i="21"/>
  <c r="T256" i="21"/>
  <c r="S256" i="21"/>
  <c r="R256" i="21"/>
  <c r="Q256" i="21"/>
  <c r="P256" i="21"/>
  <c r="O256" i="21"/>
  <c r="N256" i="21"/>
  <c r="M256" i="21"/>
  <c r="L256" i="21"/>
  <c r="K256" i="21"/>
  <c r="J256" i="21"/>
  <c r="I256" i="21"/>
  <c r="H256" i="21"/>
  <c r="G256" i="21"/>
  <c r="F256" i="21"/>
  <c r="E256" i="21"/>
  <c r="D256" i="21"/>
  <c r="C256" i="21"/>
  <c r="T254" i="21"/>
  <c r="S254" i="21"/>
  <c r="R254" i="21"/>
  <c r="Q254" i="21"/>
  <c r="P254" i="21"/>
  <c r="O254" i="21"/>
  <c r="N254" i="21"/>
  <c r="M254" i="21"/>
  <c r="L254" i="21"/>
  <c r="K254" i="21"/>
  <c r="J254" i="21"/>
  <c r="I254" i="21"/>
  <c r="H254" i="21"/>
  <c r="G254" i="21"/>
  <c r="F254" i="21"/>
  <c r="E254" i="21"/>
  <c r="D254" i="21"/>
  <c r="C254" i="21"/>
  <c r="T253" i="21"/>
  <c r="S253" i="21"/>
  <c r="R253" i="21"/>
  <c r="Q253" i="21"/>
  <c r="P253" i="21"/>
  <c r="O253" i="21"/>
  <c r="N253" i="21"/>
  <c r="M253" i="21"/>
  <c r="L253" i="21"/>
  <c r="K253" i="21"/>
  <c r="J253" i="21"/>
  <c r="I253" i="21"/>
  <c r="H253" i="21"/>
  <c r="G253" i="21"/>
  <c r="F253" i="21"/>
  <c r="E253" i="21"/>
  <c r="D253" i="21"/>
  <c r="C253" i="21"/>
  <c r="T252" i="21"/>
  <c r="S252" i="21"/>
  <c r="R252" i="21"/>
  <c r="Q252" i="21"/>
  <c r="P252" i="21"/>
  <c r="O252" i="21"/>
  <c r="N252" i="21"/>
  <c r="M252" i="21"/>
  <c r="L252" i="21"/>
  <c r="K252" i="21"/>
  <c r="J252" i="21"/>
  <c r="I252" i="21"/>
  <c r="H252" i="21"/>
  <c r="G252" i="21"/>
  <c r="F252" i="21"/>
  <c r="E252" i="21"/>
  <c r="D252" i="21"/>
  <c r="C252" i="21"/>
  <c r="T251" i="21"/>
  <c r="S251" i="21"/>
  <c r="R251" i="21"/>
  <c r="Q251" i="21"/>
  <c r="P251" i="21"/>
  <c r="O251" i="21"/>
  <c r="N251" i="21"/>
  <c r="M251" i="21"/>
  <c r="L251" i="21"/>
  <c r="K251" i="21"/>
  <c r="J251" i="21"/>
  <c r="I251" i="21"/>
  <c r="H251" i="21"/>
  <c r="G251" i="21"/>
  <c r="F251" i="21"/>
  <c r="E251" i="21"/>
  <c r="D251" i="21"/>
  <c r="C251" i="21"/>
  <c r="T250" i="21"/>
  <c r="S250" i="21"/>
  <c r="R250" i="21"/>
  <c r="Q250" i="21"/>
  <c r="P250" i="21"/>
  <c r="O250" i="21"/>
  <c r="N250" i="21"/>
  <c r="M250" i="21"/>
  <c r="L250" i="21"/>
  <c r="K250" i="21"/>
  <c r="J250" i="21"/>
  <c r="I250" i="21"/>
  <c r="H250" i="21"/>
  <c r="G250" i="21"/>
  <c r="F250" i="21"/>
  <c r="E250" i="21"/>
  <c r="D250" i="21"/>
  <c r="C250" i="21"/>
  <c r="T248" i="21"/>
  <c r="S248" i="21"/>
  <c r="R248" i="21"/>
  <c r="Q248" i="21"/>
  <c r="P248" i="21"/>
  <c r="O248" i="21"/>
  <c r="N248" i="21"/>
  <c r="M248" i="21"/>
  <c r="L248" i="21"/>
  <c r="K248" i="21"/>
  <c r="J248" i="21"/>
  <c r="I248" i="21"/>
  <c r="H248" i="21"/>
  <c r="G248" i="21"/>
  <c r="F248" i="21"/>
  <c r="E248" i="21"/>
  <c r="D248" i="21"/>
  <c r="C248" i="21"/>
  <c r="T247" i="21"/>
  <c r="S247" i="21"/>
  <c r="R247" i="21"/>
  <c r="Q247" i="21"/>
  <c r="P247" i="21"/>
  <c r="O247" i="21"/>
  <c r="N247" i="21"/>
  <c r="M247" i="21"/>
  <c r="L247" i="21"/>
  <c r="K247" i="21"/>
  <c r="J247" i="21"/>
  <c r="I247" i="21"/>
  <c r="H247" i="21"/>
  <c r="G247" i="21"/>
  <c r="F247" i="21"/>
  <c r="E247" i="21"/>
  <c r="D247" i="21"/>
  <c r="C247" i="21"/>
  <c r="T246" i="21"/>
  <c r="S246" i="21"/>
  <c r="R246" i="21"/>
  <c r="Q246" i="21"/>
  <c r="P246" i="21"/>
  <c r="O246" i="21"/>
  <c r="N246" i="21"/>
  <c r="M246" i="21"/>
  <c r="L246" i="21"/>
  <c r="K246" i="21"/>
  <c r="J246" i="21"/>
  <c r="I246" i="21"/>
  <c r="H246" i="21"/>
  <c r="G246" i="21"/>
  <c r="F246" i="21"/>
  <c r="E246" i="21"/>
  <c r="D246" i="21"/>
  <c r="C246" i="21"/>
  <c r="T245" i="21"/>
  <c r="S245" i="21"/>
  <c r="R245" i="21"/>
  <c r="Q245" i="21"/>
  <c r="P245" i="21"/>
  <c r="O245" i="21"/>
  <c r="N245" i="21"/>
  <c r="M245" i="21"/>
  <c r="L245" i="21"/>
  <c r="K245" i="21"/>
  <c r="J245" i="21"/>
  <c r="I245" i="21"/>
  <c r="H245" i="21"/>
  <c r="G245" i="21"/>
  <c r="F245" i="21"/>
  <c r="E245" i="21"/>
  <c r="D245" i="21"/>
  <c r="C245" i="21"/>
  <c r="T244" i="21"/>
  <c r="S244" i="21"/>
  <c r="R244" i="21"/>
  <c r="Q244" i="21"/>
  <c r="P244" i="21"/>
  <c r="O244" i="21"/>
  <c r="N244" i="21"/>
  <c r="M244" i="21"/>
  <c r="L244" i="21"/>
  <c r="K244" i="21"/>
  <c r="J244" i="21"/>
  <c r="I244" i="21"/>
  <c r="H244" i="21"/>
  <c r="G244" i="21"/>
  <c r="F244" i="21"/>
  <c r="E244" i="21"/>
  <c r="D244" i="21"/>
  <c r="C244" i="21"/>
  <c r="T242" i="21"/>
  <c r="S242" i="21"/>
  <c r="R242" i="21"/>
  <c r="Q242" i="21"/>
  <c r="P242" i="21"/>
  <c r="O242" i="21"/>
  <c r="N242" i="21"/>
  <c r="M242" i="21"/>
  <c r="L242" i="21"/>
  <c r="K242" i="21"/>
  <c r="J242" i="21"/>
  <c r="I242" i="21"/>
  <c r="H242" i="21"/>
  <c r="G242" i="21"/>
  <c r="F242" i="21"/>
  <c r="E242" i="21"/>
  <c r="D242" i="21"/>
  <c r="C242" i="21"/>
  <c r="T241" i="21"/>
  <c r="S241" i="21"/>
  <c r="R241" i="21"/>
  <c r="Q241" i="21"/>
  <c r="P241" i="21"/>
  <c r="O241" i="21"/>
  <c r="N241" i="21"/>
  <c r="M241" i="21"/>
  <c r="L241" i="21"/>
  <c r="K241" i="21"/>
  <c r="J241" i="21"/>
  <c r="I241" i="21"/>
  <c r="H241" i="21"/>
  <c r="G241" i="21"/>
  <c r="F241" i="21"/>
  <c r="E241" i="21"/>
  <c r="D241" i="21"/>
  <c r="C241" i="21"/>
  <c r="T240" i="21"/>
  <c r="S240" i="21"/>
  <c r="R240" i="21"/>
  <c r="Q240" i="21"/>
  <c r="P240" i="21"/>
  <c r="O240" i="21"/>
  <c r="N240" i="21"/>
  <c r="M240" i="21"/>
  <c r="L240" i="21"/>
  <c r="K240" i="21"/>
  <c r="J240" i="21"/>
  <c r="I240" i="21"/>
  <c r="H240" i="21"/>
  <c r="G240" i="21"/>
  <c r="F240" i="21"/>
  <c r="E240" i="21"/>
  <c r="D240" i="21"/>
  <c r="C240" i="21"/>
  <c r="T239" i="21"/>
  <c r="S239" i="21"/>
  <c r="R239" i="21"/>
  <c r="Q239" i="21"/>
  <c r="P239" i="21"/>
  <c r="O239" i="21"/>
  <c r="N239" i="21"/>
  <c r="M239" i="21"/>
  <c r="L239" i="21"/>
  <c r="K239" i="21"/>
  <c r="J239" i="21"/>
  <c r="I239" i="21"/>
  <c r="H239" i="21"/>
  <c r="G239" i="21"/>
  <c r="F239" i="21"/>
  <c r="E239" i="21"/>
  <c r="D239" i="21"/>
  <c r="C239" i="21"/>
  <c r="T238" i="21"/>
  <c r="S238" i="21"/>
  <c r="R238" i="21"/>
  <c r="Q238" i="21"/>
  <c r="P238" i="21"/>
  <c r="O238" i="21"/>
  <c r="N238" i="21"/>
  <c r="M238" i="21"/>
  <c r="L238" i="21"/>
  <c r="K238" i="21"/>
  <c r="J238" i="21"/>
  <c r="I238" i="21"/>
  <c r="H238" i="21"/>
  <c r="G238" i="21"/>
  <c r="F238" i="21"/>
  <c r="E238" i="21"/>
  <c r="D238" i="21"/>
  <c r="C238" i="21"/>
  <c r="T236" i="21"/>
  <c r="S236" i="21"/>
  <c r="R236" i="21"/>
  <c r="Q236" i="21"/>
  <c r="P236" i="21"/>
  <c r="O236" i="21"/>
  <c r="N236" i="21"/>
  <c r="M236" i="21"/>
  <c r="L236" i="21"/>
  <c r="K236" i="21"/>
  <c r="J236" i="21"/>
  <c r="I236" i="21"/>
  <c r="H236" i="21"/>
  <c r="G236" i="21"/>
  <c r="F236" i="21"/>
  <c r="E236" i="21"/>
  <c r="D236" i="21"/>
  <c r="C236" i="21"/>
  <c r="T235" i="21"/>
  <c r="S235" i="21"/>
  <c r="R235" i="21"/>
  <c r="Q235" i="21"/>
  <c r="P235" i="21"/>
  <c r="O235" i="21"/>
  <c r="N235" i="21"/>
  <c r="M235" i="21"/>
  <c r="L235" i="21"/>
  <c r="K235" i="21"/>
  <c r="J235" i="21"/>
  <c r="I235" i="21"/>
  <c r="H235" i="21"/>
  <c r="G235" i="21"/>
  <c r="F235" i="21"/>
  <c r="E235" i="21"/>
  <c r="D235" i="21"/>
  <c r="C235" i="21"/>
  <c r="T234" i="21"/>
  <c r="S234" i="21"/>
  <c r="R234" i="21"/>
  <c r="Q234" i="21"/>
  <c r="P234" i="21"/>
  <c r="O234" i="21"/>
  <c r="N234" i="21"/>
  <c r="M234" i="21"/>
  <c r="L234" i="21"/>
  <c r="K234" i="21"/>
  <c r="J234" i="21"/>
  <c r="I234" i="21"/>
  <c r="H234" i="21"/>
  <c r="G234" i="21"/>
  <c r="F234" i="21"/>
  <c r="E234" i="21"/>
  <c r="D234" i="21"/>
  <c r="C234" i="21"/>
  <c r="T233" i="21"/>
  <c r="S233" i="21"/>
  <c r="R233" i="21"/>
  <c r="Q233" i="21"/>
  <c r="P233" i="21"/>
  <c r="O233" i="21"/>
  <c r="N233" i="21"/>
  <c r="M233" i="21"/>
  <c r="L233" i="21"/>
  <c r="K233" i="21"/>
  <c r="J233" i="21"/>
  <c r="I233" i="21"/>
  <c r="H233" i="21"/>
  <c r="G233" i="21"/>
  <c r="F233" i="21"/>
  <c r="E233" i="21"/>
  <c r="D233" i="21"/>
  <c r="C233" i="21"/>
  <c r="T232" i="21"/>
  <c r="S232" i="21"/>
  <c r="R232" i="21"/>
  <c r="Q232" i="21"/>
  <c r="P232" i="21"/>
  <c r="O232" i="21"/>
  <c r="N232" i="21"/>
  <c r="M232" i="21"/>
  <c r="L232" i="21"/>
  <c r="K232" i="21"/>
  <c r="J232" i="21"/>
  <c r="I232" i="21"/>
  <c r="H232" i="21"/>
  <c r="G232" i="21"/>
  <c r="F232" i="21"/>
  <c r="E232" i="21"/>
  <c r="D232" i="21"/>
  <c r="C232" i="21"/>
  <c r="T230" i="21"/>
  <c r="S230" i="21"/>
  <c r="R230" i="21"/>
  <c r="Q230" i="21"/>
  <c r="P230" i="21"/>
  <c r="O230" i="21"/>
  <c r="N230" i="21"/>
  <c r="M230" i="21"/>
  <c r="L230" i="21"/>
  <c r="K230" i="21"/>
  <c r="J230" i="21"/>
  <c r="I230" i="21"/>
  <c r="H230" i="21"/>
  <c r="G230" i="21"/>
  <c r="F230" i="21"/>
  <c r="E230" i="21"/>
  <c r="D230" i="21"/>
  <c r="C230" i="21"/>
  <c r="T229" i="21"/>
  <c r="S229" i="21"/>
  <c r="R229" i="21"/>
  <c r="Q229" i="21"/>
  <c r="P229" i="21"/>
  <c r="O229" i="21"/>
  <c r="N229" i="21"/>
  <c r="M229" i="21"/>
  <c r="L229" i="21"/>
  <c r="K229" i="21"/>
  <c r="J229" i="21"/>
  <c r="I229" i="21"/>
  <c r="H229" i="21"/>
  <c r="G229" i="21"/>
  <c r="F229" i="21"/>
  <c r="E229" i="21"/>
  <c r="D229" i="21"/>
  <c r="C229" i="21"/>
  <c r="T228" i="21"/>
  <c r="S228" i="21"/>
  <c r="R228" i="21"/>
  <c r="Q228" i="21"/>
  <c r="P228" i="21"/>
  <c r="O228" i="21"/>
  <c r="N228" i="21"/>
  <c r="M228" i="21"/>
  <c r="L228" i="21"/>
  <c r="K228" i="21"/>
  <c r="J228" i="21"/>
  <c r="I228" i="21"/>
  <c r="H228" i="21"/>
  <c r="G228" i="21"/>
  <c r="F228" i="21"/>
  <c r="E228" i="21"/>
  <c r="D228" i="21"/>
  <c r="C228" i="21"/>
  <c r="T227" i="21"/>
  <c r="S227" i="21"/>
  <c r="R227" i="21"/>
  <c r="Q227" i="21"/>
  <c r="P227" i="21"/>
  <c r="O227" i="21"/>
  <c r="N227" i="21"/>
  <c r="M227" i="21"/>
  <c r="L227" i="21"/>
  <c r="K227" i="21"/>
  <c r="J227" i="21"/>
  <c r="I227" i="21"/>
  <c r="H227" i="21"/>
  <c r="G227" i="21"/>
  <c r="F227" i="21"/>
  <c r="E227" i="21"/>
  <c r="D227" i="21"/>
  <c r="C227" i="21"/>
  <c r="T226" i="21"/>
  <c r="S226" i="21"/>
  <c r="R226" i="21"/>
  <c r="Q226" i="21"/>
  <c r="P226" i="21"/>
  <c r="O226" i="21"/>
  <c r="N226" i="21"/>
  <c r="M226" i="21"/>
  <c r="L226" i="21"/>
  <c r="K226" i="21"/>
  <c r="J226" i="21"/>
  <c r="I226" i="21"/>
  <c r="H226" i="21"/>
  <c r="G226" i="21"/>
  <c r="F226" i="21"/>
  <c r="E226" i="21"/>
  <c r="D226" i="21"/>
  <c r="C226" i="21"/>
  <c r="T224" i="21"/>
  <c r="S224" i="21"/>
  <c r="R224" i="21"/>
  <c r="Q224" i="21"/>
  <c r="P224" i="21"/>
  <c r="O224" i="21"/>
  <c r="N224" i="21"/>
  <c r="M224" i="21"/>
  <c r="L224" i="21"/>
  <c r="K224" i="21"/>
  <c r="J224" i="21"/>
  <c r="I224" i="21"/>
  <c r="H224" i="21"/>
  <c r="G224" i="21"/>
  <c r="F224" i="21"/>
  <c r="E224" i="21"/>
  <c r="D224" i="21"/>
  <c r="C224" i="21"/>
  <c r="T223" i="21"/>
  <c r="S223" i="21"/>
  <c r="R223" i="21"/>
  <c r="Q223" i="21"/>
  <c r="P223" i="21"/>
  <c r="O223" i="21"/>
  <c r="N223" i="21"/>
  <c r="M223" i="21"/>
  <c r="L223" i="21"/>
  <c r="K223" i="21"/>
  <c r="J223" i="21"/>
  <c r="I223" i="21"/>
  <c r="H223" i="21"/>
  <c r="G223" i="21"/>
  <c r="F223" i="21"/>
  <c r="E223" i="21"/>
  <c r="D223" i="21"/>
  <c r="C223" i="21"/>
  <c r="T222" i="21"/>
  <c r="S222" i="21"/>
  <c r="R222" i="21"/>
  <c r="Q222" i="21"/>
  <c r="P222" i="21"/>
  <c r="O222" i="21"/>
  <c r="N222" i="21"/>
  <c r="M222" i="21"/>
  <c r="L222" i="21"/>
  <c r="K222" i="21"/>
  <c r="J222" i="21"/>
  <c r="I222" i="21"/>
  <c r="H222" i="21"/>
  <c r="G222" i="21"/>
  <c r="F222" i="21"/>
  <c r="E222" i="21"/>
  <c r="D222" i="21"/>
  <c r="C222" i="21"/>
  <c r="T221" i="21"/>
  <c r="S221" i="21"/>
  <c r="R221" i="21"/>
  <c r="Q221" i="21"/>
  <c r="P221" i="21"/>
  <c r="O221" i="21"/>
  <c r="N221" i="21"/>
  <c r="M221" i="21"/>
  <c r="L221" i="21"/>
  <c r="K221" i="21"/>
  <c r="J221" i="21"/>
  <c r="I221" i="21"/>
  <c r="H221" i="21"/>
  <c r="G221" i="21"/>
  <c r="F221" i="21"/>
  <c r="E221" i="21"/>
  <c r="D221" i="21"/>
  <c r="C221" i="21"/>
  <c r="T220" i="21"/>
  <c r="S220" i="21"/>
  <c r="R220" i="21"/>
  <c r="Q220" i="21"/>
  <c r="P220" i="21"/>
  <c r="O220" i="21"/>
  <c r="N220" i="21"/>
  <c r="M220" i="21"/>
  <c r="L220" i="21"/>
  <c r="K220" i="21"/>
  <c r="J220" i="21"/>
  <c r="I220" i="21"/>
  <c r="H220" i="21"/>
  <c r="G220" i="21"/>
  <c r="F220" i="21"/>
  <c r="E220" i="21"/>
  <c r="D220" i="21"/>
  <c r="C220" i="21"/>
  <c r="T218" i="21"/>
  <c r="S218" i="21"/>
  <c r="R218" i="21"/>
  <c r="Q218" i="21"/>
  <c r="P218" i="21"/>
  <c r="O218" i="21"/>
  <c r="N218" i="21"/>
  <c r="M218" i="21"/>
  <c r="L218" i="21"/>
  <c r="K218" i="21"/>
  <c r="J218" i="21"/>
  <c r="I218" i="21"/>
  <c r="H218" i="21"/>
  <c r="G218" i="21"/>
  <c r="F218" i="21"/>
  <c r="E218" i="21"/>
  <c r="D218" i="21"/>
  <c r="C218" i="21"/>
  <c r="T217" i="21"/>
  <c r="S217" i="21"/>
  <c r="R217" i="21"/>
  <c r="Q217" i="21"/>
  <c r="P217" i="21"/>
  <c r="O217" i="21"/>
  <c r="N217" i="21"/>
  <c r="M217" i="21"/>
  <c r="L217" i="21"/>
  <c r="K217" i="21"/>
  <c r="J217" i="21"/>
  <c r="I217" i="21"/>
  <c r="H217" i="21"/>
  <c r="G217" i="21"/>
  <c r="F217" i="21"/>
  <c r="E217" i="21"/>
  <c r="D217" i="21"/>
  <c r="C217" i="21"/>
  <c r="T216" i="21"/>
  <c r="S216" i="21"/>
  <c r="R216" i="21"/>
  <c r="Q216" i="21"/>
  <c r="P216" i="21"/>
  <c r="O216" i="21"/>
  <c r="N216" i="21"/>
  <c r="M216" i="21"/>
  <c r="L216" i="21"/>
  <c r="K216" i="21"/>
  <c r="J216" i="21"/>
  <c r="I216" i="21"/>
  <c r="H216" i="21"/>
  <c r="G216" i="21"/>
  <c r="F216" i="21"/>
  <c r="E216" i="21"/>
  <c r="D216" i="21"/>
  <c r="C216" i="21"/>
  <c r="T215" i="21"/>
  <c r="S215" i="21"/>
  <c r="R215" i="21"/>
  <c r="Q215" i="21"/>
  <c r="P215" i="21"/>
  <c r="O215" i="21"/>
  <c r="N215" i="21"/>
  <c r="M215" i="21"/>
  <c r="L215" i="21"/>
  <c r="K215" i="21"/>
  <c r="J215" i="21"/>
  <c r="I215" i="21"/>
  <c r="H215" i="21"/>
  <c r="G215" i="21"/>
  <c r="F215" i="21"/>
  <c r="E215" i="21"/>
  <c r="D215" i="21"/>
  <c r="C215" i="21"/>
  <c r="T214" i="21"/>
  <c r="S214" i="21"/>
  <c r="R214" i="21"/>
  <c r="Q214" i="21"/>
  <c r="P214" i="21"/>
  <c r="O214" i="21"/>
  <c r="N214" i="21"/>
  <c r="M214" i="21"/>
  <c r="L214" i="21"/>
  <c r="K214" i="21"/>
  <c r="J214" i="21"/>
  <c r="I214" i="21"/>
  <c r="H214" i="21"/>
  <c r="G214" i="21"/>
  <c r="F214" i="21"/>
  <c r="E214" i="21"/>
  <c r="D214" i="21"/>
  <c r="C214" i="21"/>
  <c r="T212" i="21"/>
  <c r="S212" i="21"/>
  <c r="R212" i="21"/>
  <c r="Q212" i="21"/>
  <c r="P212" i="21"/>
  <c r="O212" i="21"/>
  <c r="N212" i="21"/>
  <c r="M212" i="21"/>
  <c r="L212" i="21"/>
  <c r="K212" i="21"/>
  <c r="J212" i="21"/>
  <c r="I212" i="21"/>
  <c r="H212" i="21"/>
  <c r="G212" i="21"/>
  <c r="F212" i="21"/>
  <c r="E212" i="21"/>
  <c r="D212" i="21"/>
  <c r="C212" i="21"/>
  <c r="T211" i="21"/>
  <c r="S211" i="21"/>
  <c r="R211" i="21"/>
  <c r="Q211" i="21"/>
  <c r="P211" i="21"/>
  <c r="O211" i="21"/>
  <c r="N211" i="21"/>
  <c r="M211" i="21"/>
  <c r="L211" i="21"/>
  <c r="K211" i="21"/>
  <c r="J211" i="21"/>
  <c r="I211" i="21"/>
  <c r="H211" i="21"/>
  <c r="G211" i="21"/>
  <c r="F211" i="21"/>
  <c r="E211" i="21"/>
  <c r="D211" i="21"/>
  <c r="C211" i="21"/>
  <c r="T210" i="21"/>
  <c r="S210" i="21"/>
  <c r="R210" i="21"/>
  <c r="Q210" i="21"/>
  <c r="P210" i="21"/>
  <c r="O210" i="21"/>
  <c r="N210" i="21"/>
  <c r="M210" i="21"/>
  <c r="L210" i="21"/>
  <c r="K210" i="21"/>
  <c r="J210" i="21"/>
  <c r="I210" i="21"/>
  <c r="H210" i="21"/>
  <c r="G210" i="21"/>
  <c r="F210" i="21"/>
  <c r="E210" i="21"/>
  <c r="D210" i="21"/>
  <c r="C210" i="21"/>
  <c r="T209" i="21"/>
  <c r="S209" i="21"/>
  <c r="R209" i="21"/>
  <c r="Q209" i="21"/>
  <c r="P209" i="21"/>
  <c r="O209" i="21"/>
  <c r="N209" i="21"/>
  <c r="M209" i="21"/>
  <c r="L209" i="21"/>
  <c r="K209" i="21"/>
  <c r="J209" i="21"/>
  <c r="I209" i="21"/>
  <c r="H209" i="21"/>
  <c r="G209" i="21"/>
  <c r="F209" i="21"/>
  <c r="E209" i="21"/>
  <c r="D209" i="21"/>
  <c r="C209" i="21"/>
  <c r="T208" i="21"/>
  <c r="S208" i="21"/>
  <c r="R208" i="21"/>
  <c r="Q208" i="21"/>
  <c r="P208" i="21"/>
  <c r="O208" i="21"/>
  <c r="N208" i="21"/>
  <c r="M208" i="21"/>
  <c r="L208" i="21"/>
  <c r="K208" i="21"/>
  <c r="J208" i="21"/>
  <c r="I208" i="21"/>
  <c r="H208" i="21"/>
  <c r="G208" i="21"/>
  <c r="F208" i="21"/>
  <c r="E208" i="21"/>
  <c r="D208" i="21"/>
  <c r="C208" i="21"/>
  <c r="AM207" i="21"/>
  <c r="AL207" i="21"/>
  <c r="AK207" i="21"/>
  <c r="AJ207" i="21"/>
  <c r="AI207" i="21"/>
  <c r="AH207" i="21"/>
  <c r="AG207" i="21"/>
  <c r="AF207" i="21"/>
  <c r="AE207" i="21"/>
  <c r="AD207" i="21"/>
  <c r="AC207" i="21"/>
  <c r="AB207" i="21"/>
  <c r="AA207" i="21"/>
  <c r="Z207" i="21"/>
  <c r="Y207" i="21"/>
  <c r="X207" i="21"/>
  <c r="W207" i="21"/>
  <c r="V207" i="21"/>
  <c r="F283" i="21" l="1"/>
  <c r="J284" i="21"/>
  <c r="I284" i="21" s="1"/>
  <c r="H291" i="21"/>
  <c r="P291" i="21"/>
  <c r="F291" i="21"/>
  <c r="N291" i="21"/>
  <c r="T291" i="21"/>
  <c r="T303" i="21"/>
  <c r="H315" i="21"/>
  <c r="P315" i="21"/>
  <c r="F315" i="21"/>
  <c r="N315" i="21"/>
  <c r="T315" i="21"/>
  <c r="F280" i="21"/>
  <c r="G283" i="21"/>
  <c r="G280" i="21"/>
  <c r="H283" i="21"/>
  <c r="P283" i="21"/>
  <c r="E282" i="21"/>
  <c r="G284" i="21"/>
  <c r="S315" i="21"/>
  <c r="S339" i="21"/>
  <c r="M122" i="16"/>
  <c r="D142" i="20"/>
  <c r="C142" i="20" s="1"/>
  <c r="R281" i="21"/>
  <c r="T280" i="21"/>
  <c r="S280" i="21" s="1"/>
  <c r="R280" i="21" s="1"/>
  <c r="D282" i="21"/>
  <c r="H284" i="21"/>
  <c r="P284" i="21"/>
  <c r="S319" i="20"/>
  <c r="Q241" i="18"/>
  <c r="Q242" i="18"/>
  <c r="Q237" i="18"/>
  <c r="AI236" i="18"/>
  <c r="Q238" i="18"/>
  <c r="Q240" i="18"/>
  <c r="Q239" i="18"/>
  <c r="D280" i="21"/>
  <c r="R327" i="21"/>
  <c r="R339" i="21"/>
  <c r="G319" i="20"/>
  <c r="N319" i="20"/>
  <c r="M319" i="20" s="1"/>
  <c r="G282" i="21"/>
  <c r="E283" i="21"/>
  <c r="T284" i="21"/>
  <c r="S284" i="21" s="1"/>
  <c r="R284" i="21" s="1"/>
  <c r="G291" i="21"/>
  <c r="O291" i="21"/>
  <c r="E291" i="21"/>
  <c r="M291" i="21"/>
  <c r="S291" i="21"/>
  <c r="S303" i="21"/>
  <c r="Q303" i="21"/>
  <c r="G315" i="21"/>
  <c r="O315" i="21"/>
  <c r="E315" i="21"/>
  <c r="M315" i="21"/>
  <c r="S327" i="21"/>
  <c r="Q327" i="21"/>
  <c r="G339" i="21"/>
  <c r="O339" i="21"/>
  <c r="E339" i="21"/>
  <c r="M339" i="21"/>
  <c r="C14" i="20"/>
  <c r="L14" i="20"/>
  <c r="T14" i="20"/>
  <c r="N339" i="21"/>
  <c r="K14" i="20"/>
  <c r="H14" i="20"/>
  <c r="G14" i="20"/>
  <c r="L241" i="20"/>
  <c r="K241" i="20" s="1"/>
  <c r="J284" i="16"/>
  <c r="I284" i="16" s="1"/>
  <c r="O157" i="20"/>
  <c r="D283" i="21"/>
  <c r="P282" i="21"/>
  <c r="R291" i="21"/>
  <c r="R303" i="21"/>
  <c r="R315" i="21"/>
  <c r="S321" i="21"/>
  <c r="R345" i="21"/>
  <c r="H345" i="21"/>
  <c r="P345" i="21"/>
  <c r="T241" i="20"/>
  <c r="S241" i="20" s="1"/>
  <c r="R241" i="20" s="1"/>
  <c r="L122" i="16"/>
  <c r="K122" i="16" s="1"/>
  <c r="J122" i="16" s="1"/>
  <c r="I122" i="16" s="1"/>
  <c r="H122" i="16" s="1"/>
  <c r="F122" i="16"/>
  <c r="E122" i="16" s="1"/>
  <c r="D122" i="16" s="1"/>
  <c r="C122" i="16" s="1"/>
  <c r="J14" i="20"/>
  <c r="T327" i="21"/>
  <c r="H339" i="21"/>
  <c r="T339" i="21"/>
  <c r="E241" i="20"/>
  <c r="G157" i="20"/>
  <c r="E281" i="21"/>
  <c r="Q297" i="21"/>
  <c r="G297" i="21"/>
  <c r="O297" i="21"/>
  <c r="E309" i="21"/>
  <c r="M309" i="21"/>
  <c r="S309" i="21"/>
  <c r="Q309" i="21"/>
  <c r="T321" i="21"/>
  <c r="T333" i="21"/>
  <c r="E14" i="20"/>
  <c r="C319" i="20"/>
  <c r="I157" i="20"/>
  <c r="H157" i="20" s="1"/>
  <c r="E150" i="20"/>
  <c r="H134" i="20"/>
  <c r="G134" i="20" s="1"/>
  <c r="F134" i="20" s="1"/>
  <c r="E134" i="20" s="1"/>
  <c r="C282" i="21"/>
  <c r="F339" i="21"/>
  <c r="T309" i="21"/>
  <c r="D62" i="20"/>
  <c r="C62" i="20" s="1"/>
  <c r="J213" i="21"/>
  <c r="R213" i="21"/>
  <c r="H219" i="21"/>
  <c r="P219" i="21"/>
  <c r="D231" i="21"/>
  <c r="L231" i="21"/>
  <c r="T231" i="21"/>
  <c r="J231" i="21"/>
  <c r="R231" i="21"/>
  <c r="J237" i="21"/>
  <c r="R237" i="21"/>
  <c r="H243" i="21"/>
  <c r="P243" i="21"/>
  <c r="D255" i="21"/>
  <c r="L255" i="21"/>
  <c r="T255" i="21"/>
  <c r="J255" i="21"/>
  <c r="R255" i="21"/>
  <c r="J261" i="21"/>
  <c r="R261" i="21"/>
  <c r="H267" i="21"/>
  <c r="P267" i="21"/>
  <c r="D279" i="21"/>
  <c r="L279" i="21"/>
  <c r="T279" i="21"/>
  <c r="J279" i="21"/>
  <c r="R279" i="21"/>
  <c r="R297" i="21"/>
  <c r="H297" i="21"/>
  <c r="P297" i="21"/>
  <c r="F309" i="21"/>
  <c r="N309" i="21"/>
  <c r="R309" i="21"/>
  <c r="Q321" i="21"/>
  <c r="G321" i="21"/>
  <c r="O321" i="21"/>
  <c r="E333" i="21"/>
  <c r="M333" i="21"/>
  <c r="S333" i="21"/>
  <c r="Q333" i="21"/>
  <c r="T345" i="21"/>
  <c r="T319" i="20"/>
  <c r="P339" i="21"/>
  <c r="P241" i="20"/>
  <c r="O241" i="20" s="1"/>
  <c r="T297" i="21"/>
  <c r="C213" i="21"/>
  <c r="K213" i="21"/>
  <c r="S213" i="21"/>
  <c r="I213" i="21"/>
  <c r="Q213" i="21"/>
  <c r="G225" i="21"/>
  <c r="O225" i="21"/>
  <c r="E225" i="21"/>
  <c r="M225" i="21"/>
  <c r="C237" i="21"/>
  <c r="K237" i="21"/>
  <c r="S237" i="21"/>
  <c r="I237" i="21"/>
  <c r="Q237" i="21"/>
  <c r="G249" i="21"/>
  <c r="O249" i="21"/>
  <c r="E249" i="21"/>
  <c r="M249" i="21"/>
  <c r="C261" i="21"/>
  <c r="K261" i="21"/>
  <c r="S261" i="21"/>
  <c r="I261" i="21"/>
  <c r="Q261" i="21"/>
  <c r="G273" i="21"/>
  <c r="O273" i="21"/>
  <c r="E273" i="21"/>
  <c r="M273" i="21"/>
  <c r="C280" i="21"/>
  <c r="D281" i="21"/>
  <c r="C281" i="21" s="1"/>
  <c r="S297" i="21"/>
  <c r="R321" i="21"/>
  <c r="H321" i="21"/>
  <c r="P321" i="21"/>
  <c r="F333" i="21"/>
  <c r="N333" i="21"/>
  <c r="R333" i="21"/>
  <c r="Q345" i="21"/>
  <c r="G345" i="21"/>
  <c r="O345" i="21"/>
  <c r="L319" i="20"/>
  <c r="Q319" i="20"/>
  <c r="H22" i="20"/>
  <c r="G22" i="20" s="1"/>
  <c r="R237" i="18"/>
  <c r="R241" i="18"/>
  <c r="R242" i="18"/>
  <c r="R240" i="18"/>
  <c r="AJ236" i="18"/>
  <c r="R239" i="18"/>
  <c r="R238" i="18"/>
  <c r="S232" i="18"/>
  <c r="S234" i="18"/>
  <c r="S236" i="18"/>
  <c r="AK230" i="18"/>
  <c r="S233" i="18"/>
  <c r="S231" i="18"/>
  <c r="S235" i="18"/>
  <c r="AH230" i="18"/>
  <c r="P231" i="18"/>
  <c r="P233" i="18"/>
  <c r="P235" i="18"/>
  <c r="P232" i="18"/>
  <c r="P234" i="18"/>
  <c r="P236" i="18"/>
  <c r="Q291" i="21"/>
  <c r="K319" i="20"/>
  <c r="S345" i="21"/>
  <c r="Q315" i="21"/>
  <c r="O319" i="20"/>
  <c r="Q339" i="21"/>
  <c r="G35" i="20"/>
  <c r="H38" i="20"/>
  <c r="T213" i="21"/>
  <c r="F225" i="21"/>
  <c r="F231" i="21"/>
  <c r="L237" i="21"/>
  <c r="N249" i="21"/>
  <c r="D261" i="21"/>
  <c r="H273" i="21"/>
  <c r="F273" i="21"/>
  <c r="N273" i="21"/>
  <c r="F279" i="21"/>
  <c r="N279" i="21"/>
  <c r="K285" i="21"/>
  <c r="I291" i="21"/>
  <c r="C297" i="21"/>
  <c r="K297" i="21"/>
  <c r="I297" i="21"/>
  <c r="C303" i="21"/>
  <c r="K303" i="21"/>
  <c r="I315" i="21"/>
  <c r="C321" i="21"/>
  <c r="K321" i="21"/>
  <c r="I321" i="21"/>
  <c r="C327" i="21"/>
  <c r="K327" i="21"/>
  <c r="I339" i="21"/>
  <c r="C345" i="21"/>
  <c r="K345" i="21"/>
  <c r="I345" i="21"/>
  <c r="N14" i="20"/>
  <c r="M14" i="20" s="1"/>
  <c r="S152" i="20"/>
  <c r="S157" i="20" s="1"/>
  <c r="T157" i="20"/>
  <c r="G236" i="20"/>
  <c r="H241" i="20"/>
  <c r="D241" i="20"/>
  <c r="C219" i="21"/>
  <c r="K219" i="21"/>
  <c r="S219" i="21"/>
  <c r="I219" i="21"/>
  <c r="Q219" i="21"/>
  <c r="G231" i="21"/>
  <c r="O231" i="21"/>
  <c r="E231" i="21"/>
  <c r="M231" i="21"/>
  <c r="C243" i="21"/>
  <c r="K243" i="21"/>
  <c r="S243" i="21"/>
  <c r="I243" i="21"/>
  <c r="Q243" i="21"/>
  <c r="G255" i="21"/>
  <c r="O255" i="21"/>
  <c r="E255" i="21"/>
  <c r="M255" i="21"/>
  <c r="C267" i="21"/>
  <c r="K267" i="21"/>
  <c r="S267" i="21"/>
  <c r="I267" i="21"/>
  <c r="Q267" i="21"/>
  <c r="G279" i="21"/>
  <c r="O279" i="21"/>
  <c r="E279" i="21"/>
  <c r="M279" i="21"/>
  <c r="J281" i="21"/>
  <c r="I281" i="21" s="1"/>
  <c r="H282" i="21"/>
  <c r="J291" i="21"/>
  <c r="D297" i="21"/>
  <c r="L297" i="21"/>
  <c r="J297" i="21"/>
  <c r="D303" i="21"/>
  <c r="L303" i="21"/>
  <c r="J315" i="21"/>
  <c r="D321" i="21"/>
  <c r="L321" i="21"/>
  <c r="J321" i="21"/>
  <c r="D327" i="21"/>
  <c r="L327" i="21"/>
  <c r="J339" i="21"/>
  <c r="D345" i="21"/>
  <c r="L345" i="21"/>
  <c r="J345" i="21"/>
  <c r="N122" i="16"/>
  <c r="C126" i="20"/>
  <c r="I206" i="16"/>
  <c r="H206" i="16" s="1"/>
  <c r="G206" i="16" s="1"/>
  <c r="F206" i="16" s="1"/>
  <c r="E206" i="16" s="1"/>
  <c r="D206" i="16" s="1"/>
  <c r="C206" i="16" s="1"/>
  <c r="E102" i="20"/>
  <c r="D102" i="20" s="1"/>
  <c r="R319" i="20"/>
  <c r="L213" i="21"/>
  <c r="H225" i="21"/>
  <c r="H249" i="21"/>
  <c r="N255" i="21"/>
  <c r="T261" i="21"/>
  <c r="P273" i="21"/>
  <c r="D219" i="21"/>
  <c r="T219" i="21"/>
  <c r="R225" i="21"/>
  <c r="H231" i="21"/>
  <c r="D243" i="21"/>
  <c r="J243" i="21"/>
  <c r="P255" i="21"/>
  <c r="L267" i="21"/>
  <c r="R267" i="21"/>
  <c r="H279" i="21"/>
  <c r="Q284" i="21"/>
  <c r="E297" i="21"/>
  <c r="O303" i="21"/>
  <c r="G309" i="21"/>
  <c r="E321" i="21"/>
  <c r="O327" i="21"/>
  <c r="G333" i="21"/>
  <c r="M345" i="21"/>
  <c r="P14" i="20"/>
  <c r="O14" i="20" s="1"/>
  <c r="J157" i="20"/>
  <c r="G213" i="21"/>
  <c r="E213" i="21"/>
  <c r="C225" i="21"/>
  <c r="S225" i="21"/>
  <c r="Q225" i="21"/>
  <c r="G237" i="21"/>
  <c r="E237" i="21"/>
  <c r="C249" i="21"/>
  <c r="S249" i="21"/>
  <c r="Q249" i="21"/>
  <c r="G261" i="21"/>
  <c r="O261" i="21"/>
  <c r="E261" i="21"/>
  <c r="M261" i="21"/>
  <c r="C273" i="21"/>
  <c r="K273" i="21"/>
  <c r="S273" i="21"/>
  <c r="I273" i="21"/>
  <c r="Q273" i="21"/>
  <c r="F297" i="21"/>
  <c r="N297" i="21"/>
  <c r="H303" i="21"/>
  <c r="P303" i="21"/>
  <c r="F303" i="21"/>
  <c r="N303" i="21"/>
  <c r="H309" i="21"/>
  <c r="P309" i="21"/>
  <c r="F321" i="21"/>
  <c r="N321" i="21"/>
  <c r="H327" i="21"/>
  <c r="P327" i="21"/>
  <c r="F327" i="21"/>
  <c r="N327" i="21"/>
  <c r="H333" i="21"/>
  <c r="P333" i="21"/>
  <c r="F345" i="21"/>
  <c r="N345" i="21"/>
  <c r="Q14" i="20"/>
  <c r="S282" i="16"/>
  <c r="R282" i="16" s="1"/>
  <c r="Q282" i="16" s="1"/>
  <c r="Q284" i="16" s="1"/>
  <c r="T284" i="16"/>
  <c r="I314" i="20"/>
  <c r="J319" i="20"/>
  <c r="I319" i="20" s="1"/>
  <c r="D54" i="20"/>
  <c r="E152" i="20"/>
  <c r="F157" i="20"/>
  <c r="P152" i="20"/>
  <c r="P157" i="20" s="1"/>
  <c r="Q157" i="20"/>
  <c r="M152" i="20"/>
  <c r="N157" i="20"/>
  <c r="J19" i="20"/>
  <c r="K22" i="20"/>
  <c r="O284" i="21"/>
  <c r="O285" i="21" s="1"/>
  <c r="D213" i="21"/>
  <c r="N225" i="21"/>
  <c r="N231" i="21"/>
  <c r="D237" i="21"/>
  <c r="P249" i="21"/>
  <c r="F255" i="21"/>
  <c r="L261" i="21"/>
  <c r="J219" i="21"/>
  <c r="P231" i="21"/>
  <c r="T243" i="21"/>
  <c r="R249" i="21"/>
  <c r="H255" i="21"/>
  <c r="T267" i="21"/>
  <c r="R273" i="21"/>
  <c r="Q280" i="21"/>
  <c r="M297" i="21"/>
  <c r="E303" i="21"/>
  <c r="O309" i="21"/>
  <c r="M321" i="21"/>
  <c r="E327" i="21"/>
  <c r="O333" i="21"/>
  <c r="E345" i="21"/>
  <c r="O213" i="21"/>
  <c r="M213" i="21"/>
  <c r="K225" i="21"/>
  <c r="I225" i="21"/>
  <c r="O237" i="21"/>
  <c r="M237" i="21"/>
  <c r="K249" i="21"/>
  <c r="I249" i="21"/>
  <c r="H213" i="21"/>
  <c r="P213" i="21"/>
  <c r="F213" i="21"/>
  <c r="N213" i="21"/>
  <c r="F219" i="21"/>
  <c r="N219" i="21"/>
  <c r="D225" i="21"/>
  <c r="L225" i="21"/>
  <c r="T225" i="21"/>
  <c r="H237" i="21"/>
  <c r="P237" i="21"/>
  <c r="F237" i="21"/>
  <c r="N237" i="21"/>
  <c r="F243" i="21"/>
  <c r="N243" i="21"/>
  <c r="D249" i="21"/>
  <c r="L249" i="21"/>
  <c r="T249" i="21"/>
  <c r="H261" i="21"/>
  <c r="P261" i="21"/>
  <c r="F261" i="21"/>
  <c r="N261" i="21"/>
  <c r="F267" i="21"/>
  <c r="N267" i="21"/>
  <c r="D273" i="21"/>
  <c r="L273" i="21"/>
  <c r="T273" i="21"/>
  <c r="E280" i="21"/>
  <c r="T282" i="21"/>
  <c r="J282" i="21"/>
  <c r="I282" i="21" s="1"/>
  <c r="J283" i="21"/>
  <c r="I283" i="21" s="1"/>
  <c r="E284" i="21"/>
  <c r="C291" i="21"/>
  <c r="K291" i="21"/>
  <c r="I303" i="21"/>
  <c r="C309" i="21"/>
  <c r="K309" i="21"/>
  <c r="I309" i="21"/>
  <c r="C315" i="21"/>
  <c r="K315" i="21"/>
  <c r="I327" i="21"/>
  <c r="C333" i="21"/>
  <c r="K333" i="21"/>
  <c r="I333" i="21"/>
  <c r="C339" i="21"/>
  <c r="K339" i="21"/>
  <c r="R14" i="20"/>
  <c r="G279" i="16"/>
  <c r="H284" i="16"/>
  <c r="T206" i="16"/>
  <c r="S206" i="16" s="1"/>
  <c r="R206" i="16" s="1"/>
  <c r="Q206" i="16" s="1"/>
  <c r="P206" i="16" s="1"/>
  <c r="O206" i="16" s="1"/>
  <c r="N206" i="16" s="1"/>
  <c r="M206" i="16" s="1"/>
  <c r="L206" i="16" s="1"/>
  <c r="K206" i="16" s="1"/>
  <c r="P319" i="20"/>
  <c r="O279" i="16"/>
  <c r="P284" i="16"/>
  <c r="R157" i="20"/>
  <c r="D94" i="20"/>
  <c r="C94" i="20" s="1"/>
  <c r="N241" i="20"/>
  <c r="M241" i="20" s="1"/>
  <c r="P225" i="21"/>
  <c r="T237" i="21"/>
  <c r="F249" i="21"/>
  <c r="L219" i="21"/>
  <c r="R219" i="21"/>
  <c r="J225" i="21"/>
  <c r="L243" i="21"/>
  <c r="R243" i="21"/>
  <c r="J249" i="21"/>
  <c r="D267" i="21"/>
  <c r="J267" i="21"/>
  <c r="J273" i="21"/>
  <c r="P279" i="21"/>
  <c r="Q281" i="21"/>
  <c r="G303" i="21"/>
  <c r="M303" i="21"/>
  <c r="G327" i="21"/>
  <c r="M327" i="21"/>
  <c r="G219" i="21"/>
  <c r="O219" i="21"/>
  <c r="E219" i="21"/>
  <c r="M219" i="21"/>
  <c r="C231" i="21"/>
  <c r="K231" i="21"/>
  <c r="S231" i="21"/>
  <c r="I231" i="21"/>
  <c r="Q231" i="21"/>
  <c r="G243" i="21"/>
  <c r="O243" i="21"/>
  <c r="E243" i="21"/>
  <c r="M243" i="21"/>
  <c r="C255" i="21"/>
  <c r="K255" i="21"/>
  <c r="S255" i="21"/>
  <c r="I255" i="21"/>
  <c r="Q255" i="21"/>
  <c r="G267" i="21"/>
  <c r="O267" i="21"/>
  <c r="E267" i="21"/>
  <c r="M267" i="21"/>
  <c r="C279" i="21"/>
  <c r="K279" i="21"/>
  <c r="S279" i="21"/>
  <c r="I279" i="21"/>
  <c r="Q279" i="21"/>
  <c r="N285" i="21"/>
  <c r="T283" i="21"/>
  <c r="S283" i="21" s="1"/>
  <c r="R283" i="21" s="1"/>
  <c r="Q283" i="21" s="1"/>
  <c r="H280" i="21"/>
  <c r="D291" i="21"/>
  <c r="L291" i="21"/>
  <c r="J303" i="21"/>
  <c r="D309" i="21"/>
  <c r="L309" i="21"/>
  <c r="J309" i="21"/>
  <c r="D315" i="21"/>
  <c r="L315" i="21"/>
  <c r="J327" i="21"/>
  <c r="D333" i="21"/>
  <c r="L333" i="21"/>
  <c r="J333" i="21"/>
  <c r="D339" i="21"/>
  <c r="L339" i="21"/>
  <c r="S14" i="20"/>
  <c r="E314" i="20"/>
  <c r="E319" i="20" s="1"/>
  <c r="D319" i="20" s="1"/>
  <c r="F319" i="20"/>
  <c r="R22" i="20"/>
  <c r="Q22" i="20" s="1"/>
  <c r="P22" i="20" s="1"/>
  <c r="O22" i="20" s="1"/>
  <c r="N22" i="20" s="1"/>
  <c r="M22" i="20" s="1"/>
  <c r="L22" i="20" s="1"/>
  <c r="G118" i="20"/>
  <c r="F118" i="20" s="1"/>
  <c r="E118" i="20" s="1"/>
  <c r="J241" i="20"/>
  <c r="C46" i="20"/>
  <c r="L285" i="21"/>
  <c r="M285" i="21"/>
  <c r="J280" i="21"/>
  <c r="C283" i="21"/>
  <c r="C284" i="21"/>
  <c r="F284" i="21"/>
  <c r="F285" i="21" s="1"/>
  <c r="AM206" i="21"/>
  <c r="AL206" i="21"/>
  <c r="AK206" i="21"/>
  <c r="AJ206" i="21"/>
  <c r="AI206" i="21"/>
  <c r="P206" i="21" s="1"/>
  <c r="AH206" i="21"/>
  <c r="O206" i="21" s="1"/>
  <c r="AG206" i="21"/>
  <c r="AF206" i="21"/>
  <c r="AE206" i="21"/>
  <c r="L206" i="21" s="1"/>
  <c r="AD206" i="21"/>
  <c r="K206" i="21" s="1"/>
  <c r="AC206" i="21"/>
  <c r="J206" i="21" s="1"/>
  <c r="AB206" i="21"/>
  <c r="AA206" i="21"/>
  <c r="H206" i="21" s="1"/>
  <c r="Z206" i="21"/>
  <c r="G206" i="21" s="1"/>
  <c r="Y206" i="21"/>
  <c r="X206" i="21"/>
  <c r="W206" i="21"/>
  <c r="D206" i="21" s="1"/>
  <c r="V206" i="21"/>
  <c r="AM205" i="21"/>
  <c r="AL205" i="21"/>
  <c r="AK205" i="21"/>
  <c r="AJ205" i="21"/>
  <c r="Q205" i="21" s="1"/>
  <c r="AI205" i="21"/>
  <c r="AH205" i="21"/>
  <c r="AG205" i="21"/>
  <c r="N205" i="21" s="1"/>
  <c r="AF205" i="21"/>
  <c r="AE205" i="21"/>
  <c r="L205" i="21" s="1"/>
  <c r="AD205" i="21"/>
  <c r="K205" i="21" s="1"/>
  <c r="AC205" i="21"/>
  <c r="J205" i="21" s="1"/>
  <c r="AB205" i="21"/>
  <c r="I205" i="21" s="1"/>
  <c r="AA205" i="21"/>
  <c r="Z205" i="21"/>
  <c r="G205" i="21" s="1"/>
  <c r="Y205" i="21"/>
  <c r="F205" i="21" s="1"/>
  <c r="X205" i="21"/>
  <c r="W205" i="21"/>
  <c r="D205" i="21" s="1"/>
  <c r="V205" i="21"/>
  <c r="C205" i="21" s="1"/>
  <c r="AM204" i="21"/>
  <c r="AL204" i="21"/>
  <c r="S204" i="21" s="1"/>
  <c r="AK204" i="21"/>
  <c r="AJ204" i="21"/>
  <c r="AI204" i="21"/>
  <c r="P204" i="21" s="1"/>
  <c r="AH204" i="21"/>
  <c r="AG204" i="21"/>
  <c r="N204" i="21" s="1"/>
  <c r="AF204" i="21"/>
  <c r="M204" i="21" s="1"/>
  <c r="AE204" i="21"/>
  <c r="AD204" i="21"/>
  <c r="AC204" i="21"/>
  <c r="AB204" i="21"/>
  <c r="AA204" i="21"/>
  <c r="H204" i="21" s="1"/>
  <c r="Z204" i="21"/>
  <c r="G204" i="21" s="1"/>
  <c r="Y204" i="21"/>
  <c r="F204" i="21" s="1"/>
  <c r="X204" i="21"/>
  <c r="E204" i="21" s="1"/>
  <c r="W204" i="21"/>
  <c r="D204" i="21" s="1"/>
  <c r="V204" i="21"/>
  <c r="L204" i="21"/>
  <c r="AM203" i="21"/>
  <c r="AL203" i="21"/>
  <c r="AK203" i="21"/>
  <c r="AJ203" i="21"/>
  <c r="AI203" i="21"/>
  <c r="AH203" i="21"/>
  <c r="AG203" i="21"/>
  <c r="AF203" i="21"/>
  <c r="M203" i="21" s="1"/>
  <c r="AE203" i="21"/>
  <c r="AD203" i="21"/>
  <c r="AC203" i="21"/>
  <c r="AB203" i="21"/>
  <c r="AA203" i="21"/>
  <c r="Z203" i="21"/>
  <c r="Y203" i="21"/>
  <c r="F203" i="21" s="1"/>
  <c r="X203" i="21"/>
  <c r="E203" i="21" s="1"/>
  <c r="W203" i="21"/>
  <c r="D203" i="21" s="1"/>
  <c r="V203" i="21"/>
  <c r="AM202" i="21"/>
  <c r="AL202" i="21"/>
  <c r="AK202" i="21"/>
  <c r="AJ202" i="21"/>
  <c r="AI202" i="21"/>
  <c r="P202" i="21" s="1"/>
  <c r="AH202" i="21"/>
  <c r="AG202" i="21"/>
  <c r="AF202" i="21"/>
  <c r="M202" i="21" s="1"/>
  <c r="AE202" i="21"/>
  <c r="L202" i="21" s="1"/>
  <c r="AD202" i="21"/>
  <c r="K202" i="21" s="1"/>
  <c r="AC202" i="21"/>
  <c r="J202" i="21" s="1"/>
  <c r="AB202" i="21"/>
  <c r="AA202" i="21"/>
  <c r="H202" i="21" s="1"/>
  <c r="Z202" i="21"/>
  <c r="G202" i="21" s="1"/>
  <c r="Y202" i="21"/>
  <c r="X202" i="21"/>
  <c r="E202" i="21" s="1"/>
  <c r="W202" i="21"/>
  <c r="D202" i="21" s="1"/>
  <c r="V202" i="21"/>
  <c r="T200" i="21"/>
  <c r="S200" i="21"/>
  <c r="R200" i="21"/>
  <c r="Q200" i="21"/>
  <c r="P200" i="21"/>
  <c r="O200" i="21"/>
  <c r="N200" i="21"/>
  <c r="M200" i="21"/>
  <c r="L200" i="21"/>
  <c r="K200" i="21"/>
  <c r="J200" i="21"/>
  <c r="I200" i="21"/>
  <c r="H200" i="21"/>
  <c r="G200" i="21"/>
  <c r="F200" i="21"/>
  <c r="E200" i="21"/>
  <c r="D200" i="21"/>
  <c r="C200" i="21"/>
  <c r="T199" i="21"/>
  <c r="S199" i="21"/>
  <c r="R199" i="21"/>
  <c r="Q199" i="21"/>
  <c r="P199" i="21"/>
  <c r="O199" i="21"/>
  <c r="N199" i="21"/>
  <c r="M199" i="21"/>
  <c r="L199" i="21"/>
  <c r="K199" i="21"/>
  <c r="J199" i="21"/>
  <c r="I199" i="21"/>
  <c r="H199" i="21"/>
  <c r="G199" i="21"/>
  <c r="F199" i="21"/>
  <c r="E199" i="21"/>
  <c r="D199" i="21"/>
  <c r="C199" i="21"/>
  <c r="T198" i="21"/>
  <c r="S198" i="21"/>
  <c r="R198" i="21"/>
  <c r="Q198" i="21"/>
  <c r="P198" i="21"/>
  <c r="O198" i="21"/>
  <c r="N198" i="21"/>
  <c r="M198" i="21"/>
  <c r="L198" i="21"/>
  <c r="K198" i="21"/>
  <c r="J198" i="21"/>
  <c r="I198" i="21"/>
  <c r="H198" i="21"/>
  <c r="G198" i="21"/>
  <c r="F198" i="21"/>
  <c r="E198" i="21"/>
  <c r="D198" i="21"/>
  <c r="C198" i="21"/>
  <c r="T197" i="21"/>
  <c r="S197" i="21"/>
  <c r="R197" i="21"/>
  <c r="Q197" i="21"/>
  <c r="P197" i="21"/>
  <c r="O197" i="21"/>
  <c r="N197" i="21"/>
  <c r="M197" i="21"/>
  <c r="L197" i="21"/>
  <c r="K197" i="21"/>
  <c r="J197" i="21"/>
  <c r="I197" i="21"/>
  <c r="H197" i="21"/>
  <c r="G197" i="21"/>
  <c r="F197" i="21"/>
  <c r="E197" i="21"/>
  <c r="D197" i="21"/>
  <c r="C197" i="21"/>
  <c r="T196" i="21"/>
  <c r="S196" i="21"/>
  <c r="R196" i="21"/>
  <c r="Q196" i="21"/>
  <c r="P196" i="21"/>
  <c r="O196" i="21"/>
  <c r="N196" i="21"/>
  <c r="M196" i="21"/>
  <c r="L196" i="21"/>
  <c r="K196" i="21"/>
  <c r="J196" i="21"/>
  <c r="I196" i="21"/>
  <c r="H196" i="21"/>
  <c r="G196" i="21"/>
  <c r="F196" i="21"/>
  <c r="E196" i="21"/>
  <c r="D196" i="21"/>
  <c r="C196" i="21"/>
  <c r="T194" i="21"/>
  <c r="S194" i="21"/>
  <c r="R194" i="21"/>
  <c r="Q194" i="21"/>
  <c r="P194" i="21"/>
  <c r="O194" i="21"/>
  <c r="N194" i="21"/>
  <c r="M194" i="21"/>
  <c r="L194" i="21"/>
  <c r="K194" i="21"/>
  <c r="J194" i="21"/>
  <c r="I194" i="21"/>
  <c r="H194" i="21"/>
  <c r="G194" i="21"/>
  <c r="F194" i="21"/>
  <c r="E194" i="21"/>
  <c r="D194" i="21"/>
  <c r="C194" i="21"/>
  <c r="T193" i="21"/>
  <c r="S193" i="21"/>
  <c r="R193" i="21"/>
  <c r="Q193" i="21"/>
  <c r="P193" i="21"/>
  <c r="O193" i="21"/>
  <c r="N193" i="21"/>
  <c r="M193" i="21"/>
  <c r="L193" i="21"/>
  <c r="K193" i="21"/>
  <c r="J193" i="21"/>
  <c r="I193" i="21"/>
  <c r="H193" i="21"/>
  <c r="G193" i="21"/>
  <c r="F193" i="21"/>
  <c r="E193" i="21"/>
  <c r="D193" i="21"/>
  <c r="C193" i="21"/>
  <c r="T192" i="21"/>
  <c r="S192" i="21"/>
  <c r="R192" i="21"/>
  <c r="Q192" i="21"/>
  <c r="P192" i="21"/>
  <c r="O192" i="21"/>
  <c r="N192" i="21"/>
  <c r="M192" i="21"/>
  <c r="L192" i="21"/>
  <c r="K192" i="21"/>
  <c r="J192" i="21"/>
  <c r="I192" i="21"/>
  <c r="H192" i="21"/>
  <c r="G192" i="21"/>
  <c r="F192" i="21"/>
  <c r="E192" i="21"/>
  <c r="D192" i="21"/>
  <c r="C192" i="21"/>
  <c r="T191" i="21"/>
  <c r="S191" i="21"/>
  <c r="R191" i="21"/>
  <c r="Q191" i="21"/>
  <c r="P191" i="21"/>
  <c r="O191" i="21"/>
  <c r="N191" i="21"/>
  <c r="M191" i="21"/>
  <c r="L191" i="21"/>
  <c r="K191" i="21"/>
  <c r="J191" i="21"/>
  <c r="I191" i="21"/>
  <c r="H191" i="21"/>
  <c r="G191" i="21"/>
  <c r="F191" i="21"/>
  <c r="E191" i="21"/>
  <c r="D191" i="21"/>
  <c r="C191" i="21"/>
  <c r="T190" i="21"/>
  <c r="S190" i="21"/>
  <c r="R190" i="21"/>
  <c r="Q190" i="21"/>
  <c r="P190" i="21"/>
  <c r="O190" i="21"/>
  <c r="N190" i="21"/>
  <c r="M190" i="21"/>
  <c r="L190" i="21"/>
  <c r="K190" i="21"/>
  <c r="J190" i="21"/>
  <c r="I190" i="21"/>
  <c r="H190" i="21"/>
  <c r="G190" i="21"/>
  <c r="F190" i="21"/>
  <c r="E190" i="21"/>
  <c r="D190" i="21"/>
  <c r="C190" i="21"/>
  <c r="T188" i="21"/>
  <c r="S188" i="21"/>
  <c r="R188" i="21"/>
  <c r="Q188" i="21"/>
  <c r="P188" i="21"/>
  <c r="O188" i="21"/>
  <c r="N188" i="21"/>
  <c r="M188" i="21"/>
  <c r="L188" i="21"/>
  <c r="K188" i="21"/>
  <c r="J188" i="21"/>
  <c r="I188" i="21"/>
  <c r="H188" i="21"/>
  <c r="G188" i="21"/>
  <c r="F188" i="21"/>
  <c r="E188" i="21"/>
  <c r="D188" i="21"/>
  <c r="C188" i="21"/>
  <c r="T187" i="21"/>
  <c r="S187" i="21"/>
  <c r="R187" i="21"/>
  <c r="Q187" i="21"/>
  <c r="P187" i="21"/>
  <c r="O187" i="21"/>
  <c r="N187" i="21"/>
  <c r="M187" i="21"/>
  <c r="L187" i="21"/>
  <c r="K187" i="21"/>
  <c r="J187" i="21"/>
  <c r="I187" i="21"/>
  <c r="H187" i="21"/>
  <c r="G187" i="21"/>
  <c r="F187" i="21"/>
  <c r="E187" i="21"/>
  <c r="D187" i="21"/>
  <c r="C187" i="21"/>
  <c r="T186" i="21"/>
  <c r="S186" i="21"/>
  <c r="R186" i="21"/>
  <c r="Q186" i="21"/>
  <c r="P186" i="21"/>
  <c r="O186" i="21"/>
  <c r="N186" i="21"/>
  <c r="M186" i="21"/>
  <c r="L186" i="21"/>
  <c r="K186" i="21"/>
  <c r="J186" i="21"/>
  <c r="I186" i="21"/>
  <c r="H186" i="21"/>
  <c r="G186" i="21"/>
  <c r="F186" i="21"/>
  <c r="E186" i="21"/>
  <c r="D186" i="21"/>
  <c r="C186" i="21"/>
  <c r="T185" i="21"/>
  <c r="S185" i="21"/>
  <c r="R185" i="21"/>
  <c r="Q185" i="21"/>
  <c r="P185" i="21"/>
  <c r="O185" i="21"/>
  <c r="N185" i="21"/>
  <c r="M185" i="21"/>
  <c r="L185" i="21"/>
  <c r="K185" i="21"/>
  <c r="J185" i="21"/>
  <c r="I185" i="21"/>
  <c r="H185" i="21"/>
  <c r="G185" i="21"/>
  <c r="F185" i="21"/>
  <c r="E185" i="21"/>
  <c r="D185" i="21"/>
  <c r="C185" i="21"/>
  <c r="T184" i="21"/>
  <c r="S184" i="21"/>
  <c r="R184" i="21"/>
  <c r="Q184" i="21"/>
  <c r="P184" i="21"/>
  <c r="O184" i="21"/>
  <c r="N184" i="21"/>
  <c r="M184" i="21"/>
  <c r="L184" i="21"/>
  <c r="K184" i="21"/>
  <c r="J184" i="21"/>
  <c r="I184" i="21"/>
  <c r="H184" i="21"/>
  <c r="G184" i="21"/>
  <c r="F184" i="21"/>
  <c r="E184" i="21"/>
  <c r="D184" i="21"/>
  <c r="C184" i="21"/>
  <c r="T182" i="21"/>
  <c r="S182" i="21"/>
  <c r="R182" i="21"/>
  <c r="Q182" i="21"/>
  <c r="P182" i="21"/>
  <c r="O182" i="21"/>
  <c r="N182" i="21"/>
  <c r="M182" i="21"/>
  <c r="L182" i="21"/>
  <c r="K182" i="21"/>
  <c r="J182" i="21"/>
  <c r="I182" i="21"/>
  <c r="H182" i="21"/>
  <c r="G182" i="21"/>
  <c r="F182" i="21"/>
  <c r="E182" i="21"/>
  <c r="D182" i="21"/>
  <c r="C182" i="21"/>
  <c r="T181" i="21"/>
  <c r="S181" i="21"/>
  <c r="R181" i="21"/>
  <c r="Q181" i="21"/>
  <c r="P181" i="21"/>
  <c r="O181" i="21"/>
  <c r="N181" i="21"/>
  <c r="M181" i="21"/>
  <c r="L181" i="21"/>
  <c r="K181" i="21"/>
  <c r="J181" i="21"/>
  <c r="I181" i="21"/>
  <c r="H181" i="21"/>
  <c r="G181" i="21"/>
  <c r="F181" i="21"/>
  <c r="E181" i="21"/>
  <c r="D181" i="21"/>
  <c r="C181" i="21"/>
  <c r="T180" i="21"/>
  <c r="S180" i="21"/>
  <c r="R180" i="21"/>
  <c r="Q180" i="21"/>
  <c r="P180" i="21"/>
  <c r="O180" i="21"/>
  <c r="N180" i="21"/>
  <c r="M180" i="21"/>
  <c r="L180" i="21"/>
  <c r="K180" i="21"/>
  <c r="J180" i="21"/>
  <c r="I180" i="21"/>
  <c r="H180" i="21"/>
  <c r="G180" i="21"/>
  <c r="F180" i="21"/>
  <c r="E180" i="21"/>
  <c r="D180" i="21"/>
  <c r="C180" i="21"/>
  <c r="T179" i="21"/>
  <c r="S179" i="21"/>
  <c r="R179" i="21"/>
  <c r="Q179" i="21"/>
  <c r="P179" i="21"/>
  <c r="O179" i="21"/>
  <c r="N179" i="21"/>
  <c r="M179" i="21"/>
  <c r="L179" i="21"/>
  <c r="K179" i="21"/>
  <c r="J179" i="21"/>
  <c r="I179" i="21"/>
  <c r="H179" i="21"/>
  <c r="G179" i="21"/>
  <c r="F179" i="21"/>
  <c r="E179" i="21"/>
  <c r="D179" i="21"/>
  <c r="C179" i="21"/>
  <c r="T178" i="21"/>
  <c r="S178" i="21"/>
  <c r="R178" i="21"/>
  <c r="Q178" i="21"/>
  <c r="P178" i="21"/>
  <c r="O178" i="21"/>
  <c r="N178" i="21"/>
  <c r="M178" i="21"/>
  <c r="L178" i="21"/>
  <c r="K178" i="21"/>
  <c r="J178" i="21"/>
  <c r="I178" i="21"/>
  <c r="H178" i="21"/>
  <c r="G178" i="21"/>
  <c r="F178" i="21"/>
  <c r="E178" i="21"/>
  <c r="D178" i="21"/>
  <c r="C178" i="21"/>
  <c r="T176" i="21"/>
  <c r="S176" i="21"/>
  <c r="R176" i="21"/>
  <c r="Q176" i="21"/>
  <c r="P176" i="21"/>
  <c r="O176" i="21"/>
  <c r="N176" i="21"/>
  <c r="M176" i="21"/>
  <c r="L176" i="21"/>
  <c r="K176" i="21"/>
  <c r="J176" i="21"/>
  <c r="I176" i="21"/>
  <c r="H176" i="21"/>
  <c r="G176" i="21"/>
  <c r="F176" i="21"/>
  <c r="E176" i="21"/>
  <c r="D176" i="21"/>
  <c r="C176" i="21"/>
  <c r="T175" i="21"/>
  <c r="S175" i="21"/>
  <c r="R175" i="21"/>
  <c r="Q175" i="21"/>
  <c r="P175" i="21"/>
  <c r="O175" i="21"/>
  <c r="N175" i="21"/>
  <c r="M175" i="21"/>
  <c r="L175" i="21"/>
  <c r="K175" i="21"/>
  <c r="J175" i="21"/>
  <c r="I175" i="21"/>
  <c r="H175" i="21"/>
  <c r="G175" i="21"/>
  <c r="F175" i="21"/>
  <c r="E175" i="21"/>
  <c r="D175" i="21"/>
  <c r="C175" i="21"/>
  <c r="T174" i="21"/>
  <c r="S174" i="21"/>
  <c r="R174" i="21"/>
  <c r="Q174" i="21"/>
  <c r="P174" i="21"/>
  <c r="O174" i="21"/>
  <c r="N174" i="21"/>
  <c r="M174" i="21"/>
  <c r="L174" i="21"/>
  <c r="K174" i="21"/>
  <c r="J174" i="21"/>
  <c r="I174" i="21"/>
  <c r="H174" i="21"/>
  <c r="G174" i="21"/>
  <c r="F174" i="21"/>
  <c r="E174" i="21"/>
  <c r="D174" i="21"/>
  <c r="C174" i="21"/>
  <c r="T173" i="21"/>
  <c r="S173" i="21"/>
  <c r="R173" i="21"/>
  <c r="Q173" i="21"/>
  <c r="P173" i="21"/>
  <c r="O173" i="21"/>
  <c r="N173" i="21"/>
  <c r="M173" i="21"/>
  <c r="L173" i="21"/>
  <c r="K173" i="21"/>
  <c r="J173" i="21"/>
  <c r="I173" i="21"/>
  <c r="H173" i="21"/>
  <c r="G173" i="21"/>
  <c r="F173" i="21"/>
  <c r="E173" i="21"/>
  <c r="D173" i="21"/>
  <c r="C173" i="21"/>
  <c r="T172" i="21"/>
  <c r="S172" i="21"/>
  <c r="R172" i="21"/>
  <c r="Q172" i="21"/>
  <c r="P172" i="21"/>
  <c r="O172" i="21"/>
  <c r="N172" i="21"/>
  <c r="M172" i="21"/>
  <c r="L172" i="21"/>
  <c r="K172" i="21"/>
  <c r="J172" i="21"/>
  <c r="I172" i="21"/>
  <c r="H172" i="21"/>
  <c r="G172" i="21"/>
  <c r="F172" i="21"/>
  <c r="E172" i="21"/>
  <c r="D172" i="21"/>
  <c r="C172" i="21"/>
  <c r="T170" i="21"/>
  <c r="S170" i="21"/>
  <c r="R170" i="21"/>
  <c r="Q170" i="21"/>
  <c r="P170" i="21"/>
  <c r="O170" i="21"/>
  <c r="N170" i="21"/>
  <c r="M170" i="21"/>
  <c r="L170" i="21"/>
  <c r="K170" i="21"/>
  <c r="J170" i="21"/>
  <c r="I170" i="21"/>
  <c r="H170" i="21"/>
  <c r="G170" i="21"/>
  <c r="F170" i="21"/>
  <c r="E170" i="21"/>
  <c r="D170" i="21"/>
  <c r="C170" i="21"/>
  <c r="T169" i="21"/>
  <c r="S169" i="21"/>
  <c r="R169" i="21"/>
  <c r="Q169" i="21"/>
  <c r="P169" i="21"/>
  <c r="O169" i="21"/>
  <c r="N169" i="21"/>
  <c r="M169" i="21"/>
  <c r="L169" i="21"/>
  <c r="K169" i="21"/>
  <c r="J169" i="21"/>
  <c r="I169" i="21"/>
  <c r="H169" i="21"/>
  <c r="G169" i="21"/>
  <c r="F169" i="21"/>
  <c r="E169" i="21"/>
  <c r="D169" i="21"/>
  <c r="C169" i="21"/>
  <c r="T168" i="21"/>
  <c r="S168" i="21"/>
  <c r="R168" i="21"/>
  <c r="Q168" i="21"/>
  <c r="P168" i="21"/>
  <c r="O168" i="21"/>
  <c r="N168" i="21"/>
  <c r="M168" i="21"/>
  <c r="L168" i="21"/>
  <c r="K168" i="21"/>
  <c r="J168" i="21"/>
  <c r="I168" i="21"/>
  <c r="H168" i="21"/>
  <c r="G168" i="21"/>
  <c r="F168" i="21"/>
  <c r="E168" i="21"/>
  <c r="D168" i="21"/>
  <c r="C168" i="21"/>
  <c r="T167" i="21"/>
  <c r="S167" i="21"/>
  <c r="R167" i="21"/>
  <c r="Q167" i="21"/>
  <c r="P167" i="21"/>
  <c r="O167" i="21"/>
  <c r="N167" i="21"/>
  <c r="M167" i="21"/>
  <c r="L167" i="21"/>
  <c r="K167" i="21"/>
  <c r="J167" i="21"/>
  <c r="I167" i="21"/>
  <c r="H167" i="21"/>
  <c r="G167" i="21"/>
  <c r="F167" i="21"/>
  <c r="E167" i="21"/>
  <c r="D167" i="21"/>
  <c r="C167" i="21"/>
  <c r="T166" i="21"/>
  <c r="S166" i="21"/>
  <c r="R166" i="21"/>
  <c r="Q166" i="21"/>
  <c r="P166" i="21"/>
  <c r="O166" i="21"/>
  <c r="N166" i="21"/>
  <c r="M166" i="21"/>
  <c r="L166" i="21"/>
  <c r="K166" i="21"/>
  <c r="J166" i="21"/>
  <c r="I166" i="21"/>
  <c r="H166" i="21"/>
  <c r="G166" i="21"/>
  <c r="F166" i="21"/>
  <c r="E166" i="21"/>
  <c r="D166" i="21"/>
  <c r="C166" i="21"/>
  <c r="T164" i="21"/>
  <c r="S164" i="21"/>
  <c r="R164" i="21"/>
  <c r="Q164" i="21"/>
  <c r="P164" i="21"/>
  <c r="O164" i="21"/>
  <c r="N164" i="21"/>
  <c r="M164" i="21"/>
  <c r="L164" i="21"/>
  <c r="K164" i="21"/>
  <c r="J164" i="21"/>
  <c r="I164" i="21"/>
  <c r="H164" i="21"/>
  <c r="G164" i="21"/>
  <c r="F164" i="21"/>
  <c r="E164" i="21"/>
  <c r="D164" i="21"/>
  <c r="C164" i="21"/>
  <c r="T163" i="21"/>
  <c r="S163" i="21"/>
  <c r="R163" i="21"/>
  <c r="Q163" i="21"/>
  <c r="P163" i="21"/>
  <c r="O163" i="21"/>
  <c r="N163" i="21"/>
  <c r="M163" i="21"/>
  <c r="L163" i="21"/>
  <c r="K163" i="21"/>
  <c r="J163" i="21"/>
  <c r="I163" i="21"/>
  <c r="H163" i="21"/>
  <c r="G163" i="21"/>
  <c r="F163" i="21"/>
  <c r="E163" i="21"/>
  <c r="D163" i="21"/>
  <c r="C163" i="21"/>
  <c r="T162" i="21"/>
  <c r="S162" i="21"/>
  <c r="R162" i="21"/>
  <c r="Q162" i="21"/>
  <c r="P162" i="21"/>
  <c r="O162" i="21"/>
  <c r="N162" i="21"/>
  <c r="M162" i="21"/>
  <c r="L162" i="21"/>
  <c r="K162" i="21"/>
  <c r="J162" i="21"/>
  <c r="I162" i="21"/>
  <c r="H162" i="21"/>
  <c r="G162" i="21"/>
  <c r="F162" i="21"/>
  <c r="E162" i="21"/>
  <c r="D162" i="21"/>
  <c r="C162" i="21"/>
  <c r="T161" i="21"/>
  <c r="S161" i="21"/>
  <c r="R161" i="21"/>
  <c r="Q161" i="21"/>
  <c r="P161" i="21"/>
  <c r="O161" i="21"/>
  <c r="N161" i="21"/>
  <c r="M161" i="21"/>
  <c r="L161" i="21"/>
  <c r="K161" i="21"/>
  <c r="J161" i="21"/>
  <c r="I161" i="21"/>
  <c r="H161" i="21"/>
  <c r="G161" i="21"/>
  <c r="F161" i="21"/>
  <c r="E161" i="21"/>
  <c r="D161" i="21"/>
  <c r="C161" i="21"/>
  <c r="T160" i="21"/>
  <c r="S160" i="21"/>
  <c r="R160" i="21"/>
  <c r="Q160" i="21"/>
  <c r="P160" i="21"/>
  <c r="O160" i="21"/>
  <c r="N160" i="21"/>
  <c r="M160" i="21"/>
  <c r="L160" i="21"/>
  <c r="K160" i="21"/>
  <c r="J160" i="21"/>
  <c r="I160" i="21"/>
  <c r="H160" i="21"/>
  <c r="G160" i="21"/>
  <c r="F160" i="21"/>
  <c r="E160" i="21"/>
  <c r="D160" i="21"/>
  <c r="C160" i="21"/>
  <c r="T158" i="21"/>
  <c r="S158" i="21"/>
  <c r="R158" i="21"/>
  <c r="Q158" i="21"/>
  <c r="P158" i="21"/>
  <c r="O158" i="21"/>
  <c r="N158" i="21"/>
  <c r="M158" i="21"/>
  <c r="L158" i="21"/>
  <c r="K158" i="21"/>
  <c r="J158" i="21"/>
  <c r="I158" i="21"/>
  <c r="H158" i="21"/>
  <c r="G158" i="21"/>
  <c r="F158" i="21"/>
  <c r="E158" i="21"/>
  <c r="D158" i="21"/>
  <c r="C158" i="21"/>
  <c r="T157" i="21"/>
  <c r="S157" i="21"/>
  <c r="R157" i="21"/>
  <c r="Q157" i="21"/>
  <c r="P157" i="21"/>
  <c r="O157" i="21"/>
  <c r="N157" i="21"/>
  <c r="M157" i="21"/>
  <c r="L157" i="21"/>
  <c r="K157" i="21"/>
  <c r="J157" i="21"/>
  <c r="I157" i="21"/>
  <c r="H157" i="21"/>
  <c r="G157" i="21"/>
  <c r="F157" i="21"/>
  <c r="E157" i="21"/>
  <c r="D157" i="21"/>
  <c r="C157" i="21"/>
  <c r="T156" i="21"/>
  <c r="S156" i="21"/>
  <c r="R156" i="21"/>
  <c r="Q156" i="21"/>
  <c r="P156" i="21"/>
  <c r="O156" i="21"/>
  <c r="N156" i="21"/>
  <c r="M156" i="21"/>
  <c r="L156" i="21"/>
  <c r="K156" i="21"/>
  <c r="J156" i="21"/>
  <c r="I156" i="21"/>
  <c r="H156" i="21"/>
  <c r="G156" i="21"/>
  <c r="F156" i="21"/>
  <c r="E156" i="21"/>
  <c r="D156" i="21"/>
  <c r="C156" i="21"/>
  <c r="T155" i="21"/>
  <c r="S155" i="21"/>
  <c r="R155" i="21"/>
  <c r="Q155" i="21"/>
  <c r="P155" i="21"/>
  <c r="O155" i="21"/>
  <c r="N155" i="21"/>
  <c r="M155" i="21"/>
  <c r="L155" i="21"/>
  <c r="K155" i="21"/>
  <c r="J155" i="21"/>
  <c r="I155" i="21"/>
  <c r="H155" i="21"/>
  <c r="G155" i="21"/>
  <c r="F155" i="21"/>
  <c r="E155" i="21"/>
  <c r="D155" i="21"/>
  <c r="C155" i="21"/>
  <c r="T154" i="21"/>
  <c r="S154" i="21"/>
  <c r="R154" i="21"/>
  <c r="Q154" i="21"/>
  <c r="P154" i="21"/>
  <c r="O154" i="21"/>
  <c r="N154" i="21"/>
  <c r="M154" i="21"/>
  <c r="L154" i="21"/>
  <c r="K154" i="21"/>
  <c r="J154" i="21"/>
  <c r="I154" i="21"/>
  <c r="H154" i="21"/>
  <c r="G154" i="21"/>
  <c r="F154" i="21"/>
  <c r="E154" i="21"/>
  <c r="D154" i="21"/>
  <c r="C154" i="21"/>
  <c r="T152" i="21"/>
  <c r="S152" i="21"/>
  <c r="R152" i="21"/>
  <c r="Q152" i="21"/>
  <c r="P152" i="21"/>
  <c r="O152" i="21"/>
  <c r="N152" i="21"/>
  <c r="M152" i="21"/>
  <c r="L152" i="21"/>
  <c r="K152" i="21"/>
  <c r="J152" i="21"/>
  <c r="I152" i="21"/>
  <c r="H152" i="21"/>
  <c r="G152" i="21"/>
  <c r="F152" i="21"/>
  <c r="E152" i="21"/>
  <c r="D152" i="21"/>
  <c r="C152" i="21"/>
  <c r="T151" i="21"/>
  <c r="S151" i="21"/>
  <c r="R151" i="21"/>
  <c r="Q151" i="21"/>
  <c r="P151" i="21"/>
  <c r="O151" i="21"/>
  <c r="N151" i="21"/>
  <c r="M151" i="21"/>
  <c r="L151" i="21"/>
  <c r="K151" i="21"/>
  <c r="J151" i="21"/>
  <c r="I151" i="21"/>
  <c r="H151" i="21"/>
  <c r="G151" i="21"/>
  <c r="F151" i="21"/>
  <c r="E151" i="21"/>
  <c r="D151" i="21"/>
  <c r="C151" i="21"/>
  <c r="T150" i="21"/>
  <c r="S150" i="21"/>
  <c r="R150" i="21"/>
  <c r="Q150" i="21"/>
  <c r="P150" i="21"/>
  <c r="O150" i="21"/>
  <c r="N150" i="21"/>
  <c r="M150" i="21"/>
  <c r="L150" i="21"/>
  <c r="K150" i="21"/>
  <c r="J150" i="21"/>
  <c r="I150" i="21"/>
  <c r="H150" i="21"/>
  <c r="G150" i="21"/>
  <c r="F150" i="21"/>
  <c r="E150" i="21"/>
  <c r="D150" i="21"/>
  <c r="C150" i="21"/>
  <c r="T149" i="21"/>
  <c r="S149" i="21"/>
  <c r="R149" i="21"/>
  <c r="Q149" i="21"/>
  <c r="P149" i="21"/>
  <c r="O149" i="21"/>
  <c r="N149" i="21"/>
  <c r="M149" i="21"/>
  <c r="L149" i="21"/>
  <c r="K149" i="21"/>
  <c r="J149" i="21"/>
  <c r="I149" i="21"/>
  <c r="H149" i="21"/>
  <c r="G149" i="21"/>
  <c r="F149" i="21"/>
  <c r="E149" i="21"/>
  <c r="D149" i="21"/>
  <c r="C149" i="21"/>
  <c r="T148" i="21"/>
  <c r="S148" i="21"/>
  <c r="R148" i="21"/>
  <c r="Q148" i="21"/>
  <c r="P148" i="21"/>
  <c r="O148" i="21"/>
  <c r="N148" i="21"/>
  <c r="M148" i="21"/>
  <c r="L148" i="21"/>
  <c r="K148" i="21"/>
  <c r="J148" i="21"/>
  <c r="I148" i="21"/>
  <c r="H148" i="21"/>
  <c r="G148" i="21"/>
  <c r="F148" i="21"/>
  <c r="E148" i="21"/>
  <c r="D148" i="21"/>
  <c r="C148" i="21"/>
  <c r="T146" i="21"/>
  <c r="S146" i="21"/>
  <c r="R146" i="21"/>
  <c r="Q146" i="21"/>
  <c r="P146" i="21"/>
  <c r="O146" i="21"/>
  <c r="N146" i="21"/>
  <c r="M146" i="21"/>
  <c r="L146" i="21"/>
  <c r="K146" i="21"/>
  <c r="J146" i="21"/>
  <c r="I146" i="21"/>
  <c r="H146" i="21"/>
  <c r="G146" i="21"/>
  <c r="F146" i="21"/>
  <c r="E146" i="21"/>
  <c r="D146" i="21"/>
  <c r="C146" i="21"/>
  <c r="T145" i="21"/>
  <c r="S145" i="21"/>
  <c r="R145" i="21"/>
  <c r="Q145" i="21"/>
  <c r="P145" i="21"/>
  <c r="O145" i="21"/>
  <c r="N145" i="21"/>
  <c r="M145" i="21"/>
  <c r="L145" i="21"/>
  <c r="K145" i="21"/>
  <c r="J145" i="21"/>
  <c r="I145" i="21"/>
  <c r="H145" i="21"/>
  <c r="G145" i="21"/>
  <c r="F145" i="21"/>
  <c r="E145" i="21"/>
  <c r="D145" i="21"/>
  <c r="C145" i="21"/>
  <c r="T144" i="21"/>
  <c r="S144" i="21"/>
  <c r="R144" i="21"/>
  <c r="Q144" i="21"/>
  <c r="P144" i="21"/>
  <c r="O144" i="21"/>
  <c r="N144" i="21"/>
  <c r="M144" i="21"/>
  <c r="L144" i="21"/>
  <c r="K144" i="21"/>
  <c r="J144" i="21"/>
  <c r="I144" i="21"/>
  <c r="H144" i="21"/>
  <c r="G144" i="21"/>
  <c r="F144" i="21"/>
  <c r="E144" i="21"/>
  <c r="D144" i="21"/>
  <c r="C144" i="21"/>
  <c r="T143" i="21"/>
  <c r="S143" i="21"/>
  <c r="R143" i="21"/>
  <c r="Q143" i="21"/>
  <c r="P143" i="21"/>
  <c r="O143" i="21"/>
  <c r="N143" i="21"/>
  <c r="M143" i="21"/>
  <c r="L143" i="21"/>
  <c r="K143" i="21"/>
  <c r="J143" i="21"/>
  <c r="I143" i="21"/>
  <c r="H143" i="21"/>
  <c r="G143" i="21"/>
  <c r="F143" i="21"/>
  <c r="E143" i="21"/>
  <c r="D143" i="21"/>
  <c r="C143" i="21"/>
  <c r="T142" i="21"/>
  <c r="S142" i="21"/>
  <c r="R142" i="21"/>
  <c r="Q142" i="21"/>
  <c r="P142" i="21"/>
  <c r="O142" i="21"/>
  <c r="N142" i="21"/>
  <c r="M142" i="21"/>
  <c r="L142" i="21"/>
  <c r="K142" i="21"/>
  <c r="J142" i="21"/>
  <c r="I142" i="21"/>
  <c r="H142" i="21"/>
  <c r="G142" i="21"/>
  <c r="F142" i="21"/>
  <c r="E142" i="21"/>
  <c r="D142" i="21"/>
  <c r="C142" i="21"/>
  <c r="T140" i="21"/>
  <c r="S140" i="21"/>
  <c r="R140" i="21"/>
  <c r="Q140" i="21"/>
  <c r="P140" i="21"/>
  <c r="O140" i="21"/>
  <c r="N140" i="21"/>
  <c r="M140" i="21"/>
  <c r="L140" i="21"/>
  <c r="K140" i="21"/>
  <c r="J140" i="21"/>
  <c r="I140" i="21"/>
  <c r="H140" i="21"/>
  <c r="G140" i="21"/>
  <c r="F140" i="21"/>
  <c r="E140" i="21"/>
  <c r="D140" i="21"/>
  <c r="C140" i="21"/>
  <c r="T139" i="21"/>
  <c r="S139" i="21"/>
  <c r="R139" i="21"/>
  <c r="Q139" i="21"/>
  <c r="P139" i="21"/>
  <c r="O139" i="21"/>
  <c r="N139" i="21"/>
  <c r="M139" i="21"/>
  <c r="L139" i="21"/>
  <c r="K139" i="21"/>
  <c r="J139" i="21"/>
  <c r="I139" i="21"/>
  <c r="H139" i="21"/>
  <c r="G139" i="21"/>
  <c r="F139" i="21"/>
  <c r="E139" i="21"/>
  <c r="D139" i="21"/>
  <c r="C139" i="21"/>
  <c r="T138" i="21"/>
  <c r="S138" i="21"/>
  <c r="R138" i="21"/>
  <c r="Q138" i="21"/>
  <c r="P138" i="21"/>
  <c r="O138" i="21"/>
  <c r="N138" i="21"/>
  <c r="M138" i="21"/>
  <c r="L138" i="21"/>
  <c r="K138" i="21"/>
  <c r="J138" i="21"/>
  <c r="I138" i="21"/>
  <c r="H138" i="21"/>
  <c r="G138" i="21"/>
  <c r="F138" i="21"/>
  <c r="E138" i="21"/>
  <c r="D138" i="21"/>
  <c r="C138" i="21"/>
  <c r="T137" i="21"/>
  <c r="S137" i="21"/>
  <c r="R137" i="21"/>
  <c r="Q137" i="21"/>
  <c r="P137" i="21"/>
  <c r="O137" i="21"/>
  <c r="N137" i="21"/>
  <c r="M137" i="21"/>
  <c r="L137" i="21"/>
  <c r="K137" i="21"/>
  <c r="J137" i="21"/>
  <c r="I137" i="21"/>
  <c r="H137" i="21"/>
  <c r="G137" i="21"/>
  <c r="F137" i="21"/>
  <c r="E137" i="21"/>
  <c r="D137" i="21"/>
  <c r="C137" i="21"/>
  <c r="T136" i="21"/>
  <c r="S136" i="21"/>
  <c r="R136" i="21"/>
  <c r="Q136" i="21"/>
  <c r="P136" i="21"/>
  <c r="O136" i="21"/>
  <c r="N136" i="21"/>
  <c r="M136" i="21"/>
  <c r="L136" i="21"/>
  <c r="K136" i="21"/>
  <c r="J136" i="21"/>
  <c r="I136" i="21"/>
  <c r="H136" i="21"/>
  <c r="G136" i="21"/>
  <c r="F136" i="21"/>
  <c r="E136" i="21"/>
  <c r="D136" i="21"/>
  <c r="C136" i="21"/>
  <c r="T134" i="21"/>
  <c r="S134" i="21"/>
  <c r="R134" i="21"/>
  <c r="Q134" i="21"/>
  <c r="P134" i="21"/>
  <c r="O134" i="21"/>
  <c r="N134" i="21"/>
  <c r="M134" i="21"/>
  <c r="L134" i="21"/>
  <c r="K134" i="21"/>
  <c r="J134" i="21"/>
  <c r="I134" i="21"/>
  <c r="H134" i="21"/>
  <c r="G134" i="21"/>
  <c r="F134" i="21"/>
  <c r="E134" i="21"/>
  <c r="D134" i="21"/>
  <c r="C134" i="21"/>
  <c r="T133" i="21"/>
  <c r="S133" i="21"/>
  <c r="R133" i="21"/>
  <c r="Q133" i="21"/>
  <c r="P133" i="21"/>
  <c r="O133" i="21"/>
  <c r="N133" i="21"/>
  <c r="M133" i="21"/>
  <c r="L133" i="21"/>
  <c r="K133" i="21"/>
  <c r="J133" i="21"/>
  <c r="I133" i="21"/>
  <c r="H133" i="21"/>
  <c r="G133" i="21"/>
  <c r="F133" i="21"/>
  <c r="E133" i="21"/>
  <c r="D133" i="21"/>
  <c r="C133" i="21"/>
  <c r="T132" i="21"/>
  <c r="S132" i="21"/>
  <c r="R132" i="21"/>
  <c r="Q132" i="21"/>
  <c r="P132" i="21"/>
  <c r="O132" i="21"/>
  <c r="N132" i="21"/>
  <c r="M132" i="21"/>
  <c r="L132" i="21"/>
  <c r="K132" i="21"/>
  <c r="J132" i="21"/>
  <c r="I132" i="21"/>
  <c r="H132" i="21"/>
  <c r="G132" i="21"/>
  <c r="F132" i="21"/>
  <c r="E132" i="21"/>
  <c r="D132" i="21"/>
  <c r="C132" i="21"/>
  <c r="T131" i="21"/>
  <c r="S131" i="21"/>
  <c r="R131" i="21"/>
  <c r="Q131" i="21"/>
  <c r="P131" i="21"/>
  <c r="O131" i="21"/>
  <c r="N131" i="21"/>
  <c r="M131" i="21"/>
  <c r="L131" i="21"/>
  <c r="K131" i="21"/>
  <c r="J131" i="21"/>
  <c r="I131" i="21"/>
  <c r="H131" i="21"/>
  <c r="G131" i="21"/>
  <c r="F131" i="21"/>
  <c r="E131" i="21"/>
  <c r="D131" i="21"/>
  <c r="C131" i="21"/>
  <c r="T130" i="21"/>
  <c r="S130" i="21"/>
  <c r="R130" i="21"/>
  <c r="Q130" i="21"/>
  <c r="P130" i="21"/>
  <c r="O130" i="21"/>
  <c r="N130" i="21"/>
  <c r="M130" i="21"/>
  <c r="L130" i="21"/>
  <c r="K130" i="21"/>
  <c r="J130" i="21"/>
  <c r="I130" i="21"/>
  <c r="H130" i="21"/>
  <c r="G130" i="21"/>
  <c r="F130" i="21"/>
  <c r="E130" i="21"/>
  <c r="D130" i="21"/>
  <c r="C130" i="21"/>
  <c r="T128" i="21"/>
  <c r="S128" i="2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F128" i="21"/>
  <c r="E128" i="21"/>
  <c r="D128" i="21"/>
  <c r="C128" i="21"/>
  <c r="T127" i="21"/>
  <c r="S127" i="21"/>
  <c r="R127" i="21"/>
  <c r="Q127" i="21"/>
  <c r="P127" i="21"/>
  <c r="O127" i="21"/>
  <c r="N127" i="21"/>
  <c r="M127" i="21"/>
  <c r="L127" i="21"/>
  <c r="K127" i="21"/>
  <c r="J127" i="21"/>
  <c r="I127" i="21"/>
  <c r="H127" i="21"/>
  <c r="G127" i="21"/>
  <c r="F127" i="21"/>
  <c r="E127" i="21"/>
  <c r="D127" i="21"/>
  <c r="C127" i="21"/>
  <c r="T126" i="21"/>
  <c r="S126" i="21"/>
  <c r="R126" i="21"/>
  <c r="Q126" i="21"/>
  <c r="P126" i="21"/>
  <c r="O126" i="21"/>
  <c r="N126" i="21"/>
  <c r="M126" i="21"/>
  <c r="L126" i="21"/>
  <c r="K126" i="21"/>
  <c r="J126" i="21"/>
  <c r="I126" i="21"/>
  <c r="H126" i="21"/>
  <c r="G126" i="21"/>
  <c r="F126" i="21"/>
  <c r="E126" i="21"/>
  <c r="D126" i="21"/>
  <c r="C126" i="21"/>
  <c r="T125" i="21"/>
  <c r="S125" i="21"/>
  <c r="R125" i="21"/>
  <c r="Q125" i="21"/>
  <c r="P125" i="21"/>
  <c r="O125" i="21"/>
  <c r="N125" i="21"/>
  <c r="M125" i="21"/>
  <c r="L125" i="21"/>
  <c r="K125" i="21"/>
  <c r="J125" i="21"/>
  <c r="I125" i="21"/>
  <c r="H125" i="21"/>
  <c r="G125" i="21"/>
  <c r="F125" i="21"/>
  <c r="E125" i="21"/>
  <c r="D125" i="21"/>
  <c r="C125" i="21"/>
  <c r="T124" i="21"/>
  <c r="S124" i="21"/>
  <c r="R124" i="21"/>
  <c r="Q124" i="21"/>
  <c r="P124" i="21"/>
  <c r="O124" i="21"/>
  <c r="N124" i="21"/>
  <c r="M124" i="21"/>
  <c r="L124" i="21"/>
  <c r="K124" i="21"/>
  <c r="J124" i="21"/>
  <c r="I124" i="21"/>
  <c r="H124" i="21"/>
  <c r="G124" i="21"/>
  <c r="F124" i="21"/>
  <c r="E124" i="21"/>
  <c r="D124" i="21"/>
  <c r="C124" i="21"/>
  <c r="AM123" i="21"/>
  <c r="AL123" i="21"/>
  <c r="AK123" i="21"/>
  <c r="AJ123" i="21"/>
  <c r="AI123" i="21"/>
  <c r="AH123" i="21"/>
  <c r="AG123" i="21"/>
  <c r="AF123" i="21"/>
  <c r="AE123" i="21"/>
  <c r="AD123" i="21"/>
  <c r="AC123" i="21"/>
  <c r="J118" i="21" s="1"/>
  <c r="AB123" i="21"/>
  <c r="AA123" i="21"/>
  <c r="Z123" i="21"/>
  <c r="Y123" i="21"/>
  <c r="X123" i="21"/>
  <c r="W123" i="21"/>
  <c r="V123" i="21"/>
  <c r="AM122" i="21"/>
  <c r="AL122" i="21"/>
  <c r="AK122" i="21"/>
  <c r="AJ122" i="21"/>
  <c r="AI122" i="21"/>
  <c r="AH122" i="21"/>
  <c r="AG122" i="21"/>
  <c r="N122" i="21" s="1"/>
  <c r="AF122" i="21"/>
  <c r="M122" i="21" s="1"/>
  <c r="AE122" i="21"/>
  <c r="L122" i="21" s="1"/>
  <c r="AD122" i="21"/>
  <c r="K122" i="21" s="1"/>
  <c r="AC122" i="21"/>
  <c r="AB122" i="21"/>
  <c r="AA122" i="21"/>
  <c r="Z122" i="21"/>
  <c r="Y122" i="21"/>
  <c r="X122" i="21"/>
  <c r="W122" i="21"/>
  <c r="D122" i="21" s="1"/>
  <c r="V122" i="21"/>
  <c r="AM121" i="21"/>
  <c r="AL121" i="21"/>
  <c r="AK121" i="21"/>
  <c r="AJ121" i="21"/>
  <c r="AI121" i="21"/>
  <c r="AH121" i="21"/>
  <c r="O121" i="21" s="1"/>
  <c r="AG121" i="21"/>
  <c r="N121" i="21" s="1"/>
  <c r="AF121" i="21"/>
  <c r="M121" i="21" s="1"/>
  <c r="AE121" i="21"/>
  <c r="L121" i="21" s="1"/>
  <c r="AD121" i="21"/>
  <c r="K121" i="21" s="1"/>
  <c r="AC121" i="21"/>
  <c r="AB121" i="21"/>
  <c r="AA121" i="21"/>
  <c r="Z121" i="21"/>
  <c r="Y121" i="21"/>
  <c r="F121" i="21" s="1"/>
  <c r="X121" i="21"/>
  <c r="W121" i="21"/>
  <c r="D121" i="21" s="1"/>
  <c r="V121" i="21"/>
  <c r="AM120" i="21"/>
  <c r="AL120" i="21"/>
  <c r="AK120" i="21"/>
  <c r="AJ120" i="21"/>
  <c r="AI120" i="21"/>
  <c r="AH120" i="21"/>
  <c r="AG120" i="21"/>
  <c r="N120" i="21" s="1"/>
  <c r="AF120" i="21"/>
  <c r="M120" i="21" s="1"/>
  <c r="AE120" i="21"/>
  <c r="AD120" i="21"/>
  <c r="K120" i="21" s="1"/>
  <c r="AC120" i="21"/>
  <c r="AB120" i="21"/>
  <c r="AA120" i="21"/>
  <c r="Z120" i="21"/>
  <c r="Y120" i="21"/>
  <c r="F120" i="21" s="1"/>
  <c r="X120" i="21"/>
  <c r="W120" i="21"/>
  <c r="V120" i="21"/>
  <c r="T120" i="21" s="1"/>
  <c r="L120" i="21"/>
  <c r="D120" i="21"/>
  <c r="AM119" i="21"/>
  <c r="AL119" i="21"/>
  <c r="AK119" i="21"/>
  <c r="AJ119" i="21"/>
  <c r="AI119" i="21"/>
  <c r="AH119" i="21"/>
  <c r="AG119" i="21"/>
  <c r="N119" i="21" s="1"/>
  <c r="AF119" i="21"/>
  <c r="M119" i="21" s="1"/>
  <c r="AE119" i="21"/>
  <c r="L119" i="21" s="1"/>
  <c r="AD119" i="21"/>
  <c r="K119" i="21" s="1"/>
  <c r="AC119" i="21"/>
  <c r="AB119" i="21"/>
  <c r="AA119" i="21"/>
  <c r="Z119" i="21"/>
  <c r="Y119" i="21"/>
  <c r="X119" i="21"/>
  <c r="W119" i="21"/>
  <c r="D119" i="21" s="1"/>
  <c r="V119" i="21"/>
  <c r="AM118" i="21"/>
  <c r="AL118" i="21"/>
  <c r="AK118" i="21"/>
  <c r="AJ118" i="21"/>
  <c r="AI118" i="21"/>
  <c r="AH118" i="21"/>
  <c r="AG118" i="21"/>
  <c r="N118" i="21" s="1"/>
  <c r="AF118" i="21"/>
  <c r="M118" i="21" s="1"/>
  <c r="AE118" i="21"/>
  <c r="L118" i="21" s="1"/>
  <c r="AD118" i="21"/>
  <c r="K118" i="21" s="1"/>
  <c r="AC118" i="21"/>
  <c r="AB118" i="21"/>
  <c r="AA118" i="21"/>
  <c r="Z118" i="21"/>
  <c r="Y118" i="21"/>
  <c r="F118" i="21" s="1"/>
  <c r="X118" i="21"/>
  <c r="W118" i="21"/>
  <c r="D118" i="21" s="1"/>
  <c r="V118" i="21"/>
  <c r="L66" i="22"/>
  <c r="K66" i="22"/>
  <c r="J66" i="22"/>
  <c r="I66" i="22"/>
  <c r="H66" i="22"/>
  <c r="G66" i="22"/>
  <c r="F66" i="22"/>
  <c r="E66" i="22"/>
  <c r="D66" i="22"/>
  <c r="C66" i="22"/>
  <c r="L65" i="22"/>
  <c r="K65" i="22"/>
  <c r="J65" i="22"/>
  <c r="I65" i="22"/>
  <c r="H65" i="22"/>
  <c r="G65" i="22"/>
  <c r="F65" i="22"/>
  <c r="E65" i="22"/>
  <c r="D65" i="22"/>
  <c r="C65" i="22"/>
  <c r="L64" i="22"/>
  <c r="K64" i="22"/>
  <c r="J64" i="22"/>
  <c r="I64" i="22"/>
  <c r="H64" i="22"/>
  <c r="G64" i="22"/>
  <c r="F64" i="22"/>
  <c r="E64" i="22"/>
  <c r="D64" i="22"/>
  <c r="C64" i="22"/>
  <c r="L63" i="22"/>
  <c r="K63" i="22"/>
  <c r="J63" i="22"/>
  <c r="I63" i="22"/>
  <c r="H63" i="22"/>
  <c r="G63" i="22"/>
  <c r="F63" i="22"/>
  <c r="E63" i="22"/>
  <c r="D63" i="22"/>
  <c r="C63" i="22"/>
  <c r="L62" i="22"/>
  <c r="K62" i="22"/>
  <c r="J62" i="22"/>
  <c r="I62" i="22"/>
  <c r="H62" i="22"/>
  <c r="G62" i="22"/>
  <c r="F62" i="22"/>
  <c r="E62" i="22"/>
  <c r="D62" i="22"/>
  <c r="C62" i="22"/>
  <c r="L61" i="22"/>
  <c r="K61" i="22"/>
  <c r="J61" i="22"/>
  <c r="I61" i="22"/>
  <c r="H61" i="22"/>
  <c r="G61" i="22"/>
  <c r="F61" i="22"/>
  <c r="E61" i="22"/>
  <c r="D61" i="22"/>
  <c r="C61" i="22"/>
  <c r="L60" i="22"/>
  <c r="K60" i="22"/>
  <c r="J60" i="22"/>
  <c r="I60" i="22"/>
  <c r="H60" i="22"/>
  <c r="G60" i="22"/>
  <c r="F60" i="22"/>
  <c r="E60" i="22"/>
  <c r="D60" i="22"/>
  <c r="C60" i="22"/>
  <c r="L59" i="22"/>
  <c r="K59" i="22"/>
  <c r="J59" i="22"/>
  <c r="I59" i="22"/>
  <c r="H59" i="22"/>
  <c r="G59" i="22"/>
  <c r="F59" i="22"/>
  <c r="E59" i="22"/>
  <c r="D59" i="22"/>
  <c r="C59" i="22"/>
  <c r="L58" i="22"/>
  <c r="K58" i="22"/>
  <c r="J58" i="22"/>
  <c r="I58" i="22"/>
  <c r="H58" i="22"/>
  <c r="G58" i="22"/>
  <c r="F58" i="22"/>
  <c r="E58" i="22"/>
  <c r="D58" i="22"/>
  <c r="C58" i="22"/>
  <c r="L57" i="22"/>
  <c r="K57" i="22"/>
  <c r="J57" i="22"/>
  <c r="I57" i="22"/>
  <c r="H57" i="22"/>
  <c r="G57" i="22"/>
  <c r="F57" i="22"/>
  <c r="E57" i="22"/>
  <c r="D57" i="22"/>
  <c r="C57" i="22"/>
  <c r="L55" i="22"/>
  <c r="K55" i="22"/>
  <c r="J55" i="22"/>
  <c r="I55" i="22"/>
  <c r="H55" i="22"/>
  <c r="G55" i="22"/>
  <c r="F55" i="22"/>
  <c r="E55" i="22"/>
  <c r="D55" i="22"/>
  <c r="C55" i="22"/>
  <c r="L54" i="22"/>
  <c r="K54" i="22"/>
  <c r="J54" i="22"/>
  <c r="I54" i="22"/>
  <c r="H54" i="22"/>
  <c r="G54" i="22"/>
  <c r="F54" i="22"/>
  <c r="E54" i="22"/>
  <c r="D54" i="22"/>
  <c r="C54" i="22"/>
  <c r="L53" i="22"/>
  <c r="K53" i="22"/>
  <c r="J53" i="22"/>
  <c r="I53" i="22"/>
  <c r="H53" i="22"/>
  <c r="G53" i="22"/>
  <c r="F53" i="22"/>
  <c r="E53" i="22"/>
  <c r="D53" i="22"/>
  <c r="C53" i="22"/>
  <c r="L52" i="22"/>
  <c r="K52" i="22"/>
  <c r="J52" i="22"/>
  <c r="I52" i="22"/>
  <c r="H52" i="22"/>
  <c r="G52" i="22"/>
  <c r="F52" i="22"/>
  <c r="E52" i="22"/>
  <c r="D52" i="22"/>
  <c r="C52" i="22"/>
  <c r="L51" i="22"/>
  <c r="K51" i="22"/>
  <c r="J51" i="22"/>
  <c r="I51" i="22"/>
  <c r="H51" i="22"/>
  <c r="G51" i="22"/>
  <c r="F51" i="22"/>
  <c r="E51" i="22"/>
  <c r="D51" i="22"/>
  <c r="C51" i="22"/>
  <c r="L50" i="22"/>
  <c r="K50" i="22"/>
  <c r="J50" i="22"/>
  <c r="I50" i="22"/>
  <c r="H50" i="22"/>
  <c r="G50" i="22"/>
  <c r="F50" i="22"/>
  <c r="E50" i="22"/>
  <c r="D50" i="22"/>
  <c r="C50" i="22"/>
  <c r="L49" i="22"/>
  <c r="K49" i="22"/>
  <c r="J49" i="22"/>
  <c r="I49" i="22"/>
  <c r="H49" i="22"/>
  <c r="G49" i="22"/>
  <c r="F49" i="22"/>
  <c r="E49" i="22"/>
  <c r="D49" i="22"/>
  <c r="C49" i="22"/>
  <c r="L48" i="22"/>
  <c r="K48" i="22"/>
  <c r="J48" i="22"/>
  <c r="I48" i="22"/>
  <c r="H48" i="22"/>
  <c r="G48" i="22"/>
  <c r="F48" i="22"/>
  <c r="E48" i="22"/>
  <c r="D48" i="22"/>
  <c r="C48" i="22"/>
  <c r="L47" i="22"/>
  <c r="K47" i="22"/>
  <c r="J47" i="22"/>
  <c r="I47" i="22"/>
  <c r="H47" i="22"/>
  <c r="G47" i="22"/>
  <c r="F47" i="22"/>
  <c r="E47" i="22"/>
  <c r="D47" i="22"/>
  <c r="C47" i="22"/>
  <c r="L46" i="22"/>
  <c r="K46" i="22"/>
  <c r="J46" i="22"/>
  <c r="I46" i="22"/>
  <c r="H46" i="22"/>
  <c r="G46" i="22"/>
  <c r="F46" i="22"/>
  <c r="E46" i="22"/>
  <c r="D46" i="22"/>
  <c r="C46" i="22"/>
  <c r="L45" i="22"/>
  <c r="K45" i="22"/>
  <c r="J45" i="22"/>
  <c r="I45" i="22"/>
  <c r="H45" i="22"/>
  <c r="G45" i="22"/>
  <c r="F45" i="22"/>
  <c r="E45" i="22"/>
  <c r="D45" i="22"/>
  <c r="C45" i="22"/>
  <c r="L44" i="22"/>
  <c r="K44" i="22"/>
  <c r="J44" i="22"/>
  <c r="I44" i="22"/>
  <c r="H44" i="22"/>
  <c r="G44" i="22"/>
  <c r="F44" i="22"/>
  <c r="E44" i="22"/>
  <c r="D44" i="22"/>
  <c r="C44" i="22"/>
  <c r="L43" i="22"/>
  <c r="K43" i="22"/>
  <c r="J43" i="22"/>
  <c r="I43" i="22"/>
  <c r="H43" i="22"/>
  <c r="G43" i="22"/>
  <c r="F43" i="22"/>
  <c r="E43" i="22"/>
  <c r="D43" i="22"/>
  <c r="C43" i="22"/>
  <c r="L41" i="22"/>
  <c r="K41" i="22"/>
  <c r="J41" i="22"/>
  <c r="I41" i="22"/>
  <c r="H41" i="22"/>
  <c r="G41" i="22"/>
  <c r="F41" i="22"/>
  <c r="E41" i="22"/>
  <c r="D41" i="22"/>
  <c r="C41" i="22"/>
  <c r="L40" i="22"/>
  <c r="K40" i="22"/>
  <c r="J40" i="22"/>
  <c r="I40" i="22"/>
  <c r="H40" i="22"/>
  <c r="G40" i="22"/>
  <c r="F40" i="22"/>
  <c r="E40" i="22"/>
  <c r="D40" i="22"/>
  <c r="C40" i="22"/>
  <c r="L39" i="22"/>
  <c r="K39" i="22"/>
  <c r="J39" i="22"/>
  <c r="I39" i="22"/>
  <c r="H39" i="22"/>
  <c r="G39" i="22"/>
  <c r="F39" i="22"/>
  <c r="E39" i="22"/>
  <c r="D39" i="22"/>
  <c r="C39" i="22"/>
  <c r="L38" i="22"/>
  <c r="K38" i="22"/>
  <c r="J38" i="22"/>
  <c r="I38" i="22"/>
  <c r="H38" i="22"/>
  <c r="G38" i="22"/>
  <c r="F38" i="22"/>
  <c r="E38" i="22"/>
  <c r="D38" i="22"/>
  <c r="C38" i="22"/>
  <c r="L37" i="22"/>
  <c r="K37" i="22"/>
  <c r="J37" i="22"/>
  <c r="I37" i="22"/>
  <c r="H37" i="22"/>
  <c r="G37" i="22"/>
  <c r="F37" i="22"/>
  <c r="E37" i="22"/>
  <c r="D37" i="22"/>
  <c r="C37" i="22"/>
  <c r="L36" i="22"/>
  <c r="K36" i="22"/>
  <c r="J36" i="22"/>
  <c r="I36" i="22"/>
  <c r="H36" i="22"/>
  <c r="G36" i="22"/>
  <c r="F36" i="22"/>
  <c r="E36" i="22"/>
  <c r="D36" i="22"/>
  <c r="C36" i="22"/>
  <c r="L35" i="22"/>
  <c r="K35" i="22"/>
  <c r="J35" i="22"/>
  <c r="I35" i="22"/>
  <c r="H35" i="22"/>
  <c r="G35" i="22"/>
  <c r="F35" i="22"/>
  <c r="E35" i="22"/>
  <c r="D35" i="22"/>
  <c r="C35" i="22"/>
  <c r="L34" i="22"/>
  <c r="K34" i="22"/>
  <c r="J34" i="22"/>
  <c r="I34" i="22"/>
  <c r="H34" i="22"/>
  <c r="G34" i="22"/>
  <c r="F34" i="22"/>
  <c r="E34" i="22"/>
  <c r="D34" i="22"/>
  <c r="C34" i="22"/>
  <c r="L33" i="22"/>
  <c r="K33" i="22"/>
  <c r="J33" i="22"/>
  <c r="I33" i="22"/>
  <c r="H33" i="22"/>
  <c r="G33" i="22"/>
  <c r="F33" i="22"/>
  <c r="E33" i="22"/>
  <c r="D33" i="22"/>
  <c r="C33" i="22"/>
  <c r="L32" i="22"/>
  <c r="K32" i="22"/>
  <c r="J32" i="22"/>
  <c r="I32" i="22"/>
  <c r="H32" i="22"/>
  <c r="F32" i="22"/>
  <c r="E32" i="22"/>
  <c r="D32" i="22"/>
  <c r="C32" i="22"/>
  <c r="L31" i="22"/>
  <c r="K31" i="22"/>
  <c r="J31" i="22"/>
  <c r="I31" i="22"/>
  <c r="H31" i="22"/>
  <c r="G31" i="22"/>
  <c r="F31" i="22"/>
  <c r="E31" i="22"/>
  <c r="D31" i="22"/>
  <c r="C31" i="22"/>
  <c r="L30" i="22"/>
  <c r="K30" i="22"/>
  <c r="J30" i="22"/>
  <c r="I30" i="22"/>
  <c r="H30" i="22"/>
  <c r="G30" i="22"/>
  <c r="F30" i="22"/>
  <c r="E30" i="22"/>
  <c r="D30" i="22"/>
  <c r="C30" i="22"/>
  <c r="L29" i="22"/>
  <c r="K29" i="22"/>
  <c r="J29" i="22"/>
  <c r="I29" i="22"/>
  <c r="H29" i="22"/>
  <c r="G29" i="22"/>
  <c r="F29" i="22"/>
  <c r="E29" i="22"/>
  <c r="D29" i="22"/>
  <c r="C29" i="22"/>
  <c r="L28" i="22"/>
  <c r="K28" i="22"/>
  <c r="J28" i="22"/>
  <c r="I28" i="22"/>
  <c r="H28" i="22"/>
  <c r="G28" i="22"/>
  <c r="F28" i="22"/>
  <c r="E28" i="22"/>
  <c r="D28" i="22"/>
  <c r="C28" i="22"/>
  <c r="L26" i="22"/>
  <c r="K26" i="22"/>
  <c r="J26" i="22"/>
  <c r="I26" i="22"/>
  <c r="H26" i="22"/>
  <c r="G26" i="22"/>
  <c r="F26" i="22"/>
  <c r="E26" i="22"/>
  <c r="D26" i="22"/>
  <c r="C26" i="22"/>
  <c r="L25" i="22"/>
  <c r="K25" i="22"/>
  <c r="J25" i="22"/>
  <c r="I25" i="22"/>
  <c r="H25" i="22"/>
  <c r="G25" i="22"/>
  <c r="F25" i="22"/>
  <c r="E25" i="22"/>
  <c r="D25" i="22"/>
  <c r="C25" i="22"/>
  <c r="L24" i="22"/>
  <c r="K24" i="22"/>
  <c r="J24" i="22"/>
  <c r="I24" i="22"/>
  <c r="H24" i="22"/>
  <c r="G24" i="22"/>
  <c r="F24" i="22"/>
  <c r="E24" i="22"/>
  <c r="D24" i="22"/>
  <c r="C24" i="22"/>
  <c r="L23" i="22"/>
  <c r="K23" i="22"/>
  <c r="J23" i="22"/>
  <c r="I23" i="22"/>
  <c r="H23" i="22"/>
  <c r="G23" i="22"/>
  <c r="F23" i="22"/>
  <c r="E23" i="22"/>
  <c r="D23" i="22"/>
  <c r="C23" i="22"/>
  <c r="L22" i="22"/>
  <c r="K22" i="22"/>
  <c r="J22" i="22"/>
  <c r="I22" i="22"/>
  <c r="H22" i="22"/>
  <c r="G22" i="22"/>
  <c r="F22" i="22"/>
  <c r="E22" i="22"/>
  <c r="D22" i="22"/>
  <c r="C22" i="22"/>
  <c r="L21" i="22"/>
  <c r="K21" i="22"/>
  <c r="J21" i="22"/>
  <c r="I21" i="22"/>
  <c r="H21" i="22"/>
  <c r="G21" i="22"/>
  <c r="F21" i="22"/>
  <c r="E21" i="22"/>
  <c r="D21" i="22"/>
  <c r="C21" i="22"/>
  <c r="L20" i="22"/>
  <c r="K20" i="22"/>
  <c r="J20" i="22"/>
  <c r="I20" i="22"/>
  <c r="H20" i="22"/>
  <c r="G20" i="22"/>
  <c r="F20" i="22"/>
  <c r="E20" i="22"/>
  <c r="D20" i="22"/>
  <c r="C20" i="22"/>
  <c r="L19" i="22"/>
  <c r="K19" i="22"/>
  <c r="J19" i="22"/>
  <c r="I19" i="22"/>
  <c r="H19" i="22"/>
  <c r="G19" i="22"/>
  <c r="F19" i="22"/>
  <c r="E19" i="22"/>
  <c r="D19" i="22"/>
  <c r="C19" i="22"/>
  <c r="L18" i="22"/>
  <c r="K18" i="22"/>
  <c r="J18" i="22"/>
  <c r="I18" i="22"/>
  <c r="H18" i="22"/>
  <c r="G18" i="22"/>
  <c r="F18" i="22"/>
  <c r="E18" i="22"/>
  <c r="D18" i="22"/>
  <c r="C18" i="22"/>
  <c r="L17" i="22"/>
  <c r="K17" i="22"/>
  <c r="J17" i="22"/>
  <c r="I17" i="22"/>
  <c r="H17" i="22"/>
  <c r="G17" i="22"/>
  <c r="F17" i="22"/>
  <c r="E17" i="22"/>
  <c r="D17" i="22"/>
  <c r="C17" i="22"/>
  <c r="L16" i="22"/>
  <c r="K16" i="22"/>
  <c r="J16" i="22"/>
  <c r="I16" i="22"/>
  <c r="H16" i="22"/>
  <c r="G16" i="22"/>
  <c r="F16" i="22"/>
  <c r="E16" i="22"/>
  <c r="D16" i="22"/>
  <c r="C16" i="22"/>
  <c r="L15" i="22"/>
  <c r="K15" i="22"/>
  <c r="J15" i="22"/>
  <c r="I15" i="22"/>
  <c r="H15" i="22"/>
  <c r="G15" i="22"/>
  <c r="F15" i="22"/>
  <c r="E15" i="22"/>
  <c r="D15" i="22"/>
  <c r="C15" i="22"/>
  <c r="L14" i="22"/>
  <c r="K14" i="22"/>
  <c r="J14" i="22"/>
  <c r="I14" i="22"/>
  <c r="H14" i="22"/>
  <c r="G14" i="22"/>
  <c r="F14" i="22"/>
  <c r="E14" i="22"/>
  <c r="D14" i="22"/>
  <c r="C14" i="22"/>
  <c r="L13" i="22"/>
  <c r="K13" i="22"/>
  <c r="J13" i="22"/>
  <c r="I13" i="22"/>
  <c r="H13" i="22"/>
  <c r="G13" i="22"/>
  <c r="F13" i="22"/>
  <c r="E13" i="22"/>
  <c r="D13" i="22"/>
  <c r="C13" i="22"/>
  <c r="L12" i="22"/>
  <c r="K12" i="22"/>
  <c r="J12" i="22"/>
  <c r="I12" i="22"/>
  <c r="H12" i="22"/>
  <c r="G12" i="22"/>
  <c r="F12" i="22"/>
  <c r="E12" i="22"/>
  <c r="D12" i="22"/>
  <c r="C12" i="22"/>
  <c r="L11" i="22"/>
  <c r="K11" i="22"/>
  <c r="J11" i="22"/>
  <c r="I11" i="22"/>
  <c r="H11" i="22"/>
  <c r="G11" i="22"/>
  <c r="F11" i="22"/>
  <c r="E11" i="22"/>
  <c r="D11" i="22"/>
  <c r="C11" i="22"/>
  <c r="L10" i="22"/>
  <c r="K10" i="22"/>
  <c r="J10" i="22"/>
  <c r="I10" i="22"/>
  <c r="H10" i="22"/>
  <c r="G10" i="22"/>
  <c r="F10" i="22"/>
  <c r="E10" i="22"/>
  <c r="D10" i="22"/>
  <c r="C10" i="22"/>
  <c r="L8" i="22"/>
  <c r="K8" i="22"/>
  <c r="J8" i="22"/>
  <c r="I8" i="22"/>
  <c r="H8" i="22"/>
  <c r="G8" i="22"/>
  <c r="F8" i="22"/>
  <c r="E8" i="22"/>
  <c r="D8" i="22"/>
  <c r="C8" i="22"/>
  <c r="L7" i="22"/>
  <c r="K7" i="22"/>
  <c r="J7" i="22"/>
  <c r="I7" i="22"/>
  <c r="H7" i="22"/>
  <c r="G7" i="22"/>
  <c r="F7" i="22"/>
  <c r="E7" i="22"/>
  <c r="D7" i="22"/>
  <c r="C7" i="22"/>
  <c r="J119" i="21" l="1"/>
  <c r="G120" i="21"/>
  <c r="E121" i="21"/>
  <c r="T122" i="21"/>
  <c r="S122" i="21" s="1"/>
  <c r="E135" i="21"/>
  <c r="M135" i="21"/>
  <c r="C135" i="21"/>
  <c r="K135" i="21"/>
  <c r="S135" i="21"/>
  <c r="I147" i="21"/>
  <c r="Q147" i="21"/>
  <c r="G147" i="21"/>
  <c r="O147" i="21"/>
  <c r="E159" i="21"/>
  <c r="M159" i="21"/>
  <c r="C159" i="21"/>
  <c r="K159" i="21"/>
  <c r="S159" i="21"/>
  <c r="I171" i="21"/>
  <c r="Q171" i="21"/>
  <c r="G171" i="21"/>
  <c r="O171" i="21"/>
  <c r="E183" i="21"/>
  <c r="M183" i="21"/>
  <c r="C183" i="21"/>
  <c r="K183" i="21"/>
  <c r="S183" i="21"/>
  <c r="I195" i="21"/>
  <c r="Q195" i="21"/>
  <c r="G195" i="21"/>
  <c r="O195" i="21"/>
  <c r="R204" i="21"/>
  <c r="G285" i="21"/>
  <c r="G122" i="21"/>
  <c r="P285" i="21"/>
  <c r="G118" i="21"/>
  <c r="Q232" i="18"/>
  <c r="AI230" i="18"/>
  <c r="Q234" i="18"/>
  <c r="Q233" i="18"/>
  <c r="Q235" i="18"/>
  <c r="Q231" i="18"/>
  <c r="Q236" i="18"/>
  <c r="H120" i="21"/>
  <c r="I118" i="21"/>
  <c r="H129" i="21"/>
  <c r="N135" i="21"/>
  <c r="J147" i="21"/>
  <c r="H147" i="21"/>
  <c r="P153" i="21"/>
  <c r="F159" i="21"/>
  <c r="R171" i="21"/>
  <c r="H171" i="21"/>
  <c r="P177" i="21"/>
  <c r="N183" i="21"/>
  <c r="J195" i="21"/>
  <c r="H195" i="21"/>
  <c r="H201" i="21"/>
  <c r="G121" i="21"/>
  <c r="L203" i="21"/>
  <c r="L207" i="21" s="1"/>
  <c r="K204" i="21"/>
  <c r="J204" i="21" s="1"/>
  <c r="H118" i="21"/>
  <c r="P120" i="21"/>
  <c r="P129" i="21"/>
  <c r="F135" i="21"/>
  <c r="R147" i="21"/>
  <c r="P147" i="21"/>
  <c r="H153" i="21"/>
  <c r="N159" i="21"/>
  <c r="J171" i="21"/>
  <c r="P171" i="21"/>
  <c r="H177" i="21"/>
  <c r="F183" i="21"/>
  <c r="R195" i="21"/>
  <c r="P195" i="21"/>
  <c r="P201" i="21"/>
  <c r="D285" i="21"/>
  <c r="J120" i="21"/>
  <c r="T206" i="21"/>
  <c r="S206" i="21" s="1"/>
  <c r="H285" i="21"/>
  <c r="R122" i="21"/>
  <c r="Q122" i="21" s="1"/>
  <c r="H119" i="21"/>
  <c r="P119" i="21"/>
  <c r="S120" i="21"/>
  <c r="H122" i="21"/>
  <c r="E285" i="21"/>
  <c r="E120" i="21"/>
  <c r="T202" i="21"/>
  <c r="E122" i="21"/>
  <c r="C119" i="21"/>
  <c r="P205" i="21"/>
  <c r="O205" i="21" s="1"/>
  <c r="P28" i="22"/>
  <c r="O204" i="21"/>
  <c r="O119" i="21"/>
  <c r="D123" i="21"/>
  <c r="R284" i="16"/>
  <c r="J121" i="21"/>
  <c r="I121" i="21" s="1"/>
  <c r="T118" i="21"/>
  <c r="S118" i="21" s="1"/>
  <c r="K123" i="21"/>
  <c r="O120" i="21"/>
  <c r="J122" i="21"/>
  <c r="I122" i="21" s="1"/>
  <c r="H121" i="21"/>
  <c r="C204" i="21"/>
  <c r="O10" i="22"/>
  <c r="P17" i="22"/>
  <c r="O37" i="22"/>
  <c r="O33" i="22"/>
  <c r="O31" i="22"/>
  <c r="O29" i="22"/>
  <c r="R234" i="18"/>
  <c r="R231" i="18"/>
  <c r="R235" i="18"/>
  <c r="R233" i="18"/>
  <c r="R236" i="18"/>
  <c r="R232" i="18"/>
  <c r="AJ230" i="18"/>
  <c r="S228" i="18"/>
  <c r="S225" i="18"/>
  <c r="S226" i="18"/>
  <c r="S229" i="18"/>
  <c r="AK224" i="18"/>
  <c r="S230" i="18"/>
  <c r="S227" i="18"/>
  <c r="P229" i="18"/>
  <c r="P225" i="18"/>
  <c r="P227" i="18"/>
  <c r="P228" i="18"/>
  <c r="P230" i="18"/>
  <c r="P226" i="18"/>
  <c r="AH224" i="18"/>
  <c r="P25" i="22"/>
  <c r="P23" i="22"/>
  <c r="P14" i="22"/>
  <c r="P12" i="22"/>
  <c r="O17" i="22"/>
  <c r="O57" i="22"/>
  <c r="O55" i="22"/>
  <c r="O48" i="22"/>
  <c r="O45" i="22"/>
  <c r="O40" i="22"/>
  <c r="N41" i="22"/>
  <c r="O39" i="22"/>
  <c r="O32" i="22"/>
  <c r="O22" i="22"/>
  <c r="O19" i="22"/>
  <c r="O14" i="22"/>
  <c r="O8" i="22"/>
  <c r="P63" i="22"/>
  <c r="P24" i="22"/>
  <c r="P22" i="22"/>
  <c r="P21" i="22"/>
  <c r="P20" i="22"/>
  <c r="P19" i="22"/>
  <c r="P18" i="22"/>
  <c r="P16" i="22"/>
  <c r="P15" i="22"/>
  <c r="P13" i="22"/>
  <c r="P11" i="22"/>
  <c r="P10" i="22"/>
  <c r="M8" i="22"/>
  <c r="P8" i="22"/>
  <c r="P7" i="22"/>
  <c r="M7" i="22"/>
  <c r="D207" i="21"/>
  <c r="N123" i="21"/>
  <c r="H205" i="21"/>
  <c r="N279" i="16"/>
  <c r="M279" i="16" s="1"/>
  <c r="O284" i="16"/>
  <c r="N284" i="16" s="1"/>
  <c r="M284" i="16" s="1"/>
  <c r="L284" i="16" s="1"/>
  <c r="K284" i="16" s="1"/>
  <c r="M26" i="22"/>
  <c r="I206" i="21"/>
  <c r="O28" i="22"/>
  <c r="R120" i="21"/>
  <c r="Q120" i="21" s="1"/>
  <c r="I129" i="21"/>
  <c r="Q129" i="21"/>
  <c r="G129" i="21"/>
  <c r="O129" i="21"/>
  <c r="E141" i="21"/>
  <c r="M141" i="21"/>
  <c r="C141" i="21"/>
  <c r="K141" i="21"/>
  <c r="S141" i="21"/>
  <c r="I153" i="21"/>
  <c r="Q153" i="21"/>
  <c r="G153" i="21"/>
  <c r="O153" i="21"/>
  <c r="E165" i="21"/>
  <c r="M165" i="21"/>
  <c r="C165" i="21"/>
  <c r="K165" i="21"/>
  <c r="S165" i="21"/>
  <c r="I177" i="21"/>
  <c r="Q177" i="21"/>
  <c r="G177" i="21"/>
  <c r="O177" i="21"/>
  <c r="E189" i="21"/>
  <c r="M189" i="21"/>
  <c r="C189" i="21"/>
  <c r="K189" i="21"/>
  <c r="S189" i="21"/>
  <c r="I201" i="21"/>
  <c r="Q201" i="21"/>
  <c r="G201" i="21"/>
  <c r="O201" i="21"/>
  <c r="D152" i="20"/>
  <c r="E157" i="20"/>
  <c r="O12" i="22"/>
  <c r="O20" i="22"/>
  <c r="O30" i="22"/>
  <c r="O36" i="22"/>
  <c r="O49" i="22"/>
  <c r="O53" i="22"/>
  <c r="M55" i="22"/>
  <c r="O65" i="22"/>
  <c r="O66" i="22"/>
  <c r="T119" i="21"/>
  <c r="S119" i="21" s="1"/>
  <c r="R119" i="21" s="1"/>
  <c r="F122" i="21"/>
  <c r="J129" i="21"/>
  <c r="R129" i="21"/>
  <c r="F141" i="21"/>
  <c r="N141" i="21"/>
  <c r="D141" i="21"/>
  <c r="L141" i="21"/>
  <c r="T141" i="21"/>
  <c r="D147" i="21"/>
  <c r="L147" i="21"/>
  <c r="T147" i="21"/>
  <c r="J153" i="21"/>
  <c r="R153" i="21"/>
  <c r="F165" i="21"/>
  <c r="N165" i="21"/>
  <c r="D165" i="21"/>
  <c r="L165" i="21"/>
  <c r="T165" i="21"/>
  <c r="D171" i="21"/>
  <c r="L171" i="21"/>
  <c r="T171" i="21"/>
  <c r="J177" i="21"/>
  <c r="R177" i="21"/>
  <c r="F189" i="21"/>
  <c r="N189" i="21"/>
  <c r="D189" i="21"/>
  <c r="L189" i="21"/>
  <c r="T189" i="21"/>
  <c r="D195" i="21"/>
  <c r="L195" i="21"/>
  <c r="T195" i="21"/>
  <c r="J201" i="21"/>
  <c r="R201" i="21"/>
  <c r="T204" i="21"/>
  <c r="J22" i="20"/>
  <c r="O23" i="22"/>
  <c r="O38" i="22"/>
  <c r="G135" i="21"/>
  <c r="E147" i="21"/>
  <c r="K147" i="21"/>
  <c r="G159" i="21"/>
  <c r="M171" i="21"/>
  <c r="S171" i="21"/>
  <c r="G183" i="21"/>
  <c r="M195" i="21"/>
  <c r="S195" i="21"/>
  <c r="O43" i="22"/>
  <c r="O59" i="22"/>
  <c r="O62" i="22"/>
  <c r="J135" i="21"/>
  <c r="R135" i="21"/>
  <c r="H135" i="21"/>
  <c r="P135" i="21"/>
  <c r="H141" i="21"/>
  <c r="P141" i="21"/>
  <c r="F147" i="21"/>
  <c r="N147" i="21"/>
  <c r="J159" i="21"/>
  <c r="R159" i="21"/>
  <c r="H159" i="21"/>
  <c r="P159" i="21"/>
  <c r="H165" i="21"/>
  <c r="P165" i="21"/>
  <c r="F171" i="21"/>
  <c r="N171" i="21"/>
  <c r="J183" i="21"/>
  <c r="R183" i="21"/>
  <c r="H183" i="21"/>
  <c r="P183" i="21"/>
  <c r="H189" i="21"/>
  <c r="P189" i="21"/>
  <c r="F195" i="21"/>
  <c r="N195" i="21"/>
  <c r="C206" i="21"/>
  <c r="O61" i="22"/>
  <c r="O15" i="22"/>
  <c r="P29" i="22"/>
  <c r="O34" i="22"/>
  <c r="L123" i="21"/>
  <c r="Q135" i="21"/>
  <c r="M147" i="21"/>
  <c r="S147" i="21"/>
  <c r="I159" i="21"/>
  <c r="O159" i="21"/>
  <c r="C171" i="21"/>
  <c r="Q183" i="21"/>
  <c r="C195" i="21"/>
  <c r="F279" i="16"/>
  <c r="E279" i="16" s="1"/>
  <c r="G284" i="16"/>
  <c r="F284" i="16" s="1"/>
  <c r="E284" i="16" s="1"/>
  <c r="D284" i="16" s="1"/>
  <c r="C284" i="16" s="1"/>
  <c r="O18" i="22"/>
  <c r="O26" i="22"/>
  <c r="N26" i="22" s="1"/>
  <c r="P37" i="22"/>
  <c r="O50" i="22"/>
  <c r="O54" i="22"/>
  <c r="O63" i="22"/>
  <c r="R118" i="21"/>
  <c r="Q118" i="21" s="1"/>
  <c r="E119" i="21"/>
  <c r="N7" i="22"/>
  <c r="O21" i="22"/>
  <c r="O35" i="22"/>
  <c r="O41" i="22"/>
  <c r="O47" i="22"/>
  <c r="P66" i="22"/>
  <c r="F119" i="21"/>
  <c r="P121" i="21"/>
  <c r="G119" i="21"/>
  <c r="E129" i="21"/>
  <c r="M129" i="21"/>
  <c r="C129" i="21"/>
  <c r="K129" i="21"/>
  <c r="S129" i="21"/>
  <c r="I141" i="21"/>
  <c r="Q141" i="21"/>
  <c r="G141" i="21"/>
  <c r="O141" i="21"/>
  <c r="E153" i="21"/>
  <c r="M153" i="21"/>
  <c r="C153" i="21"/>
  <c r="K153" i="21"/>
  <c r="S153" i="21"/>
  <c r="I165" i="21"/>
  <c r="Q165" i="21"/>
  <c r="G165" i="21"/>
  <c r="O165" i="21"/>
  <c r="E177" i="21"/>
  <c r="M177" i="21"/>
  <c r="C177" i="21"/>
  <c r="K177" i="21"/>
  <c r="S177" i="21"/>
  <c r="I189" i="21"/>
  <c r="Q189" i="21"/>
  <c r="G189" i="21"/>
  <c r="O189" i="21"/>
  <c r="E201" i="21"/>
  <c r="M201" i="21"/>
  <c r="C201" i="21"/>
  <c r="K201" i="21"/>
  <c r="S201" i="21"/>
  <c r="C203" i="21"/>
  <c r="E205" i="21"/>
  <c r="F206" i="21"/>
  <c r="E206" i="21" s="1"/>
  <c r="N206" i="21"/>
  <c r="M206" i="21" s="1"/>
  <c r="C285" i="21"/>
  <c r="L152" i="20"/>
  <c r="M157" i="20"/>
  <c r="S284" i="16"/>
  <c r="G241" i="20"/>
  <c r="I120" i="21"/>
  <c r="N8" i="22"/>
  <c r="I135" i="21"/>
  <c r="O135" i="21"/>
  <c r="C147" i="21"/>
  <c r="Q159" i="21"/>
  <c r="E171" i="21"/>
  <c r="K171" i="21"/>
  <c r="I183" i="21"/>
  <c r="O183" i="21"/>
  <c r="E195" i="21"/>
  <c r="K195" i="21"/>
  <c r="O7" i="22"/>
  <c r="O16" i="22"/>
  <c r="O24" i="22"/>
  <c r="O44" i="22"/>
  <c r="O51" i="22"/>
  <c r="O60" i="22"/>
  <c r="E118" i="21"/>
  <c r="M123" i="21"/>
  <c r="P122" i="21"/>
  <c r="O122" i="21" s="1"/>
  <c r="F129" i="21"/>
  <c r="N129" i="21"/>
  <c r="D129" i="21"/>
  <c r="L129" i="21"/>
  <c r="T129" i="21"/>
  <c r="D135" i="21"/>
  <c r="L135" i="21"/>
  <c r="T135" i="21"/>
  <c r="J141" i="21"/>
  <c r="R141" i="21"/>
  <c r="F153" i="21"/>
  <c r="N153" i="21"/>
  <c r="D153" i="21"/>
  <c r="L153" i="21"/>
  <c r="T153" i="21"/>
  <c r="D159" i="21"/>
  <c r="L159" i="21"/>
  <c r="T159" i="21"/>
  <c r="J165" i="21"/>
  <c r="R165" i="21"/>
  <c r="F177" i="21"/>
  <c r="N177" i="21"/>
  <c r="D177" i="21"/>
  <c r="L177" i="21"/>
  <c r="T177" i="21"/>
  <c r="D183" i="21"/>
  <c r="L183" i="21"/>
  <c r="T183" i="21"/>
  <c r="J189" i="21"/>
  <c r="R189" i="21"/>
  <c r="F201" i="21"/>
  <c r="N201" i="21"/>
  <c r="D201" i="21"/>
  <c r="L201" i="21"/>
  <c r="T201" i="21"/>
  <c r="K203" i="21"/>
  <c r="J203" i="21" s="1"/>
  <c r="I203" i="21" s="1"/>
  <c r="H203" i="21" s="1"/>
  <c r="G203" i="21" s="1"/>
  <c r="G207" i="21" s="1"/>
  <c r="S282" i="21"/>
  <c r="T285" i="21"/>
  <c r="G38" i="20"/>
  <c r="F38" i="20" s="1"/>
  <c r="E38" i="20" s="1"/>
  <c r="O11" i="22"/>
  <c r="N55" i="22"/>
  <c r="O13" i="22"/>
  <c r="O25" i="22"/>
  <c r="P41" i="22"/>
  <c r="P30" i="22"/>
  <c r="P34" i="22"/>
  <c r="P51" i="22"/>
  <c r="P54" i="22"/>
  <c r="P57" i="22"/>
  <c r="P31" i="22"/>
  <c r="P39" i="22"/>
  <c r="P44" i="22"/>
  <c r="P48" i="22"/>
  <c r="P36" i="22"/>
  <c r="P65" i="22"/>
  <c r="P50" i="22"/>
  <c r="P58" i="22"/>
  <c r="O58" i="22" s="1"/>
  <c r="P38" i="22"/>
  <c r="P43" i="22"/>
  <c r="P47" i="22"/>
  <c r="P64" i="22"/>
  <c r="O64" i="22" s="1"/>
  <c r="P62" i="22"/>
  <c r="P33" i="22"/>
  <c r="P53" i="22"/>
  <c r="P35" i="22"/>
  <c r="P52" i="22"/>
  <c r="O52" i="22" s="1"/>
  <c r="P61" i="22"/>
  <c r="P32" i="22"/>
  <c r="P40" i="22"/>
  <c r="P45" i="22"/>
  <c r="P46" i="22"/>
  <c r="O46" i="22" s="1"/>
  <c r="P49" i="22"/>
  <c r="P59" i="22"/>
  <c r="M41" i="22"/>
  <c r="P60" i="22"/>
  <c r="P55" i="22"/>
  <c r="P26" i="22"/>
  <c r="I280" i="21"/>
  <c r="I285" i="21" s="1"/>
  <c r="J285" i="21"/>
  <c r="I202" i="21"/>
  <c r="F202" i="21"/>
  <c r="O202" i="21"/>
  <c r="N202" i="21" s="1"/>
  <c r="S202" i="21"/>
  <c r="C202" i="21"/>
  <c r="T203" i="21"/>
  <c r="S203" i="21" s="1"/>
  <c r="R203" i="21" s="1"/>
  <c r="Q203" i="21" s="1"/>
  <c r="P203" i="21" s="1"/>
  <c r="O203" i="21" s="1"/>
  <c r="N203" i="21" s="1"/>
  <c r="T205" i="21"/>
  <c r="S205" i="21" s="1"/>
  <c r="R205" i="21" s="1"/>
  <c r="I204" i="21"/>
  <c r="M205" i="21"/>
  <c r="Q204" i="21"/>
  <c r="R206" i="21"/>
  <c r="Q206" i="21" s="1"/>
  <c r="T121" i="21"/>
  <c r="S121" i="21" s="1"/>
  <c r="R121" i="21" s="1"/>
  <c r="Q121" i="21" s="1"/>
  <c r="P118" i="21"/>
  <c r="Q119" i="21"/>
  <c r="C121" i="21"/>
  <c r="I119" i="21"/>
  <c r="C120" i="21"/>
  <c r="C118" i="21"/>
  <c r="C122" i="21"/>
  <c r="J123" i="21" l="1"/>
  <c r="G123" i="21"/>
  <c r="H123" i="21"/>
  <c r="Q228" i="18"/>
  <c r="Q226" i="18"/>
  <c r="Q230" i="18"/>
  <c r="AI224" i="18"/>
  <c r="Q229" i="18"/>
  <c r="Q227" i="18"/>
  <c r="Q225" i="18"/>
  <c r="H207" i="21"/>
  <c r="T207" i="21"/>
  <c r="E123" i="21"/>
  <c r="I207" i="21"/>
  <c r="F123" i="21"/>
  <c r="E207" i="21"/>
  <c r="R228" i="18"/>
  <c r="R225" i="18"/>
  <c r="R226" i="18"/>
  <c r="R227" i="18"/>
  <c r="R229" i="18"/>
  <c r="AJ224" i="18"/>
  <c r="R230" i="18"/>
  <c r="S221" i="18"/>
  <c r="S220" i="18"/>
  <c r="AK218" i="18"/>
  <c r="S222" i="18"/>
  <c r="S219" i="18"/>
  <c r="S223" i="18"/>
  <c r="S224" i="18"/>
  <c r="AH218" i="18"/>
  <c r="P220" i="18"/>
  <c r="P221" i="18"/>
  <c r="P223" i="18"/>
  <c r="P224" i="18"/>
  <c r="P222" i="18"/>
  <c r="P219" i="18"/>
  <c r="R123" i="21"/>
  <c r="R282" i="21"/>
  <c r="S285" i="21"/>
  <c r="F207" i="21"/>
  <c r="I123" i="21"/>
  <c r="K207" i="21"/>
  <c r="C207" i="21"/>
  <c r="J207" i="21"/>
  <c r="K152" i="20"/>
  <c r="K157" i="20" s="1"/>
  <c r="L157" i="20"/>
  <c r="Q123" i="21"/>
  <c r="C152" i="20"/>
  <c r="D157" i="20"/>
  <c r="R202" i="21"/>
  <c r="S207" i="21"/>
  <c r="N207" i="21"/>
  <c r="M207" i="21" s="1"/>
  <c r="P207" i="21"/>
  <c r="O207" i="21" s="1"/>
  <c r="O118" i="21"/>
  <c r="P123" i="21"/>
  <c r="T123" i="21"/>
  <c r="C123" i="21"/>
  <c r="S123" i="21"/>
  <c r="Q219" i="18" l="1"/>
  <c r="Q220" i="18"/>
  <c r="AI218" i="18"/>
  <c r="Q223" i="18"/>
  <c r="Q222" i="18"/>
  <c r="Q224" i="18"/>
  <c r="Q221" i="18"/>
  <c r="O123" i="21"/>
  <c r="R220" i="18"/>
  <c r="R222" i="18"/>
  <c r="R221" i="18"/>
  <c r="AJ218" i="18"/>
  <c r="R219" i="18"/>
  <c r="R223" i="18"/>
  <c r="R224" i="18"/>
  <c r="AK212" i="18"/>
  <c r="S218" i="18"/>
  <c r="S217" i="18"/>
  <c r="S214" i="18"/>
  <c r="S213" i="18"/>
  <c r="S215" i="18"/>
  <c r="S216" i="18"/>
  <c r="AH212" i="18"/>
  <c r="P214" i="18"/>
  <c r="P217" i="18"/>
  <c r="P215" i="18"/>
  <c r="P218" i="18"/>
  <c r="P213" i="18"/>
  <c r="P216" i="18"/>
  <c r="J150" i="20"/>
  <c r="I150" i="20" s="1"/>
  <c r="C157" i="20"/>
  <c r="Q282" i="21"/>
  <c r="Q285" i="21" s="1"/>
  <c r="R285" i="21"/>
  <c r="Q202" i="21"/>
  <c r="Q207" i="21" s="1"/>
  <c r="R207" i="21"/>
  <c r="Q218" i="18" l="1"/>
  <c r="Q214" i="18"/>
  <c r="Q215" i="18"/>
  <c r="Q217" i="18"/>
  <c r="AI212" i="18"/>
  <c r="Q213" i="18"/>
  <c r="Q216" i="18"/>
  <c r="R217" i="18"/>
  <c r="R213" i="18"/>
  <c r="AJ212" i="18"/>
  <c r="R218" i="18"/>
  <c r="R215" i="18"/>
  <c r="R216" i="18"/>
  <c r="R214" i="18"/>
  <c r="AK206" i="18"/>
  <c r="S208" i="18"/>
  <c r="S211" i="18"/>
  <c r="S207" i="18"/>
  <c r="S209" i="18"/>
  <c r="S210" i="18"/>
  <c r="S212" i="18"/>
  <c r="P207" i="18"/>
  <c r="P211" i="18"/>
  <c r="P210" i="18"/>
  <c r="AH206" i="18"/>
  <c r="P208" i="18"/>
  <c r="P212" i="18"/>
  <c r="P209" i="18"/>
  <c r="C57" i="8"/>
  <c r="C27" i="8" s="1"/>
  <c r="D57" i="8"/>
  <c r="D27" i="8" s="1"/>
  <c r="E57" i="8"/>
  <c r="E27" i="8" s="1"/>
  <c r="F57" i="8"/>
  <c r="F27" i="8" s="1"/>
  <c r="G57" i="8"/>
  <c r="G27" i="8" s="1"/>
  <c r="H57" i="8"/>
  <c r="H27" i="8" s="1"/>
  <c r="AI206" i="18" l="1"/>
  <c r="Q212" i="18"/>
  <c r="Q208" i="18"/>
  <c r="Q211" i="18"/>
  <c r="Q209" i="18"/>
  <c r="Q207" i="18"/>
  <c r="Q210" i="18"/>
  <c r="I57" i="8"/>
  <c r="I27" i="8" s="1"/>
  <c r="AJ206" i="18"/>
  <c r="R210" i="18"/>
  <c r="R209" i="18"/>
  <c r="R207" i="18"/>
  <c r="R211" i="18"/>
  <c r="R208" i="18"/>
  <c r="R212" i="18"/>
  <c r="S205" i="18"/>
  <c r="S202" i="18"/>
  <c r="S206" i="18"/>
  <c r="S204" i="18"/>
  <c r="S203" i="18"/>
  <c r="S201" i="18"/>
  <c r="AK200" i="18"/>
  <c r="P206" i="18"/>
  <c r="P201" i="18"/>
  <c r="P202" i="18"/>
  <c r="AH200" i="18"/>
  <c r="P204" i="18"/>
  <c r="P203" i="18"/>
  <c r="P205" i="18"/>
  <c r="Q202" i="18" l="1"/>
  <c r="Q206" i="18"/>
  <c r="Q204" i="18"/>
  <c r="Q201" i="18"/>
  <c r="Q203" i="18"/>
  <c r="Q205" i="18"/>
  <c r="AI200" i="18"/>
  <c r="R201" i="18"/>
  <c r="R206" i="18"/>
  <c r="R203" i="18"/>
  <c r="R202" i="18"/>
  <c r="AJ200" i="18"/>
  <c r="R205" i="18"/>
  <c r="R204" i="18"/>
  <c r="S196" i="18"/>
  <c r="S200" i="18"/>
  <c r="S195" i="18"/>
  <c r="AK194" i="18"/>
  <c r="S199" i="18"/>
  <c r="S197" i="18"/>
  <c r="S198" i="18"/>
  <c r="P200" i="18"/>
  <c r="P199" i="18"/>
  <c r="P198" i="18"/>
  <c r="P196" i="18"/>
  <c r="P195" i="18"/>
  <c r="AH194" i="18"/>
  <c r="P197" i="18"/>
  <c r="Q198" i="18" l="1"/>
  <c r="Q195" i="18"/>
  <c r="AI194" i="18"/>
  <c r="Q197" i="18"/>
  <c r="Q199" i="18"/>
  <c r="Q196" i="18"/>
  <c r="Q200" i="18"/>
  <c r="R195" i="18"/>
  <c r="R198" i="18"/>
  <c r="R197" i="18"/>
  <c r="AJ194" i="18"/>
  <c r="R199" i="18"/>
  <c r="R196" i="18"/>
  <c r="R200" i="18"/>
  <c r="S194" i="18"/>
  <c r="AK188" i="18"/>
  <c r="S192" i="18"/>
  <c r="S191" i="18"/>
  <c r="S193" i="18"/>
  <c r="S189" i="18"/>
  <c r="S190" i="18"/>
  <c r="P190" i="18"/>
  <c r="P192" i="18"/>
  <c r="P191" i="18"/>
  <c r="P189" i="18"/>
  <c r="AH188" i="18"/>
  <c r="P194" i="18"/>
  <c r="P193" i="18"/>
  <c r="Q189" i="18" l="1"/>
  <c r="Q190" i="18"/>
  <c r="Q194" i="18"/>
  <c r="AI188" i="18"/>
  <c r="Q191" i="18"/>
  <c r="Q192" i="18"/>
  <c r="Q193" i="18"/>
  <c r="R192" i="18"/>
  <c r="R191" i="18"/>
  <c r="AJ188" i="18"/>
  <c r="R194" i="18"/>
  <c r="R190" i="18"/>
  <c r="R193" i="18"/>
  <c r="R189" i="18"/>
  <c r="S183" i="18"/>
  <c r="S184" i="18"/>
  <c r="S187" i="18"/>
  <c r="S185" i="18"/>
  <c r="S188" i="18"/>
  <c r="AK182" i="18"/>
  <c r="S186" i="18"/>
  <c r="AH182" i="18"/>
  <c r="P188" i="18"/>
  <c r="P186" i="18"/>
  <c r="P184" i="18"/>
  <c r="P187" i="18"/>
  <c r="P183" i="18"/>
  <c r="P185" i="18"/>
  <c r="Q185" i="18" l="1"/>
  <c r="Q188" i="18"/>
  <c r="Q183" i="18"/>
  <c r="Q187" i="18"/>
  <c r="AI182" i="18"/>
  <c r="Q184" i="18"/>
  <c r="Q186" i="18"/>
  <c r="R187" i="18"/>
  <c r="R184" i="18"/>
  <c r="R188" i="18"/>
  <c r="R185" i="18"/>
  <c r="R186" i="18"/>
  <c r="AJ182" i="18"/>
  <c r="R183" i="18"/>
  <c r="S179" i="18"/>
  <c r="S181" i="18"/>
  <c r="S178" i="18"/>
  <c r="S182" i="18"/>
  <c r="S177" i="18"/>
  <c r="AK176" i="18"/>
  <c r="S180" i="18"/>
  <c r="P178" i="18"/>
  <c r="P177" i="18"/>
  <c r="P182" i="18"/>
  <c r="P180" i="18"/>
  <c r="P179" i="18"/>
  <c r="AH176" i="18"/>
  <c r="P181" i="18"/>
  <c r="Q181" i="18" l="1"/>
  <c r="Q180" i="18"/>
  <c r="Q177" i="18"/>
  <c r="Q179" i="18"/>
  <c r="Q178" i="18"/>
  <c r="Q182" i="18"/>
  <c r="AI176" i="18"/>
  <c r="R180" i="18"/>
  <c r="R178" i="18"/>
  <c r="R181" i="18"/>
  <c r="R182" i="18"/>
  <c r="R179" i="18"/>
  <c r="R177" i="18"/>
  <c r="AJ176" i="18"/>
  <c r="S172" i="18"/>
  <c r="S173" i="18"/>
  <c r="S175" i="18"/>
  <c r="S176" i="18"/>
  <c r="S174" i="18"/>
  <c r="S171" i="18"/>
  <c r="AK170" i="18"/>
  <c r="P172" i="18"/>
  <c r="AH170" i="18"/>
  <c r="P174" i="18"/>
  <c r="P176" i="18"/>
  <c r="P173" i="18"/>
  <c r="P171" i="18"/>
  <c r="P175" i="18"/>
  <c r="Q171" i="18" l="1"/>
  <c r="Q172" i="18"/>
  <c r="Q173" i="18"/>
  <c r="Q174" i="18"/>
  <c r="Q176" i="18"/>
  <c r="AI170" i="18"/>
  <c r="Q175" i="18"/>
  <c r="R172" i="18"/>
  <c r="R171" i="18"/>
  <c r="AJ170" i="18"/>
  <c r="R173" i="18"/>
  <c r="R176" i="18"/>
  <c r="R174" i="18"/>
  <c r="R175" i="18"/>
  <c r="S165" i="18"/>
  <c r="S168" i="18"/>
  <c r="S167" i="18"/>
  <c r="S169" i="18"/>
  <c r="AK164" i="18"/>
  <c r="S170" i="18"/>
  <c r="S166" i="18"/>
  <c r="AH164" i="18"/>
  <c r="P169" i="18"/>
  <c r="P166" i="18"/>
  <c r="P168" i="18"/>
  <c r="P170" i="18"/>
  <c r="P167" i="18"/>
  <c r="P165" i="18"/>
  <c r="Q169" i="18" l="1"/>
  <c r="Q167" i="18"/>
  <c r="Q165" i="18"/>
  <c r="Q170" i="18"/>
  <c r="AI164" i="18"/>
  <c r="Q166" i="18"/>
  <c r="Q168" i="18"/>
  <c r="R168" i="18"/>
  <c r="R170" i="18"/>
  <c r="AJ164" i="18"/>
  <c r="R167" i="18"/>
  <c r="R166" i="18"/>
  <c r="R165" i="18"/>
  <c r="R169" i="18"/>
  <c r="S164" i="18"/>
  <c r="S161" i="18"/>
  <c r="AK158" i="18"/>
  <c r="S162" i="18"/>
  <c r="S163" i="18"/>
  <c r="S160" i="18"/>
  <c r="S159" i="18"/>
  <c r="P161" i="18"/>
  <c r="P162" i="18"/>
  <c r="P159" i="18"/>
  <c r="P164" i="18"/>
  <c r="P163" i="18"/>
  <c r="P160" i="18"/>
  <c r="AH158" i="18"/>
  <c r="Q161" i="18" l="1"/>
  <c r="Q164" i="18"/>
  <c r="Q163" i="18"/>
  <c r="AI158" i="18"/>
  <c r="Q159" i="18"/>
  <c r="Q160" i="18"/>
  <c r="Q162" i="18"/>
  <c r="AJ158" i="18"/>
  <c r="R160" i="18"/>
  <c r="R161" i="18"/>
  <c r="R164" i="18"/>
  <c r="R162" i="18"/>
  <c r="R163" i="18"/>
  <c r="R159" i="18"/>
  <c r="S154" i="18"/>
  <c r="AK152" i="18"/>
  <c r="S156" i="18"/>
  <c r="S153" i="18"/>
  <c r="S155" i="18"/>
  <c r="S158" i="18"/>
  <c r="S157" i="18"/>
  <c r="P156" i="18"/>
  <c r="P153" i="18"/>
  <c r="P154" i="18"/>
  <c r="P157" i="18"/>
  <c r="P158" i="18"/>
  <c r="AH152" i="18"/>
  <c r="P155" i="18"/>
  <c r="Q158" i="18" l="1"/>
  <c r="Q155" i="18"/>
  <c r="Q156" i="18"/>
  <c r="Q154" i="18"/>
  <c r="AI152" i="18"/>
  <c r="Q157" i="18"/>
  <c r="Q153" i="18"/>
  <c r="R158" i="18"/>
  <c r="R153" i="18"/>
  <c r="R155" i="18"/>
  <c r="AJ152" i="18"/>
  <c r="R154" i="18"/>
  <c r="R157" i="18"/>
  <c r="R156" i="18"/>
  <c r="S148" i="18"/>
  <c r="S152" i="18"/>
  <c r="AK146" i="18"/>
  <c r="S151" i="18"/>
  <c r="S150" i="18"/>
  <c r="S147" i="18"/>
  <c r="S149" i="18"/>
  <c r="P147" i="18"/>
  <c r="P148" i="18"/>
  <c r="P151" i="18"/>
  <c r="P150" i="18"/>
  <c r="P149" i="18"/>
  <c r="P152" i="18"/>
  <c r="AH146" i="18"/>
  <c r="Q152" i="18" l="1"/>
  <c r="Q151" i="18"/>
  <c r="Q148" i="18"/>
  <c r="Q149" i="18"/>
  <c r="Q150" i="18"/>
  <c r="Q147" i="18"/>
  <c r="AI146" i="18"/>
  <c r="R151" i="18"/>
  <c r="R147" i="18"/>
  <c r="R152" i="18"/>
  <c r="AJ146" i="18"/>
  <c r="R148" i="18"/>
  <c r="R150" i="18"/>
  <c r="R149" i="18"/>
  <c r="AK140" i="18"/>
  <c r="S141" i="18"/>
  <c r="S145" i="18"/>
  <c r="S143" i="18"/>
  <c r="S146" i="18"/>
  <c r="S142" i="18"/>
  <c r="S144" i="18"/>
  <c r="P145" i="18"/>
  <c r="P144" i="18"/>
  <c r="AH140" i="18"/>
  <c r="P146" i="18"/>
  <c r="P142" i="18"/>
  <c r="P141" i="18"/>
  <c r="P143" i="18"/>
  <c r="Q144" i="18" l="1"/>
  <c r="Q145" i="18"/>
  <c r="Q141" i="18"/>
  <c r="Q142" i="18"/>
  <c r="Q143" i="18"/>
  <c r="Q146" i="18"/>
  <c r="AI140" i="18"/>
  <c r="R145" i="18"/>
  <c r="R143" i="18"/>
  <c r="R144" i="18"/>
  <c r="R146" i="18"/>
  <c r="AJ140" i="18"/>
  <c r="R141" i="18"/>
  <c r="R142" i="18"/>
  <c r="S139" i="18"/>
  <c r="S136" i="18"/>
  <c r="S138" i="18"/>
  <c r="S135" i="18"/>
  <c r="S137" i="18"/>
  <c r="S140" i="18"/>
  <c r="P135" i="18"/>
  <c r="P137" i="18"/>
  <c r="P138" i="18"/>
  <c r="P136" i="18"/>
  <c r="P140" i="18"/>
  <c r="P139" i="18"/>
  <c r="Q139" i="18" l="1"/>
  <c r="Q140" i="18"/>
  <c r="Q136" i="18"/>
  <c r="Q138" i="18"/>
  <c r="Q135" i="18"/>
  <c r="Q137" i="18"/>
  <c r="R139" i="18"/>
  <c r="R140" i="18"/>
  <c r="R136" i="18"/>
  <c r="R137" i="18"/>
  <c r="R135" i="18"/>
  <c r="R138" i="1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Christiana Datubo-Brown</author>
  </authors>
  <commentList>
    <comment ref="G32" authorId="0" shapeId="0" xr:uid="{097F13E1-4528-4A52-ADE9-9554564EF523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9" authorId="0" shapeId="0" xr:uid="{00000000-0006-0000-0A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35" authorId="0" shapeId="0" xr:uid="{00000000-0006-0000-0A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JLM</author>
  </authors>
  <commentList>
    <comment ref="A9" authorId="0" shapeId="0" xr:uid="{00000000-0006-0000-0B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I21" authorId="1" shapeId="0" xr:uid="{00000000-0006-0000-0B00-00000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must be added to Other
</t>
        </r>
      </text>
    </comment>
    <comment ref="I28" authorId="1" shapeId="0" xr:uid="{00000000-0006-0000-0B00-00000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must be added to Other
</t>
        </r>
      </text>
    </comment>
    <comment ref="I70" authorId="1" shapeId="0" xr:uid="{00000000-0006-0000-0B00-00000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must be added to Other
</t>
        </r>
      </text>
    </comment>
    <comment ref="A135" authorId="0" shapeId="0" xr:uid="{00000000-0006-0000-0B00-000005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JLM</author>
    <author>jmarks</author>
  </authors>
  <commentList>
    <comment ref="AA9" authorId="0" shapeId="0" xr:uid="{00000000-0006-0000-0C00-00000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Exceeds sum of 1-6 because some 4-yr sub categories unknown</t>
        </r>
      </text>
    </comment>
    <comment ref="A134" authorId="1" shapeId="0" xr:uid="{00000000-0006-0000-0C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117" authorId="0" shapeId="0" xr:uid="{00000000-0006-0000-0D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mloverde</author>
  </authors>
  <commentList>
    <comment ref="A44" authorId="0" shapeId="0" xr:uid="{00000000-0006-0000-1000-000001000000}">
      <text>
        <r>
          <rPr>
            <b/>
            <sz val="10"/>
            <color indexed="81"/>
            <rFont val="Tahoma"/>
            <family val="2"/>
          </rPr>
          <t>the place for Delaware's information is hidden for printing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8" authorId="0" shapeId="0" xr:uid="{00000000-0006-0000-12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AAUP</t>
        </r>
      </text>
    </comment>
    <comment ref="A15" authorId="0" shapeId="0" xr:uid="{00000000-0006-0000-12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Data Exchange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mloverde</author>
  </authors>
  <commentList>
    <comment ref="A9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AAUP</t>
        </r>
      </text>
    </comment>
    <comment ref="A16" authorId="0" shapeId="0" xr:uid="{00000000-0006-0000-1300-000002000000}">
      <text>
        <r>
          <rPr>
            <b/>
            <sz val="8"/>
            <color indexed="81"/>
            <rFont val="Tahoma"/>
            <family val="2"/>
          </rPr>
          <t>Data Exchange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mloverde</author>
  </authors>
  <commentList>
    <comment ref="A7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AAUP</t>
        </r>
      </text>
    </comment>
    <comment ref="A16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>Data Exchange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mloverde</author>
  </authors>
  <commentList>
    <comment ref="A7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IPEDs</t>
        </r>
      </text>
    </comment>
    <comment ref="A16" authorId="0" shapeId="0" xr:uid="{00000000-0006-0000-1500-000002000000}">
      <text>
        <r>
          <rPr>
            <b/>
            <sz val="8"/>
            <color indexed="81"/>
            <rFont val="Tahoma"/>
            <family val="2"/>
          </rPr>
          <t>Data Exchange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43" authorId="0" shapeId="0" xr:uid="{00000000-0006-0000-16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from WebCaspar (02/08)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Lisa Cowan</author>
  </authors>
  <commentList>
    <comment ref="A4" authorId="0" shapeId="0" xr:uid="{00000000-0006-0000-02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0" authorId="1" shapeId="0" xr:uid="{00000000-0006-0000-0200-000002000000}">
      <text>
        <r>
          <rPr>
            <b/>
            <sz val="9"/>
            <color indexed="81"/>
            <rFont val="Tahoma"/>
            <family val="2"/>
          </rPr>
          <t>Lisa Cowan:</t>
        </r>
        <r>
          <rPr>
            <sz val="9"/>
            <color indexed="81"/>
            <rFont val="Tahoma"/>
            <family val="2"/>
          </rPr>
          <t xml:space="preserve">
State Data Exchange</t>
        </r>
      </text>
    </comment>
    <comment ref="A129" authorId="0" shapeId="0" xr:uid="{00000000-0006-0000-0200-00000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6" authorId="0" shapeId="0" xr:uid="{00000000-0006-0000-17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AAUP
</t>
        </r>
      </text>
    </comment>
    <comment ref="A16" authorId="0" shapeId="0" xr:uid="{00000000-0006-0000-17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Data Exchange</t>
        </r>
      </text>
    </comment>
    <comment ref="A46" authorId="0" shapeId="0" xr:uid="{00000000-0006-0000-1700-00000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from WebCaspar 12/01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mloverde</author>
  </authors>
  <commentList>
    <comment ref="A8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AAUP</t>
        </r>
      </text>
    </comment>
    <comment ref="A18" authorId="0" shapeId="0" xr:uid="{00000000-0006-0000-1800-000002000000}">
      <text>
        <r>
          <rPr>
            <b/>
            <sz val="8"/>
            <color indexed="81"/>
            <rFont val="Tahoma"/>
            <family val="2"/>
          </rPr>
          <t>Data Exchange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mloverde</author>
  </authors>
  <commentList>
    <comment ref="A8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AAUP</t>
        </r>
      </text>
    </comment>
    <comment ref="A18" authorId="0" shapeId="0" xr:uid="{00000000-0006-0000-1900-000002000000}">
      <text>
        <r>
          <rPr>
            <b/>
            <sz val="8"/>
            <color indexed="81"/>
            <rFont val="Tahoma"/>
            <family val="2"/>
          </rPr>
          <t>Data Exchange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mloverde</author>
  </authors>
  <commentList>
    <comment ref="A1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mloverde: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>AAUP</t>
        </r>
      </text>
    </comment>
    <comment ref="A14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>Data Exchange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Lisa Cowan</author>
  </authors>
  <commentList>
    <comment ref="A4" authorId="0" shapeId="0" xr:uid="{00000000-0006-0000-03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0" authorId="1" shapeId="0" xr:uid="{00000000-0006-0000-0300-000002000000}">
      <text>
        <r>
          <rPr>
            <b/>
            <sz val="9"/>
            <color indexed="81"/>
            <rFont val="Tahoma"/>
            <family val="2"/>
          </rPr>
          <t>Lisa Cowan:</t>
        </r>
        <r>
          <rPr>
            <sz val="9"/>
            <color indexed="81"/>
            <rFont val="Tahoma"/>
            <family val="2"/>
          </rPr>
          <t xml:space="preserve">
State Data Exchange</t>
        </r>
      </text>
    </comment>
    <comment ref="A129" authorId="0" shapeId="0" xr:uid="{00000000-0006-0000-0300-00000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Lisa Cowan</author>
  </authors>
  <commentList>
    <comment ref="A4" authorId="0" shapeId="0" xr:uid="{00000000-0006-0000-04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0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Lisa Cowan:</t>
        </r>
        <r>
          <rPr>
            <sz val="9"/>
            <color indexed="81"/>
            <rFont val="Tahoma"/>
            <family val="2"/>
          </rPr>
          <t xml:space="preserve">
State Data Exchange</t>
        </r>
      </text>
    </comment>
    <comment ref="A129" authorId="0" shapeId="0" xr:uid="{00000000-0006-0000-0400-00000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4" authorId="0" shapeId="0" xr:uid="{00000000-0006-0000-05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29" authorId="0" shapeId="0" xr:uid="{00000000-0006-0000-05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4" authorId="0" shapeId="0" xr:uid="{00000000-0006-0000-06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29" authorId="0" shapeId="0" xr:uid="{00000000-0006-0000-06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4" authorId="0" shapeId="0" xr:uid="{00000000-0006-0000-07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29" authorId="0" shapeId="0" xr:uid="{00000000-0006-0000-07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9" authorId="0" shapeId="0" xr:uid="{00000000-0006-0000-08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C9" authorId="0" shapeId="0" xr:uid="{00000000-0006-0000-08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U.S. totals include some 4-yr size unknown. </t>
        </r>
      </text>
    </comment>
    <comment ref="A118" authorId="0" shapeId="0" xr:uid="{00000000-0006-0000-0800-00000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9" authorId="0" shapeId="0" xr:uid="{00000000-0006-0000-09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C9" authorId="0" shapeId="0" xr:uid="{00000000-0006-0000-09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U.S. totals include some 4-yr size unknown. </t>
        </r>
      </text>
    </comment>
    <comment ref="A152" authorId="0" shapeId="0" xr:uid="{00000000-0006-0000-0900-00000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sharedStrings.xml><?xml version="1.0" encoding="utf-8"?>
<sst xmlns="http://schemas.openxmlformats.org/spreadsheetml/2006/main" count="8230" uniqueCount="239">
  <si>
    <t>Number of Full-Time Instructional Faculty</t>
  </si>
  <si>
    <t>1993-94</t>
  </si>
  <si>
    <t>US</t>
  </si>
  <si>
    <t>SREB</t>
  </si>
  <si>
    <t>AL</t>
  </si>
  <si>
    <t>AR</t>
  </si>
  <si>
    <t>FL</t>
  </si>
  <si>
    <t>GA</t>
  </si>
  <si>
    <t>KY</t>
  </si>
  <si>
    <t>LA</t>
  </si>
  <si>
    <t>MD</t>
  </si>
  <si>
    <t>MS</t>
  </si>
  <si>
    <t>NC</t>
  </si>
  <si>
    <t>OK</t>
  </si>
  <si>
    <t>SC</t>
  </si>
  <si>
    <t>TN</t>
  </si>
  <si>
    <t>TX</t>
  </si>
  <si>
    <t>VA</t>
  </si>
  <si>
    <t>WV</t>
  </si>
  <si>
    <t>Four-Year 1</t>
  </si>
  <si>
    <t>Four-Year 2</t>
  </si>
  <si>
    <t>Four-Year 3</t>
  </si>
  <si>
    <t>Four-Year 4</t>
  </si>
  <si>
    <t>Four-Year 5</t>
  </si>
  <si>
    <t>Four-Year 6</t>
  </si>
  <si>
    <t>Two-Year 1</t>
  </si>
  <si>
    <t>Two-Year 2</t>
  </si>
  <si>
    <t>TOTAL</t>
  </si>
  <si>
    <t>Prof.</t>
  </si>
  <si>
    <t xml:space="preserve">   Assoc. Prof.</t>
  </si>
  <si>
    <t xml:space="preserve">   Ass't. Prof.</t>
  </si>
  <si>
    <t xml:space="preserve">   Instructor</t>
  </si>
  <si>
    <t>Other</t>
  </si>
  <si>
    <t xml:space="preserve">     Single Rank</t>
  </si>
  <si>
    <t xml:space="preserve">  All Ranks </t>
  </si>
  <si>
    <t>Number of Full-Time Instructional Faculty, 1995-96</t>
  </si>
  <si>
    <t>Four-Year I</t>
  </si>
  <si>
    <t>Four-Year II</t>
  </si>
  <si>
    <t>Four-Year III</t>
  </si>
  <si>
    <t>Four-Year IV</t>
  </si>
  <si>
    <t>Four-Year V</t>
  </si>
  <si>
    <t>Four-Year VI</t>
  </si>
  <si>
    <t>subtot</t>
  </si>
  <si>
    <t>Two-Year VII</t>
  </si>
  <si>
    <t>Two-Year VIII</t>
  </si>
  <si>
    <t>tota</t>
  </si>
  <si>
    <t xml:space="preserve">    Professor</t>
  </si>
  <si>
    <t>Undesignated/Other</t>
  </si>
  <si>
    <t xml:space="preserve">  All Ranks</t>
  </si>
  <si>
    <t>Full-Time Instructional Faculty</t>
  </si>
  <si>
    <t>Public Colleges and Universities, 1997-98</t>
  </si>
  <si>
    <t>Total 4-Year</t>
  </si>
  <si>
    <t>Number</t>
  </si>
  <si>
    <t>Professor</t>
  </si>
  <si>
    <t>Assocociate Professor</t>
  </si>
  <si>
    <t>Assistant Professor</t>
  </si>
  <si>
    <t>Instruc- tor</t>
  </si>
  <si>
    <t>Undesigna- ted/Other</t>
  </si>
  <si>
    <t>Single Rank</t>
  </si>
  <si>
    <t>All Ranks</t>
  </si>
  <si>
    <t>Percent Distribution</t>
  </si>
  <si>
    <t>Alabama</t>
  </si>
  <si>
    <t>Arkansas</t>
  </si>
  <si>
    <t>Florida</t>
  </si>
  <si>
    <t>Georgia</t>
  </si>
  <si>
    <t>Kentucky</t>
  </si>
  <si>
    <t>Louisiana</t>
  </si>
  <si>
    <t>Maryland</t>
  </si>
  <si>
    <t>Mississippi</t>
  </si>
  <si>
    <t>North Carolina</t>
  </si>
  <si>
    <t>Oklahoma</t>
  </si>
  <si>
    <t>South Carolina</t>
  </si>
  <si>
    <t>Tennessee</t>
  </si>
  <si>
    <t>Texas</t>
  </si>
  <si>
    <t>Virginia</t>
  </si>
  <si>
    <t>West Virginia</t>
  </si>
  <si>
    <t>Associate</t>
  </si>
  <si>
    <t>Assistant</t>
  </si>
  <si>
    <t>Instructor</t>
  </si>
  <si>
    <t>Check Figures</t>
  </si>
  <si>
    <t>Four Year</t>
  </si>
  <si>
    <t>Includes Delaware</t>
  </si>
  <si>
    <t>DE</t>
  </si>
  <si>
    <t>Delaware included</t>
  </si>
  <si>
    <t>Public Colleges and Universities, 1992-93</t>
  </si>
  <si>
    <t>Undesignated/ Other</t>
  </si>
  <si>
    <t xml:space="preserve"> </t>
  </si>
  <si>
    <t>Delaware</t>
  </si>
  <si>
    <t>SREB states</t>
  </si>
  <si>
    <t>Sources:</t>
  </si>
  <si>
    <t>All Four-Year</t>
  </si>
  <si>
    <t>Public Colleges and Universities, 1998-99</t>
  </si>
  <si>
    <t>[combined 9/10-month and 11/12-month contract groups]</t>
  </si>
  <si>
    <t>Associate Professor</t>
  </si>
  <si>
    <t>Public Colleges and Universities, 1999-2000</t>
  </si>
  <si>
    <t>Percent</t>
  </si>
  <si>
    <t>Four-Year</t>
  </si>
  <si>
    <t>Two-Year</t>
  </si>
  <si>
    <t>All 4-Yr</t>
  </si>
  <si>
    <t>check figures</t>
  </si>
  <si>
    <t>Number of Full-Time Instructional Faculty, 1994-95</t>
  </si>
  <si>
    <t>Undsgntd/Other</t>
  </si>
  <si>
    <t>Two-Year I</t>
  </si>
  <si>
    <t>Two-Year II</t>
  </si>
  <si>
    <t>Total</t>
  </si>
  <si>
    <t>Assoc. Prof.</t>
  </si>
  <si>
    <t>Ass't. Prof.</t>
  </si>
  <si>
    <t>All Ranks Avg.</t>
  </si>
  <si>
    <t>Public Colleges and Universities, 2000-01</t>
  </si>
  <si>
    <t>Public Universities, Colleges and Technical Institutes, 2001-02</t>
  </si>
  <si>
    <t>Technical Institutes</t>
  </si>
  <si>
    <t>with Bach- elor's</t>
  </si>
  <si>
    <t>Size Un- known</t>
  </si>
  <si>
    <t>All</t>
  </si>
  <si>
    <t>size un- known</t>
  </si>
  <si>
    <t>Public Colleges and Universities, 1996-97</t>
  </si>
  <si>
    <t>Total 4-Yr</t>
  </si>
  <si>
    <t>Public Universities, Colleges and Technical Institutes, 2002-03</t>
  </si>
  <si>
    <t>Public Universities, Colleges and Technical Institutes, 2003-04</t>
  </si>
  <si>
    <t>All 
4-Yr</t>
  </si>
  <si>
    <t>Size Un-
known</t>
  </si>
  <si>
    <t>All 
2-Yr</t>
  </si>
  <si>
    <t>SREB-State Data Exchange.</t>
  </si>
  <si>
    <t>Public Universities, Colleges and Technical Institutes, 2004-05</t>
  </si>
  <si>
    <t>Public Universities, Colleges and Technical Institutes, 2005-06</t>
  </si>
  <si>
    <t>older</t>
  </si>
  <si>
    <t>newer</t>
  </si>
  <si>
    <t>Public Universities, Colleges and Technical Institutes, 2006-07</t>
  </si>
  <si>
    <t>U.S.</t>
  </si>
  <si>
    <t>(combined 9/10-month and 11/12-month contract groups)</t>
  </si>
  <si>
    <t>Public Universities, Colleges and Technical Institutes, 2007-08</t>
  </si>
  <si>
    <t>Other &amp; Single Rank</t>
  </si>
  <si>
    <t>Distribution of Full-Time Instructional Faculty</t>
  </si>
  <si>
    <t>Public Universities, Colleges and Technical Institutes, 2008-09</t>
  </si>
  <si>
    <t>Public Universities, Colleges and Technical Institutes, 2009-10</t>
  </si>
  <si>
    <t>Older</t>
  </si>
  <si>
    <t>AK</t>
  </si>
  <si>
    <t>AZ</t>
  </si>
  <si>
    <t>CA</t>
  </si>
  <si>
    <t>CO</t>
  </si>
  <si>
    <t>CT</t>
  </si>
  <si>
    <t>HI</t>
  </si>
  <si>
    <t>IA</t>
  </si>
  <si>
    <t>ID</t>
  </si>
  <si>
    <t>IL</t>
  </si>
  <si>
    <t>IN</t>
  </si>
  <si>
    <t>KS</t>
  </si>
  <si>
    <t>MA</t>
  </si>
  <si>
    <t>ME</t>
  </si>
  <si>
    <t>MI</t>
  </si>
  <si>
    <t>MN</t>
  </si>
  <si>
    <t>MO</t>
  </si>
  <si>
    <t>MT</t>
  </si>
  <si>
    <t>ND</t>
  </si>
  <si>
    <t>NE</t>
  </si>
  <si>
    <t>NH</t>
  </si>
  <si>
    <t>NJ</t>
  </si>
  <si>
    <t>NM</t>
  </si>
  <si>
    <t>NV</t>
  </si>
  <si>
    <t>NY</t>
  </si>
  <si>
    <t>OH</t>
  </si>
  <si>
    <t>OR</t>
  </si>
  <si>
    <t>PA</t>
  </si>
  <si>
    <t>RI</t>
  </si>
  <si>
    <t>SD</t>
  </si>
  <si>
    <t>UT</t>
  </si>
  <si>
    <t>VT</t>
  </si>
  <si>
    <t>WA</t>
  </si>
  <si>
    <t>WI</t>
  </si>
  <si>
    <t>WY</t>
  </si>
  <si>
    <t>DC</t>
  </si>
  <si>
    <t>West</t>
  </si>
  <si>
    <t>Midwest</t>
  </si>
  <si>
    <t>Northeast</t>
  </si>
  <si>
    <t>Alaska</t>
  </si>
  <si>
    <t>Arizona</t>
  </si>
  <si>
    <t>California</t>
  </si>
  <si>
    <t>Colorado</t>
  </si>
  <si>
    <t>Hawaii</t>
  </si>
  <si>
    <t>Idaho</t>
  </si>
  <si>
    <t>Montana</t>
  </si>
  <si>
    <t>Nevada</t>
  </si>
  <si>
    <t>New Mexico</t>
  </si>
  <si>
    <t>Oregon</t>
  </si>
  <si>
    <t>Utah</t>
  </si>
  <si>
    <t>Washington</t>
  </si>
  <si>
    <t>Wyoming</t>
  </si>
  <si>
    <t>Illinois</t>
  </si>
  <si>
    <t>Indiana</t>
  </si>
  <si>
    <t>Iowa</t>
  </si>
  <si>
    <t>Kansas</t>
  </si>
  <si>
    <t>Michigan</t>
  </si>
  <si>
    <t>Minnesota</t>
  </si>
  <si>
    <t>Missouri</t>
  </si>
  <si>
    <t>Nebraska</t>
  </si>
  <si>
    <t>North Dakota</t>
  </si>
  <si>
    <t>Ohio</t>
  </si>
  <si>
    <t>South Dakota</t>
  </si>
  <si>
    <t>Wisconsin</t>
  </si>
  <si>
    <t>Connecticut</t>
  </si>
  <si>
    <t>Maine</t>
  </si>
  <si>
    <t>Massachusetts</t>
  </si>
  <si>
    <t>New Hampshire</t>
  </si>
  <si>
    <t>New Jersey</t>
  </si>
  <si>
    <t>New York</t>
  </si>
  <si>
    <t>Pennsylvania</t>
  </si>
  <si>
    <t>Rhode Island</t>
  </si>
  <si>
    <t>Vermont</t>
  </si>
  <si>
    <t>District of Columbia</t>
  </si>
  <si>
    <t>Other &amp; Single</t>
  </si>
  <si>
    <t>Cut and paste from year sheets.</t>
  </si>
  <si>
    <t>Senior Ranks</t>
  </si>
  <si>
    <r>
      <t>All Other</t>
    </r>
    <r>
      <rPr>
        <vertAlign val="superscript"/>
        <sz val="10"/>
        <rFont val="Arial"/>
        <family val="2"/>
      </rPr>
      <t>1</t>
    </r>
  </si>
  <si>
    <t>50 states and D.C.</t>
  </si>
  <si>
    <t>Percent Distribution of Full-Time Instructional Faculty by Rank at Public Four-Year Colleges and Universities</t>
  </si>
  <si>
    <t>Public Universities, Colleges and Technical Institutes, 2010-11</t>
  </si>
  <si>
    <t>Size Un-kown</t>
  </si>
  <si>
    <t>Size Unknown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</si>
  <si>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Includes lecturers, faculty with no rank and faculty in a single rank system.</t>
    </r>
  </si>
  <si>
    <t>In order for this to profile the same group as the faculty salary averages, figures include all full-time faculty at public four-year colleges and universities except those at specialized institutions. (See Appendix A for examples.)</t>
  </si>
  <si>
    <t xml:space="preserve">SREB and the National Center for Education Statistics (NCES) treat two-year colleges awarding bachelor's degrees differently. NCES classifies two-year colleges awarding bachelor's degrees as four-year. SREB classifies them as two-year until they meet other criteria. (See Appendix A for definitions.) </t>
  </si>
  <si>
    <t>x</t>
  </si>
  <si>
    <t>SREB region uses Data Exchange data from 2012-13 collection year (New Counts Pivot Table); other states IPEDS 2012-13 collection year (Pivot Table by Numbers)</t>
  </si>
  <si>
    <t>SREB region data from Data Exchange</t>
  </si>
  <si>
    <t>Newer</t>
  </si>
  <si>
    <t xml:space="preserve"> May 2015</t>
  </si>
  <si>
    <t xml:space="preserve">Notes: </t>
  </si>
  <si>
    <t>SREB analysis of National Center for Education Statistics salary surveys — www.nces.ed.gov/ipeds.</t>
  </si>
  <si>
    <t>Use IPEDS data: FinancePhysicalResources &gt; IPEDS_Sals</t>
  </si>
  <si>
    <t>Use IPEDS data: FinancePhysicalResources &gt; IPEDS_Sals (Pivot Table by Numbers)</t>
  </si>
  <si>
    <t>2015-16</t>
  </si>
  <si>
    <t>2010-11</t>
  </si>
  <si>
    <t>2015-16 data from IPEDS only and 2010-11 from Data Exchange and IPEDS</t>
  </si>
  <si>
    <t xml:space="preserve"> May 2017</t>
  </si>
  <si>
    <r>
      <t>All Other</t>
    </r>
    <r>
      <rPr>
        <vertAlign val="superscript"/>
        <sz val="12"/>
        <rFont val="Arial"/>
        <family val="2"/>
      </rPr>
      <t>1</t>
    </r>
  </si>
  <si>
    <t>For this table to profile the same group as the faculty salary averages, figures include all full-time faculty at public four-year colleges and universities except those at specialized institutions. (See Appendix A for examples.)</t>
  </si>
  <si>
    <t>Table 80 (OLD Table 81)</t>
  </si>
  <si>
    <t>Table 80 (81)</t>
  </si>
  <si>
    <t>* Indicates less that one-tenth of a percent.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</si>
</sst>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0.0%"/>
    <numFmt numFmtId="165" formatCode="0.0"/>
    <numFmt numFmtId="166" formatCode="#,##0.000"/>
    <numFmt numFmtId="167" formatCode="_(* #,##0_);_(* \(#,##0\);_(* &quot;-&quot;??_);_(@_)"/>
    <numFmt numFmtId="168" formatCode="_(* #,##0.0_);_(* \(#,##0.0\);_(* &quot;-&quot;??_);_(@_)"/>
    <numFmt numFmtId="169" formatCode="0_)"/>
    <numFmt numFmtId="170" formatCode="_(* #,##0.000_);_(* \(#,##0.000\);_(* &quot;-&quot;??_);_(@_)"/>
    <numFmt numFmtId="171" formatCode="0.000"/>
  </numFmts>
  <fonts count="77">
    <font>
      <sz val="12"/>
      <name val="Arial"/>
    </font>
    <font>
      <sz val="11"/>
      <color theme="1"/>
      <name val="Calibri"/>
      <family val="2"/>
      <scheme val="minor"/>
    </font>
    <font>
      <sz val="10"/>
      <name val="SWISS-C"/>
    </font>
    <font>
      <sz val="10"/>
      <name val="SWISS-C"/>
    </font>
    <font>
      <sz val="12"/>
      <name val="FUTURA-X"/>
    </font>
    <font>
      <sz val="8"/>
      <name val="SWISS-C"/>
    </font>
    <font>
      <sz val="12"/>
      <name val="Futura XBlk BT"/>
    </font>
    <font>
      <sz val="12"/>
      <name val="AGaramond"/>
      <family val="3"/>
    </font>
    <font>
      <sz val="12"/>
      <name val="AGaramond Bold"/>
      <family val="3"/>
    </font>
    <font>
      <sz val="12"/>
      <name val="AGaramond"/>
      <family val="3"/>
    </font>
    <font>
      <sz val="10"/>
      <name val="SWISS-C"/>
    </font>
    <font>
      <sz val="8"/>
      <name val="AGaramond Bold"/>
      <family val="3"/>
    </font>
    <font>
      <sz val="9"/>
      <name val="AGaramond"/>
      <family val="3"/>
    </font>
    <font>
      <sz val="9"/>
      <color indexed="8"/>
      <name val="AGaramond Bold"/>
      <family val="3"/>
    </font>
    <font>
      <sz val="9"/>
      <color indexed="50"/>
      <name val="AGaramond"/>
      <family val="3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4"/>
      <name val="Courier"/>
      <family val="3"/>
    </font>
    <font>
      <i/>
      <sz val="14"/>
      <name val="Arial"/>
      <family val="2"/>
    </font>
    <font>
      <i/>
      <sz val="14"/>
      <name val="Courier"/>
      <family val="3"/>
    </font>
    <font>
      <sz val="8"/>
      <name val="Courier"/>
      <family val="3"/>
    </font>
    <font>
      <b/>
      <i/>
      <sz val="12"/>
      <name val="Arial"/>
      <family val="2"/>
    </font>
    <font>
      <b/>
      <sz val="9"/>
      <color indexed="8"/>
      <name val="Arial"/>
      <family val="2"/>
    </font>
    <font>
      <sz val="10"/>
      <name val="AGaramond"/>
      <family val="3"/>
    </font>
    <font>
      <sz val="9"/>
      <name val="Courier"/>
      <family val="3"/>
    </font>
    <font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color indexed="17"/>
      <name val="Arial"/>
      <family val="2"/>
    </font>
    <font>
      <sz val="8"/>
      <color indexed="8"/>
      <name val="Arial"/>
      <family val="2"/>
    </font>
    <font>
      <b/>
      <i/>
      <sz val="9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0"/>
      <color indexed="12"/>
      <name val="Arial"/>
      <family val="2"/>
    </font>
    <font>
      <sz val="8"/>
      <name val="Helvetica-Narrow"/>
      <family val="2"/>
    </font>
    <font>
      <sz val="10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4"/>
      <name val="Arial"/>
      <family val="2"/>
    </font>
    <font>
      <sz val="10"/>
      <color indexed="8"/>
      <name val="Arial"/>
      <family val="2"/>
    </font>
    <font>
      <b/>
      <sz val="10"/>
      <color indexed="43"/>
      <name val="Arial"/>
      <family val="2"/>
    </font>
    <font>
      <sz val="8"/>
      <name val="Arial"/>
      <family val="2"/>
    </font>
    <font>
      <sz val="12"/>
      <name val="Futura XBlk BT"/>
      <family val="2"/>
    </font>
    <font>
      <b/>
      <sz val="8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10"/>
      <color indexed="8"/>
      <name val="Arial"/>
      <family val="2"/>
    </font>
    <font>
      <sz val="10"/>
      <color indexed="17"/>
      <name val="Arial"/>
      <family val="2"/>
    </font>
    <font>
      <b/>
      <i/>
      <sz val="14"/>
      <color indexed="8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theme="3" tint="0.3999755851924192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sz val="10"/>
      <color rgb="FFC00000"/>
      <name val="Arial"/>
      <family val="2"/>
    </font>
    <font>
      <sz val="8"/>
      <color rgb="FF0000FF"/>
      <name val="Arial"/>
      <family val="2"/>
    </font>
    <font>
      <b/>
      <sz val="10"/>
      <color rgb="FF0000FF"/>
      <name val="Arial"/>
      <family val="2"/>
    </font>
    <font>
      <vertAlign val="superscript"/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92D05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9" tint="-0.249977111117893"/>
      <name val="Arial"/>
      <family val="2"/>
    </font>
    <font>
      <b/>
      <sz val="12"/>
      <color theme="9" tint="-0.249977111117893"/>
      <name val="Arial"/>
      <family val="2"/>
    </font>
    <font>
      <sz val="12"/>
      <color theme="9" tint="-0.249977111117893"/>
      <name val="Arial"/>
      <family val="2"/>
    </font>
    <font>
      <vertAlign val="superscript"/>
      <sz val="12"/>
      <name val="Arial"/>
      <family val="2"/>
    </font>
    <font>
      <sz val="10"/>
      <name val="Arial"/>
      <family val="2"/>
    </font>
    <font>
      <sz val="10"/>
      <color rgb="FFC00000"/>
      <name val="Arial"/>
      <family val="2"/>
    </font>
    <font>
      <sz val="10"/>
      <color rgb="FF92D050"/>
      <name val="Arial"/>
      <family val="2"/>
    </font>
    <font>
      <sz val="12"/>
      <name val="Arial"/>
      <family val="2"/>
    </font>
    <font>
      <b/>
      <sz val="10"/>
      <color rgb="FFFFFF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Up="1"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6">
    <xf numFmtId="0" fontId="0" fillId="0" borderId="0">
      <alignment horizontal="left" wrapText="1"/>
    </xf>
    <xf numFmtId="43" fontId="24" fillId="0" borderId="0" applyFont="0" applyFill="0" applyBorder="0" applyAlignment="0" applyProtection="0"/>
    <xf numFmtId="37" fontId="44" fillId="0" borderId="0"/>
    <xf numFmtId="9" fontId="7" fillId="0" borderId="0" applyFon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</cellStyleXfs>
  <cellXfs count="1060">
    <xf numFmtId="0" fontId="0" fillId="0" borderId="0" xfId="0" applyAlignment="1"/>
    <xf numFmtId="3" fontId="2" fillId="0" borderId="0" xfId="0" applyNumberFormat="1" applyFont="1" applyAlignment="1"/>
    <xf numFmtId="3" fontId="3" fillId="0" borderId="0" xfId="0" applyNumberFormat="1" applyFont="1" applyAlignment="1"/>
    <xf numFmtId="3" fontId="3" fillId="0" borderId="0" xfId="0" applyNumberFormat="1" applyFont="1" applyAlignment="1">
      <alignment horizontal="centerContinuous"/>
    </xf>
    <xf numFmtId="3" fontId="3" fillId="0" borderId="1" xfId="0" applyNumberFormat="1" applyFont="1" applyBorder="1" applyAlignment="1"/>
    <xf numFmtId="3" fontId="3" fillId="0" borderId="0" xfId="0" applyNumberFormat="1" applyFont="1" applyAlignment="1">
      <alignment horizontal="right"/>
    </xf>
    <xf numFmtId="164" fontId="3" fillId="0" borderId="0" xfId="0" applyNumberFormat="1" applyFont="1" applyAlignment="1"/>
    <xf numFmtId="3" fontId="5" fillId="0" borderId="0" xfId="0" applyNumberFormat="1" applyFont="1" applyAlignment="1"/>
    <xf numFmtId="0" fontId="2" fillId="0" borderId="0" xfId="0" applyNumberFormat="1" applyFont="1" applyAlignment="1"/>
    <xf numFmtId="0" fontId="15" fillId="0" borderId="0" xfId="0" applyFont="1" applyAlignment="1"/>
    <xf numFmtId="0" fontId="7" fillId="0" borderId="0" xfId="0" applyNumberFormat="1" applyFont="1" applyAlignment="1"/>
    <xf numFmtId="3" fontId="8" fillId="0" borderId="0" xfId="0" applyNumberFormat="1" applyFont="1" applyAlignment="1">
      <alignment horizontal="centerContinuous"/>
    </xf>
    <xf numFmtId="3" fontId="9" fillId="0" borderId="0" xfId="0" applyNumberFormat="1" applyFont="1" applyAlignment="1">
      <alignment horizontal="centerContinuous"/>
    </xf>
    <xf numFmtId="3" fontId="10" fillId="0" borderId="0" xfId="0" applyNumberFormat="1" applyFont="1" applyAlignment="1">
      <alignment horizontal="centerContinuous"/>
    </xf>
    <xf numFmtId="3" fontId="9" fillId="0" borderId="1" xfId="0" applyNumberFormat="1" applyFont="1" applyBorder="1" applyAlignment="1" applyProtection="1">
      <protection locked="0"/>
    </xf>
    <xf numFmtId="3" fontId="9" fillId="0" borderId="1" xfId="0" applyNumberFormat="1" applyFont="1" applyBorder="1" applyAlignment="1"/>
    <xf numFmtId="3" fontId="11" fillId="0" borderId="1" xfId="0" applyNumberFormat="1" applyFont="1" applyBorder="1" applyAlignment="1">
      <alignment horizontal="centerContinuous"/>
    </xf>
    <xf numFmtId="3" fontId="11" fillId="0" borderId="2" xfId="0" applyNumberFormat="1" applyFont="1" applyBorder="1" applyAlignment="1">
      <alignment horizontal="centerContinuous"/>
    </xf>
    <xf numFmtId="3" fontId="11" fillId="0" borderId="1" xfId="0" applyNumberFormat="1" applyFont="1" applyBorder="1" applyAlignment="1">
      <alignment horizontal="centerContinuous" wrapText="1"/>
    </xf>
    <xf numFmtId="3" fontId="11" fillId="0" borderId="2" xfId="0" applyNumberFormat="1" applyFont="1" applyBorder="1" applyAlignment="1">
      <alignment horizontal="centerContinuous" wrapText="1"/>
    </xf>
    <xf numFmtId="3" fontId="12" fillId="0" borderId="0" xfId="0" applyNumberFormat="1" applyFont="1" applyAlignment="1"/>
    <xf numFmtId="9" fontId="12" fillId="0" borderId="0" xfId="0" applyNumberFormat="1" applyFont="1" applyAlignment="1">
      <alignment horizontal="center"/>
    </xf>
    <xf numFmtId="3" fontId="13" fillId="0" borderId="0" xfId="0" applyNumberFormat="1" applyFont="1" applyAlignment="1" applyProtection="1">
      <alignment horizontal="right"/>
      <protection locked="0"/>
    </xf>
    <xf numFmtId="3" fontId="13" fillId="0" borderId="0" xfId="0" applyNumberFormat="1" applyFont="1" applyAlignment="1">
      <alignment horizontal="center"/>
    </xf>
    <xf numFmtId="9" fontId="13" fillId="0" borderId="3" xfId="0" applyNumberFormat="1" applyFont="1" applyBorder="1" applyAlignment="1">
      <alignment horizontal="center"/>
    </xf>
    <xf numFmtId="9" fontId="13" fillId="0" borderId="0" xfId="0" applyNumberFormat="1" applyFont="1" applyAlignment="1">
      <alignment horizontal="center"/>
    </xf>
    <xf numFmtId="3" fontId="12" fillId="0" borderId="1" xfId="0" applyNumberFormat="1" applyFont="1" applyBorder="1" applyAlignment="1"/>
    <xf numFmtId="3" fontId="12" fillId="0" borderId="1" xfId="0" applyNumberFormat="1" applyFont="1" applyBorder="1" applyAlignment="1">
      <alignment horizontal="center"/>
    </xf>
    <xf numFmtId="9" fontId="12" fillId="0" borderId="2" xfId="0" applyNumberFormat="1" applyFont="1" applyBorder="1" applyAlignment="1">
      <alignment horizontal="center"/>
    </xf>
    <xf numFmtId="9" fontId="12" fillId="0" borderId="1" xfId="0" applyNumberFormat="1" applyFont="1" applyBorder="1" applyAlignment="1">
      <alignment horizontal="center"/>
    </xf>
    <xf numFmtId="3" fontId="12" fillId="0" borderId="0" xfId="0" applyNumberFormat="1" applyFont="1" applyAlignment="1">
      <alignment horizontal="center"/>
    </xf>
    <xf numFmtId="9" fontId="12" fillId="0" borderId="3" xfId="0" applyNumberFormat="1" applyFont="1" applyBorder="1" applyAlignment="1">
      <alignment horizontal="center"/>
    </xf>
    <xf numFmtId="3" fontId="14" fillId="0" borderId="0" xfId="0" applyNumberFormat="1" applyFont="1" applyAlignment="1" applyProtection="1">
      <alignment horizontal="right"/>
      <protection locked="0"/>
    </xf>
    <xf numFmtId="3" fontId="14" fillId="0" borderId="0" xfId="0" applyNumberFormat="1" applyFont="1" applyAlignment="1">
      <alignment horizontal="center"/>
    </xf>
    <xf numFmtId="9" fontId="14" fillId="0" borderId="3" xfId="0" applyNumberFormat="1" applyFont="1" applyBorder="1" applyAlignment="1">
      <alignment horizontal="center"/>
    </xf>
    <xf numFmtId="9" fontId="14" fillId="0" borderId="0" xfId="0" applyNumberFormat="1" applyFont="1" applyAlignment="1">
      <alignment horizontal="center"/>
    </xf>
    <xf numFmtId="3" fontId="12" fillId="0" borderId="3" xfId="0" applyNumberFormat="1" applyFont="1" applyBorder="1" applyAlignment="1"/>
    <xf numFmtId="1" fontId="12" fillId="0" borderId="1" xfId="0" applyNumberFormat="1" applyFont="1" applyBorder="1" applyAlignment="1">
      <alignment horizontal="center"/>
    </xf>
    <xf numFmtId="1" fontId="12" fillId="0" borderId="0" xfId="0" applyNumberFormat="1" applyFont="1" applyAlignment="1">
      <alignment horizontal="center"/>
    </xf>
    <xf numFmtId="3" fontId="0" fillId="0" borderId="1" xfId="0" applyNumberFormat="1" applyBorder="1" applyAlignment="1"/>
    <xf numFmtId="3" fontId="12" fillId="0" borderId="0" xfId="0" applyNumberFormat="1" applyFont="1" applyBorder="1" applyAlignment="1">
      <alignment horizontal="center"/>
    </xf>
    <xf numFmtId="9" fontId="12" fillId="0" borderId="0" xfId="0" applyNumberFormat="1" applyFont="1" applyBorder="1" applyAlignment="1">
      <alignment horizontal="center"/>
    </xf>
    <xf numFmtId="3" fontId="11" fillId="0" borderId="4" xfId="0" applyNumberFormat="1" applyFont="1" applyBorder="1" applyAlignment="1">
      <alignment horizontal="centerContinuous" wrapText="1"/>
    </xf>
    <xf numFmtId="3" fontId="11" fillId="0" borderId="5" xfId="0" applyNumberFormat="1" applyFont="1" applyBorder="1" applyAlignment="1">
      <alignment horizontal="centerContinuous" wrapText="1"/>
    </xf>
    <xf numFmtId="0" fontId="7" fillId="0" borderId="4" xfId="0" applyNumberFormat="1" applyFont="1" applyBorder="1" applyAlignment="1"/>
    <xf numFmtId="3" fontId="11" fillId="0" borderId="0" xfId="0" applyNumberFormat="1" applyFont="1" applyBorder="1" applyAlignment="1">
      <alignment horizontal="centerContinuous" wrapText="1"/>
    </xf>
    <xf numFmtId="3" fontId="11" fillId="0" borderId="3" xfId="0" applyNumberFormat="1" applyFont="1" applyBorder="1" applyAlignment="1">
      <alignment horizontal="centerContinuous" wrapText="1"/>
    </xf>
    <xf numFmtId="0" fontId="7" fillId="0" borderId="0" xfId="0" applyNumberFormat="1" applyFont="1" applyBorder="1" applyAlignment="1"/>
    <xf numFmtId="3" fontId="13" fillId="0" borderId="0" xfId="0" applyNumberFormat="1" applyFont="1" applyBorder="1" applyAlignment="1">
      <alignment horizontal="center"/>
    </xf>
    <xf numFmtId="3" fontId="11" fillId="0" borderId="6" xfId="0" applyNumberFormat="1" applyFont="1" applyBorder="1" applyAlignment="1">
      <alignment horizontal="centerContinuous" wrapText="1"/>
    </xf>
    <xf numFmtId="3" fontId="11" fillId="0" borderId="7" xfId="0" applyNumberFormat="1" applyFont="1" applyBorder="1" applyAlignment="1">
      <alignment horizontal="centerContinuous" wrapText="1"/>
    </xf>
    <xf numFmtId="0" fontId="7" fillId="0" borderId="6" xfId="0" applyNumberFormat="1" applyFont="1" applyBorder="1" applyAlignment="1"/>
    <xf numFmtId="3" fontId="13" fillId="2" borderId="0" xfId="0" applyNumberFormat="1" applyFont="1" applyFill="1" applyBorder="1" applyAlignment="1">
      <alignment horizontal="center"/>
    </xf>
    <xf numFmtId="166" fontId="12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left"/>
    </xf>
    <xf numFmtId="0" fontId="16" fillId="0" borderId="0" xfId="0" applyFont="1" applyAlignment="1"/>
    <xf numFmtId="0" fontId="21" fillId="0" borderId="0" xfId="0" applyFont="1" applyAlignment="1"/>
    <xf numFmtId="0" fontId="22" fillId="0" borderId="0" xfId="0" applyFont="1" applyBorder="1" applyAlignment="1"/>
    <xf numFmtId="0" fontId="0" fillId="0" borderId="0" xfId="0" applyBorder="1" applyAlignment="1"/>
    <xf numFmtId="0" fontId="0" fillId="0" borderId="4" xfId="0" applyBorder="1" applyAlignment="1"/>
    <xf numFmtId="0" fontId="22" fillId="0" borderId="4" xfId="0" applyFont="1" applyBorder="1" applyAlignment="1"/>
    <xf numFmtId="0" fontId="0" fillId="0" borderId="6" xfId="0" applyBorder="1" applyAlignment="1"/>
    <xf numFmtId="167" fontId="23" fillId="0" borderId="8" xfId="1" applyNumberFormat="1" applyFont="1" applyBorder="1" applyAlignment="1" applyProtection="1">
      <alignment horizontal="centerContinuous" wrapText="1"/>
    </xf>
    <xf numFmtId="0" fontId="16" fillId="3" borderId="0" xfId="0" applyFont="1" applyFill="1" applyAlignment="1"/>
    <xf numFmtId="167" fontId="16" fillId="0" borderId="0" xfId="1" applyNumberFormat="1" applyFont="1"/>
    <xf numFmtId="167" fontId="16" fillId="3" borderId="0" xfId="1" applyNumberFormat="1" applyFont="1" applyFill="1"/>
    <xf numFmtId="3" fontId="3" fillId="0" borderId="9" xfId="0" applyNumberFormat="1" applyFont="1" applyBorder="1" applyAlignment="1"/>
    <xf numFmtId="3" fontId="3" fillId="0" borderId="9" xfId="0" applyNumberFormat="1" applyFont="1" applyBorder="1" applyAlignment="1">
      <alignment horizontal="right"/>
    </xf>
    <xf numFmtId="3" fontId="3" fillId="0" borderId="6" xfId="0" applyNumberFormat="1" applyFont="1" applyBorder="1" applyAlignment="1"/>
    <xf numFmtId="3" fontId="3" fillId="0" borderId="6" xfId="0" applyNumberFormat="1" applyFont="1" applyBorder="1" applyAlignment="1">
      <alignment horizontal="right"/>
    </xf>
    <xf numFmtId="3" fontId="3" fillId="0" borderId="10" xfId="0" applyNumberFormat="1" applyFont="1" applyBorder="1" applyAlignment="1"/>
    <xf numFmtId="3" fontId="3" fillId="0" borderId="11" xfId="0" applyNumberFormat="1" applyFont="1" applyBorder="1" applyAlignment="1"/>
    <xf numFmtId="3" fontId="3" fillId="0" borderId="12" xfId="0" applyNumberFormat="1" applyFont="1" applyBorder="1" applyAlignment="1"/>
    <xf numFmtId="3" fontId="2" fillId="0" borderId="10" xfId="0" applyNumberFormat="1" applyFont="1" applyBorder="1" applyAlignment="1"/>
    <xf numFmtId="3" fontId="3" fillId="0" borderId="0" xfId="0" applyNumberFormat="1" applyFont="1" applyBorder="1" applyAlignment="1"/>
    <xf numFmtId="3" fontId="3" fillId="0" borderId="0" xfId="0" applyNumberFormat="1" applyFont="1" applyFill="1" applyBorder="1" applyAlignment="1"/>
    <xf numFmtId="3" fontId="4" fillId="0" borderId="0" xfId="0" applyNumberFormat="1" applyFont="1" applyBorder="1" applyAlignment="1">
      <alignment horizontal="centerContinuous"/>
    </xf>
    <xf numFmtId="3" fontId="3" fillId="0" borderId="0" xfId="0" applyNumberFormat="1" applyFont="1" applyBorder="1" applyAlignment="1" applyProtection="1">
      <protection locked="0"/>
    </xf>
    <xf numFmtId="3" fontId="3" fillId="0" borderId="13" xfId="0" applyNumberFormat="1" applyFont="1" applyBorder="1" applyAlignment="1"/>
    <xf numFmtId="3" fontId="3" fillId="0" borderId="14" xfId="0" applyNumberFormat="1" applyFont="1" applyBorder="1" applyAlignment="1">
      <alignment horizontal="right"/>
    </xf>
    <xf numFmtId="0" fontId="26" fillId="0" borderId="0" xfId="0" applyFont="1" applyAlignment="1"/>
    <xf numFmtId="37" fontId="19" fillId="0" borderId="0" xfId="0" applyNumberFormat="1" applyFont="1" applyBorder="1" applyAlignment="1" applyProtection="1">
      <alignment horizontal="centerContinuous"/>
    </xf>
    <xf numFmtId="0" fontId="19" fillId="0" borderId="0" xfId="0" applyFont="1" applyBorder="1" applyAlignment="1">
      <alignment horizontal="centerContinuous"/>
    </xf>
    <xf numFmtId="0" fontId="19" fillId="0" borderId="0" xfId="0" applyFont="1" applyAlignment="1">
      <alignment horizontal="centerContinuous"/>
    </xf>
    <xf numFmtId="0" fontId="26" fillId="0" borderId="0" xfId="0" applyFont="1" applyBorder="1" applyAlignment="1"/>
    <xf numFmtId="167" fontId="23" fillId="0" borderId="8" xfId="1" applyNumberFormat="1" applyFont="1" applyBorder="1" applyAlignment="1" applyProtection="1">
      <alignment horizontal="centerContinuous"/>
    </xf>
    <xf numFmtId="0" fontId="27" fillId="0" borderId="8" xfId="0" applyFont="1" applyBorder="1" applyAlignment="1">
      <alignment horizontal="centerContinuous"/>
    </xf>
    <xf numFmtId="167" fontId="23" fillId="0" borderId="15" xfId="1" applyNumberFormat="1" applyFont="1" applyBorder="1" applyAlignment="1" applyProtection="1">
      <alignment horizontal="centerContinuous"/>
    </xf>
    <xf numFmtId="0" fontId="28" fillId="0" borderId="15" xfId="0" applyFont="1" applyBorder="1" applyAlignment="1" applyProtection="1">
      <alignment horizontal="centerContinuous"/>
      <protection locked="0"/>
    </xf>
    <xf numFmtId="0" fontId="27" fillId="0" borderId="6" xfId="0" applyFont="1" applyBorder="1" applyAlignment="1" applyProtection="1">
      <alignment horizontal="centerContinuous"/>
      <protection locked="0"/>
    </xf>
    <xf numFmtId="167" fontId="23" fillId="0" borderId="14" xfId="1" applyNumberFormat="1" applyFont="1" applyBorder="1" applyAlignment="1" applyProtection="1">
      <alignment horizontal="centerContinuous"/>
    </xf>
    <xf numFmtId="0" fontId="27" fillId="0" borderId="6" xfId="0" applyFont="1" applyBorder="1" applyAlignment="1">
      <alignment horizontal="centerContinuous"/>
    </xf>
    <xf numFmtId="0" fontId="28" fillId="0" borderId="15" xfId="0" applyFont="1" applyBorder="1" applyAlignment="1">
      <alignment horizontal="centerContinuous"/>
    </xf>
    <xf numFmtId="0" fontId="28" fillId="0" borderId="8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6" xfId="0" applyFont="1" applyBorder="1" applyAlignment="1">
      <alignment horizontal="right"/>
    </xf>
    <xf numFmtId="0" fontId="28" fillId="0" borderId="6" xfId="0" applyFont="1" applyBorder="1" applyAlignment="1">
      <alignment horizontal="center"/>
    </xf>
    <xf numFmtId="0" fontId="29" fillId="4" borderId="0" xfId="0" applyFont="1" applyFill="1" applyAlignment="1">
      <alignment vertical="top"/>
    </xf>
    <xf numFmtId="0" fontId="30" fillId="0" borderId="0" xfId="0" applyFont="1" applyBorder="1" applyAlignment="1"/>
    <xf numFmtId="3" fontId="30" fillId="0" borderId="0" xfId="0" applyNumberFormat="1" applyFont="1" applyAlignment="1"/>
    <xf numFmtId="3" fontId="30" fillId="0" borderId="0" xfId="0" applyNumberFormat="1" applyFont="1" applyBorder="1" applyAlignment="1"/>
    <xf numFmtId="0" fontId="30" fillId="5" borderId="0" xfId="0" applyFont="1" applyFill="1" applyAlignment="1"/>
    <xf numFmtId="9" fontId="30" fillId="5" borderId="0" xfId="3" applyFont="1" applyFill="1"/>
    <xf numFmtId="9" fontId="30" fillId="0" borderId="0" xfId="3" applyFont="1"/>
    <xf numFmtId="0" fontId="16" fillId="5" borderId="0" xfId="0" applyFont="1" applyFill="1" applyAlignment="1"/>
    <xf numFmtId="9" fontId="16" fillId="5" borderId="0" xfId="3" applyFont="1" applyFill="1"/>
    <xf numFmtId="37" fontId="30" fillId="0" borderId="0" xfId="0" applyNumberFormat="1" applyFont="1" applyBorder="1" applyAlignment="1" applyProtection="1">
      <alignment vertical="center"/>
    </xf>
    <xf numFmtId="37" fontId="30" fillId="0" borderId="4" xfId="0" applyNumberFormat="1" applyFont="1" applyBorder="1" applyAlignment="1" applyProtection="1">
      <alignment vertical="center"/>
    </xf>
    <xf numFmtId="3" fontId="30" fillId="0" borderId="0" xfId="1" applyNumberFormat="1" applyFont="1" applyBorder="1" applyAlignment="1" applyProtection="1">
      <alignment vertical="center"/>
    </xf>
    <xf numFmtId="3" fontId="30" fillId="0" borderId="16" xfId="1" applyNumberFormat="1" applyFont="1" applyBorder="1" applyAlignment="1" applyProtection="1">
      <alignment vertical="center"/>
    </xf>
    <xf numFmtId="9" fontId="30" fillId="0" borderId="16" xfId="0" applyNumberFormat="1" applyFont="1" applyBorder="1" applyAlignment="1">
      <alignment vertical="center"/>
    </xf>
    <xf numFmtId="9" fontId="30" fillId="0" borderId="0" xfId="0" applyNumberFormat="1" applyFont="1" applyBorder="1" applyAlignment="1">
      <alignment vertical="center"/>
    </xf>
    <xf numFmtId="37" fontId="30" fillId="0" borderId="0" xfId="0" applyNumberFormat="1" applyFont="1" applyAlignment="1" applyProtection="1">
      <alignment vertical="center"/>
    </xf>
    <xf numFmtId="0" fontId="30" fillId="4" borderId="6" xfId="0" applyFont="1" applyFill="1" applyBorder="1" applyAlignment="1">
      <alignment vertical="center"/>
    </xf>
    <xf numFmtId="0" fontId="30" fillId="4" borderId="6" xfId="0" applyFont="1" applyFill="1" applyBorder="1" applyAlignment="1" applyProtection="1">
      <alignment vertical="center"/>
      <protection locked="0"/>
    </xf>
    <xf numFmtId="3" fontId="30" fillId="0" borderId="6" xfId="1" applyNumberFormat="1" applyFont="1" applyBorder="1" applyAlignment="1" applyProtection="1">
      <alignment vertical="center"/>
    </xf>
    <xf numFmtId="3" fontId="30" fillId="0" borderId="14" xfId="1" applyNumberFormat="1" applyFont="1" applyBorder="1" applyAlignment="1" applyProtection="1">
      <alignment vertical="center"/>
    </xf>
    <xf numFmtId="9" fontId="30" fillId="0" borderId="14" xfId="0" applyNumberFormat="1" applyFont="1" applyBorder="1" applyAlignment="1">
      <alignment vertical="center"/>
    </xf>
    <xf numFmtId="9" fontId="30" fillId="0" borderId="6" xfId="0" applyNumberFormat="1" applyFont="1" applyBorder="1" applyAlignment="1">
      <alignment vertical="center"/>
    </xf>
    <xf numFmtId="3" fontId="30" fillId="0" borderId="4" xfId="1" applyNumberFormat="1" applyFont="1" applyBorder="1" applyAlignment="1">
      <alignment vertical="center"/>
    </xf>
    <xf numFmtId="3" fontId="30" fillId="0" borderId="17" xfId="1" applyNumberFormat="1" applyFont="1" applyBorder="1" applyAlignment="1">
      <alignment vertical="center"/>
    </xf>
    <xf numFmtId="9" fontId="30" fillId="0" borderId="17" xfId="0" applyNumberFormat="1" applyFont="1" applyBorder="1" applyAlignment="1">
      <alignment vertical="center"/>
    </xf>
    <xf numFmtId="9" fontId="30" fillId="0" borderId="4" xfId="0" applyNumberFormat="1" applyFont="1" applyBorder="1" applyAlignment="1">
      <alignment vertical="center"/>
    </xf>
    <xf numFmtId="3" fontId="30" fillId="0" borderId="0" xfId="1" applyNumberFormat="1" applyFont="1" applyAlignment="1">
      <alignment vertical="center"/>
    </xf>
    <xf numFmtId="3" fontId="30" fillId="0" borderId="16" xfId="1" applyNumberFormat="1" applyFont="1" applyBorder="1" applyAlignment="1">
      <alignment vertical="center"/>
    </xf>
    <xf numFmtId="3" fontId="30" fillId="0" borderId="0" xfId="1" applyNumberFormat="1" applyFont="1" applyBorder="1" applyAlignment="1">
      <alignment vertical="center"/>
    </xf>
    <xf numFmtId="0" fontId="30" fillId="4" borderId="0" xfId="0" applyFont="1" applyFill="1" applyBorder="1" applyAlignment="1" applyProtection="1">
      <alignment vertical="center"/>
      <protection locked="0"/>
    </xf>
    <xf numFmtId="0" fontId="16" fillId="0" borderId="0" xfId="0" applyFont="1" applyAlignment="1">
      <alignment vertical="top"/>
    </xf>
    <xf numFmtId="37" fontId="30" fillId="0" borderId="6" xfId="0" applyNumberFormat="1" applyFont="1" applyBorder="1" applyAlignment="1" applyProtection="1">
      <alignment vertical="center"/>
    </xf>
    <xf numFmtId="3" fontId="30" fillId="0" borderId="6" xfId="1" applyNumberFormat="1" applyFont="1" applyBorder="1" applyAlignment="1">
      <alignment vertical="center"/>
    </xf>
    <xf numFmtId="3" fontId="30" fillId="0" borderId="14" xfId="1" applyNumberFormat="1" applyFont="1" applyBorder="1" applyAlignment="1">
      <alignment vertical="center"/>
    </xf>
    <xf numFmtId="0" fontId="30" fillId="0" borderId="6" xfId="0" applyFont="1" applyBorder="1" applyAlignment="1">
      <alignment vertical="center"/>
    </xf>
    <xf numFmtId="0" fontId="16" fillId="0" borderId="0" xfId="0" applyFont="1" applyBorder="1" applyAlignment="1"/>
    <xf numFmtId="0" fontId="27" fillId="0" borderId="4" xfId="0" applyFont="1" applyBorder="1" applyAlignment="1"/>
    <xf numFmtId="0" fontId="31" fillId="0" borderId="4" xfId="0" applyFont="1" applyBorder="1" applyAlignment="1"/>
    <xf numFmtId="0" fontId="27" fillId="0" borderId="0" xfId="0" applyFont="1" applyAlignment="1"/>
    <xf numFmtId="0" fontId="27" fillId="0" borderId="0" xfId="0" applyFont="1" applyBorder="1" applyAlignment="1"/>
    <xf numFmtId="0" fontId="31" fillId="0" borderId="0" xfId="0" applyFont="1" applyBorder="1" applyAlignment="1"/>
    <xf numFmtId="0" fontId="27" fillId="0" borderId="6" xfId="0" applyFont="1" applyBorder="1" applyAlignment="1"/>
    <xf numFmtId="37" fontId="32" fillId="0" borderId="0" xfId="0" applyNumberFormat="1" applyFont="1" applyBorder="1" applyAlignment="1" applyProtection="1">
      <alignment horizontal="centerContinuous"/>
    </xf>
    <xf numFmtId="0" fontId="26" fillId="0" borderId="0" xfId="0" applyFont="1" applyBorder="1" applyAlignment="1">
      <alignment horizontal="centerContinuous"/>
    </xf>
    <xf numFmtId="0" fontId="26" fillId="0" borderId="0" xfId="0" applyFont="1" applyAlignment="1">
      <alignment horizontal="centerContinuous"/>
    </xf>
    <xf numFmtId="9" fontId="26" fillId="0" borderId="0" xfId="3" applyFont="1" applyAlignment="1">
      <alignment horizontal="centerContinuous"/>
    </xf>
    <xf numFmtId="37" fontId="33" fillId="0" borderId="0" xfId="0" applyNumberFormat="1" applyFont="1" applyBorder="1" applyAlignment="1" applyProtection="1">
      <alignment horizontal="centerContinuous"/>
    </xf>
    <xf numFmtId="0" fontId="33" fillId="0" borderId="0" xfId="0" applyFont="1" applyBorder="1" applyAlignment="1">
      <alignment horizontal="centerContinuous"/>
    </xf>
    <xf numFmtId="0" fontId="33" fillId="0" borderId="0" xfId="0" applyFont="1" applyAlignment="1">
      <alignment horizontal="centerContinuous"/>
    </xf>
    <xf numFmtId="0" fontId="31" fillId="0" borderId="6" xfId="0" applyFont="1" applyBorder="1" applyAlignment="1"/>
    <xf numFmtId="3" fontId="16" fillId="0" borderId="0" xfId="0" applyNumberFormat="1" applyFont="1" applyBorder="1" applyAlignment="1">
      <alignment horizontal="center"/>
    </xf>
    <xf numFmtId="3" fontId="16" fillId="0" borderId="0" xfId="0" applyNumberFormat="1" applyFont="1" applyBorder="1" applyAlignment="1">
      <alignment horizontal="right"/>
    </xf>
    <xf numFmtId="3" fontId="16" fillId="0" borderId="16" xfId="0" applyNumberFormat="1" applyFont="1" applyBorder="1" applyAlignment="1">
      <alignment horizontal="center"/>
    </xf>
    <xf numFmtId="3" fontId="16" fillId="0" borderId="6" xfId="0" applyNumberFormat="1" applyFont="1" applyBorder="1" applyAlignment="1">
      <alignment horizontal="center"/>
    </xf>
    <xf numFmtId="167" fontId="16" fillId="0" borderId="0" xfId="1" applyNumberFormat="1" applyFont="1" applyFill="1"/>
    <xf numFmtId="37" fontId="34" fillId="0" borderId="0" xfId="0" applyNumberFormat="1" applyFont="1" applyFill="1" applyAlignment="1" applyProtection="1">
      <protection locked="0"/>
    </xf>
    <xf numFmtId="0" fontId="15" fillId="0" borderId="0" xfId="0" applyFont="1" applyFill="1" applyAlignment="1"/>
    <xf numFmtId="0" fontId="15" fillId="0" borderId="0" xfId="0" applyFont="1" applyFill="1" applyAlignment="1" applyProtection="1">
      <alignment horizontal="centerContinuous"/>
    </xf>
    <xf numFmtId="0" fontId="15" fillId="0" borderId="0" xfId="0" applyFont="1" applyAlignment="1" applyProtection="1">
      <alignment horizontal="centerContinuous"/>
    </xf>
    <xf numFmtId="37" fontId="15" fillId="0" borderId="0" xfId="0" applyNumberFormat="1" applyFont="1" applyAlignment="1" applyProtection="1">
      <alignment horizontal="centerContinuous"/>
    </xf>
    <xf numFmtId="0" fontId="15" fillId="0" borderId="9" xfId="0" applyFont="1" applyFill="1" applyBorder="1" applyAlignment="1" applyProtection="1"/>
    <xf numFmtId="0" fontId="15" fillId="0" borderId="9" xfId="0" applyFont="1" applyBorder="1" applyAlignment="1" applyProtection="1"/>
    <xf numFmtId="37" fontId="15" fillId="0" borderId="9" xfId="0" applyNumberFormat="1" applyFont="1" applyBorder="1" applyAlignment="1" applyProtection="1">
      <alignment horizontal="center"/>
    </xf>
    <xf numFmtId="0" fontId="15" fillId="0" borderId="9" xfId="0" applyFont="1" applyBorder="1" applyAlignment="1" applyProtection="1">
      <alignment horizontal="center"/>
    </xf>
    <xf numFmtId="0" fontId="15" fillId="0" borderId="0" xfId="0" applyFont="1" applyFill="1" applyAlignment="1" applyProtection="1"/>
    <xf numFmtId="37" fontId="15" fillId="0" borderId="0" xfId="0" applyNumberFormat="1" applyFont="1" applyAlignment="1" applyProtection="1"/>
    <xf numFmtId="0" fontId="15" fillId="0" borderId="0" xfId="0" applyFont="1" applyAlignment="1" applyProtection="1">
      <alignment horizontal="center"/>
    </xf>
    <xf numFmtId="37" fontId="15" fillId="0" borderId="0" xfId="0" applyNumberFormat="1" applyFont="1" applyBorder="1" applyAlignment="1" applyProtection="1"/>
    <xf numFmtId="3" fontId="15" fillId="0" borderId="0" xfId="0" applyNumberFormat="1" applyFont="1" applyAlignment="1" applyProtection="1">
      <alignment horizontal="center"/>
    </xf>
    <xf numFmtId="37" fontId="15" fillId="5" borderId="0" xfId="0" applyNumberFormat="1" applyFont="1" applyFill="1" applyAlignment="1" applyProtection="1">
      <alignment horizontal="right"/>
    </xf>
    <xf numFmtId="3" fontId="15" fillId="5" borderId="0" xfId="0" applyNumberFormat="1" applyFont="1" applyFill="1" applyAlignment="1" applyProtection="1">
      <alignment horizontal="center"/>
    </xf>
    <xf numFmtId="0" fontId="15" fillId="0" borderId="6" xfId="0" applyFont="1" applyFill="1" applyBorder="1" applyAlignment="1" applyProtection="1"/>
    <xf numFmtId="37" fontId="15" fillId="0" borderId="6" xfId="0" applyNumberFormat="1" applyFont="1" applyBorder="1" applyAlignment="1" applyProtection="1"/>
    <xf numFmtId="3" fontId="15" fillId="0" borderId="6" xfId="0" applyNumberFormat="1" applyFont="1" applyBorder="1" applyAlignment="1" applyProtection="1">
      <alignment horizontal="center"/>
    </xf>
    <xf numFmtId="0" fontId="15" fillId="0" borderId="0" xfId="0" applyFont="1" applyFill="1" applyBorder="1" applyAlignment="1" applyProtection="1"/>
    <xf numFmtId="37" fontId="15" fillId="0" borderId="0" xfId="0" applyNumberFormat="1" applyFont="1" applyBorder="1" applyAlignment="1" applyProtection="1">
      <alignment horizontal="center"/>
    </xf>
    <xf numFmtId="37" fontId="15" fillId="0" borderId="0" xfId="0" applyNumberFormat="1" applyFont="1" applyAlignment="1" applyProtection="1">
      <alignment horizontal="center"/>
    </xf>
    <xf numFmtId="37" fontId="15" fillId="5" borderId="0" xfId="0" applyNumberFormat="1" applyFont="1" applyFill="1" applyAlignment="1" applyProtection="1">
      <alignment horizontal="center"/>
    </xf>
    <xf numFmtId="37" fontId="15" fillId="0" borderId="6" xfId="0" applyNumberFormat="1" applyFont="1" applyBorder="1" applyAlignment="1" applyProtection="1">
      <alignment horizontal="center"/>
    </xf>
    <xf numFmtId="0" fontId="15" fillId="0" borderId="0" xfId="0" applyFont="1" applyFill="1" applyBorder="1" applyAlignment="1"/>
    <xf numFmtId="0" fontId="15" fillId="0" borderId="13" xfId="0" applyFont="1" applyFill="1" applyBorder="1" applyAlignment="1" applyProtection="1"/>
    <xf numFmtId="37" fontId="15" fillId="0" borderId="13" xfId="0" applyNumberFormat="1" applyFont="1" applyBorder="1" applyAlignment="1" applyProtection="1"/>
    <xf numFmtId="37" fontId="15" fillId="0" borderId="13" xfId="0" applyNumberFormat="1" applyFont="1" applyBorder="1" applyAlignment="1" applyProtection="1">
      <alignment horizontal="center"/>
    </xf>
    <xf numFmtId="37" fontId="15" fillId="0" borderId="13" xfId="0" applyNumberFormat="1" applyFont="1" applyFill="1" applyBorder="1" applyAlignment="1" applyProtection="1"/>
    <xf numFmtId="37" fontId="15" fillId="0" borderId="6" xfId="0" applyNumberFormat="1" applyFont="1" applyFill="1" applyBorder="1" applyAlignment="1" applyProtection="1">
      <alignment horizontal="center"/>
    </xf>
    <xf numFmtId="37" fontId="15" fillId="0" borderId="0" xfId="0" applyNumberFormat="1" applyFont="1" applyFill="1" applyAlignment="1"/>
    <xf numFmtId="169" fontId="15" fillId="0" borderId="0" xfId="0" applyNumberFormat="1" applyFont="1" applyAlignment="1" applyProtection="1">
      <alignment horizontal="center"/>
    </xf>
    <xf numFmtId="0" fontId="15" fillId="0" borderId="4" xfId="0" applyFont="1" applyFill="1" applyBorder="1" applyAlignment="1" applyProtection="1"/>
    <xf numFmtId="37" fontId="15" fillId="0" borderId="4" xfId="0" applyNumberFormat="1" applyFont="1" applyBorder="1" applyAlignment="1" applyProtection="1"/>
    <xf numFmtId="37" fontId="15" fillId="0" borderId="4" xfId="0" applyNumberFormat="1" applyFont="1" applyBorder="1" applyAlignment="1" applyProtection="1">
      <alignment horizontal="center"/>
    </xf>
    <xf numFmtId="0" fontId="16" fillId="0" borderId="6" xfId="0" applyFont="1" applyBorder="1" applyAlignment="1"/>
    <xf numFmtId="0" fontId="28" fillId="0" borderId="8" xfId="0" applyFont="1" applyBorder="1" applyAlignment="1" applyProtection="1">
      <alignment horizontal="centerContinuous"/>
      <protection locked="0"/>
    </xf>
    <xf numFmtId="0" fontId="27" fillId="0" borderId="18" xfId="0" applyFont="1" applyBorder="1" applyAlignment="1">
      <alignment horizontal="centerContinuous"/>
    </xf>
    <xf numFmtId="0" fontId="28" fillId="0" borderId="18" xfId="0" applyFont="1" applyBorder="1" applyAlignment="1">
      <alignment horizontal="right"/>
    </xf>
    <xf numFmtId="0" fontId="16" fillId="0" borderId="10" xfId="0" applyFont="1" applyBorder="1" applyAlignment="1"/>
    <xf numFmtId="0" fontId="16" fillId="0" borderId="12" xfId="0" applyFont="1" applyBorder="1" applyAlignment="1"/>
    <xf numFmtId="3" fontId="5" fillId="0" borderId="0" xfId="0" applyNumberFormat="1" applyFont="1" applyAlignment="1" applyProtection="1">
      <protection locked="0"/>
    </xf>
    <xf numFmtId="9" fontId="16" fillId="0" borderId="0" xfId="0" applyNumberFormat="1" applyFont="1" applyBorder="1" applyAlignment="1"/>
    <xf numFmtId="9" fontId="16" fillId="0" borderId="6" xfId="0" applyNumberFormat="1" applyFont="1" applyBorder="1" applyAlignment="1"/>
    <xf numFmtId="9" fontId="30" fillId="0" borderId="19" xfId="0" applyNumberFormat="1" applyFont="1" applyBorder="1" applyAlignment="1">
      <alignment vertical="center"/>
    </xf>
    <xf numFmtId="167" fontId="35" fillId="0" borderId="0" xfId="1" applyNumberFormat="1" applyFont="1" applyAlignment="1"/>
    <xf numFmtId="3" fontId="16" fillId="0" borderId="10" xfId="0" applyNumberFormat="1" applyFont="1" applyFill="1" applyBorder="1" applyAlignment="1">
      <alignment horizontal="right"/>
    </xf>
    <xf numFmtId="3" fontId="16" fillId="0" borderId="0" xfId="0" applyNumberFormat="1" applyFont="1" applyFill="1" applyBorder="1" applyAlignment="1">
      <alignment horizontal="center"/>
    </xf>
    <xf numFmtId="3" fontId="16" fillId="0" borderId="0" xfId="0" applyNumberFormat="1" applyFont="1" applyFill="1" applyBorder="1" applyAlignment="1">
      <alignment horizontal="right"/>
    </xf>
    <xf numFmtId="3" fontId="16" fillId="0" borderId="6" xfId="0" applyNumberFormat="1" applyFont="1" applyFill="1" applyBorder="1" applyAlignment="1">
      <alignment horizontal="center"/>
    </xf>
    <xf numFmtId="3" fontId="16" fillId="0" borderId="12" xfId="0" applyNumberFormat="1" applyFont="1" applyFill="1" applyBorder="1" applyAlignment="1">
      <alignment horizontal="center"/>
    </xf>
    <xf numFmtId="37" fontId="17" fillId="0" borderId="0" xfId="0" applyNumberFormat="1" applyFont="1" applyBorder="1" applyAlignment="1" applyProtection="1">
      <alignment horizontal="centerContinuous"/>
    </xf>
    <xf numFmtId="0" fontId="41" fillId="0" borderId="0" xfId="0" applyFont="1" applyBorder="1" applyAlignment="1">
      <alignment horizontal="centerContinuous"/>
    </xf>
    <xf numFmtId="0" fontId="41" fillId="0" borderId="0" xfId="0" applyFont="1" applyAlignment="1">
      <alignment horizontal="centerContinuous"/>
    </xf>
    <xf numFmtId="0" fontId="41" fillId="6" borderId="0" xfId="0" applyFont="1" applyFill="1" applyAlignment="1">
      <alignment horizontal="centerContinuous"/>
    </xf>
    <xf numFmtId="167" fontId="41" fillId="0" borderId="0" xfId="1" applyNumberFormat="1" applyFont="1" applyAlignment="1">
      <alignment horizontal="centerContinuous"/>
    </xf>
    <xf numFmtId="167" fontId="41" fillId="0" borderId="0" xfId="1" applyNumberFormat="1" applyFont="1" applyBorder="1" applyAlignment="1">
      <alignment horizontal="centerContinuous"/>
    </xf>
    <xf numFmtId="167" fontId="26" fillId="0" borderId="0" xfId="1" applyNumberFormat="1" applyFont="1"/>
    <xf numFmtId="0" fontId="19" fillId="6" borderId="0" xfId="0" applyFont="1" applyFill="1" applyAlignment="1">
      <alignment horizontal="centerContinuous"/>
    </xf>
    <xf numFmtId="167" fontId="19" fillId="0" borderId="0" xfId="1" applyNumberFormat="1" applyFont="1" applyAlignment="1">
      <alignment horizontal="centerContinuous"/>
    </xf>
    <xf numFmtId="167" fontId="19" fillId="0" borderId="0" xfId="1" applyNumberFormat="1" applyFont="1" applyBorder="1" applyAlignment="1">
      <alignment horizontal="centerContinuous"/>
    </xf>
    <xf numFmtId="0" fontId="26" fillId="6" borderId="0" xfId="0" applyFont="1" applyFill="1" applyAlignment="1"/>
    <xf numFmtId="167" fontId="26" fillId="0" borderId="0" xfId="1" applyNumberFormat="1" applyFont="1" applyBorder="1"/>
    <xf numFmtId="0" fontId="26" fillId="0" borderId="4" xfId="0" applyFont="1" applyBorder="1" applyAlignment="1"/>
    <xf numFmtId="0" fontId="27" fillId="6" borderId="8" xfId="0" applyFont="1" applyFill="1" applyBorder="1" applyAlignment="1">
      <alignment horizontal="centerContinuous"/>
    </xf>
    <xf numFmtId="167" fontId="27" fillId="0" borderId="8" xfId="1" applyNumberFormat="1" applyFont="1" applyBorder="1" applyAlignment="1">
      <alignment horizontal="centerContinuous"/>
    </xf>
    <xf numFmtId="0" fontId="26" fillId="0" borderId="6" xfId="0" applyFont="1" applyBorder="1" applyAlignment="1"/>
    <xf numFmtId="0" fontId="22" fillId="0" borderId="6" xfId="0" applyFont="1" applyBorder="1" applyAlignment="1"/>
    <xf numFmtId="0" fontId="28" fillId="0" borderId="6" xfId="0" applyFont="1" applyBorder="1" applyAlignment="1">
      <alignment horizontal="centerContinuous"/>
    </xf>
    <xf numFmtId="0" fontId="28" fillId="0" borderId="8" xfId="0" applyFont="1" applyBorder="1" applyAlignment="1">
      <alignment horizontal="centerContinuous"/>
    </xf>
    <xf numFmtId="0" fontId="28" fillId="0" borderId="18" xfId="0" applyFont="1" applyBorder="1" applyAlignment="1">
      <alignment horizontal="centerContinuous"/>
    </xf>
    <xf numFmtId="167" fontId="27" fillId="0" borderId="6" xfId="1" applyNumberFormat="1" applyFont="1" applyBorder="1" applyAlignment="1">
      <alignment horizontal="centerContinuous"/>
    </xf>
    <xf numFmtId="167" fontId="28" fillId="0" borderId="15" xfId="1" applyNumberFormat="1" applyFont="1" applyBorder="1" applyAlignment="1">
      <alignment horizontal="centerContinuous"/>
    </xf>
    <xf numFmtId="167" fontId="28" fillId="0" borderId="6" xfId="1" applyNumberFormat="1" applyFont="1" applyBorder="1" applyAlignment="1">
      <alignment horizontal="centerContinuous"/>
    </xf>
    <xf numFmtId="167" fontId="28" fillId="0" borderId="8" xfId="1" applyNumberFormat="1" applyFont="1" applyBorder="1" applyAlignment="1">
      <alignment horizontal="centerContinuous"/>
    </xf>
    <xf numFmtId="167" fontId="28" fillId="0" borderId="18" xfId="1" applyNumberFormat="1" applyFont="1" applyBorder="1" applyAlignment="1">
      <alignment horizontal="centerContinuous"/>
    </xf>
    <xf numFmtId="0" fontId="26" fillId="0" borderId="8" xfId="0" applyFont="1" applyBorder="1" applyAlignment="1"/>
    <xf numFmtId="0" fontId="22" fillId="0" borderId="8" xfId="0" applyFont="1" applyBorder="1" applyAlignment="1"/>
    <xf numFmtId="0" fontId="28" fillId="0" borderId="15" xfId="0" applyFont="1" applyBorder="1" applyAlignment="1">
      <alignment horizontal="center"/>
    </xf>
    <xf numFmtId="0" fontId="28" fillId="0" borderId="20" xfId="0" applyFont="1" applyBorder="1" applyAlignment="1">
      <alignment horizontal="center" wrapText="1"/>
    </xf>
    <xf numFmtId="0" fontId="28" fillId="0" borderId="8" xfId="0" applyFont="1" applyBorder="1" applyAlignment="1">
      <alignment horizontal="center" wrapText="1"/>
    </xf>
    <xf numFmtId="0" fontId="28" fillId="0" borderId="15" xfId="0" applyFont="1" applyBorder="1" applyAlignment="1">
      <alignment horizontal="center" wrapText="1"/>
    </xf>
    <xf numFmtId="0" fontId="28" fillId="6" borderId="8" xfId="0" applyFont="1" applyFill="1" applyBorder="1" applyAlignment="1">
      <alignment horizontal="center"/>
    </xf>
    <xf numFmtId="167" fontId="28" fillId="0" borderId="15" xfId="1" applyNumberFormat="1" applyFont="1" applyBorder="1" applyAlignment="1">
      <alignment horizontal="center"/>
    </xf>
    <xf numFmtId="167" fontId="28" fillId="0" borderId="8" xfId="1" applyNumberFormat="1" applyFont="1" applyBorder="1" applyAlignment="1">
      <alignment horizontal="center"/>
    </xf>
    <xf numFmtId="167" fontId="28" fillId="0" borderId="8" xfId="1" applyNumberFormat="1" applyFont="1" applyBorder="1" applyAlignment="1">
      <alignment horizontal="center" wrapText="1"/>
    </xf>
    <xf numFmtId="167" fontId="28" fillId="0" borderId="15" xfId="1" applyNumberFormat="1" applyFont="1" applyBorder="1" applyAlignment="1">
      <alignment horizontal="center" wrapText="1"/>
    </xf>
    <xf numFmtId="37" fontId="42" fillId="0" borderId="0" xfId="0" applyNumberFormat="1" applyFont="1" applyBorder="1" applyAlignment="1" applyProtection="1">
      <alignment vertical="center"/>
    </xf>
    <xf numFmtId="37" fontId="42" fillId="0" borderId="4" xfId="0" applyNumberFormat="1" applyFont="1" applyBorder="1" applyAlignment="1" applyProtection="1">
      <alignment vertical="center"/>
    </xf>
    <xf numFmtId="9" fontId="42" fillId="0" borderId="17" xfId="0" applyNumberFormat="1" applyFont="1" applyBorder="1" applyAlignment="1">
      <alignment vertical="center"/>
    </xf>
    <xf numFmtId="9" fontId="42" fillId="0" borderId="4" xfId="0" applyNumberFormat="1" applyFont="1" applyBorder="1" applyAlignment="1">
      <alignment vertical="center"/>
    </xf>
    <xf numFmtId="9" fontId="42" fillId="0" borderId="21" xfId="0" applyNumberFormat="1" applyFont="1" applyBorder="1" applyAlignment="1">
      <alignment vertical="center"/>
    </xf>
    <xf numFmtId="9" fontId="43" fillId="6" borderId="0" xfId="0" applyNumberFormat="1" applyFont="1" applyFill="1" applyBorder="1" applyAlignment="1">
      <alignment vertical="center"/>
    </xf>
    <xf numFmtId="167" fontId="42" fillId="0" borderId="17" xfId="1" applyNumberFormat="1" applyFont="1" applyBorder="1" applyAlignment="1">
      <alignment vertical="center"/>
    </xf>
    <xf numFmtId="167" fontId="42" fillId="0" borderId="4" xfId="1" applyNumberFormat="1" applyFont="1" applyBorder="1" applyAlignment="1">
      <alignment vertical="center"/>
    </xf>
    <xf numFmtId="167" fontId="42" fillId="0" borderId="22" xfId="1" applyNumberFormat="1" applyFont="1" applyBorder="1" applyAlignment="1">
      <alignment vertical="center"/>
    </xf>
    <xf numFmtId="167" fontId="42" fillId="0" borderId="21" xfId="1" applyNumberFormat="1" applyFont="1" applyBorder="1" applyAlignment="1">
      <alignment vertical="center"/>
    </xf>
    <xf numFmtId="37" fontId="42" fillId="0" borderId="0" xfId="0" applyNumberFormat="1" applyFont="1" applyAlignment="1" applyProtection="1">
      <alignment vertical="center"/>
    </xf>
    <xf numFmtId="9" fontId="42" fillId="0" borderId="16" xfId="0" applyNumberFormat="1" applyFont="1" applyBorder="1" applyAlignment="1">
      <alignment vertical="center"/>
    </xf>
    <xf numFmtId="9" fontId="42" fillId="0" borderId="0" xfId="0" applyNumberFormat="1" applyFont="1" applyBorder="1" applyAlignment="1">
      <alignment vertical="center"/>
    </xf>
    <xf numFmtId="9" fontId="42" fillId="0" borderId="10" xfId="0" applyNumberFormat="1" applyFont="1" applyBorder="1" applyAlignment="1">
      <alignment vertical="center"/>
    </xf>
    <xf numFmtId="9" fontId="42" fillId="6" borderId="0" xfId="0" applyNumberFormat="1" applyFont="1" applyFill="1" applyBorder="1" applyAlignment="1">
      <alignment vertical="center"/>
    </xf>
    <xf numFmtId="167" fontId="42" fillId="0" borderId="16" xfId="1" applyNumberFormat="1" applyFont="1" applyBorder="1" applyAlignment="1">
      <alignment vertical="center"/>
    </xf>
    <xf numFmtId="167" fontId="42" fillId="0" borderId="0" xfId="1" applyNumberFormat="1" applyFont="1" applyBorder="1" applyAlignment="1">
      <alignment vertical="center"/>
    </xf>
    <xf numFmtId="167" fontId="42" fillId="0" borderId="23" xfId="1" applyNumberFormat="1" applyFont="1" applyBorder="1" applyAlignment="1">
      <alignment vertical="center"/>
    </xf>
    <xf numFmtId="167" fontId="42" fillId="0" borderId="10" xfId="1" applyNumberFormat="1" applyFont="1" applyBorder="1" applyAlignment="1">
      <alignment vertical="center"/>
    </xf>
    <xf numFmtId="164" fontId="42" fillId="0" borderId="10" xfId="0" applyNumberFormat="1" applyFont="1" applyBorder="1" applyAlignment="1">
      <alignment vertical="center"/>
    </xf>
    <xf numFmtId="0" fontId="42" fillId="4" borderId="6" xfId="0" applyFont="1" applyFill="1" applyBorder="1" applyAlignment="1">
      <alignment vertical="center"/>
    </xf>
    <xf numFmtId="0" fontId="42" fillId="4" borderId="6" xfId="0" applyFont="1" applyFill="1" applyBorder="1" applyAlignment="1" applyProtection="1">
      <alignment vertical="center"/>
      <protection locked="0"/>
    </xf>
    <xf numFmtId="9" fontId="42" fillId="0" borderId="14" xfId="0" applyNumberFormat="1" applyFont="1" applyBorder="1" applyAlignment="1">
      <alignment vertical="center"/>
    </xf>
    <xf numFmtId="9" fontId="42" fillId="0" borderId="6" xfId="0" applyNumberFormat="1" applyFont="1" applyBorder="1" applyAlignment="1">
      <alignment vertical="center"/>
    </xf>
    <xf numFmtId="9" fontId="42" fillId="0" borderId="12" xfId="0" applyNumberFormat="1" applyFont="1" applyBorder="1" applyAlignment="1">
      <alignment vertical="center"/>
    </xf>
    <xf numFmtId="9" fontId="42" fillId="6" borderId="6" xfId="0" applyNumberFormat="1" applyFont="1" applyFill="1" applyBorder="1" applyAlignment="1">
      <alignment vertical="center"/>
    </xf>
    <xf numFmtId="167" fontId="42" fillId="0" borderId="14" xfId="1" applyNumberFormat="1" applyFont="1" applyBorder="1" applyAlignment="1">
      <alignment vertical="center"/>
    </xf>
    <xf numFmtId="167" fontId="42" fillId="0" borderId="6" xfId="1" applyNumberFormat="1" applyFont="1" applyBorder="1" applyAlignment="1">
      <alignment vertical="center"/>
    </xf>
    <xf numFmtId="167" fontId="42" fillId="0" borderId="19" xfId="1" applyNumberFormat="1" applyFont="1" applyBorder="1" applyAlignment="1">
      <alignment vertical="center"/>
    </xf>
    <xf numFmtId="167" fontId="42" fillId="0" borderId="12" xfId="1" applyNumberFormat="1" applyFont="1" applyBorder="1" applyAlignment="1">
      <alignment vertical="center"/>
    </xf>
    <xf numFmtId="167" fontId="29" fillId="4" borderId="0" xfId="1" applyNumberFormat="1" applyFont="1" applyFill="1" applyAlignment="1">
      <alignment vertical="top"/>
    </xf>
    <xf numFmtId="167" fontId="26" fillId="0" borderId="0" xfId="1" applyNumberFormat="1" applyFont="1" applyAlignment="1">
      <alignment vertical="top"/>
    </xf>
    <xf numFmtId="0" fontId="26" fillId="0" borderId="0" xfId="0" applyFont="1" applyAlignment="1">
      <alignment vertical="top"/>
    </xf>
    <xf numFmtId="164" fontId="42" fillId="0" borderId="16" xfId="0" applyNumberFormat="1" applyFont="1" applyBorder="1" applyAlignment="1">
      <alignment vertical="center"/>
    </xf>
    <xf numFmtId="164" fontId="42" fillId="0" borderId="0" xfId="0" applyNumberFormat="1" applyFont="1" applyBorder="1" applyAlignment="1">
      <alignment vertical="center"/>
    </xf>
    <xf numFmtId="0" fontId="28" fillId="6" borderId="0" xfId="0" applyFont="1" applyFill="1" applyBorder="1" applyAlignment="1">
      <alignment horizontal="center"/>
    </xf>
    <xf numFmtId="167" fontId="28" fillId="7" borderId="20" xfId="1" applyNumberFormat="1" applyFont="1" applyFill="1" applyBorder="1" applyAlignment="1">
      <alignment horizontal="center" wrapText="1"/>
    </xf>
    <xf numFmtId="167" fontId="28" fillId="0" borderId="24" xfId="1" applyNumberFormat="1" applyFont="1" applyBorder="1" applyAlignment="1">
      <alignment horizontal="center" wrapText="1"/>
    </xf>
    <xf numFmtId="167" fontId="28" fillId="0" borderId="24" xfId="1" applyNumberFormat="1" applyFont="1" applyBorder="1" applyAlignment="1">
      <alignment horizontal="center"/>
    </xf>
    <xf numFmtId="167" fontId="28" fillId="0" borderId="25" xfId="1" applyNumberFormat="1" applyFont="1" applyBorder="1" applyAlignment="1">
      <alignment horizontal="center" wrapText="1"/>
    </xf>
    <xf numFmtId="167" fontId="28" fillId="0" borderId="26" xfId="1" applyNumberFormat="1" applyFont="1" applyBorder="1" applyAlignment="1">
      <alignment horizontal="center" wrapText="1"/>
    </xf>
    <xf numFmtId="167" fontId="28" fillId="0" borderId="26" xfId="1" applyNumberFormat="1" applyFont="1" applyBorder="1" applyAlignment="1">
      <alignment horizontal="center"/>
    </xf>
    <xf numFmtId="167" fontId="28" fillId="0" borderId="27" xfId="1" applyNumberFormat="1" applyFont="1" applyBorder="1" applyAlignment="1">
      <alignment horizontal="center" wrapText="1"/>
    </xf>
    <xf numFmtId="9" fontId="42" fillId="0" borderId="24" xfId="0" applyNumberFormat="1" applyFont="1" applyBorder="1" applyAlignment="1">
      <alignment vertical="center"/>
    </xf>
    <xf numFmtId="9" fontId="42" fillId="0" borderId="28" xfId="0" applyNumberFormat="1" applyFont="1" applyBorder="1" applyAlignment="1">
      <alignment vertical="center"/>
    </xf>
    <xf numFmtId="9" fontId="42" fillId="0" borderId="29" xfId="0" applyNumberFormat="1" applyFont="1" applyBorder="1" applyAlignment="1">
      <alignment vertical="center"/>
    </xf>
    <xf numFmtId="164" fontId="42" fillId="0" borderId="28" xfId="0" applyNumberFormat="1" applyFont="1" applyBorder="1" applyAlignment="1">
      <alignment vertical="center"/>
    </xf>
    <xf numFmtId="167" fontId="41" fillId="8" borderId="0" xfId="1" applyNumberFormat="1" applyFont="1" applyFill="1" applyAlignment="1">
      <alignment horizontal="centerContinuous"/>
    </xf>
    <xf numFmtId="167" fontId="19" fillId="8" borderId="0" xfId="1" applyNumberFormat="1" applyFont="1" applyFill="1" applyAlignment="1">
      <alignment horizontal="centerContinuous"/>
    </xf>
    <xf numFmtId="167" fontId="26" fillId="8" borderId="0" xfId="1" applyNumberFormat="1" applyFont="1" applyFill="1"/>
    <xf numFmtId="167" fontId="27" fillId="8" borderId="8" xfId="1" applyNumberFormat="1" applyFont="1" applyFill="1" applyBorder="1" applyAlignment="1">
      <alignment horizontal="centerContinuous"/>
    </xf>
    <xf numFmtId="167" fontId="27" fillId="8" borderId="6" xfId="1" applyNumberFormat="1" applyFont="1" applyFill="1" applyBorder="1" applyAlignment="1">
      <alignment horizontal="centerContinuous"/>
    </xf>
    <xf numFmtId="167" fontId="28" fillId="8" borderId="20" xfId="1" applyNumberFormat="1" applyFont="1" applyFill="1" applyBorder="1" applyAlignment="1">
      <alignment horizontal="center" wrapText="1"/>
    </xf>
    <xf numFmtId="167" fontId="42" fillId="8" borderId="22" xfId="1" applyNumberFormat="1" applyFont="1" applyFill="1" applyBorder="1" applyAlignment="1">
      <alignment vertical="center"/>
    </xf>
    <xf numFmtId="167" fontId="42" fillId="8" borderId="23" xfId="1" applyNumberFormat="1" applyFont="1" applyFill="1" applyBorder="1" applyAlignment="1">
      <alignment vertical="center"/>
    </xf>
    <xf numFmtId="167" fontId="42" fillId="8" borderId="19" xfId="1" applyNumberFormat="1" applyFont="1" applyFill="1" applyBorder="1" applyAlignment="1">
      <alignment vertical="center"/>
    </xf>
    <xf numFmtId="167" fontId="27" fillId="0" borderId="17" xfId="1" applyNumberFormat="1" applyFont="1" applyBorder="1" applyAlignment="1">
      <alignment horizontal="center"/>
    </xf>
    <xf numFmtId="167" fontId="27" fillId="0" borderId="4" xfId="1" applyNumberFormat="1" applyFont="1" applyBorder="1" applyAlignment="1">
      <alignment horizontal="center"/>
    </xf>
    <xf numFmtId="167" fontId="27" fillId="8" borderId="22" xfId="1" applyNumberFormat="1" applyFont="1" applyFill="1" applyBorder="1" applyAlignment="1">
      <alignment horizontal="center" wrapText="1"/>
    </xf>
    <xf numFmtId="167" fontId="27" fillId="0" borderId="21" xfId="1" applyNumberFormat="1" applyFont="1" applyBorder="1" applyAlignment="1">
      <alignment horizontal="center" wrapText="1"/>
    </xf>
    <xf numFmtId="167" fontId="27" fillId="0" borderId="17" xfId="1" applyNumberFormat="1" applyFont="1" applyBorder="1" applyAlignment="1">
      <alignment horizontal="center" wrapText="1"/>
    </xf>
    <xf numFmtId="37" fontId="45" fillId="0" borderId="0" xfId="2" applyFont="1" applyAlignment="1" applyProtection="1">
      <alignment horizontal="centerContinuous"/>
    </xf>
    <xf numFmtId="37" fontId="45" fillId="0" borderId="0" xfId="2" applyFont="1" applyProtection="1"/>
    <xf numFmtId="37" fontId="46" fillId="0" borderId="1" xfId="2" applyFont="1" applyBorder="1" applyAlignment="1" applyProtection="1">
      <alignment horizontal="centerContinuous"/>
    </xf>
    <xf numFmtId="37" fontId="46" fillId="0" borderId="30" xfId="2" applyFont="1" applyBorder="1" applyAlignment="1" applyProtection="1">
      <alignment horizontal="centerContinuous"/>
    </xf>
    <xf numFmtId="37" fontId="46" fillId="0" borderId="9" xfId="2" applyNumberFormat="1" applyFont="1" applyBorder="1" applyAlignment="1" applyProtection="1">
      <alignment horizontal="centerContinuous"/>
    </xf>
    <xf numFmtId="37" fontId="46" fillId="0" borderId="9" xfId="2" applyFont="1" applyBorder="1" applyAlignment="1" applyProtection="1">
      <alignment horizontal="centerContinuous"/>
    </xf>
    <xf numFmtId="37" fontId="46" fillId="0" borderId="31" xfId="2" applyNumberFormat="1" applyFont="1" applyBorder="1" applyAlignment="1" applyProtection="1">
      <alignment horizontal="centerContinuous"/>
    </xf>
    <xf numFmtId="37" fontId="16" fillId="0" borderId="0" xfId="2" applyNumberFormat="1" applyFont="1" applyProtection="1"/>
    <xf numFmtId="37" fontId="16" fillId="0" borderId="13" xfId="2" applyNumberFormat="1" applyFont="1" applyBorder="1" applyProtection="1"/>
    <xf numFmtId="37" fontId="44" fillId="0" borderId="0" xfId="2" applyFont="1" applyProtection="1"/>
    <xf numFmtId="37" fontId="44" fillId="0" borderId="0" xfId="2" applyFont="1" applyAlignment="1" applyProtection="1">
      <alignment horizontal="centerContinuous"/>
    </xf>
    <xf numFmtId="37" fontId="44" fillId="0" borderId="0" xfId="2" applyNumberFormat="1" applyFont="1" applyAlignment="1" applyProtection="1">
      <alignment horizontal="centerContinuous"/>
    </xf>
    <xf numFmtId="37" fontId="44" fillId="0" borderId="0" xfId="2" applyFont="1"/>
    <xf numFmtId="37" fontId="47" fillId="0" borderId="1" xfId="2" applyNumberFormat="1" applyFont="1" applyBorder="1" applyProtection="1">
      <protection locked="0"/>
    </xf>
    <xf numFmtId="37" fontId="44" fillId="0" borderId="1" xfId="2" applyFont="1" applyBorder="1" applyProtection="1"/>
    <xf numFmtId="37" fontId="44" fillId="0" borderId="9" xfId="2" applyFont="1" applyBorder="1" applyProtection="1"/>
    <xf numFmtId="37" fontId="44" fillId="0" borderId="0" xfId="2" applyNumberFormat="1" applyFont="1" applyProtection="1"/>
    <xf numFmtId="37" fontId="44" fillId="0" borderId="32" xfId="2" applyNumberFormat="1" applyFont="1" applyBorder="1" applyProtection="1"/>
    <xf numFmtId="9" fontId="44" fillId="0" borderId="0" xfId="2" applyNumberFormat="1" applyFont="1" applyProtection="1"/>
    <xf numFmtId="9" fontId="44" fillId="0" borderId="32" xfId="2" applyNumberFormat="1" applyFont="1" applyBorder="1" applyProtection="1"/>
    <xf numFmtId="37" fontId="16" fillId="0" borderId="0" xfId="2" applyNumberFormat="1" applyFont="1" applyAlignment="1" applyProtection="1">
      <alignment horizontal="right"/>
      <protection locked="0"/>
    </xf>
    <xf numFmtId="37" fontId="16" fillId="0" borderId="0" xfId="2" applyFont="1" applyProtection="1"/>
    <xf numFmtId="37" fontId="16" fillId="0" borderId="32" xfId="2" applyFont="1" applyBorder="1" applyProtection="1"/>
    <xf numFmtId="9" fontId="16" fillId="0" borderId="0" xfId="2" applyNumberFormat="1" applyFont="1" applyProtection="1"/>
    <xf numFmtId="37" fontId="44" fillId="0" borderId="13" xfId="2" applyNumberFormat="1" applyFont="1" applyBorder="1" applyProtection="1"/>
    <xf numFmtId="37" fontId="44" fillId="0" borderId="33" xfId="2" applyNumberFormat="1" applyFont="1" applyBorder="1" applyProtection="1"/>
    <xf numFmtId="9" fontId="44" fillId="0" borderId="13" xfId="2" applyNumberFormat="1" applyFont="1" applyBorder="1" applyProtection="1"/>
    <xf numFmtId="9" fontId="44" fillId="0" borderId="33" xfId="2" applyNumberFormat="1" applyFont="1" applyBorder="1" applyProtection="1"/>
    <xf numFmtId="37" fontId="44" fillId="0" borderId="13" xfId="2" applyFont="1" applyBorder="1" applyProtection="1"/>
    <xf numFmtId="37" fontId="44" fillId="0" borderId="32" xfId="2" applyFont="1" applyBorder="1" applyProtection="1"/>
    <xf numFmtId="37" fontId="44" fillId="0" borderId="33" xfId="2" applyFont="1" applyBorder="1" applyProtection="1"/>
    <xf numFmtId="169" fontId="44" fillId="0" borderId="0" xfId="2" applyNumberFormat="1" applyFont="1" applyProtection="1"/>
    <xf numFmtId="169" fontId="44" fillId="0" borderId="32" xfId="2" applyNumberFormat="1" applyFont="1" applyBorder="1" applyProtection="1"/>
    <xf numFmtId="169" fontId="44" fillId="0" borderId="13" xfId="2" applyNumberFormat="1" applyFont="1" applyBorder="1" applyProtection="1"/>
    <xf numFmtId="169" fontId="44" fillId="0" borderId="33" xfId="2" applyNumberFormat="1" applyFont="1" applyBorder="1" applyProtection="1"/>
    <xf numFmtId="37" fontId="46" fillId="0" borderId="0" xfId="2" applyFont="1" applyProtection="1"/>
    <xf numFmtId="37" fontId="46" fillId="0" borderId="0" xfId="2" applyNumberFormat="1" applyFont="1" applyAlignment="1" applyProtection="1">
      <alignment horizontal="right"/>
      <protection locked="0"/>
    </xf>
    <xf numFmtId="37" fontId="46" fillId="0" borderId="32" xfId="2" applyFont="1" applyBorder="1" applyProtection="1"/>
    <xf numFmtId="9" fontId="46" fillId="0" borderId="0" xfId="2" applyNumberFormat="1" applyFont="1" applyProtection="1"/>
    <xf numFmtId="37" fontId="46" fillId="0" borderId="0" xfId="2" applyFont="1"/>
    <xf numFmtId="0" fontId="15" fillId="0" borderId="0" xfId="0" applyFont="1" applyBorder="1" applyAlignment="1"/>
    <xf numFmtId="167" fontId="28" fillId="0" borderId="20" xfId="1" applyNumberFormat="1" applyFont="1" applyBorder="1" applyAlignment="1">
      <alignment horizontal="center" wrapText="1"/>
    </xf>
    <xf numFmtId="164" fontId="42" fillId="0" borderId="17" xfId="0" applyNumberFormat="1" applyFont="1" applyBorder="1" applyAlignment="1">
      <alignment vertical="center"/>
    </xf>
    <xf numFmtId="37" fontId="48" fillId="0" borderId="0" xfId="0" applyNumberFormat="1" applyFont="1" applyBorder="1" applyAlignment="1" applyProtection="1">
      <alignment horizontal="centerContinuous"/>
    </xf>
    <xf numFmtId="0" fontId="15" fillId="0" borderId="0" xfId="0" applyFont="1" applyBorder="1" applyAlignment="1">
      <alignment horizontal="centerContinuous"/>
    </xf>
    <xf numFmtId="0" fontId="15" fillId="0" borderId="0" xfId="0" applyFont="1" applyAlignment="1">
      <alignment horizontal="centerContinuous"/>
    </xf>
    <xf numFmtId="0" fontId="15" fillId="6" borderId="0" xfId="0" applyFont="1" applyFill="1" applyAlignment="1">
      <alignment horizontal="centerContinuous"/>
    </xf>
    <xf numFmtId="167" fontId="15" fillId="0" borderId="0" xfId="1" applyNumberFormat="1" applyFont="1" applyAlignment="1">
      <alignment horizontal="centerContinuous"/>
    </xf>
    <xf numFmtId="167" fontId="15" fillId="0" borderId="0" xfId="1" applyNumberFormat="1" applyFont="1" applyBorder="1" applyAlignment="1">
      <alignment horizontal="centerContinuous"/>
    </xf>
    <xf numFmtId="167" fontId="15" fillId="0" borderId="0" xfId="1" applyNumberFormat="1" applyFont="1"/>
    <xf numFmtId="37" fontId="49" fillId="0" borderId="0" xfId="0" applyNumberFormat="1" applyFont="1" applyBorder="1" applyAlignment="1" applyProtection="1">
      <alignment horizontal="centerContinuous"/>
    </xf>
    <xf numFmtId="0" fontId="49" fillId="0" borderId="0" xfId="0" applyFont="1" applyBorder="1" applyAlignment="1">
      <alignment horizontal="centerContinuous"/>
    </xf>
    <xf numFmtId="0" fontId="49" fillId="0" borderId="0" xfId="0" applyFont="1" applyAlignment="1">
      <alignment horizontal="centerContinuous"/>
    </xf>
    <xf numFmtId="0" fontId="49" fillId="6" borderId="0" xfId="0" applyFont="1" applyFill="1" applyAlignment="1">
      <alignment horizontal="centerContinuous"/>
    </xf>
    <xf numFmtId="167" fontId="49" fillId="0" borderId="0" xfId="1" applyNumberFormat="1" applyFont="1" applyAlignment="1">
      <alignment horizontal="centerContinuous"/>
    </xf>
    <xf numFmtId="167" fontId="49" fillId="0" borderId="0" xfId="1" applyNumberFormat="1" applyFont="1" applyBorder="1" applyAlignment="1">
      <alignment horizontal="centerContinuous"/>
    </xf>
    <xf numFmtId="0" fontId="50" fillId="0" borderId="0" xfId="0" applyFont="1" applyBorder="1" applyAlignment="1"/>
    <xf numFmtId="0" fontId="15" fillId="6" borderId="0" xfId="0" applyFont="1" applyFill="1" applyAlignment="1"/>
    <xf numFmtId="167" fontId="15" fillId="0" borderId="0" xfId="1" applyNumberFormat="1" applyFont="1" applyBorder="1"/>
    <xf numFmtId="0" fontId="15" fillId="0" borderId="4" xfId="0" applyFont="1" applyBorder="1" applyAlignment="1"/>
    <xf numFmtId="0" fontId="50" fillId="0" borderId="4" xfId="0" applyFont="1" applyBorder="1" applyAlignment="1"/>
    <xf numFmtId="167" fontId="51" fillId="0" borderId="15" xfId="1" applyNumberFormat="1" applyFont="1" applyBorder="1" applyAlignment="1" applyProtection="1">
      <alignment horizontal="centerContinuous"/>
    </xf>
    <xf numFmtId="0" fontId="15" fillId="0" borderId="8" xfId="0" applyFont="1" applyBorder="1" applyAlignment="1">
      <alignment horizontal="centerContinuous"/>
    </xf>
    <xf numFmtId="0" fontId="15" fillId="6" borderId="8" xfId="0" applyFont="1" applyFill="1" applyBorder="1" applyAlignment="1">
      <alignment horizontal="centerContinuous"/>
    </xf>
    <xf numFmtId="167" fontId="15" fillId="0" borderId="8" xfId="1" applyNumberFormat="1" applyFont="1" applyBorder="1" applyAlignment="1">
      <alignment horizontal="centerContinuous"/>
    </xf>
    <xf numFmtId="0" fontId="15" fillId="0" borderId="6" xfId="0" applyFont="1" applyBorder="1" applyAlignment="1"/>
    <xf numFmtId="0" fontId="50" fillId="0" borderId="6" xfId="0" applyFont="1" applyBorder="1" applyAlignment="1"/>
    <xf numFmtId="167" fontId="51" fillId="0" borderId="14" xfId="1" applyNumberFormat="1" applyFont="1" applyBorder="1" applyAlignment="1" applyProtection="1">
      <alignment horizontal="centerContinuous"/>
    </xf>
    <xf numFmtId="0" fontId="15" fillId="0" borderId="6" xfId="0" applyFont="1" applyBorder="1" applyAlignment="1">
      <alignment horizontal="centerContinuous"/>
    </xf>
    <xf numFmtId="0" fontId="48" fillId="0" borderId="15" xfId="0" applyFont="1" applyBorder="1" applyAlignment="1">
      <alignment horizontal="centerContinuous"/>
    </xf>
    <xf numFmtId="0" fontId="48" fillId="0" borderId="6" xfId="0" applyFont="1" applyBorder="1" applyAlignment="1">
      <alignment horizontal="centerContinuous"/>
    </xf>
    <xf numFmtId="0" fontId="48" fillId="0" borderId="8" xfId="0" applyFont="1" applyBorder="1" applyAlignment="1">
      <alignment horizontal="centerContinuous"/>
    </xf>
    <xf numFmtId="0" fontId="48" fillId="0" borderId="18" xfId="0" applyFont="1" applyBorder="1" applyAlignment="1">
      <alignment horizontal="centerContinuous"/>
    </xf>
    <xf numFmtId="167" fontId="15" fillId="0" borderId="6" xfId="1" applyNumberFormat="1" applyFont="1" applyBorder="1" applyAlignment="1">
      <alignment horizontal="centerContinuous"/>
    </xf>
    <xf numFmtId="167" fontId="48" fillId="0" borderId="15" xfId="1" applyNumberFormat="1" applyFont="1" applyBorder="1" applyAlignment="1">
      <alignment horizontal="centerContinuous"/>
    </xf>
    <xf numFmtId="167" fontId="48" fillId="0" borderId="6" xfId="1" applyNumberFormat="1" applyFont="1" applyBorder="1" applyAlignment="1">
      <alignment horizontal="centerContinuous"/>
    </xf>
    <xf numFmtId="167" fontId="48" fillId="0" borderId="8" xfId="1" applyNumberFormat="1" applyFont="1" applyBorder="1" applyAlignment="1">
      <alignment horizontal="centerContinuous"/>
    </xf>
    <xf numFmtId="167" fontId="48" fillId="0" borderId="18" xfId="1" applyNumberFormat="1" applyFont="1" applyBorder="1" applyAlignment="1">
      <alignment horizontal="centerContinuous"/>
    </xf>
    <xf numFmtId="0" fontId="15" fillId="0" borderId="8" xfId="0" applyFont="1" applyBorder="1" applyAlignment="1"/>
    <xf numFmtId="0" fontId="50" fillId="0" borderId="8" xfId="0" applyFont="1" applyBorder="1" applyAlignment="1"/>
    <xf numFmtId="0" fontId="48" fillId="0" borderId="15" xfId="0" applyFont="1" applyBorder="1" applyAlignment="1">
      <alignment horizontal="center"/>
    </xf>
    <xf numFmtId="0" fontId="48" fillId="0" borderId="8" xfId="0" applyFont="1" applyBorder="1" applyAlignment="1">
      <alignment horizontal="center"/>
    </xf>
    <xf numFmtId="0" fontId="48" fillId="0" borderId="20" xfId="0" applyFont="1" applyBorder="1" applyAlignment="1">
      <alignment horizontal="center" wrapText="1"/>
    </xf>
    <xf numFmtId="0" fontId="48" fillId="0" borderId="8" xfId="0" applyFont="1" applyBorder="1" applyAlignment="1">
      <alignment horizontal="center" wrapText="1"/>
    </xf>
    <xf numFmtId="0" fontId="48" fillId="0" borderId="15" xfId="0" applyFont="1" applyBorder="1" applyAlignment="1">
      <alignment horizontal="center" wrapText="1"/>
    </xf>
    <xf numFmtId="0" fontId="48" fillId="6" borderId="8" xfId="0" applyFont="1" applyFill="1" applyBorder="1" applyAlignment="1">
      <alignment horizontal="center"/>
    </xf>
    <xf numFmtId="167" fontId="48" fillId="0" borderId="15" xfId="1" applyNumberFormat="1" applyFont="1" applyBorder="1" applyAlignment="1">
      <alignment horizontal="center"/>
    </xf>
    <xf numFmtId="167" fontId="48" fillId="0" borderId="8" xfId="1" applyNumberFormat="1" applyFont="1" applyBorder="1" applyAlignment="1">
      <alignment horizontal="center"/>
    </xf>
    <xf numFmtId="167" fontId="48" fillId="0" borderId="20" xfId="1" applyNumberFormat="1" applyFont="1" applyBorder="1" applyAlignment="1">
      <alignment horizontal="center" wrapText="1"/>
    </xf>
    <xf numFmtId="167" fontId="48" fillId="0" borderId="8" xfId="1" applyNumberFormat="1" applyFont="1" applyBorder="1" applyAlignment="1">
      <alignment horizontal="center" wrapText="1"/>
    </xf>
    <xf numFmtId="167" fontId="48" fillId="0" borderId="15" xfId="1" applyNumberFormat="1" applyFont="1" applyBorder="1" applyAlignment="1">
      <alignment horizontal="center" wrapText="1"/>
    </xf>
    <xf numFmtId="0" fontId="48" fillId="6" borderId="0" xfId="0" applyFont="1" applyFill="1" applyBorder="1" applyAlignment="1">
      <alignment horizontal="center"/>
    </xf>
    <xf numFmtId="167" fontId="15" fillId="0" borderId="22" xfId="1" applyNumberFormat="1" applyFont="1" applyFill="1" applyBorder="1" applyAlignment="1">
      <alignment horizontal="center" wrapText="1"/>
    </xf>
    <xf numFmtId="167" fontId="48" fillId="0" borderId="24" xfId="1" applyNumberFormat="1" applyFont="1" applyBorder="1" applyAlignment="1">
      <alignment horizontal="center" wrapText="1"/>
    </xf>
    <xf numFmtId="167" fontId="48" fillId="0" borderId="24" xfId="1" applyNumberFormat="1" applyFont="1" applyBorder="1" applyAlignment="1">
      <alignment horizontal="center"/>
    </xf>
    <xf numFmtId="167" fontId="48" fillId="0" borderId="25" xfId="1" applyNumberFormat="1" applyFont="1" applyBorder="1" applyAlignment="1">
      <alignment horizontal="center" wrapText="1"/>
    </xf>
    <xf numFmtId="167" fontId="15" fillId="0" borderId="21" xfId="1" applyNumberFormat="1" applyFont="1" applyBorder="1" applyAlignment="1">
      <alignment horizontal="center" wrapText="1"/>
    </xf>
    <xf numFmtId="167" fontId="15" fillId="0" borderId="17" xfId="1" applyNumberFormat="1" applyFont="1" applyBorder="1" applyAlignment="1">
      <alignment horizontal="center" wrapText="1"/>
    </xf>
    <xf numFmtId="167" fontId="15" fillId="0" borderId="17" xfId="1" applyNumberFormat="1" applyFont="1" applyBorder="1" applyAlignment="1">
      <alignment horizontal="center"/>
    </xf>
    <xf numFmtId="167" fontId="15" fillId="0" borderId="4" xfId="1" applyNumberFormat="1" applyFont="1" applyBorder="1" applyAlignment="1">
      <alignment horizontal="center"/>
    </xf>
    <xf numFmtId="167" fontId="48" fillId="0" borderId="26" xfId="1" applyNumberFormat="1" applyFont="1" applyBorder="1" applyAlignment="1">
      <alignment horizontal="center" wrapText="1"/>
    </xf>
    <xf numFmtId="167" fontId="48" fillId="0" borderId="26" xfId="1" applyNumberFormat="1" applyFont="1" applyBorder="1" applyAlignment="1">
      <alignment horizontal="center"/>
    </xf>
    <xf numFmtId="167" fontId="48" fillId="0" borderId="27" xfId="1" applyNumberFormat="1" applyFont="1" applyBorder="1" applyAlignment="1">
      <alignment horizontal="center" wrapText="1"/>
    </xf>
    <xf numFmtId="167" fontId="52" fillId="4" borderId="0" xfId="1" applyNumberFormat="1" applyFont="1" applyFill="1" applyAlignment="1">
      <alignment vertical="top"/>
    </xf>
    <xf numFmtId="0" fontId="52" fillId="4" borderId="0" xfId="0" applyFont="1" applyFill="1" applyAlignment="1">
      <alignment vertical="top"/>
    </xf>
    <xf numFmtId="167" fontId="15" fillId="0" borderId="0" xfId="1" applyNumberFormat="1" applyFont="1" applyAlignment="1">
      <alignment vertical="top"/>
    </xf>
    <xf numFmtId="0" fontId="15" fillId="0" borderId="0" xfId="0" applyFont="1" applyAlignment="1">
      <alignment vertical="top"/>
    </xf>
    <xf numFmtId="167" fontId="15" fillId="0" borderId="0" xfId="1" applyNumberFormat="1" applyFont="1" applyAlignment="1"/>
    <xf numFmtId="3" fontId="3" fillId="0" borderId="34" xfId="0" applyNumberFormat="1" applyFont="1" applyBorder="1" applyAlignment="1">
      <alignment horizontal="right"/>
    </xf>
    <xf numFmtId="3" fontId="3" fillId="0" borderId="16" xfId="0" applyNumberFormat="1" applyFont="1" applyBorder="1" applyAlignment="1"/>
    <xf numFmtId="3" fontId="3" fillId="0" borderId="14" xfId="0" applyNumberFormat="1" applyFont="1" applyBorder="1" applyAlignment="1"/>
    <xf numFmtId="1" fontId="3" fillId="0" borderId="16" xfId="0" applyNumberFormat="1" applyFont="1" applyBorder="1" applyAlignment="1"/>
    <xf numFmtId="167" fontId="3" fillId="0" borderId="0" xfId="1" applyNumberFormat="1" applyFont="1" applyAlignment="1"/>
    <xf numFmtId="167" fontId="3" fillId="0" borderId="0" xfId="1" applyNumberFormat="1" applyFont="1" applyBorder="1" applyAlignment="1"/>
    <xf numFmtId="167" fontId="3" fillId="0" borderId="10" xfId="1" applyNumberFormat="1" applyFont="1" applyBorder="1" applyAlignment="1"/>
    <xf numFmtId="167" fontId="3" fillId="0" borderId="6" xfId="1" applyNumberFormat="1" applyFont="1" applyBorder="1" applyAlignment="1"/>
    <xf numFmtId="167" fontId="3" fillId="0" borderId="12" xfId="1" applyNumberFormat="1" applyFont="1" applyBorder="1" applyAlignment="1"/>
    <xf numFmtId="167" fontId="3" fillId="0" borderId="0" xfId="1" applyNumberFormat="1" applyFont="1" applyAlignment="1">
      <alignment horizontal="right"/>
    </xf>
    <xf numFmtId="167" fontId="3" fillId="0" borderId="6" xfId="1" applyNumberFormat="1" applyFont="1" applyBorder="1" applyAlignment="1">
      <alignment horizontal="right"/>
    </xf>
    <xf numFmtId="10" fontId="42" fillId="0" borderId="0" xfId="0" applyNumberFormat="1" applyFont="1" applyBorder="1" applyAlignment="1">
      <alignment vertical="center"/>
    </xf>
    <xf numFmtId="10" fontId="42" fillId="0" borderId="16" xfId="0" applyNumberFormat="1" applyFont="1" applyBorder="1" applyAlignment="1">
      <alignment vertical="center"/>
    </xf>
    <xf numFmtId="167" fontId="15" fillId="0" borderId="4" xfId="1" applyNumberFormat="1" applyFont="1" applyBorder="1" applyAlignment="1"/>
    <xf numFmtId="167" fontId="15" fillId="0" borderId="0" xfId="1" applyNumberFormat="1" applyFont="1" applyBorder="1" applyAlignment="1"/>
    <xf numFmtId="167" fontId="15" fillId="0" borderId="23" xfId="1" applyNumberFormat="1" applyFont="1" applyFill="1" applyBorder="1" applyAlignment="1">
      <alignment horizontal="center" wrapText="1"/>
    </xf>
    <xf numFmtId="167" fontId="15" fillId="0" borderId="16" xfId="1" applyNumberFormat="1" applyFont="1" applyBorder="1" applyAlignment="1">
      <alignment horizontal="center"/>
    </xf>
    <xf numFmtId="167" fontId="15" fillId="0" borderId="14" xfId="1" applyNumberFormat="1" applyFont="1" applyBorder="1" applyAlignment="1">
      <alignment horizontal="center"/>
    </xf>
    <xf numFmtId="167" fontId="15" fillId="0" borderId="6" xfId="1" applyNumberFormat="1" applyFont="1" applyBorder="1" applyAlignment="1">
      <alignment horizontal="center"/>
    </xf>
    <xf numFmtId="3" fontId="36" fillId="0" borderId="0" xfId="0" quotePrefix="1" applyNumberFormat="1" applyFont="1" applyAlignment="1"/>
    <xf numFmtId="167" fontId="15" fillId="0" borderId="18" xfId="1" applyNumberFormat="1" applyFont="1" applyBorder="1" applyAlignment="1"/>
    <xf numFmtId="167" fontId="15" fillId="0" borderId="20" xfId="1" applyNumberFormat="1" applyFont="1" applyFill="1" applyBorder="1" applyAlignment="1">
      <alignment horizontal="center" wrapText="1"/>
    </xf>
    <xf numFmtId="167" fontId="23" fillId="0" borderId="15" xfId="1" applyNumberFormat="1" applyFont="1" applyBorder="1" applyAlignment="1" applyProtection="1">
      <alignment horizontal="left"/>
    </xf>
    <xf numFmtId="168" fontId="3" fillId="0" borderId="0" xfId="1" applyNumberFormat="1" applyFont="1" applyAlignment="1">
      <alignment horizontal="right"/>
    </xf>
    <xf numFmtId="167" fontId="53" fillId="0" borderId="0" xfId="1" applyNumberFormat="1" applyFont="1" applyAlignment="1">
      <alignment horizontal="centerContinuous"/>
    </xf>
    <xf numFmtId="164" fontId="42" fillId="0" borderId="4" xfId="0" applyNumberFormat="1" applyFont="1" applyBorder="1" applyAlignment="1">
      <alignment vertical="center"/>
    </xf>
    <xf numFmtId="10" fontId="42" fillId="0" borderId="10" xfId="0" applyNumberFormat="1" applyFont="1" applyBorder="1" applyAlignment="1">
      <alignment vertical="center"/>
    </xf>
    <xf numFmtId="37" fontId="42" fillId="0" borderId="6" xfId="0" applyNumberFormat="1" applyFont="1" applyBorder="1" applyAlignment="1" applyProtection="1">
      <alignment vertical="center"/>
    </xf>
    <xf numFmtId="37" fontId="42" fillId="0" borderId="12" xfId="0" applyNumberFormat="1" applyFont="1" applyBorder="1" applyAlignment="1" applyProtection="1">
      <alignment vertical="center"/>
    </xf>
    <xf numFmtId="164" fontId="42" fillId="2" borderId="16" xfId="0" applyNumberFormat="1" applyFont="1" applyFill="1" applyBorder="1" applyAlignment="1">
      <alignment vertical="center"/>
    </xf>
    <xf numFmtId="37" fontId="44" fillId="0" borderId="0" xfId="2" applyFont="1" applyBorder="1" applyProtection="1"/>
    <xf numFmtId="9" fontId="44" fillId="0" borderId="0" xfId="2" applyNumberFormat="1" applyFont="1" applyBorder="1" applyProtection="1"/>
    <xf numFmtId="9" fontId="44" fillId="0" borderId="2" xfId="2" applyNumberFormat="1" applyFont="1" applyBorder="1" applyProtection="1"/>
    <xf numFmtId="9" fontId="44" fillId="0" borderId="1" xfId="2" applyNumberFormat="1" applyFont="1" applyBorder="1" applyProtection="1"/>
    <xf numFmtId="9" fontId="44" fillId="0" borderId="30" xfId="2" applyNumberFormat="1" applyFont="1" applyBorder="1" applyProtection="1"/>
    <xf numFmtId="9" fontId="44" fillId="0" borderId="3" xfId="2" applyNumberFormat="1" applyFont="1" applyBorder="1" applyProtection="1"/>
    <xf numFmtId="9" fontId="44" fillId="0" borderId="7" xfId="2" applyNumberFormat="1" applyFont="1" applyBorder="1" applyProtection="1"/>
    <xf numFmtId="9" fontId="44" fillId="0" borderId="6" xfId="2" applyNumberFormat="1" applyFont="1" applyBorder="1" applyProtection="1"/>
    <xf numFmtId="9" fontId="44" fillId="0" borderId="36" xfId="2" applyNumberFormat="1" applyFont="1" applyBorder="1" applyProtection="1"/>
    <xf numFmtId="37" fontId="44" fillId="0" borderId="6" xfId="2" applyFont="1" applyBorder="1" applyProtection="1"/>
    <xf numFmtId="37" fontId="44" fillId="0" borderId="36" xfId="2" applyFont="1" applyBorder="1" applyProtection="1"/>
    <xf numFmtId="9" fontId="34" fillId="0" borderId="4" xfId="0" applyNumberFormat="1" applyFont="1" applyBorder="1" applyAlignment="1">
      <alignment vertical="center"/>
    </xf>
    <xf numFmtId="9" fontId="34" fillId="0" borderId="17" xfId="0" applyNumberFormat="1" applyFont="1" applyBorder="1" applyAlignment="1">
      <alignment vertical="center"/>
    </xf>
    <xf numFmtId="9" fontId="34" fillId="0" borderId="21" xfId="0" applyNumberFormat="1" applyFont="1" applyBorder="1" applyAlignment="1">
      <alignment vertical="center"/>
    </xf>
    <xf numFmtId="9" fontId="34" fillId="0" borderId="0" xfId="0" applyNumberFormat="1" applyFont="1" applyBorder="1" applyAlignment="1">
      <alignment vertical="center"/>
    </xf>
    <xf numFmtId="9" fontId="34" fillId="0" borderId="16" xfId="0" applyNumberFormat="1" applyFont="1" applyBorder="1" applyAlignment="1">
      <alignment vertical="center"/>
    </xf>
    <xf numFmtId="9" fontId="34" fillId="0" borderId="10" xfId="0" applyNumberFormat="1" applyFont="1" applyBorder="1" applyAlignment="1">
      <alignment vertical="center"/>
    </xf>
    <xf numFmtId="10" fontId="34" fillId="0" borderId="10" xfId="0" applyNumberFormat="1" applyFont="1" applyBorder="1" applyAlignment="1">
      <alignment vertical="center"/>
    </xf>
    <xf numFmtId="9" fontId="34" fillId="0" borderId="6" xfId="0" applyNumberFormat="1" applyFont="1" applyBorder="1" applyAlignment="1">
      <alignment vertical="center"/>
    </xf>
    <xf numFmtId="9" fontId="34" fillId="0" borderId="14" xfId="0" applyNumberFormat="1" applyFont="1" applyBorder="1" applyAlignment="1">
      <alignment vertical="center"/>
    </xf>
    <xf numFmtId="9" fontId="34" fillId="0" borderId="12" xfId="0" applyNumberFormat="1" applyFont="1" applyBorder="1" applyAlignment="1">
      <alignment vertical="center"/>
    </xf>
    <xf numFmtId="164" fontId="34" fillId="2" borderId="17" xfId="0" applyNumberFormat="1" applyFont="1" applyFill="1" applyBorder="1" applyAlignment="1">
      <alignment vertical="center"/>
    </xf>
    <xf numFmtId="164" fontId="34" fillId="2" borderId="16" xfId="0" applyNumberFormat="1" applyFont="1" applyFill="1" applyBorder="1" applyAlignment="1">
      <alignment vertical="center"/>
    </xf>
    <xf numFmtId="164" fontId="34" fillId="2" borderId="14" xfId="0" applyNumberFormat="1" applyFont="1" applyFill="1" applyBorder="1" applyAlignment="1">
      <alignment vertical="center"/>
    </xf>
    <xf numFmtId="164" fontId="42" fillId="2" borderId="17" xfId="0" applyNumberFormat="1" applyFont="1" applyFill="1" applyBorder="1" applyAlignment="1">
      <alignment vertical="center"/>
    </xf>
    <xf numFmtId="164" fontId="42" fillId="2" borderId="14" xfId="0" applyNumberFormat="1" applyFont="1" applyFill="1" applyBorder="1" applyAlignment="1">
      <alignment vertical="center"/>
    </xf>
    <xf numFmtId="3" fontId="6" fillId="0" borderId="0" xfId="0" applyNumberFormat="1" applyFont="1" applyAlignment="1">
      <alignment horizontal="left"/>
    </xf>
    <xf numFmtId="0" fontId="26" fillId="0" borderId="0" xfId="0" applyFont="1">
      <alignment horizontal="left" wrapText="1"/>
    </xf>
    <xf numFmtId="0" fontId="16" fillId="0" borderId="0" xfId="0" applyFont="1">
      <alignment horizontal="left" wrapText="1"/>
    </xf>
    <xf numFmtId="0" fontId="22" fillId="0" borderId="0" xfId="0" applyFont="1" applyBorder="1">
      <alignment horizontal="left" wrapText="1"/>
    </xf>
    <xf numFmtId="0" fontId="26" fillId="0" borderId="0" xfId="0" applyFont="1" applyBorder="1">
      <alignment horizontal="left" wrapText="1"/>
    </xf>
    <xf numFmtId="0" fontId="26" fillId="6" borderId="0" xfId="0" applyFont="1" applyFill="1">
      <alignment horizontal="left" wrapText="1"/>
    </xf>
    <xf numFmtId="0" fontId="26" fillId="0" borderId="4" xfId="0" applyFont="1" applyBorder="1">
      <alignment horizontal="left" wrapText="1"/>
    </xf>
    <xf numFmtId="0" fontId="22" fillId="0" borderId="4" xfId="0" applyFont="1" applyBorder="1">
      <alignment horizontal="left" wrapText="1"/>
    </xf>
    <xf numFmtId="0" fontId="26" fillId="0" borderId="6" xfId="0" applyFont="1" applyBorder="1">
      <alignment horizontal="left" wrapText="1"/>
    </xf>
    <xf numFmtId="0" fontId="22" fillId="0" borderId="6" xfId="0" applyFont="1" applyBorder="1">
      <alignment horizontal="left" wrapText="1"/>
    </xf>
    <xf numFmtId="0" fontId="26" fillId="0" borderId="8" xfId="0" applyFont="1" applyBorder="1">
      <alignment horizontal="left" wrapText="1"/>
    </xf>
    <xf numFmtId="0" fontId="22" fillId="0" borderId="8" xfId="0" applyFont="1" applyBorder="1">
      <alignment horizontal="left" wrapText="1"/>
    </xf>
    <xf numFmtId="0" fontId="28" fillId="2" borderId="20" xfId="0" applyFont="1" applyFill="1" applyBorder="1" applyAlignment="1">
      <alignment horizontal="center" wrapText="1"/>
    </xf>
    <xf numFmtId="9" fontId="42" fillId="2" borderId="17" xfId="0" applyNumberFormat="1" applyFont="1" applyFill="1" applyBorder="1" applyAlignment="1">
      <alignment vertical="center"/>
    </xf>
    <xf numFmtId="9" fontId="42" fillId="2" borderId="16" xfId="0" applyNumberFormat="1" applyFont="1" applyFill="1" applyBorder="1" applyAlignment="1">
      <alignment vertical="center"/>
    </xf>
    <xf numFmtId="10" fontId="42" fillId="2" borderId="16" xfId="0" applyNumberFormat="1" applyFont="1" applyFill="1" applyBorder="1" applyAlignment="1">
      <alignment vertical="center"/>
    </xf>
    <xf numFmtId="9" fontId="42" fillId="2" borderId="14" xfId="0" applyNumberFormat="1" applyFont="1" applyFill="1" applyBorder="1" applyAlignment="1">
      <alignment vertical="center"/>
    </xf>
    <xf numFmtId="10" fontId="34" fillId="2" borderId="16" xfId="0" applyNumberFormat="1" applyFont="1" applyFill="1" applyBorder="1" applyAlignment="1">
      <alignment vertical="center"/>
    </xf>
    <xf numFmtId="10" fontId="54" fillId="2" borderId="16" xfId="0" applyNumberFormat="1" applyFont="1" applyFill="1" applyBorder="1" applyAlignment="1">
      <alignment vertical="center"/>
    </xf>
    <xf numFmtId="167" fontId="15" fillId="0" borderId="16" xfId="1" applyNumberFormat="1" applyFont="1" applyBorder="1" applyAlignment="1">
      <alignment vertical="center"/>
    </xf>
    <xf numFmtId="167" fontId="15" fillId="0" borderId="0" xfId="1" applyNumberFormat="1" applyFont="1" applyBorder="1" applyAlignment="1">
      <alignment vertical="center"/>
    </xf>
    <xf numFmtId="167" fontId="15" fillId="0" borderId="22" xfId="1" applyNumberFormat="1" applyFont="1" applyBorder="1" applyAlignment="1">
      <alignment vertical="center"/>
    </xf>
    <xf numFmtId="167" fontId="15" fillId="0" borderId="17" xfId="1" applyNumberFormat="1" applyFont="1" applyBorder="1" applyAlignment="1">
      <alignment vertical="center"/>
    </xf>
    <xf numFmtId="167" fontId="15" fillId="0" borderId="4" xfId="1" applyNumberFormat="1" applyFont="1" applyBorder="1" applyAlignment="1">
      <alignment vertical="center"/>
    </xf>
    <xf numFmtId="167" fontId="15" fillId="0" borderId="21" xfId="1" applyNumberFormat="1" applyFont="1" applyBorder="1" applyAlignment="1">
      <alignment vertical="center"/>
    </xf>
    <xf numFmtId="167" fontId="15" fillId="0" borderId="10" xfId="1" applyNumberFormat="1" applyFont="1" applyBorder="1" applyAlignment="1">
      <alignment vertical="center"/>
    </xf>
    <xf numFmtId="3" fontId="15" fillId="0" borderId="10" xfId="0" applyNumberFormat="1" applyFont="1" applyFill="1" applyBorder="1" applyAlignment="1" applyProtection="1"/>
    <xf numFmtId="167" fontId="15" fillId="0" borderId="14" xfId="1" applyNumberFormat="1" applyFont="1" applyBorder="1" applyAlignment="1">
      <alignment vertical="center"/>
    </xf>
    <xf numFmtId="167" fontId="15" fillId="0" borderId="6" xfId="1" applyNumberFormat="1" applyFont="1" applyBorder="1" applyAlignment="1">
      <alignment vertical="center"/>
    </xf>
    <xf numFmtId="167" fontId="15" fillId="0" borderId="12" xfId="1" applyNumberFormat="1" applyFont="1" applyBorder="1" applyAlignment="1">
      <alignment vertical="center"/>
    </xf>
    <xf numFmtId="164" fontId="34" fillId="0" borderId="4" xfId="0" applyNumberFormat="1" applyFont="1" applyBorder="1" applyAlignment="1">
      <alignment vertical="center"/>
    </xf>
    <xf numFmtId="168" fontId="26" fillId="0" borderId="0" xfId="1" applyNumberFormat="1" applyFont="1"/>
    <xf numFmtId="170" fontId="26" fillId="0" borderId="0" xfId="1" applyNumberFormat="1" applyFont="1"/>
    <xf numFmtId="169" fontId="41" fillId="0" borderId="0" xfId="0" applyNumberFormat="1" applyFont="1" applyBorder="1" applyAlignment="1">
      <alignment horizontal="centerContinuous"/>
    </xf>
    <xf numFmtId="169" fontId="41" fillId="0" borderId="0" xfId="0" applyNumberFormat="1" applyFont="1" applyAlignment="1">
      <alignment horizontal="centerContinuous"/>
    </xf>
    <xf numFmtId="169" fontId="41" fillId="6" borderId="0" xfId="0" applyNumberFormat="1" applyFont="1" applyFill="1" applyAlignment="1">
      <alignment horizontal="centerContinuous"/>
    </xf>
    <xf numFmtId="169" fontId="26" fillId="0" borderId="0" xfId="0" applyNumberFormat="1" applyFont="1" applyAlignment="1"/>
    <xf numFmtId="169" fontId="19" fillId="0" borderId="0" xfId="0" applyNumberFormat="1" applyFont="1" applyBorder="1" applyAlignment="1">
      <alignment horizontal="centerContinuous"/>
    </xf>
    <xf numFmtId="169" fontId="19" fillId="0" borderId="0" xfId="0" applyNumberFormat="1" applyFont="1" applyAlignment="1">
      <alignment horizontal="centerContinuous"/>
    </xf>
    <xf numFmtId="169" fontId="19" fillId="6" borderId="0" xfId="0" applyNumberFormat="1" applyFont="1" applyFill="1" applyAlignment="1">
      <alignment horizontal="centerContinuous"/>
    </xf>
    <xf numFmtId="169" fontId="16" fillId="0" borderId="0" xfId="0" applyNumberFormat="1" applyFont="1" applyAlignment="1"/>
    <xf numFmtId="169" fontId="22" fillId="0" borderId="0" xfId="0" applyNumberFormat="1" applyFont="1" applyBorder="1" applyAlignment="1"/>
    <xf numFmtId="169" fontId="26" fillId="0" borderId="0" xfId="0" applyNumberFormat="1" applyFont="1" applyBorder="1" applyAlignment="1"/>
    <xf numFmtId="169" fontId="26" fillId="6" borderId="0" xfId="0" applyNumberFormat="1" applyFont="1" applyFill="1" applyAlignment="1"/>
    <xf numFmtId="169" fontId="26" fillId="0" borderId="4" xfId="0" applyNumberFormat="1" applyFont="1" applyBorder="1" applyAlignment="1"/>
    <xf numFmtId="169" fontId="22" fillId="0" borderId="4" xfId="0" applyNumberFormat="1" applyFont="1" applyBorder="1" applyAlignment="1"/>
    <xf numFmtId="169" fontId="27" fillId="0" borderId="8" xfId="0" applyNumberFormat="1" applyFont="1" applyBorder="1" applyAlignment="1">
      <alignment horizontal="centerContinuous"/>
    </xf>
    <xf numFmtId="169" fontId="27" fillId="6" borderId="8" xfId="0" applyNumberFormat="1" applyFont="1" applyFill="1" applyBorder="1" applyAlignment="1">
      <alignment horizontal="centerContinuous"/>
    </xf>
    <xf numFmtId="169" fontId="26" fillId="0" borderId="6" xfId="0" applyNumberFormat="1" applyFont="1" applyBorder="1" applyAlignment="1"/>
    <xf numFmtId="169" fontId="22" fillId="0" borderId="6" xfId="0" applyNumberFormat="1" applyFont="1" applyBorder="1" applyAlignment="1"/>
    <xf numFmtId="169" fontId="27" fillId="0" borderId="6" xfId="0" applyNumberFormat="1" applyFont="1" applyBorder="1" applyAlignment="1">
      <alignment horizontal="centerContinuous"/>
    </xf>
    <xf numFmtId="169" fontId="28" fillId="0" borderId="15" xfId="0" applyNumberFormat="1" applyFont="1" applyBorder="1" applyAlignment="1">
      <alignment horizontal="centerContinuous"/>
    </xf>
    <xf numFmtId="169" fontId="28" fillId="0" borderId="6" xfId="0" applyNumberFormat="1" applyFont="1" applyBorder="1" applyAlignment="1">
      <alignment horizontal="centerContinuous"/>
    </xf>
    <xf numFmtId="169" fontId="28" fillId="0" borderId="8" xfId="0" applyNumberFormat="1" applyFont="1" applyBorder="1" applyAlignment="1">
      <alignment horizontal="centerContinuous"/>
    </xf>
    <xf numFmtId="169" fontId="28" fillId="0" borderId="18" xfId="0" applyNumberFormat="1" applyFont="1" applyBorder="1" applyAlignment="1">
      <alignment horizontal="centerContinuous"/>
    </xf>
    <xf numFmtId="169" fontId="26" fillId="0" borderId="8" xfId="0" applyNumberFormat="1" applyFont="1" applyBorder="1" applyAlignment="1"/>
    <xf numFmtId="169" fontId="22" fillId="0" borderId="8" xfId="0" applyNumberFormat="1" applyFont="1" applyBorder="1" applyAlignment="1"/>
    <xf numFmtId="169" fontId="28" fillId="0" borderId="15" xfId="0" applyNumberFormat="1" applyFont="1" applyBorder="1" applyAlignment="1">
      <alignment horizontal="center"/>
    </xf>
    <xf numFmtId="169" fontId="28" fillId="0" borderId="8" xfId="0" applyNumberFormat="1" applyFont="1" applyBorder="1" applyAlignment="1">
      <alignment horizontal="center"/>
    </xf>
    <xf numFmtId="169" fontId="28" fillId="0" borderId="20" xfId="0" applyNumberFormat="1" applyFont="1" applyBorder="1" applyAlignment="1">
      <alignment horizontal="center" wrapText="1"/>
    </xf>
    <xf numFmtId="169" fontId="28" fillId="0" borderId="8" xfId="0" applyNumberFormat="1" applyFont="1" applyBorder="1" applyAlignment="1">
      <alignment horizontal="center" wrapText="1"/>
    </xf>
    <xf numFmtId="169" fontId="28" fillId="0" borderId="15" xfId="0" applyNumberFormat="1" applyFont="1" applyBorder="1" applyAlignment="1">
      <alignment horizontal="center" wrapText="1"/>
    </xf>
    <xf numFmtId="169" fontId="28" fillId="6" borderId="8" xfId="0" applyNumberFormat="1" applyFont="1" applyFill="1" applyBorder="1" applyAlignment="1">
      <alignment horizontal="center"/>
    </xf>
    <xf numFmtId="169" fontId="26" fillId="0" borderId="0" xfId="0" applyNumberFormat="1" applyFont="1" applyAlignment="1">
      <alignment vertical="top"/>
    </xf>
    <xf numFmtId="169" fontId="28" fillId="10" borderId="20" xfId="0" applyNumberFormat="1" applyFont="1" applyFill="1" applyBorder="1" applyAlignment="1">
      <alignment horizontal="center" wrapText="1"/>
    </xf>
    <xf numFmtId="9" fontId="42" fillId="10" borderId="17" xfId="0" applyNumberFormat="1" applyFont="1" applyFill="1" applyBorder="1" applyAlignment="1">
      <alignment vertical="center"/>
    </xf>
    <xf numFmtId="9" fontId="42" fillId="10" borderId="16" xfId="0" applyNumberFormat="1" applyFont="1" applyFill="1" applyBorder="1" applyAlignment="1">
      <alignment vertical="center"/>
    </xf>
    <xf numFmtId="9" fontId="42" fillId="10" borderId="14" xfId="0" applyNumberFormat="1" applyFont="1" applyFill="1" applyBorder="1" applyAlignment="1">
      <alignment vertical="center"/>
    </xf>
    <xf numFmtId="10" fontId="42" fillId="10" borderId="16" xfId="0" applyNumberFormat="1" applyFont="1" applyFill="1" applyBorder="1" applyAlignment="1">
      <alignment vertical="center"/>
    </xf>
    <xf numFmtId="164" fontId="42" fillId="10" borderId="16" xfId="0" applyNumberFormat="1" applyFont="1" applyFill="1" applyBorder="1" applyAlignment="1">
      <alignment vertical="center"/>
    </xf>
    <xf numFmtId="3" fontId="55" fillId="0" borderId="3" xfId="1" applyNumberFormat="1" applyFont="1" applyBorder="1"/>
    <xf numFmtId="167" fontId="56" fillId="0" borderId="22" xfId="1" applyNumberFormat="1" applyFont="1" applyBorder="1" applyAlignment="1">
      <alignment vertical="center"/>
    </xf>
    <xf numFmtId="167" fontId="56" fillId="0" borderId="23" xfId="1" applyNumberFormat="1" applyFont="1" applyBorder="1" applyAlignment="1">
      <alignment vertical="center"/>
    </xf>
    <xf numFmtId="167" fontId="56" fillId="0" borderId="19" xfId="1" applyNumberFormat="1" applyFont="1" applyBorder="1" applyAlignment="1">
      <alignment vertical="center"/>
    </xf>
    <xf numFmtId="167" fontId="56" fillId="0" borderId="21" xfId="1" applyNumberFormat="1" applyFont="1" applyBorder="1" applyAlignment="1">
      <alignment vertical="center"/>
    </xf>
    <xf numFmtId="167" fontId="56" fillId="0" borderId="10" xfId="1" applyNumberFormat="1" applyFont="1" applyBorder="1" applyAlignment="1">
      <alignment vertical="center"/>
    </xf>
    <xf numFmtId="167" fontId="56" fillId="0" borderId="12" xfId="1" applyNumberFormat="1" applyFont="1" applyBorder="1" applyAlignment="1">
      <alignment vertical="center"/>
    </xf>
    <xf numFmtId="167" fontId="56" fillId="0" borderId="17" xfId="1" applyNumberFormat="1" applyFont="1" applyBorder="1" applyAlignment="1">
      <alignment vertical="center"/>
    </xf>
    <xf numFmtId="167" fontId="56" fillId="0" borderId="16" xfId="1" applyNumberFormat="1" applyFont="1" applyBorder="1" applyAlignment="1">
      <alignment vertical="center"/>
    </xf>
    <xf numFmtId="167" fontId="56" fillId="0" borderId="14" xfId="1" applyNumberFormat="1" applyFont="1" applyBorder="1" applyAlignment="1">
      <alignment vertical="center"/>
    </xf>
    <xf numFmtId="167" fontId="15" fillId="0" borderId="23" xfId="1" applyNumberFormat="1" applyFont="1" applyBorder="1" applyAlignment="1">
      <alignment vertical="center"/>
    </xf>
    <xf numFmtId="167" fontId="15" fillId="0" borderId="19" xfId="1" applyNumberFormat="1" applyFont="1" applyBorder="1" applyAlignment="1">
      <alignment vertical="center"/>
    </xf>
    <xf numFmtId="9" fontId="42" fillId="10" borderId="22" xfId="0" applyNumberFormat="1" applyFont="1" applyFill="1" applyBorder="1" applyAlignment="1">
      <alignment vertical="center"/>
    </xf>
    <xf numFmtId="9" fontId="42" fillId="10" borderId="23" xfId="0" applyNumberFormat="1" applyFont="1" applyFill="1" applyBorder="1" applyAlignment="1">
      <alignment vertical="center"/>
    </xf>
    <xf numFmtId="9" fontId="42" fillId="10" borderId="19" xfId="0" applyNumberFormat="1" applyFont="1" applyFill="1" applyBorder="1" applyAlignment="1">
      <alignment vertical="center"/>
    </xf>
    <xf numFmtId="167" fontId="16" fillId="0" borderId="6" xfId="1" applyNumberFormat="1" applyFont="1" applyBorder="1"/>
    <xf numFmtId="167" fontId="16" fillId="0" borderId="12" xfId="1" applyNumberFormat="1" applyFont="1" applyBorder="1"/>
    <xf numFmtId="9" fontId="30" fillId="11" borderId="16" xfId="0" applyNumberFormat="1" applyFont="1" applyFill="1" applyBorder="1" applyAlignment="1">
      <alignment vertical="center"/>
    </xf>
    <xf numFmtId="9" fontId="30" fillId="11" borderId="0" xfId="0" applyNumberFormat="1" applyFont="1" applyFill="1" applyBorder="1" applyAlignment="1">
      <alignment vertical="center"/>
    </xf>
    <xf numFmtId="164" fontId="30" fillId="11" borderId="0" xfId="0" applyNumberFormat="1" applyFont="1" applyFill="1" applyBorder="1" applyAlignment="1">
      <alignment vertical="center"/>
    </xf>
    <xf numFmtId="0" fontId="28" fillId="10" borderId="8" xfId="0" applyFont="1" applyFill="1" applyBorder="1" applyAlignment="1">
      <alignment horizontal="right"/>
    </xf>
    <xf numFmtId="3" fontId="16" fillId="10" borderId="0" xfId="0" applyNumberFormat="1" applyFont="1" applyFill="1" applyBorder="1" applyAlignment="1">
      <alignment horizontal="right"/>
    </xf>
    <xf numFmtId="3" fontId="16" fillId="10" borderId="12" xfId="0" applyNumberFormat="1" applyFont="1" applyFill="1" applyBorder="1" applyAlignment="1">
      <alignment horizontal="center"/>
    </xf>
    <xf numFmtId="3" fontId="30" fillId="10" borderId="0" xfId="1" applyNumberFormat="1" applyFont="1" applyFill="1" applyBorder="1" applyAlignment="1" applyProtection="1">
      <alignment vertical="center"/>
    </xf>
    <xf numFmtId="3" fontId="30" fillId="10" borderId="6" xfId="1" applyNumberFormat="1" applyFont="1" applyFill="1" applyBorder="1" applyAlignment="1" applyProtection="1">
      <alignment vertical="center"/>
    </xf>
    <xf numFmtId="3" fontId="30" fillId="10" borderId="4" xfId="1" applyNumberFormat="1" applyFont="1" applyFill="1" applyBorder="1" applyAlignment="1">
      <alignment vertical="center"/>
    </xf>
    <xf numFmtId="3" fontId="30" fillId="10" borderId="0" xfId="1" applyNumberFormat="1" applyFont="1" applyFill="1" applyAlignment="1">
      <alignment vertical="center"/>
    </xf>
    <xf numFmtId="3" fontId="30" fillId="10" borderId="6" xfId="1" applyNumberFormat="1" applyFont="1" applyFill="1" applyBorder="1" applyAlignment="1">
      <alignment vertical="center"/>
    </xf>
    <xf numFmtId="0" fontId="28" fillId="10" borderId="8" xfId="0" applyFont="1" applyFill="1" applyBorder="1" applyAlignment="1">
      <alignment horizontal="center"/>
    </xf>
    <xf numFmtId="167" fontId="15" fillId="0" borderId="0" xfId="0" applyNumberFormat="1" applyFont="1" applyAlignment="1"/>
    <xf numFmtId="0" fontId="57" fillId="0" borderId="37" xfId="0" applyFont="1" applyBorder="1" applyAlignment="1">
      <alignment horizontal="left"/>
    </xf>
    <xf numFmtId="167" fontId="57" fillId="0" borderId="37" xfId="0" applyNumberFormat="1" applyFont="1" applyBorder="1" applyAlignment="1"/>
    <xf numFmtId="167" fontId="57" fillId="12" borderId="37" xfId="0" applyNumberFormat="1" applyFont="1" applyFill="1" applyBorder="1" applyAlignment="1"/>
    <xf numFmtId="169" fontId="26" fillId="0" borderId="0" xfId="0" applyNumberFormat="1" applyFont="1" applyFill="1" applyAlignment="1"/>
    <xf numFmtId="9" fontId="34" fillId="0" borderId="4" xfId="3" applyFont="1" applyBorder="1" applyAlignment="1">
      <alignment vertical="center"/>
    </xf>
    <xf numFmtId="9" fontId="34" fillId="2" borderId="17" xfId="3" applyFont="1" applyFill="1" applyBorder="1" applyAlignment="1">
      <alignment vertical="center"/>
    </xf>
    <xf numFmtId="9" fontId="34" fillId="0" borderId="17" xfId="3" applyFont="1" applyBorder="1" applyAlignment="1">
      <alignment vertical="center"/>
    </xf>
    <xf numFmtId="9" fontId="34" fillId="0" borderId="21" xfId="3" applyFont="1" applyBorder="1" applyAlignment="1">
      <alignment vertical="center"/>
    </xf>
    <xf numFmtId="9" fontId="34" fillId="0" borderId="0" xfId="3" applyFont="1" applyBorder="1" applyAlignment="1">
      <alignment vertical="center"/>
    </xf>
    <xf numFmtId="9" fontId="34" fillId="2" borderId="16" xfId="3" applyFont="1" applyFill="1" applyBorder="1" applyAlignment="1">
      <alignment vertical="center"/>
    </xf>
    <xf numFmtId="9" fontId="34" fillId="0" borderId="16" xfId="3" applyFont="1" applyBorder="1" applyAlignment="1">
      <alignment vertical="center"/>
    </xf>
    <xf numFmtId="9" fontId="34" fillId="0" borderId="10" xfId="3" applyFont="1" applyBorder="1" applyAlignment="1">
      <alignment vertical="center"/>
    </xf>
    <xf numFmtId="164" fontId="58" fillId="2" borderId="14" xfId="0" applyNumberFormat="1" applyFont="1" applyFill="1" applyBorder="1" applyAlignment="1">
      <alignment vertical="center"/>
    </xf>
    <xf numFmtId="9" fontId="58" fillId="0" borderId="14" xfId="0" applyNumberFormat="1" applyFont="1" applyBorder="1" applyAlignment="1">
      <alignment vertical="center"/>
    </xf>
    <xf numFmtId="9" fontId="58" fillId="0" borderId="6" xfId="0" applyNumberFormat="1" applyFont="1" applyBorder="1" applyAlignment="1">
      <alignment vertical="center"/>
    </xf>
    <xf numFmtId="9" fontId="58" fillId="0" borderId="12" xfId="0" applyNumberFormat="1" applyFont="1" applyBorder="1" applyAlignment="1">
      <alignment vertical="center"/>
    </xf>
    <xf numFmtId="37" fontId="59" fillId="0" borderId="0" xfId="0" applyNumberFormat="1" applyFont="1" applyBorder="1" applyAlignment="1" applyProtection="1">
      <alignment vertical="center"/>
    </xf>
    <xf numFmtId="9" fontId="59" fillId="0" borderId="16" xfId="0" applyNumberFormat="1" applyFont="1" applyBorder="1" applyAlignment="1">
      <alignment vertical="center"/>
    </xf>
    <xf numFmtId="9" fontId="59" fillId="0" borderId="0" xfId="0" applyNumberFormat="1" applyFont="1" applyBorder="1" applyAlignment="1">
      <alignment vertical="center"/>
    </xf>
    <xf numFmtId="9" fontId="59" fillId="0" borderId="10" xfId="0" applyNumberFormat="1" applyFont="1" applyBorder="1" applyAlignment="1">
      <alignment vertical="center"/>
    </xf>
    <xf numFmtId="9" fontId="59" fillId="10" borderId="23" xfId="0" applyNumberFormat="1" applyFont="1" applyFill="1" applyBorder="1" applyAlignment="1">
      <alignment vertical="center"/>
    </xf>
    <xf numFmtId="167" fontId="59" fillId="0" borderId="16" xfId="1" applyNumberFormat="1" applyFont="1" applyBorder="1" applyAlignment="1">
      <alignment vertical="center"/>
    </xf>
    <xf numFmtId="167" fontId="59" fillId="0" borderId="0" xfId="1" applyNumberFormat="1" applyFont="1" applyBorder="1" applyAlignment="1">
      <alignment vertical="center"/>
    </xf>
    <xf numFmtId="167" fontId="59" fillId="0" borderId="23" xfId="1" applyNumberFormat="1" applyFont="1" applyBorder="1" applyAlignment="1">
      <alignment vertical="center"/>
    </xf>
    <xf numFmtId="167" fontId="59" fillId="0" borderId="10" xfId="1" applyNumberFormat="1" applyFont="1" applyBorder="1" applyAlignment="1">
      <alignment vertical="center"/>
    </xf>
    <xf numFmtId="9" fontId="58" fillId="10" borderId="19" xfId="0" applyNumberFormat="1" applyFont="1" applyFill="1" applyBorder="1" applyAlignment="1">
      <alignment vertical="center"/>
    </xf>
    <xf numFmtId="167" fontId="58" fillId="0" borderId="17" xfId="1" applyNumberFormat="1" applyFont="1" applyBorder="1" applyAlignment="1">
      <alignment vertical="center"/>
    </xf>
    <xf numFmtId="167" fontId="58" fillId="0" borderId="4" xfId="1" applyNumberFormat="1" applyFont="1" applyBorder="1" applyAlignment="1">
      <alignment vertical="center"/>
    </xf>
    <xf numFmtId="167" fontId="58" fillId="0" borderId="22" xfId="1" applyNumberFormat="1" applyFont="1" applyBorder="1" applyAlignment="1">
      <alignment vertical="center"/>
    </xf>
    <xf numFmtId="167" fontId="58" fillId="0" borderId="21" xfId="1" applyNumberFormat="1" applyFont="1" applyBorder="1" applyAlignment="1">
      <alignment vertical="center"/>
    </xf>
    <xf numFmtId="167" fontId="58" fillId="0" borderId="16" xfId="1" applyNumberFormat="1" applyFont="1" applyBorder="1" applyAlignment="1">
      <alignment vertical="center"/>
    </xf>
    <xf numFmtId="167" fontId="58" fillId="0" borderId="0" xfId="1" applyNumberFormat="1" applyFont="1" applyBorder="1" applyAlignment="1">
      <alignment vertical="center"/>
    </xf>
    <xf numFmtId="167" fontId="58" fillId="0" borderId="23" xfId="1" applyNumberFormat="1" applyFont="1" applyBorder="1" applyAlignment="1">
      <alignment vertical="center"/>
    </xf>
    <xf numFmtId="167" fontId="58" fillId="0" borderId="10" xfId="1" applyNumberFormat="1" applyFont="1" applyBorder="1" applyAlignment="1">
      <alignment vertical="center"/>
    </xf>
    <xf numFmtId="167" fontId="58" fillId="0" borderId="14" xfId="1" applyNumberFormat="1" applyFont="1" applyBorder="1" applyAlignment="1">
      <alignment vertical="center"/>
    </xf>
    <xf numFmtId="167" fontId="58" fillId="0" borderId="6" xfId="1" applyNumberFormat="1" applyFont="1" applyBorder="1" applyAlignment="1">
      <alignment vertical="center"/>
    </xf>
    <xf numFmtId="167" fontId="58" fillId="0" borderId="19" xfId="1" applyNumberFormat="1" applyFont="1" applyBorder="1" applyAlignment="1">
      <alignment vertical="center"/>
    </xf>
    <xf numFmtId="167" fontId="58" fillId="0" borderId="12" xfId="1" applyNumberFormat="1" applyFont="1" applyBorder="1" applyAlignment="1">
      <alignment vertical="center"/>
    </xf>
    <xf numFmtId="9" fontId="60" fillId="0" borderId="16" xfId="0" applyNumberFormat="1" applyFont="1" applyBorder="1" applyAlignment="1">
      <alignment vertical="center"/>
    </xf>
    <xf numFmtId="9" fontId="60" fillId="0" borderId="4" xfId="0" applyNumberFormat="1" applyFont="1" applyBorder="1" applyAlignment="1">
      <alignment vertical="center"/>
    </xf>
    <xf numFmtId="9" fontId="60" fillId="10" borderId="4" xfId="0" applyNumberFormat="1" applyFont="1" applyFill="1" applyBorder="1" applyAlignment="1">
      <alignment vertical="center"/>
    </xf>
    <xf numFmtId="9" fontId="60" fillId="0" borderId="17" xfId="0" applyNumberFormat="1" applyFont="1" applyBorder="1" applyAlignment="1">
      <alignment vertical="center"/>
    </xf>
    <xf numFmtId="9" fontId="60" fillId="0" borderId="0" xfId="0" applyNumberFormat="1" applyFont="1" applyBorder="1" applyAlignment="1">
      <alignment vertical="center"/>
    </xf>
    <xf numFmtId="9" fontId="60" fillId="10" borderId="0" xfId="0" applyNumberFormat="1" applyFont="1" applyFill="1" applyBorder="1" applyAlignment="1">
      <alignment vertical="center"/>
    </xf>
    <xf numFmtId="9" fontId="60" fillId="0" borderId="14" xfId="0" applyNumberFormat="1" applyFont="1" applyBorder="1" applyAlignment="1">
      <alignment vertical="center"/>
    </xf>
    <xf numFmtId="9" fontId="60" fillId="0" borderId="6" xfId="0" applyNumberFormat="1" applyFont="1" applyBorder="1" applyAlignment="1">
      <alignment vertical="center"/>
    </xf>
    <xf numFmtId="9" fontId="60" fillId="10" borderId="6" xfId="0" applyNumberFormat="1" applyFont="1" applyFill="1" applyBorder="1" applyAlignment="1">
      <alignment vertical="center"/>
    </xf>
    <xf numFmtId="0" fontId="60" fillId="5" borderId="0" xfId="0" applyFont="1" applyFill="1" applyAlignment="1"/>
    <xf numFmtId="9" fontId="60" fillId="5" borderId="0" xfId="3" applyFont="1" applyFill="1"/>
    <xf numFmtId="9" fontId="58" fillId="0" borderId="17" xfId="0" applyNumberFormat="1" applyFont="1" applyBorder="1" applyAlignment="1">
      <alignment vertical="center"/>
    </xf>
    <xf numFmtId="9" fontId="58" fillId="0" borderId="4" xfId="0" applyNumberFormat="1" applyFont="1" applyBorder="1" applyAlignment="1">
      <alignment vertical="center"/>
    </xf>
    <xf numFmtId="9" fontId="58" fillId="0" borderId="21" xfId="0" applyNumberFormat="1" applyFont="1" applyBorder="1" applyAlignment="1">
      <alignment vertical="center"/>
    </xf>
    <xf numFmtId="9" fontId="58" fillId="0" borderId="24" xfId="0" applyNumberFormat="1" applyFont="1" applyBorder="1" applyAlignment="1">
      <alignment vertical="center"/>
    </xf>
    <xf numFmtId="167" fontId="58" fillId="0" borderId="4" xfId="1" applyNumberFormat="1" applyFont="1" applyBorder="1" applyAlignment="1"/>
    <xf numFmtId="167" fontId="58" fillId="0" borderId="22" xfId="1" applyNumberFormat="1" applyFont="1" applyFill="1" applyBorder="1" applyAlignment="1">
      <alignment horizontal="center" wrapText="1"/>
    </xf>
    <xf numFmtId="167" fontId="61" fillId="0" borderId="24" xfId="1" applyNumberFormat="1" applyFont="1" applyBorder="1" applyAlignment="1">
      <alignment horizontal="center" wrapText="1"/>
    </xf>
    <xf numFmtId="167" fontId="61" fillId="0" borderId="24" xfId="1" applyNumberFormat="1" applyFont="1" applyBorder="1" applyAlignment="1">
      <alignment horizontal="center"/>
    </xf>
    <xf numFmtId="167" fontId="61" fillId="0" borderId="25" xfId="1" applyNumberFormat="1" applyFont="1" applyBorder="1" applyAlignment="1">
      <alignment horizontal="center" wrapText="1"/>
    </xf>
    <xf numFmtId="167" fontId="58" fillId="0" borderId="21" xfId="1" applyNumberFormat="1" applyFont="1" applyBorder="1" applyAlignment="1">
      <alignment horizontal="center" wrapText="1"/>
    </xf>
    <xf numFmtId="167" fontId="58" fillId="0" borderId="17" xfId="1" applyNumberFormat="1" applyFont="1" applyBorder="1" applyAlignment="1">
      <alignment horizontal="center" wrapText="1"/>
    </xf>
    <xf numFmtId="9" fontId="58" fillId="0" borderId="16" xfId="0" applyNumberFormat="1" applyFont="1" applyBorder="1" applyAlignment="1">
      <alignment vertical="center"/>
    </xf>
    <xf numFmtId="9" fontId="58" fillId="0" borderId="0" xfId="0" applyNumberFormat="1" applyFont="1" applyBorder="1" applyAlignment="1">
      <alignment vertical="center"/>
    </xf>
    <xf numFmtId="9" fontId="58" fillId="0" borderId="10" xfId="0" applyNumberFormat="1" applyFont="1" applyBorder="1" applyAlignment="1">
      <alignment vertical="center"/>
    </xf>
    <xf numFmtId="9" fontId="58" fillId="0" borderId="28" xfId="0" applyNumberFormat="1" applyFont="1" applyBorder="1" applyAlignment="1">
      <alignment vertical="center"/>
    </xf>
    <xf numFmtId="167" fontId="58" fillId="0" borderId="0" xfId="1" applyNumberFormat="1" applyFont="1" applyBorder="1" applyAlignment="1"/>
    <xf numFmtId="167" fontId="58" fillId="0" borderId="23" xfId="1" applyNumberFormat="1" applyFont="1" applyFill="1" applyBorder="1" applyAlignment="1">
      <alignment horizontal="center" wrapText="1"/>
    </xf>
    <xf numFmtId="164" fontId="58" fillId="0" borderId="28" xfId="0" applyNumberFormat="1" applyFont="1" applyBorder="1" applyAlignment="1">
      <alignment vertical="center"/>
    </xf>
    <xf numFmtId="167" fontId="58" fillId="0" borderId="16" xfId="1" applyNumberFormat="1" applyFont="1" applyBorder="1" applyAlignment="1">
      <alignment horizontal="center"/>
    </xf>
    <xf numFmtId="167" fontId="58" fillId="0" borderId="0" xfId="1" applyNumberFormat="1" applyFont="1" applyBorder="1" applyAlignment="1">
      <alignment horizontal="center"/>
    </xf>
    <xf numFmtId="9" fontId="58" fillId="0" borderId="29" xfId="0" applyNumberFormat="1" applyFont="1" applyBorder="1" applyAlignment="1">
      <alignment vertical="center"/>
    </xf>
    <xf numFmtId="167" fontId="58" fillId="0" borderId="14" xfId="1" applyNumberFormat="1" applyFont="1" applyBorder="1" applyAlignment="1">
      <alignment horizontal="center"/>
    </xf>
    <xf numFmtId="167" fontId="58" fillId="0" borderId="6" xfId="1" applyNumberFormat="1" applyFont="1" applyBorder="1" applyAlignment="1">
      <alignment horizontal="center"/>
    </xf>
    <xf numFmtId="167" fontId="61" fillId="0" borderId="26" xfId="1" applyNumberFormat="1" applyFont="1" applyBorder="1" applyAlignment="1">
      <alignment horizontal="center" wrapText="1"/>
    </xf>
    <xf numFmtId="167" fontId="61" fillId="0" borderId="26" xfId="1" applyNumberFormat="1" applyFont="1" applyBorder="1" applyAlignment="1">
      <alignment horizontal="center"/>
    </xf>
    <xf numFmtId="167" fontId="61" fillId="0" borderId="27" xfId="1" applyNumberFormat="1" applyFont="1" applyBorder="1" applyAlignment="1">
      <alignment horizontal="center" wrapText="1"/>
    </xf>
    <xf numFmtId="3" fontId="15" fillId="0" borderId="2" xfId="0" applyNumberFormat="1" applyFont="1" applyBorder="1" applyAlignment="1"/>
    <xf numFmtId="3" fontId="15" fillId="0" borderId="1" xfId="0" applyNumberFormat="1" applyFont="1" applyBorder="1" applyAlignment="1"/>
    <xf numFmtId="3" fontId="15" fillId="0" borderId="3" xfId="0" applyNumberFormat="1" applyFont="1" applyBorder="1" applyAlignment="1"/>
    <xf numFmtId="3" fontId="15" fillId="0" borderId="0" xfId="0" applyNumberFormat="1" applyFont="1" applyAlignment="1"/>
    <xf numFmtId="3" fontId="15" fillId="0" borderId="0" xfId="0" applyNumberFormat="1" applyFont="1" applyBorder="1" applyAlignment="1"/>
    <xf numFmtId="3" fontId="15" fillId="0" borderId="7" xfId="0" applyNumberFormat="1" applyFont="1" applyBorder="1" applyAlignment="1"/>
    <xf numFmtId="3" fontId="15" fillId="0" borderId="6" xfId="0" applyNumberFormat="1" applyFont="1" applyBorder="1" applyAlignment="1"/>
    <xf numFmtId="37" fontId="15" fillId="0" borderId="0" xfId="0" applyNumberFormat="1" applyFont="1" applyBorder="1" applyAlignment="1" applyProtection="1">
      <alignment vertical="center"/>
    </xf>
    <xf numFmtId="37" fontId="15" fillId="0" borderId="4" xfId="0" applyNumberFormat="1" applyFont="1" applyBorder="1" applyAlignment="1" applyProtection="1">
      <alignment vertical="center"/>
    </xf>
    <xf numFmtId="37" fontId="15" fillId="0" borderId="0" xfId="0" applyNumberFormat="1" applyFont="1" applyAlignment="1" applyProtection="1">
      <alignment vertical="center"/>
    </xf>
    <xf numFmtId="0" fontId="15" fillId="4" borderId="6" xfId="0" applyFont="1" applyFill="1" applyBorder="1" applyAlignment="1">
      <alignment vertical="center"/>
    </xf>
    <xf numFmtId="0" fontId="15" fillId="4" borderId="6" xfId="0" applyFont="1" applyFill="1" applyBorder="1" applyAlignment="1" applyProtection="1">
      <alignment vertical="center"/>
      <protection locked="0"/>
    </xf>
    <xf numFmtId="167" fontId="58" fillId="0" borderId="19" xfId="1" applyNumberFormat="1" applyFont="1" applyFill="1" applyBorder="1" applyAlignment="1">
      <alignment horizontal="center" wrapText="1"/>
    </xf>
    <xf numFmtId="9" fontId="58" fillId="0" borderId="22" xfId="0" applyNumberFormat="1" applyFont="1" applyBorder="1" applyAlignment="1">
      <alignment vertical="center"/>
    </xf>
    <xf numFmtId="9" fontId="58" fillId="0" borderId="23" xfId="0" applyNumberFormat="1" applyFont="1" applyBorder="1" applyAlignment="1">
      <alignment vertical="center"/>
    </xf>
    <xf numFmtId="9" fontId="58" fillId="0" borderId="19" xfId="0" applyNumberFormat="1" applyFont="1" applyBorder="1" applyAlignment="1">
      <alignment vertical="center"/>
    </xf>
    <xf numFmtId="167" fontId="58" fillId="0" borderId="13" xfId="1" applyNumberFormat="1" applyFont="1" applyBorder="1" applyAlignment="1"/>
    <xf numFmtId="0" fontId="28" fillId="10" borderId="20" xfId="0" applyFont="1" applyFill="1" applyBorder="1" applyAlignment="1">
      <alignment horizontal="center" wrapText="1"/>
    </xf>
    <xf numFmtId="9" fontId="58" fillId="10" borderId="17" xfId="0" applyNumberFormat="1" applyFont="1" applyFill="1" applyBorder="1" applyAlignment="1">
      <alignment vertical="center"/>
    </xf>
    <xf numFmtId="9" fontId="58" fillId="10" borderId="16" xfId="0" applyNumberFormat="1" applyFont="1" applyFill="1" applyBorder="1" applyAlignment="1">
      <alignment vertical="center"/>
    </xf>
    <xf numFmtId="9" fontId="58" fillId="10" borderId="14" xfId="0" applyNumberFormat="1" applyFont="1" applyFill="1" applyBorder="1" applyAlignment="1">
      <alignment vertical="center"/>
    </xf>
    <xf numFmtId="9" fontId="58" fillId="10" borderId="22" xfId="0" applyNumberFormat="1" applyFont="1" applyFill="1" applyBorder="1" applyAlignment="1">
      <alignment vertical="center"/>
    </xf>
    <xf numFmtId="9" fontId="58" fillId="10" borderId="23" xfId="0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left"/>
    </xf>
    <xf numFmtId="3" fontId="15" fillId="0" borderId="0" xfId="0" applyNumberFormat="1" applyFont="1" applyAlignment="1">
      <alignment horizontal="center"/>
    </xf>
    <xf numFmtId="3" fontId="15" fillId="0" borderId="0" xfId="0" applyNumberFormat="1" applyFont="1" applyFill="1" applyBorder="1" applyAlignment="1">
      <alignment horizontal="center"/>
    </xf>
    <xf numFmtId="3" fontId="15" fillId="0" borderId="0" xfId="0" applyNumberFormat="1" applyFont="1" applyFill="1" applyAlignment="1">
      <alignment horizontal="center"/>
    </xf>
    <xf numFmtId="168" fontId="15" fillId="0" borderId="0" xfId="1" applyNumberFormat="1" applyFont="1" applyAlignment="1"/>
    <xf numFmtId="3" fontId="15" fillId="0" borderId="0" xfId="0" applyNumberFormat="1" applyFont="1" applyAlignment="1">
      <alignment horizontal="left" vertical="top"/>
    </xf>
    <xf numFmtId="0" fontId="15" fillId="0" borderId="0" xfId="0" applyFont="1" applyFill="1" applyBorder="1" applyAlignment="1">
      <alignment wrapText="1"/>
    </xf>
    <xf numFmtId="0" fontId="15" fillId="0" borderId="0" xfId="0" applyFont="1" applyFill="1" applyAlignment="1">
      <alignment wrapText="1"/>
    </xf>
    <xf numFmtId="3" fontId="15" fillId="0" borderId="0" xfId="0" applyNumberFormat="1" applyFont="1" applyFill="1" applyAlignment="1">
      <alignment wrapText="1"/>
    </xf>
    <xf numFmtId="3" fontId="15" fillId="0" borderId="0" xfId="0" applyNumberFormat="1" applyFont="1" applyBorder="1" applyAlignment="1">
      <alignment horizontal="center"/>
    </xf>
    <xf numFmtId="3" fontId="15" fillId="0" borderId="6" xfId="0" applyNumberFormat="1" applyFont="1" applyFill="1" applyBorder="1" applyAlignment="1">
      <alignment horizontal="center"/>
    </xf>
    <xf numFmtId="3" fontId="59" fillId="0" borderId="15" xfId="0" applyNumberFormat="1" applyFont="1" applyBorder="1" applyAlignment="1"/>
    <xf numFmtId="3" fontId="59" fillId="0" borderId="8" xfId="0" applyNumberFormat="1" applyFont="1" applyBorder="1" applyAlignment="1">
      <alignment horizontal="center"/>
    </xf>
    <xf numFmtId="0" fontId="59" fillId="0" borderId="18" xfId="0" applyFont="1" applyBorder="1" applyAlignment="1"/>
    <xf numFmtId="3" fontId="15" fillId="0" borderId="1" xfId="0" applyNumberFormat="1" applyFont="1" applyBorder="1" applyAlignment="1">
      <alignment horizontal="center"/>
    </xf>
    <xf numFmtId="3" fontId="15" fillId="0" borderId="1" xfId="0" applyNumberFormat="1" applyFont="1" applyFill="1" applyBorder="1" applyAlignment="1">
      <alignment horizontal="centerContinuous"/>
    </xf>
    <xf numFmtId="0" fontId="15" fillId="0" borderId="0" xfId="0" applyFont="1" applyFill="1" applyBorder="1" applyAlignment="1">
      <alignment horizontal="centerContinuous"/>
    </xf>
    <xf numFmtId="3" fontId="15" fillId="0" borderId="35" xfId="0" applyNumberFormat="1" applyFont="1" applyFill="1" applyBorder="1" applyAlignment="1">
      <alignment horizontal="centerContinuous"/>
    </xf>
    <xf numFmtId="3" fontId="15" fillId="0" borderId="1" xfId="0" applyNumberFormat="1" applyFont="1" applyFill="1" applyBorder="1" applyAlignment="1">
      <alignment horizontal="right"/>
    </xf>
    <xf numFmtId="3" fontId="15" fillId="0" borderId="35" xfId="0" applyNumberFormat="1" applyFont="1" applyFill="1" applyBorder="1" applyAlignment="1">
      <alignment horizontal="right"/>
    </xf>
    <xf numFmtId="3" fontId="15" fillId="0" borderId="6" xfId="0" applyNumberFormat="1" applyFont="1" applyFill="1" applyBorder="1" applyAlignment="1">
      <alignment horizontal="centerContinuous"/>
    </xf>
    <xf numFmtId="3" fontId="15" fillId="5" borderId="0" xfId="0" applyNumberFormat="1" applyFont="1" applyFill="1" applyAlignment="1">
      <alignment horizontal="left"/>
    </xf>
    <xf numFmtId="0" fontId="15" fillId="5" borderId="0" xfId="0" applyFont="1" applyFill="1" applyBorder="1" applyAlignment="1"/>
    <xf numFmtId="3" fontId="15" fillId="0" borderId="35" xfId="0" applyNumberFormat="1" applyFont="1" applyBorder="1" applyAlignment="1">
      <alignment horizontal="right"/>
    </xf>
    <xf numFmtId="3" fontId="15" fillId="0" borderId="1" xfId="0" applyNumberFormat="1" applyFont="1" applyBorder="1" applyAlignment="1">
      <alignment horizontal="right"/>
    </xf>
    <xf numFmtId="168" fontId="15" fillId="0" borderId="35" xfId="1" applyNumberFormat="1" applyFont="1" applyBorder="1" applyAlignment="1">
      <alignment horizontal="right"/>
    </xf>
    <xf numFmtId="168" fontId="15" fillId="0" borderId="1" xfId="1" applyNumberFormat="1" applyFont="1" applyBorder="1" applyAlignment="1">
      <alignment horizontal="right"/>
    </xf>
    <xf numFmtId="3" fontId="15" fillId="0" borderId="6" xfId="0" applyNumberFormat="1" applyFont="1" applyBorder="1" applyAlignment="1">
      <alignment horizontal="center"/>
    </xf>
    <xf numFmtId="3" fontId="15" fillId="0" borderId="6" xfId="0" applyNumberFormat="1" applyFont="1" applyFill="1" applyBorder="1" applyAlignment="1">
      <alignment horizontal="right"/>
    </xf>
    <xf numFmtId="3" fontId="15" fillId="0" borderId="13" xfId="0" applyNumberFormat="1" applyFont="1" applyFill="1" applyBorder="1" applyAlignment="1">
      <alignment horizontal="right"/>
    </xf>
    <xf numFmtId="3" fontId="15" fillId="0" borderId="14" xfId="0" applyNumberFormat="1" applyFont="1" applyFill="1" applyBorder="1" applyAlignment="1">
      <alignment horizontal="right"/>
    </xf>
    <xf numFmtId="3" fontId="15" fillId="0" borderId="0" xfId="0" applyNumberFormat="1" applyFont="1" applyFill="1" applyBorder="1" applyAlignment="1">
      <alignment horizontal="right"/>
    </xf>
    <xf numFmtId="3" fontId="15" fillId="5" borderId="0" xfId="0" applyNumberFormat="1" applyFont="1" applyFill="1" applyAlignment="1">
      <alignment horizontal="right"/>
    </xf>
    <xf numFmtId="3" fontId="15" fillId="5" borderId="6" xfId="0" applyNumberFormat="1" applyFont="1" applyFill="1" applyBorder="1" applyAlignment="1">
      <alignment horizontal="right"/>
    </xf>
    <xf numFmtId="3" fontId="15" fillId="0" borderId="14" xfId="0" applyNumberFormat="1" applyFont="1" applyBorder="1" applyAlignment="1">
      <alignment horizontal="right"/>
    </xf>
    <xf numFmtId="3" fontId="15" fillId="0" borderId="6" xfId="0" applyNumberFormat="1" applyFont="1" applyBorder="1" applyAlignment="1">
      <alignment horizontal="right"/>
    </xf>
    <xf numFmtId="168" fontId="15" fillId="0" borderId="14" xfId="1" applyNumberFormat="1" applyFont="1" applyBorder="1" applyAlignment="1">
      <alignment horizontal="right"/>
    </xf>
    <xf numFmtId="168" fontId="15" fillId="0" borderId="6" xfId="1" applyNumberFormat="1" applyFont="1" applyBorder="1" applyAlignment="1">
      <alignment horizontal="right"/>
    </xf>
    <xf numFmtId="3" fontId="15" fillId="0" borderId="6" xfId="0" applyNumberFormat="1" applyFont="1" applyFill="1" applyBorder="1" applyAlignment="1"/>
    <xf numFmtId="165" fontId="15" fillId="0" borderId="6" xfId="0" applyNumberFormat="1" applyFont="1" applyFill="1" applyBorder="1" applyAlignment="1">
      <alignment horizontal="right"/>
    </xf>
    <xf numFmtId="165" fontId="15" fillId="0" borderId="12" xfId="0" applyNumberFormat="1" applyFont="1" applyFill="1" applyBorder="1" applyAlignment="1">
      <alignment horizontal="right"/>
    </xf>
    <xf numFmtId="165" fontId="15" fillId="0" borderId="15" xfId="0" applyNumberFormat="1" applyFont="1" applyFill="1" applyBorder="1" applyAlignment="1">
      <alignment horizontal="right"/>
    </xf>
    <xf numFmtId="165" fontId="15" fillId="0" borderId="8" xfId="0" applyNumberFormat="1" applyFont="1" applyFill="1" applyBorder="1" applyAlignment="1">
      <alignment horizontal="right"/>
    </xf>
    <xf numFmtId="165" fontId="15" fillId="0" borderId="0" xfId="0" applyNumberFormat="1" applyFont="1" applyFill="1" applyBorder="1" applyAlignment="1">
      <alignment horizontal="right"/>
    </xf>
    <xf numFmtId="165" fontId="15" fillId="5" borderId="0" xfId="0" applyNumberFormat="1" applyFont="1" applyFill="1" applyAlignment="1"/>
    <xf numFmtId="165" fontId="15" fillId="5" borderId="0" xfId="0" applyNumberFormat="1" applyFont="1" applyFill="1" applyBorder="1" applyAlignment="1"/>
    <xf numFmtId="171" fontId="15" fillId="0" borderId="16" xfId="0" applyNumberFormat="1" applyFont="1" applyBorder="1" applyAlignment="1"/>
    <xf numFmtId="171" fontId="15" fillId="0" borderId="0" xfId="0" applyNumberFormat="1" applyFont="1" applyAlignment="1"/>
    <xf numFmtId="171" fontId="15" fillId="0" borderId="16" xfId="1" applyNumberFormat="1" applyFont="1" applyBorder="1" applyAlignment="1"/>
    <xf numFmtId="171" fontId="15" fillId="0" borderId="0" xfId="1" applyNumberFormat="1" applyFont="1" applyAlignment="1"/>
    <xf numFmtId="3" fontId="15" fillId="0" borderId="0" xfId="0" applyNumberFormat="1" applyFont="1" applyFill="1" applyAlignment="1"/>
    <xf numFmtId="165" fontId="15" fillId="0" borderId="0" xfId="0" applyNumberFormat="1" applyFont="1" applyFill="1" applyAlignment="1">
      <alignment horizontal="right"/>
    </xf>
    <xf numFmtId="165" fontId="15" fillId="0" borderId="16" xfId="0" applyNumberFormat="1" applyFont="1" applyFill="1" applyBorder="1" applyAlignment="1">
      <alignment horizontal="right"/>
    </xf>
    <xf numFmtId="3" fontId="15" fillId="9" borderId="0" xfId="0" applyNumberFormat="1" applyFont="1" applyFill="1" applyAlignment="1"/>
    <xf numFmtId="165" fontId="15" fillId="13" borderId="0" xfId="0" applyNumberFormat="1" applyFont="1" applyFill="1" applyBorder="1" applyAlignment="1">
      <alignment horizontal="right"/>
    </xf>
    <xf numFmtId="165" fontId="15" fillId="13" borderId="0" xfId="0" applyNumberFormat="1" applyFont="1" applyFill="1" applyAlignment="1">
      <alignment horizontal="right"/>
    </xf>
    <xf numFmtId="165" fontId="15" fillId="13" borderId="16" xfId="0" applyNumberFormat="1" applyFont="1" applyFill="1" applyBorder="1" applyAlignment="1">
      <alignment horizontal="right"/>
    </xf>
    <xf numFmtId="3" fontId="15" fillId="13" borderId="0" xfId="0" applyNumberFormat="1" applyFont="1" applyFill="1" applyBorder="1" applyAlignment="1"/>
    <xf numFmtId="165" fontId="15" fillId="0" borderId="14" xfId="0" applyNumberFormat="1" applyFont="1" applyFill="1" applyBorder="1" applyAlignment="1">
      <alignment horizontal="right"/>
    </xf>
    <xf numFmtId="165" fontId="15" fillId="5" borderId="6" xfId="0" applyNumberFormat="1" applyFont="1" applyFill="1" applyBorder="1" applyAlignment="1"/>
    <xf numFmtId="165" fontId="15" fillId="5" borderId="12" xfId="0" applyNumberFormat="1" applyFont="1" applyFill="1" applyBorder="1" applyAlignment="1"/>
    <xf numFmtId="171" fontId="15" fillId="0" borderId="14" xfId="0" applyNumberFormat="1" applyFont="1" applyBorder="1" applyAlignment="1"/>
    <xf numFmtId="171" fontId="15" fillId="0" borderId="6" xfId="0" applyNumberFormat="1" applyFont="1" applyBorder="1" applyAlignment="1"/>
    <xf numFmtId="171" fontId="15" fillId="0" borderId="12" xfId="0" applyNumberFormat="1" applyFont="1" applyBorder="1" applyAlignment="1"/>
    <xf numFmtId="171" fontId="15" fillId="0" borderId="14" xfId="1" applyNumberFormat="1" applyFont="1" applyBorder="1" applyAlignment="1"/>
    <xf numFmtId="171" fontId="15" fillId="0" borderId="6" xfId="1" applyNumberFormat="1" applyFont="1" applyBorder="1" applyAlignment="1"/>
    <xf numFmtId="165" fontId="15" fillId="0" borderId="0" xfId="0" applyNumberFormat="1" applyFont="1" applyFill="1" applyBorder="1" applyAlignment="1"/>
    <xf numFmtId="165" fontId="15" fillId="0" borderId="0" xfId="0" applyNumberFormat="1" applyFont="1" applyFill="1" applyAlignment="1"/>
    <xf numFmtId="165" fontId="15" fillId="0" borderId="16" xfId="0" applyNumberFormat="1" applyFont="1" applyFill="1" applyBorder="1" applyAlignment="1"/>
    <xf numFmtId="165" fontId="15" fillId="0" borderId="0" xfId="0" applyNumberFormat="1" applyFont="1" applyFill="1" applyBorder="1" applyAlignment="1">
      <alignment horizontal="center"/>
    </xf>
    <xf numFmtId="3" fontId="15" fillId="9" borderId="0" xfId="0" applyNumberFormat="1" applyFont="1" applyFill="1" applyAlignment="1">
      <alignment horizontal="left"/>
    </xf>
    <xf numFmtId="3" fontId="15" fillId="9" borderId="0" xfId="0" applyNumberFormat="1" applyFont="1" applyFill="1" applyAlignment="1">
      <alignment horizontal="center"/>
    </xf>
    <xf numFmtId="0" fontId="15" fillId="0" borderId="0" xfId="0" applyFont="1" applyFill="1" applyBorder="1" applyAlignment="1">
      <alignment horizontal="center" vertical="top" wrapText="1"/>
    </xf>
    <xf numFmtId="0" fontId="15" fillId="0" borderId="0" xfId="0" applyNumberFormat="1" applyFont="1" applyAlignment="1">
      <alignment horizontal="center"/>
    </xf>
    <xf numFmtId="165" fontId="15" fillId="13" borderId="0" xfId="0" applyNumberFormat="1" applyFont="1" applyFill="1" applyBorder="1" applyAlignment="1"/>
    <xf numFmtId="165" fontId="15" fillId="13" borderId="0" xfId="0" applyNumberFormat="1" applyFont="1" applyFill="1" applyAlignment="1"/>
    <xf numFmtId="165" fontId="15" fillId="13" borderId="16" xfId="0" applyNumberFormat="1" applyFont="1" applyFill="1" applyBorder="1" applyAlignment="1"/>
    <xf numFmtId="0" fontId="15" fillId="0" borderId="0" xfId="0" applyFont="1" applyFill="1" applyBorder="1" applyAlignment="1">
      <alignment horizontal="left" vertical="top" wrapText="1"/>
    </xf>
    <xf numFmtId="0" fontId="15" fillId="0" borderId="0" xfId="0" applyNumberFormat="1" applyFont="1" applyAlignment="1"/>
    <xf numFmtId="0" fontId="15" fillId="0" borderId="0" xfId="0" applyNumberFormat="1" applyFont="1" applyBorder="1" applyAlignment="1"/>
    <xf numFmtId="3" fontId="15" fillId="13" borderId="6" xfId="0" applyNumberFormat="1" applyFont="1" applyFill="1" applyBorder="1" applyAlignment="1"/>
    <xf numFmtId="165" fontId="15" fillId="13" borderId="6" xfId="0" applyNumberFormat="1" applyFont="1" applyFill="1" applyBorder="1" applyAlignment="1" applyProtection="1"/>
    <xf numFmtId="165" fontId="15" fillId="13" borderId="6" xfId="0" applyNumberFormat="1" applyFont="1" applyFill="1" applyBorder="1" applyAlignment="1">
      <alignment vertical="top" wrapText="1"/>
    </xf>
    <xf numFmtId="165" fontId="15" fillId="13" borderId="6" xfId="0" applyNumberFormat="1" applyFont="1" applyFill="1" applyBorder="1" applyAlignment="1"/>
    <xf numFmtId="165" fontId="15" fillId="13" borderId="14" xfId="0" applyNumberFormat="1" applyFont="1" applyFill="1" applyBorder="1" applyAlignment="1"/>
    <xf numFmtId="165" fontId="15" fillId="0" borderId="0" xfId="0" applyNumberFormat="1" applyFont="1" applyFill="1" applyBorder="1" applyAlignment="1" applyProtection="1"/>
    <xf numFmtId="165" fontId="15" fillId="0" borderId="17" xfId="0" applyNumberFormat="1" applyFont="1" applyFill="1" applyBorder="1" applyAlignment="1"/>
    <xf numFmtId="171" fontId="15" fillId="0" borderId="0" xfId="0" applyNumberFormat="1" applyFont="1" applyBorder="1" applyAlignment="1"/>
    <xf numFmtId="171" fontId="15" fillId="0" borderId="10" xfId="0" applyNumberFormat="1" applyFont="1" applyBorder="1" applyAlignment="1"/>
    <xf numFmtId="3" fontId="15" fillId="9" borderId="6" xfId="0" applyNumberFormat="1" applyFont="1" applyFill="1" applyBorder="1" applyAlignment="1"/>
    <xf numFmtId="165" fontId="15" fillId="0" borderId="0" xfId="0" applyNumberFormat="1" applyFont="1" applyFill="1" applyBorder="1" applyAlignment="1">
      <alignment vertical="top" wrapText="1"/>
    </xf>
    <xf numFmtId="165" fontId="15" fillId="13" borderId="0" xfId="0" applyNumberFormat="1" applyFont="1" applyFill="1" applyBorder="1" applyAlignment="1" applyProtection="1"/>
    <xf numFmtId="165" fontId="15" fillId="13" borderId="0" xfId="0" applyNumberFormat="1" applyFont="1" applyFill="1" applyBorder="1" applyAlignment="1">
      <alignment vertical="top" wrapText="1"/>
    </xf>
    <xf numFmtId="3" fontId="15" fillId="0" borderId="0" xfId="0" applyNumberFormat="1" applyFont="1" applyFill="1" applyBorder="1" applyAlignment="1"/>
    <xf numFmtId="165" fontId="15" fillId="0" borderId="0" xfId="0" applyNumberFormat="1" applyFont="1" applyFill="1" applyBorder="1" applyAlignment="1">
      <alignment vertical="top"/>
    </xf>
    <xf numFmtId="165" fontId="15" fillId="0" borderId="6" xfId="0" applyNumberFormat="1" applyFont="1" applyFill="1" applyBorder="1" applyAlignment="1">
      <alignment vertical="top"/>
    </xf>
    <xf numFmtId="165" fontId="15" fillId="0" borderId="6" xfId="0" applyNumberFormat="1" applyFont="1" applyFill="1" applyBorder="1" applyAlignment="1">
      <alignment vertical="top" wrapText="1"/>
    </xf>
    <xf numFmtId="165" fontId="15" fillId="0" borderId="14" xfId="0" applyNumberFormat="1" applyFont="1" applyFill="1" applyBorder="1" applyAlignment="1"/>
    <xf numFmtId="165" fontId="15" fillId="0" borderId="6" xfId="0" applyNumberFormat="1" applyFont="1" applyFill="1" applyBorder="1" applyAlignment="1"/>
    <xf numFmtId="3" fontId="15" fillId="13" borderId="8" xfId="0" applyNumberFormat="1" applyFont="1" applyFill="1" applyBorder="1" applyAlignment="1"/>
    <xf numFmtId="165" fontId="15" fillId="13" borderId="8" xfId="0" applyNumberFormat="1" applyFont="1" applyFill="1" applyBorder="1" applyAlignment="1">
      <alignment vertical="top"/>
    </xf>
    <xf numFmtId="165" fontId="15" fillId="13" borderId="8" xfId="0" applyNumberFormat="1" applyFont="1" applyFill="1" applyBorder="1" applyAlignment="1">
      <alignment vertical="top" wrapText="1"/>
    </xf>
    <xf numFmtId="165" fontId="15" fillId="13" borderId="15" xfId="0" applyNumberFormat="1" applyFont="1" applyFill="1" applyBorder="1" applyAlignment="1"/>
    <xf numFmtId="165" fontId="15" fillId="13" borderId="8" xfId="0" applyNumberFormat="1" applyFont="1" applyFill="1" applyBorder="1" applyAlignment="1"/>
    <xf numFmtId="3" fontId="15" fillId="0" borderId="0" xfId="0" applyNumberFormat="1" applyFont="1" applyFill="1" applyBorder="1" applyAlignment="1">
      <alignment horizontal="left" vertical="top" wrapText="1"/>
    </xf>
    <xf numFmtId="165" fontId="15" fillId="5" borderId="8" xfId="0" applyNumberFormat="1" applyFont="1" applyFill="1" applyBorder="1" applyAlignment="1"/>
    <xf numFmtId="165" fontId="15" fillId="5" borderId="18" xfId="0" applyNumberFormat="1" applyFont="1" applyFill="1" applyBorder="1" applyAlignment="1"/>
    <xf numFmtId="171" fontId="15" fillId="0" borderId="15" xfId="0" applyNumberFormat="1" applyFont="1" applyBorder="1" applyAlignment="1"/>
    <xf numFmtId="171" fontId="15" fillId="0" borderId="8" xfId="0" applyNumberFormat="1" applyFont="1" applyBorder="1" applyAlignment="1"/>
    <xf numFmtId="171" fontId="15" fillId="0" borderId="18" xfId="0" applyNumberFormat="1" applyFont="1" applyBorder="1" applyAlignment="1"/>
    <xf numFmtId="0" fontId="15" fillId="0" borderId="0" xfId="0" applyNumberFormat="1" applyFont="1" applyFill="1" applyAlignment="1"/>
    <xf numFmtId="0" fontId="15" fillId="0" borderId="0" xfId="0" applyNumberFormat="1" applyFont="1" applyFill="1" applyBorder="1" applyAlignment="1"/>
    <xf numFmtId="168" fontId="15" fillId="0" borderId="0" xfId="1" applyNumberFormat="1" applyFont="1" applyFill="1" applyAlignment="1"/>
    <xf numFmtId="3" fontId="15" fillId="0" borderId="0" xfId="0" applyNumberFormat="1" applyFont="1" applyFill="1" applyBorder="1" applyAlignment="1">
      <alignment horizontal="left" vertical="top"/>
    </xf>
    <xf numFmtId="0" fontId="15" fillId="0" borderId="0" xfId="0" applyFont="1" applyFill="1" applyBorder="1" applyAlignment="1" applyProtection="1">
      <alignment horizontal="left"/>
    </xf>
    <xf numFmtId="3" fontId="15" fillId="0" borderId="0" xfId="0" quotePrefix="1" applyNumberFormat="1" applyFont="1" applyBorder="1" applyAlignment="1">
      <alignment horizontal="right" vertical="top"/>
    </xf>
    <xf numFmtId="165" fontId="15" fillId="0" borderId="0" xfId="0" applyNumberFormat="1" applyFont="1" applyFill="1" applyBorder="1" applyAlignment="1">
      <alignment horizontal="right" vertical="top" wrapText="1"/>
    </xf>
    <xf numFmtId="0" fontId="15" fillId="0" borderId="0" xfId="0" applyNumberFormat="1" applyFont="1" applyAlignment="1">
      <alignment horizontal="left" vertical="top"/>
    </xf>
    <xf numFmtId="17" fontId="15" fillId="0" borderId="0" xfId="0" applyNumberFormat="1" applyFont="1" applyBorder="1" applyAlignment="1">
      <alignment horizontal="right" vertical="top"/>
    </xf>
    <xf numFmtId="169" fontId="26" fillId="0" borderId="0" xfId="0" applyNumberFormat="1" applyFont="1" applyBorder="1" applyAlignment="1">
      <alignment horizontal="centerContinuous"/>
    </xf>
    <xf numFmtId="37" fontId="59" fillId="0" borderId="0" xfId="0" applyNumberFormat="1" applyFont="1" applyBorder="1" applyAlignment="1" applyProtection="1">
      <alignment horizontal="right" vertical="center"/>
    </xf>
    <xf numFmtId="9" fontId="59" fillId="10" borderId="16" xfId="0" applyNumberFormat="1" applyFont="1" applyFill="1" applyBorder="1" applyAlignment="1">
      <alignment vertical="center"/>
    </xf>
    <xf numFmtId="167" fontId="15" fillId="0" borderId="0" xfId="1" applyNumberFormat="1" applyFont="1" applyBorder="1" applyAlignment="1">
      <alignment horizontal="center"/>
    </xf>
    <xf numFmtId="167" fontId="63" fillId="0" borderId="16" xfId="0" applyNumberFormat="1" applyFont="1" applyBorder="1" applyAlignment="1"/>
    <xf numFmtId="167" fontId="63" fillId="0" borderId="0" xfId="0" applyNumberFormat="1" applyFont="1" applyBorder="1" applyAlignment="1"/>
    <xf numFmtId="3" fontId="15" fillId="0" borderId="3" xfId="1" applyNumberFormat="1" applyFont="1" applyBorder="1"/>
    <xf numFmtId="164" fontId="58" fillId="0" borderId="17" xfId="0" applyNumberFormat="1" applyFont="1" applyBorder="1" applyAlignment="1">
      <alignment vertical="center"/>
    </xf>
    <xf numFmtId="164" fontId="58" fillId="0" borderId="4" xfId="0" applyNumberFormat="1" applyFont="1" applyBorder="1" applyAlignment="1">
      <alignment vertical="center"/>
    </xf>
    <xf numFmtId="164" fontId="58" fillId="0" borderId="0" xfId="0" applyNumberFormat="1" applyFont="1" applyBorder="1" applyAlignment="1">
      <alignment vertical="center"/>
    </xf>
    <xf numFmtId="164" fontId="58" fillId="0" borderId="16" xfId="0" applyNumberFormat="1" applyFont="1" applyBorder="1" applyAlignment="1">
      <alignment vertical="center"/>
    </xf>
    <xf numFmtId="10" fontId="58" fillId="0" borderId="0" xfId="0" applyNumberFormat="1" applyFont="1" applyBorder="1" applyAlignment="1">
      <alignment vertical="center"/>
    </xf>
    <xf numFmtId="10" fontId="58" fillId="0" borderId="16" xfId="0" applyNumberFormat="1" applyFont="1" applyBorder="1" applyAlignment="1">
      <alignment vertical="center"/>
    </xf>
    <xf numFmtId="164" fontId="58" fillId="0" borderId="10" xfId="0" applyNumberFormat="1" applyFont="1" applyBorder="1" applyAlignment="1">
      <alignment vertical="center"/>
    </xf>
    <xf numFmtId="164" fontId="34" fillId="0" borderId="17" xfId="0" applyNumberFormat="1" applyFont="1" applyBorder="1" applyAlignment="1">
      <alignment vertical="center"/>
    </xf>
    <xf numFmtId="167" fontId="58" fillId="0" borderId="0" xfId="1" applyNumberFormat="1" applyFont="1"/>
    <xf numFmtId="167" fontId="61" fillId="0" borderId="17" xfId="1" applyNumberFormat="1" applyFont="1" applyBorder="1" applyAlignment="1">
      <alignment horizontal="center"/>
    </xf>
    <xf numFmtId="167" fontId="15" fillId="0" borderId="4" xfId="1" applyNumberFormat="1" applyFont="1" applyBorder="1"/>
    <xf numFmtId="0" fontId="15" fillId="6" borderId="4" xfId="0" applyFont="1" applyFill="1" applyBorder="1" applyAlignment="1"/>
    <xf numFmtId="167" fontId="58" fillId="0" borderId="4" xfId="1" applyNumberFormat="1" applyFont="1" applyBorder="1"/>
    <xf numFmtId="167" fontId="58" fillId="0" borderId="17" xfId="1" applyNumberFormat="1" applyFont="1" applyBorder="1"/>
    <xf numFmtId="167" fontId="58" fillId="0" borderId="16" xfId="1" applyNumberFormat="1" applyFont="1" applyBorder="1"/>
    <xf numFmtId="167" fontId="15" fillId="0" borderId="17" xfId="1" applyNumberFormat="1" applyFont="1" applyBorder="1"/>
    <xf numFmtId="167" fontId="15" fillId="0" borderId="16" xfId="1" applyNumberFormat="1" applyFont="1" applyBorder="1"/>
    <xf numFmtId="167" fontId="15" fillId="0" borderId="14" xfId="1" applyNumberFormat="1" applyFont="1" applyBorder="1"/>
    <xf numFmtId="9" fontId="58" fillId="0" borderId="0" xfId="3" applyFont="1" applyAlignment="1"/>
    <xf numFmtId="9" fontId="58" fillId="0" borderId="14" xfId="3" applyFont="1" applyBorder="1" applyAlignment="1"/>
    <xf numFmtId="9" fontId="58" fillId="0" borderId="6" xfId="3" applyFont="1" applyBorder="1" applyAlignment="1"/>
    <xf numFmtId="9" fontId="58" fillId="0" borderId="12" xfId="3" applyFont="1" applyBorder="1" applyAlignment="1"/>
    <xf numFmtId="171" fontId="15" fillId="0" borderId="16" xfId="0" applyNumberFormat="1" applyFont="1" applyFill="1" applyBorder="1" applyAlignment="1"/>
    <xf numFmtId="171" fontId="15" fillId="0" borderId="0" xfId="0" applyNumberFormat="1" applyFont="1" applyFill="1" applyAlignment="1"/>
    <xf numFmtId="167" fontId="15" fillId="0" borderId="21" xfId="1" applyNumberFormat="1" applyFont="1" applyBorder="1"/>
    <xf numFmtId="167" fontId="15" fillId="0" borderId="10" xfId="1" applyNumberFormat="1" applyFont="1" applyBorder="1"/>
    <xf numFmtId="167" fontId="58" fillId="0" borderId="6" xfId="1" applyNumberFormat="1" applyFont="1" applyBorder="1"/>
    <xf numFmtId="167" fontId="58" fillId="0" borderId="14" xfId="1" applyNumberFormat="1" applyFont="1" applyBorder="1"/>
    <xf numFmtId="167" fontId="15" fillId="0" borderId="6" xfId="1" applyNumberFormat="1" applyFont="1" applyBorder="1"/>
    <xf numFmtId="167" fontId="15" fillId="0" borderId="12" xfId="1" applyNumberFormat="1" applyFont="1" applyBorder="1"/>
    <xf numFmtId="167" fontId="58" fillId="0" borderId="21" xfId="1" applyNumberFormat="1" applyFont="1" applyBorder="1"/>
    <xf numFmtId="167" fontId="58" fillId="0" borderId="10" xfId="1" applyNumberFormat="1" applyFont="1" applyBorder="1"/>
    <xf numFmtId="167" fontId="58" fillId="0" borderId="12" xfId="1" applyNumberFormat="1" applyFont="1" applyBorder="1"/>
    <xf numFmtId="9" fontId="58" fillId="0" borderId="17" xfId="3" applyFont="1" applyBorder="1"/>
    <xf numFmtId="9" fontId="58" fillId="0" borderId="0" xfId="3" applyFont="1"/>
    <xf numFmtId="9" fontId="58" fillId="0" borderId="21" xfId="3" applyFont="1" applyBorder="1"/>
    <xf numFmtId="9" fontId="58" fillId="0" borderId="16" xfId="3" applyFont="1" applyBorder="1"/>
    <xf numFmtId="9" fontId="58" fillId="0" borderId="10" xfId="3" applyFont="1" applyBorder="1"/>
    <xf numFmtId="9" fontId="58" fillId="0" borderId="14" xfId="3" applyFont="1" applyBorder="1"/>
    <xf numFmtId="9" fontId="58" fillId="0" borderId="6" xfId="3" applyFont="1" applyBorder="1"/>
    <xf numFmtId="9" fontId="58" fillId="0" borderId="12" xfId="3" applyFont="1" applyBorder="1"/>
    <xf numFmtId="9" fontId="58" fillId="0" borderId="17" xfId="1" applyNumberFormat="1" applyFont="1" applyBorder="1"/>
    <xf numFmtId="9" fontId="58" fillId="0" borderId="0" xfId="1" applyNumberFormat="1" applyFont="1"/>
    <xf numFmtId="9" fontId="58" fillId="0" borderId="21" xfId="1" applyNumberFormat="1" applyFont="1" applyBorder="1"/>
    <xf numFmtId="9" fontId="58" fillId="0" borderId="16" xfId="1" applyNumberFormat="1" applyFont="1" applyBorder="1"/>
    <xf numFmtId="9" fontId="58" fillId="0" borderId="10" xfId="1" applyNumberFormat="1" applyFont="1" applyBorder="1"/>
    <xf numFmtId="9" fontId="58" fillId="0" borderId="14" xfId="1" applyNumberFormat="1" applyFont="1" applyBorder="1"/>
    <xf numFmtId="9" fontId="58" fillId="0" borderId="6" xfId="1" applyNumberFormat="1" applyFont="1" applyBorder="1"/>
    <xf numFmtId="9" fontId="58" fillId="0" borderId="12" xfId="1" applyNumberFormat="1" applyFont="1" applyBorder="1"/>
    <xf numFmtId="171" fontId="15" fillId="0" borderId="16" xfId="1" applyNumberFormat="1" applyFont="1" applyFill="1" applyBorder="1" applyAlignment="1"/>
    <xf numFmtId="171" fontId="15" fillId="0" borderId="0" xfId="1" applyNumberFormat="1" applyFont="1" applyFill="1" applyAlignment="1"/>
    <xf numFmtId="171" fontId="15" fillId="0" borderId="14" xfId="1" applyNumberFormat="1" applyFont="1" applyFill="1" applyBorder="1" applyAlignment="1"/>
    <xf numFmtId="171" fontId="15" fillId="0" borderId="6" xfId="1" applyNumberFormat="1" applyFont="1" applyFill="1" applyBorder="1" applyAlignment="1"/>
    <xf numFmtId="171" fontId="15" fillId="0" borderId="15" xfId="1" applyNumberFormat="1" applyFont="1" applyFill="1" applyBorder="1" applyAlignment="1"/>
    <xf numFmtId="171" fontId="15" fillId="0" borderId="8" xfId="1" applyNumberFormat="1" applyFont="1" applyFill="1" applyBorder="1" applyAlignment="1"/>
    <xf numFmtId="3" fontId="15" fillId="0" borderId="0" xfId="0" applyNumberFormat="1" applyFont="1" applyAlignment="1">
      <alignment vertical="top"/>
    </xf>
    <xf numFmtId="171" fontId="15" fillId="14" borderId="16" xfId="1" applyNumberFormat="1" applyFont="1" applyFill="1" applyBorder="1" applyAlignment="1"/>
    <xf numFmtId="171" fontId="15" fillId="14" borderId="0" xfId="1" applyNumberFormat="1" applyFont="1" applyFill="1" applyAlignment="1"/>
    <xf numFmtId="0" fontId="64" fillId="0" borderId="4" xfId="0" applyFont="1" applyBorder="1" applyAlignment="1"/>
    <xf numFmtId="167" fontId="42" fillId="0" borderId="17" xfId="1" applyNumberFormat="1" applyFont="1" applyFill="1" applyBorder="1" applyAlignment="1">
      <alignment vertical="center"/>
    </xf>
    <xf numFmtId="167" fontId="42" fillId="0" borderId="4" xfId="1" applyNumberFormat="1" applyFont="1" applyFill="1" applyBorder="1" applyAlignment="1">
      <alignment vertical="center"/>
    </xf>
    <xf numFmtId="167" fontId="42" fillId="0" borderId="22" xfId="1" applyNumberFormat="1" applyFont="1" applyFill="1" applyBorder="1" applyAlignment="1">
      <alignment vertical="center"/>
    </xf>
    <xf numFmtId="167" fontId="42" fillId="0" borderId="16" xfId="1" applyNumberFormat="1" applyFont="1" applyFill="1" applyBorder="1" applyAlignment="1">
      <alignment vertical="center"/>
    </xf>
    <xf numFmtId="167" fontId="42" fillId="0" borderId="0" xfId="1" applyNumberFormat="1" applyFont="1" applyFill="1" applyBorder="1" applyAlignment="1">
      <alignment vertical="center"/>
    </xf>
    <xf numFmtId="167" fontId="42" fillId="0" borderId="23" xfId="1" applyNumberFormat="1" applyFont="1" applyFill="1" applyBorder="1" applyAlignment="1">
      <alignment vertical="center"/>
    </xf>
    <xf numFmtId="167" fontId="42" fillId="0" borderId="14" xfId="1" applyNumberFormat="1" applyFont="1" applyFill="1" applyBorder="1" applyAlignment="1">
      <alignment vertical="center"/>
    </xf>
    <xf numFmtId="167" fontId="42" fillId="0" borderId="6" xfId="1" applyNumberFormat="1" applyFont="1" applyFill="1" applyBorder="1" applyAlignment="1">
      <alignment vertical="center"/>
    </xf>
    <xf numFmtId="167" fontId="42" fillId="0" borderId="19" xfId="1" applyNumberFormat="1" applyFont="1" applyFill="1" applyBorder="1" applyAlignment="1">
      <alignment vertical="center"/>
    </xf>
    <xf numFmtId="167" fontId="15" fillId="0" borderId="4" xfId="1" applyNumberFormat="1" applyFont="1" applyFill="1" applyBorder="1"/>
    <xf numFmtId="167" fontId="15" fillId="0" borderId="17" xfId="1" applyNumberFormat="1" applyFont="1" applyFill="1" applyBorder="1"/>
    <xf numFmtId="167" fontId="15" fillId="0" borderId="0" xfId="1" applyNumberFormat="1" applyFont="1" applyFill="1"/>
    <xf numFmtId="167" fontId="15" fillId="0" borderId="16" xfId="1" applyNumberFormat="1" applyFont="1" applyFill="1" applyBorder="1"/>
    <xf numFmtId="167" fontId="58" fillId="0" borderId="4" xfId="1" applyNumberFormat="1" applyFont="1" applyFill="1" applyBorder="1"/>
    <xf numFmtId="167" fontId="58" fillId="0" borderId="17" xfId="1" applyNumberFormat="1" applyFont="1" applyFill="1" applyBorder="1"/>
    <xf numFmtId="167" fontId="58" fillId="0" borderId="0" xfId="1" applyNumberFormat="1" applyFont="1" applyFill="1"/>
    <xf numFmtId="167" fontId="58" fillId="0" borderId="16" xfId="1" applyNumberFormat="1" applyFont="1" applyFill="1" applyBorder="1"/>
    <xf numFmtId="167" fontId="15" fillId="0" borderId="14" xfId="1" applyNumberFormat="1" applyFont="1" applyFill="1" applyBorder="1"/>
    <xf numFmtId="171" fontId="15" fillId="14" borderId="16" xfId="0" applyNumberFormat="1" applyFont="1" applyFill="1" applyBorder="1" applyAlignment="1"/>
    <xf numFmtId="171" fontId="15" fillId="14" borderId="0" xfId="0" applyNumberFormat="1" applyFont="1" applyFill="1" applyAlignment="1"/>
    <xf numFmtId="0" fontId="65" fillId="14" borderId="0" xfId="0" applyFont="1" applyFill="1" applyBorder="1" applyAlignment="1"/>
    <xf numFmtId="37" fontId="42" fillId="14" borderId="4" xfId="0" applyNumberFormat="1" applyFont="1" applyFill="1" applyBorder="1" applyAlignment="1" applyProtection="1">
      <alignment vertical="center"/>
    </xf>
    <xf numFmtId="167" fontId="58" fillId="0" borderId="21" xfId="1" applyNumberFormat="1" applyFont="1" applyFill="1" applyBorder="1"/>
    <xf numFmtId="167" fontId="58" fillId="0" borderId="10" xfId="1" applyNumberFormat="1" applyFont="1" applyFill="1" applyBorder="1"/>
    <xf numFmtId="167" fontId="15" fillId="0" borderId="6" xfId="1" applyNumberFormat="1" applyFont="1" applyFill="1" applyBorder="1"/>
    <xf numFmtId="167" fontId="58" fillId="0" borderId="14" xfId="1" applyNumberFormat="1" applyFont="1" applyFill="1" applyBorder="1"/>
    <xf numFmtId="167" fontId="58" fillId="0" borderId="6" xfId="1" applyNumberFormat="1" applyFont="1" applyFill="1" applyBorder="1"/>
    <xf numFmtId="167" fontId="58" fillId="0" borderId="12" xfId="1" applyNumberFormat="1" applyFont="1" applyFill="1" applyBorder="1"/>
    <xf numFmtId="0" fontId="15" fillId="0" borderId="3" xfId="0" applyNumberFormat="1" applyFont="1" applyFill="1" applyBorder="1" applyAlignment="1"/>
    <xf numFmtId="0" fontId="26" fillId="0" borderId="12" xfId="0" applyFont="1" applyFill="1" applyBorder="1" applyAlignment="1"/>
    <xf numFmtId="168" fontId="65" fillId="0" borderId="0" xfId="1" applyNumberFormat="1" applyFont="1" applyBorder="1" applyAlignment="1"/>
    <xf numFmtId="0" fontId="15" fillId="0" borderId="0" xfId="0" applyFont="1" applyAlignment="1">
      <alignment wrapText="1"/>
    </xf>
    <xf numFmtId="0" fontId="64" fillId="0" borderId="4" xfId="0" applyFont="1" applyFill="1" applyBorder="1" applyAlignment="1"/>
    <xf numFmtId="0" fontId="15" fillId="0" borderId="6" xfId="0" applyFont="1" applyFill="1" applyBorder="1" applyAlignment="1"/>
    <xf numFmtId="0" fontId="15" fillId="0" borderId="8" xfId="0" applyFont="1" applyFill="1" applyBorder="1" applyAlignment="1"/>
    <xf numFmtId="37" fontId="42" fillId="0" borderId="4" xfId="0" applyNumberFormat="1" applyFont="1" applyFill="1" applyBorder="1" applyAlignment="1" applyProtection="1">
      <alignment vertical="center"/>
    </xf>
    <xf numFmtId="37" fontId="42" fillId="0" borderId="0" xfId="0" applyNumberFormat="1" applyFont="1" applyFill="1" applyBorder="1" applyAlignment="1" applyProtection="1">
      <alignment vertical="center"/>
    </xf>
    <xf numFmtId="37" fontId="59" fillId="0" borderId="0" xfId="0" applyNumberFormat="1" applyFont="1" applyFill="1" applyBorder="1" applyAlignment="1" applyProtection="1">
      <alignment vertical="center"/>
    </xf>
    <xf numFmtId="37" fontId="42" fillId="0" borderId="12" xfId="0" applyNumberFormat="1" applyFont="1" applyFill="1" applyBorder="1" applyAlignment="1" applyProtection="1">
      <alignment vertical="center"/>
    </xf>
    <xf numFmtId="37" fontId="42" fillId="0" borderId="0" xfId="0" applyNumberFormat="1" applyFont="1" applyFill="1" applyAlignment="1" applyProtection="1">
      <alignment vertical="center"/>
    </xf>
    <xf numFmtId="37" fontId="42" fillId="0" borderId="6" xfId="0" applyNumberFormat="1" applyFont="1" applyFill="1" applyBorder="1" applyAlignment="1" applyProtection="1">
      <alignment vertical="center"/>
    </xf>
    <xf numFmtId="0" fontId="0" fillId="0" borderId="0" xfId="0" applyFill="1" applyAlignment="1"/>
    <xf numFmtId="167" fontId="15" fillId="0" borderId="6" xfId="1" applyNumberFormat="1" applyFont="1" applyFill="1" applyBorder="1" applyAlignment="1">
      <alignment horizontal="centerContinuous"/>
    </xf>
    <xf numFmtId="0" fontId="26" fillId="0" borderId="0" xfId="0" applyFont="1" applyFill="1" applyAlignment="1"/>
    <xf numFmtId="167" fontId="51" fillId="0" borderId="15" xfId="1" applyNumberFormat="1" applyFont="1" applyFill="1" applyBorder="1" applyAlignment="1" applyProtection="1">
      <alignment horizontal="centerContinuous"/>
    </xf>
    <xf numFmtId="167" fontId="51" fillId="0" borderId="14" xfId="1" applyNumberFormat="1" applyFont="1" applyFill="1" applyBorder="1" applyAlignment="1" applyProtection="1">
      <alignment horizontal="centerContinuous"/>
    </xf>
    <xf numFmtId="167" fontId="48" fillId="0" borderId="15" xfId="1" applyNumberFormat="1" applyFont="1" applyFill="1" applyBorder="1" applyAlignment="1">
      <alignment horizontal="center"/>
    </xf>
    <xf numFmtId="167" fontId="61" fillId="0" borderId="17" xfId="1" applyNumberFormat="1" applyFont="1" applyFill="1" applyBorder="1" applyAlignment="1">
      <alignment horizontal="center"/>
    </xf>
    <xf numFmtId="167" fontId="68" fillId="0" borderId="16" xfId="1" applyNumberFormat="1" applyFont="1" applyBorder="1" applyAlignment="1">
      <alignment vertical="center"/>
    </xf>
    <xf numFmtId="167" fontId="68" fillId="0" borderId="0" xfId="1" applyNumberFormat="1" applyFont="1" applyBorder="1" applyAlignment="1">
      <alignment vertical="center"/>
    </xf>
    <xf numFmtId="167" fontId="69" fillId="0" borderId="0" xfId="1" applyNumberFormat="1" applyFont="1"/>
    <xf numFmtId="167" fontId="68" fillId="0" borderId="23" xfId="1" applyNumberFormat="1" applyFont="1" applyBorder="1" applyAlignment="1">
      <alignment vertical="center"/>
    </xf>
    <xf numFmtId="9" fontId="68" fillId="0" borderId="0" xfId="0" applyNumberFormat="1" applyFont="1" applyBorder="1" applyAlignment="1">
      <alignment vertical="center"/>
    </xf>
    <xf numFmtId="167" fontId="68" fillId="0" borderId="10" xfId="1" applyNumberFormat="1" applyFont="1" applyBorder="1" applyAlignment="1">
      <alignment vertical="center"/>
    </xf>
    <xf numFmtId="167" fontId="70" fillId="0" borderId="0" xfId="1" applyNumberFormat="1" applyFont="1"/>
    <xf numFmtId="3" fontId="72" fillId="0" borderId="0" xfId="0" applyNumberFormat="1" applyFont="1" applyAlignment="1">
      <alignment horizontal="center"/>
    </xf>
    <xf numFmtId="3" fontId="72" fillId="0" borderId="0" xfId="0" applyNumberFormat="1" applyFont="1" applyFill="1" applyBorder="1" applyAlignment="1">
      <alignment horizontal="center"/>
    </xf>
    <xf numFmtId="3" fontId="72" fillId="0" borderId="0" xfId="0" applyNumberFormat="1" applyFont="1" applyFill="1" applyAlignment="1">
      <alignment horizontal="center"/>
    </xf>
    <xf numFmtId="3" fontId="72" fillId="0" borderId="0" xfId="0" applyNumberFormat="1" applyFont="1" applyAlignment="1"/>
    <xf numFmtId="3" fontId="72" fillId="0" borderId="0" xfId="0" applyNumberFormat="1" applyFont="1" applyBorder="1" applyAlignment="1"/>
    <xf numFmtId="0" fontId="72" fillId="0" borderId="0" xfId="0" applyFont="1" applyBorder="1" applyAlignment="1"/>
    <xf numFmtId="0" fontId="72" fillId="0" borderId="0" xfId="0" applyFont="1" applyAlignment="1"/>
    <xf numFmtId="168" fontId="72" fillId="0" borderId="0" xfId="1" applyNumberFormat="1" applyFont="1" applyAlignment="1"/>
    <xf numFmtId="3" fontId="72" fillId="0" borderId="0" xfId="0" applyNumberFormat="1" applyFont="1" applyAlignment="1">
      <alignment horizontal="left" vertical="top"/>
    </xf>
    <xf numFmtId="0" fontId="72" fillId="0" borderId="0" xfId="0" applyFont="1" applyFill="1" applyBorder="1" applyAlignment="1">
      <alignment wrapText="1"/>
    </xf>
    <xf numFmtId="0" fontId="72" fillId="0" borderId="0" xfId="0" applyFont="1" applyFill="1" applyAlignment="1">
      <alignment wrapText="1"/>
    </xf>
    <xf numFmtId="0" fontId="72" fillId="0" borderId="0" xfId="0" applyFont="1" applyFill="1" applyBorder="1" applyAlignment="1"/>
    <xf numFmtId="3" fontId="72" fillId="0" borderId="0" xfId="0" applyNumberFormat="1" applyFont="1" applyFill="1" applyAlignment="1">
      <alignment wrapText="1"/>
    </xf>
    <xf numFmtId="3" fontId="72" fillId="0" borderId="0" xfId="0" applyNumberFormat="1" applyFont="1" applyBorder="1" applyAlignment="1">
      <alignment horizontal="center"/>
    </xf>
    <xf numFmtId="3" fontId="72" fillId="0" borderId="6" xfId="0" applyNumberFormat="1" applyFont="1" applyFill="1" applyBorder="1" applyAlignment="1">
      <alignment horizontal="center"/>
    </xf>
    <xf numFmtId="3" fontId="73" fillId="0" borderId="15" xfId="0" applyNumberFormat="1" applyFont="1" applyBorder="1" applyAlignment="1"/>
    <xf numFmtId="3" fontId="73" fillId="0" borderId="8" xfId="0" applyNumberFormat="1" applyFont="1" applyBorder="1" applyAlignment="1">
      <alignment horizontal="center"/>
    </xf>
    <xf numFmtId="0" fontId="73" fillId="0" borderId="18" xfId="0" applyFont="1" applyBorder="1" applyAlignment="1"/>
    <xf numFmtId="3" fontId="72" fillId="0" borderId="1" xfId="0" applyNumberFormat="1" applyFont="1" applyBorder="1" applyAlignment="1">
      <alignment horizontal="center"/>
    </xf>
    <xf numFmtId="3" fontId="72" fillId="0" borderId="1" xfId="0" applyNumberFormat="1" applyFont="1" applyFill="1" applyBorder="1" applyAlignment="1">
      <alignment horizontal="centerContinuous"/>
    </xf>
    <xf numFmtId="0" fontId="72" fillId="0" borderId="0" xfId="0" applyFont="1" applyFill="1" applyBorder="1" applyAlignment="1">
      <alignment horizontal="centerContinuous"/>
    </xf>
    <xf numFmtId="3" fontId="72" fillId="0" borderId="35" xfId="0" applyNumberFormat="1" applyFont="1" applyFill="1" applyBorder="1" applyAlignment="1">
      <alignment horizontal="centerContinuous"/>
    </xf>
    <xf numFmtId="0" fontId="74" fillId="14" borderId="0" xfId="0" applyFont="1" applyFill="1" applyBorder="1" applyAlignment="1"/>
    <xf numFmtId="168" fontId="74" fillId="0" borderId="0" xfId="1" applyNumberFormat="1" applyFont="1" applyBorder="1" applyAlignment="1"/>
    <xf numFmtId="3" fontId="72" fillId="0" borderId="1" xfId="0" applyNumberFormat="1" applyFont="1" applyFill="1" applyBorder="1" applyAlignment="1">
      <alignment horizontal="right"/>
    </xf>
    <xf numFmtId="3" fontId="72" fillId="0" borderId="35" xfId="0" applyNumberFormat="1" applyFont="1" applyFill="1" applyBorder="1" applyAlignment="1">
      <alignment horizontal="right"/>
    </xf>
    <xf numFmtId="3" fontId="72" fillId="0" borderId="6" xfId="0" applyNumberFormat="1" applyFont="1" applyFill="1" applyBorder="1" applyAlignment="1">
      <alignment horizontal="centerContinuous"/>
    </xf>
    <xf numFmtId="3" fontId="72" fillId="5" borderId="0" xfId="0" applyNumberFormat="1" applyFont="1" applyFill="1" applyAlignment="1">
      <alignment horizontal="left"/>
    </xf>
    <xf numFmtId="0" fontId="72" fillId="5" borderId="0" xfId="0" applyFont="1" applyFill="1" applyBorder="1" applyAlignment="1"/>
    <xf numFmtId="3" fontId="72" fillId="0" borderId="35" xfId="0" applyNumberFormat="1" applyFont="1" applyBorder="1" applyAlignment="1">
      <alignment horizontal="right"/>
    </xf>
    <xf numFmtId="3" fontId="72" fillId="0" borderId="1" xfId="0" applyNumberFormat="1" applyFont="1" applyBorder="1" applyAlignment="1">
      <alignment horizontal="right"/>
    </xf>
    <xf numFmtId="168" fontId="72" fillId="0" borderId="35" xfId="1" applyNumberFormat="1" applyFont="1" applyBorder="1" applyAlignment="1">
      <alignment horizontal="right"/>
    </xf>
    <xf numFmtId="168" fontId="72" fillId="0" borderId="1" xfId="1" applyNumberFormat="1" applyFont="1" applyBorder="1" applyAlignment="1">
      <alignment horizontal="right"/>
    </xf>
    <xf numFmtId="3" fontId="72" fillId="0" borderId="6" xfId="0" applyNumberFormat="1" applyFont="1" applyBorder="1" applyAlignment="1">
      <alignment horizontal="center"/>
    </xf>
    <xf numFmtId="3" fontId="72" fillId="0" borderId="6" xfId="0" applyNumberFormat="1" applyFont="1" applyFill="1" applyBorder="1" applyAlignment="1">
      <alignment horizontal="right"/>
    </xf>
    <xf numFmtId="3" fontId="72" fillId="0" borderId="13" xfId="0" applyNumberFormat="1" applyFont="1" applyFill="1" applyBorder="1" applyAlignment="1">
      <alignment horizontal="right"/>
    </xf>
    <xf numFmtId="3" fontId="72" fillId="0" borderId="14" xfId="0" applyNumberFormat="1" applyFont="1" applyFill="1" applyBorder="1" applyAlignment="1">
      <alignment horizontal="right"/>
    </xf>
    <xf numFmtId="3" fontId="72" fillId="0" borderId="0" xfId="0" applyNumberFormat="1" applyFont="1" applyFill="1" applyBorder="1" applyAlignment="1">
      <alignment horizontal="right"/>
    </xf>
    <xf numFmtId="3" fontId="72" fillId="5" borderId="0" xfId="0" applyNumberFormat="1" applyFont="1" applyFill="1" applyAlignment="1">
      <alignment horizontal="right"/>
    </xf>
    <xf numFmtId="3" fontId="72" fillId="5" borderId="6" xfId="0" applyNumberFormat="1" applyFont="1" applyFill="1" applyBorder="1" applyAlignment="1">
      <alignment horizontal="right"/>
    </xf>
    <xf numFmtId="3" fontId="72" fillId="0" borderId="14" xfId="0" applyNumberFormat="1" applyFont="1" applyBorder="1" applyAlignment="1">
      <alignment horizontal="right"/>
    </xf>
    <xf numFmtId="3" fontId="72" fillId="0" borderId="6" xfId="0" applyNumberFormat="1" applyFont="1" applyBorder="1" applyAlignment="1">
      <alignment horizontal="right"/>
    </xf>
    <xf numFmtId="168" fontId="72" fillId="0" borderId="14" xfId="1" applyNumberFormat="1" applyFont="1" applyBorder="1" applyAlignment="1">
      <alignment horizontal="right"/>
    </xf>
    <xf numFmtId="168" fontId="72" fillId="0" borderId="6" xfId="1" applyNumberFormat="1" applyFont="1" applyBorder="1" applyAlignment="1">
      <alignment horizontal="right"/>
    </xf>
    <xf numFmtId="3" fontId="72" fillId="0" borderId="6" xfId="0" applyNumberFormat="1" applyFont="1" applyFill="1" applyBorder="1" applyAlignment="1"/>
    <xf numFmtId="165" fontId="72" fillId="0" borderId="6" xfId="0" applyNumberFormat="1" applyFont="1" applyFill="1" applyBorder="1" applyAlignment="1">
      <alignment horizontal="right"/>
    </xf>
    <xf numFmtId="165" fontId="72" fillId="0" borderId="12" xfId="0" applyNumberFormat="1" applyFont="1" applyFill="1" applyBorder="1" applyAlignment="1">
      <alignment horizontal="right"/>
    </xf>
    <xf numFmtId="165" fontId="72" fillId="0" borderId="15" xfId="0" applyNumberFormat="1" applyFont="1" applyFill="1" applyBorder="1" applyAlignment="1">
      <alignment horizontal="right"/>
    </xf>
    <xf numFmtId="165" fontId="72" fillId="0" borderId="8" xfId="0" applyNumberFormat="1" applyFont="1" applyFill="1" applyBorder="1" applyAlignment="1">
      <alignment horizontal="right"/>
    </xf>
    <xf numFmtId="165" fontId="72" fillId="0" borderId="0" xfId="0" applyNumberFormat="1" applyFont="1" applyFill="1" applyBorder="1" applyAlignment="1">
      <alignment horizontal="right"/>
    </xf>
    <xf numFmtId="165" fontId="72" fillId="5" borderId="0" xfId="0" applyNumberFormat="1" applyFont="1" applyFill="1" applyAlignment="1"/>
    <xf numFmtId="165" fontId="72" fillId="5" borderId="0" xfId="0" applyNumberFormat="1" applyFont="1" applyFill="1" applyBorder="1" applyAlignment="1"/>
    <xf numFmtId="171" fontId="72" fillId="14" borderId="16" xfId="0" applyNumberFormat="1" applyFont="1" applyFill="1" applyBorder="1" applyAlignment="1"/>
    <xf numFmtId="171" fontId="72" fillId="14" borderId="0" xfId="0" applyNumberFormat="1" applyFont="1" applyFill="1" applyAlignment="1"/>
    <xf numFmtId="171" fontId="72" fillId="14" borderId="16" xfId="1" applyNumberFormat="1" applyFont="1" applyFill="1" applyBorder="1" applyAlignment="1"/>
    <xf numFmtId="171" fontId="72" fillId="14" borderId="0" xfId="1" applyNumberFormat="1" applyFont="1" applyFill="1" applyAlignment="1"/>
    <xf numFmtId="3" fontId="72" fillId="0" borderId="0" xfId="0" applyNumberFormat="1" applyFont="1" applyFill="1" applyAlignment="1"/>
    <xf numFmtId="165" fontId="72" fillId="0" borderId="0" xfId="0" applyNumberFormat="1" applyFont="1" applyFill="1" applyAlignment="1">
      <alignment horizontal="right"/>
    </xf>
    <xf numFmtId="165" fontId="72" fillId="0" borderId="16" xfId="0" applyNumberFormat="1" applyFont="1" applyFill="1" applyBorder="1" applyAlignment="1">
      <alignment horizontal="right"/>
    </xf>
    <xf numFmtId="171" fontId="72" fillId="0" borderId="16" xfId="1" applyNumberFormat="1" applyFont="1" applyBorder="1" applyAlignment="1"/>
    <xf numFmtId="171" fontId="72" fillId="0" borderId="0" xfId="1" applyNumberFormat="1" applyFont="1" applyAlignment="1"/>
    <xf numFmtId="171" fontId="72" fillId="0" borderId="16" xfId="0" applyNumberFormat="1" applyFont="1" applyBorder="1" applyAlignment="1"/>
    <xf numFmtId="171" fontId="72" fillId="0" borderId="0" xfId="0" applyNumberFormat="1" applyFont="1" applyAlignment="1"/>
    <xf numFmtId="3" fontId="72" fillId="9" borderId="0" xfId="0" applyNumberFormat="1" applyFont="1" applyFill="1" applyAlignment="1"/>
    <xf numFmtId="165" fontId="72" fillId="13" borderId="0" xfId="0" applyNumberFormat="1" applyFont="1" applyFill="1" applyBorder="1" applyAlignment="1">
      <alignment horizontal="right"/>
    </xf>
    <xf numFmtId="165" fontId="72" fillId="13" borderId="0" xfId="0" applyNumberFormat="1" applyFont="1" applyFill="1" applyAlignment="1">
      <alignment horizontal="right"/>
    </xf>
    <xf numFmtId="165" fontId="72" fillId="13" borderId="16" xfId="0" applyNumberFormat="1" applyFont="1" applyFill="1" applyBorder="1" applyAlignment="1">
      <alignment horizontal="right"/>
    </xf>
    <xf numFmtId="3" fontId="72" fillId="13" borderId="0" xfId="0" applyNumberFormat="1" applyFont="1" applyFill="1" applyBorder="1" applyAlignment="1"/>
    <xf numFmtId="0" fontId="72" fillId="0" borderId="0" xfId="0" applyFont="1" applyFill="1" applyAlignment="1"/>
    <xf numFmtId="3" fontId="72" fillId="0" borderId="6" xfId="0" applyNumberFormat="1" applyFont="1" applyBorder="1" applyAlignment="1"/>
    <xf numFmtId="165" fontId="72" fillId="0" borderId="14" xfId="0" applyNumberFormat="1" applyFont="1" applyFill="1" applyBorder="1" applyAlignment="1">
      <alignment horizontal="right"/>
    </xf>
    <xf numFmtId="165" fontId="72" fillId="5" borderId="6" xfId="0" applyNumberFormat="1" applyFont="1" applyFill="1" applyBorder="1" applyAlignment="1"/>
    <xf numFmtId="165" fontId="72" fillId="5" borderId="12" xfId="0" applyNumberFormat="1" applyFont="1" applyFill="1" applyBorder="1" applyAlignment="1"/>
    <xf numFmtId="171" fontId="72" fillId="0" borderId="14" xfId="0" applyNumberFormat="1" applyFont="1" applyBorder="1" applyAlignment="1"/>
    <xf numFmtId="171" fontId="72" fillId="0" borderId="6" xfId="0" applyNumberFormat="1" applyFont="1" applyBorder="1" applyAlignment="1"/>
    <xf numFmtId="171" fontId="72" fillId="0" borderId="12" xfId="0" applyNumberFormat="1" applyFont="1" applyBorder="1" applyAlignment="1"/>
    <xf numFmtId="171" fontId="72" fillId="0" borderId="14" xfId="1" applyNumberFormat="1" applyFont="1" applyBorder="1" applyAlignment="1"/>
    <xf numFmtId="171" fontId="72" fillId="0" borderId="6" xfId="1" applyNumberFormat="1" applyFont="1" applyBorder="1" applyAlignment="1"/>
    <xf numFmtId="165" fontId="72" fillId="0" borderId="0" xfId="0" applyNumberFormat="1" applyFont="1" applyFill="1" applyBorder="1" applyAlignment="1"/>
    <xf numFmtId="165" fontId="72" fillId="0" borderId="0" xfId="0" applyNumberFormat="1" applyFont="1" applyFill="1" applyAlignment="1"/>
    <xf numFmtId="165" fontId="72" fillId="0" borderId="16" xfId="0" applyNumberFormat="1" applyFont="1" applyFill="1" applyBorder="1" applyAlignment="1"/>
    <xf numFmtId="165" fontId="72" fillId="0" borderId="0" xfId="0" applyNumberFormat="1" applyFont="1" applyFill="1" applyBorder="1" applyAlignment="1">
      <alignment horizontal="center"/>
    </xf>
    <xf numFmtId="3" fontId="72" fillId="9" borderId="0" xfId="0" applyNumberFormat="1" applyFont="1" applyFill="1" applyAlignment="1">
      <alignment horizontal="left"/>
    </xf>
    <xf numFmtId="3" fontId="72" fillId="9" borderId="0" xfId="0" applyNumberFormat="1" applyFont="1" applyFill="1" applyAlignment="1">
      <alignment horizontal="center"/>
    </xf>
    <xf numFmtId="0" fontId="72" fillId="0" borderId="0" xfId="0" applyFont="1" applyFill="1" applyBorder="1" applyAlignment="1">
      <alignment horizontal="center" vertical="top" wrapText="1"/>
    </xf>
    <xf numFmtId="0" fontId="72" fillId="0" borderId="0" xfId="0" applyNumberFormat="1" applyFont="1" applyAlignment="1">
      <alignment horizontal="center"/>
    </xf>
    <xf numFmtId="165" fontId="72" fillId="13" borderId="0" xfId="0" applyNumberFormat="1" applyFont="1" applyFill="1" applyBorder="1" applyAlignment="1"/>
    <xf numFmtId="165" fontId="72" fillId="13" borderId="0" xfId="0" applyNumberFormat="1" applyFont="1" applyFill="1" applyAlignment="1"/>
    <xf numFmtId="165" fontId="72" fillId="13" borderId="16" xfId="0" applyNumberFormat="1" applyFont="1" applyFill="1" applyBorder="1" applyAlignment="1"/>
    <xf numFmtId="0" fontId="72" fillId="0" borderId="0" xfId="0" applyFont="1" applyFill="1" applyBorder="1" applyAlignment="1">
      <alignment horizontal="left" vertical="top" wrapText="1"/>
    </xf>
    <xf numFmtId="0" fontId="72" fillId="0" borderId="0" xfId="0" applyNumberFormat="1" applyFont="1" applyAlignment="1"/>
    <xf numFmtId="0" fontId="72" fillId="0" borderId="0" xfId="0" applyNumberFormat="1" applyFont="1" applyBorder="1" applyAlignment="1"/>
    <xf numFmtId="3" fontId="72" fillId="13" borderId="6" xfId="0" applyNumberFormat="1" applyFont="1" applyFill="1" applyBorder="1" applyAlignment="1"/>
    <xf numFmtId="165" fontId="72" fillId="13" borderId="6" xfId="0" applyNumberFormat="1" applyFont="1" applyFill="1" applyBorder="1" applyAlignment="1" applyProtection="1"/>
    <xf numFmtId="165" fontId="72" fillId="13" borderId="6" xfId="0" applyNumberFormat="1" applyFont="1" applyFill="1" applyBorder="1" applyAlignment="1">
      <alignment vertical="top" wrapText="1"/>
    </xf>
    <xf numFmtId="165" fontId="72" fillId="13" borderId="6" xfId="0" applyNumberFormat="1" applyFont="1" applyFill="1" applyBorder="1" applyAlignment="1"/>
    <xf numFmtId="165" fontId="72" fillId="13" borderId="14" xfId="0" applyNumberFormat="1" applyFont="1" applyFill="1" applyBorder="1" applyAlignment="1"/>
    <xf numFmtId="165" fontId="72" fillId="0" borderId="0" xfId="0" applyNumberFormat="1" applyFont="1" applyFill="1" applyBorder="1" applyAlignment="1" applyProtection="1"/>
    <xf numFmtId="165" fontId="72" fillId="0" borderId="17" xfId="0" applyNumberFormat="1" applyFont="1" applyFill="1" applyBorder="1" applyAlignment="1"/>
    <xf numFmtId="171" fontId="72" fillId="0" borderId="16" xfId="0" applyNumberFormat="1" applyFont="1" applyFill="1" applyBorder="1" applyAlignment="1"/>
    <xf numFmtId="171" fontId="72" fillId="0" borderId="0" xfId="0" applyNumberFormat="1" applyFont="1" applyFill="1" applyAlignment="1"/>
    <xf numFmtId="171" fontId="72" fillId="0" borderId="16" xfId="1" applyNumberFormat="1" applyFont="1" applyFill="1" applyBorder="1" applyAlignment="1"/>
    <xf numFmtId="171" fontId="72" fillId="0" borderId="0" xfId="1" applyNumberFormat="1" applyFont="1" applyFill="1" applyAlignment="1"/>
    <xf numFmtId="171" fontId="72" fillId="0" borderId="0" xfId="0" applyNumberFormat="1" applyFont="1" applyBorder="1" applyAlignment="1"/>
    <xf numFmtId="171" fontId="72" fillId="0" borderId="10" xfId="0" applyNumberFormat="1" applyFont="1" applyBorder="1" applyAlignment="1"/>
    <xf numFmtId="3" fontId="72" fillId="9" borderId="6" xfId="0" applyNumberFormat="1" applyFont="1" applyFill="1" applyBorder="1" applyAlignment="1"/>
    <xf numFmtId="171" fontId="72" fillId="0" borderId="14" xfId="1" applyNumberFormat="1" applyFont="1" applyFill="1" applyBorder="1" applyAlignment="1"/>
    <xf numFmtId="171" fontId="72" fillId="0" borderId="6" xfId="1" applyNumberFormat="1" applyFont="1" applyFill="1" applyBorder="1" applyAlignment="1"/>
    <xf numFmtId="165" fontId="72" fillId="0" borderId="0" xfId="0" applyNumberFormat="1" applyFont="1" applyFill="1" applyBorder="1" applyAlignment="1">
      <alignment vertical="top" wrapText="1"/>
    </xf>
    <xf numFmtId="165" fontId="72" fillId="13" borderId="0" xfId="0" applyNumberFormat="1" applyFont="1" applyFill="1" applyBorder="1" applyAlignment="1" applyProtection="1"/>
    <xf numFmtId="165" fontId="72" fillId="13" borderId="0" xfId="0" applyNumberFormat="1" applyFont="1" applyFill="1" applyBorder="1" applyAlignment="1">
      <alignment vertical="top" wrapText="1"/>
    </xf>
    <xf numFmtId="3" fontId="72" fillId="0" borderId="0" xfId="0" applyNumberFormat="1" applyFont="1" applyFill="1" applyBorder="1" applyAlignment="1"/>
    <xf numFmtId="165" fontId="72" fillId="0" borderId="0" xfId="0" applyNumberFormat="1" applyFont="1" applyFill="1" applyBorder="1" applyAlignment="1">
      <alignment vertical="top"/>
    </xf>
    <xf numFmtId="165" fontId="72" fillId="0" borderId="6" xfId="0" applyNumberFormat="1" applyFont="1" applyFill="1" applyBorder="1" applyAlignment="1">
      <alignment vertical="top"/>
    </xf>
    <xf numFmtId="165" fontId="72" fillId="0" borderId="6" xfId="0" applyNumberFormat="1" applyFont="1" applyFill="1" applyBorder="1" applyAlignment="1">
      <alignment vertical="top" wrapText="1"/>
    </xf>
    <xf numFmtId="165" fontId="72" fillId="0" borderId="14" xfId="0" applyNumberFormat="1" applyFont="1" applyFill="1" applyBorder="1" applyAlignment="1"/>
    <xf numFmtId="165" fontId="72" fillId="0" borderId="6" xfId="0" applyNumberFormat="1" applyFont="1" applyFill="1" applyBorder="1" applyAlignment="1"/>
    <xf numFmtId="3" fontId="72" fillId="13" borderId="8" xfId="0" applyNumberFormat="1" applyFont="1" applyFill="1" applyBorder="1" applyAlignment="1"/>
    <xf numFmtId="165" fontId="72" fillId="13" borderId="8" xfId="0" applyNumberFormat="1" applyFont="1" applyFill="1" applyBorder="1" applyAlignment="1">
      <alignment vertical="top"/>
    </xf>
    <xf numFmtId="165" fontId="72" fillId="13" borderId="8" xfId="0" applyNumberFormat="1" applyFont="1" applyFill="1" applyBorder="1" applyAlignment="1">
      <alignment vertical="top" wrapText="1"/>
    </xf>
    <xf numFmtId="165" fontId="72" fillId="13" borderId="15" xfId="0" applyNumberFormat="1" applyFont="1" applyFill="1" applyBorder="1" applyAlignment="1"/>
    <xf numFmtId="165" fontId="72" fillId="13" borderId="8" xfId="0" applyNumberFormat="1" applyFont="1" applyFill="1" applyBorder="1" applyAlignment="1"/>
    <xf numFmtId="3" fontId="72" fillId="0" borderId="0" xfId="0" applyNumberFormat="1" applyFont="1" applyFill="1" applyBorder="1" applyAlignment="1">
      <alignment horizontal="left" vertical="top" wrapText="1"/>
    </xf>
    <xf numFmtId="165" fontId="72" fillId="5" borderId="8" xfId="0" applyNumberFormat="1" applyFont="1" applyFill="1" applyBorder="1" applyAlignment="1"/>
    <xf numFmtId="165" fontId="72" fillId="5" borderId="18" xfId="0" applyNumberFormat="1" applyFont="1" applyFill="1" applyBorder="1" applyAlignment="1"/>
    <xf numFmtId="171" fontId="72" fillId="0" borderId="15" xfId="0" applyNumberFormat="1" applyFont="1" applyBorder="1" applyAlignment="1"/>
    <xf numFmtId="171" fontId="72" fillId="0" borderId="8" xfId="0" applyNumberFormat="1" applyFont="1" applyBorder="1" applyAlignment="1"/>
    <xf numFmtId="171" fontId="72" fillId="0" borderId="18" xfId="0" applyNumberFormat="1" applyFont="1" applyBorder="1" applyAlignment="1"/>
    <xf numFmtId="171" fontId="72" fillId="0" borderId="15" xfId="1" applyNumberFormat="1" applyFont="1" applyFill="1" applyBorder="1" applyAlignment="1"/>
    <xf numFmtId="171" fontId="72" fillId="0" borderId="8" xfId="1" applyNumberFormat="1" applyFont="1" applyFill="1" applyBorder="1" applyAlignment="1"/>
    <xf numFmtId="0" fontId="72" fillId="0" borderId="0" xfId="0" applyFont="1" applyAlignment="1">
      <alignment wrapText="1"/>
    </xf>
    <xf numFmtId="0" fontId="75" fillId="0" borderId="0" xfId="0" applyFont="1" applyAlignment="1"/>
    <xf numFmtId="0" fontId="72" fillId="0" borderId="0" xfId="0" applyNumberFormat="1" applyFont="1" applyFill="1" applyAlignment="1"/>
    <xf numFmtId="0" fontId="72" fillId="0" borderId="0" xfId="0" applyNumberFormat="1" applyFont="1" applyFill="1" applyBorder="1" applyAlignment="1"/>
    <xf numFmtId="168" fontId="72" fillId="0" borderId="0" xfId="1" applyNumberFormat="1" applyFont="1" applyFill="1" applyAlignment="1"/>
    <xf numFmtId="3" fontId="72" fillId="0" borderId="0" xfId="0" applyNumberFormat="1" applyFont="1" applyAlignment="1">
      <alignment vertical="top"/>
    </xf>
    <xf numFmtId="3" fontId="72" fillId="0" borderId="0" xfId="0" applyNumberFormat="1" applyFont="1" applyFill="1" applyBorder="1" applyAlignment="1">
      <alignment horizontal="left" vertical="top"/>
    </xf>
    <xf numFmtId="0" fontId="72" fillId="0" borderId="0" xfId="0" applyFont="1" applyFill="1" applyBorder="1" applyAlignment="1" applyProtection="1">
      <alignment horizontal="left"/>
    </xf>
    <xf numFmtId="0" fontId="76" fillId="0" borderId="0" xfId="0" applyNumberFormat="1" applyFont="1" applyAlignment="1"/>
    <xf numFmtId="17" fontId="72" fillId="0" borderId="0" xfId="0" applyNumberFormat="1" applyFont="1" applyBorder="1" applyAlignment="1">
      <alignment horizontal="right" vertical="top"/>
    </xf>
    <xf numFmtId="3" fontId="72" fillId="0" borderId="0" xfId="0" quotePrefix="1" applyNumberFormat="1" applyFont="1" applyBorder="1" applyAlignment="1">
      <alignment horizontal="right" vertical="top"/>
    </xf>
    <xf numFmtId="165" fontId="72" fillId="0" borderId="0" xfId="0" applyNumberFormat="1" applyFont="1" applyFill="1" applyBorder="1" applyAlignment="1">
      <alignment horizontal="right" vertical="top" wrapText="1"/>
    </xf>
    <xf numFmtId="0" fontId="15" fillId="0" borderId="4" xfId="0" applyNumberFormat="1" applyFont="1" applyBorder="1" applyAlignment="1">
      <alignment horizontal="left" vertical="top" wrapText="1"/>
    </xf>
    <xf numFmtId="0" fontId="15" fillId="0" borderId="0" xfId="0" applyNumberFormat="1" applyFont="1" applyAlignment="1">
      <alignment horizontal="left" vertical="top" wrapText="1"/>
    </xf>
    <xf numFmtId="37" fontId="17" fillId="0" borderId="0" xfId="0" applyNumberFormat="1" applyFont="1" applyBorder="1" applyAlignment="1" applyProtection="1">
      <alignment horizontal="center"/>
    </xf>
    <xf numFmtId="0" fontId="18" fillId="0" borderId="0" xfId="0" applyFont="1" applyAlignment="1">
      <alignment horizontal="center"/>
    </xf>
    <xf numFmtId="37" fontId="19" fillId="0" borderId="0" xfId="0" applyNumberFormat="1" applyFont="1" applyBorder="1" applyAlignment="1" applyProtection="1">
      <alignment horizontal="center"/>
    </xf>
    <xf numFmtId="0" fontId="20" fillId="0" borderId="0" xfId="0" applyFont="1" applyAlignment="1">
      <alignment horizontal="center"/>
    </xf>
    <xf numFmtId="167" fontId="23" fillId="0" borderId="8" xfId="1" applyNumberFormat="1" applyFont="1" applyBorder="1" applyAlignment="1" applyProtection="1">
      <alignment horizontal="center"/>
    </xf>
    <xf numFmtId="0" fontId="25" fillId="0" borderId="8" xfId="0" applyFont="1" applyBorder="1" applyAlignment="1">
      <alignment horizontal="center"/>
    </xf>
    <xf numFmtId="171" fontId="72" fillId="0" borderId="0" xfId="1" applyNumberFormat="1" applyFont="1" applyFill="1" applyBorder="1" applyAlignment="1"/>
    <xf numFmtId="0" fontId="72" fillId="0" borderId="0" xfId="0" applyNumberFormat="1" applyFont="1" applyBorder="1" applyAlignment="1">
      <alignment horizontal="left" vertical="top" wrapText="1"/>
    </xf>
    <xf numFmtId="165" fontId="72" fillId="0" borderId="4" xfId="0" applyNumberFormat="1" applyFont="1" applyFill="1" applyBorder="1" applyAlignment="1">
      <alignment vertical="top"/>
    </xf>
    <xf numFmtId="165" fontId="72" fillId="0" borderId="4" xfId="0" applyNumberFormat="1" applyFont="1" applyFill="1" applyBorder="1" applyAlignment="1">
      <alignment vertical="top" wrapText="1"/>
    </xf>
    <xf numFmtId="165" fontId="72" fillId="0" borderId="4" xfId="0" applyNumberFormat="1" applyFont="1" applyFill="1" applyBorder="1" applyAlignment="1"/>
    <xf numFmtId="171" fontId="72" fillId="0" borderId="0" xfId="0" applyNumberFormat="1" applyFont="1" applyFill="1" applyBorder="1" applyAlignment="1"/>
    <xf numFmtId="0" fontId="72" fillId="0" borderId="0" xfId="0" applyNumberFormat="1" applyFont="1" applyBorder="1" applyAlignment="1">
      <alignment horizontal="left" vertical="top"/>
    </xf>
    <xf numFmtId="3" fontId="15" fillId="0" borderId="4" xfId="0" applyNumberFormat="1" applyFont="1" applyFill="1" applyBorder="1" applyAlignment="1">
      <alignment vertical="top"/>
    </xf>
  </cellXfs>
  <cellStyles count="6">
    <cellStyle name="Comma" xfId="1" builtinId="3"/>
    <cellStyle name="Normal" xfId="0" builtinId="0"/>
    <cellStyle name="Normal 2" xfId="4" xr:uid="{00000000-0005-0000-0000-000002000000}"/>
    <cellStyle name="Normal 3" xfId="5" xr:uid="{00000000-0005-0000-0000-000003000000}"/>
    <cellStyle name="Normal_Fac#97" xfId="2" xr:uid="{00000000-0005-0000-0000-000004000000}"/>
    <cellStyle name="Percent" xfId="3" builtinId="5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  <name val="Cambria"/>
        <scheme val="none"/>
      </font>
    </dxf>
    <dxf>
      <font>
        <color rgb="FFC00000"/>
        <name val="Cambria"/>
        <scheme val="none"/>
      </font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SREB states, 2015-16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SREB states, 2009-10</c:v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'TABLE 80 (81)'!$C$5:$G$6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'TABLE 80 (81)'!$C$8:$G$8</c:f>
              <c:numCache>
                <c:formatCode>0.0</c:formatCode>
                <c:ptCount val="5"/>
                <c:pt idx="0">
                  <c:v>26.939384564991904</c:v>
                </c:pt>
                <c:pt idx="1">
                  <c:v>26.87296416938111</c:v>
                </c:pt>
                <c:pt idx="2">
                  <c:v>24.635597692573654</c:v>
                </c:pt>
                <c:pt idx="3">
                  <c:v>8.8284534056375445</c:v>
                </c:pt>
                <c:pt idx="4">
                  <c:v>9.7674376285189162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F-47B1-908D-3951D8CBBE2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SREB states, 2008-09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SREB states, 2004-05</c:v>
          </c:tx>
          <c:dLbls>
            <c:dLbl>
              <c:idx val="4"/>
              <c:layout>
                <c:manualLayout>
                  <c:x val="-0.10610581322984097"/>
                  <c:y val="3.6636352396135607E-2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D5-4BF7-A484-936DA920E0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'FB 15 TABLE 80 (81)'!$H$5:$L$6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'FB 15 TABLE 80 (81)'!$H$8:$L$8</c:f>
              <c:numCache>
                <c:formatCode>0.0</c:formatCode>
                <c:ptCount val="5"/>
                <c:pt idx="0">
                  <c:v>27.390453176898067</c:v>
                </c:pt>
                <c:pt idx="1">
                  <c:v>25.336169188630709</c:v>
                </c:pt>
                <c:pt idx="2">
                  <c:v>28.623818350563674</c:v>
                </c:pt>
                <c:pt idx="3">
                  <c:v>9.1573162399106955</c:v>
                </c:pt>
                <c:pt idx="4">
                  <c:v>9.4922430439968597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5-4BF7-A484-936DA920E05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State, 2008-09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State, 2004-05</c:v>
          </c:tx>
          <c:dLbls>
            <c:dLbl>
              <c:idx val="4"/>
              <c:layout>
                <c:manualLayout>
                  <c:x val="-0.19663392754943998"/>
                  <c:y val="4.456971163370711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58-4B45-8183-71C2AF0A16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'FB 15 TABLE 80 (81)'!$H$5:$L$6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'FB 15 TABLE 80 (81)'!$H$10:$L$10</c:f>
              <c:numCache>
                <c:formatCode>0.0</c:formatCode>
                <c:ptCount val="5"/>
                <c:pt idx="0">
                  <c:v>28.120759837177751</c:v>
                </c:pt>
                <c:pt idx="1">
                  <c:v>26.221166892808682</c:v>
                </c:pt>
                <c:pt idx="2">
                  <c:v>30.240841248303933</c:v>
                </c:pt>
                <c:pt idx="3">
                  <c:v>13.314111261872455</c:v>
                </c:pt>
                <c:pt idx="4">
                  <c:v>2.1031207598371777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58-4B45-8183-71C2AF0A162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u="none" strike="noStrike" baseline="0"/>
              <a:t>50 states and D.C</a:t>
            </a:r>
            <a:r>
              <a:rPr lang="en-US"/>
              <a:t>, 2013-14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F36D-44BD-A0FB-A5AEDDE38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'FB 15 TABLE 80 (81)'!$C$5:$G$6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'FB 15 TABLE 80 (81)'!$C$7:$G$7</c:f>
              <c:numCache>
                <c:formatCode>0.0</c:formatCode>
                <c:ptCount val="5"/>
                <c:pt idx="0">
                  <c:v>34.056597764117591</c:v>
                </c:pt>
                <c:pt idx="1">
                  <c:v>26.463515622511707</c:v>
                </c:pt>
                <c:pt idx="2">
                  <c:v>21.700321686785362</c:v>
                </c:pt>
                <c:pt idx="3">
                  <c:v>5.9177628435837821</c:v>
                </c:pt>
                <c:pt idx="4">
                  <c:v>11.86180208300156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6D-44BD-A0FB-A5AEDDE3825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State, 2013-14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State, 2009-10</c:v>
          </c:tx>
          <c:dLbls>
            <c:dLbl>
              <c:idx val="4"/>
              <c:layout>
                <c:manualLayout>
                  <c:x val="-0.16167031476721691"/>
                  <c:y val="2.878585597985011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15-4A96-B7F6-EEE572EC6C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'TABLE 80 (81)'!$C$5:$G$6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'TABLE 80 (81)'!$C$10:$G$10</c:f>
              <c:numCache>
                <c:formatCode>0.0</c:formatCode>
                <c:ptCount val="5"/>
                <c:pt idx="0">
                  <c:v>25.256349581952993</c:v>
                </c:pt>
                <c:pt idx="1">
                  <c:v>26.975863700899193</c:v>
                </c:pt>
                <c:pt idx="2">
                  <c:v>30.099384761003311</c:v>
                </c:pt>
                <c:pt idx="3">
                  <c:v>12.856917494873008</c:v>
                </c:pt>
                <c:pt idx="4">
                  <c:v>4.5590787190408575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5-4A96-B7F6-EEE572EC6C4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50 states and D.C., 2010-11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50 states and D.C., 2004-05</c:v>
          </c:tx>
          <c:dLbls>
            <c:dLbl>
              <c:idx val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BC98-4BE6-9C70-EE60C4F8E208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BC98-4BE6-9C70-EE60C4F8E208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BC98-4BE6-9C70-EE60C4F8E208}"/>
                </c:ext>
              </c:extLst>
            </c:dLbl>
            <c:dLbl>
              <c:idx val="3"/>
              <c:layout>
                <c:manualLayout>
                  <c:x val="8.3648974273331077E-3"/>
                  <c:y val="8.6002442227582493E-3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98-4BE6-9C70-EE60C4F8E208}"/>
                </c:ext>
              </c:extLst>
            </c:dLbl>
            <c:dLbl>
              <c:idx val="4"/>
              <c:layout>
                <c:manualLayout>
                  <c:x val="4.0818726309560426E-2"/>
                  <c:y val="-6.9275629278131847E-3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98-4BE6-9C70-EE60C4F8E2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'TABLE 80 (81)'!$C$5:$G$6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'TABLE 80 (81)'!$H$7:$L$7</c:f>
              <c:numCache>
                <c:formatCode>0.0</c:formatCode>
                <c:ptCount val="5"/>
                <c:pt idx="0">
                  <c:v>30.634277485868349</c:v>
                </c:pt>
                <c:pt idx="1">
                  <c:v>26.192573415646685</c:v>
                </c:pt>
                <c:pt idx="2">
                  <c:v>26.67013894207938</c:v>
                </c:pt>
                <c:pt idx="3">
                  <c:v>6.9880819252745905</c:v>
                </c:pt>
                <c:pt idx="4">
                  <c:v>9.5149282311309911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98-4BE6-9C70-EE60C4F8E20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SREB states, 2010-11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SREB states, 2004-05</c:v>
          </c:tx>
          <c:dLbls>
            <c:dLbl>
              <c:idx val="4"/>
              <c:layout>
                <c:manualLayout>
                  <c:x val="-0.10610581322984097"/>
                  <c:y val="3.6636352396135607E-2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2D-4CBE-9F01-5366634230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'TABLE 80 (81)'!$H$5:$L$6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'TABLE 80 (81)'!$H$8:$L$8</c:f>
              <c:numCache>
                <c:formatCode>0.0</c:formatCode>
                <c:ptCount val="5"/>
                <c:pt idx="0">
                  <c:v>27.78820095893267</c:v>
                </c:pt>
                <c:pt idx="1">
                  <c:v>26.239614044492093</c:v>
                </c:pt>
                <c:pt idx="2">
                  <c:v>27.598598330305645</c:v>
                </c:pt>
                <c:pt idx="3">
                  <c:v>9.2567775494604767</c:v>
                </c:pt>
                <c:pt idx="4">
                  <c:v>9.116809116809117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2D-4CBE-9F01-53666342306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State, 2008-09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State, 2004-05</c:v>
          </c:tx>
          <c:dLbls>
            <c:dLbl>
              <c:idx val="4"/>
              <c:layout>
                <c:manualLayout>
                  <c:x val="-0.19663392754943998"/>
                  <c:y val="4.456971163370711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86-4627-A7E3-66D8942D1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'TABLE 80 (81)'!$H$5:$L$6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'TABLE 80 (81)'!$H$10:$L$10</c:f>
              <c:numCache>
                <c:formatCode>0.0</c:formatCode>
                <c:ptCount val="5"/>
                <c:pt idx="0">
                  <c:v>27.691043549712408</c:v>
                </c:pt>
                <c:pt idx="1">
                  <c:v>26.524239934264589</c:v>
                </c:pt>
                <c:pt idx="2">
                  <c:v>30.616269515201317</c:v>
                </c:pt>
                <c:pt idx="3">
                  <c:v>12.769104354971242</c:v>
                </c:pt>
                <c:pt idx="4">
                  <c:v>2.3993426458504521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86-4627-A7E3-66D8942D16C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u="none" strike="noStrike" baseline="0"/>
              <a:t>50 states and D.C</a:t>
            </a:r>
            <a:r>
              <a:rPr lang="en-US"/>
              <a:t>, 2015-16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6561-42C8-8969-FBB2B1F3B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'TABLE 80 (81)'!$C$5:$G$6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'TABLE 80 (81)'!$C$7:$G$7</c:f>
              <c:numCache>
                <c:formatCode>0.0</c:formatCode>
                <c:ptCount val="5"/>
                <c:pt idx="0">
                  <c:v>29.810917962793539</c:v>
                </c:pt>
                <c:pt idx="1">
                  <c:v>26.344177535692246</c:v>
                </c:pt>
                <c:pt idx="2">
                  <c:v>24.265764519812478</c:v>
                </c:pt>
                <c:pt idx="3">
                  <c:v>7.050859238139819</c:v>
                </c:pt>
                <c:pt idx="4">
                  <c:v>12.677929317645056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61-42C8-8969-FBB2B1F3BE3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SREB states, 2013-14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SREB states, 2009-10</c:v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'FB 15 TABLE 80 (81)'!$C$5:$G$6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'FB 15 TABLE 80 (81)'!$C$8:$G$8</c:f>
              <c:numCache>
                <c:formatCode>0.0</c:formatCode>
                <c:ptCount val="5"/>
                <c:pt idx="0">
                  <c:v>27.006902082080366</c:v>
                </c:pt>
                <c:pt idx="1">
                  <c:v>27.184466019417474</c:v>
                </c:pt>
                <c:pt idx="2">
                  <c:v>25.139616805567488</c:v>
                </c:pt>
                <c:pt idx="3">
                  <c:v>9.2352340311787007</c:v>
                </c:pt>
                <c:pt idx="4">
                  <c:v>11.433781061755974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07-485C-A52C-FE9619842CB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State, 2013-14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State, 2009-10</c:v>
          </c:tx>
          <c:dLbls>
            <c:dLbl>
              <c:idx val="4"/>
              <c:layout>
                <c:manualLayout>
                  <c:x val="-0.16167031476721691"/>
                  <c:y val="2.878585597985011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72-4F2F-A1DC-698AA1CDC0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'FB 15 TABLE 80 (81)'!$C$5:$G$6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'FB 15 TABLE 80 (81)'!$C$10:$G$10</c:f>
              <c:numCache>
                <c:formatCode>0.0</c:formatCode>
                <c:ptCount val="5"/>
                <c:pt idx="0">
                  <c:v>27.583232706572364</c:v>
                </c:pt>
                <c:pt idx="1">
                  <c:v>27.755735725375192</c:v>
                </c:pt>
                <c:pt idx="2">
                  <c:v>28.670001725030186</c:v>
                </c:pt>
                <c:pt idx="3">
                  <c:v>14.335000862515093</c:v>
                </c:pt>
                <c:pt idx="4">
                  <c:v>1.6560289805071589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72-4F2F-A1DC-698AA1CDC03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50 states and D.C., 2008-09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50 states and D.C., 2004-05</c:v>
          </c:tx>
          <c:dLbls>
            <c:dLbl>
              <c:idx val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11FF-41C6-A731-4732E0105AD0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11FF-41C6-A731-4732E0105AD0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11FF-41C6-A731-4732E0105AD0}"/>
                </c:ext>
              </c:extLst>
            </c:dLbl>
            <c:dLbl>
              <c:idx val="3"/>
              <c:layout>
                <c:manualLayout>
                  <c:x val="8.3648974273331077E-3"/>
                  <c:y val="8.6002442227582493E-3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FF-41C6-A731-4732E0105AD0}"/>
                </c:ext>
              </c:extLst>
            </c:dLbl>
            <c:dLbl>
              <c:idx val="4"/>
              <c:layout>
                <c:manualLayout>
                  <c:x val="4.0818726309560426E-2"/>
                  <c:y val="-6.9275629278131847E-3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FF-41C6-A731-4732E0105A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'FB 15 TABLE 80 (81)'!$C$5:$G$6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'FB 15 TABLE 80 (81)'!$H$7:$L$7</c:f>
              <c:numCache>
                <c:formatCode>0.0</c:formatCode>
                <c:ptCount val="5"/>
                <c:pt idx="0">
                  <c:v>30.26567758721923</c:v>
                </c:pt>
                <c:pt idx="1">
                  <c:v>25.736916635646001</c:v>
                </c:pt>
                <c:pt idx="2">
                  <c:v>27.195207595393335</c:v>
                </c:pt>
                <c:pt idx="3">
                  <c:v>7.1675000671581364</c:v>
                </c:pt>
                <c:pt idx="4">
                  <c:v>9.6346981145832924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FF-41C6-A731-4732E0105AD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740833</xdr:colOff>
      <xdr:row>25</xdr:row>
      <xdr:rowOff>95246</xdr:rowOff>
    </xdr:from>
    <xdr:to>
      <xdr:col>36</xdr:col>
      <xdr:colOff>592667</xdr:colOff>
      <xdr:row>51</xdr:row>
      <xdr:rowOff>31747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730248</xdr:colOff>
      <xdr:row>51</xdr:row>
      <xdr:rowOff>52916</xdr:rowOff>
    </xdr:from>
    <xdr:to>
      <xdr:col>36</xdr:col>
      <xdr:colOff>582082</xdr:colOff>
      <xdr:row>73</xdr:row>
      <xdr:rowOff>148167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603251</xdr:colOff>
      <xdr:row>0</xdr:row>
      <xdr:rowOff>31750</xdr:rowOff>
    </xdr:from>
    <xdr:to>
      <xdr:col>44</xdr:col>
      <xdr:colOff>455084</xdr:colOff>
      <xdr:row>25</xdr:row>
      <xdr:rowOff>116418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603251</xdr:colOff>
      <xdr:row>25</xdr:row>
      <xdr:rowOff>105834</xdr:rowOff>
    </xdr:from>
    <xdr:to>
      <xdr:col>44</xdr:col>
      <xdr:colOff>455084</xdr:colOff>
      <xdr:row>51</xdr:row>
      <xdr:rowOff>42335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603250</xdr:colOff>
      <xdr:row>51</xdr:row>
      <xdr:rowOff>42333</xdr:rowOff>
    </xdr:from>
    <xdr:to>
      <xdr:col>44</xdr:col>
      <xdr:colOff>455083</xdr:colOff>
      <xdr:row>73</xdr:row>
      <xdr:rowOff>137584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726282</xdr:colOff>
      <xdr:row>47</xdr:row>
      <xdr:rowOff>25135</xdr:rowOff>
    </xdr:from>
    <xdr:to>
      <xdr:col>28</xdr:col>
      <xdr:colOff>687652</xdr:colOff>
      <xdr:row>58</xdr:row>
      <xdr:rowOff>139963</xdr:rowOff>
    </xdr:to>
    <xdr:sp macro="" textlink="">
      <xdr:nvSpPr>
        <xdr:cNvPr id="7" name="Oval Callou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9584532" y="7859448"/>
          <a:ext cx="1437745" cy="1948390"/>
        </a:xfrm>
        <a:prstGeom prst="wedgeEllipseCallout">
          <a:avLst>
            <a:gd name="adj1" fmla="val 142647"/>
            <a:gd name="adj2" fmla="val 80114"/>
          </a:avLst>
        </a:prstGeom>
        <a:solidFill>
          <a:schemeClr val="accent1">
            <a:alpha val="43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Click</a:t>
          </a:r>
          <a:r>
            <a:rPr lang="en-US" sz="10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on a state chart to see state highlighted to left.  Move highlight box from state to state to change view.</a:t>
          </a:r>
          <a:endParaRPr lang="en-US" sz="10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29</xdr:col>
      <xdr:colOff>0</xdr:colOff>
      <xdr:row>0</xdr:row>
      <xdr:rowOff>42334</xdr:rowOff>
    </xdr:from>
    <xdr:to>
      <xdr:col>36</xdr:col>
      <xdr:colOff>592667</xdr:colOff>
      <xdr:row>25</xdr:row>
      <xdr:rowOff>127002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740833</xdr:colOff>
      <xdr:row>25</xdr:row>
      <xdr:rowOff>95246</xdr:rowOff>
    </xdr:from>
    <xdr:to>
      <xdr:col>36</xdr:col>
      <xdr:colOff>592667</xdr:colOff>
      <xdr:row>51</xdr:row>
      <xdr:rowOff>31747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6FE84A-F42E-4264-9145-D9E7675A9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730248</xdr:colOff>
      <xdr:row>51</xdr:row>
      <xdr:rowOff>52916</xdr:rowOff>
    </xdr:from>
    <xdr:to>
      <xdr:col>36</xdr:col>
      <xdr:colOff>582082</xdr:colOff>
      <xdr:row>72</xdr:row>
      <xdr:rowOff>148167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489FFC-557B-4F9B-86AB-39E795EFD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603251</xdr:colOff>
      <xdr:row>0</xdr:row>
      <xdr:rowOff>31750</xdr:rowOff>
    </xdr:from>
    <xdr:to>
      <xdr:col>44</xdr:col>
      <xdr:colOff>455084</xdr:colOff>
      <xdr:row>25</xdr:row>
      <xdr:rowOff>116418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32EA1D5-0327-4765-90D4-892263EEF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603251</xdr:colOff>
      <xdr:row>25</xdr:row>
      <xdr:rowOff>105834</xdr:rowOff>
    </xdr:from>
    <xdr:to>
      <xdr:col>44</xdr:col>
      <xdr:colOff>455084</xdr:colOff>
      <xdr:row>51</xdr:row>
      <xdr:rowOff>42335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65A8812-08FB-40B1-916D-2F8105D06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603250</xdr:colOff>
      <xdr:row>51</xdr:row>
      <xdr:rowOff>42333</xdr:rowOff>
    </xdr:from>
    <xdr:to>
      <xdr:col>44</xdr:col>
      <xdr:colOff>455083</xdr:colOff>
      <xdr:row>72</xdr:row>
      <xdr:rowOff>137584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8CAF506-2523-42A0-A860-C415DCFB7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726282</xdr:colOff>
      <xdr:row>47</xdr:row>
      <xdr:rowOff>25135</xdr:rowOff>
    </xdr:from>
    <xdr:to>
      <xdr:col>28</xdr:col>
      <xdr:colOff>687652</xdr:colOff>
      <xdr:row>58</xdr:row>
      <xdr:rowOff>139963</xdr:rowOff>
    </xdr:to>
    <xdr:sp macro="" textlink="">
      <xdr:nvSpPr>
        <xdr:cNvPr id="7" name="Oval Callout 6">
          <a:extLst>
            <a:ext uri="{FF2B5EF4-FFF2-40B4-BE49-F238E27FC236}">
              <a16:creationId xmlns:a16="http://schemas.microsoft.com/office/drawing/2014/main" id="{D5398B35-D39C-4B4A-A7C1-D4A2582E3C3B}"/>
            </a:ext>
          </a:extLst>
        </xdr:cNvPr>
        <xdr:cNvSpPr/>
      </xdr:nvSpPr>
      <xdr:spPr>
        <a:xfrm>
          <a:off x="19995357" y="7645135"/>
          <a:ext cx="1447270" cy="1896003"/>
        </a:xfrm>
        <a:prstGeom prst="wedgeEllipseCallout">
          <a:avLst>
            <a:gd name="adj1" fmla="val 142647"/>
            <a:gd name="adj2" fmla="val 80114"/>
          </a:avLst>
        </a:prstGeom>
        <a:solidFill>
          <a:schemeClr val="accent1">
            <a:alpha val="43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Click</a:t>
          </a:r>
          <a:r>
            <a:rPr lang="en-US" sz="10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on a state chart to see state highlighted to left.  Move highlight box from state to state to change view.</a:t>
          </a:r>
          <a:endParaRPr lang="en-US" sz="10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29</xdr:col>
      <xdr:colOff>0</xdr:colOff>
      <xdr:row>0</xdr:row>
      <xdr:rowOff>42334</xdr:rowOff>
    </xdr:from>
    <xdr:to>
      <xdr:col>36</xdr:col>
      <xdr:colOff>592667</xdr:colOff>
      <xdr:row>25</xdr:row>
      <xdr:rowOff>127002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8109EA9-843B-46D0-B5B9-8B0DD5233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2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AA127"/>
  <sheetViews>
    <sheetView showGridLines="0" tabSelected="1" view="pageBreakPreview" zoomScaleNormal="100" zoomScaleSheetLayoutView="100" workbookViewId="0">
      <pane xSplit="2" ySplit="6" topLeftCell="C55" activePane="bottomRight" state="frozen"/>
      <selection pane="topRight" activeCell="C1" sqref="C1"/>
      <selection pane="bottomLeft" activeCell="A7" sqref="A7"/>
      <selection pane="bottomRight" activeCell="E72" sqref="E72"/>
    </sheetView>
  </sheetViews>
  <sheetFormatPr defaultColWidth="8.6640625" defaultRowHeight="12.75"/>
  <cols>
    <col min="1" max="1" width="8.6640625" style="992"/>
    <col min="2" max="2" width="8.6640625" style="992" customWidth="1"/>
    <col min="3" max="3" width="8.6640625" style="1035" customWidth="1"/>
    <col min="4" max="7" width="8.6640625" style="1034" customWidth="1"/>
    <col min="8" max="8" width="8.6640625" style="958" customWidth="1"/>
    <col min="9" max="13" width="8.6640625" style="1034" customWidth="1"/>
    <col min="14" max="14" width="8.6640625" style="958" customWidth="1"/>
    <col min="15" max="15" width="8.6640625" style="992" customWidth="1"/>
    <col min="16" max="16" width="8.6640625" style="993" customWidth="1"/>
    <col min="17" max="21" width="8.6640625" style="992" customWidth="1"/>
    <col min="22" max="25" width="8.6640625" style="909" customWidth="1"/>
    <col min="26" max="26" width="8.109375" style="909" customWidth="1"/>
    <col min="27" max="16384" width="8.6640625" style="992"/>
  </cols>
  <sheetData>
    <row r="1" spans="1:27" s="908" customFormat="1">
      <c r="A1" s="662" t="s">
        <v>236</v>
      </c>
      <c r="B1" s="902"/>
      <c r="C1" s="903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5"/>
      <c r="P1" s="906"/>
      <c r="Q1" s="907"/>
      <c r="V1" s="909"/>
      <c r="W1" s="909"/>
      <c r="X1" s="909"/>
      <c r="Y1" s="909"/>
      <c r="Z1" s="909"/>
    </row>
    <row r="2" spans="1:27" s="908" customFormat="1">
      <c r="A2" s="910" t="s">
        <v>214</v>
      </c>
      <c r="B2" s="907"/>
      <c r="C2" s="911"/>
      <c r="D2" s="912"/>
      <c r="E2" s="912"/>
      <c r="F2" s="912"/>
      <c r="G2" s="912"/>
      <c r="H2" s="913"/>
      <c r="I2" s="913"/>
      <c r="J2" s="913"/>
      <c r="K2" s="913"/>
      <c r="L2" s="913"/>
      <c r="M2" s="912"/>
      <c r="N2" s="914"/>
      <c r="O2" s="905"/>
      <c r="P2" s="915"/>
      <c r="Q2" s="907"/>
      <c r="V2" s="909"/>
      <c r="W2" s="909"/>
      <c r="X2" s="909"/>
      <c r="Y2" s="909"/>
      <c r="Z2" s="909"/>
    </row>
    <row r="3" spans="1:27" s="908" customFormat="1">
      <c r="A3" s="902"/>
      <c r="B3" s="902"/>
      <c r="C3" s="903"/>
      <c r="D3" s="904"/>
      <c r="E3" s="904"/>
      <c r="F3" s="916"/>
      <c r="G3" s="904"/>
      <c r="H3" s="904"/>
      <c r="I3" s="904"/>
      <c r="J3" s="904"/>
      <c r="K3" s="916"/>
      <c r="L3" s="904"/>
      <c r="M3" s="904"/>
      <c r="N3" s="904"/>
      <c r="O3" s="917" t="s">
        <v>210</v>
      </c>
      <c r="P3" s="918"/>
      <c r="Q3" s="919"/>
      <c r="V3" s="909"/>
      <c r="W3" s="909"/>
      <c r="X3" s="909"/>
      <c r="Y3" s="909"/>
      <c r="Z3" s="909"/>
    </row>
    <row r="4" spans="1:27" s="908" customFormat="1" ht="12.75" customHeight="1">
      <c r="A4" s="920"/>
      <c r="B4" s="920"/>
      <c r="C4" s="921" t="s">
        <v>230</v>
      </c>
      <c r="D4" s="921"/>
      <c r="E4" s="921"/>
      <c r="F4" s="922"/>
      <c r="G4" s="921"/>
      <c r="H4" s="923" t="s">
        <v>231</v>
      </c>
      <c r="I4" s="921"/>
      <c r="J4" s="921"/>
      <c r="K4" s="922"/>
      <c r="L4" s="921"/>
      <c r="M4" s="903" t="s">
        <v>86</v>
      </c>
      <c r="N4" s="903"/>
      <c r="O4" s="905"/>
      <c r="P4" s="915" t="s">
        <v>86</v>
      </c>
      <c r="Q4" s="924" t="s">
        <v>230</v>
      </c>
      <c r="V4" s="925" t="s">
        <v>231</v>
      </c>
      <c r="W4" s="909"/>
      <c r="X4" s="909"/>
      <c r="Y4" s="909"/>
      <c r="Z4" s="909"/>
    </row>
    <row r="5" spans="1:27" s="908" customFormat="1" ht="12.75" customHeight="1">
      <c r="A5" s="902"/>
      <c r="B5" s="902"/>
      <c r="C5" s="926"/>
      <c r="D5" s="926" t="s">
        <v>76</v>
      </c>
      <c r="E5" s="926" t="s">
        <v>77</v>
      </c>
      <c r="F5" s="926" t="s">
        <v>86</v>
      </c>
      <c r="G5" s="926"/>
      <c r="H5" s="927"/>
      <c r="I5" s="926" t="s">
        <v>76</v>
      </c>
      <c r="J5" s="926" t="s">
        <v>77</v>
      </c>
      <c r="K5" s="926" t="s">
        <v>86</v>
      </c>
      <c r="L5" s="926"/>
      <c r="M5" s="928" t="s">
        <v>211</v>
      </c>
      <c r="N5" s="928"/>
      <c r="O5" s="929" t="s">
        <v>79</v>
      </c>
      <c r="P5" s="930"/>
      <c r="Q5" s="931"/>
      <c r="R5" s="932" t="s">
        <v>76</v>
      </c>
      <c r="S5" s="932" t="s">
        <v>77</v>
      </c>
      <c r="T5" s="932"/>
      <c r="U5" s="932"/>
      <c r="V5" s="933"/>
      <c r="W5" s="934" t="s">
        <v>76</v>
      </c>
      <c r="X5" s="934" t="s">
        <v>77</v>
      </c>
      <c r="Y5" s="934"/>
      <c r="Z5" s="934"/>
    </row>
    <row r="6" spans="1:27" s="908" customFormat="1" ht="13.5" customHeight="1">
      <c r="A6" s="935"/>
      <c r="B6" s="935"/>
      <c r="C6" s="936" t="s">
        <v>53</v>
      </c>
      <c r="D6" s="936" t="s">
        <v>53</v>
      </c>
      <c r="E6" s="936" t="s">
        <v>53</v>
      </c>
      <c r="F6" s="936" t="s">
        <v>78</v>
      </c>
      <c r="G6" s="937" t="s">
        <v>234</v>
      </c>
      <c r="H6" s="938" t="s">
        <v>53</v>
      </c>
      <c r="I6" s="936" t="s">
        <v>53</v>
      </c>
      <c r="J6" s="936" t="s">
        <v>53</v>
      </c>
      <c r="K6" s="936" t="s">
        <v>78</v>
      </c>
      <c r="L6" s="937" t="s">
        <v>234</v>
      </c>
      <c r="M6" s="939" t="s">
        <v>230</v>
      </c>
      <c r="N6" s="939" t="s">
        <v>231</v>
      </c>
      <c r="O6" s="940" t="s">
        <v>125</v>
      </c>
      <c r="P6" s="941" t="s">
        <v>126</v>
      </c>
      <c r="Q6" s="942" t="s">
        <v>53</v>
      </c>
      <c r="R6" s="943" t="s">
        <v>53</v>
      </c>
      <c r="S6" s="943" t="s">
        <v>53</v>
      </c>
      <c r="T6" s="943" t="s">
        <v>78</v>
      </c>
      <c r="U6" s="943" t="s">
        <v>234</v>
      </c>
      <c r="V6" s="944" t="s">
        <v>53</v>
      </c>
      <c r="W6" s="945" t="s">
        <v>53</v>
      </c>
      <c r="X6" s="945" t="s">
        <v>53</v>
      </c>
      <c r="Y6" s="945" t="s">
        <v>78</v>
      </c>
      <c r="Z6" s="945" t="s">
        <v>234</v>
      </c>
    </row>
    <row r="7" spans="1:27" s="908" customFormat="1" ht="12.75" customHeight="1">
      <c r="A7" s="946" t="s">
        <v>213</v>
      </c>
      <c r="B7" s="946"/>
      <c r="C7" s="947">
        <f>+Q7*100</f>
        <v>29.810917962793539</v>
      </c>
      <c r="D7" s="947">
        <f t="shared" ref="D7:H22" si="0">+R7*100</f>
        <v>26.344177535692246</v>
      </c>
      <c r="E7" s="947">
        <f t="shared" si="0"/>
        <v>24.265764519812478</v>
      </c>
      <c r="F7" s="947">
        <f t="shared" si="0"/>
        <v>7.050859238139819</v>
      </c>
      <c r="G7" s="948">
        <f t="shared" si="0"/>
        <v>12.677929317645056</v>
      </c>
      <c r="H7" s="949">
        <f>+V7*100</f>
        <v>30.634277485868349</v>
      </c>
      <c r="I7" s="950">
        <f t="shared" ref="I7:L22" si="1">+W7*100</f>
        <v>26.192573415646685</v>
      </c>
      <c r="J7" s="950">
        <f t="shared" si="1"/>
        <v>26.67013894207938</v>
      </c>
      <c r="K7" s="950">
        <f t="shared" si="1"/>
        <v>6.9880819252745905</v>
      </c>
      <c r="L7" s="950">
        <f t="shared" si="1"/>
        <v>9.5149282311309911</v>
      </c>
      <c r="M7" s="951">
        <f>+D7+C7</f>
        <v>56.155095498485785</v>
      </c>
      <c r="N7" s="951">
        <f>+I7+H7</f>
        <v>56.82685090151503</v>
      </c>
      <c r="O7" s="952">
        <f>SUM(H7:L7)</f>
        <v>99.999999999999986</v>
      </c>
      <c r="P7" s="953">
        <f>SUM(C7:G7)</f>
        <v>100.14964857408314</v>
      </c>
      <c r="Q7" s="954">
        <v>0.29810917962793537</v>
      </c>
      <c r="R7" s="955">
        <v>0.26344177535692248</v>
      </c>
      <c r="S7" s="955">
        <v>0.24265764519812477</v>
      </c>
      <c r="T7" s="955">
        <v>7.0508592381398186E-2</v>
      </c>
      <c r="U7" s="955">
        <v>0.12677929317645056</v>
      </c>
      <c r="V7" s="956">
        <v>0.3063427748586835</v>
      </c>
      <c r="W7" s="957">
        <v>0.26192573415646686</v>
      </c>
      <c r="X7" s="957">
        <v>0.2667013894207938</v>
      </c>
      <c r="Y7" s="957">
        <v>6.9880819252745904E-2</v>
      </c>
      <c r="Z7" s="957">
        <v>9.514928231130991E-2</v>
      </c>
      <c r="AA7" s="908" t="s">
        <v>221</v>
      </c>
    </row>
    <row r="8" spans="1:27" s="908" customFormat="1" ht="12.75" customHeight="1">
      <c r="A8" s="958" t="s">
        <v>88</v>
      </c>
      <c r="B8" s="958"/>
      <c r="C8" s="951">
        <f>+Q8*100</f>
        <v>26.939384564991904</v>
      </c>
      <c r="D8" s="959">
        <f t="shared" si="0"/>
        <v>26.87296416938111</v>
      </c>
      <c r="E8" s="959">
        <f t="shared" si="0"/>
        <v>24.635597692573654</v>
      </c>
      <c r="F8" s="959">
        <f t="shared" si="0"/>
        <v>8.8284534056375445</v>
      </c>
      <c r="G8" s="951">
        <f t="shared" si="0"/>
        <v>9.7674376285189162</v>
      </c>
      <c r="H8" s="960">
        <f t="shared" si="0"/>
        <v>27.78820095893267</v>
      </c>
      <c r="I8" s="951">
        <f t="shared" si="1"/>
        <v>26.239614044492093</v>
      </c>
      <c r="J8" s="951">
        <f t="shared" si="1"/>
        <v>27.598598330305645</v>
      </c>
      <c r="K8" s="951">
        <f t="shared" si="1"/>
        <v>9.2567775494604767</v>
      </c>
      <c r="L8" s="951">
        <f t="shared" si="1"/>
        <v>9.116809116809117</v>
      </c>
      <c r="M8" s="951">
        <f>+D8+C8</f>
        <v>53.812348734373018</v>
      </c>
      <c r="N8" s="951">
        <f>+I8+H8</f>
        <v>54.027815003424763</v>
      </c>
      <c r="O8" s="952">
        <f>SUM(H8:L8)</f>
        <v>100.00000000000001</v>
      </c>
      <c r="P8" s="953">
        <f>SUM(C8:G8)</f>
        <v>97.043837461103138</v>
      </c>
      <c r="Q8" s="954">
        <v>0.26939384564991903</v>
      </c>
      <c r="R8" s="955">
        <v>0.26872964169381108</v>
      </c>
      <c r="S8" s="955">
        <v>0.24635597692573655</v>
      </c>
      <c r="T8" s="955">
        <v>8.8284534056375444E-2</v>
      </c>
      <c r="U8" s="955">
        <v>9.7674376285189157E-2</v>
      </c>
      <c r="V8" s="961">
        <v>0.27788200958932668</v>
      </c>
      <c r="W8" s="962">
        <v>0.26239614044492093</v>
      </c>
      <c r="X8" s="962">
        <v>0.27598598330305646</v>
      </c>
      <c r="Y8" s="962">
        <v>9.2567775494604765E-2</v>
      </c>
      <c r="Z8" s="962">
        <v>9.1168091168091173E-2</v>
      </c>
      <c r="AA8" s="908" t="s">
        <v>221</v>
      </c>
    </row>
    <row r="9" spans="1:27" s="908" customFormat="1" ht="12.75" customHeight="1">
      <c r="A9" s="958"/>
      <c r="B9" s="958"/>
      <c r="C9" s="951"/>
      <c r="D9" s="959"/>
      <c r="E9" s="959"/>
      <c r="F9" s="959"/>
      <c r="G9" s="951"/>
      <c r="H9" s="960"/>
      <c r="I9" s="951"/>
      <c r="J9" s="951"/>
      <c r="K9" s="951"/>
      <c r="L9" s="951"/>
      <c r="M9" s="951"/>
      <c r="N9" s="939"/>
      <c r="O9" s="952"/>
      <c r="P9" s="953"/>
      <c r="Q9" s="963"/>
      <c r="R9" s="964"/>
      <c r="S9" s="964"/>
      <c r="T9" s="964"/>
      <c r="U9" s="964"/>
      <c r="V9" s="961"/>
      <c r="W9" s="962"/>
      <c r="X9" s="962"/>
      <c r="Y9" s="962"/>
      <c r="Z9" s="962"/>
    </row>
    <row r="10" spans="1:27" s="908" customFormat="1" ht="12.75" customHeight="1">
      <c r="A10" s="965" t="s">
        <v>61</v>
      </c>
      <c r="B10" s="965"/>
      <c r="C10" s="966">
        <f t="shared" ref="C10:C25" si="2">+Q10*100</f>
        <v>25.256349581952993</v>
      </c>
      <c r="D10" s="967">
        <f t="shared" si="0"/>
        <v>26.975863700899193</v>
      </c>
      <c r="E10" s="967">
        <f t="shared" si="0"/>
        <v>30.099384761003311</v>
      </c>
      <c r="F10" s="967">
        <f t="shared" si="0"/>
        <v>12.856917494873008</v>
      </c>
      <c r="G10" s="966">
        <f t="shared" si="0"/>
        <v>4.5590787190408575</v>
      </c>
      <c r="H10" s="968">
        <f t="shared" si="0"/>
        <v>27.691043549712408</v>
      </c>
      <c r="I10" s="966">
        <f t="shared" si="1"/>
        <v>26.524239934264589</v>
      </c>
      <c r="J10" s="966">
        <f t="shared" si="1"/>
        <v>30.616269515201317</v>
      </c>
      <c r="K10" s="966">
        <f t="shared" si="1"/>
        <v>12.769104354971242</v>
      </c>
      <c r="L10" s="966">
        <f t="shared" si="1"/>
        <v>2.3993426458504521</v>
      </c>
      <c r="M10" s="951"/>
      <c r="N10" s="939"/>
      <c r="O10" s="952">
        <f t="shared" ref="O10:O66" si="3">SUM(H10:L10)</f>
        <v>100.00000000000001</v>
      </c>
      <c r="P10" s="953">
        <f t="shared" ref="P10:P66" si="4">SUM(C10:G10)</f>
        <v>99.74759425776935</v>
      </c>
      <c r="Q10" s="963">
        <v>0.25256349581952992</v>
      </c>
      <c r="R10" s="964">
        <v>0.26975863700899194</v>
      </c>
      <c r="S10" s="964">
        <v>0.30099384761003312</v>
      </c>
      <c r="T10" s="964">
        <v>0.12856917494873008</v>
      </c>
      <c r="U10" s="964">
        <v>4.5590787190408578E-2</v>
      </c>
      <c r="V10" s="961">
        <v>0.27691043549712407</v>
      </c>
      <c r="W10" s="962">
        <v>0.26524239934264587</v>
      </c>
      <c r="X10" s="962">
        <v>0.30616269515201316</v>
      </c>
      <c r="Y10" s="962">
        <v>0.12769104354971242</v>
      </c>
      <c r="Z10" s="962">
        <v>2.3993426458504521E-2</v>
      </c>
      <c r="AA10" s="908" t="s">
        <v>221</v>
      </c>
    </row>
    <row r="11" spans="1:27" s="908" customFormat="1" ht="12.75" customHeight="1">
      <c r="A11" s="965" t="s">
        <v>62</v>
      </c>
      <c r="B11" s="965"/>
      <c r="C11" s="966">
        <f t="shared" si="2"/>
        <v>22.770496016448213</v>
      </c>
      <c r="D11" s="967">
        <f t="shared" si="0"/>
        <v>23.490105371369825</v>
      </c>
      <c r="E11" s="967">
        <f t="shared" si="0"/>
        <v>25.391930095091237</v>
      </c>
      <c r="F11" s="967">
        <f t="shared" si="0"/>
        <v>20.688768953996401</v>
      </c>
      <c r="G11" s="966">
        <f t="shared" si="0"/>
        <v>4.2148547931123108</v>
      </c>
      <c r="H11" s="968">
        <f t="shared" si="0"/>
        <v>24.751381215469614</v>
      </c>
      <c r="I11" s="966">
        <f t="shared" si="1"/>
        <v>23.314917127071823</v>
      </c>
      <c r="J11" s="966">
        <f t="shared" si="1"/>
        <v>27.458563535911601</v>
      </c>
      <c r="K11" s="966">
        <f t="shared" si="1"/>
        <v>18.232044198895029</v>
      </c>
      <c r="L11" s="966">
        <f t="shared" si="1"/>
        <v>6.2430939226519335</v>
      </c>
      <c r="M11" s="951"/>
      <c r="N11" s="939"/>
      <c r="O11" s="952">
        <f t="shared" si="3"/>
        <v>100</v>
      </c>
      <c r="P11" s="953">
        <f>SUM(C11:G11)</f>
        <v>96.556155230017993</v>
      </c>
      <c r="Q11" s="963">
        <v>0.22770496016448213</v>
      </c>
      <c r="R11" s="964">
        <v>0.23490105371369827</v>
      </c>
      <c r="S11" s="964">
        <v>0.25391930095091236</v>
      </c>
      <c r="T11" s="964">
        <v>0.20688768953996403</v>
      </c>
      <c r="U11" s="964">
        <v>4.2148547931123104E-2</v>
      </c>
      <c r="V11" s="961">
        <v>0.24751381215469614</v>
      </c>
      <c r="W11" s="962">
        <v>0.23314917127071824</v>
      </c>
      <c r="X11" s="962">
        <v>0.27458563535911601</v>
      </c>
      <c r="Y11" s="962">
        <v>0.18232044198895028</v>
      </c>
      <c r="Z11" s="962">
        <v>6.2430939226519336E-2</v>
      </c>
      <c r="AA11" s="908" t="s">
        <v>221</v>
      </c>
    </row>
    <row r="12" spans="1:27" s="908" customFormat="1" ht="12.75" customHeight="1">
      <c r="A12" s="965" t="s">
        <v>87</v>
      </c>
      <c r="B12" s="965"/>
      <c r="C12" s="966">
        <f t="shared" si="2"/>
        <v>31.2824314306894</v>
      </c>
      <c r="D12" s="967">
        <f t="shared" si="0"/>
        <v>34.099332839140104</v>
      </c>
      <c r="E12" s="967">
        <f t="shared" si="0"/>
        <v>25.722757598220902</v>
      </c>
      <c r="F12" s="967">
        <f t="shared" si="0"/>
        <v>7.70941438102298</v>
      </c>
      <c r="G12" s="966">
        <f t="shared" si="0"/>
        <v>0.51890289103039289</v>
      </c>
      <c r="H12" s="968">
        <f t="shared" si="0"/>
        <v>31.344410876132933</v>
      </c>
      <c r="I12" s="966">
        <f t="shared" si="1"/>
        <v>32.930513595166161</v>
      </c>
      <c r="J12" s="966">
        <f t="shared" si="1"/>
        <v>26.661631419939575</v>
      </c>
      <c r="K12" s="966">
        <f t="shared" si="1"/>
        <v>8.9123867069486398</v>
      </c>
      <c r="L12" s="966">
        <f t="shared" si="1"/>
        <v>0.15105740181268881</v>
      </c>
      <c r="M12" s="951"/>
      <c r="N12" s="939"/>
      <c r="O12" s="952">
        <f t="shared" si="3"/>
        <v>100</v>
      </c>
      <c r="P12" s="953">
        <f t="shared" si="4"/>
        <v>99.332839140103772</v>
      </c>
      <c r="Q12" s="963">
        <v>0.312824314306894</v>
      </c>
      <c r="R12" s="964">
        <v>0.34099332839140106</v>
      </c>
      <c r="S12" s="964">
        <v>0.25722757598220902</v>
      </c>
      <c r="T12" s="964">
        <v>7.7094143810229804E-2</v>
      </c>
      <c r="U12" s="964">
        <v>5.1890289103039286E-3</v>
      </c>
      <c r="V12" s="961">
        <v>0.31344410876132933</v>
      </c>
      <c r="W12" s="962">
        <v>0.32930513595166161</v>
      </c>
      <c r="X12" s="962">
        <v>0.26661631419939574</v>
      </c>
      <c r="Y12" s="962">
        <v>8.9123867069486398E-2</v>
      </c>
      <c r="Z12" s="962">
        <v>1.5105740181268882E-3</v>
      </c>
      <c r="AA12" s="908" t="s">
        <v>221</v>
      </c>
    </row>
    <row r="13" spans="1:27" s="908" customFormat="1" ht="12.75" customHeight="1">
      <c r="A13" s="965" t="s">
        <v>63</v>
      </c>
      <c r="B13" s="965"/>
      <c r="C13" s="966">
        <f t="shared" si="2"/>
        <v>27.539706323044648</v>
      </c>
      <c r="D13" s="967">
        <f t="shared" si="0"/>
        <v>26.191189691339527</v>
      </c>
      <c r="E13" s="967">
        <f t="shared" si="0"/>
        <v>21.316551793027667</v>
      </c>
      <c r="F13" s="967">
        <f t="shared" si="0"/>
        <v>13.684946558785335</v>
      </c>
      <c r="G13" s="966">
        <f t="shared" si="0"/>
        <v>6.1732094695834583</v>
      </c>
      <c r="H13" s="968">
        <f t="shared" si="0"/>
        <v>27.772896990994951</v>
      </c>
      <c r="I13" s="966">
        <f t="shared" si="1"/>
        <v>28.860092246870195</v>
      </c>
      <c r="J13" s="966">
        <f t="shared" si="1"/>
        <v>24.665056007028333</v>
      </c>
      <c r="K13" s="966">
        <f t="shared" si="1"/>
        <v>12.277619152207336</v>
      </c>
      <c r="L13" s="966">
        <f t="shared" si="1"/>
        <v>6.4243356028991876</v>
      </c>
      <c r="M13" s="951"/>
      <c r="N13" s="939"/>
      <c r="O13" s="952">
        <f t="shared" si="3"/>
        <v>100</v>
      </c>
      <c r="P13" s="953">
        <f t="shared" si="4"/>
        <v>94.905603835780639</v>
      </c>
      <c r="Q13" s="963">
        <v>0.27539706323044649</v>
      </c>
      <c r="R13" s="964">
        <v>0.26191189691339528</v>
      </c>
      <c r="S13" s="964">
        <v>0.21316551793027669</v>
      </c>
      <c r="T13" s="964">
        <v>0.13684946558785335</v>
      </c>
      <c r="U13" s="964">
        <v>6.1732094695834579E-2</v>
      </c>
      <c r="V13" s="961">
        <v>0.2777289699099495</v>
      </c>
      <c r="W13" s="962">
        <v>0.28860092246870195</v>
      </c>
      <c r="X13" s="962">
        <v>0.24665056007028333</v>
      </c>
      <c r="Y13" s="962">
        <v>0.12277619152207336</v>
      </c>
      <c r="Z13" s="962">
        <v>6.424335602899188E-2</v>
      </c>
      <c r="AA13" s="908" t="s">
        <v>221</v>
      </c>
    </row>
    <row r="14" spans="1:27" s="908" customFormat="1" ht="12.75" customHeight="1">
      <c r="A14" s="905" t="s">
        <v>64</v>
      </c>
      <c r="B14" s="905"/>
      <c r="C14" s="951">
        <f t="shared" si="2"/>
        <v>25.169409486931265</v>
      </c>
      <c r="D14" s="959">
        <f t="shared" si="0"/>
        <v>27.192642787996128</v>
      </c>
      <c r="E14" s="959">
        <f t="shared" si="0"/>
        <v>28.654404646660215</v>
      </c>
      <c r="F14" s="959">
        <f t="shared" si="0"/>
        <v>6.4181994191674736</v>
      </c>
      <c r="G14" s="951">
        <f t="shared" si="0"/>
        <v>11.606969990319458</v>
      </c>
      <c r="H14" s="960">
        <f t="shared" si="0"/>
        <v>27.350630802189958</v>
      </c>
      <c r="I14" s="951">
        <f t="shared" si="1"/>
        <v>25.672458938348015</v>
      </c>
      <c r="J14" s="951">
        <f t="shared" si="1"/>
        <v>32.00428469412045</v>
      </c>
      <c r="K14" s="951">
        <f t="shared" si="1"/>
        <v>7.5220185670078559</v>
      </c>
      <c r="L14" s="951">
        <f t="shared" si="1"/>
        <v>7.4506069983337291</v>
      </c>
      <c r="M14" s="951"/>
      <c r="N14" s="939"/>
      <c r="O14" s="952">
        <f t="shared" si="3"/>
        <v>100</v>
      </c>
      <c r="P14" s="953">
        <f t="shared" si="4"/>
        <v>99.041626331074539</v>
      </c>
      <c r="Q14" s="963">
        <v>0.25169409486931266</v>
      </c>
      <c r="R14" s="964">
        <v>0.2719264278799613</v>
      </c>
      <c r="S14" s="964">
        <v>0.28654404646660214</v>
      </c>
      <c r="T14" s="964">
        <v>6.4181994191674738E-2</v>
      </c>
      <c r="U14" s="964">
        <v>0.11606969990319457</v>
      </c>
      <c r="V14" s="961">
        <v>0.27350630802189957</v>
      </c>
      <c r="W14" s="962">
        <v>0.25672458938348014</v>
      </c>
      <c r="X14" s="962">
        <v>0.3200428469412045</v>
      </c>
      <c r="Y14" s="962">
        <v>7.5220185670078557E-2</v>
      </c>
      <c r="Z14" s="962">
        <v>7.4506069983337295E-2</v>
      </c>
      <c r="AA14" s="908" t="s">
        <v>221</v>
      </c>
    </row>
    <row r="15" spans="1:27" s="908" customFormat="1" ht="12.75" customHeight="1">
      <c r="A15" s="905" t="s">
        <v>65</v>
      </c>
      <c r="B15" s="905"/>
      <c r="C15" s="951">
        <f t="shared" si="2"/>
        <v>26.641509433962263</v>
      </c>
      <c r="D15" s="959">
        <f t="shared" si="0"/>
        <v>28.339622641509433</v>
      </c>
      <c r="E15" s="959">
        <f t="shared" si="0"/>
        <v>26.830188679245282</v>
      </c>
      <c r="F15" s="959">
        <f t="shared" si="0"/>
        <v>6.584905660377359</v>
      </c>
      <c r="G15" s="951">
        <f t="shared" si="0"/>
        <v>9.8490566037735849</v>
      </c>
      <c r="H15" s="960">
        <f t="shared" si="0"/>
        <v>25.976095617529882</v>
      </c>
      <c r="I15" s="951">
        <f t="shared" si="1"/>
        <v>27.330677290836654</v>
      </c>
      <c r="J15" s="951">
        <f t="shared" si="1"/>
        <v>27.649402390438247</v>
      </c>
      <c r="K15" s="951">
        <f t="shared" si="1"/>
        <v>7.5498007968127485</v>
      </c>
      <c r="L15" s="951">
        <f t="shared" si="1"/>
        <v>11.494023904382471</v>
      </c>
      <c r="M15" s="951"/>
      <c r="N15" s="939"/>
      <c r="O15" s="952">
        <f t="shared" si="3"/>
        <v>100.00000000000001</v>
      </c>
      <c r="P15" s="953">
        <f t="shared" si="4"/>
        <v>98.245283018867923</v>
      </c>
      <c r="Q15" s="963">
        <v>0.26641509433962263</v>
      </c>
      <c r="R15" s="964">
        <v>0.28339622641509432</v>
      </c>
      <c r="S15" s="964">
        <v>0.26830188679245282</v>
      </c>
      <c r="T15" s="964">
        <v>6.584905660377359E-2</v>
      </c>
      <c r="U15" s="964">
        <v>9.8490566037735844E-2</v>
      </c>
      <c r="V15" s="961">
        <v>0.25976095617529882</v>
      </c>
      <c r="W15" s="962">
        <v>0.27330677290836652</v>
      </c>
      <c r="X15" s="962">
        <v>0.27649402390438249</v>
      </c>
      <c r="Y15" s="962">
        <v>7.5498007968127487E-2</v>
      </c>
      <c r="Z15" s="962">
        <v>0.11494023904382471</v>
      </c>
      <c r="AA15" s="908" t="s">
        <v>221</v>
      </c>
    </row>
    <row r="16" spans="1:27" s="908" customFormat="1" ht="12.75" customHeight="1">
      <c r="A16" s="905" t="s">
        <v>66</v>
      </c>
      <c r="B16" s="905"/>
      <c r="C16" s="951">
        <f t="shared" si="2"/>
        <v>24.825605252359459</v>
      </c>
      <c r="D16" s="959">
        <f t="shared" si="0"/>
        <v>24.825605252359459</v>
      </c>
      <c r="E16" s="959">
        <f t="shared" si="0"/>
        <v>24.866639310627821</v>
      </c>
      <c r="F16" s="959">
        <f t="shared" si="0"/>
        <v>23.409930242100945</v>
      </c>
      <c r="G16" s="951">
        <f t="shared" si="0"/>
        <v>1.7849815346737792</v>
      </c>
      <c r="H16" s="960">
        <f t="shared" si="0"/>
        <v>25.686653771760152</v>
      </c>
      <c r="I16" s="951">
        <f t="shared" si="1"/>
        <v>23.442940038684721</v>
      </c>
      <c r="J16" s="951">
        <f t="shared" si="1"/>
        <v>29.226305609284331</v>
      </c>
      <c r="K16" s="951">
        <f t="shared" si="1"/>
        <v>20.212765957446805</v>
      </c>
      <c r="L16" s="951">
        <f t="shared" si="1"/>
        <v>1.4313346228239845</v>
      </c>
      <c r="M16" s="951"/>
      <c r="N16" s="939"/>
      <c r="O16" s="952">
        <f t="shared" si="3"/>
        <v>100</v>
      </c>
      <c r="P16" s="953">
        <f t="shared" si="4"/>
        <v>99.712761592121453</v>
      </c>
      <c r="Q16" s="963">
        <v>0.24825605252359459</v>
      </c>
      <c r="R16" s="964">
        <v>0.24825605252359459</v>
      </c>
      <c r="S16" s="964">
        <v>0.24866639310627822</v>
      </c>
      <c r="T16" s="964">
        <v>0.23409930242100943</v>
      </c>
      <c r="U16" s="964">
        <v>1.7849815346737793E-2</v>
      </c>
      <c r="V16" s="961">
        <v>0.25686653771760154</v>
      </c>
      <c r="W16" s="962">
        <v>0.2344294003868472</v>
      </c>
      <c r="X16" s="962">
        <v>0.29226305609284331</v>
      </c>
      <c r="Y16" s="962">
        <v>0.20212765957446807</v>
      </c>
      <c r="Z16" s="962">
        <v>1.4313346228239845E-2</v>
      </c>
      <c r="AA16" s="908" t="s">
        <v>221</v>
      </c>
    </row>
    <row r="17" spans="1:27" s="908" customFormat="1" ht="12.75" customHeight="1">
      <c r="A17" s="905" t="s">
        <v>67</v>
      </c>
      <c r="B17" s="905"/>
      <c r="C17" s="951">
        <f t="shared" si="2"/>
        <v>28.697487051601765</v>
      </c>
      <c r="D17" s="959">
        <f t="shared" si="0"/>
        <v>27.086130826779204</v>
      </c>
      <c r="E17" s="959">
        <f t="shared" si="0"/>
        <v>24.976021484749662</v>
      </c>
      <c r="F17" s="959">
        <f t="shared" si="0"/>
        <v>1.4003452906196048</v>
      </c>
      <c r="G17" s="951">
        <f t="shared" si="0"/>
        <v>17.82083253404949</v>
      </c>
      <c r="H17" s="960">
        <f t="shared" si="0"/>
        <v>34.642321160580295</v>
      </c>
      <c r="I17" s="951">
        <f t="shared" si="1"/>
        <v>30.390195097548773</v>
      </c>
      <c r="J17" s="951">
        <f t="shared" si="1"/>
        <v>32.491245622811405</v>
      </c>
      <c r="K17" s="951">
        <f t="shared" si="1"/>
        <v>2.4012006003001503</v>
      </c>
      <c r="L17" s="951">
        <f t="shared" si="1"/>
        <v>7.5037518759379696E-2</v>
      </c>
      <c r="M17" s="951"/>
      <c r="N17" s="939"/>
      <c r="O17" s="952">
        <f t="shared" si="3"/>
        <v>99.999999999999986</v>
      </c>
      <c r="P17" s="953">
        <f t="shared" si="4"/>
        <v>99.98081718779973</v>
      </c>
      <c r="Q17" s="963">
        <v>0.28697487051601767</v>
      </c>
      <c r="R17" s="964">
        <v>0.27086130826779203</v>
      </c>
      <c r="S17" s="964">
        <v>0.24976021484749664</v>
      </c>
      <c r="T17" s="964">
        <v>1.4003452906196048E-2</v>
      </c>
      <c r="U17" s="964">
        <v>0.17820832534049491</v>
      </c>
      <c r="V17" s="961">
        <v>0.34642321160580292</v>
      </c>
      <c r="W17" s="962">
        <v>0.30390195097548772</v>
      </c>
      <c r="X17" s="962">
        <v>0.32491245622811404</v>
      </c>
      <c r="Y17" s="962">
        <v>2.4012006003001501E-2</v>
      </c>
      <c r="Z17" s="962">
        <v>7.503751875937969E-4</v>
      </c>
      <c r="AA17" s="908" t="s">
        <v>221</v>
      </c>
    </row>
    <row r="18" spans="1:27" s="908" customFormat="1" ht="12.75" customHeight="1">
      <c r="A18" s="969" t="s">
        <v>68</v>
      </c>
      <c r="B18" s="969"/>
      <c r="C18" s="966">
        <f t="shared" si="2"/>
        <v>21.764380530973451</v>
      </c>
      <c r="D18" s="967">
        <f t="shared" si="0"/>
        <v>26.327433628318587</v>
      </c>
      <c r="E18" s="967">
        <f t="shared" si="0"/>
        <v>29.811946902654867</v>
      </c>
      <c r="F18" s="967">
        <f t="shared" si="0"/>
        <v>19.469026548672566</v>
      </c>
      <c r="G18" s="966">
        <f t="shared" si="0"/>
        <v>2.5719026548672566</v>
      </c>
      <c r="H18" s="968">
        <f t="shared" si="0"/>
        <v>21.638141809290953</v>
      </c>
      <c r="I18" s="966">
        <f t="shared" si="1"/>
        <v>25.122249388753055</v>
      </c>
      <c r="J18" s="966">
        <f t="shared" si="1"/>
        <v>31.356968215158926</v>
      </c>
      <c r="K18" s="966">
        <f t="shared" si="1"/>
        <v>19.682151589242054</v>
      </c>
      <c r="L18" s="966">
        <f t="shared" si="1"/>
        <v>2.2004889975550124</v>
      </c>
      <c r="M18" s="951"/>
      <c r="N18" s="939"/>
      <c r="O18" s="952">
        <f t="shared" si="3"/>
        <v>100</v>
      </c>
      <c r="P18" s="953">
        <f t="shared" si="4"/>
        <v>99.944690265486727</v>
      </c>
      <c r="Q18" s="963">
        <v>0.21764380530973451</v>
      </c>
      <c r="R18" s="964">
        <v>0.26327433628318586</v>
      </c>
      <c r="S18" s="964">
        <v>0.29811946902654868</v>
      </c>
      <c r="T18" s="964">
        <v>0.19469026548672566</v>
      </c>
      <c r="U18" s="964">
        <v>2.5719026548672565E-2</v>
      </c>
      <c r="V18" s="961">
        <v>0.21638141809290953</v>
      </c>
      <c r="W18" s="962">
        <v>0.25122249388753054</v>
      </c>
      <c r="X18" s="962">
        <v>0.31356968215158926</v>
      </c>
      <c r="Y18" s="962">
        <v>0.19682151589242053</v>
      </c>
      <c r="Z18" s="962">
        <v>2.2004889975550123E-2</v>
      </c>
      <c r="AA18" s="908" t="s">
        <v>221</v>
      </c>
    </row>
    <row r="19" spans="1:27" s="908" customFormat="1" ht="12.75" customHeight="1">
      <c r="A19" s="969" t="s">
        <v>69</v>
      </c>
      <c r="B19" s="969"/>
      <c r="C19" s="966">
        <f t="shared" si="2"/>
        <v>27.361371023342855</v>
      </c>
      <c r="D19" s="967">
        <f t="shared" si="0"/>
        <v>30.207820348665422</v>
      </c>
      <c r="E19" s="967">
        <f t="shared" si="0"/>
        <v>21.107061952132376</v>
      </c>
      <c r="F19" s="967">
        <f t="shared" si="0"/>
        <v>0.94553333989953714</v>
      </c>
      <c r="G19" s="966">
        <f t="shared" si="0"/>
        <v>11.789618831872353</v>
      </c>
      <c r="H19" s="968">
        <f t="shared" si="0"/>
        <v>27.043257952519472</v>
      </c>
      <c r="I19" s="966">
        <f t="shared" si="1"/>
        <v>26.752369334709581</v>
      </c>
      <c r="J19" s="966">
        <f t="shared" si="1"/>
        <v>23.946701698414188</v>
      </c>
      <c r="K19" s="966">
        <f t="shared" si="1"/>
        <v>1.6045791498545556</v>
      </c>
      <c r="L19" s="966">
        <f t="shared" si="1"/>
        <v>20.653091864502205</v>
      </c>
      <c r="M19" s="951"/>
      <c r="N19" s="939"/>
      <c r="O19" s="952">
        <f t="shared" si="3"/>
        <v>100</v>
      </c>
      <c r="P19" s="953">
        <f t="shared" si="4"/>
        <v>91.411405495912533</v>
      </c>
      <c r="Q19" s="963">
        <v>0.27361371023342856</v>
      </c>
      <c r="R19" s="964">
        <v>0.30207820348665421</v>
      </c>
      <c r="S19" s="964">
        <v>0.21107061952132375</v>
      </c>
      <c r="T19" s="964">
        <v>9.4553333989953713E-3</v>
      </c>
      <c r="U19" s="964">
        <v>0.11789618831872353</v>
      </c>
      <c r="V19" s="961">
        <v>0.27043257952519473</v>
      </c>
      <c r="W19" s="962">
        <v>0.2675236933470958</v>
      </c>
      <c r="X19" s="962">
        <v>0.23946701698414188</v>
      </c>
      <c r="Y19" s="962">
        <v>1.6045791498545556E-2</v>
      </c>
      <c r="Z19" s="962">
        <v>0.20653091864502204</v>
      </c>
      <c r="AA19" s="908" t="s">
        <v>221</v>
      </c>
    </row>
    <row r="20" spans="1:27" s="908" customFormat="1" ht="12.75" customHeight="1">
      <c r="A20" s="969" t="s">
        <v>70</v>
      </c>
      <c r="B20" s="969"/>
      <c r="C20" s="966">
        <f t="shared" si="2"/>
        <v>28.15214839164123</v>
      </c>
      <c r="D20" s="967">
        <f t="shared" si="0"/>
        <v>23.080535336933554</v>
      </c>
      <c r="E20" s="967">
        <f t="shared" si="0"/>
        <v>26.579009157079124</v>
      </c>
      <c r="F20" s="967">
        <f t="shared" si="0"/>
        <v>11.95116224465837</v>
      </c>
      <c r="G20" s="966">
        <f t="shared" si="0"/>
        <v>7.4665414416529696</v>
      </c>
      <c r="H20" s="968">
        <f t="shared" si="0"/>
        <v>29.161420297154368</v>
      </c>
      <c r="I20" s="966">
        <f t="shared" si="1"/>
        <v>24.024175270712668</v>
      </c>
      <c r="J20" s="966">
        <f t="shared" si="1"/>
        <v>26.36615462100227</v>
      </c>
      <c r="K20" s="966">
        <f t="shared" si="1"/>
        <v>20.448249811130697</v>
      </c>
      <c r="L20" s="966">
        <f t="shared" si="1"/>
        <v>0</v>
      </c>
      <c r="M20" s="951"/>
      <c r="N20" s="939"/>
      <c r="O20" s="952">
        <f t="shared" si="3"/>
        <v>100</v>
      </c>
      <c r="P20" s="953">
        <f t="shared" si="4"/>
        <v>97.229396571965253</v>
      </c>
      <c r="Q20" s="963">
        <v>0.2815214839164123</v>
      </c>
      <c r="R20" s="964">
        <v>0.23080535336933553</v>
      </c>
      <c r="S20" s="964">
        <v>0.26579009157079125</v>
      </c>
      <c r="T20" s="964">
        <v>0.1195116224465837</v>
      </c>
      <c r="U20" s="964">
        <v>7.4665414416529699E-2</v>
      </c>
      <c r="V20" s="961">
        <v>0.29161420297154367</v>
      </c>
      <c r="W20" s="962">
        <v>0.24024175270712667</v>
      </c>
      <c r="X20" s="962">
        <v>0.26366154621002269</v>
      </c>
      <c r="Y20" s="962">
        <v>0.20448249811130698</v>
      </c>
      <c r="Z20" s="962">
        <v>0</v>
      </c>
      <c r="AA20" s="908" t="s">
        <v>221</v>
      </c>
    </row>
    <row r="21" spans="1:27" s="908" customFormat="1" ht="12.75" customHeight="1">
      <c r="A21" s="969" t="s">
        <v>71</v>
      </c>
      <c r="B21" s="969"/>
      <c r="C21" s="966">
        <f t="shared" si="2"/>
        <v>26.952032695203272</v>
      </c>
      <c r="D21" s="967">
        <f t="shared" si="0"/>
        <v>29.597762959776297</v>
      </c>
      <c r="E21" s="967">
        <f t="shared" si="0"/>
        <v>25.05915250591525</v>
      </c>
      <c r="F21" s="967">
        <f t="shared" si="0"/>
        <v>9.4644009464400956</v>
      </c>
      <c r="G21" s="966">
        <f t="shared" si="0"/>
        <v>8.6255108625510868</v>
      </c>
      <c r="H21" s="968">
        <f t="shared" si="0"/>
        <v>26.077148657793821</v>
      </c>
      <c r="I21" s="966">
        <f t="shared" si="1"/>
        <v>26.844123618317166</v>
      </c>
      <c r="J21" s="966">
        <f t="shared" si="1"/>
        <v>30.836905030453416</v>
      </c>
      <c r="K21" s="966">
        <f t="shared" si="1"/>
        <v>9.6999774419129263</v>
      </c>
      <c r="L21" s="966">
        <f t="shared" si="1"/>
        <v>6.5418452515226715</v>
      </c>
      <c r="M21" s="951"/>
      <c r="N21" s="939"/>
      <c r="O21" s="952">
        <f t="shared" si="3"/>
        <v>99.999999999999986</v>
      </c>
      <c r="P21" s="953">
        <f t="shared" si="4"/>
        <v>99.698859969885987</v>
      </c>
      <c r="Q21" s="963">
        <v>0.26952032695203271</v>
      </c>
      <c r="R21" s="964">
        <v>0.29597762959776297</v>
      </c>
      <c r="S21" s="964">
        <v>0.2505915250591525</v>
      </c>
      <c r="T21" s="964">
        <v>9.4644009464400949E-2</v>
      </c>
      <c r="U21" s="964">
        <v>8.6255108625510862E-2</v>
      </c>
      <c r="V21" s="961">
        <v>0.26077148657793819</v>
      </c>
      <c r="W21" s="962">
        <v>0.26844123618317167</v>
      </c>
      <c r="X21" s="962">
        <v>0.30836905030453415</v>
      </c>
      <c r="Y21" s="962">
        <v>9.6999774419129256E-2</v>
      </c>
      <c r="Z21" s="962">
        <v>6.541845251522671E-2</v>
      </c>
      <c r="AA21" s="908" t="s">
        <v>221</v>
      </c>
    </row>
    <row r="22" spans="1:27" s="970" customFormat="1" ht="12.75" customHeight="1">
      <c r="A22" s="905" t="s">
        <v>72</v>
      </c>
      <c r="B22" s="905"/>
      <c r="C22" s="951">
        <f t="shared" si="2"/>
        <v>31.908182933239882</v>
      </c>
      <c r="D22" s="959">
        <f t="shared" si="0"/>
        <v>24.759067811459612</v>
      </c>
      <c r="E22" s="959">
        <f t="shared" si="0"/>
        <v>24.110741195023657</v>
      </c>
      <c r="F22" s="959">
        <f t="shared" si="0"/>
        <v>6.5358331873138251</v>
      </c>
      <c r="G22" s="951">
        <f t="shared" si="0"/>
        <v>12.072892938496583</v>
      </c>
      <c r="H22" s="960">
        <f t="shared" si="0"/>
        <v>31.953179594689029</v>
      </c>
      <c r="I22" s="951">
        <f t="shared" si="1"/>
        <v>25.995807127882596</v>
      </c>
      <c r="J22" s="951">
        <f t="shared" si="1"/>
        <v>26.275331935709296</v>
      </c>
      <c r="K22" s="951">
        <f t="shared" si="1"/>
        <v>7.5646401118099229</v>
      </c>
      <c r="L22" s="951">
        <f t="shared" si="1"/>
        <v>8.2110412299091546</v>
      </c>
      <c r="M22" s="951"/>
      <c r="N22" s="939"/>
      <c r="O22" s="952">
        <f t="shared" si="3"/>
        <v>100</v>
      </c>
      <c r="P22" s="953">
        <f t="shared" si="4"/>
        <v>99.386718065533557</v>
      </c>
      <c r="Q22" s="963">
        <v>0.31908182933239881</v>
      </c>
      <c r="R22" s="964">
        <v>0.24759067811459612</v>
      </c>
      <c r="S22" s="964">
        <v>0.24110741195023655</v>
      </c>
      <c r="T22" s="964">
        <v>6.5358331873138248E-2</v>
      </c>
      <c r="U22" s="964">
        <v>0.12072892938496584</v>
      </c>
      <c r="V22" s="961">
        <v>0.3195317959468903</v>
      </c>
      <c r="W22" s="962">
        <v>0.25995807127882598</v>
      </c>
      <c r="X22" s="962">
        <v>0.26275331935709295</v>
      </c>
      <c r="Y22" s="962">
        <v>7.5646401118099227E-2</v>
      </c>
      <c r="Z22" s="962">
        <v>8.2110412299091551E-2</v>
      </c>
      <c r="AA22" s="970" t="s">
        <v>221</v>
      </c>
    </row>
    <row r="23" spans="1:27" s="970" customFormat="1" ht="12.75" customHeight="1">
      <c r="A23" s="905" t="s">
        <v>73</v>
      </c>
      <c r="B23" s="905"/>
      <c r="C23" s="951">
        <f t="shared" si="2"/>
        <v>26.347525891829687</v>
      </c>
      <c r="D23" s="959">
        <f t="shared" ref="D23:L25" si="5">+R23*100</f>
        <v>25.086306098964329</v>
      </c>
      <c r="E23" s="959">
        <f t="shared" si="5"/>
        <v>20.764096662830838</v>
      </c>
      <c r="F23" s="959">
        <f t="shared" si="5"/>
        <v>5.1093210586881472</v>
      </c>
      <c r="G23" s="951">
        <f t="shared" si="5"/>
        <v>16.672036823935557</v>
      </c>
      <c r="H23" s="960">
        <f t="shared" si="5"/>
        <v>26.817583574624905</v>
      </c>
      <c r="I23" s="951">
        <f t="shared" si="5"/>
        <v>23.922084759147143</v>
      </c>
      <c r="J23" s="951">
        <f t="shared" si="5"/>
        <v>25.580415898920766</v>
      </c>
      <c r="K23" s="951">
        <f t="shared" si="5"/>
        <v>4.8117925769939456</v>
      </c>
      <c r="L23" s="951">
        <f t="shared" si="5"/>
        <v>18.868123190313241</v>
      </c>
      <c r="M23" s="951"/>
      <c r="N23" s="939"/>
      <c r="O23" s="952">
        <f t="shared" si="3"/>
        <v>100</v>
      </c>
      <c r="P23" s="953">
        <f t="shared" si="4"/>
        <v>93.979286536248566</v>
      </c>
      <c r="Q23" s="963">
        <v>0.26347525891829687</v>
      </c>
      <c r="R23" s="964">
        <v>0.25086306098964328</v>
      </c>
      <c r="S23" s="964">
        <v>0.20764096662830839</v>
      </c>
      <c r="T23" s="964">
        <v>5.1093210586881474E-2</v>
      </c>
      <c r="U23" s="964">
        <v>0.16672036823935557</v>
      </c>
      <c r="V23" s="961">
        <v>0.26817583574624904</v>
      </c>
      <c r="W23" s="962">
        <v>0.23922084759147144</v>
      </c>
      <c r="X23" s="962">
        <v>0.25580415898920766</v>
      </c>
      <c r="Y23" s="962">
        <v>4.8117925769939458E-2</v>
      </c>
      <c r="Z23" s="962">
        <v>0.18868123190313241</v>
      </c>
      <c r="AA23" s="970" t="s">
        <v>221</v>
      </c>
    </row>
    <row r="24" spans="1:27" s="970" customFormat="1" ht="12.75" customHeight="1">
      <c r="A24" s="905" t="s">
        <v>74</v>
      </c>
      <c r="B24" s="905"/>
      <c r="C24" s="951">
        <f t="shared" si="2"/>
        <v>29.646062317233035</v>
      </c>
      <c r="D24" s="959">
        <f t="shared" si="5"/>
        <v>29.484723202581424</v>
      </c>
      <c r="E24" s="959">
        <f t="shared" si="5"/>
        <v>25.844509428254515</v>
      </c>
      <c r="F24" s="959">
        <f t="shared" si="5"/>
        <v>9.3980034284561871</v>
      </c>
      <c r="G24" s="951">
        <f t="shared" si="5"/>
        <v>5.5460320661490368</v>
      </c>
      <c r="H24" s="960">
        <f t="shared" si="5"/>
        <v>30.392043483289001</v>
      </c>
      <c r="I24" s="951">
        <f t="shared" si="5"/>
        <v>29.119925985891058</v>
      </c>
      <c r="J24" s="951">
        <f t="shared" si="5"/>
        <v>26.795420377009364</v>
      </c>
      <c r="K24" s="951">
        <f t="shared" si="5"/>
        <v>10.477622296750317</v>
      </c>
      <c r="L24" s="951">
        <f t="shared" si="5"/>
        <v>3.2149878570602524</v>
      </c>
      <c r="M24" s="951"/>
      <c r="N24" s="939"/>
      <c r="O24" s="952">
        <f t="shared" si="3"/>
        <v>99.999999999999986</v>
      </c>
      <c r="P24" s="953">
        <f t="shared" si="4"/>
        <v>99.919330442674209</v>
      </c>
      <c r="Q24" s="963">
        <v>0.29646062317233035</v>
      </c>
      <c r="R24" s="964">
        <v>0.29484723202581425</v>
      </c>
      <c r="S24" s="964">
        <v>0.25844509428254514</v>
      </c>
      <c r="T24" s="964">
        <v>9.3980034284561864E-2</v>
      </c>
      <c r="U24" s="964">
        <v>5.546032066149037E-2</v>
      </c>
      <c r="V24" s="961">
        <v>0.30392043483289</v>
      </c>
      <c r="W24" s="962">
        <v>0.2911992598589106</v>
      </c>
      <c r="X24" s="962">
        <v>0.26795420377009366</v>
      </c>
      <c r="Y24" s="962">
        <v>0.10477622296750318</v>
      </c>
      <c r="Z24" s="962">
        <v>3.2149878570602523E-2</v>
      </c>
      <c r="AA24" s="970" t="s">
        <v>221</v>
      </c>
    </row>
    <row r="25" spans="1:27" s="913" customFormat="1" ht="12.75" customHeight="1">
      <c r="A25" s="971" t="s">
        <v>75</v>
      </c>
      <c r="B25" s="971"/>
      <c r="C25" s="947">
        <f t="shared" si="2"/>
        <v>28.060629615235133</v>
      </c>
      <c r="D25" s="947">
        <f t="shared" si="5"/>
        <v>28.410415856976289</v>
      </c>
      <c r="E25" s="947">
        <f t="shared" si="5"/>
        <v>32.452390205985232</v>
      </c>
      <c r="F25" s="947">
        <f t="shared" si="5"/>
        <v>8.5114652157015165</v>
      </c>
      <c r="G25" s="947">
        <f t="shared" si="5"/>
        <v>1.9432568985619898</v>
      </c>
      <c r="H25" s="972">
        <f t="shared" si="5"/>
        <v>30.177258971033289</v>
      </c>
      <c r="I25" s="947">
        <f t="shared" si="5"/>
        <v>25.421530479896237</v>
      </c>
      <c r="J25" s="947">
        <f t="shared" si="5"/>
        <v>34.025075659316904</v>
      </c>
      <c r="K25" s="947">
        <f t="shared" si="5"/>
        <v>8.2144401210549063</v>
      </c>
      <c r="L25" s="947">
        <f t="shared" si="5"/>
        <v>2.1616947686986596</v>
      </c>
      <c r="M25" s="951"/>
      <c r="N25" s="939"/>
      <c r="O25" s="973">
        <f t="shared" si="3"/>
        <v>100.00000000000001</v>
      </c>
      <c r="P25" s="974">
        <f t="shared" si="4"/>
        <v>99.378157792460158</v>
      </c>
      <c r="Q25" s="975">
        <v>0.28060629615235133</v>
      </c>
      <c r="R25" s="976">
        <v>0.2841041585697629</v>
      </c>
      <c r="S25" s="976">
        <v>0.32452390205985232</v>
      </c>
      <c r="T25" s="976">
        <v>8.5114652157015164E-2</v>
      </c>
      <c r="U25" s="977">
        <v>1.9432568985619899E-2</v>
      </c>
      <c r="V25" s="978">
        <v>0.30177258971033288</v>
      </c>
      <c r="W25" s="979">
        <v>0.25421530479896237</v>
      </c>
      <c r="X25" s="979">
        <v>0.34025075659316906</v>
      </c>
      <c r="Y25" s="979">
        <v>8.214440121054907E-2</v>
      </c>
      <c r="Z25" s="979">
        <v>2.1616947686986597E-2</v>
      </c>
      <c r="AA25" s="913" t="s">
        <v>221</v>
      </c>
    </row>
    <row r="26" spans="1:27" s="907" customFormat="1" ht="12.75" customHeight="1">
      <c r="A26" s="958" t="s">
        <v>171</v>
      </c>
      <c r="B26" s="958"/>
      <c r="C26" s="980">
        <f t="shared" ref="C26:L53" si="6">+Q26*100</f>
        <v>34.377438992663514</v>
      </c>
      <c r="D26" s="981">
        <f t="shared" si="6"/>
        <v>23.020621953969162</v>
      </c>
      <c r="E26" s="981">
        <f t="shared" si="6"/>
        <v>21.71115389284909</v>
      </c>
      <c r="F26" s="981">
        <f t="shared" si="6"/>
        <v>6.6028409386544569</v>
      </c>
      <c r="G26" s="980">
        <f t="shared" si="6"/>
        <v>14.28794422186378</v>
      </c>
      <c r="H26" s="982">
        <f t="shared" si="6"/>
        <v>36.861656294877932</v>
      </c>
      <c r="I26" s="980">
        <f t="shared" si="6"/>
        <v>24.220201053135469</v>
      </c>
      <c r="J26" s="980">
        <f t="shared" si="6"/>
        <v>22.326471996170415</v>
      </c>
      <c r="K26" s="980">
        <f t="shared" si="6"/>
        <v>5.4456677836285303</v>
      </c>
      <c r="L26" s="980">
        <f t="shared" si="6"/>
        <v>11.146002872187649</v>
      </c>
      <c r="M26" s="951">
        <f>+D26+C26</f>
        <v>57.398060946632675</v>
      </c>
      <c r="N26" s="951">
        <f>+I26+H26</f>
        <v>61.081857348013401</v>
      </c>
      <c r="O26" s="952">
        <f t="shared" si="3"/>
        <v>100</v>
      </c>
      <c r="P26" s="953">
        <f t="shared" si="4"/>
        <v>100</v>
      </c>
      <c r="Q26" s="963">
        <v>0.34377438992663512</v>
      </c>
      <c r="R26" s="964">
        <v>0.23020621953969161</v>
      </c>
      <c r="S26" s="964">
        <v>0.21711153892849092</v>
      </c>
      <c r="T26" s="964">
        <v>6.602840938654457E-2</v>
      </c>
      <c r="U26" s="964">
        <v>0.1428794422186378</v>
      </c>
      <c r="V26" s="961">
        <v>0.36861656294877931</v>
      </c>
      <c r="W26" s="962">
        <v>0.24220201053135471</v>
      </c>
      <c r="X26" s="962">
        <v>0.22326471996170416</v>
      </c>
      <c r="Y26" s="962">
        <v>5.4456677836285307E-2</v>
      </c>
      <c r="Z26" s="962">
        <v>0.11146002872187649</v>
      </c>
    </row>
    <row r="27" spans="1:27" s="907" customFormat="1" ht="12.75" customHeight="1">
      <c r="A27" s="958"/>
      <c r="B27" s="958"/>
      <c r="C27" s="980"/>
      <c r="D27" s="981"/>
      <c r="E27" s="981"/>
      <c r="F27" s="981"/>
      <c r="G27" s="980"/>
      <c r="H27" s="982"/>
      <c r="I27" s="980"/>
      <c r="J27" s="980"/>
      <c r="K27" s="980"/>
      <c r="L27" s="980"/>
      <c r="M27" s="983"/>
      <c r="N27" s="939"/>
      <c r="O27" s="952"/>
      <c r="P27" s="953"/>
      <c r="Q27" s="963"/>
      <c r="R27" s="964"/>
      <c r="S27" s="964"/>
      <c r="T27" s="964"/>
      <c r="U27" s="964"/>
      <c r="V27" s="961"/>
      <c r="W27" s="962"/>
      <c r="X27" s="962"/>
      <c r="Y27" s="962"/>
      <c r="Z27" s="962"/>
    </row>
    <row r="28" spans="1:27" s="987" customFormat="1">
      <c r="A28" s="984" t="s">
        <v>174</v>
      </c>
      <c r="B28" s="985"/>
      <c r="C28" s="966">
        <f t="shared" si="6"/>
        <v>21.506442021803764</v>
      </c>
      <c r="D28" s="967">
        <f t="shared" si="6"/>
        <v>28.543111992071356</v>
      </c>
      <c r="E28" s="967">
        <f t="shared" si="6"/>
        <v>40.83250743310208</v>
      </c>
      <c r="F28" s="967">
        <f t="shared" si="6"/>
        <v>8.9197224975222991</v>
      </c>
      <c r="G28" s="966">
        <f t="shared" si="6"/>
        <v>0.19821605550049554</v>
      </c>
      <c r="H28" s="968">
        <f t="shared" si="6"/>
        <v>19.598470363288719</v>
      </c>
      <c r="I28" s="966">
        <f t="shared" si="6"/>
        <v>28.011472275334608</v>
      </c>
      <c r="J28" s="966">
        <f t="shared" si="6"/>
        <v>43.212237093690248</v>
      </c>
      <c r="K28" s="966">
        <f t="shared" si="6"/>
        <v>8.0305927342256211</v>
      </c>
      <c r="L28" s="966">
        <f t="shared" si="6"/>
        <v>1.1472275334608031</v>
      </c>
      <c r="M28" s="986"/>
      <c r="N28" s="903"/>
      <c r="O28" s="952">
        <f t="shared" si="3"/>
        <v>100</v>
      </c>
      <c r="P28" s="953">
        <f t="shared" si="4"/>
        <v>100</v>
      </c>
      <c r="Q28" s="963">
        <v>0.21506442021803765</v>
      </c>
      <c r="R28" s="964">
        <v>0.28543111992071357</v>
      </c>
      <c r="S28" s="964">
        <v>0.40832507433102083</v>
      </c>
      <c r="T28" s="964">
        <v>8.9197224975222991E-2</v>
      </c>
      <c r="U28" s="964">
        <v>1.9821605550049554E-3</v>
      </c>
      <c r="V28" s="961">
        <v>0.1959847036328872</v>
      </c>
      <c r="W28" s="962">
        <v>0.28011472275334609</v>
      </c>
      <c r="X28" s="962">
        <v>0.43212237093690248</v>
      </c>
      <c r="Y28" s="962">
        <v>8.0305927342256209E-2</v>
      </c>
      <c r="Z28" s="962">
        <v>1.1472275334608031E-2</v>
      </c>
    </row>
    <row r="29" spans="1:27">
      <c r="A29" s="965" t="s">
        <v>175</v>
      </c>
      <c r="B29" s="965"/>
      <c r="C29" s="988">
        <f t="shared" si="6"/>
        <v>29.780724120346765</v>
      </c>
      <c r="D29" s="989">
        <f t="shared" si="6"/>
        <v>23.797382287948327</v>
      </c>
      <c r="E29" s="989">
        <f t="shared" si="6"/>
        <v>20.431752507224203</v>
      </c>
      <c r="F29" s="989">
        <f t="shared" si="6"/>
        <v>9.6889342172361044</v>
      </c>
      <c r="G29" s="988">
        <f t="shared" si="6"/>
        <v>16.301206867244602</v>
      </c>
      <c r="H29" s="990">
        <f t="shared" si="6"/>
        <v>34.542785234899334</v>
      </c>
      <c r="I29" s="988">
        <f t="shared" si="6"/>
        <v>25.356543624161077</v>
      </c>
      <c r="J29" s="988">
        <f t="shared" si="6"/>
        <v>20.847315436241612</v>
      </c>
      <c r="K29" s="988">
        <f t="shared" si="6"/>
        <v>6.0402684563758395</v>
      </c>
      <c r="L29" s="988">
        <f t="shared" si="6"/>
        <v>13.213087248322147</v>
      </c>
      <c r="M29" s="991"/>
      <c r="N29" s="939"/>
      <c r="O29" s="952">
        <f t="shared" si="3"/>
        <v>100</v>
      </c>
      <c r="P29" s="953">
        <f t="shared" si="4"/>
        <v>100</v>
      </c>
      <c r="Q29" s="963">
        <v>0.29780724120346763</v>
      </c>
      <c r="R29" s="964">
        <v>0.23797382287948327</v>
      </c>
      <c r="S29" s="964">
        <v>0.20431752507224205</v>
      </c>
      <c r="T29" s="964">
        <v>9.6889342172361045E-2</v>
      </c>
      <c r="U29" s="964">
        <v>0.16301206867244603</v>
      </c>
      <c r="V29" s="961">
        <v>0.34542785234899331</v>
      </c>
      <c r="W29" s="962">
        <v>0.25356543624161076</v>
      </c>
      <c r="X29" s="962">
        <v>0.20847315436241612</v>
      </c>
      <c r="Y29" s="962">
        <v>6.0402684563758392E-2</v>
      </c>
      <c r="Z29" s="962">
        <v>0.13213087248322147</v>
      </c>
    </row>
    <row r="30" spans="1:27">
      <c r="A30" s="965" t="s">
        <v>176</v>
      </c>
      <c r="B30" s="965"/>
      <c r="C30" s="988">
        <f t="shared" si="6"/>
        <v>43.740955137481912</v>
      </c>
      <c r="D30" s="989">
        <f t="shared" si="6"/>
        <v>20.165520984081041</v>
      </c>
      <c r="E30" s="989">
        <f t="shared" si="6"/>
        <v>18.442474674384947</v>
      </c>
      <c r="F30" s="989">
        <f t="shared" si="6"/>
        <v>3.6179450072358899E-2</v>
      </c>
      <c r="G30" s="988">
        <f t="shared" si="6"/>
        <v>17.61486975397974</v>
      </c>
      <c r="H30" s="990">
        <f t="shared" si="6"/>
        <v>45.601116565598225</v>
      </c>
      <c r="I30" s="988">
        <f t="shared" si="6"/>
        <v>21.479449417653289</v>
      </c>
      <c r="J30" s="988">
        <f t="shared" si="6"/>
        <v>19.40995283472904</v>
      </c>
      <c r="K30" s="988">
        <f t="shared" si="6"/>
        <v>3.3689479256906345E-2</v>
      </c>
      <c r="L30" s="988">
        <f t="shared" si="6"/>
        <v>13.475791702762537</v>
      </c>
      <c r="M30" s="991"/>
      <c r="N30" s="939"/>
      <c r="O30" s="952">
        <f t="shared" si="3"/>
        <v>100</v>
      </c>
      <c r="P30" s="953">
        <f t="shared" si="4"/>
        <v>100</v>
      </c>
      <c r="Q30" s="963">
        <v>0.43740955137481913</v>
      </c>
      <c r="R30" s="964">
        <v>0.20165520984081042</v>
      </c>
      <c r="S30" s="964">
        <v>0.18442474674384948</v>
      </c>
      <c r="T30" s="964">
        <v>3.6179450072358897E-4</v>
      </c>
      <c r="U30" s="964">
        <v>0.17614869753979739</v>
      </c>
      <c r="V30" s="961">
        <v>0.45601116565598226</v>
      </c>
      <c r="W30" s="962">
        <v>0.21479449417653287</v>
      </c>
      <c r="X30" s="962">
        <v>0.19409952834729041</v>
      </c>
      <c r="Y30" s="962">
        <v>3.3689479256906346E-4</v>
      </c>
      <c r="Z30" s="962">
        <v>0.13475791702762538</v>
      </c>
    </row>
    <row r="31" spans="1:27">
      <c r="A31" s="965" t="s">
        <v>177</v>
      </c>
      <c r="B31" s="965"/>
      <c r="C31" s="988">
        <f t="shared" si="6"/>
        <v>27.197265625</v>
      </c>
      <c r="D31" s="989">
        <f t="shared" si="6"/>
        <v>25.016276041666668</v>
      </c>
      <c r="E31" s="989">
        <f t="shared" si="6"/>
        <v>21.988932291666664</v>
      </c>
      <c r="F31" s="989">
        <f t="shared" si="6"/>
        <v>18.033854166666664</v>
      </c>
      <c r="G31" s="988">
        <f t="shared" si="6"/>
        <v>7.763671875</v>
      </c>
      <c r="H31" s="990">
        <f t="shared" si="6"/>
        <v>28.821278921479319</v>
      </c>
      <c r="I31" s="988">
        <f t="shared" si="6"/>
        <v>23.446893787575153</v>
      </c>
      <c r="J31" s="988">
        <f t="shared" si="6"/>
        <v>28.256513026052104</v>
      </c>
      <c r="K31" s="988">
        <f t="shared" si="6"/>
        <v>17.198032428493352</v>
      </c>
      <c r="L31" s="988">
        <f t="shared" si="6"/>
        <v>2.2772818364000731</v>
      </c>
      <c r="M31" s="991"/>
      <c r="N31" s="939"/>
      <c r="O31" s="952">
        <f t="shared" si="3"/>
        <v>100</v>
      </c>
      <c r="P31" s="953">
        <f t="shared" si="4"/>
        <v>100</v>
      </c>
      <c r="Q31" s="963">
        <v>0.27197265625</v>
      </c>
      <c r="R31" s="964">
        <v>0.25016276041666669</v>
      </c>
      <c r="S31" s="964">
        <v>0.21988932291666666</v>
      </c>
      <c r="T31" s="964">
        <v>0.18033854166666666</v>
      </c>
      <c r="U31" s="964">
        <v>7.763671875E-2</v>
      </c>
      <c r="V31" s="961">
        <v>0.28821278921479321</v>
      </c>
      <c r="W31" s="962">
        <v>0.23446893787575152</v>
      </c>
      <c r="X31" s="962">
        <v>0.28256513026052105</v>
      </c>
      <c r="Y31" s="962">
        <v>0.17198032428493351</v>
      </c>
      <c r="Z31" s="962">
        <v>2.2772818364000729E-2</v>
      </c>
    </row>
    <row r="32" spans="1:27">
      <c r="A32" s="905" t="s">
        <v>178</v>
      </c>
      <c r="B32" s="905"/>
      <c r="C32" s="980">
        <f t="shared" si="6"/>
        <v>36.397058823529413</v>
      </c>
      <c r="D32" s="981">
        <f t="shared" si="6"/>
        <v>30.073529411764703</v>
      </c>
      <c r="E32" s="981">
        <f t="shared" si="6"/>
        <v>21.617647058823529</v>
      </c>
      <c r="F32" s="981">
        <f t="shared" si="6"/>
        <v>11.911764705882351</v>
      </c>
      <c r="G32" s="951" t="str">
        <f>IF((U32*100)&lt;0.1, "*", U32*100)</f>
        <v>*</v>
      </c>
      <c r="H32" s="982">
        <f t="shared" si="6"/>
        <v>37.915742793791573</v>
      </c>
      <c r="I32" s="980">
        <f t="shared" si="6"/>
        <v>26.385809312638582</v>
      </c>
      <c r="J32" s="980">
        <f t="shared" si="6"/>
        <v>25.646711012564673</v>
      </c>
      <c r="K32" s="980">
        <f t="shared" si="6"/>
        <v>10.051736881005175</v>
      </c>
      <c r="L32" s="980">
        <f t="shared" si="6"/>
        <v>0</v>
      </c>
      <c r="M32" s="991"/>
      <c r="N32" s="939"/>
      <c r="O32" s="952">
        <f t="shared" si="3"/>
        <v>99.999999999999986</v>
      </c>
      <c r="P32" s="953">
        <f t="shared" si="4"/>
        <v>100</v>
      </c>
      <c r="Q32" s="963">
        <v>0.3639705882352941</v>
      </c>
      <c r="R32" s="964">
        <v>0.30073529411764705</v>
      </c>
      <c r="S32" s="964">
        <v>0.2161764705882353</v>
      </c>
      <c r="T32" s="964">
        <v>0.11911764705882352</v>
      </c>
      <c r="U32" s="964">
        <v>0</v>
      </c>
      <c r="V32" s="961">
        <v>0.37915742793791574</v>
      </c>
      <c r="W32" s="962">
        <v>0.26385809312638581</v>
      </c>
      <c r="X32" s="962">
        <v>0.25646711012564671</v>
      </c>
      <c r="Y32" s="962">
        <v>0.10051736881005174</v>
      </c>
      <c r="Z32" s="962">
        <v>0</v>
      </c>
    </row>
    <row r="33" spans="1:26">
      <c r="A33" s="905" t="s">
        <v>179</v>
      </c>
      <c r="B33" s="905"/>
      <c r="C33" s="980">
        <f t="shared" si="6"/>
        <v>26.281732205077152</v>
      </c>
      <c r="D33" s="981">
        <f t="shared" si="6"/>
        <v>23.593827775012443</v>
      </c>
      <c r="E33" s="981">
        <f t="shared" si="6"/>
        <v>29.71627675460428</v>
      </c>
      <c r="F33" s="981">
        <f t="shared" si="6"/>
        <v>7.5659532105525136</v>
      </c>
      <c r="G33" s="980">
        <f t="shared" si="6"/>
        <v>12.842210054753608</v>
      </c>
      <c r="H33" s="982">
        <f t="shared" si="6"/>
        <v>30.221262817053429</v>
      </c>
      <c r="I33" s="980">
        <f t="shared" si="6"/>
        <v>24.878575283324338</v>
      </c>
      <c r="J33" s="980">
        <f t="shared" si="6"/>
        <v>23.52941176470588</v>
      </c>
      <c r="K33" s="980">
        <f t="shared" si="6"/>
        <v>8.2029141932002148</v>
      </c>
      <c r="L33" s="980">
        <f t="shared" si="6"/>
        <v>13.167835941716136</v>
      </c>
      <c r="M33" s="991"/>
      <c r="N33" s="939"/>
      <c r="O33" s="952">
        <f t="shared" si="3"/>
        <v>100</v>
      </c>
      <c r="P33" s="953">
        <f t="shared" si="4"/>
        <v>99.999999999999986</v>
      </c>
      <c r="Q33" s="963">
        <v>0.26281732205077152</v>
      </c>
      <c r="R33" s="964">
        <v>0.23593827775012444</v>
      </c>
      <c r="S33" s="964">
        <v>0.29716276754604282</v>
      </c>
      <c r="T33" s="964">
        <v>7.5659532105525132E-2</v>
      </c>
      <c r="U33" s="964">
        <v>0.12842210054753608</v>
      </c>
      <c r="V33" s="961">
        <v>0.30221262817053429</v>
      </c>
      <c r="W33" s="962">
        <v>0.24878575283324339</v>
      </c>
      <c r="X33" s="962">
        <v>0.23529411764705882</v>
      </c>
      <c r="Y33" s="962">
        <v>8.2029141932002156E-2</v>
      </c>
      <c r="Z33" s="962">
        <v>0.13167835941716136</v>
      </c>
    </row>
    <row r="34" spans="1:26">
      <c r="A34" s="905" t="s">
        <v>180</v>
      </c>
      <c r="B34" s="905"/>
      <c r="C34" s="980">
        <f t="shared" si="6"/>
        <v>32.868904369854341</v>
      </c>
      <c r="D34" s="981">
        <f t="shared" si="6"/>
        <v>24.635845471817603</v>
      </c>
      <c r="E34" s="981">
        <f t="shared" si="6"/>
        <v>24.319189360354653</v>
      </c>
      <c r="F34" s="981">
        <f t="shared" si="6"/>
        <v>9.119696010132996</v>
      </c>
      <c r="G34" s="980">
        <f t="shared" si="6"/>
        <v>9.0563647878404048</v>
      </c>
      <c r="H34" s="982">
        <f t="shared" si="6"/>
        <v>31.555834378920956</v>
      </c>
      <c r="I34" s="980">
        <f t="shared" si="6"/>
        <v>24.215809284818068</v>
      </c>
      <c r="J34" s="980">
        <f t="shared" si="6"/>
        <v>22.835633626097867</v>
      </c>
      <c r="K34" s="980">
        <f t="shared" si="6"/>
        <v>12.296110414052698</v>
      </c>
      <c r="L34" s="980">
        <f t="shared" si="6"/>
        <v>9.096612296110413</v>
      </c>
      <c r="M34" s="991"/>
      <c r="N34" s="939"/>
      <c r="O34" s="952">
        <f t="shared" si="3"/>
        <v>100</v>
      </c>
      <c r="P34" s="953">
        <f t="shared" si="4"/>
        <v>100</v>
      </c>
      <c r="Q34" s="963">
        <v>0.3286890436985434</v>
      </c>
      <c r="R34" s="964">
        <v>0.24635845471817605</v>
      </c>
      <c r="S34" s="964">
        <v>0.24319189360354654</v>
      </c>
      <c r="T34" s="964">
        <v>9.1196960101329952E-2</v>
      </c>
      <c r="U34" s="964">
        <v>9.0563647878404055E-2</v>
      </c>
      <c r="V34" s="961">
        <v>0.31555834378920955</v>
      </c>
      <c r="W34" s="962">
        <v>0.24215809284818068</v>
      </c>
      <c r="X34" s="962">
        <v>0.22835633626097868</v>
      </c>
      <c r="Y34" s="962">
        <v>0.12296110414052698</v>
      </c>
      <c r="Z34" s="962">
        <v>9.0966122961104137E-2</v>
      </c>
    </row>
    <row r="35" spans="1:26">
      <c r="A35" s="905" t="s">
        <v>181</v>
      </c>
      <c r="B35" s="905"/>
      <c r="C35" s="980">
        <f t="shared" si="6"/>
        <v>28.691476590636256</v>
      </c>
      <c r="D35" s="981">
        <f t="shared" si="6"/>
        <v>26.950780312124849</v>
      </c>
      <c r="E35" s="981">
        <f t="shared" si="6"/>
        <v>30.972388955582232</v>
      </c>
      <c r="F35" s="981">
        <f t="shared" si="6"/>
        <v>0.18007202881152462</v>
      </c>
      <c r="G35" s="980">
        <f t="shared" si="6"/>
        <v>13.205282112845138</v>
      </c>
      <c r="H35" s="982">
        <f t="shared" si="6"/>
        <v>30.429042904290426</v>
      </c>
      <c r="I35" s="980">
        <f t="shared" si="6"/>
        <v>33.597359735973598</v>
      </c>
      <c r="J35" s="980">
        <f t="shared" si="6"/>
        <v>24.818481848184817</v>
      </c>
      <c r="K35" s="980">
        <f t="shared" si="6"/>
        <v>5.3465346534653468</v>
      </c>
      <c r="L35" s="980">
        <f t="shared" si="6"/>
        <v>5.8085808580858087</v>
      </c>
      <c r="M35" s="991"/>
      <c r="N35" s="939"/>
      <c r="O35" s="952">
        <f t="shared" si="3"/>
        <v>99.999999999999986</v>
      </c>
      <c r="P35" s="953">
        <f t="shared" si="4"/>
        <v>100</v>
      </c>
      <c r="Q35" s="963">
        <v>0.28691476590636256</v>
      </c>
      <c r="R35" s="964">
        <v>0.2695078031212485</v>
      </c>
      <c r="S35" s="964">
        <v>0.30972388955582231</v>
      </c>
      <c r="T35" s="964">
        <v>1.8007202881152461E-3</v>
      </c>
      <c r="U35" s="964">
        <v>0.13205282112845138</v>
      </c>
      <c r="V35" s="961">
        <v>0.30429042904290426</v>
      </c>
      <c r="W35" s="962">
        <v>0.33597359735973598</v>
      </c>
      <c r="X35" s="962">
        <v>0.24818481848184817</v>
      </c>
      <c r="Y35" s="962">
        <v>5.3465346534653464E-2</v>
      </c>
      <c r="Z35" s="962">
        <v>5.8085808580858087E-2</v>
      </c>
    </row>
    <row r="36" spans="1:26" s="993" customFormat="1">
      <c r="A36" s="969" t="s">
        <v>182</v>
      </c>
      <c r="B36" s="969"/>
      <c r="C36" s="988">
        <f t="shared" si="6"/>
        <v>27.371916508538902</v>
      </c>
      <c r="D36" s="989">
        <f t="shared" si="6"/>
        <v>27.466793168880454</v>
      </c>
      <c r="E36" s="989">
        <f t="shared" si="6"/>
        <v>30.407969639468689</v>
      </c>
      <c r="F36" s="989">
        <f t="shared" si="6"/>
        <v>4.5540796963946866</v>
      </c>
      <c r="G36" s="988">
        <f t="shared" si="6"/>
        <v>10.199240986717268</v>
      </c>
      <c r="H36" s="990">
        <f t="shared" si="6"/>
        <v>32.162921348314605</v>
      </c>
      <c r="I36" s="988">
        <f t="shared" si="6"/>
        <v>31.320224719101127</v>
      </c>
      <c r="J36" s="988">
        <f t="shared" si="6"/>
        <v>26.123595505617981</v>
      </c>
      <c r="K36" s="988">
        <f t="shared" si="6"/>
        <v>3.5580524344569286</v>
      </c>
      <c r="L36" s="988">
        <f t="shared" si="6"/>
        <v>6.8352059925093638</v>
      </c>
      <c r="M36" s="991"/>
      <c r="N36" s="939"/>
      <c r="O36" s="952">
        <f t="shared" si="3"/>
        <v>100</v>
      </c>
      <c r="P36" s="953">
        <f t="shared" si="4"/>
        <v>100</v>
      </c>
      <c r="Q36" s="963">
        <v>0.27371916508538902</v>
      </c>
      <c r="R36" s="964">
        <v>0.27466793168880455</v>
      </c>
      <c r="S36" s="964">
        <v>0.3040796963946869</v>
      </c>
      <c r="T36" s="964">
        <v>4.5540796963946868E-2</v>
      </c>
      <c r="U36" s="964">
        <v>0.10199240986717267</v>
      </c>
      <c r="V36" s="961">
        <v>0.32162921348314605</v>
      </c>
      <c r="W36" s="962">
        <v>0.31320224719101125</v>
      </c>
      <c r="X36" s="962">
        <v>0.2612359550561798</v>
      </c>
      <c r="Y36" s="962">
        <v>3.5580524344569285E-2</v>
      </c>
      <c r="Z36" s="962">
        <v>6.8352059925093633E-2</v>
      </c>
    </row>
    <row r="37" spans="1:26">
      <c r="A37" s="969" t="s">
        <v>183</v>
      </c>
      <c r="B37" s="969"/>
      <c r="C37" s="988">
        <f t="shared" si="6"/>
        <v>27.644787644787645</v>
      </c>
      <c r="D37" s="989">
        <f t="shared" si="6"/>
        <v>23.114543114543114</v>
      </c>
      <c r="E37" s="989">
        <f t="shared" si="6"/>
        <v>23.861003861003859</v>
      </c>
      <c r="F37" s="989">
        <f t="shared" si="6"/>
        <v>24.453024453024451</v>
      </c>
      <c r="G37" s="988">
        <f t="shared" si="6"/>
        <v>0.92664092664092657</v>
      </c>
      <c r="H37" s="990">
        <f t="shared" si="6"/>
        <v>29.450171821305844</v>
      </c>
      <c r="I37" s="988">
        <f t="shared" si="6"/>
        <v>27.457044673539521</v>
      </c>
      <c r="J37" s="988">
        <f t="shared" si="6"/>
        <v>22.164948453608247</v>
      </c>
      <c r="K37" s="988">
        <f t="shared" si="6"/>
        <v>18.831615120274915</v>
      </c>
      <c r="L37" s="988">
        <f t="shared" si="6"/>
        <v>2.0962199312714773</v>
      </c>
      <c r="M37" s="991"/>
      <c r="N37" s="939"/>
      <c r="O37" s="952">
        <f t="shared" si="3"/>
        <v>100</v>
      </c>
      <c r="P37" s="953">
        <f t="shared" si="4"/>
        <v>100</v>
      </c>
      <c r="Q37" s="963">
        <v>0.27644787644787644</v>
      </c>
      <c r="R37" s="964">
        <v>0.23114543114543115</v>
      </c>
      <c r="S37" s="964">
        <v>0.2386100386100386</v>
      </c>
      <c r="T37" s="964">
        <v>0.24453024453024452</v>
      </c>
      <c r="U37" s="964">
        <v>9.2664092664092659E-3</v>
      </c>
      <c r="V37" s="961">
        <v>0.29450171821305843</v>
      </c>
      <c r="W37" s="962">
        <v>0.27457044673539521</v>
      </c>
      <c r="X37" s="962">
        <v>0.22164948453608246</v>
      </c>
      <c r="Y37" s="962">
        <v>0.18831615120274914</v>
      </c>
      <c r="Z37" s="962">
        <v>2.0962199312714775E-2</v>
      </c>
    </row>
    <row r="38" spans="1:26">
      <c r="A38" s="969" t="s">
        <v>184</v>
      </c>
      <c r="B38" s="969"/>
      <c r="C38" s="988">
        <f t="shared" si="6"/>
        <v>26.510513707745542</v>
      </c>
      <c r="D38" s="989">
        <f t="shared" si="6"/>
        <v>25.472451424008518</v>
      </c>
      <c r="E38" s="989">
        <f t="shared" si="6"/>
        <v>24.487623103540059</v>
      </c>
      <c r="F38" s="989">
        <f t="shared" si="6"/>
        <v>3.3803566675538992</v>
      </c>
      <c r="G38" s="988">
        <f t="shared" si="6"/>
        <v>20.149055097151983</v>
      </c>
      <c r="H38" s="990">
        <f t="shared" si="6"/>
        <v>29.512804497189254</v>
      </c>
      <c r="I38" s="988">
        <f t="shared" si="6"/>
        <v>26.983135540287321</v>
      </c>
      <c r="J38" s="988">
        <f t="shared" si="6"/>
        <v>23.173016864459715</v>
      </c>
      <c r="K38" s="988">
        <f t="shared" si="6"/>
        <v>3.0293566520924422</v>
      </c>
      <c r="L38" s="988">
        <f t="shared" si="6"/>
        <v>17.301686445971267</v>
      </c>
      <c r="M38" s="991"/>
      <c r="N38" s="939"/>
      <c r="O38" s="952">
        <f t="shared" si="3"/>
        <v>100</v>
      </c>
      <c r="P38" s="953">
        <f t="shared" si="4"/>
        <v>100</v>
      </c>
      <c r="Q38" s="963">
        <v>0.26510513707745542</v>
      </c>
      <c r="R38" s="964">
        <v>0.25472451424008519</v>
      </c>
      <c r="S38" s="964">
        <v>0.2448762310354006</v>
      </c>
      <c r="T38" s="964">
        <v>3.3803566675538993E-2</v>
      </c>
      <c r="U38" s="964">
        <v>0.20149055097151983</v>
      </c>
      <c r="V38" s="961">
        <v>0.29512804497189254</v>
      </c>
      <c r="W38" s="962">
        <v>0.26983135540287323</v>
      </c>
      <c r="X38" s="962">
        <v>0.23173016864459714</v>
      </c>
      <c r="Y38" s="962">
        <v>3.0293566520924423E-2</v>
      </c>
      <c r="Z38" s="962">
        <v>0.17301686445971268</v>
      </c>
    </row>
    <row r="39" spans="1:26">
      <c r="A39" s="969" t="s">
        <v>185</v>
      </c>
      <c r="B39" s="969"/>
      <c r="C39" s="988">
        <f t="shared" si="6"/>
        <v>30.14283064366537</v>
      </c>
      <c r="D39" s="989">
        <f t="shared" si="6"/>
        <v>22.871452420701168</v>
      </c>
      <c r="E39" s="989">
        <f t="shared" si="6"/>
        <v>18.864774624373958</v>
      </c>
      <c r="F39" s="989">
        <f t="shared" si="6"/>
        <v>5.6390280096457062</v>
      </c>
      <c r="G39" s="988">
        <f t="shared" si="6"/>
        <v>22.481914301613802</v>
      </c>
      <c r="H39" s="990">
        <f t="shared" si="6"/>
        <v>33.030365626936579</v>
      </c>
      <c r="I39" s="988">
        <f t="shared" si="6"/>
        <v>23.755422433381533</v>
      </c>
      <c r="J39" s="988">
        <f t="shared" si="6"/>
        <v>20.409006403635612</v>
      </c>
      <c r="K39" s="988">
        <f t="shared" si="6"/>
        <v>4.8130551538938233</v>
      </c>
      <c r="L39" s="988">
        <f t="shared" si="6"/>
        <v>17.992150382152445</v>
      </c>
      <c r="M39" s="991"/>
      <c r="N39" s="939"/>
      <c r="O39" s="952">
        <f t="shared" si="3"/>
        <v>100</v>
      </c>
      <c r="P39" s="953">
        <f t="shared" si="4"/>
        <v>99.999999999999986</v>
      </c>
      <c r="Q39" s="963">
        <v>0.30142830643665369</v>
      </c>
      <c r="R39" s="964">
        <v>0.22871452420701169</v>
      </c>
      <c r="S39" s="964">
        <v>0.18864774624373956</v>
      </c>
      <c r="T39" s="964">
        <v>5.6390280096457059E-2</v>
      </c>
      <c r="U39" s="964">
        <v>0.22481914301613801</v>
      </c>
      <c r="V39" s="961">
        <v>0.33030365626936581</v>
      </c>
      <c r="W39" s="962">
        <v>0.23755422433381532</v>
      </c>
      <c r="X39" s="962">
        <v>0.20409006403635613</v>
      </c>
      <c r="Y39" s="962">
        <v>4.8130551538938235E-2</v>
      </c>
      <c r="Z39" s="962">
        <v>0.17992150382152447</v>
      </c>
    </row>
    <row r="40" spans="1:26">
      <c r="A40" s="994" t="s">
        <v>186</v>
      </c>
      <c r="B40" s="994"/>
      <c r="C40" s="995">
        <f t="shared" si="6"/>
        <v>28.779840848806366</v>
      </c>
      <c r="D40" s="996">
        <f t="shared" si="6"/>
        <v>26.657824933687003</v>
      </c>
      <c r="E40" s="996">
        <f t="shared" si="6"/>
        <v>23.740053050397876</v>
      </c>
      <c r="F40" s="996">
        <f t="shared" si="6"/>
        <v>12.334217506631299</v>
      </c>
      <c r="G40" s="997">
        <f t="shared" si="6"/>
        <v>8.4880636604774526</v>
      </c>
      <c r="H40" s="998">
        <f t="shared" si="6"/>
        <v>29.324324324324323</v>
      </c>
      <c r="I40" s="997">
        <f t="shared" si="6"/>
        <v>27.297297297297295</v>
      </c>
      <c r="J40" s="997">
        <f t="shared" si="6"/>
        <v>23.513513513513516</v>
      </c>
      <c r="K40" s="997">
        <f t="shared" si="6"/>
        <v>0.27027027027027029</v>
      </c>
      <c r="L40" s="997">
        <f t="shared" si="6"/>
        <v>19.594594594594593</v>
      </c>
      <c r="M40" s="991"/>
      <c r="N40" s="939"/>
      <c r="O40" s="973">
        <f t="shared" si="3"/>
        <v>100</v>
      </c>
      <c r="P40" s="974">
        <f t="shared" si="4"/>
        <v>100</v>
      </c>
      <c r="Q40" s="975">
        <v>0.28779840848806365</v>
      </c>
      <c r="R40" s="976">
        <v>0.26657824933687002</v>
      </c>
      <c r="S40" s="976">
        <v>0.23740053050397877</v>
      </c>
      <c r="T40" s="976">
        <v>0.123342175066313</v>
      </c>
      <c r="U40" s="976">
        <v>8.4880636604774531E-2</v>
      </c>
      <c r="V40" s="978">
        <v>0.29324324324324325</v>
      </c>
      <c r="W40" s="979">
        <v>0.27297297297297296</v>
      </c>
      <c r="X40" s="979">
        <v>0.23513513513513515</v>
      </c>
      <c r="Y40" s="979">
        <v>2.7027027027027029E-3</v>
      </c>
      <c r="Z40" s="979">
        <v>0.19594594594594594</v>
      </c>
    </row>
    <row r="41" spans="1:26">
      <c r="A41" s="958" t="s">
        <v>172</v>
      </c>
      <c r="B41" s="958"/>
      <c r="C41" s="999">
        <f t="shared" si="6"/>
        <v>29.741203018122842</v>
      </c>
      <c r="D41" s="980">
        <f t="shared" si="6"/>
        <v>26.467809040265145</v>
      </c>
      <c r="E41" s="980">
        <f t="shared" si="6"/>
        <v>24.161906776673014</v>
      </c>
      <c r="F41" s="980">
        <f t="shared" si="6"/>
        <v>5.8289260277836537</v>
      </c>
      <c r="G41" s="980">
        <f t="shared" si="6"/>
        <v>13.800155137155349</v>
      </c>
      <c r="H41" s="1000">
        <f t="shared" si="6"/>
        <v>30.921360130871701</v>
      </c>
      <c r="I41" s="980">
        <f t="shared" si="6"/>
        <v>27.310703435382099</v>
      </c>
      <c r="J41" s="980">
        <f t="shared" si="6"/>
        <v>25.188420191633558</v>
      </c>
      <c r="K41" s="980">
        <f t="shared" si="6"/>
        <v>6.7115564384201924</v>
      </c>
      <c r="L41" s="980">
        <f t="shared" si="6"/>
        <v>9.8679598036924521</v>
      </c>
      <c r="M41" s="951">
        <f>+D41+C41</f>
        <v>56.209012058387984</v>
      </c>
      <c r="N41" s="951">
        <f>+I41+H41</f>
        <v>58.2320635662538</v>
      </c>
      <c r="O41" s="952">
        <f t="shared" si="3"/>
        <v>100</v>
      </c>
      <c r="P41" s="953">
        <f t="shared" si="4"/>
        <v>99.999999999999986</v>
      </c>
      <c r="Q41" s="1001">
        <v>0.29741203018122842</v>
      </c>
      <c r="R41" s="1002">
        <v>0.26467809040265144</v>
      </c>
      <c r="S41" s="1002">
        <v>0.24161906776673014</v>
      </c>
      <c r="T41" s="1002">
        <v>5.8289260277836541E-2</v>
      </c>
      <c r="U41" s="1002">
        <v>0.13800155137155348</v>
      </c>
      <c r="V41" s="961">
        <v>0.309213601308717</v>
      </c>
      <c r="W41" s="962">
        <v>0.273107034353821</v>
      </c>
      <c r="X41" s="962">
        <v>0.25188420191633559</v>
      </c>
      <c r="Y41" s="962">
        <v>6.7115564384201923E-2</v>
      </c>
      <c r="Z41" s="962">
        <v>9.8679598036924512E-2</v>
      </c>
    </row>
    <row r="42" spans="1:26">
      <c r="A42" s="958"/>
      <c r="B42" s="958"/>
      <c r="C42" s="999"/>
      <c r="D42" s="980"/>
      <c r="E42" s="980"/>
      <c r="F42" s="980"/>
      <c r="G42" s="980"/>
      <c r="H42" s="982"/>
      <c r="I42" s="980"/>
      <c r="J42" s="980"/>
      <c r="K42" s="980"/>
      <c r="L42" s="980"/>
      <c r="M42" s="991"/>
      <c r="N42" s="939"/>
      <c r="O42" s="952"/>
      <c r="P42" s="953"/>
      <c r="Q42" s="963"/>
      <c r="R42" s="964"/>
      <c r="S42" s="964"/>
      <c r="T42" s="964"/>
      <c r="U42" s="964"/>
      <c r="V42" s="961"/>
      <c r="W42" s="962"/>
      <c r="X42" s="962"/>
      <c r="Y42" s="962"/>
      <c r="Z42" s="962"/>
    </row>
    <row r="43" spans="1:26">
      <c r="A43" s="965" t="s">
        <v>187</v>
      </c>
      <c r="B43" s="965"/>
      <c r="C43" s="988">
        <f t="shared" si="6"/>
        <v>27.138976912630149</v>
      </c>
      <c r="D43" s="989">
        <f t="shared" si="6"/>
        <v>28.044363965595291</v>
      </c>
      <c r="E43" s="989">
        <f t="shared" si="6"/>
        <v>24.58125848800362</v>
      </c>
      <c r="F43" s="989">
        <f t="shared" si="6"/>
        <v>10.027161611588955</v>
      </c>
      <c r="G43" s="988">
        <f t="shared" si="6"/>
        <v>10.208239022181981</v>
      </c>
      <c r="H43" s="990">
        <f t="shared" si="6"/>
        <v>28.042269187986651</v>
      </c>
      <c r="I43" s="988">
        <f t="shared" si="6"/>
        <v>27.230255839822025</v>
      </c>
      <c r="J43" s="988">
        <f t="shared" si="6"/>
        <v>26.17352614015573</v>
      </c>
      <c r="K43" s="988">
        <f t="shared" si="6"/>
        <v>9.888765294771968</v>
      </c>
      <c r="L43" s="988">
        <f t="shared" si="6"/>
        <v>8.6651835372636263</v>
      </c>
      <c r="M43" s="991"/>
      <c r="N43" s="939"/>
      <c r="O43" s="952">
        <f t="shared" si="3"/>
        <v>100.00000000000001</v>
      </c>
      <c r="P43" s="953">
        <f t="shared" si="4"/>
        <v>99.999999999999986</v>
      </c>
      <c r="Q43" s="963">
        <v>0.27138976912630147</v>
      </c>
      <c r="R43" s="964">
        <v>0.28044363965595293</v>
      </c>
      <c r="S43" s="964">
        <v>0.24581258488003621</v>
      </c>
      <c r="T43" s="964">
        <v>0.10027161611588954</v>
      </c>
      <c r="U43" s="964">
        <v>0.10208239022181982</v>
      </c>
      <c r="V43" s="961">
        <v>0.28042269187986651</v>
      </c>
      <c r="W43" s="962">
        <v>0.27230255839822026</v>
      </c>
      <c r="X43" s="962">
        <v>0.26173526140155728</v>
      </c>
      <c r="Y43" s="962">
        <v>9.8887652947719687E-2</v>
      </c>
      <c r="Z43" s="962">
        <v>8.6651835372636266E-2</v>
      </c>
    </row>
    <row r="44" spans="1:26">
      <c r="A44" s="965" t="s">
        <v>188</v>
      </c>
      <c r="B44" s="965"/>
      <c r="C44" s="988">
        <f t="shared" si="6"/>
        <v>27.996118389131492</v>
      </c>
      <c r="D44" s="989">
        <f t="shared" si="6"/>
        <v>26.977195536147502</v>
      </c>
      <c r="E44" s="989">
        <f t="shared" si="6"/>
        <v>25.327510917030565</v>
      </c>
      <c r="F44" s="989">
        <f t="shared" si="6"/>
        <v>5.5191654536632706</v>
      </c>
      <c r="G44" s="988">
        <f t="shared" si="6"/>
        <v>14.180009704027171</v>
      </c>
      <c r="H44" s="990">
        <f t="shared" si="6"/>
        <v>28.883999511062221</v>
      </c>
      <c r="I44" s="988">
        <f t="shared" si="6"/>
        <v>26.488204375993156</v>
      </c>
      <c r="J44" s="988">
        <f t="shared" si="6"/>
        <v>25.534775699792199</v>
      </c>
      <c r="K44" s="988">
        <f t="shared" si="6"/>
        <v>4.3637697103043642</v>
      </c>
      <c r="L44" s="988">
        <f t="shared" si="6"/>
        <v>14.729250702848063</v>
      </c>
      <c r="M44" s="991"/>
      <c r="N44" s="939"/>
      <c r="O44" s="952">
        <f t="shared" si="3"/>
        <v>100</v>
      </c>
      <c r="P44" s="953">
        <f t="shared" si="4"/>
        <v>100.00000000000001</v>
      </c>
      <c r="Q44" s="963">
        <v>0.27996118389131491</v>
      </c>
      <c r="R44" s="964">
        <v>0.26977195536147502</v>
      </c>
      <c r="S44" s="964">
        <v>0.25327510917030566</v>
      </c>
      <c r="T44" s="964">
        <v>5.5191654536632703E-2</v>
      </c>
      <c r="U44" s="964">
        <v>0.14180009704027172</v>
      </c>
      <c r="V44" s="961">
        <v>0.28883999511062219</v>
      </c>
      <c r="W44" s="962">
        <v>0.26488204375993157</v>
      </c>
      <c r="X44" s="962">
        <v>0.255347756997922</v>
      </c>
      <c r="Y44" s="962">
        <v>4.3637697103043639E-2</v>
      </c>
      <c r="Z44" s="962">
        <v>0.14729250702848062</v>
      </c>
    </row>
    <row r="45" spans="1:26">
      <c r="A45" s="965" t="s">
        <v>189</v>
      </c>
      <c r="B45" s="965"/>
      <c r="C45" s="988">
        <f t="shared" si="6"/>
        <v>32.170978627671545</v>
      </c>
      <c r="D45" s="989">
        <f t="shared" si="6"/>
        <v>27.868391451068614</v>
      </c>
      <c r="E45" s="989">
        <f t="shared" si="6"/>
        <v>24.493813273340834</v>
      </c>
      <c r="F45" s="989">
        <f t="shared" si="6"/>
        <v>2.3340832395950506</v>
      </c>
      <c r="G45" s="988">
        <f t="shared" si="6"/>
        <v>13.13273340832396</v>
      </c>
      <c r="H45" s="990">
        <f t="shared" si="6"/>
        <v>34.677923702313947</v>
      </c>
      <c r="I45" s="988">
        <f t="shared" si="6"/>
        <v>29.424640400250158</v>
      </c>
      <c r="J45" s="988">
        <f t="shared" si="6"/>
        <v>22.29518449030644</v>
      </c>
      <c r="K45" s="988">
        <f t="shared" si="6"/>
        <v>4.9718574108818014</v>
      </c>
      <c r="L45" s="988">
        <f t="shared" si="6"/>
        <v>8.6303939962476548</v>
      </c>
      <c r="M45" s="991"/>
      <c r="N45" s="939"/>
      <c r="O45" s="952">
        <f t="shared" si="3"/>
        <v>100</v>
      </c>
      <c r="P45" s="953">
        <f t="shared" si="4"/>
        <v>100</v>
      </c>
      <c r="Q45" s="963">
        <v>0.32170978627671543</v>
      </c>
      <c r="R45" s="964">
        <v>0.27868391451068614</v>
      </c>
      <c r="S45" s="964">
        <v>0.24493813273340834</v>
      </c>
      <c r="T45" s="964">
        <v>2.3340832395950507E-2</v>
      </c>
      <c r="U45" s="964">
        <v>0.1313273340832396</v>
      </c>
      <c r="V45" s="961">
        <v>0.34677923702313945</v>
      </c>
      <c r="W45" s="962">
        <v>0.29424640400250157</v>
      </c>
      <c r="X45" s="962">
        <v>0.22295184490306441</v>
      </c>
      <c r="Y45" s="962">
        <v>4.9718574108818012E-2</v>
      </c>
      <c r="Z45" s="962">
        <v>8.6303939962476553E-2</v>
      </c>
    </row>
    <row r="46" spans="1:26">
      <c r="A46" s="965" t="s">
        <v>190</v>
      </c>
      <c r="B46" s="965"/>
      <c r="C46" s="988">
        <f t="shared" si="6"/>
        <v>27.261583721500365</v>
      </c>
      <c r="D46" s="989">
        <f t="shared" si="6"/>
        <v>27.531257661191468</v>
      </c>
      <c r="E46" s="989">
        <f t="shared" si="6"/>
        <v>24.810002451581269</v>
      </c>
      <c r="F46" s="989">
        <f t="shared" si="6"/>
        <v>10.860505025741602</v>
      </c>
      <c r="G46" s="988">
        <f t="shared" si="6"/>
        <v>9.53665113998529</v>
      </c>
      <c r="H46" s="990">
        <f t="shared" si="6"/>
        <v>30.317113176599236</v>
      </c>
      <c r="I46" s="988">
        <f t="shared" si="6"/>
        <v>29.305631492618918</v>
      </c>
      <c r="J46" s="988">
        <f t="shared" si="6"/>
        <v>23.947512301804263</v>
      </c>
      <c r="K46" s="988">
        <f t="shared" si="6"/>
        <v>10.880262438490979</v>
      </c>
      <c r="L46" s="988">
        <f t="shared" si="6"/>
        <v>5.5494805904866045</v>
      </c>
      <c r="M46" s="991"/>
      <c r="N46" s="939"/>
      <c r="O46" s="952">
        <f t="shared" si="3"/>
        <v>100</v>
      </c>
      <c r="P46" s="953">
        <f t="shared" si="4"/>
        <v>100</v>
      </c>
      <c r="Q46" s="963">
        <v>0.27261583721500365</v>
      </c>
      <c r="R46" s="964">
        <v>0.27531257661191466</v>
      </c>
      <c r="S46" s="964">
        <v>0.2481000245158127</v>
      </c>
      <c r="T46" s="964">
        <v>0.10860505025741603</v>
      </c>
      <c r="U46" s="964">
        <v>9.5366511399852902E-2</v>
      </c>
      <c r="V46" s="961">
        <v>0.30317113176599236</v>
      </c>
      <c r="W46" s="962">
        <v>0.29305631492618917</v>
      </c>
      <c r="X46" s="962">
        <v>0.23947512301804263</v>
      </c>
      <c r="Y46" s="962">
        <v>0.10880262438490979</v>
      </c>
      <c r="Z46" s="962">
        <v>5.5494805904866044E-2</v>
      </c>
    </row>
    <row r="47" spans="1:26">
      <c r="A47" s="905" t="s">
        <v>191</v>
      </c>
      <c r="B47" s="905"/>
      <c r="C47" s="980">
        <f t="shared" si="6"/>
        <v>31.064650059311983</v>
      </c>
      <c r="D47" s="981">
        <f t="shared" si="6"/>
        <v>24.681198102016609</v>
      </c>
      <c r="E47" s="981">
        <f t="shared" si="6"/>
        <v>22.234578884934759</v>
      </c>
      <c r="F47" s="981">
        <f t="shared" si="6"/>
        <v>3.2473309608540926</v>
      </c>
      <c r="G47" s="980">
        <f t="shared" si="6"/>
        <v>18.772241992882563</v>
      </c>
      <c r="H47" s="982">
        <f t="shared" si="6"/>
        <v>32.377435575109992</v>
      </c>
      <c r="I47" s="980">
        <f t="shared" si="6"/>
        <v>25.10999371464488</v>
      </c>
      <c r="J47" s="980">
        <f t="shared" si="6"/>
        <v>24.080766813324953</v>
      </c>
      <c r="K47" s="980">
        <f t="shared" si="6"/>
        <v>4.9261470773098681</v>
      </c>
      <c r="L47" s="980">
        <f t="shared" si="6"/>
        <v>13.505656819610307</v>
      </c>
      <c r="M47" s="991"/>
      <c r="N47" s="939"/>
      <c r="O47" s="952">
        <f t="shared" si="3"/>
        <v>100</v>
      </c>
      <c r="P47" s="953">
        <f t="shared" si="4"/>
        <v>100</v>
      </c>
      <c r="Q47" s="963">
        <v>0.31064650059311982</v>
      </c>
      <c r="R47" s="964">
        <v>0.24681198102016608</v>
      </c>
      <c r="S47" s="964">
        <v>0.22234578884934758</v>
      </c>
      <c r="T47" s="964">
        <v>3.2473309608540925E-2</v>
      </c>
      <c r="U47" s="964">
        <v>0.18772241992882563</v>
      </c>
      <c r="V47" s="961">
        <v>0.32377435575109992</v>
      </c>
      <c r="W47" s="962">
        <v>0.25109993714644879</v>
      </c>
      <c r="X47" s="962">
        <v>0.24080766813324953</v>
      </c>
      <c r="Y47" s="962">
        <v>4.9261470773098677E-2</v>
      </c>
      <c r="Z47" s="962">
        <v>0.13505656819610307</v>
      </c>
    </row>
    <row r="48" spans="1:26">
      <c r="A48" s="905" t="s">
        <v>192</v>
      </c>
      <c r="B48" s="905"/>
      <c r="C48" s="980">
        <f t="shared" si="6"/>
        <v>35.49626035981403</v>
      </c>
      <c r="D48" s="981">
        <f t="shared" si="6"/>
        <v>26.217909844350114</v>
      </c>
      <c r="E48" s="981">
        <f t="shared" si="6"/>
        <v>27.006266424095411</v>
      </c>
      <c r="F48" s="981">
        <f t="shared" si="6"/>
        <v>3.5577117444916109</v>
      </c>
      <c r="G48" s="980">
        <f t="shared" si="6"/>
        <v>7.7218516272488378</v>
      </c>
      <c r="H48" s="982">
        <f t="shared" si="6"/>
        <v>35.332144449398129</v>
      </c>
      <c r="I48" s="980">
        <f t="shared" si="6"/>
        <v>28.466339723584483</v>
      </c>
      <c r="J48" s="980">
        <f t="shared" si="6"/>
        <v>24.476148016049933</v>
      </c>
      <c r="K48" s="980">
        <f t="shared" si="6"/>
        <v>8.1810075791350876</v>
      </c>
      <c r="L48" s="980">
        <f t="shared" si="6"/>
        <v>3.5443602318323673</v>
      </c>
      <c r="M48" s="991"/>
      <c r="N48" s="939"/>
      <c r="O48" s="952">
        <f t="shared" si="3"/>
        <v>100</v>
      </c>
      <c r="P48" s="953">
        <f t="shared" si="4"/>
        <v>100.00000000000001</v>
      </c>
      <c r="Q48" s="963">
        <v>0.3549626035981403</v>
      </c>
      <c r="R48" s="964">
        <v>0.26217909844350112</v>
      </c>
      <c r="S48" s="964">
        <v>0.2700626642409541</v>
      </c>
      <c r="T48" s="964">
        <v>3.5577117444916109E-2</v>
      </c>
      <c r="U48" s="964">
        <v>7.721851627248838E-2</v>
      </c>
      <c r="V48" s="961">
        <v>0.35332144449398128</v>
      </c>
      <c r="W48" s="962">
        <v>0.28466339723584483</v>
      </c>
      <c r="X48" s="962">
        <v>0.24476148016049934</v>
      </c>
      <c r="Y48" s="962">
        <v>8.181007579135087E-2</v>
      </c>
      <c r="Z48" s="962">
        <v>3.5443602318323671E-2</v>
      </c>
    </row>
    <row r="49" spans="1:26">
      <c r="A49" s="905" t="s">
        <v>193</v>
      </c>
      <c r="B49" s="905"/>
      <c r="C49" s="980">
        <f t="shared" si="6"/>
        <v>30.078683834048643</v>
      </c>
      <c r="D49" s="981">
        <f t="shared" si="6"/>
        <v>26.376967095851217</v>
      </c>
      <c r="E49" s="981">
        <f t="shared" si="6"/>
        <v>26.57367668097282</v>
      </c>
      <c r="F49" s="981">
        <f t="shared" si="6"/>
        <v>10.765379113018598</v>
      </c>
      <c r="G49" s="980">
        <f t="shared" si="6"/>
        <v>6.2052932761087272</v>
      </c>
      <c r="H49" s="982">
        <f t="shared" si="6"/>
        <v>29.576964095271951</v>
      </c>
      <c r="I49" s="980">
        <f t="shared" si="6"/>
        <v>26.341983647351579</v>
      </c>
      <c r="J49" s="980">
        <f t="shared" si="6"/>
        <v>27.301813011020265</v>
      </c>
      <c r="K49" s="980">
        <f t="shared" si="6"/>
        <v>11.571276217561323</v>
      </c>
      <c r="L49" s="980">
        <f t="shared" si="6"/>
        <v>5.2079630287948815</v>
      </c>
      <c r="M49" s="991"/>
      <c r="N49" s="939"/>
      <c r="O49" s="952">
        <f t="shared" si="3"/>
        <v>99.999999999999986</v>
      </c>
      <c r="P49" s="953">
        <f t="shared" si="4"/>
        <v>100.00000000000001</v>
      </c>
      <c r="Q49" s="963">
        <v>0.30078683834048642</v>
      </c>
      <c r="R49" s="964">
        <v>0.26376967095851217</v>
      </c>
      <c r="S49" s="964">
        <v>0.26573676680972819</v>
      </c>
      <c r="T49" s="964">
        <v>0.10765379113018599</v>
      </c>
      <c r="U49" s="964">
        <v>6.2052932761087268E-2</v>
      </c>
      <c r="V49" s="961">
        <v>0.29576964095271951</v>
      </c>
      <c r="W49" s="962">
        <v>0.2634198364735158</v>
      </c>
      <c r="X49" s="962">
        <v>0.27301813011020265</v>
      </c>
      <c r="Y49" s="962">
        <v>0.11571276217561323</v>
      </c>
      <c r="Z49" s="962">
        <v>5.2079630287948812E-2</v>
      </c>
    </row>
    <row r="50" spans="1:26">
      <c r="A50" s="905" t="s">
        <v>194</v>
      </c>
      <c r="B50" s="905"/>
      <c r="C50" s="980">
        <f t="shared" si="6"/>
        <v>33.063829787234042</v>
      </c>
      <c r="D50" s="981">
        <f t="shared" si="6"/>
        <v>26.425531914893618</v>
      </c>
      <c r="E50" s="981">
        <f t="shared" si="6"/>
        <v>22.340425531914892</v>
      </c>
      <c r="F50" s="981">
        <f t="shared" si="6"/>
        <v>4.4255319148936172</v>
      </c>
      <c r="G50" s="980">
        <f t="shared" si="6"/>
        <v>13.744680851063828</v>
      </c>
      <c r="H50" s="982">
        <f t="shared" si="6"/>
        <v>37.782805429864254</v>
      </c>
      <c r="I50" s="980">
        <f t="shared" si="6"/>
        <v>26.968325791855204</v>
      </c>
      <c r="J50" s="980">
        <f t="shared" si="6"/>
        <v>21.628959276018101</v>
      </c>
      <c r="K50" s="980">
        <f t="shared" si="6"/>
        <v>3.0769230769230771</v>
      </c>
      <c r="L50" s="980">
        <f t="shared" si="6"/>
        <v>10.542986425339366</v>
      </c>
      <c r="M50" s="991"/>
      <c r="N50" s="939"/>
      <c r="O50" s="952">
        <f t="shared" si="3"/>
        <v>100.00000000000001</v>
      </c>
      <c r="P50" s="953">
        <f t="shared" si="4"/>
        <v>100</v>
      </c>
      <c r="Q50" s="963">
        <v>0.33063829787234045</v>
      </c>
      <c r="R50" s="964">
        <v>0.26425531914893619</v>
      </c>
      <c r="S50" s="964">
        <v>0.22340425531914893</v>
      </c>
      <c r="T50" s="964">
        <v>4.425531914893617E-2</v>
      </c>
      <c r="U50" s="964">
        <v>0.13744680851063829</v>
      </c>
      <c r="V50" s="1003">
        <v>0.37782805429864252</v>
      </c>
      <c r="W50" s="1004">
        <v>0.26968325791855202</v>
      </c>
      <c r="X50" s="1004">
        <v>0.216289592760181</v>
      </c>
      <c r="Y50" s="1004">
        <v>3.0769230769230771E-2</v>
      </c>
      <c r="Z50" s="1004">
        <v>0.10542986425339367</v>
      </c>
    </row>
    <row r="51" spans="1:26">
      <c r="A51" s="965" t="s">
        <v>195</v>
      </c>
      <c r="B51" s="965"/>
      <c r="C51" s="988">
        <f t="shared" si="6"/>
        <v>22.042663219133807</v>
      </c>
      <c r="D51" s="989">
        <f t="shared" si="6"/>
        <v>27.666451195862962</v>
      </c>
      <c r="E51" s="989">
        <f t="shared" si="6"/>
        <v>32.708468002585647</v>
      </c>
      <c r="F51" s="989">
        <f t="shared" si="6"/>
        <v>6.7873303167420813</v>
      </c>
      <c r="G51" s="988">
        <f t="shared" si="6"/>
        <v>10.795087265675502</v>
      </c>
      <c r="H51" s="990">
        <f t="shared" si="6"/>
        <v>18.841544607190414</v>
      </c>
      <c r="I51" s="988">
        <f t="shared" si="6"/>
        <v>25.832223701731028</v>
      </c>
      <c r="J51" s="988">
        <f t="shared" si="6"/>
        <v>36.218375499334222</v>
      </c>
      <c r="K51" s="988">
        <f t="shared" si="6"/>
        <v>5.9920106524633825</v>
      </c>
      <c r="L51" s="988">
        <f t="shared" si="6"/>
        <v>13.11584553928096</v>
      </c>
      <c r="M51" s="991"/>
      <c r="N51" s="939"/>
      <c r="O51" s="952">
        <f t="shared" si="3"/>
        <v>100</v>
      </c>
      <c r="P51" s="953">
        <f t="shared" si="4"/>
        <v>100.00000000000001</v>
      </c>
      <c r="Q51" s="963">
        <v>0.22042663219133807</v>
      </c>
      <c r="R51" s="964">
        <v>0.27666451195862962</v>
      </c>
      <c r="S51" s="964">
        <v>0.3270846800258565</v>
      </c>
      <c r="T51" s="964">
        <v>6.7873303167420809E-2</v>
      </c>
      <c r="U51" s="964">
        <v>0.10795087265675501</v>
      </c>
      <c r="V51" s="1003">
        <v>0.18841544607190414</v>
      </c>
      <c r="W51" s="1004">
        <v>0.25832223701731027</v>
      </c>
      <c r="X51" s="1004">
        <v>0.36218375499334221</v>
      </c>
      <c r="Y51" s="1004">
        <v>5.9920106524633823E-2</v>
      </c>
      <c r="Z51" s="1004">
        <v>0.1311584553928096</v>
      </c>
    </row>
    <row r="52" spans="1:26">
      <c r="A52" s="965" t="s">
        <v>196</v>
      </c>
      <c r="B52" s="965"/>
      <c r="C52" s="988">
        <f t="shared" si="6"/>
        <v>26.167315175097279</v>
      </c>
      <c r="D52" s="989">
        <f t="shared" si="6"/>
        <v>28.521400778210115</v>
      </c>
      <c r="E52" s="989">
        <f t="shared" si="6"/>
        <v>21.089494163424124</v>
      </c>
      <c r="F52" s="989">
        <f t="shared" si="6"/>
        <v>5.418287937743191</v>
      </c>
      <c r="G52" s="988">
        <f t="shared" si="6"/>
        <v>18.803501945525291</v>
      </c>
      <c r="H52" s="990">
        <f t="shared" si="6"/>
        <v>30.364219664087567</v>
      </c>
      <c r="I52" s="988">
        <f t="shared" si="6"/>
        <v>31.307793923381773</v>
      </c>
      <c r="J52" s="988">
        <f t="shared" si="6"/>
        <v>24.372523117569354</v>
      </c>
      <c r="K52" s="988">
        <f t="shared" si="6"/>
        <v>6.7371202113606339</v>
      </c>
      <c r="L52" s="988">
        <f t="shared" si="6"/>
        <v>7.2183430836006801</v>
      </c>
      <c r="M52" s="991"/>
      <c r="N52" s="939"/>
      <c r="O52" s="952">
        <f t="shared" si="3"/>
        <v>100.00000000000001</v>
      </c>
      <c r="P52" s="953">
        <f t="shared" si="4"/>
        <v>100</v>
      </c>
      <c r="Q52" s="963">
        <v>0.26167315175097278</v>
      </c>
      <c r="R52" s="964">
        <v>0.28521400778210115</v>
      </c>
      <c r="S52" s="964">
        <v>0.21089494163424125</v>
      </c>
      <c r="T52" s="964">
        <v>5.4182879377431908E-2</v>
      </c>
      <c r="U52" s="964">
        <v>0.18803501945525292</v>
      </c>
      <c r="V52" s="1003">
        <v>0.30364219664087566</v>
      </c>
      <c r="W52" s="1004">
        <v>0.31307793923381771</v>
      </c>
      <c r="X52" s="1004">
        <v>0.24372523117569353</v>
      </c>
      <c r="Y52" s="1004">
        <v>6.7371202113606338E-2</v>
      </c>
      <c r="Z52" s="1004">
        <v>7.2183430836006798E-2</v>
      </c>
    </row>
    <row r="53" spans="1:26">
      <c r="A53" s="965" t="s">
        <v>197</v>
      </c>
      <c r="B53" s="965"/>
      <c r="C53" s="988">
        <f t="shared" si="6"/>
        <v>24.675324675324674</v>
      </c>
      <c r="D53" s="989">
        <f t="shared" si="6"/>
        <v>20.865800865800864</v>
      </c>
      <c r="E53" s="989">
        <f t="shared" si="6"/>
        <v>26.233766233766232</v>
      </c>
      <c r="F53" s="989">
        <f t="shared" si="6"/>
        <v>19.047619047619047</v>
      </c>
      <c r="G53" s="988">
        <f t="shared" si="6"/>
        <v>9.1774891774891767</v>
      </c>
      <c r="H53" s="990">
        <f t="shared" ref="H53:L66" si="7">+V53*100</f>
        <v>25.585585585585584</v>
      </c>
      <c r="I53" s="988">
        <f t="shared" si="7"/>
        <v>22.612612612612612</v>
      </c>
      <c r="J53" s="988">
        <f t="shared" si="7"/>
        <v>31.801801801801805</v>
      </c>
      <c r="K53" s="988">
        <f t="shared" si="7"/>
        <v>19.72972972972973</v>
      </c>
      <c r="L53" s="988">
        <f t="shared" si="7"/>
        <v>0.27027027027027029</v>
      </c>
      <c r="M53" s="991"/>
      <c r="N53" s="939"/>
      <c r="O53" s="952">
        <f t="shared" si="3"/>
        <v>100</v>
      </c>
      <c r="P53" s="953">
        <f t="shared" si="4"/>
        <v>100</v>
      </c>
      <c r="Q53" s="963">
        <v>0.24675324675324675</v>
      </c>
      <c r="R53" s="1005">
        <v>0.20865800865800865</v>
      </c>
      <c r="S53" s="1005">
        <v>0.26233766233766231</v>
      </c>
      <c r="T53" s="1005">
        <v>0.19047619047619047</v>
      </c>
      <c r="U53" s="1006">
        <v>9.1774891774891773E-2</v>
      </c>
      <c r="V53" s="1003">
        <v>0.25585585585585585</v>
      </c>
      <c r="W53" s="1004">
        <v>0.22612612612612612</v>
      </c>
      <c r="X53" s="1004">
        <v>0.31801801801801804</v>
      </c>
      <c r="Y53" s="1004">
        <v>0.19729729729729731</v>
      </c>
      <c r="Z53" s="1004">
        <v>2.7027027027027029E-3</v>
      </c>
    </row>
    <row r="54" spans="1:26">
      <c r="A54" s="1007" t="s">
        <v>198</v>
      </c>
      <c r="B54" s="1007"/>
      <c r="C54" s="997">
        <f t="shared" ref="C54:G66" si="8">+Q54*100</f>
        <v>35.207143902796076</v>
      </c>
      <c r="D54" s="997">
        <f t="shared" si="8"/>
        <v>23.832528180354267</v>
      </c>
      <c r="E54" s="997">
        <f t="shared" si="8"/>
        <v>24.388815693163519</v>
      </c>
      <c r="F54" s="997">
        <f t="shared" si="8"/>
        <v>0.93690528473137169</v>
      </c>
      <c r="G54" s="997">
        <f t="shared" si="8"/>
        <v>15.634606938954764</v>
      </c>
      <c r="H54" s="998">
        <f t="shared" si="7"/>
        <v>33.640926015865311</v>
      </c>
      <c r="I54" s="997">
        <f t="shared" si="7"/>
        <v>25.287356321839084</v>
      </c>
      <c r="J54" s="997">
        <f t="shared" si="7"/>
        <v>25.206410879067509</v>
      </c>
      <c r="K54" s="997">
        <f t="shared" si="7"/>
        <v>0.90658895904160608</v>
      </c>
      <c r="L54" s="997">
        <f t="shared" si="7"/>
        <v>14.958717824186499</v>
      </c>
      <c r="M54" s="991"/>
      <c r="N54" s="939"/>
      <c r="O54" s="973">
        <f t="shared" si="3"/>
        <v>100</v>
      </c>
      <c r="P54" s="974">
        <f t="shared" si="4"/>
        <v>99.999999999999986</v>
      </c>
      <c r="Q54" s="975">
        <v>0.35207143902796079</v>
      </c>
      <c r="R54" s="976">
        <v>0.23832528180354268</v>
      </c>
      <c r="S54" s="976">
        <v>0.24388815693163518</v>
      </c>
      <c r="T54" s="976">
        <v>9.3690528473137167E-3</v>
      </c>
      <c r="U54" s="977">
        <v>0.15634606938954765</v>
      </c>
      <c r="V54" s="1008">
        <v>0.33640926015865308</v>
      </c>
      <c r="W54" s="1009">
        <v>0.25287356321839083</v>
      </c>
      <c r="X54" s="1009">
        <v>0.25206410879067509</v>
      </c>
      <c r="Y54" s="1009">
        <v>9.0658895904160604E-3</v>
      </c>
      <c r="Z54" s="1009">
        <v>0.14958717824186499</v>
      </c>
    </row>
    <row r="55" spans="1:26">
      <c r="A55" s="905" t="s">
        <v>173</v>
      </c>
      <c r="B55" s="905"/>
      <c r="C55" s="999">
        <f t="shared" si="8"/>
        <v>30.303589980376312</v>
      </c>
      <c r="D55" s="1010">
        <f t="shared" si="8"/>
        <v>29.236984878217708</v>
      </c>
      <c r="E55" s="1010">
        <f t="shared" si="8"/>
        <v>26.861364423409906</v>
      </c>
      <c r="F55" s="1010">
        <f t="shared" si="8"/>
        <v>5.0005771672630726</v>
      </c>
      <c r="G55" s="1010">
        <f t="shared" si="8"/>
        <v>8.5974835507330027</v>
      </c>
      <c r="H55" s="1000">
        <f t="shared" si="7"/>
        <v>31.771207652846272</v>
      </c>
      <c r="I55" s="981">
        <f t="shared" si="7"/>
        <v>28.896433793462368</v>
      </c>
      <c r="J55" s="981">
        <f t="shared" si="7"/>
        <v>27.426829570518695</v>
      </c>
      <c r="K55" s="981">
        <f t="shared" si="7"/>
        <v>4.9366806274937423</v>
      </c>
      <c r="L55" s="981">
        <f t="shared" si="7"/>
        <v>6.9688483556789178</v>
      </c>
      <c r="M55" s="951">
        <f>+D55+C55</f>
        <v>59.54057485859402</v>
      </c>
      <c r="N55" s="951">
        <f>+I55+H55</f>
        <v>60.667641446308636</v>
      </c>
      <c r="O55" s="952">
        <f t="shared" si="3"/>
        <v>99.999999999999986</v>
      </c>
      <c r="P55" s="953">
        <f t="shared" si="4"/>
        <v>100</v>
      </c>
      <c r="Q55" s="963">
        <v>0.30303589980376311</v>
      </c>
      <c r="R55" s="964">
        <v>0.29236984878217709</v>
      </c>
      <c r="S55" s="964">
        <v>0.26861364423409906</v>
      </c>
      <c r="T55" s="964">
        <v>5.0005771672630726E-2</v>
      </c>
      <c r="U55" s="964">
        <v>8.5974835507330025E-2</v>
      </c>
      <c r="V55" s="1003">
        <v>0.31771207652846273</v>
      </c>
      <c r="W55" s="1004">
        <v>0.28896433793462367</v>
      </c>
      <c r="X55" s="1004">
        <v>0.27426829570518696</v>
      </c>
      <c r="Y55" s="1004">
        <v>4.9366806274937426E-2</v>
      </c>
      <c r="Z55" s="1004">
        <v>6.968848355678918E-2</v>
      </c>
    </row>
    <row r="56" spans="1:26">
      <c r="A56" s="905"/>
      <c r="B56" s="905"/>
      <c r="C56" s="999"/>
      <c r="D56" s="1010"/>
      <c r="E56" s="1010"/>
      <c r="F56" s="1010"/>
      <c r="G56" s="1010"/>
      <c r="H56" s="982"/>
      <c r="I56" s="981"/>
      <c r="J56" s="981"/>
      <c r="K56" s="981"/>
      <c r="L56" s="981"/>
      <c r="M56" s="991"/>
      <c r="N56" s="939"/>
      <c r="O56" s="952"/>
      <c r="P56" s="953"/>
      <c r="Q56" s="963"/>
      <c r="R56" s="964"/>
      <c r="S56" s="964"/>
      <c r="T56" s="964"/>
      <c r="U56" s="964"/>
      <c r="V56" s="1003"/>
      <c r="W56" s="1004"/>
      <c r="X56" s="1004"/>
      <c r="Y56" s="1004"/>
      <c r="Z56" s="1004"/>
    </row>
    <row r="57" spans="1:26">
      <c r="A57" s="965" t="s">
        <v>199</v>
      </c>
      <c r="B57" s="965"/>
      <c r="C57" s="1011">
        <f t="shared" si="8"/>
        <v>37.71551724137931</v>
      </c>
      <c r="D57" s="1012">
        <f t="shared" si="8"/>
        <v>29.705459770114945</v>
      </c>
      <c r="E57" s="1012">
        <f t="shared" si="8"/>
        <v>28.556034482758619</v>
      </c>
      <c r="F57" s="1012">
        <f t="shared" si="8"/>
        <v>2.0114942528735633</v>
      </c>
      <c r="G57" s="1012">
        <f t="shared" si="8"/>
        <v>2.0114942528735633</v>
      </c>
      <c r="H57" s="990">
        <f t="shared" si="7"/>
        <v>37.932359723289778</v>
      </c>
      <c r="I57" s="989">
        <f t="shared" si="7"/>
        <v>29.976940814757882</v>
      </c>
      <c r="J57" s="989">
        <f t="shared" si="7"/>
        <v>26.479631053036123</v>
      </c>
      <c r="K57" s="989">
        <f t="shared" si="7"/>
        <v>3.5357417371252886</v>
      </c>
      <c r="L57" s="989">
        <f t="shared" si="7"/>
        <v>2.07532667179093</v>
      </c>
      <c r="M57" s="991"/>
      <c r="N57" s="939"/>
      <c r="O57" s="952">
        <f t="shared" si="3"/>
        <v>100</v>
      </c>
      <c r="P57" s="953">
        <f t="shared" si="4"/>
        <v>100</v>
      </c>
      <c r="Q57" s="963">
        <v>0.37715517241379309</v>
      </c>
      <c r="R57" s="964">
        <v>0.29705459770114945</v>
      </c>
      <c r="S57" s="964">
        <v>0.28556034482758619</v>
      </c>
      <c r="T57" s="964">
        <v>2.0114942528735632E-2</v>
      </c>
      <c r="U57" s="964">
        <v>2.0114942528735632E-2</v>
      </c>
      <c r="V57" s="1003">
        <v>0.37932359723289777</v>
      </c>
      <c r="W57" s="1004">
        <v>0.2997694081475788</v>
      </c>
      <c r="X57" s="1004">
        <v>0.26479631053036123</v>
      </c>
      <c r="Y57" s="1004">
        <v>3.5357417371252885E-2</v>
      </c>
      <c r="Z57" s="1004">
        <v>2.0753266717909301E-2</v>
      </c>
    </row>
    <row r="58" spans="1:26">
      <c r="A58" s="965" t="s">
        <v>200</v>
      </c>
      <c r="B58" s="965"/>
      <c r="C58" s="1011">
        <f t="shared" si="8"/>
        <v>34.59000942507069</v>
      </c>
      <c r="D58" s="1012">
        <f t="shared" si="8"/>
        <v>29.971724787935912</v>
      </c>
      <c r="E58" s="1012">
        <f t="shared" si="8"/>
        <v>18.850141376060321</v>
      </c>
      <c r="F58" s="1012">
        <f t="shared" si="8"/>
        <v>2.6390197926484449</v>
      </c>
      <c r="G58" s="1012">
        <f t="shared" si="8"/>
        <v>13.949104618284638</v>
      </c>
      <c r="H58" s="990">
        <f t="shared" si="7"/>
        <v>33.414043583535111</v>
      </c>
      <c r="I58" s="989">
        <f t="shared" si="7"/>
        <v>36.158192090395481</v>
      </c>
      <c r="J58" s="989">
        <f t="shared" si="7"/>
        <v>15.819209039548024</v>
      </c>
      <c r="K58" s="989">
        <f t="shared" si="7"/>
        <v>2.744148506860371</v>
      </c>
      <c r="L58" s="989">
        <f t="shared" si="7"/>
        <v>11.864406779661017</v>
      </c>
      <c r="M58" s="991"/>
      <c r="N58" s="939"/>
      <c r="O58" s="952">
        <f t="shared" si="3"/>
        <v>100</v>
      </c>
      <c r="P58" s="953">
        <f t="shared" si="4"/>
        <v>100</v>
      </c>
      <c r="Q58" s="963">
        <v>0.34590009425070689</v>
      </c>
      <c r="R58" s="964">
        <v>0.29971724787935911</v>
      </c>
      <c r="S58" s="964">
        <v>0.1885014137606032</v>
      </c>
      <c r="T58" s="964">
        <v>2.6390197926484449E-2</v>
      </c>
      <c r="U58" s="964">
        <v>0.13949104618284638</v>
      </c>
      <c r="V58" s="1003">
        <v>0.33414043583535108</v>
      </c>
      <c r="W58" s="1004">
        <v>0.3615819209039548</v>
      </c>
      <c r="X58" s="1004">
        <v>0.15819209039548024</v>
      </c>
      <c r="Y58" s="1004">
        <v>2.7441485068603711E-2</v>
      </c>
      <c r="Z58" s="1004">
        <v>0.11864406779661017</v>
      </c>
    </row>
    <row r="59" spans="1:26">
      <c r="A59" s="965" t="s">
        <v>201</v>
      </c>
      <c r="B59" s="965"/>
      <c r="C59" s="1011">
        <f t="shared" si="8"/>
        <v>30.907920154539603</v>
      </c>
      <c r="D59" s="1012">
        <f t="shared" si="8"/>
        <v>26.894183301137581</v>
      </c>
      <c r="E59" s="1012">
        <f t="shared" si="8"/>
        <v>26.057093796952135</v>
      </c>
      <c r="F59" s="1012">
        <f t="shared" si="8"/>
        <v>1.5668598411676324</v>
      </c>
      <c r="G59" s="1012">
        <f t="shared" si="8"/>
        <v>14.573942906203047</v>
      </c>
      <c r="H59" s="990">
        <f t="shared" si="7"/>
        <v>35.93553261143289</v>
      </c>
      <c r="I59" s="989">
        <f t="shared" si="7"/>
        <v>26.089146310752959</v>
      </c>
      <c r="J59" s="989">
        <f t="shared" si="7"/>
        <v>27.146814404432135</v>
      </c>
      <c r="K59" s="989">
        <f t="shared" si="7"/>
        <v>1.6116847141777888</v>
      </c>
      <c r="L59" s="989">
        <f t="shared" si="7"/>
        <v>9.216821959204232</v>
      </c>
      <c r="M59" s="991"/>
      <c r="N59" s="939"/>
      <c r="O59" s="952">
        <f t="shared" si="3"/>
        <v>100</v>
      </c>
      <c r="P59" s="953">
        <f t="shared" si="4"/>
        <v>99.999999999999986</v>
      </c>
      <c r="Q59" s="963">
        <v>0.30907920154539603</v>
      </c>
      <c r="R59" s="964">
        <v>0.26894183301137581</v>
      </c>
      <c r="S59" s="964">
        <v>0.26057093796952135</v>
      </c>
      <c r="T59" s="964">
        <v>1.5668598411676324E-2</v>
      </c>
      <c r="U59" s="964">
        <v>0.14573942906203047</v>
      </c>
      <c r="V59" s="1003">
        <v>0.35935532611432891</v>
      </c>
      <c r="W59" s="1004">
        <v>0.26089146310752959</v>
      </c>
      <c r="X59" s="1004">
        <v>0.27146814404432135</v>
      </c>
      <c r="Y59" s="1004">
        <v>1.6116847141777888E-2</v>
      </c>
      <c r="Z59" s="1004">
        <v>9.2168219592042314E-2</v>
      </c>
    </row>
    <row r="60" spans="1:26">
      <c r="A60" s="965" t="s">
        <v>202</v>
      </c>
      <c r="B60" s="965"/>
      <c r="C60" s="1011">
        <f t="shared" si="8"/>
        <v>36.30331753554502</v>
      </c>
      <c r="D60" s="1012">
        <f t="shared" si="8"/>
        <v>35.355450236966824</v>
      </c>
      <c r="E60" s="1012">
        <f t="shared" si="8"/>
        <v>24.360189573459714</v>
      </c>
      <c r="F60" s="1012">
        <f t="shared" si="8"/>
        <v>0.37914691943127965</v>
      </c>
      <c r="G60" s="1012">
        <f t="shared" si="8"/>
        <v>3.6018957345971563</v>
      </c>
      <c r="H60" s="990">
        <f t="shared" si="7"/>
        <v>37.355212355212352</v>
      </c>
      <c r="I60" s="989">
        <f t="shared" si="7"/>
        <v>35.038610038610038</v>
      </c>
      <c r="J60" s="989">
        <f t="shared" si="7"/>
        <v>22.393822393822393</v>
      </c>
      <c r="K60" s="989">
        <f t="shared" si="7"/>
        <v>1.1583011583011582</v>
      </c>
      <c r="L60" s="989">
        <f t="shared" si="7"/>
        <v>4.0540540540540544</v>
      </c>
      <c r="M60" s="991"/>
      <c r="N60" s="939"/>
      <c r="O60" s="952">
        <f t="shared" si="3"/>
        <v>99.999999999999986</v>
      </c>
      <c r="P60" s="953">
        <f t="shared" si="4"/>
        <v>99.999999999999986</v>
      </c>
      <c r="Q60" s="963">
        <v>0.36303317535545021</v>
      </c>
      <c r="R60" s="964">
        <v>0.35355450236966823</v>
      </c>
      <c r="S60" s="964">
        <v>0.24360189573459715</v>
      </c>
      <c r="T60" s="964">
        <v>3.7914691943127963E-3</v>
      </c>
      <c r="U60" s="964">
        <v>3.6018957345971561E-2</v>
      </c>
      <c r="V60" s="1003">
        <v>0.37355212355212353</v>
      </c>
      <c r="W60" s="1004">
        <v>0.35038610038610041</v>
      </c>
      <c r="X60" s="1004">
        <v>0.22393822393822393</v>
      </c>
      <c r="Y60" s="1004">
        <v>1.1583011583011582E-2</v>
      </c>
      <c r="Z60" s="1004">
        <v>4.0540540540540543E-2</v>
      </c>
    </row>
    <row r="61" spans="1:26">
      <c r="A61" s="905" t="s">
        <v>203</v>
      </c>
      <c r="B61" s="905"/>
      <c r="C61" s="999">
        <f t="shared" si="8"/>
        <v>33.754599264117743</v>
      </c>
      <c r="D61" s="1010">
        <f t="shared" si="8"/>
        <v>29.627259638457847</v>
      </c>
      <c r="E61" s="1010">
        <f t="shared" si="8"/>
        <v>25.355943049112138</v>
      </c>
      <c r="F61" s="1010">
        <f t="shared" si="8"/>
        <v>6.3509838425851868</v>
      </c>
      <c r="G61" s="1010">
        <f t="shared" si="8"/>
        <v>4.9112142057270836</v>
      </c>
      <c r="H61" s="982">
        <f t="shared" si="7"/>
        <v>36.182438498832823</v>
      </c>
      <c r="I61" s="981">
        <f t="shared" si="7"/>
        <v>30.382474411923145</v>
      </c>
      <c r="J61" s="981">
        <f t="shared" si="7"/>
        <v>25.08529358951338</v>
      </c>
      <c r="K61" s="981">
        <f t="shared" si="7"/>
        <v>5.171485006284791</v>
      </c>
      <c r="L61" s="981">
        <f t="shared" si="7"/>
        <v>3.178308493445861</v>
      </c>
      <c r="M61" s="991"/>
      <c r="N61" s="939"/>
      <c r="O61" s="952">
        <f t="shared" si="3"/>
        <v>100</v>
      </c>
      <c r="P61" s="953">
        <f t="shared" si="4"/>
        <v>100</v>
      </c>
      <c r="Q61" s="963">
        <v>0.33754599264117741</v>
      </c>
      <c r="R61" s="964">
        <v>0.29627259638457848</v>
      </c>
      <c r="S61" s="964">
        <v>0.2535594304911214</v>
      </c>
      <c r="T61" s="964">
        <v>6.3509838425851867E-2</v>
      </c>
      <c r="U61" s="964">
        <v>4.9112142057270838E-2</v>
      </c>
      <c r="V61" s="1003">
        <v>0.36182438498832825</v>
      </c>
      <c r="W61" s="1004">
        <v>0.30382474411923144</v>
      </c>
      <c r="X61" s="1004">
        <v>0.2508529358951338</v>
      </c>
      <c r="Y61" s="1004">
        <v>5.1714850062847907E-2</v>
      </c>
      <c r="Z61" s="1004">
        <v>3.1783084934458611E-2</v>
      </c>
    </row>
    <row r="62" spans="1:26">
      <c r="A62" s="905" t="s">
        <v>204</v>
      </c>
      <c r="B62" s="905"/>
      <c r="C62" s="999">
        <f t="shared" si="8"/>
        <v>29.411322456958121</v>
      </c>
      <c r="D62" s="1010">
        <f t="shared" si="8"/>
        <v>31.486354409442903</v>
      </c>
      <c r="E62" s="1010">
        <f t="shared" si="8"/>
        <v>28.21592361476581</v>
      </c>
      <c r="F62" s="1010">
        <f t="shared" si="8"/>
        <v>1.4209457935493572</v>
      </c>
      <c r="G62" s="1010">
        <f t="shared" si="8"/>
        <v>9.4654537252838136</v>
      </c>
      <c r="H62" s="982">
        <f t="shared" si="7"/>
        <v>30.73138734011151</v>
      </c>
      <c r="I62" s="981">
        <f t="shared" si="7"/>
        <v>29.977041653000985</v>
      </c>
      <c r="J62" s="981">
        <f t="shared" si="7"/>
        <v>29.001311905542803</v>
      </c>
      <c r="K62" s="981">
        <f t="shared" si="7"/>
        <v>1.5660872417185963</v>
      </c>
      <c r="L62" s="981">
        <f t="shared" si="7"/>
        <v>8.7241718596261073</v>
      </c>
      <c r="M62" s="991"/>
      <c r="N62" s="939"/>
      <c r="O62" s="952">
        <f t="shared" si="3"/>
        <v>100</v>
      </c>
      <c r="P62" s="953">
        <f t="shared" si="4"/>
        <v>100</v>
      </c>
      <c r="Q62" s="963">
        <v>0.29411322456958122</v>
      </c>
      <c r="R62" s="964">
        <v>0.31486354409442902</v>
      </c>
      <c r="S62" s="964">
        <v>0.28215923614765809</v>
      </c>
      <c r="T62" s="964">
        <v>1.4209457935493571E-2</v>
      </c>
      <c r="U62" s="964">
        <v>9.4654537252838136E-2</v>
      </c>
      <c r="V62" s="1003">
        <v>0.3073138734011151</v>
      </c>
      <c r="W62" s="1004">
        <v>0.29977041653000985</v>
      </c>
      <c r="X62" s="1004">
        <v>0.29001311905542804</v>
      </c>
      <c r="Y62" s="1004">
        <v>1.5660872417185962E-2</v>
      </c>
      <c r="Z62" s="1004">
        <v>8.7241718596261064E-2</v>
      </c>
    </row>
    <row r="63" spans="1:26">
      <c r="A63" s="1013" t="s">
        <v>205</v>
      </c>
      <c r="B63" s="1013"/>
      <c r="C63" s="1014">
        <f t="shared" si="8"/>
        <v>26.016654539574741</v>
      </c>
      <c r="D63" s="1010">
        <f t="shared" si="8"/>
        <v>26.833212062414102</v>
      </c>
      <c r="E63" s="1010">
        <f t="shared" si="8"/>
        <v>27.795294688333737</v>
      </c>
      <c r="F63" s="1010">
        <f t="shared" si="8"/>
        <v>11.407551135904278</v>
      </c>
      <c r="G63" s="1010">
        <f t="shared" si="8"/>
        <v>7.947287573773143</v>
      </c>
      <c r="H63" s="982">
        <f t="shared" si="7"/>
        <v>26.661073825503358</v>
      </c>
      <c r="I63" s="981">
        <f t="shared" si="7"/>
        <v>26.820469798657719</v>
      </c>
      <c r="J63" s="981">
        <f t="shared" si="7"/>
        <v>29.429530201342281</v>
      </c>
      <c r="K63" s="981">
        <f t="shared" si="7"/>
        <v>10.880872483221477</v>
      </c>
      <c r="L63" s="981">
        <f t="shared" si="7"/>
        <v>6.2080536912751683</v>
      </c>
      <c r="M63" s="991"/>
      <c r="N63" s="939"/>
      <c r="O63" s="952">
        <f t="shared" si="3"/>
        <v>100.00000000000001</v>
      </c>
      <c r="P63" s="953">
        <f t="shared" si="4"/>
        <v>100</v>
      </c>
      <c r="Q63" s="963">
        <v>0.26016654539574741</v>
      </c>
      <c r="R63" s="964">
        <v>0.26833212062414102</v>
      </c>
      <c r="S63" s="964">
        <v>0.27795294688333738</v>
      </c>
      <c r="T63" s="964">
        <v>0.11407551135904277</v>
      </c>
      <c r="U63" s="964">
        <v>7.947287573773143E-2</v>
      </c>
      <c r="V63" s="1003">
        <v>0.26661073825503356</v>
      </c>
      <c r="W63" s="1004">
        <v>0.2682046979865772</v>
      </c>
      <c r="X63" s="1004">
        <v>0.2942953020134228</v>
      </c>
      <c r="Y63" s="1004">
        <v>0.10880872483221476</v>
      </c>
      <c r="Z63" s="1004">
        <v>6.2080536912751678E-2</v>
      </c>
    </row>
    <row r="64" spans="1:26">
      <c r="A64" s="1013" t="s">
        <v>206</v>
      </c>
      <c r="B64" s="1013"/>
      <c r="C64" s="1014">
        <f t="shared" si="8"/>
        <v>38.958534233365476</v>
      </c>
      <c r="D64" s="1010">
        <f t="shared" si="8"/>
        <v>27.38669238187078</v>
      </c>
      <c r="E64" s="1010">
        <f t="shared" si="8"/>
        <v>21.890067502410801</v>
      </c>
      <c r="F64" s="1010">
        <f t="shared" si="8"/>
        <v>0.19286403085824494</v>
      </c>
      <c r="G64" s="1010">
        <f t="shared" si="8"/>
        <v>11.571841851494696</v>
      </c>
      <c r="H64" s="982">
        <f t="shared" si="7"/>
        <v>41.980198019801982</v>
      </c>
      <c r="I64" s="981">
        <f t="shared" si="7"/>
        <v>25.247524752475247</v>
      </c>
      <c r="J64" s="981">
        <f t="shared" si="7"/>
        <v>23.762376237623762</v>
      </c>
      <c r="K64" s="981">
        <f t="shared" si="7"/>
        <v>1.089108910891089</v>
      </c>
      <c r="L64" s="981">
        <f t="shared" si="7"/>
        <v>7.9207920792079207</v>
      </c>
      <c r="M64" s="991"/>
      <c r="N64" s="939"/>
      <c r="O64" s="952">
        <f t="shared" si="3"/>
        <v>100</v>
      </c>
      <c r="P64" s="953">
        <f t="shared" si="4"/>
        <v>100</v>
      </c>
      <c r="Q64" s="963">
        <v>0.38958534233365477</v>
      </c>
      <c r="R64" s="964">
        <v>0.27386692381870781</v>
      </c>
      <c r="S64" s="964">
        <v>0.21890067502410801</v>
      </c>
      <c r="T64" s="964">
        <v>1.9286403085824494E-3</v>
      </c>
      <c r="U64" s="964">
        <v>0.11571841851494696</v>
      </c>
      <c r="V64" s="1003">
        <v>0.41980198019801979</v>
      </c>
      <c r="W64" s="1004">
        <v>0.25247524752475248</v>
      </c>
      <c r="X64" s="1004">
        <v>0.23762376237623761</v>
      </c>
      <c r="Y64" s="1004">
        <v>1.089108910891089E-2</v>
      </c>
      <c r="Z64" s="1004">
        <v>7.9207920792079209E-2</v>
      </c>
    </row>
    <row r="65" spans="1:26">
      <c r="A65" s="946" t="s">
        <v>207</v>
      </c>
      <c r="B65" s="946"/>
      <c r="C65" s="1015">
        <f t="shared" si="8"/>
        <v>30.32581453634085</v>
      </c>
      <c r="D65" s="1016">
        <f t="shared" si="8"/>
        <v>31.32832080200501</v>
      </c>
      <c r="E65" s="1016">
        <f t="shared" si="8"/>
        <v>20.802005012531328</v>
      </c>
      <c r="F65" s="1016">
        <f t="shared" si="8"/>
        <v>0.75187969924812026</v>
      </c>
      <c r="G65" s="1016">
        <f t="shared" si="8"/>
        <v>16.791979949874687</v>
      </c>
      <c r="H65" s="1017">
        <f t="shared" si="7"/>
        <v>29.702970297029701</v>
      </c>
      <c r="I65" s="1018">
        <f t="shared" si="7"/>
        <v>28.836633663366335</v>
      </c>
      <c r="J65" s="1018">
        <f t="shared" si="7"/>
        <v>23.514851485148512</v>
      </c>
      <c r="K65" s="1018">
        <f t="shared" si="7"/>
        <v>0.37128712871287128</v>
      </c>
      <c r="L65" s="1018">
        <f t="shared" si="7"/>
        <v>17.574257425742573</v>
      </c>
      <c r="M65" s="991"/>
      <c r="N65" s="939"/>
      <c r="O65" s="973">
        <f t="shared" si="3"/>
        <v>99.999999999999986</v>
      </c>
      <c r="P65" s="974">
        <f t="shared" si="4"/>
        <v>100</v>
      </c>
      <c r="Q65" s="975">
        <v>0.3032581453634085</v>
      </c>
      <c r="R65" s="976">
        <v>0.31328320802005011</v>
      </c>
      <c r="S65" s="976">
        <v>0.20802005012531327</v>
      </c>
      <c r="T65" s="976">
        <v>7.5187969924812026E-3</v>
      </c>
      <c r="U65" s="977">
        <v>0.16791979949874686</v>
      </c>
      <c r="V65" s="1008">
        <v>0.29702970297029702</v>
      </c>
      <c r="W65" s="1009">
        <v>0.28836633663366334</v>
      </c>
      <c r="X65" s="1009">
        <v>0.23514851485148514</v>
      </c>
      <c r="Y65" s="1009">
        <v>3.7128712871287127E-3</v>
      </c>
      <c r="Z65" s="1009">
        <v>0.17574257425742573</v>
      </c>
    </row>
    <row r="66" spans="1:26">
      <c r="A66" s="1019" t="s">
        <v>208</v>
      </c>
      <c r="B66" s="1019"/>
      <c r="C66" s="1020">
        <f t="shared" si="8"/>
        <v>23.696682464454977</v>
      </c>
      <c r="D66" s="1021">
        <f t="shared" si="8"/>
        <v>31.753554502369667</v>
      </c>
      <c r="E66" s="1021">
        <f t="shared" si="8"/>
        <v>35.071090047393369</v>
      </c>
      <c r="F66" s="1021">
        <f t="shared" si="8"/>
        <v>8.0568720379146921</v>
      </c>
      <c r="G66" s="1021">
        <f t="shared" si="8"/>
        <v>1.4218009478672986</v>
      </c>
      <c r="H66" s="1022">
        <f t="shared" si="7"/>
        <v>35.064935064935064</v>
      </c>
      <c r="I66" s="1023">
        <f t="shared" si="7"/>
        <v>38.095238095238095</v>
      </c>
      <c r="J66" s="1023">
        <f t="shared" si="7"/>
        <v>23.376623376623375</v>
      </c>
      <c r="K66" s="1023">
        <f t="shared" si="7"/>
        <v>3.4632034632034632</v>
      </c>
      <c r="L66" s="1023">
        <f t="shared" si="7"/>
        <v>0</v>
      </c>
      <c r="M66" s="991"/>
      <c r="N66" s="1024"/>
      <c r="O66" s="1025">
        <f t="shared" si="3"/>
        <v>100</v>
      </c>
      <c r="P66" s="1026">
        <f t="shared" si="4"/>
        <v>100</v>
      </c>
      <c r="Q66" s="1027">
        <v>0.23696682464454977</v>
      </c>
      <c r="R66" s="1028">
        <v>0.31753554502369669</v>
      </c>
      <c r="S66" s="1028">
        <v>0.35071090047393366</v>
      </c>
      <c r="T66" s="1028">
        <v>8.0568720379146919E-2</v>
      </c>
      <c r="U66" s="1029">
        <v>1.4218009478672985E-2</v>
      </c>
      <c r="V66" s="1030">
        <v>0.35064935064935066</v>
      </c>
      <c r="W66" s="1031">
        <v>0.38095238095238093</v>
      </c>
      <c r="X66" s="1031">
        <v>0.23376623376623376</v>
      </c>
      <c r="Y66" s="1031">
        <v>3.4632034632034632E-2</v>
      </c>
      <c r="Z66" s="1031">
        <v>0</v>
      </c>
    </row>
    <row r="67" spans="1:26" s="1034" customFormat="1" ht="30.75" customHeight="1">
      <c r="A67" s="1058" t="s">
        <v>226</v>
      </c>
      <c r="B67" s="1059" t="s">
        <v>238</v>
      </c>
      <c r="C67" s="1054"/>
      <c r="D67" s="1055"/>
      <c r="E67" s="1055"/>
      <c r="F67" s="1055"/>
      <c r="G67" s="1055"/>
      <c r="H67" s="1056"/>
      <c r="I67" s="1056"/>
      <c r="J67" s="1056"/>
      <c r="K67" s="1056"/>
      <c r="L67" s="1056"/>
      <c r="M67" s="991"/>
      <c r="N67" s="1024"/>
      <c r="O67" s="980"/>
      <c r="P67" s="980"/>
      <c r="Q67" s="1057"/>
      <c r="R67" s="1057"/>
      <c r="S67" s="1057"/>
      <c r="T67" s="1057"/>
      <c r="U67" s="1057"/>
      <c r="V67" s="1052"/>
      <c r="W67" s="1052"/>
      <c r="X67" s="1052"/>
      <c r="Y67" s="1052"/>
      <c r="Z67" s="1052"/>
    </row>
    <row r="68" spans="1:26" s="1033" customFormat="1" ht="33" customHeight="1">
      <c r="B68" s="1053" t="s">
        <v>235</v>
      </c>
      <c r="C68" s="1053"/>
      <c r="D68" s="1053"/>
      <c r="E68" s="1053"/>
      <c r="F68" s="1053"/>
      <c r="G68" s="1053"/>
      <c r="H68" s="1053"/>
      <c r="I68" s="1053"/>
      <c r="J68" s="1053"/>
      <c r="K68" s="1053"/>
      <c r="L68" s="1053"/>
      <c r="M68" s="1032"/>
      <c r="N68" s="1032"/>
    </row>
    <row r="69" spans="1:26" s="1033" customFormat="1" ht="44.25" customHeight="1">
      <c r="A69" s="1058"/>
      <c r="B69" s="1053" t="s">
        <v>220</v>
      </c>
      <c r="C69" s="1053"/>
      <c r="D69" s="1053"/>
      <c r="E69" s="1053"/>
      <c r="F69" s="1053"/>
      <c r="G69" s="1053"/>
      <c r="H69" s="1053"/>
      <c r="I69" s="1053"/>
      <c r="J69" s="1053"/>
      <c r="K69" s="1053"/>
      <c r="L69" s="1053"/>
      <c r="M69" s="1032"/>
      <c r="N69" s="1032"/>
    </row>
    <row r="70" spans="1:26" s="1034" customFormat="1" ht="14.25">
      <c r="A70" s="755" t="s">
        <v>218</v>
      </c>
      <c r="B70" s="1013"/>
      <c r="C70" s="1014"/>
      <c r="D70" s="1010"/>
      <c r="E70" s="1010"/>
      <c r="F70" s="1010"/>
      <c r="G70" s="1010"/>
      <c r="H70" s="980"/>
      <c r="I70" s="980"/>
      <c r="J70" s="980"/>
      <c r="K70" s="980"/>
      <c r="L70" s="980"/>
      <c r="M70" s="991"/>
      <c r="N70" s="1024"/>
      <c r="P70" s="1035"/>
      <c r="V70" s="1036"/>
      <c r="W70" s="1036"/>
      <c r="X70" s="1036"/>
      <c r="Y70" s="1036"/>
      <c r="Z70" s="1036"/>
    </row>
    <row r="71" spans="1:26" s="1034" customFormat="1">
      <c r="A71" s="1013"/>
      <c r="B71" s="1013"/>
      <c r="C71" s="1014"/>
      <c r="D71" s="1010"/>
      <c r="E71" s="1010"/>
      <c r="F71" s="1010"/>
      <c r="G71" s="1010"/>
      <c r="H71" s="980"/>
      <c r="I71" s="980"/>
      <c r="J71" s="980"/>
      <c r="K71" s="980"/>
      <c r="L71" s="980"/>
      <c r="M71" s="991"/>
      <c r="N71" s="1024"/>
      <c r="P71" s="1035"/>
      <c r="V71" s="1036"/>
      <c r="W71" s="1036"/>
      <c r="X71" s="1036"/>
      <c r="Y71" s="1036"/>
      <c r="Z71" s="1036"/>
    </row>
    <row r="72" spans="1:26" ht="16.5" customHeight="1">
      <c r="A72" s="1037" t="s">
        <v>89</v>
      </c>
      <c r="B72" s="1037" t="s">
        <v>122</v>
      </c>
      <c r="C72" s="991"/>
      <c r="D72" s="991"/>
      <c r="E72" s="991"/>
      <c r="F72" s="991"/>
      <c r="G72" s="991"/>
      <c r="M72" s="991"/>
      <c r="N72" s="1024"/>
    </row>
    <row r="73" spans="1:26">
      <c r="A73" s="1038"/>
      <c r="B73" s="1039" t="s">
        <v>227</v>
      </c>
      <c r="C73" s="991"/>
      <c r="D73" s="991"/>
      <c r="E73" s="991"/>
      <c r="F73" s="991"/>
      <c r="G73" s="991"/>
      <c r="M73" s="991"/>
      <c r="N73" s="1024"/>
    </row>
    <row r="74" spans="1:26">
      <c r="A74" s="1040" t="s">
        <v>232</v>
      </c>
      <c r="C74" s="991"/>
      <c r="D74" s="991"/>
      <c r="E74" s="991"/>
      <c r="F74" s="991"/>
      <c r="G74" s="991"/>
      <c r="L74" s="1041" t="s">
        <v>233</v>
      </c>
      <c r="M74" s="992"/>
      <c r="N74" s="1042"/>
    </row>
    <row r="75" spans="1:26">
      <c r="C75" s="991"/>
      <c r="D75" s="991"/>
      <c r="E75" s="991"/>
      <c r="F75" s="991"/>
      <c r="G75" s="991"/>
      <c r="M75" s="991"/>
      <c r="N75" s="1024"/>
    </row>
    <row r="76" spans="1:26">
      <c r="C76" s="991"/>
      <c r="D76" s="991"/>
      <c r="E76" s="991"/>
      <c r="F76" s="991"/>
      <c r="G76" s="991"/>
      <c r="M76" s="991"/>
      <c r="N76" s="1024"/>
    </row>
    <row r="77" spans="1:26">
      <c r="C77" s="991"/>
      <c r="D77" s="991"/>
      <c r="E77" s="991"/>
      <c r="F77" s="991"/>
      <c r="G77" s="991"/>
      <c r="M77" s="991"/>
      <c r="N77" s="1024"/>
    </row>
    <row r="78" spans="1:26">
      <c r="C78" s="991"/>
      <c r="D78" s="991"/>
      <c r="E78" s="991"/>
      <c r="F78" s="991"/>
      <c r="G78" s="991"/>
      <c r="M78" s="991"/>
      <c r="N78" s="1024"/>
    </row>
    <row r="79" spans="1:26">
      <c r="C79" s="991"/>
      <c r="D79" s="991"/>
      <c r="E79" s="991"/>
      <c r="F79" s="991"/>
      <c r="G79" s="991"/>
      <c r="M79" s="991"/>
      <c r="N79" s="1024"/>
    </row>
    <row r="80" spans="1:26">
      <c r="C80" s="991"/>
      <c r="D80" s="991"/>
      <c r="E80" s="991"/>
      <c r="F80" s="991"/>
      <c r="G80" s="991"/>
      <c r="M80" s="991"/>
      <c r="N80" s="1024"/>
    </row>
    <row r="81" spans="3:14">
      <c r="C81" s="991"/>
      <c r="D81" s="991"/>
      <c r="E81" s="991"/>
      <c r="F81" s="991"/>
      <c r="G81" s="991"/>
      <c r="M81" s="991"/>
      <c r="N81" s="1024"/>
    </row>
    <row r="82" spans="3:14">
      <c r="C82" s="991"/>
      <c r="D82" s="991"/>
      <c r="E82" s="991"/>
      <c r="F82" s="991"/>
      <c r="G82" s="991"/>
      <c r="M82" s="991"/>
      <c r="N82" s="1024"/>
    </row>
    <row r="83" spans="3:14">
      <c r="C83" s="991"/>
      <c r="D83" s="991"/>
      <c r="E83" s="991"/>
      <c r="F83" s="991"/>
      <c r="G83" s="991"/>
      <c r="M83" s="991"/>
      <c r="N83" s="1024"/>
    </row>
    <row r="84" spans="3:14">
      <c r="C84" s="991"/>
      <c r="D84" s="991"/>
      <c r="E84" s="991"/>
      <c r="F84" s="991"/>
      <c r="G84" s="991"/>
      <c r="M84" s="991"/>
      <c r="N84" s="1024"/>
    </row>
    <row r="85" spans="3:14">
      <c r="C85" s="991"/>
      <c r="D85" s="991"/>
      <c r="E85" s="991"/>
      <c r="F85" s="991"/>
      <c r="G85" s="991"/>
      <c r="M85" s="991"/>
      <c r="N85" s="1024"/>
    </row>
    <row r="86" spans="3:14">
      <c r="C86" s="991"/>
      <c r="D86" s="991"/>
      <c r="E86" s="991"/>
      <c r="F86" s="991"/>
      <c r="G86" s="991"/>
      <c r="M86" s="991"/>
      <c r="N86" s="1024"/>
    </row>
    <row r="87" spans="3:14">
      <c r="C87" s="991"/>
    </row>
    <row r="88" spans="3:14">
      <c r="C88" s="991"/>
    </row>
    <row r="89" spans="3:14">
      <c r="C89" s="991"/>
    </row>
    <row r="90" spans="3:14">
      <c r="C90" s="991"/>
    </row>
    <row r="91" spans="3:14">
      <c r="C91" s="991"/>
    </row>
    <row r="92" spans="3:14">
      <c r="C92" s="991"/>
    </row>
    <row r="93" spans="3:14">
      <c r="C93" s="991"/>
    </row>
    <row r="94" spans="3:14">
      <c r="C94" s="991"/>
    </row>
    <row r="95" spans="3:14">
      <c r="C95" s="991"/>
    </row>
    <row r="96" spans="3:14">
      <c r="C96" s="991"/>
    </row>
    <row r="97" spans="3:3">
      <c r="C97" s="991"/>
    </row>
    <row r="98" spans="3:3">
      <c r="C98" s="991"/>
    </row>
    <row r="99" spans="3:3">
      <c r="C99" s="991"/>
    </row>
    <row r="100" spans="3:3">
      <c r="C100" s="1043"/>
    </row>
    <row r="101" spans="3:3">
      <c r="C101" s="1043"/>
    </row>
    <row r="102" spans="3:3">
      <c r="C102" s="1043"/>
    </row>
    <row r="103" spans="3:3">
      <c r="C103" s="1043"/>
    </row>
    <row r="104" spans="3:3">
      <c r="C104" s="1043"/>
    </row>
    <row r="105" spans="3:3">
      <c r="C105" s="1043"/>
    </row>
    <row r="106" spans="3:3">
      <c r="C106" s="1043"/>
    </row>
    <row r="107" spans="3:3">
      <c r="C107" s="1043"/>
    </row>
    <row r="108" spans="3:3">
      <c r="C108" s="1043"/>
    </row>
    <row r="109" spans="3:3">
      <c r="C109" s="1043"/>
    </row>
    <row r="110" spans="3:3">
      <c r="C110" s="1043"/>
    </row>
    <row r="111" spans="3:3">
      <c r="C111" s="991"/>
    </row>
    <row r="112" spans="3:3">
      <c r="C112" s="991"/>
    </row>
    <row r="113" spans="3:3">
      <c r="C113" s="991"/>
    </row>
    <row r="114" spans="3:3">
      <c r="C114" s="991"/>
    </row>
    <row r="115" spans="3:3">
      <c r="C115" s="991"/>
    </row>
    <row r="116" spans="3:3">
      <c r="C116" s="991"/>
    </row>
    <row r="117" spans="3:3">
      <c r="C117" s="991"/>
    </row>
    <row r="118" spans="3:3">
      <c r="C118" s="991"/>
    </row>
    <row r="119" spans="3:3">
      <c r="C119" s="991"/>
    </row>
    <row r="120" spans="3:3">
      <c r="C120" s="991"/>
    </row>
    <row r="121" spans="3:3">
      <c r="C121" s="991"/>
    </row>
    <row r="122" spans="3:3">
      <c r="C122" s="991"/>
    </row>
    <row r="123" spans="3:3">
      <c r="C123" s="991"/>
    </row>
    <row r="124" spans="3:3">
      <c r="C124" s="991"/>
    </row>
    <row r="125" spans="3:3">
      <c r="C125" s="991"/>
    </row>
    <row r="126" spans="3:3">
      <c r="C126" s="991"/>
    </row>
    <row r="127" spans="3:3">
      <c r="C127" s="991"/>
    </row>
  </sheetData>
  <mergeCells count="2">
    <mergeCell ref="B68:L68"/>
    <mergeCell ref="B69:L69"/>
  </mergeCells>
  <conditionalFormatting sqref="O7:P69">
    <cfRule type="cellIs" dxfId="4" priority="1" stopIfTrue="1" operator="notEqual">
      <formula>100</formula>
    </cfRule>
  </conditionalFormatting>
  <pageMargins left="0.5" right="0.5" top="0.75" bottom="0.75" header="0.5" footer="0.5"/>
  <pageSetup scale="69" orientation="portrait" r:id="rId1"/>
  <headerFooter alignWithMargins="0">
    <oddFooter>&amp;L&amp;8SREB Fact Book&amp;R&amp;8&amp;D</oddFooter>
  </headerFooter>
  <rowBreaks count="1" manualBreakCount="1">
    <brk id="74" max="11" man="1"/>
  </rowBreaks>
  <colBreaks count="1" manualBreakCount="1">
    <brk id="15" max="1048575" man="1"/>
  </col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O379"/>
  <sheetViews>
    <sheetView topLeftCell="J1" workbookViewId="0"/>
  </sheetViews>
  <sheetFormatPr defaultColWidth="7.88671875" defaultRowHeight="15"/>
  <cols>
    <col min="1" max="1" width="5.109375" style="506" customWidth="1"/>
    <col min="2" max="2" width="13.88671875" style="506" customWidth="1"/>
    <col min="3" max="3" width="5.6640625" style="500" bestFit="1" customWidth="1"/>
    <col min="4" max="4" width="5.21875" style="500" customWidth="1"/>
    <col min="5" max="5" width="5.109375" style="500" customWidth="1"/>
    <col min="6" max="6" width="4.6640625" style="500" customWidth="1"/>
    <col min="7" max="7" width="5.109375" style="500" customWidth="1"/>
    <col min="8" max="8" width="4.88671875" style="500" customWidth="1"/>
    <col min="9" max="9" width="5.88671875" style="506" customWidth="1"/>
    <col min="10" max="10" width="6.21875" style="500" customWidth="1"/>
    <col min="11" max="12" width="5.21875" style="500" customWidth="1"/>
    <col min="13" max="13" width="4.88671875" style="500" customWidth="1"/>
    <col min="14" max="14" width="5.21875" style="500" customWidth="1"/>
    <col min="15" max="15" width="5.77734375" style="500" customWidth="1"/>
    <col min="16" max="16" width="5.21875" style="500" customWidth="1"/>
    <col min="17" max="17" width="5.33203125" style="500" customWidth="1"/>
    <col min="18" max="18" width="4.77734375" style="500" customWidth="1"/>
    <col min="19" max="19" width="5.44140625" style="500" customWidth="1"/>
    <col min="20" max="20" width="5.77734375" style="506" customWidth="1"/>
    <col min="21" max="21" width="4.109375" style="567" customWidth="1"/>
    <col min="22" max="22" width="7.77734375" style="209" customWidth="1"/>
    <col min="23" max="23" width="6.88671875" style="209" customWidth="1"/>
    <col min="24" max="24" width="7.21875" style="209" customWidth="1"/>
    <col min="25" max="25" width="6.44140625" style="209" customWidth="1"/>
    <col min="26" max="26" width="6.33203125" style="209" customWidth="1"/>
    <col min="27" max="28" width="7" style="209" customWidth="1"/>
    <col min="29" max="29" width="7.33203125" style="209" customWidth="1"/>
    <col min="30" max="30" width="5.6640625" style="209" customWidth="1"/>
    <col min="31" max="31" width="6.77734375" style="209" customWidth="1"/>
    <col min="32" max="32" width="7" style="209" customWidth="1"/>
    <col min="33" max="33" width="7.109375" style="209" customWidth="1"/>
    <col min="34" max="34" width="6.44140625" style="209" customWidth="1"/>
    <col min="35" max="35" width="7.5546875" style="209" customWidth="1"/>
    <col min="36" max="36" width="6" style="209" customWidth="1"/>
    <col min="37" max="37" width="5.5546875" style="209" customWidth="1"/>
    <col min="38" max="38" width="5.6640625" style="209" customWidth="1"/>
    <col min="39" max="39" width="5.6640625" style="214" customWidth="1"/>
    <col min="40" max="40" width="9.5546875" style="209" customWidth="1"/>
    <col min="41" max="41" width="10.21875" style="209" customWidth="1"/>
    <col min="42" max="16384" width="7.88671875" style="500"/>
  </cols>
  <sheetData>
    <row r="1" spans="1:41" ht="18">
      <c r="A1" s="497" t="s">
        <v>132</v>
      </c>
      <c r="B1" s="497"/>
      <c r="C1" s="498"/>
      <c r="D1" s="498"/>
      <c r="E1" s="498"/>
      <c r="F1" s="498"/>
      <c r="G1" s="498"/>
      <c r="H1" s="498"/>
      <c r="I1" s="497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7"/>
      <c r="U1" s="499" t="s">
        <v>86</v>
      </c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8"/>
    </row>
    <row r="2" spans="1:41" ht="18">
      <c r="A2" s="497" t="s">
        <v>134</v>
      </c>
      <c r="B2" s="497"/>
      <c r="C2" s="498"/>
      <c r="D2" s="498"/>
      <c r="E2" s="498"/>
      <c r="F2" s="498"/>
      <c r="G2" s="498"/>
      <c r="H2" s="498"/>
      <c r="I2" s="497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7"/>
      <c r="U2" s="499" t="s">
        <v>86</v>
      </c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  <c r="AK2" s="207"/>
      <c r="AL2" s="207"/>
      <c r="AM2" s="208"/>
    </row>
    <row r="3" spans="1:41" s="504" customFormat="1" ht="18.75" customHeight="1">
      <c r="A3" s="501" t="s">
        <v>92</v>
      </c>
      <c r="B3" s="501"/>
      <c r="C3" s="502"/>
      <c r="D3" s="502"/>
      <c r="E3" s="502"/>
      <c r="F3" s="502"/>
      <c r="G3" s="502"/>
      <c r="H3" s="502"/>
      <c r="I3" s="501"/>
      <c r="J3" s="502"/>
      <c r="K3" s="502"/>
      <c r="L3" s="502"/>
      <c r="M3" s="502"/>
      <c r="N3" s="502"/>
      <c r="O3" s="502"/>
      <c r="P3" s="502"/>
      <c r="Q3" s="502"/>
      <c r="R3" s="502"/>
      <c r="S3" s="502"/>
      <c r="T3" s="501"/>
      <c r="U3" s="503" t="s">
        <v>86</v>
      </c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2"/>
      <c r="AN3" s="64"/>
      <c r="AO3" s="64"/>
    </row>
    <row r="4" spans="1:41" s="504" customFormat="1" ht="15.75" customHeight="1">
      <c r="A4" s="501"/>
      <c r="B4" s="501"/>
      <c r="C4" s="502"/>
      <c r="D4" s="502"/>
      <c r="E4" s="502"/>
      <c r="F4" s="502"/>
      <c r="G4" s="502"/>
      <c r="H4" s="502"/>
      <c r="I4" s="501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1"/>
      <c r="U4" s="503" t="s">
        <v>86</v>
      </c>
      <c r="V4" s="432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2"/>
      <c r="AN4" s="64"/>
      <c r="AO4" s="64"/>
    </row>
    <row r="5" spans="1:41" ht="15.75" customHeight="1">
      <c r="U5" s="507" t="s">
        <v>86</v>
      </c>
    </row>
    <row r="6" spans="1:41">
      <c r="A6" s="509"/>
      <c r="B6" s="509"/>
      <c r="C6" s="87" t="s">
        <v>95</v>
      </c>
      <c r="D6" s="510"/>
      <c r="E6" s="510"/>
      <c r="F6" s="510"/>
      <c r="G6" s="510"/>
      <c r="H6" s="510"/>
      <c r="I6" s="510"/>
      <c r="J6" s="510"/>
      <c r="K6" s="510"/>
      <c r="L6" s="510"/>
      <c r="M6" s="510"/>
      <c r="N6" s="510"/>
      <c r="O6" s="510"/>
      <c r="P6" s="510"/>
      <c r="Q6" s="510"/>
      <c r="R6" s="510"/>
      <c r="S6" s="510"/>
      <c r="T6" s="510"/>
      <c r="U6" s="511"/>
      <c r="V6" s="87" t="s">
        <v>52</v>
      </c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</row>
    <row r="7" spans="1:41">
      <c r="A7" s="513"/>
      <c r="B7" s="513"/>
      <c r="C7" s="90" t="s">
        <v>96</v>
      </c>
      <c r="D7" s="514"/>
      <c r="E7" s="514"/>
      <c r="F7" s="514"/>
      <c r="G7" s="514"/>
      <c r="H7" s="514"/>
      <c r="I7" s="514"/>
      <c r="J7" s="514"/>
      <c r="K7" s="515" t="s">
        <v>97</v>
      </c>
      <c r="L7" s="516"/>
      <c r="M7" s="516"/>
      <c r="N7" s="516"/>
      <c r="O7" s="517"/>
      <c r="P7" s="518"/>
      <c r="Q7" s="515" t="s">
        <v>110</v>
      </c>
      <c r="R7" s="516"/>
      <c r="S7" s="516"/>
      <c r="T7" s="514"/>
      <c r="U7" s="507"/>
      <c r="V7" s="90" t="s">
        <v>96</v>
      </c>
      <c r="W7" s="223"/>
      <c r="X7" s="223"/>
      <c r="Y7" s="223"/>
      <c r="Z7" s="223"/>
      <c r="AA7" s="223"/>
      <c r="AB7" s="223"/>
      <c r="AC7" s="223"/>
      <c r="AD7" s="224" t="s">
        <v>97</v>
      </c>
      <c r="AE7" s="225"/>
      <c r="AF7" s="225"/>
      <c r="AG7" s="225"/>
      <c r="AH7" s="226"/>
      <c r="AI7" s="227"/>
      <c r="AJ7" s="224" t="s">
        <v>110</v>
      </c>
      <c r="AK7" s="225"/>
      <c r="AL7" s="225"/>
      <c r="AM7" s="223"/>
    </row>
    <row r="8" spans="1:41" ht="41.25" customHeight="1">
      <c r="A8" s="520"/>
      <c r="B8" s="520"/>
      <c r="C8" s="521">
        <v>1</v>
      </c>
      <c r="D8" s="522">
        <v>2</v>
      </c>
      <c r="E8" s="522">
        <v>3</v>
      </c>
      <c r="F8" s="522">
        <v>4</v>
      </c>
      <c r="G8" s="522">
        <v>5</v>
      </c>
      <c r="H8" s="522">
        <v>6</v>
      </c>
      <c r="I8" s="524" t="s">
        <v>120</v>
      </c>
      <c r="J8" s="528" t="s">
        <v>119</v>
      </c>
      <c r="K8" s="524" t="s">
        <v>111</v>
      </c>
      <c r="L8" s="522">
        <v>1</v>
      </c>
      <c r="M8" s="522">
        <v>2</v>
      </c>
      <c r="N8" s="522">
        <v>3</v>
      </c>
      <c r="O8" s="524" t="s">
        <v>120</v>
      </c>
      <c r="P8" s="523" t="s">
        <v>121</v>
      </c>
      <c r="Q8" s="524">
        <v>1</v>
      </c>
      <c r="R8" s="524">
        <v>2</v>
      </c>
      <c r="S8" s="524" t="s">
        <v>120</v>
      </c>
      <c r="T8" s="525" t="s">
        <v>113</v>
      </c>
      <c r="U8" s="526"/>
      <c r="V8" s="235">
        <v>1</v>
      </c>
      <c r="W8" s="236">
        <v>2</v>
      </c>
      <c r="X8" s="236">
        <v>3</v>
      </c>
      <c r="Y8" s="236">
        <v>4</v>
      </c>
      <c r="Z8" s="236">
        <v>5</v>
      </c>
      <c r="AA8" s="236">
        <v>6</v>
      </c>
      <c r="AB8" s="237" t="s">
        <v>114</v>
      </c>
      <c r="AC8" s="341" t="s">
        <v>98</v>
      </c>
      <c r="AD8" s="237" t="s">
        <v>111</v>
      </c>
      <c r="AE8" s="236">
        <v>1</v>
      </c>
      <c r="AF8" s="236">
        <v>2</v>
      </c>
      <c r="AG8" s="236">
        <v>3</v>
      </c>
      <c r="AH8" s="237" t="s">
        <v>114</v>
      </c>
      <c r="AI8" s="341" t="s">
        <v>113</v>
      </c>
      <c r="AJ8" s="237">
        <v>1</v>
      </c>
      <c r="AK8" s="237">
        <v>2</v>
      </c>
      <c r="AL8" s="237" t="s">
        <v>114</v>
      </c>
      <c r="AM8" s="238" t="s">
        <v>113</v>
      </c>
    </row>
    <row r="9" spans="1:41">
      <c r="A9" s="240" t="s">
        <v>128</v>
      </c>
      <c r="B9" s="240" t="s">
        <v>53</v>
      </c>
      <c r="C9" s="494">
        <f t="shared" ref="C9:H13" si="0">+V9/V$14</f>
        <v>0.35214388339767005</v>
      </c>
      <c r="D9" s="449">
        <f t="shared" si="0"/>
        <v>0.2831871093526005</v>
      </c>
      <c r="E9" s="449">
        <f t="shared" si="0"/>
        <v>0.28104175486460636</v>
      </c>
      <c r="F9" s="449">
        <f t="shared" si="0"/>
        <v>0.26533161247345849</v>
      </c>
      <c r="G9" s="449">
        <f t="shared" si="0"/>
        <v>0.24649882619606572</v>
      </c>
      <c r="H9" s="449">
        <f t="shared" si="0"/>
        <v>0.19919129681332434</v>
      </c>
      <c r="I9" s="449"/>
      <c r="J9" s="459">
        <f t="shared" ref="J9:P13" si="1">+AC9/AC$14</f>
        <v>0.3063427748586835</v>
      </c>
      <c r="K9" s="450">
        <f t="shared" si="1"/>
        <v>0.25264643613267468</v>
      </c>
      <c r="L9" s="449">
        <f t="shared" si="1"/>
        <v>0.14073876605741514</v>
      </c>
      <c r="M9" s="449">
        <f t="shared" si="1"/>
        <v>0.13069979768636197</v>
      </c>
      <c r="N9" s="449">
        <f t="shared" si="1"/>
        <v>0.11467041503292151</v>
      </c>
      <c r="O9" s="451">
        <f t="shared" si="1"/>
        <v>1.2121212121212121E-2</v>
      </c>
      <c r="P9" s="450">
        <f t="shared" si="1"/>
        <v>0.13829330678248331</v>
      </c>
      <c r="Q9" s="494">
        <f>+AJ9/$AJ$14</f>
        <v>3.7609694943585457E-3</v>
      </c>
      <c r="R9" s="449">
        <f>+AK9/$AK$14</f>
        <v>0</v>
      </c>
      <c r="S9" s="451">
        <f>+AL9/$AL$14</f>
        <v>0.13027522935779817</v>
      </c>
      <c r="T9" s="450">
        <f>+AM9/$AM$14</f>
        <v>2.5149324111914492E-2</v>
      </c>
      <c r="U9" s="244"/>
      <c r="V9" s="534">
        <v>40686</v>
      </c>
      <c r="W9" s="246">
        <v>9877</v>
      </c>
      <c r="X9" s="246">
        <v>17924</v>
      </c>
      <c r="Y9" s="246">
        <v>6373</v>
      </c>
      <c r="Z9" s="246">
        <v>3045</v>
      </c>
      <c r="AA9" s="246">
        <v>2069</v>
      </c>
      <c r="AB9" s="246">
        <v>17</v>
      </c>
      <c r="AC9" s="535">
        <v>79991</v>
      </c>
      <c r="AD9" s="245">
        <v>1074</v>
      </c>
      <c r="AE9" s="246">
        <v>8447</v>
      </c>
      <c r="AF9" s="246">
        <v>5039</v>
      </c>
      <c r="AG9" s="246">
        <v>1550</v>
      </c>
      <c r="AH9" s="248">
        <v>2</v>
      </c>
      <c r="AI9" s="538">
        <v>16112</v>
      </c>
      <c r="AJ9" s="245">
        <v>9</v>
      </c>
      <c r="AK9" s="246"/>
      <c r="AL9" s="248">
        <v>71</v>
      </c>
      <c r="AM9" s="541">
        <v>80</v>
      </c>
    </row>
    <row r="10" spans="1:41">
      <c r="A10" s="239"/>
      <c r="B10" s="239" t="s">
        <v>93</v>
      </c>
      <c r="C10" s="452">
        <f t="shared" si="0"/>
        <v>0.25757759351901538</v>
      </c>
      <c r="D10" s="452">
        <f t="shared" si="0"/>
        <v>0.28135214175124723</v>
      </c>
      <c r="E10" s="452">
        <f t="shared" si="0"/>
        <v>0.25730278940683948</v>
      </c>
      <c r="F10" s="452">
        <f t="shared" si="0"/>
        <v>0.26862067529872186</v>
      </c>
      <c r="G10" s="452">
        <f t="shared" si="0"/>
        <v>0.25783210556140207</v>
      </c>
      <c r="H10" s="452">
        <f t="shared" si="0"/>
        <v>0.26176951959179745</v>
      </c>
      <c r="I10" s="452"/>
      <c r="J10" s="460">
        <f t="shared" si="1"/>
        <v>0.26192573415646686</v>
      </c>
      <c r="K10" s="453">
        <f t="shared" si="1"/>
        <v>0.17501764290755117</v>
      </c>
      <c r="L10" s="452">
        <f t="shared" si="1"/>
        <v>9.8168913177493794E-2</v>
      </c>
      <c r="M10" s="452">
        <f t="shared" si="1"/>
        <v>9.5268973387975311E-2</v>
      </c>
      <c r="N10" s="452">
        <f t="shared" si="1"/>
        <v>8.7223496337944809E-2</v>
      </c>
      <c r="O10" s="454">
        <f t="shared" si="1"/>
        <v>1.8181818181818181E-2</v>
      </c>
      <c r="P10" s="453">
        <f t="shared" si="1"/>
        <v>9.8630113470550868E-2</v>
      </c>
      <c r="Q10" s="452">
        <f>+AJ10/$AJ$14</f>
        <v>1.3790221479314668E-2</v>
      </c>
      <c r="R10" s="452">
        <f>+AK10/$AK$14</f>
        <v>8.2304526748971193E-2</v>
      </c>
      <c r="S10" s="454">
        <f>+AL10/$AL$14</f>
        <v>3.4862385321100919E-2</v>
      </c>
      <c r="T10" s="453">
        <f>+AM10/$AM$14</f>
        <v>2.2634391700723042E-2</v>
      </c>
      <c r="U10" s="253"/>
      <c r="V10" s="254">
        <v>29760</v>
      </c>
      <c r="W10" s="255">
        <v>9813</v>
      </c>
      <c r="X10" s="255">
        <v>16410</v>
      </c>
      <c r="Y10" s="255">
        <v>6452</v>
      </c>
      <c r="Z10" s="255">
        <v>3185</v>
      </c>
      <c r="AA10" s="255">
        <v>2719</v>
      </c>
      <c r="AB10" s="255">
        <v>54</v>
      </c>
      <c r="AC10" s="536">
        <v>68393</v>
      </c>
      <c r="AD10" s="254">
        <v>744</v>
      </c>
      <c r="AE10" s="255">
        <v>5892</v>
      </c>
      <c r="AF10" s="255">
        <v>3673</v>
      </c>
      <c r="AG10" s="255">
        <v>1179</v>
      </c>
      <c r="AH10" s="257">
        <v>3</v>
      </c>
      <c r="AI10" s="539">
        <v>11491</v>
      </c>
      <c r="AJ10" s="254">
        <v>33</v>
      </c>
      <c r="AK10" s="255">
        <v>20</v>
      </c>
      <c r="AL10" s="257">
        <v>19</v>
      </c>
      <c r="AM10" s="542">
        <v>72</v>
      </c>
    </row>
    <row r="11" spans="1:41">
      <c r="A11" s="239"/>
      <c r="B11" s="239" t="s">
        <v>55</v>
      </c>
      <c r="C11" s="452">
        <f t="shared" si="0"/>
        <v>0.23900361785732832</v>
      </c>
      <c r="D11" s="452">
        <f t="shared" si="0"/>
        <v>0.25520385343196283</v>
      </c>
      <c r="E11" s="452">
        <f t="shared" si="0"/>
        <v>0.2830330683475234</v>
      </c>
      <c r="F11" s="452">
        <f t="shared" si="0"/>
        <v>0.31129522461384734</v>
      </c>
      <c r="G11" s="452">
        <f t="shared" si="0"/>
        <v>0.31854610216141827</v>
      </c>
      <c r="H11" s="452">
        <f t="shared" si="0"/>
        <v>0.34754982189275058</v>
      </c>
      <c r="I11" s="452"/>
      <c r="J11" s="460">
        <f t="shared" si="1"/>
        <v>0.2667013894207938</v>
      </c>
      <c r="K11" s="453">
        <f t="shared" si="1"/>
        <v>0.19289578922606446</v>
      </c>
      <c r="L11" s="452">
        <f t="shared" si="1"/>
        <v>0.11341408553957913</v>
      </c>
      <c r="M11" s="452">
        <f t="shared" si="1"/>
        <v>0.10613684701976449</v>
      </c>
      <c r="N11" s="452">
        <f t="shared" si="1"/>
        <v>0.10594066730783458</v>
      </c>
      <c r="O11" s="454">
        <f t="shared" si="1"/>
        <v>4.8484848484848485E-2</v>
      </c>
      <c r="P11" s="453">
        <f t="shared" si="1"/>
        <v>0.1129469726881019</v>
      </c>
      <c r="Q11" s="452">
        <f>+AJ11/$AJ$14</f>
        <v>1.5879648976180525E-2</v>
      </c>
      <c r="R11" s="452">
        <f>+AK11/$AK$14</f>
        <v>6.9958847736625515E-2</v>
      </c>
      <c r="S11" s="454">
        <f>+AL11/$AL$14</f>
        <v>5.321100917431193E-2</v>
      </c>
      <c r="T11" s="453">
        <f>+AM11/$AM$14</f>
        <v>2.6406790317510215E-2</v>
      </c>
      <c r="U11" s="253"/>
      <c r="V11" s="254">
        <v>27614</v>
      </c>
      <c r="W11" s="255">
        <v>8901</v>
      </c>
      <c r="X11" s="255">
        <v>18051</v>
      </c>
      <c r="Y11" s="255">
        <v>7477</v>
      </c>
      <c r="Z11" s="255">
        <v>3935</v>
      </c>
      <c r="AA11" s="255">
        <v>3610</v>
      </c>
      <c r="AB11" s="255">
        <v>52</v>
      </c>
      <c r="AC11" s="536">
        <v>69640</v>
      </c>
      <c r="AD11" s="254">
        <v>820</v>
      </c>
      <c r="AE11" s="255">
        <v>6807</v>
      </c>
      <c r="AF11" s="255">
        <v>4092</v>
      </c>
      <c r="AG11" s="255">
        <v>1432</v>
      </c>
      <c r="AH11" s="257">
        <v>8</v>
      </c>
      <c r="AI11" s="539">
        <v>13159</v>
      </c>
      <c r="AJ11" s="254">
        <v>38</v>
      </c>
      <c r="AK11" s="255">
        <v>17</v>
      </c>
      <c r="AL11" s="257">
        <v>29</v>
      </c>
      <c r="AM11" s="542">
        <v>84</v>
      </c>
    </row>
    <row r="12" spans="1:41">
      <c r="A12" s="239"/>
      <c r="B12" s="239" t="s">
        <v>78</v>
      </c>
      <c r="C12" s="452">
        <f t="shared" si="0"/>
        <v>4.9871038100019041E-2</v>
      </c>
      <c r="D12" s="452">
        <f t="shared" si="0"/>
        <v>8.3691725442972653E-2</v>
      </c>
      <c r="E12" s="452">
        <f t="shared" si="0"/>
        <v>8.4748420276902325E-2</v>
      </c>
      <c r="F12" s="452">
        <f t="shared" si="0"/>
        <v>7.47325034347808E-2</v>
      </c>
      <c r="G12" s="452">
        <f t="shared" si="0"/>
        <v>8.6618635149356429E-2</v>
      </c>
      <c r="H12" s="452">
        <f t="shared" si="0"/>
        <v>0.12149802637912775</v>
      </c>
      <c r="I12" s="452"/>
      <c r="J12" s="460">
        <f t="shared" si="1"/>
        <v>6.9880819252745904E-2</v>
      </c>
      <c r="K12" s="453">
        <f t="shared" si="1"/>
        <v>0.27358268642672312</v>
      </c>
      <c r="L12" s="452">
        <f t="shared" si="1"/>
        <v>0.44737499791732616</v>
      </c>
      <c r="M12" s="452">
        <f t="shared" si="1"/>
        <v>0.32652902422576124</v>
      </c>
      <c r="N12" s="452">
        <f t="shared" si="1"/>
        <v>0.43552563438632835</v>
      </c>
      <c r="O12" s="454">
        <f t="shared" si="1"/>
        <v>0.92121212121212126</v>
      </c>
      <c r="P12" s="453">
        <f t="shared" si="1"/>
        <v>0.40033989665768288</v>
      </c>
      <c r="Q12" s="452">
        <f>+AJ12/$AJ$14</f>
        <v>5.5578771416631846E-2</v>
      </c>
      <c r="R12" s="452">
        <f>+AK12/$AK$14</f>
        <v>0.23868312757201646</v>
      </c>
      <c r="S12" s="454">
        <f>+AL12/$AL$14</f>
        <v>0.76697247706422023</v>
      </c>
      <c r="T12" s="453">
        <f>+AM12/$AM$14</f>
        <v>0.19144922980194906</v>
      </c>
      <c r="U12" s="253"/>
      <c r="V12" s="254">
        <v>5762</v>
      </c>
      <c r="W12" s="255">
        <v>2919</v>
      </c>
      <c r="X12" s="255">
        <v>5405</v>
      </c>
      <c r="Y12" s="255">
        <v>1795</v>
      </c>
      <c r="Z12" s="255">
        <v>1070</v>
      </c>
      <c r="AA12" s="255">
        <v>1262</v>
      </c>
      <c r="AB12" s="255">
        <v>34</v>
      </c>
      <c r="AC12" s="536">
        <v>18247</v>
      </c>
      <c r="AD12" s="254">
        <v>1163</v>
      </c>
      <c r="AE12" s="255">
        <v>26851</v>
      </c>
      <c r="AF12" s="255">
        <v>12589</v>
      </c>
      <c r="AG12" s="255">
        <v>5887</v>
      </c>
      <c r="AH12" s="257">
        <v>152</v>
      </c>
      <c r="AI12" s="539">
        <v>46642</v>
      </c>
      <c r="AJ12" s="254">
        <v>133</v>
      </c>
      <c r="AK12" s="255">
        <v>58</v>
      </c>
      <c r="AL12" s="257">
        <v>418</v>
      </c>
      <c r="AM12" s="542">
        <v>609</v>
      </c>
    </row>
    <row r="13" spans="1:41">
      <c r="A13" s="580"/>
      <c r="B13" s="580" t="s">
        <v>131</v>
      </c>
      <c r="C13" s="581">
        <f t="shared" si="0"/>
        <v>0.10140386712596722</v>
      </c>
      <c r="D13" s="582">
        <f t="shared" si="0"/>
        <v>9.6565170021216812E-2</v>
      </c>
      <c r="E13" s="582">
        <f t="shared" si="0"/>
        <v>9.3873967104128445E-2</v>
      </c>
      <c r="F13" s="582">
        <f t="shared" si="0"/>
        <v>8.001998417919147E-2</v>
      </c>
      <c r="G13" s="582">
        <f t="shared" si="0"/>
        <v>9.0504330931757471E-2</v>
      </c>
      <c r="H13" s="582">
        <f t="shared" si="0"/>
        <v>6.9991335322999906E-2</v>
      </c>
      <c r="I13" s="583"/>
      <c r="J13" s="584">
        <f t="shared" si="1"/>
        <v>9.514928231130991E-2</v>
      </c>
      <c r="K13" s="581">
        <f t="shared" si="1"/>
        <v>0.1058574453069866</v>
      </c>
      <c r="L13" s="582">
        <f t="shared" si="1"/>
        <v>0.20030323730818575</v>
      </c>
      <c r="M13" s="582">
        <f t="shared" si="1"/>
        <v>0.34136535768013693</v>
      </c>
      <c r="N13" s="582">
        <f t="shared" si="1"/>
        <v>0.2566397869349708</v>
      </c>
      <c r="O13" s="583">
        <f t="shared" si="1"/>
        <v>0</v>
      </c>
      <c r="P13" s="581">
        <f t="shared" si="1"/>
        <v>0.24978971040118106</v>
      </c>
      <c r="Q13" s="581">
        <f>+AJ13/$AJ$14</f>
        <v>0.91099038863351445</v>
      </c>
      <c r="R13" s="582">
        <f>+AK13/$AK$14</f>
        <v>0.60905349794238683</v>
      </c>
      <c r="S13" s="583">
        <f>+AL13/$AL$14</f>
        <v>1.4678899082568808E-2</v>
      </c>
      <c r="T13" s="581">
        <f>+AM13/$AM$14</f>
        <v>0.73436026406790322</v>
      </c>
      <c r="U13" s="253"/>
      <c r="V13" s="585">
        <v>11716</v>
      </c>
      <c r="W13" s="586">
        <v>3368</v>
      </c>
      <c r="X13" s="586">
        <v>5987</v>
      </c>
      <c r="Y13" s="586">
        <v>1922</v>
      </c>
      <c r="Z13" s="586">
        <v>1118</v>
      </c>
      <c r="AA13" s="586">
        <v>727</v>
      </c>
      <c r="AB13" s="586">
        <v>7</v>
      </c>
      <c r="AC13" s="587">
        <v>24845</v>
      </c>
      <c r="AD13" s="585">
        <v>450</v>
      </c>
      <c r="AE13" s="586">
        <v>12022</v>
      </c>
      <c r="AF13" s="586">
        <v>13161</v>
      </c>
      <c r="AG13" s="586">
        <v>3469</v>
      </c>
      <c r="AH13" s="588"/>
      <c r="AI13" s="588">
        <v>29102</v>
      </c>
      <c r="AJ13" s="585">
        <v>2180</v>
      </c>
      <c r="AK13" s="586">
        <v>148</v>
      </c>
      <c r="AL13" s="588">
        <v>8</v>
      </c>
      <c r="AM13" s="585">
        <v>2336</v>
      </c>
    </row>
    <row r="14" spans="1:41" s="527" customFormat="1">
      <c r="A14" s="436" t="s">
        <v>86</v>
      </c>
      <c r="B14" s="436" t="s">
        <v>59</v>
      </c>
      <c r="C14" s="456">
        <f>SUM(C9:C13)</f>
        <v>1</v>
      </c>
      <c r="D14" s="456">
        <f t="shared" ref="D14:T14" si="2">SUM(D9:D13)</f>
        <v>1</v>
      </c>
      <c r="E14" s="456">
        <f t="shared" si="2"/>
        <v>1</v>
      </c>
      <c r="F14" s="456">
        <f t="shared" si="2"/>
        <v>0.99999999999999989</v>
      </c>
      <c r="G14" s="456">
        <f t="shared" si="2"/>
        <v>0.99999999999999989</v>
      </c>
      <c r="H14" s="456">
        <f t="shared" si="2"/>
        <v>1</v>
      </c>
      <c r="I14" s="456"/>
      <c r="J14" s="461">
        <f t="shared" si="2"/>
        <v>1</v>
      </c>
      <c r="K14" s="457">
        <f t="shared" si="2"/>
        <v>1</v>
      </c>
      <c r="L14" s="456">
        <f t="shared" si="2"/>
        <v>1</v>
      </c>
      <c r="M14" s="456">
        <f t="shared" si="2"/>
        <v>1</v>
      </c>
      <c r="N14" s="456">
        <f t="shared" si="2"/>
        <v>1</v>
      </c>
      <c r="O14" s="458">
        <f t="shared" si="2"/>
        <v>1</v>
      </c>
      <c r="P14" s="457">
        <f t="shared" si="2"/>
        <v>1</v>
      </c>
      <c r="Q14" s="456">
        <f t="shared" si="2"/>
        <v>1</v>
      </c>
      <c r="R14" s="456">
        <f t="shared" si="2"/>
        <v>1</v>
      </c>
      <c r="S14" s="458">
        <f t="shared" si="2"/>
        <v>1</v>
      </c>
      <c r="T14" s="457">
        <f t="shared" si="2"/>
        <v>1</v>
      </c>
      <c r="U14" s="264"/>
      <c r="V14" s="265">
        <v>115538</v>
      </c>
      <c r="W14" s="266">
        <v>34878</v>
      </c>
      <c r="X14" s="266">
        <v>63777</v>
      </c>
      <c r="Y14" s="266">
        <v>24019</v>
      </c>
      <c r="Z14" s="266">
        <v>12353</v>
      </c>
      <c r="AA14" s="266">
        <v>10387</v>
      </c>
      <c r="AB14" s="266">
        <v>164</v>
      </c>
      <c r="AC14" s="537">
        <v>261116</v>
      </c>
      <c r="AD14" s="265">
        <v>4251</v>
      </c>
      <c r="AE14" s="266">
        <v>60019</v>
      </c>
      <c r="AF14" s="266">
        <v>38554</v>
      </c>
      <c r="AG14" s="266">
        <v>13517</v>
      </c>
      <c r="AH14" s="268">
        <v>165</v>
      </c>
      <c r="AI14" s="540">
        <v>116506</v>
      </c>
      <c r="AJ14" s="265">
        <v>2393</v>
      </c>
      <c r="AK14" s="266">
        <v>243</v>
      </c>
      <c r="AL14" s="268">
        <v>545</v>
      </c>
      <c r="AM14" s="543">
        <v>3181</v>
      </c>
      <c r="AN14" s="209"/>
      <c r="AO14" s="270"/>
    </row>
    <row r="15" spans="1:41">
      <c r="A15" s="240" t="s">
        <v>3</v>
      </c>
      <c r="B15" s="240" t="s">
        <v>53</v>
      </c>
      <c r="C15" s="241">
        <v>0.32960212548182671</v>
      </c>
      <c r="D15" s="242">
        <v>0.25256733191242009</v>
      </c>
      <c r="E15" s="242">
        <v>0.23536676646706586</v>
      </c>
      <c r="F15" s="242">
        <v>0.21283783783783783</v>
      </c>
      <c r="G15" s="242">
        <v>0.2040127507969248</v>
      </c>
      <c r="H15" s="242">
        <v>0.19805630026809651</v>
      </c>
      <c r="I15" s="243"/>
      <c r="J15" s="546">
        <v>0.27519602977667496</v>
      </c>
      <c r="K15" s="241">
        <v>5.9992500937382828E-2</v>
      </c>
      <c r="L15" s="242">
        <v>0.12925067709900692</v>
      </c>
      <c r="M15" s="242">
        <v>7.3248820714466131E-2</v>
      </c>
      <c r="N15" s="242">
        <v>6.9650700690232173E-2</v>
      </c>
      <c r="O15" s="243">
        <v>0.20313219714417319</v>
      </c>
      <c r="P15" s="241">
        <v>0.10369703454531883</v>
      </c>
      <c r="Q15" s="342">
        <v>3.4816247582205029E-3</v>
      </c>
      <c r="R15" s="433">
        <v>0</v>
      </c>
      <c r="S15" s="243">
        <v>0</v>
      </c>
      <c r="T15" s="342">
        <v>1.9354838709677419E-3</v>
      </c>
      <c r="U15" s="244"/>
      <c r="V15" s="245">
        <v>15135</v>
      </c>
      <c r="W15" s="246">
        <v>2607</v>
      </c>
      <c r="X15" s="246">
        <v>6289</v>
      </c>
      <c r="Y15" s="246">
        <v>2016</v>
      </c>
      <c r="Z15" s="246">
        <v>1088</v>
      </c>
      <c r="AA15" s="246">
        <v>591</v>
      </c>
      <c r="AB15" s="246"/>
      <c r="AC15" s="247">
        <v>27726</v>
      </c>
      <c r="AD15" s="245">
        <v>160</v>
      </c>
      <c r="AE15" s="246">
        <v>2577</v>
      </c>
      <c r="AF15" s="246">
        <v>1073</v>
      </c>
      <c r="AG15" s="246">
        <v>333</v>
      </c>
      <c r="AH15" s="248">
        <v>441</v>
      </c>
      <c r="AI15" s="248">
        <v>4584</v>
      </c>
      <c r="AJ15" s="245">
        <v>9</v>
      </c>
      <c r="AK15" s="246">
        <v>0</v>
      </c>
      <c r="AL15" s="248">
        <v>0</v>
      </c>
      <c r="AM15" s="245">
        <v>9</v>
      </c>
    </row>
    <row r="16" spans="1:41">
      <c r="A16" s="239"/>
      <c r="B16" s="239" t="s">
        <v>93</v>
      </c>
      <c r="C16" s="250">
        <v>0.26579411572551664</v>
      </c>
      <c r="D16" s="251">
        <v>0.2727184654136795</v>
      </c>
      <c r="E16" s="251">
        <v>0.24472305389221558</v>
      </c>
      <c r="F16" s="251">
        <v>0.25084459459459457</v>
      </c>
      <c r="G16" s="251">
        <v>0.24320270016876055</v>
      </c>
      <c r="H16" s="251">
        <v>0.25536193029490617</v>
      </c>
      <c r="I16" s="252"/>
      <c r="J16" s="547">
        <v>0.25800496277915635</v>
      </c>
      <c r="K16" s="250">
        <v>5.9617547806524188E-2</v>
      </c>
      <c r="L16" s="251">
        <v>0.10497542381382285</v>
      </c>
      <c r="M16" s="251">
        <v>9.0451712438646428E-2</v>
      </c>
      <c r="N16" s="251">
        <v>7.4670571010248904E-2</v>
      </c>
      <c r="O16" s="252">
        <v>0.29801934592353752</v>
      </c>
      <c r="P16" s="250">
        <v>0.10362916999391482</v>
      </c>
      <c r="Q16" s="250">
        <v>1.276595744680851E-2</v>
      </c>
      <c r="R16" s="251">
        <v>0</v>
      </c>
      <c r="S16" s="252">
        <v>0</v>
      </c>
      <c r="T16" s="250">
        <v>7.0967741935483875E-3</v>
      </c>
      <c r="U16" s="253"/>
      <c r="V16" s="254">
        <v>12205</v>
      </c>
      <c r="W16" s="255">
        <v>2815</v>
      </c>
      <c r="X16" s="255">
        <v>6539</v>
      </c>
      <c r="Y16" s="255">
        <v>2376</v>
      </c>
      <c r="Z16" s="255">
        <v>1297</v>
      </c>
      <c r="AA16" s="255">
        <v>762</v>
      </c>
      <c r="AB16" s="255"/>
      <c r="AC16" s="256">
        <v>25994</v>
      </c>
      <c r="AD16" s="254">
        <v>159</v>
      </c>
      <c r="AE16" s="255">
        <v>2093</v>
      </c>
      <c r="AF16" s="255">
        <v>1325</v>
      </c>
      <c r="AG16" s="255">
        <v>357</v>
      </c>
      <c r="AH16" s="257">
        <v>647</v>
      </c>
      <c r="AI16" s="257">
        <v>4581</v>
      </c>
      <c r="AJ16" s="254">
        <v>33</v>
      </c>
      <c r="AK16" s="255">
        <v>0</v>
      </c>
      <c r="AL16" s="257">
        <v>0</v>
      </c>
      <c r="AM16" s="254">
        <v>33</v>
      </c>
    </row>
    <row r="17" spans="1:41">
      <c r="A17" s="239"/>
      <c r="B17" s="239" t="s">
        <v>55</v>
      </c>
      <c r="C17" s="250">
        <v>0.24898190291600428</v>
      </c>
      <c r="D17" s="251">
        <v>0.26797132338694052</v>
      </c>
      <c r="E17" s="251">
        <v>0.29573353293413174</v>
      </c>
      <c r="F17" s="251">
        <v>0.35356841216216217</v>
      </c>
      <c r="G17" s="251">
        <v>0.35008438027376709</v>
      </c>
      <c r="H17" s="251">
        <v>0.34383378016085792</v>
      </c>
      <c r="I17" s="252"/>
      <c r="J17" s="547">
        <v>0.2813200992555831</v>
      </c>
      <c r="K17" s="250">
        <v>8.5864266966629174E-2</v>
      </c>
      <c r="L17" s="251">
        <v>8.5665563246062795E-2</v>
      </c>
      <c r="M17" s="251">
        <v>8.4307822537153465E-2</v>
      </c>
      <c r="N17" s="251">
        <v>0.10081572892700272</v>
      </c>
      <c r="O17" s="252">
        <v>0.31275909719023492</v>
      </c>
      <c r="P17" s="250">
        <v>9.801903374451712E-2</v>
      </c>
      <c r="Q17" s="250">
        <v>1.4700193423597678E-2</v>
      </c>
      <c r="R17" s="251">
        <v>0</v>
      </c>
      <c r="S17" s="252">
        <v>0</v>
      </c>
      <c r="T17" s="250">
        <v>8.172043010752689E-3</v>
      </c>
      <c r="U17" s="253"/>
      <c r="V17" s="254">
        <v>11433</v>
      </c>
      <c r="W17" s="255">
        <v>2766</v>
      </c>
      <c r="X17" s="255">
        <v>7902</v>
      </c>
      <c r="Y17" s="255">
        <v>3349</v>
      </c>
      <c r="Z17" s="255">
        <v>1867</v>
      </c>
      <c r="AA17" s="255">
        <v>1026</v>
      </c>
      <c r="AB17" s="255"/>
      <c r="AC17" s="256">
        <v>28343</v>
      </c>
      <c r="AD17" s="254">
        <v>229</v>
      </c>
      <c r="AE17" s="255">
        <v>1708</v>
      </c>
      <c r="AF17" s="255">
        <v>1235</v>
      </c>
      <c r="AG17" s="255">
        <v>482</v>
      </c>
      <c r="AH17" s="257">
        <v>679</v>
      </c>
      <c r="AI17" s="257">
        <v>4333</v>
      </c>
      <c r="AJ17" s="254">
        <v>38</v>
      </c>
      <c r="AK17" s="255">
        <v>0</v>
      </c>
      <c r="AL17" s="257">
        <v>0</v>
      </c>
      <c r="AM17" s="254">
        <v>38</v>
      </c>
    </row>
    <row r="18" spans="1:41">
      <c r="A18" s="239"/>
      <c r="B18" s="239" t="s">
        <v>78</v>
      </c>
      <c r="C18" s="250">
        <v>6.5354210675319588E-2</v>
      </c>
      <c r="D18" s="251">
        <v>0.10182135245107538</v>
      </c>
      <c r="E18" s="251">
        <v>0.10591317365269461</v>
      </c>
      <c r="F18" s="251">
        <v>0.10831925675675676</v>
      </c>
      <c r="G18" s="251">
        <v>0.13500843802737672</v>
      </c>
      <c r="H18" s="251">
        <v>0.14075067024128687</v>
      </c>
      <c r="I18" s="252"/>
      <c r="J18" s="547">
        <v>8.9806451612903224E-2</v>
      </c>
      <c r="K18" s="250">
        <v>0.22609673790776152</v>
      </c>
      <c r="L18" s="251">
        <v>8.3609188484301336E-2</v>
      </c>
      <c r="M18" s="251">
        <v>9.8438769310587287E-2</v>
      </c>
      <c r="N18" s="251">
        <v>0.17590462246391969</v>
      </c>
      <c r="O18" s="252">
        <v>0.18608935974205434</v>
      </c>
      <c r="P18" s="250">
        <v>0.11213486043655005</v>
      </c>
      <c r="Q18" s="250">
        <v>5.1450676982591877E-2</v>
      </c>
      <c r="R18" s="251">
        <v>2.5559105431309903E-2</v>
      </c>
      <c r="S18" s="252">
        <v>0</v>
      </c>
      <c r="T18" s="250">
        <v>3.7204301075268814E-2</v>
      </c>
      <c r="U18" s="253"/>
      <c r="V18" s="254">
        <v>3001</v>
      </c>
      <c r="W18" s="255">
        <v>1051</v>
      </c>
      <c r="X18" s="255">
        <v>2830</v>
      </c>
      <c r="Y18" s="255">
        <v>1026</v>
      </c>
      <c r="Z18" s="255">
        <v>720</v>
      </c>
      <c r="AA18" s="255">
        <v>420</v>
      </c>
      <c r="AB18" s="255"/>
      <c r="AC18" s="256">
        <v>9048</v>
      </c>
      <c r="AD18" s="254">
        <v>603</v>
      </c>
      <c r="AE18" s="255">
        <v>1667</v>
      </c>
      <c r="AF18" s="255">
        <v>1442</v>
      </c>
      <c r="AG18" s="255">
        <v>841</v>
      </c>
      <c r="AH18" s="257">
        <v>404</v>
      </c>
      <c r="AI18" s="257">
        <v>4957</v>
      </c>
      <c r="AJ18" s="254">
        <v>133</v>
      </c>
      <c r="AK18" s="255">
        <v>40</v>
      </c>
      <c r="AL18" s="257">
        <v>0</v>
      </c>
      <c r="AM18" s="254">
        <v>173</v>
      </c>
    </row>
    <row r="19" spans="1:41">
      <c r="A19" s="580"/>
      <c r="B19" s="580" t="s">
        <v>131</v>
      </c>
      <c r="C19" s="581">
        <f>IF(V22&gt;0,(V19/V22),)</f>
        <v>9.0267645201332777E-2</v>
      </c>
      <c r="D19" s="582">
        <f t="shared" ref="D19:T19" si="3">IF(W22&gt;0,(W19/W22),)</f>
        <v>0.10492152683588452</v>
      </c>
      <c r="E19" s="582">
        <f t="shared" si="3"/>
        <v>0.11826347305389222</v>
      </c>
      <c r="F19" s="582">
        <f t="shared" si="3"/>
        <v>7.4429898648648643E-2</v>
      </c>
      <c r="G19" s="582">
        <f t="shared" si="3"/>
        <v>6.7691730733170821E-2</v>
      </c>
      <c r="H19" s="582">
        <f t="shared" si="3"/>
        <v>6.1997319034852547E-2</v>
      </c>
      <c r="I19" s="583">
        <f t="shared" si="3"/>
        <v>0</v>
      </c>
      <c r="J19" s="584">
        <f t="shared" si="3"/>
        <v>9.567245657568238E-2</v>
      </c>
      <c r="K19" s="581">
        <f t="shared" si="3"/>
        <v>0.56842894638170227</v>
      </c>
      <c r="L19" s="582">
        <f t="shared" si="3"/>
        <v>0.59649914735680609</v>
      </c>
      <c r="M19" s="582">
        <f t="shared" si="3"/>
        <v>0.65355287499914672</v>
      </c>
      <c r="N19" s="582">
        <f t="shared" si="3"/>
        <v>0.57895837690859653</v>
      </c>
      <c r="O19" s="583">
        <f t="shared" si="3"/>
        <v>0</v>
      </c>
      <c r="P19" s="581">
        <f t="shared" si="3"/>
        <v>0.58251990127969933</v>
      </c>
      <c r="Q19" s="581">
        <f t="shared" si="3"/>
        <v>0.91760154738878141</v>
      </c>
      <c r="R19" s="582">
        <f t="shared" si="3"/>
        <v>0.9744408945686901</v>
      </c>
      <c r="S19" s="583">
        <f t="shared" si="3"/>
        <v>1</v>
      </c>
      <c r="T19" s="581">
        <f t="shared" si="3"/>
        <v>0.94559139784946233</v>
      </c>
      <c r="U19" s="253"/>
      <c r="V19" s="585">
        <f t="shared" ref="V19:AM19" si="4">+V20+V21</f>
        <v>4145</v>
      </c>
      <c r="W19" s="586">
        <f t="shared" si="4"/>
        <v>1083</v>
      </c>
      <c r="X19" s="586">
        <f t="shared" si="4"/>
        <v>3160</v>
      </c>
      <c r="Y19" s="586">
        <f t="shared" si="4"/>
        <v>705</v>
      </c>
      <c r="Z19" s="586">
        <f t="shared" si="4"/>
        <v>361</v>
      </c>
      <c r="AA19" s="586">
        <f t="shared" si="4"/>
        <v>185</v>
      </c>
      <c r="AB19" s="586">
        <f t="shared" si="4"/>
        <v>0</v>
      </c>
      <c r="AC19" s="587">
        <f t="shared" si="4"/>
        <v>9639</v>
      </c>
      <c r="AD19" s="585">
        <f t="shared" si="4"/>
        <v>1516</v>
      </c>
      <c r="AE19" s="586">
        <f t="shared" si="4"/>
        <v>11893</v>
      </c>
      <c r="AF19" s="586">
        <f t="shared" si="4"/>
        <v>9573.7000000000007</v>
      </c>
      <c r="AG19" s="586">
        <f t="shared" si="4"/>
        <v>2768</v>
      </c>
      <c r="AH19" s="588">
        <f t="shared" si="4"/>
        <v>0</v>
      </c>
      <c r="AI19" s="588">
        <f t="shared" si="4"/>
        <v>25750.7</v>
      </c>
      <c r="AJ19" s="585">
        <f t="shared" si="4"/>
        <v>2372</v>
      </c>
      <c r="AK19" s="586">
        <f t="shared" si="4"/>
        <v>1525</v>
      </c>
      <c r="AL19" s="588">
        <f t="shared" si="4"/>
        <v>500</v>
      </c>
      <c r="AM19" s="585">
        <f t="shared" si="4"/>
        <v>4397</v>
      </c>
    </row>
    <row r="20" spans="1:41">
      <c r="A20" s="239"/>
      <c r="B20" s="239" t="s">
        <v>32</v>
      </c>
      <c r="C20" s="250">
        <v>9.0267645201332777E-2</v>
      </c>
      <c r="D20" s="251">
        <v>0.10492152683588452</v>
      </c>
      <c r="E20" s="251">
        <v>0.11826347305389222</v>
      </c>
      <c r="F20" s="251">
        <v>7.4429898648648643E-2</v>
      </c>
      <c r="G20" s="251">
        <v>6.7691730733170821E-2</v>
      </c>
      <c r="H20" s="251">
        <v>6.1997319034852547E-2</v>
      </c>
      <c r="I20" s="252"/>
      <c r="J20" s="547">
        <v>9.567245657568238E-2</v>
      </c>
      <c r="K20" s="250">
        <v>3.7495313085864269E-4</v>
      </c>
      <c r="L20" s="251">
        <v>5.0456414886147057E-2</v>
      </c>
      <c r="M20" s="251">
        <v>6.4920436625775665E-2</v>
      </c>
      <c r="N20" s="251">
        <v>3.5348253503451159E-2</v>
      </c>
      <c r="O20" s="434">
        <v>0</v>
      </c>
      <c r="P20" s="250">
        <v>4.8115966945439168E-2</v>
      </c>
      <c r="Q20" s="250">
        <v>0</v>
      </c>
      <c r="R20" s="273">
        <v>6.3897763578274762E-4</v>
      </c>
      <c r="S20" s="252">
        <v>0</v>
      </c>
      <c r="T20" s="420">
        <v>2.1505376344086021E-4</v>
      </c>
      <c r="U20" s="253"/>
      <c r="V20" s="254">
        <v>4145</v>
      </c>
      <c r="W20" s="255">
        <v>1083</v>
      </c>
      <c r="X20" s="255">
        <v>3160</v>
      </c>
      <c r="Y20" s="255">
        <v>705</v>
      </c>
      <c r="Z20" s="255">
        <v>361</v>
      </c>
      <c r="AA20" s="255">
        <v>185</v>
      </c>
      <c r="AB20" s="255"/>
      <c r="AC20" s="256">
        <v>9639</v>
      </c>
      <c r="AD20" s="254">
        <v>1</v>
      </c>
      <c r="AE20" s="255">
        <v>1006</v>
      </c>
      <c r="AF20" s="255">
        <v>951</v>
      </c>
      <c r="AG20" s="255">
        <v>169</v>
      </c>
      <c r="AH20" s="257">
        <v>0</v>
      </c>
      <c r="AI20" s="257">
        <v>2127</v>
      </c>
      <c r="AJ20" s="254">
        <v>0</v>
      </c>
      <c r="AK20" s="255">
        <v>1</v>
      </c>
      <c r="AL20" s="257">
        <v>0</v>
      </c>
      <c r="AM20" s="254">
        <v>1</v>
      </c>
    </row>
    <row r="21" spans="1:41">
      <c r="A21" s="239"/>
      <c r="B21" s="239" t="s">
        <v>58</v>
      </c>
      <c r="C21" s="250">
        <v>0</v>
      </c>
      <c r="D21" s="273">
        <v>0</v>
      </c>
      <c r="E21" s="251">
        <v>0</v>
      </c>
      <c r="F21" s="273">
        <v>0</v>
      </c>
      <c r="G21" s="273">
        <v>0</v>
      </c>
      <c r="H21" s="251">
        <v>0</v>
      </c>
      <c r="I21" s="252"/>
      <c r="J21" s="547">
        <v>0</v>
      </c>
      <c r="K21" s="250">
        <v>0.5680539932508436</v>
      </c>
      <c r="L21" s="251">
        <v>0.54604273247065904</v>
      </c>
      <c r="M21" s="251">
        <v>0.58863243837337098</v>
      </c>
      <c r="N21" s="251">
        <v>0.54361012340514536</v>
      </c>
      <c r="O21" s="252">
        <v>0</v>
      </c>
      <c r="P21" s="250">
        <v>0.53440393433426014</v>
      </c>
      <c r="Q21" s="250">
        <v>0.91760154738878141</v>
      </c>
      <c r="R21" s="251">
        <v>0.9738019169329073</v>
      </c>
      <c r="S21" s="252">
        <v>1</v>
      </c>
      <c r="T21" s="250">
        <v>0.94537634408602156</v>
      </c>
      <c r="U21" s="253"/>
      <c r="V21" s="254">
        <v>0</v>
      </c>
      <c r="W21" s="255">
        <v>0</v>
      </c>
      <c r="X21" s="255">
        <v>0</v>
      </c>
      <c r="Y21" s="255">
        <v>0</v>
      </c>
      <c r="Z21" s="255">
        <v>0</v>
      </c>
      <c r="AA21" s="255">
        <v>0</v>
      </c>
      <c r="AB21" s="255"/>
      <c r="AC21" s="256">
        <v>0</v>
      </c>
      <c r="AD21" s="254">
        <v>1515</v>
      </c>
      <c r="AE21" s="255">
        <v>10887</v>
      </c>
      <c r="AF21" s="255">
        <v>8622.7000000000007</v>
      </c>
      <c r="AG21" s="255">
        <v>2599</v>
      </c>
      <c r="AH21" s="257">
        <v>0</v>
      </c>
      <c r="AI21" s="257">
        <v>23623.7</v>
      </c>
      <c r="AJ21" s="254">
        <v>2372</v>
      </c>
      <c r="AK21" s="255">
        <v>1524</v>
      </c>
      <c r="AL21" s="257">
        <v>500</v>
      </c>
      <c r="AM21" s="254">
        <v>4396</v>
      </c>
    </row>
    <row r="22" spans="1:41" s="527" customFormat="1">
      <c r="A22" s="436" t="s">
        <v>86</v>
      </c>
      <c r="B22" s="436" t="s">
        <v>59</v>
      </c>
      <c r="C22" s="577">
        <f>SUM(C15:C19)</f>
        <v>1</v>
      </c>
      <c r="D22" s="578">
        <f t="shared" ref="D22:T22" si="5">SUM(D15:D19)</f>
        <v>1</v>
      </c>
      <c r="E22" s="578">
        <f t="shared" si="5"/>
        <v>0.99999999999999989</v>
      </c>
      <c r="F22" s="578">
        <f t="shared" si="5"/>
        <v>1</v>
      </c>
      <c r="G22" s="578">
        <f t="shared" si="5"/>
        <v>1</v>
      </c>
      <c r="H22" s="578">
        <f t="shared" si="5"/>
        <v>0.99999999999999989</v>
      </c>
      <c r="I22" s="579">
        <f t="shared" si="5"/>
        <v>0</v>
      </c>
      <c r="J22" s="589">
        <f t="shared" si="5"/>
        <v>1</v>
      </c>
      <c r="K22" s="577">
        <f t="shared" si="5"/>
        <v>1</v>
      </c>
      <c r="L22" s="578">
        <f t="shared" si="5"/>
        <v>1</v>
      </c>
      <c r="M22" s="578">
        <f t="shared" si="5"/>
        <v>1</v>
      </c>
      <c r="N22" s="578">
        <f t="shared" si="5"/>
        <v>1</v>
      </c>
      <c r="O22" s="579">
        <f t="shared" si="5"/>
        <v>1</v>
      </c>
      <c r="P22" s="577">
        <f t="shared" si="5"/>
        <v>1</v>
      </c>
      <c r="Q22" s="577">
        <f t="shared" si="5"/>
        <v>1</v>
      </c>
      <c r="R22" s="578">
        <f t="shared" si="5"/>
        <v>1</v>
      </c>
      <c r="S22" s="579">
        <f t="shared" si="5"/>
        <v>1</v>
      </c>
      <c r="T22" s="577">
        <f t="shared" si="5"/>
        <v>1</v>
      </c>
      <c r="U22" s="264"/>
      <c r="V22" s="265">
        <v>45919</v>
      </c>
      <c r="W22" s="266">
        <v>10322</v>
      </c>
      <c r="X22" s="266">
        <v>26720</v>
      </c>
      <c r="Y22" s="266">
        <v>9472</v>
      </c>
      <c r="Z22" s="266">
        <v>5333</v>
      </c>
      <c r="AA22" s="266">
        <v>2984</v>
      </c>
      <c r="AB22" s="266"/>
      <c r="AC22" s="267">
        <v>100750</v>
      </c>
      <c r="AD22" s="265">
        <v>2667</v>
      </c>
      <c r="AE22" s="266">
        <v>19938</v>
      </c>
      <c r="AF22" s="266">
        <v>14648.7</v>
      </c>
      <c r="AG22" s="266">
        <v>4781</v>
      </c>
      <c r="AH22" s="268">
        <v>2171</v>
      </c>
      <c r="AI22" s="268">
        <v>44205.7</v>
      </c>
      <c r="AJ22" s="265">
        <v>2585</v>
      </c>
      <c r="AK22" s="266">
        <v>1565</v>
      </c>
      <c r="AL22" s="268">
        <v>500</v>
      </c>
      <c r="AM22" s="265">
        <v>4650</v>
      </c>
      <c r="AN22" s="270"/>
      <c r="AO22" s="270"/>
    </row>
    <row r="23" spans="1:41">
      <c r="A23" s="240" t="s">
        <v>4</v>
      </c>
      <c r="B23" s="240" t="s">
        <v>53</v>
      </c>
      <c r="C23" s="241">
        <v>0.31742472773862906</v>
      </c>
      <c r="D23" s="242">
        <v>0.25082508250825081</v>
      </c>
      <c r="E23" s="242">
        <v>0.21827744904667981</v>
      </c>
      <c r="F23" s="242">
        <v>0.28054298642533937</v>
      </c>
      <c r="G23" s="242">
        <v>0.19047619047619047</v>
      </c>
      <c r="H23" s="242">
        <v>0.25609756097560976</v>
      </c>
      <c r="I23" s="242"/>
      <c r="J23" s="529">
        <v>0.27831061753323239</v>
      </c>
      <c r="K23" s="241">
        <v>0</v>
      </c>
      <c r="L23" s="242">
        <v>0</v>
      </c>
      <c r="M23" s="242">
        <v>0</v>
      </c>
      <c r="N23" s="242">
        <v>0</v>
      </c>
      <c r="O23" s="243">
        <v>0</v>
      </c>
      <c r="P23" s="241">
        <v>0</v>
      </c>
      <c r="Q23" s="342">
        <v>0</v>
      </c>
      <c r="R23" s="242">
        <v>0</v>
      </c>
      <c r="S23" s="243">
        <v>0</v>
      </c>
      <c r="T23" s="342">
        <v>0</v>
      </c>
      <c r="U23" s="244"/>
      <c r="V23" s="245">
        <v>991</v>
      </c>
      <c r="W23" s="246">
        <v>76</v>
      </c>
      <c r="X23" s="246">
        <v>332</v>
      </c>
      <c r="Y23" s="246">
        <v>186</v>
      </c>
      <c r="Z23" s="246">
        <v>48</v>
      </c>
      <c r="AA23" s="246">
        <v>21</v>
      </c>
      <c r="AB23" s="246"/>
      <c r="AC23" s="247">
        <v>1654</v>
      </c>
      <c r="AD23" s="245">
        <v>0</v>
      </c>
      <c r="AE23" s="246">
        <v>0</v>
      </c>
      <c r="AF23" s="246">
        <v>0</v>
      </c>
      <c r="AG23" s="246">
        <v>0</v>
      </c>
      <c r="AH23" s="248">
        <v>0</v>
      </c>
      <c r="AI23" s="248">
        <v>0</v>
      </c>
      <c r="AJ23" s="245">
        <v>0</v>
      </c>
      <c r="AK23" s="246">
        <v>0</v>
      </c>
      <c r="AL23" s="248">
        <v>0</v>
      </c>
      <c r="AM23" s="245">
        <v>0</v>
      </c>
    </row>
    <row r="24" spans="1:41">
      <c r="A24" s="239"/>
      <c r="B24" s="239" t="s">
        <v>93</v>
      </c>
      <c r="C24" s="250">
        <v>0.28827674567584882</v>
      </c>
      <c r="D24" s="251">
        <v>0.30693069306930693</v>
      </c>
      <c r="E24" s="251">
        <v>0.23405654174884943</v>
      </c>
      <c r="F24" s="251">
        <v>0.25339366515837103</v>
      </c>
      <c r="G24" s="251">
        <v>0.25793650793650796</v>
      </c>
      <c r="H24" s="251">
        <v>0.24390243902439024</v>
      </c>
      <c r="I24" s="251"/>
      <c r="J24" s="530">
        <v>0.2695608278647148</v>
      </c>
      <c r="K24" s="250">
        <v>0</v>
      </c>
      <c r="L24" s="251">
        <v>0</v>
      </c>
      <c r="M24" s="251">
        <v>0</v>
      </c>
      <c r="N24" s="251">
        <v>0</v>
      </c>
      <c r="O24" s="252">
        <v>0</v>
      </c>
      <c r="P24" s="250">
        <v>0</v>
      </c>
      <c r="Q24" s="250">
        <v>0</v>
      </c>
      <c r="R24" s="251">
        <v>0</v>
      </c>
      <c r="S24" s="252">
        <v>0</v>
      </c>
      <c r="T24" s="250">
        <v>0</v>
      </c>
      <c r="U24" s="253"/>
      <c r="V24" s="254">
        <v>900</v>
      </c>
      <c r="W24" s="255">
        <v>93</v>
      </c>
      <c r="X24" s="255">
        <v>356</v>
      </c>
      <c r="Y24" s="255">
        <v>168</v>
      </c>
      <c r="Z24" s="255">
        <v>65</v>
      </c>
      <c r="AA24" s="255">
        <v>20</v>
      </c>
      <c r="AB24" s="255"/>
      <c r="AC24" s="256">
        <v>1602</v>
      </c>
      <c r="AD24" s="254">
        <v>0</v>
      </c>
      <c r="AE24" s="255">
        <v>0</v>
      </c>
      <c r="AF24" s="255">
        <v>0</v>
      </c>
      <c r="AG24" s="255">
        <v>0</v>
      </c>
      <c r="AH24" s="257">
        <v>0</v>
      </c>
      <c r="AI24" s="257">
        <v>0</v>
      </c>
      <c r="AJ24" s="254">
        <v>0</v>
      </c>
      <c r="AK24" s="255">
        <v>0</v>
      </c>
      <c r="AL24" s="257">
        <v>0</v>
      </c>
      <c r="AM24" s="254">
        <v>0</v>
      </c>
    </row>
    <row r="25" spans="1:41">
      <c r="A25" s="239"/>
      <c r="B25" s="239" t="s">
        <v>55</v>
      </c>
      <c r="C25" s="250">
        <v>0.28379244074311338</v>
      </c>
      <c r="D25" s="251">
        <v>0.28382838283828382</v>
      </c>
      <c r="E25" s="251">
        <v>0.34188034188034189</v>
      </c>
      <c r="F25" s="251">
        <v>0.31825037707390647</v>
      </c>
      <c r="G25" s="251">
        <v>0.44047619047619047</v>
      </c>
      <c r="H25" s="251">
        <v>0.46341463414634149</v>
      </c>
      <c r="I25" s="251"/>
      <c r="J25" s="530">
        <v>0.31162712434797241</v>
      </c>
      <c r="K25" s="250">
        <v>0</v>
      </c>
      <c r="L25" s="251">
        <v>0</v>
      </c>
      <c r="M25" s="251">
        <v>0</v>
      </c>
      <c r="N25" s="251">
        <v>0</v>
      </c>
      <c r="O25" s="252">
        <v>0</v>
      </c>
      <c r="P25" s="250">
        <v>0</v>
      </c>
      <c r="Q25" s="250">
        <v>0</v>
      </c>
      <c r="R25" s="251">
        <v>0</v>
      </c>
      <c r="S25" s="252">
        <v>0</v>
      </c>
      <c r="T25" s="250">
        <v>0</v>
      </c>
      <c r="U25" s="253"/>
      <c r="V25" s="254">
        <v>886</v>
      </c>
      <c r="W25" s="255">
        <v>86</v>
      </c>
      <c r="X25" s="255">
        <v>520</v>
      </c>
      <c r="Y25" s="255">
        <v>211</v>
      </c>
      <c r="Z25" s="255">
        <v>111</v>
      </c>
      <c r="AA25" s="255">
        <v>38</v>
      </c>
      <c r="AB25" s="255"/>
      <c r="AC25" s="256">
        <v>1852</v>
      </c>
      <c r="AD25" s="254">
        <v>0</v>
      </c>
      <c r="AE25" s="255">
        <v>0</v>
      </c>
      <c r="AF25" s="255">
        <v>0</v>
      </c>
      <c r="AG25" s="255">
        <v>0</v>
      </c>
      <c r="AH25" s="257">
        <v>0</v>
      </c>
      <c r="AI25" s="257">
        <v>0</v>
      </c>
      <c r="AJ25" s="254">
        <v>0</v>
      </c>
      <c r="AK25" s="255">
        <v>0</v>
      </c>
      <c r="AL25" s="257">
        <v>0</v>
      </c>
      <c r="AM25" s="254">
        <v>0</v>
      </c>
    </row>
    <row r="26" spans="1:41">
      <c r="A26" s="239"/>
      <c r="B26" s="239" t="s">
        <v>78</v>
      </c>
      <c r="C26" s="250">
        <v>0.10281870595771941</v>
      </c>
      <c r="D26" s="251">
        <v>3.6303630363036306E-2</v>
      </c>
      <c r="E26" s="251">
        <v>0.17751479289940827</v>
      </c>
      <c r="F26" s="251">
        <v>0.14630467571644043</v>
      </c>
      <c r="G26" s="251">
        <v>8.3333333333333329E-2</v>
      </c>
      <c r="H26" s="251">
        <v>3.6585365853658534E-2</v>
      </c>
      <c r="I26" s="251"/>
      <c r="J26" s="530">
        <v>0.12165572942958101</v>
      </c>
      <c r="K26" s="250">
        <v>0</v>
      </c>
      <c r="L26" s="251">
        <v>0</v>
      </c>
      <c r="M26" s="251">
        <v>0</v>
      </c>
      <c r="N26" s="251">
        <v>0</v>
      </c>
      <c r="O26" s="252">
        <v>0</v>
      </c>
      <c r="P26" s="250">
        <v>0</v>
      </c>
      <c r="Q26" s="250">
        <v>0</v>
      </c>
      <c r="R26" s="251">
        <v>0</v>
      </c>
      <c r="S26" s="252">
        <v>0</v>
      </c>
      <c r="T26" s="250">
        <v>0</v>
      </c>
      <c r="U26" s="253"/>
      <c r="V26" s="254">
        <v>321</v>
      </c>
      <c r="W26" s="255">
        <v>11</v>
      </c>
      <c r="X26" s="255">
        <v>270</v>
      </c>
      <c r="Y26" s="255">
        <v>97</v>
      </c>
      <c r="Z26" s="255">
        <v>21</v>
      </c>
      <c r="AA26" s="255">
        <v>3</v>
      </c>
      <c r="AB26" s="255"/>
      <c r="AC26" s="256">
        <v>723</v>
      </c>
      <c r="AD26" s="254">
        <v>0</v>
      </c>
      <c r="AE26" s="255">
        <v>0</v>
      </c>
      <c r="AF26" s="255">
        <v>0</v>
      </c>
      <c r="AG26" s="255">
        <v>0</v>
      </c>
      <c r="AH26" s="257">
        <v>0</v>
      </c>
      <c r="AI26" s="257">
        <v>0</v>
      </c>
      <c r="AJ26" s="254">
        <v>0</v>
      </c>
      <c r="AK26" s="255">
        <v>0</v>
      </c>
      <c r="AL26" s="257">
        <v>0</v>
      </c>
      <c r="AM26" s="254">
        <v>0</v>
      </c>
    </row>
    <row r="27" spans="1:41">
      <c r="A27" s="580"/>
      <c r="B27" s="580" t="s">
        <v>131</v>
      </c>
      <c r="C27" s="581">
        <f t="shared" ref="C27:T27" si="6">IF(V30&gt;0,(V27/V30),)</f>
        <v>7.6873798846893021E-3</v>
      </c>
      <c r="D27" s="582">
        <f t="shared" si="6"/>
        <v>0.12211221122112212</v>
      </c>
      <c r="E27" s="582">
        <f t="shared" si="6"/>
        <v>2.827087442472058E-2</v>
      </c>
      <c r="F27" s="582">
        <f t="shared" si="6"/>
        <v>1.5082956259426848E-3</v>
      </c>
      <c r="G27" s="582">
        <f t="shared" si="6"/>
        <v>2.7777777777777776E-2</v>
      </c>
      <c r="H27" s="582">
        <f t="shared" si="6"/>
        <v>0</v>
      </c>
      <c r="I27" s="583">
        <f t="shared" si="6"/>
        <v>0</v>
      </c>
      <c r="J27" s="584">
        <f t="shared" si="6"/>
        <v>1.884570082449941E-2</v>
      </c>
      <c r="K27" s="581">
        <f t="shared" si="6"/>
        <v>0</v>
      </c>
      <c r="L27" s="582">
        <f t="shared" si="6"/>
        <v>1</v>
      </c>
      <c r="M27" s="582">
        <f t="shared" si="6"/>
        <v>1</v>
      </c>
      <c r="N27" s="582">
        <f t="shared" si="6"/>
        <v>1</v>
      </c>
      <c r="O27" s="583">
        <f t="shared" si="6"/>
        <v>0</v>
      </c>
      <c r="P27" s="581">
        <f t="shared" si="6"/>
        <v>1</v>
      </c>
      <c r="Q27" s="581">
        <f t="shared" si="6"/>
        <v>1</v>
      </c>
      <c r="R27" s="582">
        <f t="shared" si="6"/>
        <v>1</v>
      </c>
      <c r="S27" s="583">
        <f t="shared" si="6"/>
        <v>0</v>
      </c>
      <c r="T27" s="581">
        <f t="shared" si="6"/>
        <v>1</v>
      </c>
      <c r="U27" s="253"/>
      <c r="V27" s="585">
        <f t="shared" ref="V27:AM27" si="7">+V28+V29</f>
        <v>24</v>
      </c>
      <c r="W27" s="586">
        <f t="shared" si="7"/>
        <v>37</v>
      </c>
      <c r="X27" s="586">
        <f t="shared" si="7"/>
        <v>43</v>
      </c>
      <c r="Y27" s="586">
        <f t="shared" si="7"/>
        <v>1</v>
      </c>
      <c r="Z27" s="586">
        <f t="shared" si="7"/>
        <v>7</v>
      </c>
      <c r="AA27" s="586">
        <f t="shared" si="7"/>
        <v>0</v>
      </c>
      <c r="AB27" s="586">
        <f t="shared" si="7"/>
        <v>0</v>
      </c>
      <c r="AC27" s="587">
        <f t="shared" si="7"/>
        <v>112</v>
      </c>
      <c r="AD27" s="585">
        <f t="shared" si="7"/>
        <v>0</v>
      </c>
      <c r="AE27" s="586">
        <f t="shared" si="7"/>
        <v>295</v>
      </c>
      <c r="AF27" s="586">
        <f t="shared" si="7"/>
        <v>1038</v>
      </c>
      <c r="AG27" s="586">
        <f t="shared" si="7"/>
        <v>437</v>
      </c>
      <c r="AH27" s="588">
        <f t="shared" si="7"/>
        <v>0</v>
      </c>
      <c r="AI27" s="588">
        <f t="shared" si="7"/>
        <v>1770</v>
      </c>
      <c r="AJ27" s="585">
        <f t="shared" si="7"/>
        <v>74</v>
      </c>
      <c r="AK27" s="586">
        <f t="shared" si="7"/>
        <v>89</v>
      </c>
      <c r="AL27" s="588">
        <f t="shared" si="7"/>
        <v>0</v>
      </c>
      <c r="AM27" s="585">
        <f t="shared" si="7"/>
        <v>163</v>
      </c>
    </row>
    <row r="28" spans="1:41">
      <c r="A28" s="239"/>
      <c r="B28" s="239" t="s">
        <v>32</v>
      </c>
      <c r="C28" s="250">
        <v>7.6873798846893021E-3</v>
      </c>
      <c r="D28" s="251">
        <v>0.12211221122112212</v>
      </c>
      <c r="E28" s="251">
        <v>2.827087442472058E-2</v>
      </c>
      <c r="F28" s="273">
        <v>1.5082956259426848E-3</v>
      </c>
      <c r="G28" s="251">
        <v>2.7777777777777776E-2</v>
      </c>
      <c r="H28" s="251">
        <v>0</v>
      </c>
      <c r="I28" s="251"/>
      <c r="J28" s="530">
        <v>1.884570082449941E-2</v>
      </c>
      <c r="K28" s="250">
        <v>0</v>
      </c>
      <c r="L28" s="251">
        <v>0</v>
      </c>
      <c r="M28" s="251">
        <v>0</v>
      </c>
      <c r="N28" s="251">
        <v>0</v>
      </c>
      <c r="O28" s="258">
        <v>0</v>
      </c>
      <c r="P28" s="250">
        <v>0</v>
      </c>
      <c r="Q28" s="250">
        <v>0</v>
      </c>
      <c r="R28" s="251">
        <v>0</v>
      </c>
      <c r="S28" s="252">
        <v>0</v>
      </c>
      <c r="T28" s="250">
        <v>0</v>
      </c>
      <c r="U28" s="253"/>
      <c r="V28" s="254">
        <v>24</v>
      </c>
      <c r="W28" s="255">
        <v>37</v>
      </c>
      <c r="X28" s="255">
        <v>43</v>
      </c>
      <c r="Y28" s="255">
        <v>1</v>
      </c>
      <c r="Z28" s="255">
        <v>7</v>
      </c>
      <c r="AA28" s="255">
        <v>0</v>
      </c>
      <c r="AB28" s="255"/>
      <c r="AC28" s="256">
        <v>112</v>
      </c>
      <c r="AD28" s="254">
        <v>0</v>
      </c>
      <c r="AE28" s="255">
        <v>0</v>
      </c>
      <c r="AF28" s="255">
        <v>0</v>
      </c>
      <c r="AG28" s="255">
        <v>0</v>
      </c>
      <c r="AH28" s="257">
        <v>0</v>
      </c>
      <c r="AI28" s="257">
        <v>0</v>
      </c>
      <c r="AJ28" s="254">
        <v>0</v>
      </c>
      <c r="AK28" s="255">
        <v>0</v>
      </c>
      <c r="AL28" s="257">
        <v>0</v>
      </c>
      <c r="AM28" s="254">
        <v>0</v>
      </c>
    </row>
    <row r="29" spans="1:41">
      <c r="A29" s="239"/>
      <c r="B29" s="239" t="s">
        <v>58</v>
      </c>
      <c r="C29" s="250">
        <v>0</v>
      </c>
      <c r="D29" s="251">
        <v>0</v>
      </c>
      <c r="E29" s="419">
        <v>0</v>
      </c>
      <c r="F29" s="251">
        <v>0</v>
      </c>
      <c r="G29" s="273">
        <v>0</v>
      </c>
      <c r="H29" s="251">
        <v>0</v>
      </c>
      <c r="I29" s="251"/>
      <c r="J29" s="532">
        <v>0</v>
      </c>
      <c r="K29" s="250">
        <v>0</v>
      </c>
      <c r="L29" s="251">
        <v>1</v>
      </c>
      <c r="M29" s="251">
        <v>1</v>
      </c>
      <c r="N29" s="251">
        <v>1</v>
      </c>
      <c r="O29" s="252">
        <v>0</v>
      </c>
      <c r="P29" s="250">
        <v>1</v>
      </c>
      <c r="Q29" s="250">
        <v>1</v>
      </c>
      <c r="R29" s="251">
        <v>1</v>
      </c>
      <c r="S29" s="252">
        <v>0</v>
      </c>
      <c r="T29" s="250">
        <v>1</v>
      </c>
      <c r="U29" s="253"/>
      <c r="V29" s="254">
        <v>0</v>
      </c>
      <c r="W29" s="255">
        <v>0</v>
      </c>
      <c r="X29" s="255">
        <v>0</v>
      </c>
      <c r="Y29" s="255">
        <v>0</v>
      </c>
      <c r="Z29" s="255">
        <v>0</v>
      </c>
      <c r="AA29" s="255">
        <v>0</v>
      </c>
      <c r="AB29" s="255"/>
      <c r="AC29" s="256">
        <v>0</v>
      </c>
      <c r="AD29" s="254">
        <v>0</v>
      </c>
      <c r="AE29" s="255">
        <v>295</v>
      </c>
      <c r="AF29" s="255">
        <v>1038</v>
      </c>
      <c r="AG29" s="255">
        <v>437</v>
      </c>
      <c r="AH29" s="257">
        <v>0</v>
      </c>
      <c r="AI29" s="257">
        <v>1770</v>
      </c>
      <c r="AJ29" s="254">
        <v>74</v>
      </c>
      <c r="AK29" s="255">
        <v>89</v>
      </c>
      <c r="AL29" s="257">
        <v>0</v>
      </c>
      <c r="AM29" s="254">
        <v>163</v>
      </c>
    </row>
    <row r="30" spans="1:41" s="527" customFormat="1">
      <c r="A30" s="436"/>
      <c r="B30" s="436" t="s">
        <v>59</v>
      </c>
      <c r="C30" s="577">
        <f>SUM(C23:C27)</f>
        <v>1</v>
      </c>
      <c r="D30" s="578">
        <f t="shared" ref="D30:J30" si="8">SUM(D23:D27)</f>
        <v>1</v>
      </c>
      <c r="E30" s="578">
        <f t="shared" si="8"/>
        <v>1</v>
      </c>
      <c r="F30" s="578">
        <f t="shared" si="8"/>
        <v>1</v>
      </c>
      <c r="G30" s="578">
        <f t="shared" si="8"/>
        <v>1</v>
      </c>
      <c r="H30" s="578">
        <f t="shared" si="8"/>
        <v>1</v>
      </c>
      <c r="I30" s="579">
        <f t="shared" si="8"/>
        <v>0</v>
      </c>
      <c r="J30" s="589">
        <f t="shared" si="8"/>
        <v>1</v>
      </c>
      <c r="K30" s="261">
        <v>0</v>
      </c>
      <c r="L30" s="262">
        <v>1</v>
      </c>
      <c r="M30" s="262">
        <v>1</v>
      </c>
      <c r="N30" s="262">
        <v>1</v>
      </c>
      <c r="O30" s="263">
        <v>0</v>
      </c>
      <c r="P30" s="261">
        <v>1</v>
      </c>
      <c r="Q30" s="261">
        <v>1</v>
      </c>
      <c r="R30" s="262">
        <v>1</v>
      </c>
      <c r="S30" s="263">
        <v>0</v>
      </c>
      <c r="T30" s="261">
        <v>1</v>
      </c>
      <c r="U30" s="264"/>
      <c r="V30" s="265">
        <v>3122</v>
      </c>
      <c r="W30" s="266">
        <v>303</v>
      </c>
      <c r="X30" s="266">
        <v>1521</v>
      </c>
      <c r="Y30" s="266">
        <v>663</v>
      </c>
      <c r="Z30" s="266">
        <v>252</v>
      </c>
      <c r="AA30" s="266">
        <v>82</v>
      </c>
      <c r="AB30" s="266"/>
      <c r="AC30" s="267">
        <v>5943</v>
      </c>
      <c r="AD30" s="265">
        <v>0</v>
      </c>
      <c r="AE30" s="266">
        <v>295</v>
      </c>
      <c r="AF30" s="266">
        <v>1038</v>
      </c>
      <c r="AG30" s="266">
        <v>437</v>
      </c>
      <c r="AH30" s="268">
        <v>0</v>
      </c>
      <c r="AI30" s="268">
        <v>1770</v>
      </c>
      <c r="AJ30" s="265">
        <v>74</v>
      </c>
      <c r="AK30" s="266">
        <v>89</v>
      </c>
      <c r="AL30" s="268">
        <v>0</v>
      </c>
      <c r="AM30" s="265">
        <v>163</v>
      </c>
      <c r="AN30" s="270"/>
      <c r="AO30" s="270"/>
    </row>
    <row r="31" spans="1:41">
      <c r="A31" s="240" t="s">
        <v>5</v>
      </c>
      <c r="B31" s="240" t="s">
        <v>53</v>
      </c>
      <c r="C31" s="241">
        <v>0.3843612334801762</v>
      </c>
      <c r="D31" s="242">
        <v>0</v>
      </c>
      <c r="E31" s="242">
        <v>0.21419270833333334</v>
      </c>
      <c r="F31" s="242">
        <v>0.23504273504273504</v>
      </c>
      <c r="G31" s="242">
        <v>0.14516129032258066</v>
      </c>
      <c r="H31" s="242">
        <v>0.10632911392405063</v>
      </c>
      <c r="I31" s="242"/>
      <c r="J31" s="529">
        <v>0.24191318772463369</v>
      </c>
      <c r="K31" s="241">
        <v>0</v>
      </c>
      <c r="L31" s="242">
        <v>0</v>
      </c>
      <c r="M31" s="242">
        <v>1.9607843137254902E-2</v>
      </c>
      <c r="N31" s="242">
        <v>0</v>
      </c>
      <c r="O31" s="243">
        <v>0</v>
      </c>
      <c r="P31" s="342">
        <v>3.6284470246734399E-3</v>
      </c>
      <c r="Q31" s="342">
        <v>0</v>
      </c>
      <c r="R31" s="242">
        <v>0</v>
      </c>
      <c r="S31" s="243">
        <v>0</v>
      </c>
      <c r="T31" s="342">
        <v>0</v>
      </c>
      <c r="U31" s="244"/>
      <c r="V31" s="245">
        <v>349</v>
      </c>
      <c r="W31" s="246">
        <v>0</v>
      </c>
      <c r="X31" s="246">
        <v>329</v>
      </c>
      <c r="Y31" s="246">
        <v>110</v>
      </c>
      <c r="Z31" s="246">
        <v>45</v>
      </c>
      <c r="AA31" s="246">
        <v>42</v>
      </c>
      <c r="AB31" s="246"/>
      <c r="AC31" s="247">
        <v>875</v>
      </c>
      <c r="AD31" s="245">
        <v>0</v>
      </c>
      <c r="AE31" s="246">
        <v>0</v>
      </c>
      <c r="AF31" s="246">
        <v>5</v>
      </c>
      <c r="AG31" s="246">
        <v>0</v>
      </c>
      <c r="AH31" s="248">
        <v>0</v>
      </c>
      <c r="AI31" s="248">
        <v>5</v>
      </c>
      <c r="AJ31" s="245">
        <v>0</v>
      </c>
      <c r="AK31" s="246">
        <v>0</v>
      </c>
      <c r="AL31" s="248">
        <v>0</v>
      </c>
      <c r="AM31" s="245">
        <v>0</v>
      </c>
    </row>
    <row r="32" spans="1:41">
      <c r="A32" s="239"/>
      <c r="B32" s="239" t="s">
        <v>93</v>
      </c>
      <c r="C32" s="250">
        <v>0.24449339207048459</v>
      </c>
      <c r="D32" s="251">
        <v>0</v>
      </c>
      <c r="E32" s="251">
        <v>0.232421875</v>
      </c>
      <c r="F32" s="251">
        <v>0.23717948717948717</v>
      </c>
      <c r="G32" s="251">
        <v>0.20322580645161289</v>
      </c>
      <c r="H32" s="251">
        <v>0.18481012658227849</v>
      </c>
      <c r="I32" s="251"/>
      <c r="J32" s="530">
        <v>0.2283660492120542</v>
      </c>
      <c r="K32" s="250">
        <v>0</v>
      </c>
      <c r="L32" s="251">
        <v>0</v>
      </c>
      <c r="M32" s="251">
        <v>3.9215686274509803E-2</v>
      </c>
      <c r="N32" s="251">
        <v>0</v>
      </c>
      <c r="O32" s="252">
        <v>0</v>
      </c>
      <c r="P32" s="250">
        <v>7.2568940493468797E-3</v>
      </c>
      <c r="Q32" s="250">
        <v>0</v>
      </c>
      <c r="R32" s="251">
        <v>0</v>
      </c>
      <c r="S32" s="252">
        <v>0</v>
      </c>
      <c r="T32" s="250">
        <v>0</v>
      </c>
      <c r="U32" s="253"/>
      <c r="V32" s="254">
        <v>222</v>
      </c>
      <c r="W32" s="255">
        <v>0</v>
      </c>
      <c r="X32" s="255">
        <v>357</v>
      </c>
      <c r="Y32" s="255">
        <v>111</v>
      </c>
      <c r="Z32" s="255">
        <v>63</v>
      </c>
      <c r="AA32" s="255">
        <v>73</v>
      </c>
      <c r="AB32" s="255"/>
      <c r="AC32" s="256">
        <v>826</v>
      </c>
      <c r="AD32" s="254">
        <v>0</v>
      </c>
      <c r="AE32" s="255">
        <v>0</v>
      </c>
      <c r="AF32" s="255">
        <v>10</v>
      </c>
      <c r="AG32" s="255">
        <v>0</v>
      </c>
      <c r="AH32" s="257">
        <v>0</v>
      </c>
      <c r="AI32" s="257">
        <v>10</v>
      </c>
      <c r="AJ32" s="254">
        <v>0</v>
      </c>
      <c r="AK32" s="255">
        <v>0</v>
      </c>
      <c r="AL32" s="257">
        <v>0</v>
      </c>
      <c r="AM32" s="254">
        <v>0</v>
      </c>
    </row>
    <row r="33" spans="1:41">
      <c r="A33" s="239"/>
      <c r="B33" s="239" t="s">
        <v>55</v>
      </c>
      <c r="C33" s="250">
        <v>0.17180616740088106</v>
      </c>
      <c r="D33" s="251">
        <v>0</v>
      </c>
      <c r="E33" s="251">
        <v>0.29557291666666669</v>
      </c>
      <c r="F33" s="251">
        <v>0.3034188034188034</v>
      </c>
      <c r="G33" s="251">
        <v>0.33870967741935482</v>
      </c>
      <c r="H33" s="251">
        <v>0.39493670886075949</v>
      </c>
      <c r="I33" s="251"/>
      <c r="J33" s="530">
        <v>0.28006635333149016</v>
      </c>
      <c r="K33" s="250">
        <v>0</v>
      </c>
      <c r="L33" s="251">
        <v>0</v>
      </c>
      <c r="M33" s="251">
        <v>0.14509803921568629</v>
      </c>
      <c r="N33" s="251">
        <v>3.316062176165803E-2</v>
      </c>
      <c r="O33" s="252">
        <v>0</v>
      </c>
      <c r="P33" s="250">
        <v>5.0072568940493466E-2</v>
      </c>
      <c r="Q33" s="250">
        <v>0</v>
      </c>
      <c r="R33" s="251">
        <v>0</v>
      </c>
      <c r="S33" s="252">
        <v>0</v>
      </c>
      <c r="T33" s="250">
        <v>0</v>
      </c>
      <c r="U33" s="253"/>
      <c r="V33" s="254">
        <v>156</v>
      </c>
      <c r="W33" s="255">
        <v>0</v>
      </c>
      <c r="X33" s="255">
        <v>454</v>
      </c>
      <c r="Y33" s="255">
        <v>142</v>
      </c>
      <c r="Z33" s="255">
        <v>105</v>
      </c>
      <c r="AA33" s="255">
        <v>156</v>
      </c>
      <c r="AB33" s="255"/>
      <c r="AC33" s="256">
        <v>1013</v>
      </c>
      <c r="AD33" s="254">
        <v>0</v>
      </c>
      <c r="AE33" s="255">
        <v>0</v>
      </c>
      <c r="AF33" s="255">
        <v>37</v>
      </c>
      <c r="AG33" s="255">
        <v>32</v>
      </c>
      <c r="AH33" s="257">
        <v>0</v>
      </c>
      <c r="AI33" s="257">
        <v>69</v>
      </c>
      <c r="AJ33" s="254">
        <v>0</v>
      </c>
      <c r="AK33" s="255">
        <v>0</v>
      </c>
      <c r="AL33" s="257">
        <v>0</v>
      </c>
      <c r="AM33" s="254">
        <v>0</v>
      </c>
    </row>
    <row r="34" spans="1:41">
      <c r="A34" s="239"/>
      <c r="B34" s="239" t="s">
        <v>78</v>
      </c>
      <c r="C34" s="250">
        <v>0.12995594713656389</v>
      </c>
      <c r="D34" s="251">
        <v>0</v>
      </c>
      <c r="E34" s="251">
        <v>0.19986979166666666</v>
      </c>
      <c r="F34" s="251">
        <v>0.14529914529914531</v>
      </c>
      <c r="G34" s="251">
        <v>0.21935483870967742</v>
      </c>
      <c r="H34" s="251">
        <v>0.27848101265822783</v>
      </c>
      <c r="I34" s="251"/>
      <c r="J34" s="530">
        <v>0.18551285595797623</v>
      </c>
      <c r="K34" s="250">
        <v>0</v>
      </c>
      <c r="L34" s="251">
        <v>0</v>
      </c>
      <c r="M34" s="251">
        <v>0.27450980392156865</v>
      </c>
      <c r="N34" s="251">
        <v>7.8756476683937829E-2</v>
      </c>
      <c r="O34" s="252">
        <v>0</v>
      </c>
      <c r="P34" s="250">
        <v>0.10595065312046444</v>
      </c>
      <c r="Q34" s="250">
        <v>0</v>
      </c>
      <c r="R34" s="251">
        <v>0</v>
      </c>
      <c r="S34" s="252">
        <v>0</v>
      </c>
      <c r="T34" s="250">
        <v>0</v>
      </c>
      <c r="U34" s="253"/>
      <c r="V34" s="254">
        <v>118</v>
      </c>
      <c r="W34" s="255">
        <v>0</v>
      </c>
      <c r="X34" s="255">
        <v>307</v>
      </c>
      <c r="Y34" s="255">
        <v>68</v>
      </c>
      <c r="Z34" s="255">
        <v>68</v>
      </c>
      <c r="AA34" s="255">
        <v>110</v>
      </c>
      <c r="AB34" s="255"/>
      <c r="AC34" s="256">
        <v>671</v>
      </c>
      <c r="AD34" s="254">
        <v>0</v>
      </c>
      <c r="AE34" s="255">
        <v>0</v>
      </c>
      <c r="AF34" s="255">
        <v>70</v>
      </c>
      <c r="AG34" s="255">
        <v>76</v>
      </c>
      <c r="AH34" s="257">
        <v>0</v>
      </c>
      <c r="AI34" s="257">
        <v>146</v>
      </c>
      <c r="AJ34" s="254">
        <v>0</v>
      </c>
      <c r="AK34" s="255">
        <v>0</v>
      </c>
      <c r="AL34" s="257">
        <v>0</v>
      </c>
      <c r="AM34" s="254">
        <v>0</v>
      </c>
    </row>
    <row r="35" spans="1:41">
      <c r="A35" s="580"/>
      <c r="B35" s="580" t="s">
        <v>131</v>
      </c>
      <c r="C35" s="581">
        <f t="shared" ref="C35:T35" si="9">IF(V38&gt;0,(V35/V38),)</f>
        <v>6.9383259911894271E-2</v>
      </c>
      <c r="D35" s="582">
        <f t="shared" si="9"/>
        <v>0</v>
      </c>
      <c r="E35" s="582">
        <f t="shared" si="9"/>
        <v>5.7942708333333336E-2</v>
      </c>
      <c r="F35" s="582">
        <f t="shared" si="9"/>
        <v>7.9059829059829057E-2</v>
      </c>
      <c r="G35" s="582">
        <f t="shared" si="9"/>
        <v>9.3548387096774197E-2</v>
      </c>
      <c r="H35" s="582">
        <f t="shared" si="9"/>
        <v>3.5443037974683546E-2</v>
      </c>
      <c r="I35" s="583">
        <f t="shared" si="9"/>
        <v>0</v>
      </c>
      <c r="J35" s="584">
        <f t="shared" si="9"/>
        <v>6.4141553773845728E-2</v>
      </c>
      <c r="K35" s="581">
        <f t="shared" si="9"/>
        <v>0</v>
      </c>
      <c r="L35" s="582">
        <f t="shared" si="9"/>
        <v>1</v>
      </c>
      <c r="M35" s="582">
        <f t="shared" si="9"/>
        <v>0.52156862745098043</v>
      </c>
      <c r="N35" s="582">
        <f t="shared" si="9"/>
        <v>0.88808290155440417</v>
      </c>
      <c r="O35" s="583">
        <f t="shared" si="9"/>
        <v>0</v>
      </c>
      <c r="P35" s="581">
        <f t="shared" si="9"/>
        <v>0.83309143686502174</v>
      </c>
      <c r="Q35" s="581">
        <f t="shared" si="9"/>
        <v>0</v>
      </c>
      <c r="R35" s="582">
        <f t="shared" si="9"/>
        <v>0</v>
      </c>
      <c r="S35" s="583">
        <f t="shared" si="9"/>
        <v>0</v>
      </c>
      <c r="T35" s="581">
        <f t="shared" si="9"/>
        <v>0</v>
      </c>
      <c r="U35" s="253"/>
      <c r="V35" s="585">
        <f t="shared" ref="V35:AM35" si="10">+V36+V37</f>
        <v>63</v>
      </c>
      <c r="W35" s="586">
        <f t="shared" si="10"/>
        <v>0</v>
      </c>
      <c r="X35" s="586">
        <f t="shared" si="10"/>
        <v>89</v>
      </c>
      <c r="Y35" s="586">
        <f t="shared" si="10"/>
        <v>37</v>
      </c>
      <c r="Z35" s="586">
        <f t="shared" si="10"/>
        <v>29</v>
      </c>
      <c r="AA35" s="586">
        <f t="shared" si="10"/>
        <v>14</v>
      </c>
      <c r="AB35" s="586">
        <f t="shared" si="10"/>
        <v>0</v>
      </c>
      <c r="AC35" s="587">
        <f t="shared" si="10"/>
        <v>232</v>
      </c>
      <c r="AD35" s="585">
        <f t="shared" si="10"/>
        <v>0</v>
      </c>
      <c r="AE35" s="586">
        <f t="shared" si="10"/>
        <v>158</v>
      </c>
      <c r="AF35" s="586">
        <f t="shared" si="10"/>
        <v>133</v>
      </c>
      <c r="AG35" s="586">
        <f t="shared" si="10"/>
        <v>857</v>
      </c>
      <c r="AH35" s="588">
        <f t="shared" si="10"/>
        <v>0</v>
      </c>
      <c r="AI35" s="588">
        <f t="shared" si="10"/>
        <v>1148</v>
      </c>
      <c r="AJ35" s="585">
        <f t="shared" si="10"/>
        <v>0</v>
      </c>
      <c r="AK35" s="586">
        <f t="shared" si="10"/>
        <v>0</v>
      </c>
      <c r="AL35" s="588">
        <f t="shared" si="10"/>
        <v>0</v>
      </c>
      <c r="AM35" s="585">
        <f t="shared" si="10"/>
        <v>0</v>
      </c>
    </row>
    <row r="36" spans="1:41">
      <c r="A36" s="239"/>
      <c r="B36" s="239" t="s">
        <v>32</v>
      </c>
      <c r="C36" s="250">
        <v>6.9383259911894271E-2</v>
      </c>
      <c r="D36" s="251">
        <v>0</v>
      </c>
      <c r="E36" s="251">
        <v>5.7942708333333336E-2</v>
      </c>
      <c r="F36" s="251">
        <v>7.9059829059829057E-2</v>
      </c>
      <c r="G36" s="251">
        <v>9.3548387096774197E-2</v>
      </c>
      <c r="H36" s="251">
        <v>3.5443037974683546E-2</v>
      </c>
      <c r="I36" s="251"/>
      <c r="J36" s="530">
        <v>6.4141553773845728E-2</v>
      </c>
      <c r="K36" s="250">
        <v>0</v>
      </c>
      <c r="L36" s="251">
        <v>0</v>
      </c>
      <c r="M36" s="251">
        <v>0</v>
      </c>
      <c r="N36" s="251">
        <v>0</v>
      </c>
      <c r="O36" s="258">
        <v>0</v>
      </c>
      <c r="P36" s="250">
        <v>0</v>
      </c>
      <c r="Q36" s="250">
        <v>0</v>
      </c>
      <c r="R36" s="251">
        <v>0</v>
      </c>
      <c r="S36" s="252">
        <v>0</v>
      </c>
      <c r="T36" s="250">
        <v>0</v>
      </c>
      <c r="U36" s="253"/>
      <c r="V36" s="254">
        <v>63</v>
      </c>
      <c r="W36" s="255">
        <v>0</v>
      </c>
      <c r="X36" s="255">
        <v>89</v>
      </c>
      <c r="Y36" s="255">
        <v>37</v>
      </c>
      <c r="Z36" s="255">
        <v>29</v>
      </c>
      <c r="AA36" s="255">
        <v>14</v>
      </c>
      <c r="AB36" s="255"/>
      <c r="AC36" s="256">
        <v>232</v>
      </c>
      <c r="AD36" s="254">
        <v>0</v>
      </c>
      <c r="AE36" s="255">
        <v>0</v>
      </c>
      <c r="AF36" s="255">
        <v>0</v>
      </c>
      <c r="AG36" s="255">
        <v>0</v>
      </c>
      <c r="AH36" s="257">
        <v>0</v>
      </c>
      <c r="AI36" s="257">
        <v>0</v>
      </c>
      <c r="AJ36" s="254">
        <v>0</v>
      </c>
      <c r="AK36" s="255">
        <v>0</v>
      </c>
      <c r="AL36" s="257">
        <v>0</v>
      </c>
      <c r="AM36" s="254">
        <v>0</v>
      </c>
    </row>
    <row r="37" spans="1:41">
      <c r="A37" s="239"/>
      <c r="B37" s="239" t="s">
        <v>58</v>
      </c>
      <c r="C37" s="250">
        <v>0</v>
      </c>
      <c r="D37" s="251">
        <v>0</v>
      </c>
      <c r="E37" s="419">
        <v>0</v>
      </c>
      <c r="F37" s="251">
        <v>0</v>
      </c>
      <c r="G37" s="419">
        <v>0</v>
      </c>
      <c r="H37" s="251">
        <v>0</v>
      </c>
      <c r="I37" s="251"/>
      <c r="J37" s="532">
        <v>0</v>
      </c>
      <c r="K37" s="250">
        <v>0</v>
      </c>
      <c r="L37" s="251">
        <v>1</v>
      </c>
      <c r="M37" s="251">
        <v>0.52156862745098043</v>
      </c>
      <c r="N37" s="251">
        <v>0.88808290155440417</v>
      </c>
      <c r="O37" s="252">
        <v>0</v>
      </c>
      <c r="P37" s="250">
        <v>0.83309143686502174</v>
      </c>
      <c r="Q37" s="250">
        <v>0</v>
      </c>
      <c r="R37" s="251">
        <v>0</v>
      </c>
      <c r="S37" s="252">
        <v>0</v>
      </c>
      <c r="T37" s="250">
        <v>0</v>
      </c>
      <c r="U37" s="253"/>
      <c r="V37" s="254">
        <v>0</v>
      </c>
      <c r="W37" s="255">
        <v>0</v>
      </c>
      <c r="X37" s="255">
        <v>0</v>
      </c>
      <c r="Y37" s="255">
        <v>0</v>
      </c>
      <c r="Z37" s="255">
        <v>0</v>
      </c>
      <c r="AA37" s="255">
        <v>0</v>
      </c>
      <c r="AB37" s="255"/>
      <c r="AC37" s="256">
        <v>0</v>
      </c>
      <c r="AD37" s="254">
        <v>0</v>
      </c>
      <c r="AE37" s="255">
        <v>158</v>
      </c>
      <c r="AF37" s="255">
        <v>133</v>
      </c>
      <c r="AG37" s="255">
        <v>857</v>
      </c>
      <c r="AH37" s="257">
        <v>0</v>
      </c>
      <c r="AI37" s="257">
        <v>1148</v>
      </c>
      <c r="AJ37" s="254">
        <v>0</v>
      </c>
      <c r="AK37" s="255">
        <v>0</v>
      </c>
      <c r="AL37" s="257">
        <v>0</v>
      </c>
      <c r="AM37" s="254">
        <v>0</v>
      </c>
    </row>
    <row r="38" spans="1:41" s="527" customFormat="1">
      <c r="A38" s="436"/>
      <c r="B38" s="436" t="s">
        <v>59</v>
      </c>
      <c r="C38" s="577">
        <f>SUM(C31:C35)</f>
        <v>1</v>
      </c>
      <c r="D38" s="578">
        <f t="shared" ref="D38:J38" si="11">SUM(D31:D35)</f>
        <v>0</v>
      </c>
      <c r="E38" s="578">
        <f t="shared" si="11"/>
        <v>1</v>
      </c>
      <c r="F38" s="578">
        <f t="shared" si="11"/>
        <v>1</v>
      </c>
      <c r="G38" s="578">
        <f t="shared" si="11"/>
        <v>0.99999999999999989</v>
      </c>
      <c r="H38" s="578">
        <f t="shared" si="11"/>
        <v>1</v>
      </c>
      <c r="I38" s="579">
        <f t="shared" si="11"/>
        <v>0</v>
      </c>
      <c r="J38" s="589">
        <f t="shared" si="11"/>
        <v>1</v>
      </c>
      <c r="K38" s="261">
        <v>0</v>
      </c>
      <c r="L38" s="262">
        <v>1</v>
      </c>
      <c r="M38" s="262">
        <v>1</v>
      </c>
      <c r="N38" s="262">
        <v>1</v>
      </c>
      <c r="O38" s="263">
        <v>0</v>
      </c>
      <c r="P38" s="261">
        <v>1</v>
      </c>
      <c r="Q38" s="261">
        <v>0</v>
      </c>
      <c r="R38" s="262">
        <v>0</v>
      </c>
      <c r="S38" s="263">
        <v>0</v>
      </c>
      <c r="T38" s="261">
        <v>0</v>
      </c>
      <c r="U38" s="264"/>
      <c r="V38" s="265">
        <v>908</v>
      </c>
      <c r="W38" s="266">
        <v>0</v>
      </c>
      <c r="X38" s="266">
        <v>1536</v>
      </c>
      <c r="Y38" s="266">
        <v>468</v>
      </c>
      <c r="Z38" s="266">
        <v>310</v>
      </c>
      <c r="AA38" s="266">
        <v>395</v>
      </c>
      <c r="AB38" s="266"/>
      <c r="AC38" s="267">
        <v>3617</v>
      </c>
      <c r="AD38" s="265">
        <v>0</v>
      </c>
      <c r="AE38" s="266">
        <v>158</v>
      </c>
      <c r="AF38" s="266">
        <v>255</v>
      </c>
      <c r="AG38" s="266">
        <v>965</v>
      </c>
      <c r="AH38" s="268">
        <v>0</v>
      </c>
      <c r="AI38" s="268">
        <v>1378</v>
      </c>
      <c r="AJ38" s="265">
        <v>0</v>
      </c>
      <c r="AK38" s="266">
        <v>0</v>
      </c>
      <c r="AL38" s="268">
        <v>0</v>
      </c>
      <c r="AM38" s="265">
        <v>0</v>
      </c>
      <c r="AN38" s="270"/>
      <c r="AO38" s="270"/>
    </row>
    <row r="39" spans="1:41">
      <c r="A39" s="240" t="s">
        <v>82</v>
      </c>
      <c r="B39" s="240" t="s">
        <v>53</v>
      </c>
      <c r="C39" s="241">
        <v>0.34082733812949639</v>
      </c>
      <c r="D39" s="242">
        <v>0</v>
      </c>
      <c r="E39" s="242">
        <v>0</v>
      </c>
      <c r="F39" s="242">
        <v>0.23684210526315788</v>
      </c>
      <c r="G39" s="242">
        <v>0</v>
      </c>
      <c r="H39" s="242">
        <v>0</v>
      </c>
      <c r="I39" s="242"/>
      <c r="J39" s="529">
        <v>0.32565284178187404</v>
      </c>
      <c r="K39" s="241">
        <v>0</v>
      </c>
      <c r="L39" s="242">
        <v>0</v>
      </c>
      <c r="M39" s="242">
        <v>0</v>
      </c>
      <c r="N39" s="242">
        <v>0</v>
      </c>
      <c r="O39" s="243">
        <v>0</v>
      </c>
      <c r="P39" s="241">
        <v>0</v>
      </c>
      <c r="Q39" s="342">
        <v>0</v>
      </c>
      <c r="R39" s="242">
        <v>0</v>
      </c>
      <c r="S39" s="243">
        <v>0</v>
      </c>
      <c r="T39" s="342">
        <v>0</v>
      </c>
      <c r="U39" s="244"/>
      <c r="V39" s="245">
        <v>379</v>
      </c>
      <c r="W39" s="246">
        <v>0</v>
      </c>
      <c r="X39" s="246">
        <v>0</v>
      </c>
      <c r="Y39" s="246">
        <v>45</v>
      </c>
      <c r="Z39" s="246">
        <v>0</v>
      </c>
      <c r="AA39" s="246">
        <v>0</v>
      </c>
      <c r="AB39" s="246"/>
      <c r="AC39" s="247">
        <v>424</v>
      </c>
      <c r="AD39" s="245">
        <v>0</v>
      </c>
      <c r="AE39" s="246">
        <v>0</v>
      </c>
      <c r="AF39" s="246">
        <v>0</v>
      </c>
      <c r="AG39" s="246">
        <v>0</v>
      </c>
      <c r="AH39" s="248">
        <v>0</v>
      </c>
      <c r="AI39" s="248">
        <v>0</v>
      </c>
      <c r="AJ39" s="245">
        <v>0</v>
      </c>
      <c r="AK39" s="246">
        <v>0</v>
      </c>
      <c r="AL39" s="248">
        <v>0</v>
      </c>
      <c r="AM39" s="245">
        <v>0</v>
      </c>
    </row>
    <row r="40" spans="1:41">
      <c r="A40" s="239"/>
      <c r="B40" s="239" t="s">
        <v>93</v>
      </c>
      <c r="C40" s="250">
        <v>0.30755395683453235</v>
      </c>
      <c r="D40" s="251">
        <v>0</v>
      </c>
      <c r="E40" s="251">
        <v>0</v>
      </c>
      <c r="F40" s="251">
        <v>0.42105263157894735</v>
      </c>
      <c r="G40" s="251">
        <v>0</v>
      </c>
      <c r="H40" s="251">
        <v>0</v>
      </c>
      <c r="I40" s="251"/>
      <c r="J40" s="530">
        <v>0.3241167434715822</v>
      </c>
      <c r="K40" s="250">
        <v>0</v>
      </c>
      <c r="L40" s="251">
        <v>0</v>
      </c>
      <c r="M40" s="251">
        <v>0</v>
      </c>
      <c r="N40" s="251">
        <v>0</v>
      </c>
      <c r="O40" s="252">
        <v>0</v>
      </c>
      <c r="P40" s="250">
        <v>0</v>
      </c>
      <c r="Q40" s="250">
        <v>0</v>
      </c>
      <c r="R40" s="251">
        <v>0</v>
      </c>
      <c r="S40" s="252">
        <v>0</v>
      </c>
      <c r="T40" s="250">
        <v>0</v>
      </c>
      <c r="U40" s="253"/>
      <c r="V40" s="254">
        <v>342</v>
      </c>
      <c r="W40" s="255">
        <v>0</v>
      </c>
      <c r="X40" s="255">
        <v>0</v>
      </c>
      <c r="Y40" s="255">
        <v>80</v>
      </c>
      <c r="Z40" s="255">
        <v>0</v>
      </c>
      <c r="AA40" s="255">
        <v>0</v>
      </c>
      <c r="AB40" s="255"/>
      <c r="AC40" s="256">
        <v>422</v>
      </c>
      <c r="AD40" s="254">
        <v>0</v>
      </c>
      <c r="AE40" s="255">
        <v>0</v>
      </c>
      <c r="AF40" s="255">
        <v>0</v>
      </c>
      <c r="AG40" s="255">
        <v>0</v>
      </c>
      <c r="AH40" s="257">
        <v>0</v>
      </c>
      <c r="AI40" s="257">
        <v>0</v>
      </c>
      <c r="AJ40" s="254">
        <v>0</v>
      </c>
      <c r="AK40" s="255">
        <v>0</v>
      </c>
      <c r="AL40" s="257">
        <v>0</v>
      </c>
      <c r="AM40" s="254">
        <v>0</v>
      </c>
    </row>
    <row r="41" spans="1:41">
      <c r="A41" s="239"/>
      <c r="B41" s="239" t="s">
        <v>55</v>
      </c>
      <c r="C41" s="250">
        <v>0.25809352517985612</v>
      </c>
      <c r="D41" s="251">
        <v>0</v>
      </c>
      <c r="E41" s="251">
        <v>0</v>
      </c>
      <c r="F41" s="251">
        <v>0.31578947368421051</v>
      </c>
      <c r="G41" s="251">
        <v>0</v>
      </c>
      <c r="H41" s="251">
        <v>0</v>
      </c>
      <c r="I41" s="251"/>
      <c r="J41" s="530">
        <v>0.26651305683563747</v>
      </c>
      <c r="K41" s="250">
        <v>0</v>
      </c>
      <c r="L41" s="251">
        <v>0</v>
      </c>
      <c r="M41" s="251">
        <v>0</v>
      </c>
      <c r="N41" s="251">
        <v>0</v>
      </c>
      <c r="O41" s="252">
        <v>0</v>
      </c>
      <c r="P41" s="250">
        <v>0</v>
      </c>
      <c r="Q41" s="250">
        <v>0</v>
      </c>
      <c r="R41" s="251">
        <v>0</v>
      </c>
      <c r="S41" s="252">
        <v>0</v>
      </c>
      <c r="T41" s="250">
        <v>0</v>
      </c>
      <c r="U41" s="253"/>
      <c r="V41" s="254">
        <v>287</v>
      </c>
      <c r="W41" s="255">
        <v>0</v>
      </c>
      <c r="X41" s="255">
        <v>0</v>
      </c>
      <c r="Y41" s="255">
        <v>60</v>
      </c>
      <c r="Z41" s="255">
        <v>0</v>
      </c>
      <c r="AA41" s="255">
        <v>0</v>
      </c>
      <c r="AB41" s="255"/>
      <c r="AC41" s="256">
        <v>347</v>
      </c>
      <c r="AD41" s="254">
        <v>0</v>
      </c>
      <c r="AE41" s="255">
        <v>0</v>
      </c>
      <c r="AF41" s="255">
        <v>0</v>
      </c>
      <c r="AG41" s="255">
        <v>0</v>
      </c>
      <c r="AH41" s="257">
        <v>0</v>
      </c>
      <c r="AI41" s="257">
        <v>0</v>
      </c>
      <c r="AJ41" s="254">
        <v>0</v>
      </c>
      <c r="AK41" s="255">
        <v>0</v>
      </c>
      <c r="AL41" s="257">
        <v>0</v>
      </c>
      <c r="AM41" s="254">
        <v>0</v>
      </c>
    </row>
    <row r="42" spans="1:41">
      <c r="A42" s="239"/>
      <c r="B42" s="239" t="s">
        <v>78</v>
      </c>
      <c r="C42" s="250">
        <v>9.3525179856115109E-2</v>
      </c>
      <c r="D42" s="251">
        <v>0</v>
      </c>
      <c r="E42" s="251">
        <v>0</v>
      </c>
      <c r="F42" s="251">
        <v>2.1052631578947368E-2</v>
      </c>
      <c r="G42" s="251">
        <v>0</v>
      </c>
      <c r="H42" s="251">
        <v>0</v>
      </c>
      <c r="I42" s="251"/>
      <c r="J42" s="530">
        <v>8.294930875576037E-2</v>
      </c>
      <c r="K42" s="250">
        <v>0</v>
      </c>
      <c r="L42" s="251">
        <v>0</v>
      </c>
      <c r="M42" s="251">
        <v>0</v>
      </c>
      <c r="N42" s="251">
        <v>0</v>
      </c>
      <c r="O42" s="252">
        <v>0</v>
      </c>
      <c r="P42" s="250">
        <v>0</v>
      </c>
      <c r="Q42" s="250">
        <v>0</v>
      </c>
      <c r="R42" s="251">
        <v>0</v>
      </c>
      <c r="S42" s="252">
        <v>0</v>
      </c>
      <c r="T42" s="250">
        <v>0</v>
      </c>
      <c r="U42" s="253"/>
      <c r="V42" s="254">
        <v>104</v>
      </c>
      <c r="W42" s="255">
        <v>0</v>
      </c>
      <c r="X42" s="255">
        <v>0</v>
      </c>
      <c r="Y42" s="255">
        <v>4</v>
      </c>
      <c r="Z42" s="255">
        <v>0</v>
      </c>
      <c r="AA42" s="255">
        <v>0</v>
      </c>
      <c r="AB42" s="255"/>
      <c r="AC42" s="256">
        <v>108</v>
      </c>
      <c r="AD42" s="254">
        <v>0</v>
      </c>
      <c r="AE42" s="255">
        <v>0</v>
      </c>
      <c r="AF42" s="255">
        <v>0</v>
      </c>
      <c r="AG42" s="255">
        <v>0</v>
      </c>
      <c r="AH42" s="257">
        <v>0</v>
      </c>
      <c r="AI42" s="257">
        <v>0</v>
      </c>
      <c r="AJ42" s="254">
        <v>0</v>
      </c>
      <c r="AK42" s="255">
        <v>0</v>
      </c>
      <c r="AL42" s="257">
        <v>0</v>
      </c>
      <c r="AM42" s="254">
        <v>0</v>
      </c>
    </row>
    <row r="43" spans="1:41">
      <c r="A43" s="580"/>
      <c r="B43" s="580" t="s">
        <v>131</v>
      </c>
      <c r="C43" s="581">
        <f t="shared" ref="C43:T43" si="12">IF(V46&gt;0,(V43/V46),)</f>
        <v>0</v>
      </c>
      <c r="D43" s="582">
        <f t="shared" si="12"/>
        <v>0</v>
      </c>
      <c r="E43" s="582">
        <f t="shared" si="12"/>
        <v>0</v>
      </c>
      <c r="F43" s="582">
        <f t="shared" si="12"/>
        <v>5.263157894736842E-3</v>
      </c>
      <c r="G43" s="582">
        <f t="shared" si="12"/>
        <v>0</v>
      </c>
      <c r="H43" s="582">
        <f t="shared" si="12"/>
        <v>0</v>
      </c>
      <c r="I43" s="583">
        <f t="shared" si="12"/>
        <v>0</v>
      </c>
      <c r="J43" s="584">
        <f t="shared" si="12"/>
        <v>7.6804915514592934E-4</v>
      </c>
      <c r="K43" s="581">
        <f t="shared" si="12"/>
        <v>0</v>
      </c>
      <c r="L43" s="582">
        <f t="shared" si="12"/>
        <v>0</v>
      </c>
      <c r="M43" s="582">
        <f t="shared" si="12"/>
        <v>1</v>
      </c>
      <c r="N43" s="582">
        <f t="shared" si="12"/>
        <v>1</v>
      </c>
      <c r="O43" s="583">
        <f t="shared" si="12"/>
        <v>0</v>
      </c>
      <c r="P43" s="581">
        <f t="shared" si="12"/>
        <v>1</v>
      </c>
      <c r="Q43" s="581">
        <f t="shared" si="12"/>
        <v>0</v>
      </c>
      <c r="R43" s="582">
        <f t="shared" si="12"/>
        <v>0</v>
      </c>
      <c r="S43" s="583">
        <f t="shared" si="12"/>
        <v>0</v>
      </c>
      <c r="T43" s="581">
        <f t="shared" si="12"/>
        <v>0</v>
      </c>
      <c r="U43" s="253"/>
      <c r="V43" s="585">
        <f t="shared" ref="V43:AM43" si="13">+V44+V45</f>
        <v>0</v>
      </c>
      <c r="W43" s="586">
        <f t="shared" si="13"/>
        <v>0</v>
      </c>
      <c r="X43" s="586">
        <f t="shared" si="13"/>
        <v>0</v>
      </c>
      <c r="Y43" s="586">
        <f t="shared" si="13"/>
        <v>1</v>
      </c>
      <c r="Z43" s="586">
        <f t="shared" si="13"/>
        <v>0</v>
      </c>
      <c r="AA43" s="586">
        <f t="shared" si="13"/>
        <v>0</v>
      </c>
      <c r="AB43" s="586">
        <f t="shared" si="13"/>
        <v>0</v>
      </c>
      <c r="AC43" s="587">
        <f t="shared" si="13"/>
        <v>1</v>
      </c>
      <c r="AD43" s="585">
        <f t="shared" si="13"/>
        <v>0</v>
      </c>
      <c r="AE43" s="586">
        <f t="shared" si="13"/>
        <v>0</v>
      </c>
      <c r="AF43" s="586">
        <f t="shared" si="13"/>
        <v>295</v>
      </c>
      <c r="AG43" s="586">
        <f t="shared" si="13"/>
        <v>81</v>
      </c>
      <c r="AH43" s="588">
        <f t="shared" si="13"/>
        <v>0</v>
      </c>
      <c r="AI43" s="588">
        <f t="shared" si="13"/>
        <v>376</v>
      </c>
      <c r="AJ43" s="585">
        <f t="shared" si="13"/>
        <v>0</v>
      </c>
      <c r="AK43" s="586">
        <f t="shared" si="13"/>
        <v>0</v>
      </c>
      <c r="AL43" s="588">
        <f t="shared" si="13"/>
        <v>0</v>
      </c>
      <c r="AM43" s="585">
        <f t="shared" si="13"/>
        <v>0</v>
      </c>
    </row>
    <row r="44" spans="1:41">
      <c r="A44" s="239"/>
      <c r="B44" s="239" t="s">
        <v>32</v>
      </c>
      <c r="C44" s="272">
        <v>0</v>
      </c>
      <c r="D44" s="251">
        <v>0</v>
      </c>
      <c r="E44" s="251">
        <v>0</v>
      </c>
      <c r="F44" s="251">
        <v>5.263157894736842E-3</v>
      </c>
      <c r="G44" s="251">
        <v>0</v>
      </c>
      <c r="H44" s="251">
        <v>0</v>
      </c>
      <c r="I44" s="251"/>
      <c r="J44" s="533">
        <v>7.6804915514592934E-4</v>
      </c>
      <c r="K44" s="250">
        <v>0</v>
      </c>
      <c r="L44" s="251">
        <v>0</v>
      </c>
      <c r="M44" s="251">
        <v>0</v>
      </c>
      <c r="N44" s="251">
        <v>0</v>
      </c>
      <c r="O44" s="258">
        <v>0</v>
      </c>
      <c r="P44" s="250">
        <v>0</v>
      </c>
      <c r="Q44" s="250">
        <v>0</v>
      </c>
      <c r="R44" s="251">
        <v>0</v>
      </c>
      <c r="S44" s="252">
        <v>0</v>
      </c>
      <c r="T44" s="250">
        <v>0</v>
      </c>
      <c r="U44" s="253"/>
      <c r="V44" s="254">
        <v>0</v>
      </c>
      <c r="W44" s="255">
        <v>0</v>
      </c>
      <c r="X44" s="255">
        <v>0</v>
      </c>
      <c r="Y44" s="255">
        <v>1</v>
      </c>
      <c r="Z44" s="255">
        <v>0</v>
      </c>
      <c r="AA44" s="255">
        <v>0</v>
      </c>
      <c r="AB44" s="255"/>
      <c r="AC44" s="256">
        <v>1</v>
      </c>
      <c r="AD44" s="254">
        <v>0</v>
      </c>
      <c r="AE44" s="255">
        <v>0</v>
      </c>
      <c r="AF44" s="255">
        <v>0</v>
      </c>
      <c r="AG44" s="255">
        <v>0</v>
      </c>
      <c r="AH44" s="257">
        <v>0</v>
      </c>
      <c r="AI44" s="257">
        <v>0</v>
      </c>
      <c r="AJ44" s="254">
        <v>0</v>
      </c>
      <c r="AK44" s="255">
        <v>0</v>
      </c>
      <c r="AL44" s="257">
        <v>0</v>
      </c>
      <c r="AM44" s="254">
        <v>0</v>
      </c>
    </row>
    <row r="45" spans="1:41">
      <c r="A45" s="239"/>
      <c r="B45" s="239" t="s">
        <v>58</v>
      </c>
      <c r="C45" s="250">
        <v>0</v>
      </c>
      <c r="D45" s="251">
        <v>0</v>
      </c>
      <c r="E45" s="419">
        <v>0</v>
      </c>
      <c r="F45" s="251">
        <v>0</v>
      </c>
      <c r="G45" s="419">
        <v>0</v>
      </c>
      <c r="H45" s="251">
        <v>0</v>
      </c>
      <c r="I45" s="251"/>
      <c r="J45" s="532">
        <v>0</v>
      </c>
      <c r="K45" s="250">
        <v>0</v>
      </c>
      <c r="L45" s="251">
        <v>0</v>
      </c>
      <c r="M45" s="251">
        <v>1</v>
      </c>
      <c r="N45" s="251">
        <v>1</v>
      </c>
      <c r="O45" s="252">
        <v>0</v>
      </c>
      <c r="P45" s="250">
        <v>1</v>
      </c>
      <c r="Q45" s="250">
        <v>0</v>
      </c>
      <c r="R45" s="251">
        <v>0</v>
      </c>
      <c r="S45" s="252">
        <v>0</v>
      </c>
      <c r="T45" s="250">
        <v>0</v>
      </c>
      <c r="U45" s="253"/>
      <c r="V45" s="254">
        <v>0</v>
      </c>
      <c r="W45" s="255">
        <v>0</v>
      </c>
      <c r="X45" s="255">
        <v>0</v>
      </c>
      <c r="Y45" s="255">
        <v>0</v>
      </c>
      <c r="Z45" s="255">
        <v>0</v>
      </c>
      <c r="AA45" s="255">
        <v>0</v>
      </c>
      <c r="AB45" s="255"/>
      <c r="AC45" s="256">
        <v>0</v>
      </c>
      <c r="AD45" s="254">
        <v>0</v>
      </c>
      <c r="AE45" s="255">
        <v>0</v>
      </c>
      <c r="AF45" s="255">
        <v>295</v>
      </c>
      <c r="AG45" s="255">
        <v>81</v>
      </c>
      <c r="AH45" s="257">
        <v>0</v>
      </c>
      <c r="AI45" s="257">
        <v>376</v>
      </c>
      <c r="AJ45" s="254">
        <v>0</v>
      </c>
      <c r="AK45" s="255">
        <v>0</v>
      </c>
      <c r="AL45" s="257">
        <v>0</v>
      </c>
      <c r="AM45" s="254">
        <v>0</v>
      </c>
    </row>
    <row r="46" spans="1:41" s="527" customFormat="1">
      <c r="A46" s="436"/>
      <c r="B46" s="436" t="s">
        <v>59</v>
      </c>
      <c r="C46" s="577">
        <f>SUM(C39:C43)</f>
        <v>0.99999999999999989</v>
      </c>
      <c r="D46" s="578">
        <f t="shared" ref="D46:J46" si="14">SUM(D39:D43)</f>
        <v>0</v>
      </c>
      <c r="E46" s="578">
        <f t="shared" si="14"/>
        <v>0</v>
      </c>
      <c r="F46" s="578">
        <f t="shared" si="14"/>
        <v>0.99999999999999989</v>
      </c>
      <c r="G46" s="578">
        <f t="shared" si="14"/>
        <v>0</v>
      </c>
      <c r="H46" s="578">
        <f t="shared" si="14"/>
        <v>0</v>
      </c>
      <c r="I46" s="579">
        <f t="shared" si="14"/>
        <v>0</v>
      </c>
      <c r="J46" s="589">
        <f t="shared" si="14"/>
        <v>1</v>
      </c>
      <c r="K46" s="261">
        <v>0</v>
      </c>
      <c r="L46" s="262">
        <v>0</v>
      </c>
      <c r="M46" s="262">
        <v>1</v>
      </c>
      <c r="N46" s="262">
        <v>1</v>
      </c>
      <c r="O46" s="263">
        <v>0</v>
      </c>
      <c r="P46" s="261">
        <v>1</v>
      </c>
      <c r="Q46" s="261">
        <v>0</v>
      </c>
      <c r="R46" s="262">
        <v>0</v>
      </c>
      <c r="S46" s="263">
        <v>0</v>
      </c>
      <c r="T46" s="261">
        <v>0</v>
      </c>
      <c r="U46" s="264"/>
      <c r="V46" s="265">
        <v>1112</v>
      </c>
      <c r="W46" s="266">
        <v>0</v>
      </c>
      <c r="X46" s="266">
        <v>0</v>
      </c>
      <c r="Y46" s="266">
        <v>190</v>
      </c>
      <c r="Z46" s="266">
        <v>0</v>
      </c>
      <c r="AA46" s="266">
        <v>0</v>
      </c>
      <c r="AB46" s="266"/>
      <c r="AC46" s="267">
        <v>1302</v>
      </c>
      <c r="AD46" s="265">
        <v>0</v>
      </c>
      <c r="AE46" s="266">
        <v>0</v>
      </c>
      <c r="AF46" s="266">
        <v>295</v>
      </c>
      <c r="AG46" s="266">
        <v>81</v>
      </c>
      <c r="AH46" s="268">
        <v>0</v>
      </c>
      <c r="AI46" s="268">
        <v>376</v>
      </c>
      <c r="AJ46" s="265">
        <v>0</v>
      </c>
      <c r="AK46" s="266">
        <v>0</v>
      </c>
      <c r="AL46" s="268">
        <v>0</v>
      </c>
      <c r="AM46" s="265">
        <v>0</v>
      </c>
      <c r="AN46" s="270"/>
      <c r="AO46" s="270"/>
    </row>
    <row r="47" spans="1:41">
      <c r="A47" s="240" t="s">
        <v>6</v>
      </c>
      <c r="B47" s="240" t="s">
        <v>53</v>
      </c>
      <c r="C47" s="241">
        <v>0.29569892473118281</v>
      </c>
      <c r="D47" s="242">
        <v>0.25417201540436457</v>
      </c>
      <c r="E47" s="242">
        <v>0.22525107604017217</v>
      </c>
      <c r="F47" s="242">
        <v>0.16666666666666666</v>
      </c>
      <c r="G47" s="242">
        <v>0</v>
      </c>
      <c r="H47" s="242">
        <v>0.35</v>
      </c>
      <c r="I47" s="242"/>
      <c r="J47" s="529">
        <v>0.27675723242767575</v>
      </c>
      <c r="K47" s="241">
        <v>0</v>
      </c>
      <c r="L47" s="242">
        <v>0</v>
      </c>
      <c r="M47" s="242">
        <v>0</v>
      </c>
      <c r="N47" s="242">
        <v>0</v>
      </c>
      <c r="O47" s="243">
        <v>0</v>
      </c>
      <c r="P47" s="241">
        <v>0</v>
      </c>
      <c r="Q47" s="342">
        <v>0</v>
      </c>
      <c r="R47" s="242">
        <v>0</v>
      </c>
      <c r="S47" s="243">
        <v>0</v>
      </c>
      <c r="T47" s="342">
        <v>0</v>
      </c>
      <c r="U47" s="244"/>
      <c r="V47" s="245">
        <v>1925</v>
      </c>
      <c r="W47" s="246">
        <v>198</v>
      </c>
      <c r="X47" s="246">
        <v>314</v>
      </c>
      <c r="Y47" s="246">
        <v>58</v>
      </c>
      <c r="Z47" s="246">
        <v>0</v>
      </c>
      <c r="AA47" s="246">
        <v>21</v>
      </c>
      <c r="AB47" s="246"/>
      <c r="AC47" s="247">
        <v>2516</v>
      </c>
      <c r="AD47" s="245">
        <v>0</v>
      </c>
      <c r="AE47" s="246">
        <v>0</v>
      </c>
      <c r="AF47" s="246">
        <v>0</v>
      </c>
      <c r="AG47" s="246">
        <v>0</v>
      </c>
      <c r="AH47" s="248">
        <v>0</v>
      </c>
      <c r="AI47" s="248">
        <v>0</v>
      </c>
      <c r="AJ47" s="245">
        <v>0</v>
      </c>
      <c r="AK47" s="246">
        <v>0</v>
      </c>
      <c r="AL47" s="248">
        <v>0</v>
      </c>
      <c r="AM47" s="245">
        <v>0</v>
      </c>
    </row>
    <row r="48" spans="1:41">
      <c r="A48" s="239"/>
      <c r="B48" s="239" t="s">
        <v>93</v>
      </c>
      <c r="C48" s="250">
        <v>0.28725038402457759</v>
      </c>
      <c r="D48" s="251">
        <v>0.29910141206675223</v>
      </c>
      <c r="E48" s="251">
        <v>0.28837876614060259</v>
      </c>
      <c r="F48" s="251">
        <v>0.26724137931034481</v>
      </c>
      <c r="G48" s="251">
        <v>0</v>
      </c>
      <c r="H48" s="251">
        <v>0.45</v>
      </c>
      <c r="I48" s="251"/>
      <c r="J48" s="530">
        <v>0.28874711252887469</v>
      </c>
      <c r="K48" s="250">
        <v>0</v>
      </c>
      <c r="L48" s="251">
        <v>0</v>
      </c>
      <c r="M48" s="251">
        <v>0</v>
      </c>
      <c r="N48" s="251">
        <v>0</v>
      </c>
      <c r="O48" s="252">
        <v>0</v>
      </c>
      <c r="P48" s="250">
        <v>0</v>
      </c>
      <c r="Q48" s="250">
        <v>0</v>
      </c>
      <c r="R48" s="251">
        <v>0</v>
      </c>
      <c r="S48" s="252">
        <v>0</v>
      </c>
      <c r="T48" s="250">
        <v>0</v>
      </c>
      <c r="U48" s="253"/>
      <c r="V48" s="254">
        <v>1870</v>
      </c>
      <c r="W48" s="255">
        <v>233</v>
      </c>
      <c r="X48" s="255">
        <v>402</v>
      </c>
      <c r="Y48" s="255">
        <v>93</v>
      </c>
      <c r="Z48" s="255">
        <v>0</v>
      </c>
      <c r="AA48" s="255">
        <v>27</v>
      </c>
      <c r="AB48" s="255"/>
      <c r="AC48" s="256">
        <v>2625</v>
      </c>
      <c r="AD48" s="254">
        <v>0</v>
      </c>
      <c r="AE48" s="255">
        <v>0</v>
      </c>
      <c r="AF48" s="255">
        <v>0</v>
      </c>
      <c r="AG48" s="255">
        <v>0</v>
      </c>
      <c r="AH48" s="257">
        <v>0</v>
      </c>
      <c r="AI48" s="257">
        <v>0</v>
      </c>
      <c r="AJ48" s="254">
        <v>0</v>
      </c>
      <c r="AK48" s="255">
        <v>0</v>
      </c>
      <c r="AL48" s="257">
        <v>0</v>
      </c>
      <c r="AM48" s="254">
        <v>0</v>
      </c>
    </row>
    <row r="49" spans="1:41">
      <c r="A49" s="239"/>
      <c r="B49" s="239" t="s">
        <v>55</v>
      </c>
      <c r="C49" s="250">
        <v>0.2436251920122888</v>
      </c>
      <c r="D49" s="251">
        <v>0.22721437740693196</v>
      </c>
      <c r="E49" s="251">
        <v>0.29626972740315638</v>
      </c>
      <c r="F49" s="251">
        <v>0.33045977011494254</v>
      </c>
      <c r="G49" s="251">
        <v>0</v>
      </c>
      <c r="H49" s="251">
        <v>0.18333333333333332</v>
      </c>
      <c r="I49" s="251"/>
      <c r="J49" s="530">
        <v>0.25321746782532173</v>
      </c>
      <c r="K49" s="250">
        <v>0</v>
      </c>
      <c r="L49" s="251">
        <v>0</v>
      </c>
      <c r="M49" s="251">
        <v>0</v>
      </c>
      <c r="N49" s="251">
        <v>0</v>
      </c>
      <c r="O49" s="252">
        <v>0</v>
      </c>
      <c r="P49" s="250">
        <v>0</v>
      </c>
      <c r="Q49" s="250">
        <v>0</v>
      </c>
      <c r="R49" s="251">
        <v>0</v>
      </c>
      <c r="S49" s="252">
        <v>0</v>
      </c>
      <c r="T49" s="250">
        <v>0</v>
      </c>
      <c r="U49" s="253"/>
      <c r="V49" s="254">
        <v>1586</v>
      </c>
      <c r="W49" s="255">
        <v>177</v>
      </c>
      <c r="X49" s="255">
        <v>413</v>
      </c>
      <c r="Y49" s="255">
        <v>115</v>
      </c>
      <c r="Z49" s="255">
        <v>0</v>
      </c>
      <c r="AA49" s="255">
        <v>11</v>
      </c>
      <c r="AB49" s="255"/>
      <c r="AC49" s="256">
        <v>2302</v>
      </c>
      <c r="AD49" s="254">
        <v>0</v>
      </c>
      <c r="AE49" s="255">
        <v>0</v>
      </c>
      <c r="AF49" s="255">
        <v>0</v>
      </c>
      <c r="AG49" s="255">
        <v>0</v>
      </c>
      <c r="AH49" s="257">
        <v>0</v>
      </c>
      <c r="AI49" s="257">
        <v>0</v>
      </c>
      <c r="AJ49" s="254">
        <v>0</v>
      </c>
      <c r="AK49" s="255">
        <v>0</v>
      </c>
      <c r="AL49" s="257">
        <v>0</v>
      </c>
      <c r="AM49" s="254">
        <v>0</v>
      </c>
    </row>
    <row r="50" spans="1:41">
      <c r="A50" s="239"/>
      <c r="B50" s="239" t="s">
        <v>78</v>
      </c>
      <c r="C50" s="250">
        <v>9.1858678955453146E-2</v>
      </c>
      <c r="D50" s="251">
        <v>0.21437740693196405</v>
      </c>
      <c r="E50" s="251">
        <v>0.14275466284074606</v>
      </c>
      <c r="F50" s="251">
        <v>0.22701149425287356</v>
      </c>
      <c r="G50" s="251">
        <v>0</v>
      </c>
      <c r="H50" s="251">
        <v>1.6666666666666666E-2</v>
      </c>
      <c r="I50" s="251"/>
      <c r="J50" s="530">
        <v>0.11483885161148388</v>
      </c>
      <c r="K50" s="250">
        <v>0</v>
      </c>
      <c r="L50" s="251">
        <v>0</v>
      </c>
      <c r="M50" s="251">
        <v>0</v>
      </c>
      <c r="N50" s="251">
        <v>0</v>
      </c>
      <c r="O50" s="252">
        <v>0</v>
      </c>
      <c r="P50" s="250">
        <v>0</v>
      </c>
      <c r="Q50" s="250">
        <v>0</v>
      </c>
      <c r="R50" s="251">
        <v>0</v>
      </c>
      <c r="S50" s="252">
        <v>0</v>
      </c>
      <c r="T50" s="250">
        <v>0</v>
      </c>
      <c r="U50" s="253"/>
      <c r="V50" s="254">
        <v>598</v>
      </c>
      <c r="W50" s="255">
        <v>167</v>
      </c>
      <c r="X50" s="255">
        <v>199</v>
      </c>
      <c r="Y50" s="255">
        <v>79</v>
      </c>
      <c r="Z50" s="255">
        <v>0</v>
      </c>
      <c r="AA50" s="255">
        <v>1</v>
      </c>
      <c r="AB50" s="255"/>
      <c r="AC50" s="256">
        <v>1044</v>
      </c>
      <c r="AD50" s="254">
        <v>0</v>
      </c>
      <c r="AE50" s="255">
        <v>0</v>
      </c>
      <c r="AF50" s="255">
        <v>0</v>
      </c>
      <c r="AG50" s="255">
        <v>0</v>
      </c>
      <c r="AH50" s="257">
        <v>0</v>
      </c>
      <c r="AI50" s="257">
        <v>0</v>
      </c>
      <c r="AJ50" s="254">
        <v>0</v>
      </c>
      <c r="AK50" s="255">
        <v>0</v>
      </c>
      <c r="AL50" s="257">
        <v>0</v>
      </c>
      <c r="AM50" s="254">
        <v>0</v>
      </c>
    </row>
    <row r="51" spans="1:41">
      <c r="A51" s="580"/>
      <c r="B51" s="580" t="s">
        <v>131</v>
      </c>
      <c r="C51" s="581">
        <f t="shared" ref="C51:T51" si="15">IF(V54&gt;0,(V51/V54),)</f>
        <v>8.1566820276497698E-2</v>
      </c>
      <c r="D51" s="582">
        <f t="shared" si="15"/>
        <v>5.1347881899871627E-3</v>
      </c>
      <c r="E51" s="582">
        <f t="shared" si="15"/>
        <v>4.7345767575322814E-2</v>
      </c>
      <c r="F51" s="582">
        <f t="shared" si="15"/>
        <v>8.6206896551724137E-3</v>
      </c>
      <c r="G51" s="582">
        <f t="shared" si="15"/>
        <v>0</v>
      </c>
      <c r="H51" s="582">
        <f t="shared" si="15"/>
        <v>0</v>
      </c>
      <c r="I51" s="583">
        <f t="shared" si="15"/>
        <v>0</v>
      </c>
      <c r="J51" s="584">
        <f t="shared" si="15"/>
        <v>6.6439335606643932E-2</v>
      </c>
      <c r="K51" s="581">
        <f t="shared" si="15"/>
        <v>1</v>
      </c>
      <c r="L51" s="582">
        <f t="shared" si="15"/>
        <v>1</v>
      </c>
      <c r="M51" s="582">
        <f t="shared" si="15"/>
        <v>1</v>
      </c>
      <c r="N51" s="582">
        <f t="shared" si="15"/>
        <v>1</v>
      </c>
      <c r="O51" s="583">
        <f t="shared" si="15"/>
        <v>0</v>
      </c>
      <c r="P51" s="581">
        <f t="shared" si="15"/>
        <v>1</v>
      </c>
      <c r="Q51" s="581">
        <f t="shared" si="15"/>
        <v>0</v>
      </c>
      <c r="R51" s="582">
        <f t="shared" si="15"/>
        <v>0</v>
      </c>
      <c r="S51" s="583">
        <f t="shared" si="15"/>
        <v>0</v>
      </c>
      <c r="T51" s="581">
        <f t="shared" si="15"/>
        <v>0</v>
      </c>
      <c r="U51" s="253"/>
      <c r="V51" s="585">
        <f t="shared" ref="V51:AM51" si="16">+V52+V53</f>
        <v>531</v>
      </c>
      <c r="W51" s="586">
        <f t="shared" si="16"/>
        <v>4</v>
      </c>
      <c r="X51" s="586">
        <f t="shared" si="16"/>
        <v>66</v>
      </c>
      <c r="Y51" s="586">
        <f t="shared" si="16"/>
        <v>3</v>
      </c>
      <c r="Z51" s="586">
        <f t="shared" si="16"/>
        <v>0</v>
      </c>
      <c r="AA51" s="586">
        <f t="shared" si="16"/>
        <v>0</v>
      </c>
      <c r="AB51" s="586">
        <f t="shared" si="16"/>
        <v>0</v>
      </c>
      <c r="AC51" s="587">
        <f t="shared" si="16"/>
        <v>604</v>
      </c>
      <c r="AD51" s="585">
        <f t="shared" si="16"/>
        <v>1384</v>
      </c>
      <c r="AE51" s="586">
        <f t="shared" si="16"/>
        <v>3325</v>
      </c>
      <c r="AF51" s="586">
        <f t="shared" si="16"/>
        <v>539</v>
      </c>
      <c r="AG51" s="586">
        <f t="shared" si="16"/>
        <v>49</v>
      </c>
      <c r="AH51" s="588">
        <f t="shared" si="16"/>
        <v>0</v>
      </c>
      <c r="AI51" s="588">
        <f t="shared" si="16"/>
        <v>5297</v>
      </c>
      <c r="AJ51" s="585">
        <f t="shared" si="16"/>
        <v>0</v>
      </c>
      <c r="AK51" s="586">
        <f t="shared" si="16"/>
        <v>0</v>
      </c>
      <c r="AL51" s="588">
        <f t="shared" si="16"/>
        <v>0</v>
      </c>
      <c r="AM51" s="585">
        <f t="shared" si="16"/>
        <v>0</v>
      </c>
    </row>
    <row r="52" spans="1:41">
      <c r="A52" s="239"/>
      <c r="B52" s="239" t="s">
        <v>32</v>
      </c>
      <c r="C52" s="250">
        <v>8.1566820276497698E-2</v>
      </c>
      <c r="D52" s="251">
        <v>5.1347881899871627E-3</v>
      </c>
      <c r="E52" s="251">
        <v>4.7345767575322814E-2</v>
      </c>
      <c r="F52" s="251">
        <v>8.6206896551724137E-3</v>
      </c>
      <c r="G52" s="273">
        <v>0</v>
      </c>
      <c r="H52" s="251">
        <v>0</v>
      </c>
      <c r="I52" s="251"/>
      <c r="J52" s="530">
        <v>6.6439335606643932E-2</v>
      </c>
      <c r="K52" s="250">
        <v>0</v>
      </c>
      <c r="L52" s="251">
        <v>0</v>
      </c>
      <c r="M52" s="251">
        <v>0</v>
      </c>
      <c r="N52" s="251">
        <v>0</v>
      </c>
      <c r="O52" s="258">
        <v>0</v>
      </c>
      <c r="P52" s="250">
        <v>0</v>
      </c>
      <c r="Q52" s="250">
        <v>0</v>
      </c>
      <c r="R52" s="251">
        <v>0</v>
      </c>
      <c r="S52" s="252">
        <v>0</v>
      </c>
      <c r="T52" s="250">
        <v>0</v>
      </c>
      <c r="U52" s="253"/>
      <c r="V52" s="254">
        <v>531</v>
      </c>
      <c r="W52" s="255">
        <v>4</v>
      </c>
      <c r="X52" s="255">
        <v>66</v>
      </c>
      <c r="Y52" s="255">
        <v>3</v>
      </c>
      <c r="Z52" s="255">
        <v>0</v>
      </c>
      <c r="AA52" s="255">
        <v>0</v>
      </c>
      <c r="AB52" s="255"/>
      <c r="AC52" s="256">
        <v>604</v>
      </c>
      <c r="AD52" s="254">
        <v>0</v>
      </c>
      <c r="AE52" s="255">
        <v>0</v>
      </c>
      <c r="AF52" s="255">
        <v>0</v>
      </c>
      <c r="AG52" s="255">
        <v>0</v>
      </c>
      <c r="AH52" s="257">
        <v>0</v>
      </c>
      <c r="AI52" s="257">
        <v>0</v>
      </c>
      <c r="AJ52" s="254">
        <v>0</v>
      </c>
      <c r="AK52" s="255">
        <v>0</v>
      </c>
      <c r="AL52" s="257">
        <v>0</v>
      </c>
      <c r="AM52" s="254">
        <v>0</v>
      </c>
    </row>
    <row r="53" spans="1:41">
      <c r="A53" s="239"/>
      <c r="B53" s="239" t="s">
        <v>58</v>
      </c>
      <c r="C53" s="250">
        <v>0</v>
      </c>
      <c r="D53" s="251">
        <v>0</v>
      </c>
      <c r="E53" s="419">
        <v>0</v>
      </c>
      <c r="F53" s="251">
        <v>0</v>
      </c>
      <c r="G53" s="419">
        <v>0</v>
      </c>
      <c r="H53" s="251">
        <v>0</v>
      </c>
      <c r="I53" s="251"/>
      <c r="J53" s="532">
        <v>0</v>
      </c>
      <c r="K53" s="250">
        <v>1</v>
      </c>
      <c r="L53" s="251">
        <v>1</v>
      </c>
      <c r="M53" s="251">
        <v>1</v>
      </c>
      <c r="N53" s="251">
        <v>1</v>
      </c>
      <c r="O53" s="252">
        <v>0</v>
      </c>
      <c r="P53" s="250">
        <v>1</v>
      </c>
      <c r="Q53" s="250">
        <v>0</v>
      </c>
      <c r="R53" s="251">
        <v>0</v>
      </c>
      <c r="S53" s="252">
        <v>0</v>
      </c>
      <c r="T53" s="250">
        <v>0</v>
      </c>
      <c r="U53" s="253"/>
      <c r="V53" s="254">
        <v>0</v>
      </c>
      <c r="W53" s="255">
        <v>0</v>
      </c>
      <c r="X53" s="255">
        <v>0</v>
      </c>
      <c r="Y53" s="255">
        <v>0</v>
      </c>
      <c r="Z53" s="255">
        <v>0</v>
      </c>
      <c r="AA53" s="255">
        <v>0</v>
      </c>
      <c r="AB53" s="255"/>
      <c r="AC53" s="256">
        <v>0</v>
      </c>
      <c r="AD53" s="254">
        <v>1384</v>
      </c>
      <c r="AE53" s="255">
        <v>3325</v>
      </c>
      <c r="AF53" s="255">
        <v>539</v>
      </c>
      <c r="AG53" s="255">
        <v>49</v>
      </c>
      <c r="AH53" s="257">
        <v>0</v>
      </c>
      <c r="AI53" s="257">
        <v>5297</v>
      </c>
      <c r="AJ53" s="254">
        <v>0</v>
      </c>
      <c r="AK53" s="255">
        <v>0</v>
      </c>
      <c r="AL53" s="257">
        <v>0</v>
      </c>
      <c r="AM53" s="254">
        <v>0</v>
      </c>
    </row>
    <row r="54" spans="1:41" s="527" customFormat="1">
      <c r="A54" s="436"/>
      <c r="B54" s="436" t="s">
        <v>59</v>
      </c>
      <c r="C54" s="577">
        <f>SUM(C47:C51)</f>
        <v>1.0000000000000002</v>
      </c>
      <c r="D54" s="578">
        <f t="shared" ref="D54:J54" si="17">SUM(D47:D51)</f>
        <v>1</v>
      </c>
      <c r="E54" s="578">
        <f t="shared" si="17"/>
        <v>1</v>
      </c>
      <c r="F54" s="578">
        <f t="shared" si="17"/>
        <v>1</v>
      </c>
      <c r="G54" s="578">
        <f t="shared" si="17"/>
        <v>0</v>
      </c>
      <c r="H54" s="578">
        <f t="shared" si="17"/>
        <v>1</v>
      </c>
      <c r="I54" s="579">
        <f t="shared" si="17"/>
        <v>0</v>
      </c>
      <c r="J54" s="589">
        <f t="shared" si="17"/>
        <v>1</v>
      </c>
      <c r="K54" s="261">
        <v>1</v>
      </c>
      <c r="L54" s="262">
        <v>1</v>
      </c>
      <c r="M54" s="262">
        <v>1</v>
      </c>
      <c r="N54" s="262">
        <v>1</v>
      </c>
      <c r="O54" s="263">
        <v>0</v>
      </c>
      <c r="P54" s="261">
        <v>1</v>
      </c>
      <c r="Q54" s="261">
        <v>0</v>
      </c>
      <c r="R54" s="262">
        <v>0</v>
      </c>
      <c r="S54" s="263">
        <v>0</v>
      </c>
      <c r="T54" s="261">
        <v>0</v>
      </c>
      <c r="U54" s="264"/>
      <c r="V54" s="265">
        <v>6510</v>
      </c>
      <c r="W54" s="266">
        <v>779</v>
      </c>
      <c r="X54" s="266">
        <v>1394</v>
      </c>
      <c r="Y54" s="266">
        <v>348</v>
      </c>
      <c r="Z54" s="266">
        <v>0</v>
      </c>
      <c r="AA54" s="266">
        <v>60</v>
      </c>
      <c r="AB54" s="266"/>
      <c r="AC54" s="267">
        <v>9091</v>
      </c>
      <c r="AD54" s="265">
        <v>1384</v>
      </c>
      <c r="AE54" s="266">
        <v>3325</v>
      </c>
      <c r="AF54" s="266">
        <v>539</v>
      </c>
      <c r="AG54" s="266">
        <v>49</v>
      </c>
      <c r="AH54" s="268">
        <v>0</v>
      </c>
      <c r="AI54" s="268">
        <v>5297</v>
      </c>
      <c r="AJ54" s="265">
        <v>0</v>
      </c>
      <c r="AK54" s="266">
        <v>0</v>
      </c>
      <c r="AL54" s="268">
        <v>0</v>
      </c>
      <c r="AM54" s="265">
        <v>0</v>
      </c>
      <c r="AN54" s="270"/>
      <c r="AO54" s="270"/>
    </row>
    <row r="55" spans="1:41">
      <c r="A55" s="240" t="s">
        <v>7</v>
      </c>
      <c r="B55" s="240" t="s">
        <v>53</v>
      </c>
      <c r="C55" s="241">
        <v>0.32012734347364696</v>
      </c>
      <c r="D55" s="242">
        <v>0.40695296523517382</v>
      </c>
      <c r="E55" s="242">
        <v>0.22141560798548093</v>
      </c>
      <c r="F55" s="242">
        <v>0.21013133208255161</v>
      </c>
      <c r="G55" s="242">
        <v>0.21033210332103322</v>
      </c>
      <c r="H55" s="242">
        <v>0.13709677419354838</v>
      </c>
      <c r="I55" s="242"/>
      <c r="J55" s="529">
        <v>0.27020140742538218</v>
      </c>
      <c r="K55" s="241">
        <v>0.14084507042253522</v>
      </c>
      <c r="L55" s="242">
        <v>9.2964824120603015E-2</v>
      </c>
      <c r="M55" s="242">
        <v>0.12457912457912458</v>
      </c>
      <c r="N55" s="242">
        <v>8.9820359281437126E-2</v>
      </c>
      <c r="O55" s="243">
        <v>0</v>
      </c>
      <c r="P55" s="241">
        <v>0.11451814768460576</v>
      </c>
      <c r="Q55" s="342">
        <v>0</v>
      </c>
      <c r="R55" s="242">
        <v>0</v>
      </c>
      <c r="S55" s="243">
        <v>0</v>
      </c>
      <c r="T55" s="342">
        <v>0</v>
      </c>
      <c r="U55" s="244"/>
      <c r="V55" s="245">
        <v>905</v>
      </c>
      <c r="W55" s="246">
        <v>398</v>
      </c>
      <c r="X55" s="246">
        <v>366</v>
      </c>
      <c r="Y55" s="246">
        <v>336</v>
      </c>
      <c r="Z55" s="246">
        <v>171</v>
      </c>
      <c r="AA55" s="246">
        <v>51</v>
      </c>
      <c r="AB55" s="246"/>
      <c r="AC55" s="247">
        <v>2227</v>
      </c>
      <c r="AD55" s="245">
        <v>20</v>
      </c>
      <c r="AE55" s="246">
        <v>37</v>
      </c>
      <c r="AF55" s="246">
        <v>111</v>
      </c>
      <c r="AG55" s="246">
        <v>15</v>
      </c>
      <c r="AH55" s="248">
        <v>0</v>
      </c>
      <c r="AI55" s="248">
        <v>183</v>
      </c>
      <c r="AJ55" s="245">
        <v>0</v>
      </c>
      <c r="AK55" s="246">
        <v>0</v>
      </c>
      <c r="AL55" s="248">
        <v>0</v>
      </c>
      <c r="AM55" s="245">
        <v>0</v>
      </c>
    </row>
    <row r="56" spans="1:41">
      <c r="A56" s="239"/>
      <c r="B56" s="239" t="s">
        <v>93</v>
      </c>
      <c r="C56" s="250">
        <v>0.27449593208348072</v>
      </c>
      <c r="D56" s="251">
        <v>0.24642126789366053</v>
      </c>
      <c r="E56" s="251">
        <v>0.24440411373260737</v>
      </c>
      <c r="F56" s="251">
        <v>0.24265165728580362</v>
      </c>
      <c r="G56" s="251">
        <v>0.22263222632226323</v>
      </c>
      <c r="H56" s="251">
        <v>0.30376344086021506</v>
      </c>
      <c r="I56" s="251"/>
      <c r="J56" s="530">
        <v>0.25515651540888135</v>
      </c>
      <c r="K56" s="250">
        <v>0.33098591549295775</v>
      </c>
      <c r="L56" s="251">
        <v>0.35678391959798994</v>
      </c>
      <c r="M56" s="251">
        <v>0.21212121212121213</v>
      </c>
      <c r="N56" s="251">
        <v>0.24550898203592814</v>
      </c>
      <c r="O56" s="252">
        <v>0</v>
      </c>
      <c r="P56" s="250">
        <v>0.26220275344180227</v>
      </c>
      <c r="Q56" s="250">
        <v>0</v>
      </c>
      <c r="R56" s="251">
        <v>0</v>
      </c>
      <c r="S56" s="252">
        <v>0</v>
      </c>
      <c r="T56" s="250">
        <v>0</v>
      </c>
      <c r="U56" s="253"/>
      <c r="V56" s="254">
        <v>776</v>
      </c>
      <c r="W56" s="255">
        <v>241</v>
      </c>
      <c r="X56" s="255">
        <v>404</v>
      </c>
      <c r="Y56" s="255">
        <v>388</v>
      </c>
      <c r="Z56" s="255">
        <v>181</v>
      </c>
      <c r="AA56" s="255">
        <v>113</v>
      </c>
      <c r="AB56" s="255"/>
      <c r="AC56" s="256">
        <v>2103</v>
      </c>
      <c r="AD56" s="254">
        <v>47</v>
      </c>
      <c r="AE56" s="255">
        <v>142</v>
      </c>
      <c r="AF56" s="255">
        <v>189</v>
      </c>
      <c r="AG56" s="255">
        <v>41</v>
      </c>
      <c r="AH56" s="257">
        <v>0</v>
      </c>
      <c r="AI56" s="257">
        <v>419</v>
      </c>
      <c r="AJ56" s="254">
        <v>0</v>
      </c>
      <c r="AK56" s="255">
        <v>0</v>
      </c>
      <c r="AL56" s="257">
        <v>0</v>
      </c>
      <c r="AM56" s="254">
        <v>0</v>
      </c>
    </row>
    <row r="57" spans="1:41">
      <c r="A57" s="239"/>
      <c r="B57" s="239" t="s">
        <v>55</v>
      </c>
      <c r="C57" s="250">
        <v>0.27449593208348072</v>
      </c>
      <c r="D57" s="251">
        <v>0.2505112474437628</v>
      </c>
      <c r="E57" s="251">
        <v>0.32425892316999394</v>
      </c>
      <c r="F57" s="251">
        <v>0.40838023764853032</v>
      </c>
      <c r="G57" s="251">
        <v>0.39606396063960642</v>
      </c>
      <c r="H57" s="251">
        <v>0.478494623655914</v>
      </c>
      <c r="I57" s="251"/>
      <c r="J57" s="530">
        <v>0.32880368842513952</v>
      </c>
      <c r="K57" s="250">
        <v>0.42253521126760563</v>
      </c>
      <c r="L57" s="251">
        <v>0.28391959798994976</v>
      </c>
      <c r="M57" s="251">
        <v>0.38720538720538722</v>
      </c>
      <c r="N57" s="251">
        <v>0.3652694610778443</v>
      </c>
      <c r="O57" s="252">
        <v>0</v>
      </c>
      <c r="P57" s="250">
        <v>0.36232790988735919</v>
      </c>
      <c r="Q57" s="250">
        <v>0</v>
      </c>
      <c r="R57" s="251">
        <v>0</v>
      </c>
      <c r="S57" s="252">
        <v>0</v>
      </c>
      <c r="T57" s="250">
        <v>0</v>
      </c>
      <c r="U57" s="253"/>
      <c r="V57" s="254">
        <v>776</v>
      </c>
      <c r="W57" s="255">
        <v>245</v>
      </c>
      <c r="X57" s="255">
        <v>536</v>
      </c>
      <c r="Y57" s="255">
        <v>653</v>
      </c>
      <c r="Z57" s="255">
        <v>322</v>
      </c>
      <c r="AA57" s="255">
        <v>178</v>
      </c>
      <c r="AB57" s="255"/>
      <c r="AC57" s="256">
        <v>2710</v>
      </c>
      <c r="AD57" s="254">
        <v>60</v>
      </c>
      <c r="AE57" s="255">
        <v>113</v>
      </c>
      <c r="AF57" s="255">
        <v>345</v>
      </c>
      <c r="AG57" s="255">
        <v>61</v>
      </c>
      <c r="AH57" s="257">
        <v>0</v>
      </c>
      <c r="AI57" s="257">
        <v>579</v>
      </c>
      <c r="AJ57" s="254">
        <v>0</v>
      </c>
      <c r="AK57" s="255">
        <v>0</v>
      </c>
      <c r="AL57" s="257">
        <v>0</v>
      </c>
      <c r="AM57" s="254">
        <v>0</v>
      </c>
    </row>
    <row r="58" spans="1:41">
      <c r="A58" s="239"/>
      <c r="B58" s="239" t="s">
        <v>78</v>
      </c>
      <c r="C58" s="250">
        <v>3.7849310222851082E-2</v>
      </c>
      <c r="D58" s="251">
        <v>4.396728016359918E-2</v>
      </c>
      <c r="E58" s="251">
        <v>0.1675741076830006</v>
      </c>
      <c r="F58" s="251">
        <v>5.8786741713570984E-2</v>
      </c>
      <c r="G58" s="251">
        <v>0.12423124231242312</v>
      </c>
      <c r="H58" s="251">
        <v>8.0645161290322578E-3</v>
      </c>
      <c r="I58" s="251"/>
      <c r="J58" s="530">
        <v>7.5831108954137347E-2</v>
      </c>
      <c r="K58" s="250">
        <v>0.10563380281690141</v>
      </c>
      <c r="L58" s="251">
        <v>0.24120603015075376</v>
      </c>
      <c r="M58" s="251">
        <v>0.26262626262626265</v>
      </c>
      <c r="N58" s="251">
        <v>0.28742514970059879</v>
      </c>
      <c r="O58" s="252">
        <v>0</v>
      </c>
      <c r="P58" s="250">
        <v>0.24593241551939926</v>
      </c>
      <c r="Q58" s="250">
        <v>0</v>
      </c>
      <c r="R58" s="251">
        <v>0</v>
      </c>
      <c r="S58" s="252">
        <v>0</v>
      </c>
      <c r="T58" s="250">
        <v>0</v>
      </c>
      <c r="U58" s="253"/>
      <c r="V58" s="254">
        <v>107</v>
      </c>
      <c r="W58" s="255">
        <v>43</v>
      </c>
      <c r="X58" s="255">
        <v>277</v>
      </c>
      <c r="Y58" s="255">
        <v>94</v>
      </c>
      <c r="Z58" s="255">
        <v>101</v>
      </c>
      <c r="AA58" s="255">
        <v>3</v>
      </c>
      <c r="AB58" s="255"/>
      <c r="AC58" s="256">
        <v>625</v>
      </c>
      <c r="AD58" s="254">
        <v>15</v>
      </c>
      <c r="AE58" s="255">
        <v>96</v>
      </c>
      <c r="AF58" s="255">
        <v>234</v>
      </c>
      <c r="AG58" s="255">
        <v>48</v>
      </c>
      <c r="AH58" s="257">
        <v>0</v>
      </c>
      <c r="AI58" s="257">
        <v>393</v>
      </c>
      <c r="AJ58" s="254">
        <v>0</v>
      </c>
      <c r="AK58" s="255">
        <v>0</v>
      </c>
      <c r="AL58" s="257">
        <v>0</v>
      </c>
      <c r="AM58" s="254">
        <v>0</v>
      </c>
    </row>
    <row r="59" spans="1:41">
      <c r="A59" s="580"/>
      <c r="B59" s="580" t="s">
        <v>131</v>
      </c>
      <c r="C59" s="581">
        <f t="shared" ref="C59:T59" si="18">IF(V62&gt;0,(V59/V62),)</f>
        <v>9.30314821365405E-2</v>
      </c>
      <c r="D59" s="582">
        <f t="shared" si="18"/>
        <v>5.2147239263803678E-2</v>
      </c>
      <c r="E59" s="582">
        <f t="shared" si="18"/>
        <v>4.2347247428917122E-2</v>
      </c>
      <c r="F59" s="582">
        <f t="shared" si="18"/>
        <v>8.0050031269543465E-2</v>
      </c>
      <c r="G59" s="582">
        <f t="shared" si="18"/>
        <v>4.6740467404674045E-2</v>
      </c>
      <c r="H59" s="582">
        <f t="shared" si="18"/>
        <v>7.2580645161290328E-2</v>
      </c>
      <c r="I59" s="583">
        <f t="shared" si="18"/>
        <v>0</v>
      </c>
      <c r="J59" s="584">
        <f t="shared" si="18"/>
        <v>7.0007279786459597E-2</v>
      </c>
      <c r="K59" s="581">
        <f t="shared" si="18"/>
        <v>0</v>
      </c>
      <c r="L59" s="582">
        <f t="shared" si="18"/>
        <v>2.5125628140703519E-2</v>
      </c>
      <c r="M59" s="582">
        <f t="shared" si="18"/>
        <v>1.3468013468013467E-2</v>
      </c>
      <c r="N59" s="582">
        <f t="shared" si="18"/>
        <v>1.1976047904191617E-2</v>
      </c>
      <c r="O59" s="583">
        <f t="shared" si="18"/>
        <v>0</v>
      </c>
      <c r="P59" s="581">
        <f t="shared" si="18"/>
        <v>1.5018773466833541E-2</v>
      </c>
      <c r="Q59" s="581">
        <f t="shared" si="18"/>
        <v>1</v>
      </c>
      <c r="R59" s="582">
        <f t="shared" si="18"/>
        <v>1</v>
      </c>
      <c r="S59" s="583">
        <f t="shared" si="18"/>
        <v>0</v>
      </c>
      <c r="T59" s="581">
        <f t="shared" si="18"/>
        <v>1</v>
      </c>
      <c r="U59" s="253"/>
      <c r="V59" s="585">
        <f t="shared" ref="V59:AM59" si="19">+V60+V61</f>
        <v>263</v>
      </c>
      <c r="W59" s="586">
        <f t="shared" si="19"/>
        <v>51</v>
      </c>
      <c r="X59" s="586">
        <f t="shared" si="19"/>
        <v>70</v>
      </c>
      <c r="Y59" s="586">
        <f t="shared" si="19"/>
        <v>128</v>
      </c>
      <c r="Z59" s="586">
        <f t="shared" si="19"/>
        <v>38</v>
      </c>
      <c r="AA59" s="586">
        <f t="shared" si="19"/>
        <v>27</v>
      </c>
      <c r="AB59" s="586">
        <f t="shared" si="19"/>
        <v>0</v>
      </c>
      <c r="AC59" s="587">
        <f t="shared" si="19"/>
        <v>577</v>
      </c>
      <c r="AD59" s="585">
        <f t="shared" si="19"/>
        <v>0</v>
      </c>
      <c r="AE59" s="586">
        <f t="shared" si="19"/>
        <v>10</v>
      </c>
      <c r="AF59" s="586">
        <f t="shared" si="19"/>
        <v>12</v>
      </c>
      <c r="AG59" s="586">
        <f t="shared" si="19"/>
        <v>2</v>
      </c>
      <c r="AH59" s="588">
        <f t="shared" si="19"/>
        <v>0</v>
      </c>
      <c r="AI59" s="588">
        <f t="shared" si="19"/>
        <v>24</v>
      </c>
      <c r="AJ59" s="585">
        <f t="shared" si="19"/>
        <v>1996</v>
      </c>
      <c r="AK59" s="586">
        <f t="shared" si="19"/>
        <v>113</v>
      </c>
      <c r="AL59" s="588">
        <f t="shared" si="19"/>
        <v>0</v>
      </c>
      <c r="AM59" s="585">
        <f t="shared" si="19"/>
        <v>2109</v>
      </c>
    </row>
    <row r="60" spans="1:41">
      <c r="A60" s="239"/>
      <c r="B60" s="239" t="s">
        <v>32</v>
      </c>
      <c r="C60" s="250">
        <v>9.30314821365405E-2</v>
      </c>
      <c r="D60" s="251">
        <v>5.2147239263803678E-2</v>
      </c>
      <c r="E60" s="273">
        <v>4.2347247428917122E-2</v>
      </c>
      <c r="F60" s="251">
        <v>8.0050031269543465E-2</v>
      </c>
      <c r="G60" s="251">
        <v>4.6740467404674045E-2</v>
      </c>
      <c r="H60" s="273">
        <v>7.2580645161290328E-2</v>
      </c>
      <c r="I60" s="273"/>
      <c r="J60" s="530">
        <v>7.0007279786459597E-2</v>
      </c>
      <c r="K60" s="250">
        <v>0</v>
      </c>
      <c r="L60" s="251">
        <v>2.5125628140703519E-2</v>
      </c>
      <c r="M60" s="251">
        <v>1.3468013468013467E-2</v>
      </c>
      <c r="N60" s="251">
        <v>1.1976047904191617E-2</v>
      </c>
      <c r="O60" s="258">
        <v>0</v>
      </c>
      <c r="P60" s="250">
        <v>1.5018773466833541E-2</v>
      </c>
      <c r="Q60" s="250">
        <v>0</v>
      </c>
      <c r="R60" s="251">
        <v>0</v>
      </c>
      <c r="S60" s="252">
        <v>0</v>
      </c>
      <c r="T60" s="250">
        <v>0</v>
      </c>
      <c r="U60" s="253"/>
      <c r="V60" s="254">
        <v>263</v>
      </c>
      <c r="W60" s="255">
        <v>51</v>
      </c>
      <c r="X60" s="255">
        <v>70</v>
      </c>
      <c r="Y60" s="255">
        <v>128</v>
      </c>
      <c r="Z60" s="255">
        <v>38</v>
      </c>
      <c r="AA60" s="255">
        <v>27</v>
      </c>
      <c r="AB60" s="255"/>
      <c r="AC60" s="256">
        <v>577</v>
      </c>
      <c r="AD60" s="254">
        <v>0</v>
      </c>
      <c r="AE60" s="255">
        <v>10</v>
      </c>
      <c r="AF60" s="255">
        <v>12</v>
      </c>
      <c r="AG60" s="255">
        <v>2</v>
      </c>
      <c r="AH60" s="257">
        <v>0</v>
      </c>
      <c r="AI60" s="257">
        <v>24</v>
      </c>
      <c r="AJ60" s="254">
        <v>0</v>
      </c>
      <c r="AK60" s="255">
        <v>0</v>
      </c>
      <c r="AL60" s="257">
        <v>0</v>
      </c>
      <c r="AM60" s="254">
        <v>0</v>
      </c>
    </row>
    <row r="61" spans="1:41">
      <c r="A61" s="239"/>
      <c r="B61" s="239" t="s">
        <v>58</v>
      </c>
      <c r="C61" s="250">
        <v>0</v>
      </c>
      <c r="D61" s="251">
        <v>0</v>
      </c>
      <c r="E61" s="419">
        <v>0</v>
      </c>
      <c r="F61" s="251">
        <v>0</v>
      </c>
      <c r="G61" s="419">
        <v>0</v>
      </c>
      <c r="H61" s="251">
        <v>0</v>
      </c>
      <c r="I61" s="251"/>
      <c r="J61" s="532">
        <v>0</v>
      </c>
      <c r="K61" s="250">
        <v>0</v>
      </c>
      <c r="L61" s="251">
        <v>0</v>
      </c>
      <c r="M61" s="251">
        <v>0</v>
      </c>
      <c r="N61" s="251">
        <v>0</v>
      </c>
      <c r="O61" s="252">
        <v>0</v>
      </c>
      <c r="P61" s="250">
        <v>0</v>
      </c>
      <c r="Q61" s="250">
        <v>1</v>
      </c>
      <c r="R61" s="251">
        <v>1</v>
      </c>
      <c r="S61" s="252">
        <v>0</v>
      </c>
      <c r="T61" s="250">
        <v>1</v>
      </c>
      <c r="U61" s="253"/>
      <c r="V61" s="254">
        <v>0</v>
      </c>
      <c r="W61" s="255">
        <v>0</v>
      </c>
      <c r="X61" s="255">
        <v>0</v>
      </c>
      <c r="Y61" s="255">
        <v>0</v>
      </c>
      <c r="Z61" s="255">
        <v>0</v>
      </c>
      <c r="AA61" s="255">
        <v>0</v>
      </c>
      <c r="AB61" s="255"/>
      <c r="AC61" s="256">
        <v>0</v>
      </c>
      <c r="AD61" s="254">
        <v>0</v>
      </c>
      <c r="AE61" s="255">
        <v>0</v>
      </c>
      <c r="AF61" s="255">
        <v>0</v>
      </c>
      <c r="AG61" s="255">
        <v>0</v>
      </c>
      <c r="AH61" s="257">
        <v>0</v>
      </c>
      <c r="AI61" s="257">
        <v>0</v>
      </c>
      <c r="AJ61" s="254">
        <v>1996</v>
      </c>
      <c r="AK61" s="255">
        <v>113</v>
      </c>
      <c r="AL61" s="257">
        <v>0</v>
      </c>
      <c r="AM61" s="254">
        <v>2109</v>
      </c>
    </row>
    <row r="62" spans="1:41" s="527" customFormat="1">
      <c r="A62" s="436"/>
      <c r="B62" s="436" t="s">
        <v>59</v>
      </c>
      <c r="C62" s="577">
        <f>SUM(C55:C59)</f>
        <v>1</v>
      </c>
      <c r="D62" s="578">
        <f t="shared" ref="D62:J62" si="20">SUM(D55:D59)</f>
        <v>1</v>
      </c>
      <c r="E62" s="578">
        <f t="shared" si="20"/>
        <v>1</v>
      </c>
      <c r="F62" s="578">
        <f t="shared" si="20"/>
        <v>1</v>
      </c>
      <c r="G62" s="578">
        <f t="shared" si="20"/>
        <v>1</v>
      </c>
      <c r="H62" s="578">
        <f t="shared" si="20"/>
        <v>1</v>
      </c>
      <c r="I62" s="579">
        <f t="shared" si="20"/>
        <v>0</v>
      </c>
      <c r="J62" s="589">
        <f t="shared" si="20"/>
        <v>1</v>
      </c>
      <c r="K62" s="261">
        <v>1</v>
      </c>
      <c r="L62" s="262">
        <v>1</v>
      </c>
      <c r="M62" s="262">
        <v>1</v>
      </c>
      <c r="N62" s="262">
        <v>1</v>
      </c>
      <c r="O62" s="263">
        <v>0</v>
      </c>
      <c r="P62" s="261">
        <v>1</v>
      </c>
      <c r="Q62" s="261">
        <v>1</v>
      </c>
      <c r="R62" s="262">
        <v>1</v>
      </c>
      <c r="S62" s="263">
        <v>0</v>
      </c>
      <c r="T62" s="261">
        <v>1</v>
      </c>
      <c r="U62" s="264"/>
      <c r="V62" s="265">
        <v>2827</v>
      </c>
      <c r="W62" s="266">
        <v>978</v>
      </c>
      <c r="X62" s="266">
        <v>1653</v>
      </c>
      <c r="Y62" s="266">
        <v>1599</v>
      </c>
      <c r="Z62" s="266">
        <v>813</v>
      </c>
      <c r="AA62" s="266">
        <v>372</v>
      </c>
      <c r="AB62" s="266"/>
      <c r="AC62" s="267">
        <v>8242</v>
      </c>
      <c r="AD62" s="265">
        <v>142</v>
      </c>
      <c r="AE62" s="266">
        <v>398</v>
      </c>
      <c r="AF62" s="266">
        <v>891</v>
      </c>
      <c r="AG62" s="266">
        <v>167</v>
      </c>
      <c r="AH62" s="268">
        <v>0</v>
      </c>
      <c r="AI62" s="268">
        <v>1598</v>
      </c>
      <c r="AJ62" s="265">
        <v>1996</v>
      </c>
      <c r="AK62" s="266">
        <v>113</v>
      </c>
      <c r="AL62" s="268">
        <v>0</v>
      </c>
      <c r="AM62" s="265">
        <v>2109</v>
      </c>
      <c r="AN62" s="270"/>
      <c r="AO62" s="270"/>
    </row>
    <row r="63" spans="1:41">
      <c r="A63" s="240" t="s">
        <v>8</v>
      </c>
      <c r="B63" s="240" t="s">
        <v>53</v>
      </c>
      <c r="C63" s="241">
        <v>0.35044330377974803</v>
      </c>
      <c r="D63" s="242">
        <v>0</v>
      </c>
      <c r="E63" s="242">
        <v>0.20437956204379562</v>
      </c>
      <c r="F63" s="242">
        <v>0.1696230598669623</v>
      </c>
      <c r="G63" s="242">
        <v>0.15625</v>
      </c>
      <c r="H63" s="242">
        <v>0</v>
      </c>
      <c r="I63" s="242"/>
      <c r="J63" s="529">
        <v>0.25999192571659263</v>
      </c>
      <c r="K63" s="241">
        <v>0</v>
      </c>
      <c r="L63" s="242">
        <v>0.28731343283582089</v>
      </c>
      <c r="M63" s="242">
        <v>0.35771543086172347</v>
      </c>
      <c r="N63" s="242">
        <v>0.44394618834080718</v>
      </c>
      <c r="O63" s="243">
        <v>0</v>
      </c>
      <c r="P63" s="241">
        <v>0.34718269778030736</v>
      </c>
      <c r="Q63" s="241">
        <v>6.2068965517241378E-2</v>
      </c>
      <c r="R63" s="242">
        <v>0</v>
      </c>
      <c r="S63" s="243">
        <v>0</v>
      </c>
      <c r="T63" s="241">
        <v>6.2068965517241378E-2</v>
      </c>
      <c r="U63" s="244"/>
      <c r="V63" s="245">
        <v>751</v>
      </c>
      <c r="W63" s="246">
        <v>0</v>
      </c>
      <c r="X63" s="246">
        <v>364</v>
      </c>
      <c r="Y63" s="246">
        <v>153</v>
      </c>
      <c r="Z63" s="246">
        <v>20</v>
      </c>
      <c r="AA63" s="246">
        <v>0</v>
      </c>
      <c r="AB63" s="246"/>
      <c r="AC63" s="247">
        <v>1288</v>
      </c>
      <c r="AD63" s="245">
        <v>0</v>
      </c>
      <c r="AE63" s="246">
        <v>154</v>
      </c>
      <c r="AF63" s="246">
        <v>357</v>
      </c>
      <c r="AG63" s="246">
        <v>99</v>
      </c>
      <c r="AH63" s="248">
        <v>0</v>
      </c>
      <c r="AI63" s="248">
        <v>610</v>
      </c>
      <c r="AJ63" s="245">
        <v>9</v>
      </c>
      <c r="AK63" s="246">
        <v>0</v>
      </c>
      <c r="AL63" s="248">
        <v>0</v>
      </c>
      <c r="AM63" s="245">
        <v>9</v>
      </c>
    </row>
    <row r="64" spans="1:41">
      <c r="A64" s="239"/>
      <c r="B64" s="239" t="s">
        <v>93</v>
      </c>
      <c r="C64" s="250">
        <v>0.28511432571161921</v>
      </c>
      <c r="D64" s="251">
        <v>0</v>
      </c>
      <c r="E64" s="251">
        <v>0.23862998315553061</v>
      </c>
      <c r="F64" s="251">
        <v>0.30598669623059865</v>
      </c>
      <c r="G64" s="251">
        <v>0.296875</v>
      </c>
      <c r="H64" s="251">
        <v>0</v>
      </c>
      <c r="I64" s="251"/>
      <c r="J64" s="530">
        <v>0.27250706499798144</v>
      </c>
      <c r="K64" s="250">
        <v>0</v>
      </c>
      <c r="L64" s="251">
        <v>0.40485074626865669</v>
      </c>
      <c r="M64" s="251">
        <v>0.30360721442885774</v>
      </c>
      <c r="N64" s="251">
        <v>0.27802690582959644</v>
      </c>
      <c r="O64" s="252">
        <v>0</v>
      </c>
      <c r="P64" s="250">
        <v>0.33124644280022764</v>
      </c>
      <c r="Q64" s="250">
        <v>0.22758620689655173</v>
      </c>
      <c r="R64" s="251">
        <v>0</v>
      </c>
      <c r="S64" s="252">
        <v>0</v>
      </c>
      <c r="T64" s="250">
        <v>0.22758620689655173</v>
      </c>
      <c r="U64" s="253"/>
      <c r="V64" s="254">
        <v>611</v>
      </c>
      <c r="W64" s="255">
        <v>0</v>
      </c>
      <c r="X64" s="255">
        <v>425</v>
      </c>
      <c r="Y64" s="255">
        <v>276</v>
      </c>
      <c r="Z64" s="255">
        <v>38</v>
      </c>
      <c r="AA64" s="255">
        <v>0</v>
      </c>
      <c r="AB64" s="255"/>
      <c r="AC64" s="256">
        <v>1350</v>
      </c>
      <c r="AD64" s="254">
        <v>0</v>
      </c>
      <c r="AE64" s="255">
        <v>217</v>
      </c>
      <c r="AF64" s="255">
        <v>303</v>
      </c>
      <c r="AG64" s="255">
        <v>62</v>
      </c>
      <c r="AH64" s="257">
        <v>0</v>
      </c>
      <c r="AI64" s="257">
        <v>582</v>
      </c>
      <c r="AJ64" s="254">
        <v>33</v>
      </c>
      <c r="AK64" s="255">
        <v>0</v>
      </c>
      <c r="AL64" s="257">
        <v>0</v>
      </c>
      <c r="AM64" s="254">
        <v>33</v>
      </c>
    </row>
    <row r="65" spans="1:41">
      <c r="A65" s="239"/>
      <c r="B65" s="239" t="s">
        <v>55</v>
      </c>
      <c r="C65" s="250">
        <v>0.26318245450303313</v>
      </c>
      <c r="D65" s="251">
        <v>0</v>
      </c>
      <c r="E65" s="251">
        <v>0.28186412128017968</v>
      </c>
      <c r="F65" s="251">
        <v>0.27383592017738362</v>
      </c>
      <c r="G65" s="251">
        <v>0.421875</v>
      </c>
      <c r="H65" s="251">
        <v>0</v>
      </c>
      <c r="I65" s="251"/>
      <c r="J65" s="530">
        <v>0.27593863544610414</v>
      </c>
      <c r="K65" s="250">
        <v>0</v>
      </c>
      <c r="L65" s="251">
        <v>0.17910447761194029</v>
      </c>
      <c r="M65" s="251">
        <v>0.14629258517034069</v>
      </c>
      <c r="N65" s="251">
        <v>0.12556053811659193</v>
      </c>
      <c r="O65" s="252">
        <v>0</v>
      </c>
      <c r="P65" s="250">
        <v>0.15367103016505407</v>
      </c>
      <c r="Q65" s="250">
        <v>0.2620689655172414</v>
      </c>
      <c r="R65" s="251">
        <v>0</v>
      </c>
      <c r="S65" s="252">
        <v>0</v>
      </c>
      <c r="T65" s="250">
        <v>0.2620689655172414</v>
      </c>
      <c r="U65" s="253"/>
      <c r="V65" s="254">
        <v>564</v>
      </c>
      <c r="W65" s="255">
        <v>0</v>
      </c>
      <c r="X65" s="255">
        <v>502</v>
      </c>
      <c r="Y65" s="255">
        <v>247</v>
      </c>
      <c r="Z65" s="255">
        <v>54</v>
      </c>
      <c r="AA65" s="255">
        <v>0</v>
      </c>
      <c r="AB65" s="255"/>
      <c r="AC65" s="256">
        <v>1367</v>
      </c>
      <c r="AD65" s="254">
        <v>0</v>
      </c>
      <c r="AE65" s="255">
        <v>96</v>
      </c>
      <c r="AF65" s="255">
        <v>146</v>
      </c>
      <c r="AG65" s="255">
        <v>28</v>
      </c>
      <c r="AH65" s="257">
        <v>0</v>
      </c>
      <c r="AI65" s="257">
        <v>270</v>
      </c>
      <c r="AJ65" s="254">
        <v>38</v>
      </c>
      <c r="AK65" s="255">
        <v>0</v>
      </c>
      <c r="AL65" s="257">
        <v>0</v>
      </c>
      <c r="AM65" s="254">
        <v>38</v>
      </c>
    </row>
    <row r="66" spans="1:41">
      <c r="A66" s="239"/>
      <c r="B66" s="239" t="s">
        <v>78</v>
      </c>
      <c r="C66" s="272">
        <v>4.4797013532431172E-2</v>
      </c>
      <c r="D66" s="251">
        <v>0</v>
      </c>
      <c r="E66" s="251">
        <v>0.10724312184166199</v>
      </c>
      <c r="F66" s="251">
        <v>8.0931263858093128E-2</v>
      </c>
      <c r="G66" s="251">
        <v>0.125</v>
      </c>
      <c r="H66" s="251">
        <v>0</v>
      </c>
      <c r="I66" s="251"/>
      <c r="J66" s="530">
        <v>7.5898264029067422E-2</v>
      </c>
      <c r="K66" s="250">
        <v>0</v>
      </c>
      <c r="L66" s="251">
        <v>0.1287313432835821</v>
      </c>
      <c r="M66" s="251">
        <v>0.19238476953907815</v>
      </c>
      <c r="N66" s="251">
        <v>0.15246636771300448</v>
      </c>
      <c r="O66" s="252">
        <v>0</v>
      </c>
      <c r="P66" s="250">
        <v>0.16789982925441094</v>
      </c>
      <c r="Q66" s="250">
        <v>0.44827586206896552</v>
      </c>
      <c r="R66" s="251">
        <v>0</v>
      </c>
      <c r="S66" s="252">
        <v>0</v>
      </c>
      <c r="T66" s="250">
        <v>0.44827586206896552</v>
      </c>
      <c r="U66" s="253"/>
      <c r="V66" s="254">
        <v>96</v>
      </c>
      <c r="W66" s="255">
        <v>0</v>
      </c>
      <c r="X66" s="255">
        <v>191</v>
      </c>
      <c r="Y66" s="255">
        <v>73</v>
      </c>
      <c r="Z66" s="255">
        <v>16</v>
      </c>
      <c r="AA66" s="255">
        <v>0</v>
      </c>
      <c r="AB66" s="255"/>
      <c r="AC66" s="256">
        <v>376</v>
      </c>
      <c r="AD66" s="254">
        <v>0</v>
      </c>
      <c r="AE66" s="255">
        <v>69</v>
      </c>
      <c r="AF66" s="255">
        <v>192</v>
      </c>
      <c r="AG66" s="255">
        <v>34</v>
      </c>
      <c r="AH66" s="257">
        <v>0</v>
      </c>
      <c r="AI66" s="257">
        <v>295</v>
      </c>
      <c r="AJ66" s="254">
        <v>65</v>
      </c>
      <c r="AK66" s="255">
        <v>0</v>
      </c>
      <c r="AL66" s="257">
        <v>0</v>
      </c>
      <c r="AM66" s="254">
        <v>65</v>
      </c>
    </row>
    <row r="67" spans="1:41">
      <c r="A67" s="580"/>
      <c r="B67" s="580" t="s">
        <v>131</v>
      </c>
      <c r="C67" s="581">
        <f t="shared" ref="C67:T67" si="21">IF(V70&gt;0,(V67/V70),)</f>
        <v>5.6462902473168458E-2</v>
      </c>
      <c r="D67" s="582">
        <f t="shared" si="21"/>
        <v>0</v>
      </c>
      <c r="E67" s="582">
        <f t="shared" si="21"/>
        <v>0.16788321167883211</v>
      </c>
      <c r="F67" s="582">
        <f t="shared" si="21"/>
        <v>0.1696230598669623</v>
      </c>
      <c r="G67" s="582">
        <f t="shared" si="21"/>
        <v>0</v>
      </c>
      <c r="H67" s="582">
        <f t="shared" si="21"/>
        <v>0</v>
      </c>
      <c r="I67" s="583">
        <f t="shared" si="21"/>
        <v>0</v>
      </c>
      <c r="J67" s="584">
        <f t="shared" si="21"/>
        <v>0.11566410981025434</v>
      </c>
      <c r="K67" s="581">
        <f t="shared" si="21"/>
        <v>0</v>
      </c>
      <c r="L67" s="582">
        <f t="shared" si="21"/>
        <v>0</v>
      </c>
      <c r="M67" s="582">
        <f t="shared" si="21"/>
        <v>0</v>
      </c>
      <c r="N67" s="582">
        <f t="shared" si="21"/>
        <v>0</v>
      </c>
      <c r="O67" s="583">
        <f t="shared" si="21"/>
        <v>0</v>
      </c>
      <c r="P67" s="581">
        <f t="shared" si="21"/>
        <v>0</v>
      </c>
      <c r="Q67" s="581">
        <f t="shared" si="21"/>
        <v>0</v>
      </c>
      <c r="R67" s="582">
        <f t="shared" si="21"/>
        <v>0</v>
      </c>
      <c r="S67" s="583">
        <f t="shared" si="21"/>
        <v>0</v>
      </c>
      <c r="T67" s="581">
        <f t="shared" si="21"/>
        <v>0</v>
      </c>
      <c r="U67" s="253"/>
      <c r="V67" s="585">
        <f t="shared" ref="V67:AM67" si="22">+V68+V69</f>
        <v>121</v>
      </c>
      <c r="W67" s="586">
        <f t="shared" si="22"/>
        <v>0</v>
      </c>
      <c r="X67" s="586">
        <f t="shared" si="22"/>
        <v>299</v>
      </c>
      <c r="Y67" s="586">
        <f t="shared" si="22"/>
        <v>153</v>
      </c>
      <c r="Z67" s="586">
        <f t="shared" si="22"/>
        <v>0</v>
      </c>
      <c r="AA67" s="586">
        <f t="shared" si="22"/>
        <v>0</v>
      </c>
      <c r="AB67" s="586">
        <f t="shared" si="22"/>
        <v>0</v>
      </c>
      <c r="AC67" s="587">
        <f t="shared" si="22"/>
        <v>573</v>
      </c>
      <c r="AD67" s="585">
        <f t="shared" si="22"/>
        <v>0</v>
      </c>
      <c r="AE67" s="586">
        <f t="shared" si="22"/>
        <v>0</v>
      </c>
      <c r="AF67" s="586">
        <f t="shared" si="22"/>
        <v>0</v>
      </c>
      <c r="AG67" s="586">
        <f t="shared" si="22"/>
        <v>0</v>
      </c>
      <c r="AH67" s="588">
        <f t="shared" si="22"/>
        <v>0</v>
      </c>
      <c r="AI67" s="588">
        <f t="shared" si="22"/>
        <v>0</v>
      </c>
      <c r="AJ67" s="585">
        <f t="shared" si="22"/>
        <v>0</v>
      </c>
      <c r="AK67" s="586">
        <f t="shared" si="22"/>
        <v>0</v>
      </c>
      <c r="AL67" s="588">
        <f t="shared" si="22"/>
        <v>0</v>
      </c>
      <c r="AM67" s="585">
        <f t="shared" si="22"/>
        <v>0</v>
      </c>
    </row>
    <row r="68" spans="1:41">
      <c r="A68" s="239"/>
      <c r="B68" s="239" t="s">
        <v>32</v>
      </c>
      <c r="C68" s="250">
        <v>5.6462902473168458E-2</v>
      </c>
      <c r="D68" s="273">
        <v>0</v>
      </c>
      <c r="E68" s="251">
        <v>0.16788321167883211</v>
      </c>
      <c r="F68" s="251">
        <v>0.1696230598669623</v>
      </c>
      <c r="G68" s="251">
        <v>0</v>
      </c>
      <c r="H68" s="251">
        <v>0</v>
      </c>
      <c r="I68" s="251"/>
      <c r="J68" s="530">
        <v>0.11566410981025434</v>
      </c>
      <c r="K68" s="250">
        <v>0</v>
      </c>
      <c r="L68" s="251">
        <v>0</v>
      </c>
      <c r="M68" s="251">
        <v>0</v>
      </c>
      <c r="N68" s="251">
        <v>0</v>
      </c>
      <c r="O68" s="258">
        <v>0</v>
      </c>
      <c r="P68" s="250">
        <v>0</v>
      </c>
      <c r="Q68" s="250">
        <v>0</v>
      </c>
      <c r="R68" s="251">
        <v>0</v>
      </c>
      <c r="S68" s="252">
        <v>0</v>
      </c>
      <c r="T68" s="250">
        <v>0</v>
      </c>
      <c r="U68" s="253"/>
      <c r="V68" s="254">
        <v>121</v>
      </c>
      <c r="W68" s="255">
        <v>0</v>
      </c>
      <c r="X68" s="255">
        <v>299</v>
      </c>
      <c r="Y68" s="255">
        <v>153</v>
      </c>
      <c r="Z68" s="255">
        <v>0</v>
      </c>
      <c r="AA68" s="255">
        <v>0</v>
      </c>
      <c r="AB68" s="255"/>
      <c r="AC68" s="256">
        <v>573</v>
      </c>
      <c r="AD68" s="254">
        <v>0</v>
      </c>
      <c r="AE68" s="255">
        <v>0</v>
      </c>
      <c r="AF68" s="255">
        <v>0</v>
      </c>
      <c r="AG68" s="255">
        <v>0</v>
      </c>
      <c r="AH68" s="257">
        <v>0</v>
      </c>
      <c r="AI68" s="257">
        <v>0</v>
      </c>
      <c r="AJ68" s="254">
        <v>0</v>
      </c>
      <c r="AK68" s="255">
        <v>0</v>
      </c>
      <c r="AL68" s="257">
        <v>0</v>
      </c>
      <c r="AM68" s="254">
        <v>0</v>
      </c>
    </row>
    <row r="69" spans="1:41">
      <c r="A69" s="239"/>
      <c r="B69" s="239" t="s">
        <v>58</v>
      </c>
      <c r="C69" s="250">
        <v>0</v>
      </c>
      <c r="D69" s="251">
        <v>0</v>
      </c>
      <c r="E69" s="419">
        <v>0</v>
      </c>
      <c r="F69" s="251">
        <v>0</v>
      </c>
      <c r="G69" s="419">
        <v>0</v>
      </c>
      <c r="H69" s="251">
        <v>0</v>
      </c>
      <c r="I69" s="251"/>
      <c r="J69" s="532">
        <v>0</v>
      </c>
      <c r="K69" s="250">
        <v>0</v>
      </c>
      <c r="L69" s="251">
        <v>0</v>
      </c>
      <c r="M69" s="251">
        <v>0</v>
      </c>
      <c r="N69" s="251">
        <v>0</v>
      </c>
      <c r="O69" s="252">
        <v>0</v>
      </c>
      <c r="P69" s="250">
        <v>0</v>
      </c>
      <c r="Q69" s="250">
        <v>0</v>
      </c>
      <c r="R69" s="251">
        <v>0</v>
      </c>
      <c r="S69" s="252">
        <v>0</v>
      </c>
      <c r="T69" s="250">
        <v>0</v>
      </c>
      <c r="U69" s="253"/>
      <c r="V69" s="254">
        <v>0</v>
      </c>
      <c r="W69" s="255">
        <v>0</v>
      </c>
      <c r="X69" s="255">
        <v>0</v>
      </c>
      <c r="Y69" s="255">
        <v>0</v>
      </c>
      <c r="Z69" s="255">
        <v>0</v>
      </c>
      <c r="AA69" s="255">
        <v>0</v>
      </c>
      <c r="AB69" s="255"/>
      <c r="AC69" s="256">
        <v>0</v>
      </c>
      <c r="AD69" s="254">
        <v>0</v>
      </c>
      <c r="AE69" s="255">
        <v>0</v>
      </c>
      <c r="AF69" s="255">
        <v>0</v>
      </c>
      <c r="AG69" s="255">
        <v>0</v>
      </c>
      <c r="AH69" s="257">
        <v>0</v>
      </c>
      <c r="AI69" s="257">
        <v>0</v>
      </c>
      <c r="AJ69" s="254">
        <v>0</v>
      </c>
      <c r="AK69" s="255">
        <v>0</v>
      </c>
      <c r="AL69" s="257">
        <v>0</v>
      </c>
      <c r="AM69" s="254">
        <v>0</v>
      </c>
    </row>
    <row r="70" spans="1:41" s="527" customFormat="1">
      <c r="A70" s="436"/>
      <c r="B70" s="436" t="s">
        <v>59</v>
      </c>
      <c r="C70" s="577">
        <f>SUM(C63:C67)</f>
        <v>0.99999999999999989</v>
      </c>
      <c r="D70" s="578">
        <f t="shared" ref="D70:J70" si="23">SUM(D63:D67)</f>
        <v>0</v>
      </c>
      <c r="E70" s="578">
        <f t="shared" si="23"/>
        <v>1</v>
      </c>
      <c r="F70" s="578">
        <f t="shared" si="23"/>
        <v>1</v>
      </c>
      <c r="G70" s="578">
        <f t="shared" si="23"/>
        <v>1</v>
      </c>
      <c r="H70" s="578">
        <f t="shared" si="23"/>
        <v>0</v>
      </c>
      <c r="I70" s="579">
        <f t="shared" si="23"/>
        <v>0</v>
      </c>
      <c r="J70" s="589">
        <f t="shared" si="23"/>
        <v>1</v>
      </c>
      <c r="K70" s="261">
        <v>0</v>
      </c>
      <c r="L70" s="262">
        <v>1</v>
      </c>
      <c r="M70" s="262">
        <v>1</v>
      </c>
      <c r="N70" s="262">
        <v>1</v>
      </c>
      <c r="O70" s="263">
        <v>0</v>
      </c>
      <c r="P70" s="261">
        <v>1</v>
      </c>
      <c r="Q70" s="261">
        <v>1</v>
      </c>
      <c r="R70" s="262">
        <v>0</v>
      </c>
      <c r="S70" s="263">
        <v>0</v>
      </c>
      <c r="T70" s="261">
        <v>1</v>
      </c>
      <c r="U70" s="264"/>
      <c r="V70" s="265">
        <v>2143</v>
      </c>
      <c r="W70" s="266">
        <v>0</v>
      </c>
      <c r="X70" s="266">
        <v>1781</v>
      </c>
      <c r="Y70" s="266">
        <v>902</v>
      </c>
      <c r="Z70" s="266">
        <v>128</v>
      </c>
      <c r="AA70" s="266">
        <v>0</v>
      </c>
      <c r="AB70" s="266"/>
      <c r="AC70" s="267">
        <v>4954</v>
      </c>
      <c r="AD70" s="265">
        <v>0</v>
      </c>
      <c r="AE70" s="266">
        <v>536</v>
      </c>
      <c r="AF70" s="266">
        <v>998</v>
      </c>
      <c r="AG70" s="266">
        <v>223</v>
      </c>
      <c r="AH70" s="268">
        <v>0</v>
      </c>
      <c r="AI70" s="268">
        <v>1757</v>
      </c>
      <c r="AJ70" s="265">
        <v>145</v>
      </c>
      <c r="AK70" s="266">
        <v>0</v>
      </c>
      <c r="AL70" s="268">
        <v>0</v>
      </c>
      <c r="AM70" s="265">
        <v>145</v>
      </c>
      <c r="AN70" s="270"/>
      <c r="AO70" s="270"/>
    </row>
    <row r="71" spans="1:41">
      <c r="A71" s="240" t="s">
        <v>9</v>
      </c>
      <c r="B71" s="240" t="s">
        <v>53</v>
      </c>
      <c r="C71" s="241">
        <v>0.33946360153256705</v>
      </c>
      <c r="D71" s="242">
        <v>0.24513888888888888</v>
      </c>
      <c r="E71" s="242">
        <v>0.22290545734050729</v>
      </c>
      <c r="F71" s="242">
        <v>0.19373634377276039</v>
      </c>
      <c r="G71" s="242">
        <v>0</v>
      </c>
      <c r="H71" s="242">
        <v>0</v>
      </c>
      <c r="I71" s="242"/>
      <c r="J71" s="529">
        <v>0.24949252629636465</v>
      </c>
      <c r="K71" s="241">
        <v>0.22222222222222221</v>
      </c>
      <c r="L71" s="242">
        <v>0.17741935483870969</v>
      </c>
      <c r="M71" s="242">
        <v>8.2568807339449546E-2</v>
      </c>
      <c r="N71" s="242">
        <v>2.3148148148148147E-2</v>
      </c>
      <c r="O71" s="243">
        <v>0</v>
      </c>
      <c r="P71" s="241">
        <v>0.12258064516129032</v>
      </c>
      <c r="Q71" s="342">
        <v>0</v>
      </c>
      <c r="R71" s="242">
        <v>0</v>
      </c>
      <c r="S71" s="243">
        <v>0</v>
      </c>
      <c r="T71" s="342">
        <v>0</v>
      </c>
      <c r="U71" s="244"/>
      <c r="V71" s="245">
        <v>443</v>
      </c>
      <c r="W71" s="246">
        <v>353</v>
      </c>
      <c r="X71" s="246">
        <v>290</v>
      </c>
      <c r="Y71" s="246">
        <v>266</v>
      </c>
      <c r="Z71" s="246">
        <v>0</v>
      </c>
      <c r="AA71" s="246">
        <v>0</v>
      </c>
      <c r="AB71" s="246"/>
      <c r="AC71" s="247">
        <v>1352</v>
      </c>
      <c r="AD71" s="245">
        <v>24</v>
      </c>
      <c r="AE71" s="246">
        <v>77</v>
      </c>
      <c r="AF71" s="246">
        <v>27</v>
      </c>
      <c r="AG71" s="246">
        <v>5</v>
      </c>
      <c r="AH71" s="248">
        <v>0</v>
      </c>
      <c r="AI71" s="248">
        <v>133</v>
      </c>
      <c r="AJ71" s="245">
        <v>0</v>
      </c>
      <c r="AK71" s="246">
        <v>0</v>
      </c>
      <c r="AL71" s="248">
        <v>0</v>
      </c>
      <c r="AM71" s="245">
        <v>0</v>
      </c>
    </row>
    <row r="72" spans="1:41">
      <c r="A72" s="239"/>
      <c r="B72" s="239" t="s">
        <v>93</v>
      </c>
      <c r="C72" s="250">
        <v>0.22835249042145594</v>
      </c>
      <c r="D72" s="251">
        <v>0.23194444444444445</v>
      </c>
      <c r="E72" s="251">
        <v>0.20368946963873943</v>
      </c>
      <c r="F72" s="251">
        <v>0.21631463947560087</v>
      </c>
      <c r="G72" s="251">
        <v>0</v>
      </c>
      <c r="H72" s="251">
        <v>0</v>
      </c>
      <c r="I72" s="251"/>
      <c r="J72" s="530">
        <v>0.22033585532386049</v>
      </c>
      <c r="K72" s="250">
        <v>0.22222222222222221</v>
      </c>
      <c r="L72" s="251">
        <v>0.11751152073732719</v>
      </c>
      <c r="M72" s="251">
        <v>0.28440366972477066</v>
      </c>
      <c r="N72" s="251">
        <v>0.16203703703703703</v>
      </c>
      <c r="O72" s="252">
        <v>0</v>
      </c>
      <c r="P72" s="250">
        <v>0.18709677419354839</v>
      </c>
      <c r="Q72" s="250">
        <v>0</v>
      </c>
      <c r="R72" s="251">
        <v>0</v>
      </c>
      <c r="S72" s="252">
        <v>0</v>
      </c>
      <c r="T72" s="250">
        <v>0</v>
      </c>
      <c r="U72" s="253"/>
      <c r="V72" s="254">
        <v>298</v>
      </c>
      <c r="W72" s="255">
        <v>334</v>
      </c>
      <c r="X72" s="255">
        <v>265</v>
      </c>
      <c r="Y72" s="255">
        <v>297</v>
      </c>
      <c r="Z72" s="255">
        <v>0</v>
      </c>
      <c r="AA72" s="255">
        <v>0</v>
      </c>
      <c r="AB72" s="255"/>
      <c r="AC72" s="256">
        <v>1194</v>
      </c>
      <c r="AD72" s="254">
        <v>24</v>
      </c>
      <c r="AE72" s="255">
        <v>51</v>
      </c>
      <c r="AF72" s="255">
        <v>93</v>
      </c>
      <c r="AG72" s="255">
        <v>35</v>
      </c>
      <c r="AH72" s="257">
        <v>0</v>
      </c>
      <c r="AI72" s="257">
        <v>203</v>
      </c>
      <c r="AJ72" s="254">
        <v>0</v>
      </c>
      <c r="AK72" s="255">
        <v>0</v>
      </c>
      <c r="AL72" s="257">
        <v>0</v>
      </c>
      <c r="AM72" s="254">
        <v>0</v>
      </c>
    </row>
    <row r="73" spans="1:41">
      <c r="A73" s="239"/>
      <c r="B73" s="239" t="s">
        <v>55</v>
      </c>
      <c r="C73" s="250">
        <v>0.23831417624521073</v>
      </c>
      <c r="D73" s="251">
        <v>0.27847222222222223</v>
      </c>
      <c r="E73" s="251">
        <v>0.29592621060722524</v>
      </c>
      <c r="F73" s="251">
        <v>0.40568099053168244</v>
      </c>
      <c r="G73" s="251">
        <v>0</v>
      </c>
      <c r="H73" s="251">
        <v>0</v>
      </c>
      <c r="I73" s="251"/>
      <c r="J73" s="530">
        <v>0.30522236575013839</v>
      </c>
      <c r="K73" s="250">
        <v>0.39814814814814814</v>
      </c>
      <c r="L73" s="251">
        <v>0.22119815668202766</v>
      </c>
      <c r="M73" s="251">
        <v>0.21100917431192662</v>
      </c>
      <c r="N73" s="251">
        <v>0.27777777777777779</v>
      </c>
      <c r="O73" s="252">
        <v>0</v>
      </c>
      <c r="P73" s="250">
        <v>0.24700460829493087</v>
      </c>
      <c r="Q73" s="250">
        <v>0</v>
      </c>
      <c r="R73" s="251">
        <v>0</v>
      </c>
      <c r="S73" s="252">
        <v>0</v>
      </c>
      <c r="T73" s="250">
        <v>0</v>
      </c>
      <c r="U73" s="253"/>
      <c r="V73" s="254">
        <v>311</v>
      </c>
      <c r="W73" s="255">
        <v>401</v>
      </c>
      <c r="X73" s="255">
        <v>385</v>
      </c>
      <c r="Y73" s="255">
        <v>557</v>
      </c>
      <c r="Z73" s="255">
        <v>0</v>
      </c>
      <c r="AA73" s="255">
        <v>0</v>
      </c>
      <c r="AB73" s="255"/>
      <c r="AC73" s="256">
        <v>1654</v>
      </c>
      <c r="AD73" s="254">
        <v>43</v>
      </c>
      <c r="AE73" s="255">
        <v>96</v>
      </c>
      <c r="AF73" s="255">
        <v>69</v>
      </c>
      <c r="AG73" s="255">
        <v>60</v>
      </c>
      <c r="AH73" s="257">
        <v>0</v>
      </c>
      <c r="AI73" s="257">
        <v>268</v>
      </c>
      <c r="AJ73" s="254">
        <v>0</v>
      </c>
      <c r="AK73" s="255">
        <v>0</v>
      </c>
      <c r="AL73" s="257">
        <v>0</v>
      </c>
      <c r="AM73" s="254">
        <v>0</v>
      </c>
    </row>
    <row r="74" spans="1:41">
      <c r="A74" s="239"/>
      <c r="B74" s="239" t="s">
        <v>78</v>
      </c>
      <c r="C74" s="250">
        <v>0.17777777777777778</v>
      </c>
      <c r="D74" s="251">
        <v>0.22013888888888888</v>
      </c>
      <c r="E74" s="251">
        <v>0.27056110684089163</v>
      </c>
      <c r="F74" s="251">
        <v>0.17625637290604515</v>
      </c>
      <c r="G74" s="251">
        <v>0</v>
      </c>
      <c r="H74" s="251">
        <v>0</v>
      </c>
      <c r="I74" s="251"/>
      <c r="J74" s="530">
        <v>0.21092452482007751</v>
      </c>
      <c r="K74" s="250">
        <v>0.15740740740740741</v>
      </c>
      <c r="L74" s="251">
        <v>0.2695852534562212</v>
      </c>
      <c r="M74" s="251">
        <v>0.42201834862385323</v>
      </c>
      <c r="N74" s="251">
        <v>0.52314814814814814</v>
      </c>
      <c r="O74" s="252">
        <v>0</v>
      </c>
      <c r="P74" s="250">
        <v>0.35483870967741937</v>
      </c>
      <c r="Q74" s="250">
        <v>1</v>
      </c>
      <c r="R74" s="251">
        <v>0.97560975609756095</v>
      </c>
      <c r="S74" s="252">
        <v>0</v>
      </c>
      <c r="T74" s="250">
        <v>0.17733990147783252</v>
      </c>
      <c r="U74" s="253"/>
      <c r="V74" s="254">
        <v>232</v>
      </c>
      <c r="W74" s="255">
        <v>317</v>
      </c>
      <c r="X74" s="255">
        <v>352</v>
      </c>
      <c r="Y74" s="255">
        <v>242</v>
      </c>
      <c r="Z74" s="255">
        <v>0</v>
      </c>
      <c r="AA74" s="255">
        <v>0</v>
      </c>
      <c r="AB74" s="255"/>
      <c r="AC74" s="256">
        <v>1143</v>
      </c>
      <c r="AD74" s="254">
        <v>17</v>
      </c>
      <c r="AE74" s="255">
        <v>117</v>
      </c>
      <c r="AF74" s="255">
        <v>138</v>
      </c>
      <c r="AG74" s="255">
        <v>113</v>
      </c>
      <c r="AH74" s="257">
        <v>0</v>
      </c>
      <c r="AI74" s="257">
        <v>385</v>
      </c>
      <c r="AJ74" s="254">
        <v>68</v>
      </c>
      <c r="AK74" s="255">
        <v>40</v>
      </c>
      <c r="AL74" s="257">
        <v>0</v>
      </c>
      <c r="AM74" s="254">
        <v>108</v>
      </c>
    </row>
    <row r="75" spans="1:41">
      <c r="A75" s="580"/>
      <c r="B75" s="580" t="s">
        <v>131</v>
      </c>
      <c r="C75" s="581">
        <f t="shared" ref="C75:T75" si="24">IF(V78&gt;0,(V75/V78),)</f>
        <v>1.6091954022988506E-2</v>
      </c>
      <c r="D75" s="582">
        <f t="shared" si="24"/>
        <v>2.4305555555555556E-2</v>
      </c>
      <c r="E75" s="582">
        <f t="shared" si="24"/>
        <v>6.9177555726364333E-3</v>
      </c>
      <c r="F75" s="582">
        <f t="shared" si="24"/>
        <v>8.0116533139111441E-3</v>
      </c>
      <c r="G75" s="582">
        <f t="shared" si="24"/>
        <v>0</v>
      </c>
      <c r="H75" s="582">
        <f t="shared" si="24"/>
        <v>0</v>
      </c>
      <c r="I75" s="583">
        <f t="shared" si="24"/>
        <v>0</v>
      </c>
      <c r="J75" s="584">
        <f t="shared" si="24"/>
        <v>1.4024727809558959E-2</v>
      </c>
      <c r="K75" s="581">
        <f t="shared" si="24"/>
        <v>0</v>
      </c>
      <c r="L75" s="582">
        <f t="shared" si="24"/>
        <v>0.21428571428571427</v>
      </c>
      <c r="M75" s="582">
        <f t="shared" si="24"/>
        <v>0</v>
      </c>
      <c r="N75" s="582">
        <f t="shared" si="24"/>
        <v>1.3888888888888888E-2</v>
      </c>
      <c r="O75" s="583">
        <f t="shared" si="24"/>
        <v>0</v>
      </c>
      <c r="P75" s="581">
        <f t="shared" si="24"/>
        <v>8.847926267281106E-2</v>
      </c>
      <c r="Q75" s="581">
        <f t="shared" si="24"/>
        <v>0</v>
      </c>
      <c r="R75" s="582">
        <f t="shared" si="24"/>
        <v>2.4390243902439025E-2</v>
      </c>
      <c r="S75" s="583">
        <f t="shared" si="24"/>
        <v>1</v>
      </c>
      <c r="T75" s="581">
        <f t="shared" si="24"/>
        <v>0.82266009852216748</v>
      </c>
      <c r="U75" s="253"/>
      <c r="V75" s="585">
        <f t="shared" ref="V75:AM75" si="25">+V76+V77</f>
        <v>21</v>
      </c>
      <c r="W75" s="586">
        <f t="shared" si="25"/>
        <v>35</v>
      </c>
      <c r="X75" s="586">
        <f t="shared" si="25"/>
        <v>9</v>
      </c>
      <c r="Y75" s="586">
        <f t="shared" si="25"/>
        <v>11</v>
      </c>
      <c r="Z75" s="586">
        <f t="shared" si="25"/>
        <v>0</v>
      </c>
      <c r="AA75" s="586">
        <f t="shared" si="25"/>
        <v>0</v>
      </c>
      <c r="AB75" s="586">
        <f t="shared" si="25"/>
        <v>0</v>
      </c>
      <c r="AC75" s="587">
        <f t="shared" si="25"/>
        <v>76</v>
      </c>
      <c r="AD75" s="585">
        <f t="shared" si="25"/>
        <v>0</v>
      </c>
      <c r="AE75" s="586">
        <f t="shared" si="25"/>
        <v>93</v>
      </c>
      <c r="AF75" s="586">
        <f t="shared" si="25"/>
        <v>0</v>
      </c>
      <c r="AG75" s="586">
        <f t="shared" si="25"/>
        <v>3</v>
      </c>
      <c r="AH75" s="588">
        <f t="shared" si="25"/>
        <v>0</v>
      </c>
      <c r="AI75" s="588">
        <f t="shared" si="25"/>
        <v>96</v>
      </c>
      <c r="AJ75" s="585">
        <f t="shared" si="25"/>
        <v>0</v>
      </c>
      <c r="AK75" s="586">
        <f t="shared" si="25"/>
        <v>1</v>
      </c>
      <c r="AL75" s="588">
        <f t="shared" si="25"/>
        <v>500</v>
      </c>
      <c r="AM75" s="585">
        <f t="shared" si="25"/>
        <v>501</v>
      </c>
    </row>
    <row r="76" spans="1:41">
      <c r="A76" s="239"/>
      <c r="B76" s="239" t="s">
        <v>32</v>
      </c>
      <c r="C76" s="250">
        <v>1.6091954022988506E-2</v>
      </c>
      <c r="D76" s="251">
        <v>2.4305555555555556E-2</v>
      </c>
      <c r="E76" s="251">
        <v>6.9177555726364333E-3</v>
      </c>
      <c r="F76" s="273">
        <v>8.0116533139111441E-3</v>
      </c>
      <c r="G76" s="251">
        <v>0</v>
      </c>
      <c r="H76" s="251">
        <v>0</v>
      </c>
      <c r="I76" s="251"/>
      <c r="J76" s="530">
        <v>1.4024727809558959E-2</v>
      </c>
      <c r="K76" s="250">
        <v>0</v>
      </c>
      <c r="L76" s="251">
        <v>0.21428571428571427</v>
      </c>
      <c r="M76" s="251">
        <v>0</v>
      </c>
      <c r="N76" s="251">
        <v>1.3888888888888888E-2</v>
      </c>
      <c r="O76" s="258">
        <v>0</v>
      </c>
      <c r="P76" s="250">
        <v>8.847926267281106E-2</v>
      </c>
      <c r="Q76" s="250">
        <v>0</v>
      </c>
      <c r="R76" s="251">
        <v>2.4390243902439025E-2</v>
      </c>
      <c r="S76" s="252">
        <v>0</v>
      </c>
      <c r="T76" s="272">
        <v>1.6420361247947454E-3</v>
      </c>
      <c r="U76" s="253"/>
      <c r="V76" s="254">
        <v>21</v>
      </c>
      <c r="W76" s="255">
        <v>35</v>
      </c>
      <c r="X76" s="255">
        <v>9</v>
      </c>
      <c r="Y76" s="255">
        <v>11</v>
      </c>
      <c r="Z76" s="255">
        <v>0</v>
      </c>
      <c r="AA76" s="255">
        <v>0</v>
      </c>
      <c r="AB76" s="255"/>
      <c r="AC76" s="256">
        <v>76</v>
      </c>
      <c r="AD76" s="254">
        <v>0</v>
      </c>
      <c r="AE76" s="255">
        <v>93</v>
      </c>
      <c r="AF76" s="255">
        <v>0</v>
      </c>
      <c r="AG76" s="255">
        <v>3</v>
      </c>
      <c r="AH76" s="257">
        <v>0</v>
      </c>
      <c r="AI76" s="257">
        <v>96</v>
      </c>
      <c r="AJ76" s="254">
        <v>0</v>
      </c>
      <c r="AK76" s="255">
        <v>1</v>
      </c>
      <c r="AL76" s="257">
        <v>0</v>
      </c>
      <c r="AM76" s="254">
        <v>1</v>
      </c>
    </row>
    <row r="77" spans="1:41">
      <c r="A77" s="239"/>
      <c r="B77" s="239" t="s">
        <v>58</v>
      </c>
      <c r="C77" s="250">
        <v>0</v>
      </c>
      <c r="D77" s="251">
        <v>0</v>
      </c>
      <c r="E77" s="251">
        <v>0</v>
      </c>
      <c r="F77" s="273">
        <v>0</v>
      </c>
      <c r="G77" s="419">
        <v>0</v>
      </c>
      <c r="H77" s="251">
        <v>0</v>
      </c>
      <c r="I77" s="251"/>
      <c r="J77" s="530">
        <v>0</v>
      </c>
      <c r="K77" s="250">
        <v>0</v>
      </c>
      <c r="L77" s="251">
        <v>0</v>
      </c>
      <c r="M77" s="251">
        <v>0</v>
      </c>
      <c r="N77" s="251">
        <v>0</v>
      </c>
      <c r="O77" s="252">
        <v>0</v>
      </c>
      <c r="P77" s="250">
        <v>0</v>
      </c>
      <c r="Q77" s="250">
        <v>0</v>
      </c>
      <c r="R77" s="251">
        <v>0</v>
      </c>
      <c r="S77" s="252">
        <v>1</v>
      </c>
      <c r="T77" s="250">
        <v>0.82101806239737274</v>
      </c>
      <c r="U77" s="253"/>
      <c r="V77" s="254">
        <v>0</v>
      </c>
      <c r="W77" s="255">
        <v>0</v>
      </c>
      <c r="X77" s="255">
        <v>0</v>
      </c>
      <c r="Y77" s="255">
        <v>0</v>
      </c>
      <c r="Z77" s="255">
        <v>0</v>
      </c>
      <c r="AA77" s="255">
        <v>0</v>
      </c>
      <c r="AB77" s="255"/>
      <c r="AC77" s="256">
        <v>0</v>
      </c>
      <c r="AD77" s="254">
        <v>0</v>
      </c>
      <c r="AE77" s="255">
        <v>0</v>
      </c>
      <c r="AF77" s="255">
        <v>0</v>
      </c>
      <c r="AG77" s="255">
        <v>0</v>
      </c>
      <c r="AH77" s="257">
        <v>0</v>
      </c>
      <c r="AI77" s="257">
        <v>0</v>
      </c>
      <c r="AJ77" s="254">
        <v>0</v>
      </c>
      <c r="AK77" s="255">
        <v>0</v>
      </c>
      <c r="AL77" s="257">
        <v>500</v>
      </c>
      <c r="AM77" s="254">
        <v>500</v>
      </c>
    </row>
    <row r="78" spans="1:41" s="527" customFormat="1">
      <c r="A78" s="436"/>
      <c r="B78" s="436" t="s">
        <v>59</v>
      </c>
      <c r="C78" s="577">
        <f>SUM(C71:C75)</f>
        <v>1</v>
      </c>
      <c r="D78" s="578">
        <f t="shared" ref="D78:J78" si="26">SUM(D71:D75)</f>
        <v>1</v>
      </c>
      <c r="E78" s="578">
        <f t="shared" si="26"/>
        <v>1</v>
      </c>
      <c r="F78" s="578">
        <f t="shared" si="26"/>
        <v>1</v>
      </c>
      <c r="G78" s="578">
        <f t="shared" si="26"/>
        <v>0</v>
      </c>
      <c r="H78" s="578">
        <f t="shared" si="26"/>
        <v>0</v>
      </c>
      <c r="I78" s="579">
        <f t="shared" si="26"/>
        <v>0</v>
      </c>
      <c r="J78" s="589">
        <f t="shared" si="26"/>
        <v>1</v>
      </c>
      <c r="K78" s="261">
        <v>1</v>
      </c>
      <c r="L78" s="262">
        <v>1</v>
      </c>
      <c r="M78" s="262">
        <v>1</v>
      </c>
      <c r="N78" s="262">
        <v>1</v>
      </c>
      <c r="O78" s="263">
        <v>0</v>
      </c>
      <c r="P78" s="261">
        <v>1</v>
      </c>
      <c r="Q78" s="261">
        <v>1</v>
      </c>
      <c r="R78" s="262">
        <v>1</v>
      </c>
      <c r="S78" s="263">
        <v>1</v>
      </c>
      <c r="T78" s="261">
        <v>1</v>
      </c>
      <c r="U78" s="264"/>
      <c r="V78" s="265">
        <v>1305</v>
      </c>
      <c r="W78" s="266">
        <v>1440</v>
      </c>
      <c r="X78" s="266">
        <v>1301</v>
      </c>
      <c r="Y78" s="266">
        <v>1373</v>
      </c>
      <c r="Z78" s="266">
        <v>0</v>
      </c>
      <c r="AA78" s="266">
        <v>0</v>
      </c>
      <c r="AB78" s="266"/>
      <c r="AC78" s="267">
        <v>5419</v>
      </c>
      <c r="AD78" s="265">
        <v>108</v>
      </c>
      <c r="AE78" s="266">
        <v>434</v>
      </c>
      <c r="AF78" s="266">
        <v>327</v>
      </c>
      <c r="AG78" s="266">
        <v>216</v>
      </c>
      <c r="AH78" s="268">
        <v>0</v>
      </c>
      <c r="AI78" s="268">
        <v>1085</v>
      </c>
      <c r="AJ78" s="265">
        <v>68</v>
      </c>
      <c r="AK78" s="266">
        <v>41</v>
      </c>
      <c r="AL78" s="268">
        <v>500</v>
      </c>
      <c r="AM78" s="265">
        <v>609</v>
      </c>
      <c r="AN78" s="270"/>
      <c r="AO78" s="270"/>
    </row>
    <row r="79" spans="1:41">
      <c r="A79" s="240" t="s">
        <v>10</v>
      </c>
      <c r="B79" s="240" t="s">
        <v>53</v>
      </c>
      <c r="C79" s="241">
        <v>0.40605686032138444</v>
      </c>
      <c r="D79" s="242">
        <v>0.30625000000000002</v>
      </c>
      <c r="E79" s="242">
        <v>0.17848605577689244</v>
      </c>
      <c r="F79" s="242">
        <v>0.22846441947565543</v>
      </c>
      <c r="G79" s="242">
        <v>0</v>
      </c>
      <c r="H79" s="242">
        <v>0.30769230769230771</v>
      </c>
      <c r="I79" s="242"/>
      <c r="J79" s="529">
        <v>0.28503415441937485</v>
      </c>
      <c r="K79" s="241">
        <v>0</v>
      </c>
      <c r="L79" s="242">
        <v>0.34982332155477031</v>
      </c>
      <c r="M79" s="242">
        <v>0.34630872483221475</v>
      </c>
      <c r="N79" s="242">
        <v>0.22307692307692309</v>
      </c>
      <c r="O79" s="243">
        <v>0</v>
      </c>
      <c r="P79" s="241">
        <v>0.33512396694214874</v>
      </c>
      <c r="Q79" s="342">
        <v>0</v>
      </c>
      <c r="R79" s="242">
        <v>0</v>
      </c>
      <c r="S79" s="243">
        <v>0</v>
      </c>
      <c r="T79" s="342">
        <v>0</v>
      </c>
      <c r="U79" s="244"/>
      <c r="V79" s="245">
        <v>657</v>
      </c>
      <c r="W79" s="246">
        <v>147</v>
      </c>
      <c r="X79" s="246">
        <v>224</v>
      </c>
      <c r="Y79" s="246">
        <v>305</v>
      </c>
      <c r="Z79" s="246">
        <v>0</v>
      </c>
      <c r="AA79" s="246">
        <v>44</v>
      </c>
      <c r="AB79" s="246"/>
      <c r="AC79" s="247">
        <v>1377</v>
      </c>
      <c r="AD79" s="245">
        <v>0</v>
      </c>
      <c r="AE79" s="246">
        <v>495</v>
      </c>
      <c r="AF79" s="246">
        <v>258</v>
      </c>
      <c r="AG79" s="246">
        <v>58</v>
      </c>
      <c r="AH79" s="248">
        <v>0</v>
      </c>
      <c r="AI79" s="248">
        <v>811</v>
      </c>
      <c r="AJ79" s="245">
        <v>0</v>
      </c>
      <c r="AK79" s="246">
        <v>0</v>
      </c>
      <c r="AL79" s="248">
        <v>0</v>
      </c>
      <c r="AM79" s="245">
        <v>0</v>
      </c>
    </row>
    <row r="80" spans="1:41">
      <c r="A80" s="239"/>
      <c r="B80" s="239" t="s">
        <v>93</v>
      </c>
      <c r="C80" s="250">
        <v>0.25525339925834362</v>
      </c>
      <c r="D80" s="251">
        <v>0.30833333333333335</v>
      </c>
      <c r="E80" s="251">
        <v>0.22071713147410357</v>
      </c>
      <c r="F80" s="251">
        <v>0.23370786516853934</v>
      </c>
      <c r="G80" s="251">
        <v>0</v>
      </c>
      <c r="H80" s="251">
        <v>0.31468531468531469</v>
      </c>
      <c r="I80" s="251"/>
      <c r="J80" s="530">
        <v>0.24736079486648727</v>
      </c>
      <c r="K80" s="250">
        <v>0</v>
      </c>
      <c r="L80" s="251">
        <v>0.30318021201413425</v>
      </c>
      <c r="M80" s="251">
        <v>0.20536912751677852</v>
      </c>
      <c r="N80" s="251">
        <v>0.26153846153846155</v>
      </c>
      <c r="O80" s="252">
        <v>0</v>
      </c>
      <c r="P80" s="250">
        <v>0.26859504132231404</v>
      </c>
      <c r="Q80" s="250">
        <v>0</v>
      </c>
      <c r="R80" s="251">
        <v>0</v>
      </c>
      <c r="S80" s="252">
        <v>0</v>
      </c>
      <c r="T80" s="250">
        <v>0</v>
      </c>
      <c r="U80" s="253"/>
      <c r="V80" s="254">
        <v>413</v>
      </c>
      <c r="W80" s="255">
        <v>148</v>
      </c>
      <c r="X80" s="255">
        <v>277</v>
      </c>
      <c r="Y80" s="255">
        <v>312</v>
      </c>
      <c r="Z80" s="255">
        <v>0</v>
      </c>
      <c r="AA80" s="255">
        <v>45</v>
      </c>
      <c r="AB80" s="255"/>
      <c r="AC80" s="256">
        <v>1195</v>
      </c>
      <c r="AD80" s="254">
        <v>0</v>
      </c>
      <c r="AE80" s="255">
        <v>429</v>
      </c>
      <c r="AF80" s="255">
        <v>153</v>
      </c>
      <c r="AG80" s="255">
        <v>68</v>
      </c>
      <c r="AH80" s="257">
        <v>0</v>
      </c>
      <c r="AI80" s="257">
        <v>650</v>
      </c>
      <c r="AJ80" s="254">
        <v>0</v>
      </c>
      <c r="AK80" s="255">
        <v>0</v>
      </c>
      <c r="AL80" s="257">
        <v>0</v>
      </c>
      <c r="AM80" s="254">
        <v>0</v>
      </c>
    </row>
    <row r="81" spans="1:41">
      <c r="A81" s="239"/>
      <c r="B81" s="239" t="s">
        <v>55</v>
      </c>
      <c r="C81" s="250">
        <v>0.19221260815822003</v>
      </c>
      <c r="D81" s="251">
        <v>0.21458333333333332</v>
      </c>
      <c r="E81" s="251">
        <v>0.30836653386454183</v>
      </c>
      <c r="F81" s="251">
        <v>0.33857677902621724</v>
      </c>
      <c r="G81" s="251">
        <v>0</v>
      </c>
      <c r="H81" s="251">
        <v>0.34265734265734266</v>
      </c>
      <c r="I81" s="251"/>
      <c r="J81" s="530">
        <v>0.26950941833988823</v>
      </c>
      <c r="K81" s="250">
        <v>0</v>
      </c>
      <c r="L81" s="251">
        <v>0.28692579505300353</v>
      </c>
      <c r="M81" s="251">
        <v>0.36644295302013424</v>
      </c>
      <c r="N81" s="251">
        <v>0.31923076923076921</v>
      </c>
      <c r="O81" s="252">
        <v>0</v>
      </c>
      <c r="P81" s="250">
        <v>0.31487603305785122</v>
      </c>
      <c r="Q81" s="250">
        <v>0</v>
      </c>
      <c r="R81" s="251">
        <v>0</v>
      </c>
      <c r="S81" s="252">
        <v>0</v>
      </c>
      <c r="T81" s="250">
        <v>0</v>
      </c>
      <c r="U81" s="253"/>
      <c r="V81" s="254">
        <v>311</v>
      </c>
      <c r="W81" s="255">
        <v>103</v>
      </c>
      <c r="X81" s="255">
        <v>387</v>
      </c>
      <c r="Y81" s="255">
        <v>452</v>
      </c>
      <c r="Z81" s="255">
        <v>0</v>
      </c>
      <c r="AA81" s="255">
        <v>49</v>
      </c>
      <c r="AB81" s="255"/>
      <c r="AC81" s="256">
        <v>1302</v>
      </c>
      <c r="AD81" s="254">
        <v>0</v>
      </c>
      <c r="AE81" s="255">
        <v>406</v>
      </c>
      <c r="AF81" s="255">
        <v>273</v>
      </c>
      <c r="AG81" s="255">
        <v>83</v>
      </c>
      <c r="AH81" s="257">
        <v>0</v>
      </c>
      <c r="AI81" s="257">
        <v>762</v>
      </c>
      <c r="AJ81" s="254">
        <v>0</v>
      </c>
      <c r="AK81" s="255">
        <v>0</v>
      </c>
      <c r="AL81" s="257">
        <v>0</v>
      </c>
      <c r="AM81" s="254">
        <v>0</v>
      </c>
    </row>
    <row r="82" spans="1:41">
      <c r="A82" s="239"/>
      <c r="B82" s="239" t="s">
        <v>78</v>
      </c>
      <c r="C82" s="250">
        <v>1.2978986402966625E-2</v>
      </c>
      <c r="D82" s="251">
        <v>2.7083333333333334E-2</v>
      </c>
      <c r="E82" s="251">
        <v>2.9482071713147411E-2</v>
      </c>
      <c r="F82" s="251">
        <v>2.9213483146067417E-2</v>
      </c>
      <c r="G82" s="251">
        <v>0</v>
      </c>
      <c r="H82" s="251">
        <v>3.4965034965034968E-2</v>
      </c>
      <c r="I82" s="251"/>
      <c r="J82" s="530">
        <v>2.3804595321879528E-2</v>
      </c>
      <c r="K82" s="250">
        <v>0</v>
      </c>
      <c r="L82" s="251">
        <v>6.0070671378091869E-2</v>
      </c>
      <c r="M82" s="251">
        <v>7.9194630872483227E-2</v>
      </c>
      <c r="N82" s="251">
        <v>0.19615384615384615</v>
      </c>
      <c r="O82" s="252">
        <v>0</v>
      </c>
      <c r="P82" s="250">
        <v>8.057851239669421E-2</v>
      </c>
      <c r="Q82" s="250">
        <v>0</v>
      </c>
      <c r="R82" s="251">
        <v>0</v>
      </c>
      <c r="S82" s="252">
        <v>0</v>
      </c>
      <c r="T82" s="250">
        <v>0</v>
      </c>
      <c r="U82" s="253"/>
      <c r="V82" s="254">
        <v>21</v>
      </c>
      <c r="W82" s="255">
        <v>13</v>
      </c>
      <c r="X82" s="255">
        <v>37</v>
      </c>
      <c r="Y82" s="255">
        <v>39</v>
      </c>
      <c r="Z82" s="255">
        <v>0</v>
      </c>
      <c r="AA82" s="255">
        <v>5</v>
      </c>
      <c r="AB82" s="255"/>
      <c r="AC82" s="256">
        <v>115</v>
      </c>
      <c r="AD82" s="254">
        <v>0</v>
      </c>
      <c r="AE82" s="255">
        <v>85</v>
      </c>
      <c r="AF82" s="255">
        <v>59</v>
      </c>
      <c r="AG82" s="255">
        <v>51</v>
      </c>
      <c r="AH82" s="257">
        <v>0</v>
      </c>
      <c r="AI82" s="257">
        <v>195</v>
      </c>
      <c r="AJ82" s="254">
        <v>0</v>
      </c>
      <c r="AK82" s="255">
        <v>0</v>
      </c>
      <c r="AL82" s="257">
        <v>0</v>
      </c>
      <c r="AM82" s="254">
        <v>0</v>
      </c>
    </row>
    <row r="83" spans="1:41">
      <c r="A83" s="580"/>
      <c r="B83" s="580" t="s">
        <v>131</v>
      </c>
      <c r="C83" s="581">
        <f t="shared" ref="C83:T83" si="27">IF(V86&gt;0,(V83/V86),)</f>
        <v>0.13349814585908529</v>
      </c>
      <c r="D83" s="582">
        <f t="shared" si="27"/>
        <v>0.14374999999999999</v>
      </c>
      <c r="E83" s="582">
        <f t="shared" si="27"/>
        <v>0.26294820717131473</v>
      </c>
      <c r="F83" s="582">
        <f t="shared" si="27"/>
        <v>0.17003745318352059</v>
      </c>
      <c r="G83" s="582">
        <f t="shared" si="27"/>
        <v>0</v>
      </c>
      <c r="H83" s="582">
        <f t="shared" si="27"/>
        <v>0</v>
      </c>
      <c r="I83" s="583">
        <f t="shared" si="27"/>
        <v>0</v>
      </c>
      <c r="J83" s="584">
        <f t="shared" si="27"/>
        <v>0.17429103705237012</v>
      </c>
      <c r="K83" s="581">
        <f t="shared" si="27"/>
        <v>0</v>
      </c>
      <c r="L83" s="582">
        <f t="shared" si="27"/>
        <v>0</v>
      </c>
      <c r="M83" s="582">
        <f t="shared" si="27"/>
        <v>2.6845637583892616E-3</v>
      </c>
      <c r="N83" s="582">
        <f t="shared" si="27"/>
        <v>0</v>
      </c>
      <c r="O83" s="583">
        <f t="shared" si="27"/>
        <v>0</v>
      </c>
      <c r="P83" s="581">
        <f t="shared" si="27"/>
        <v>8.2644628099173552E-4</v>
      </c>
      <c r="Q83" s="581">
        <f t="shared" si="27"/>
        <v>0</v>
      </c>
      <c r="R83" s="582">
        <f t="shared" si="27"/>
        <v>0</v>
      </c>
      <c r="S83" s="583">
        <f t="shared" si="27"/>
        <v>0</v>
      </c>
      <c r="T83" s="581">
        <f t="shared" si="27"/>
        <v>0</v>
      </c>
      <c r="U83" s="253"/>
      <c r="V83" s="585">
        <f t="shared" ref="V83:AM83" si="28">+V84+V85</f>
        <v>216</v>
      </c>
      <c r="W83" s="586">
        <f t="shared" si="28"/>
        <v>69</v>
      </c>
      <c r="X83" s="586">
        <f t="shared" si="28"/>
        <v>330</v>
      </c>
      <c r="Y83" s="586">
        <f t="shared" si="28"/>
        <v>227</v>
      </c>
      <c r="Z83" s="586">
        <f t="shared" si="28"/>
        <v>0</v>
      </c>
      <c r="AA83" s="586">
        <f t="shared" si="28"/>
        <v>0</v>
      </c>
      <c r="AB83" s="586">
        <f t="shared" si="28"/>
        <v>0</v>
      </c>
      <c r="AC83" s="587">
        <f t="shared" si="28"/>
        <v>842</v>
      </c>
      <c r="AD83" s="585">
        <f t="shared" si="28"/>
        <v>0</v>
      </c>
      <c r="AE83" s="586">
        <f t="shared" si="28"/>
        <v>0</v>
      </c>
      <c r="AF83" s="586">
        <f t="shared" si="28"/>
        <v>2</v>
      </c>
      <c r="AG83" s="586">
        <f t="shared" si="28"/>
        <v>0</v>
      </c>
      <c r="AH83" s="588">
        <f t="shared" si="28"/>
        <v>0</v>
      </c>
      <c r="AI83" s="588">
        <f t="shared" si="28"/>
        <v>2</v>
      </c>
      <c r="AJ83" s="585">
        <f t="shared" si="28"/>
        <v>0</v>
      </c>
      <c r="AK83" s="586">
        <f t="shared" si="28"/>
        <v>0</v>
      </c>
      <c r="AL83" s="588">
        <f t="shared" si="28"/>
        <v>0</v>
      </c>
      <c r="AM83" s="585">
        <f t="shared" si="28"/>
        <v>0</v>
      </c>
    </row>
    <row r="84" spans="1:41">
      <c r="A84" s="239"/>
      <c r="B84" s="239" t="s">
        <v>32</v>
      </c>
      <c r="C84" s="250">
        <v>0.13349814585908529</v>
      </c>
      <c r="D84" s="251">
        <v>0.14374999999999999</v>
      </c>
      <c r="E84" s="251">
        <v>0.26294820717131473</v>
      </c>
      <c r="F84" s="251">
        <v>0.17003745318352059</v>
      </c>
      <c r="G84" s="251">
        <v>0</v>
      </c>
      <c r="H84" s="251">
        <v>0</v>
      </c>
      <c r="I84" s="251"/>
      <c r="J84" s="530">
        <v>0.17429103705237012</v>
      </c>
      <c r="K84" s="250">
        <v>0</v>
      </c>
      <c r="L84" s="251">
        <v>0</v>
      </c>
      <c r="M84" s="251">
        <v>2.6845637583892616E-3</v>
      </c>
      <c r="N84" s="273">
        <v>0</v>
      </c>
      <c r="O84" s="258">
        <v>0</v>
      </c>
      <c r="P84" s="272">
        <v>8.2644628099173552E-4</v>
      </c>
      <c r="Q84" s="250">
        <v>0</v>
      </c>
      <c r="R84" s="251">
        <v>0</v>
      </c>
      <c r="S84" s="252">
        <v>0</v>
      </c>
      <c r="T84" s="250">
        <v>0</v>
      </c>
      <c r="U84" s="253"/>
      <c r="V84" s="254">
        <v>216</v>
      </c>
      <c r="W84" s="255">
        <v>69</v>
      </c>
      <c r="X84" s="255">
        <v>330</v>
      </c>
      <c r="Y84" s="255">
        <v>227</v>
      </c>
      <c r="Z84" s="255">
        <v>0</v>
      </c>
      <c r="AA84" s="255">
        <v>0</v>
      </c>
      <c r="AB84" s="255"/>
      <c r="AC84" s="256">
        <v>842</v>
      </c>
      <c r="AD84" s="254">
        <v>0</v>
      </c>
      <c r="AE84" s="255">
        <v>0</v>
      </c>
      <c r="AF84" s="255">
        <v>2</v>
      </c>
      <c r="AG84" s="255">
        <v>0</v>
      </c>
      <c r="AH84" s="257">
        <v>0</v>
      </c>
      <c r="AI84" s="257">
        <v>2</v>
      </c>
      <c r="AJ84" s="254">
        <v>0</v>
      </c>
      <c r="AK84" s="255">
        <v>0</v>
      </c>
      <c r="AL84" s="257">
        <v>0</v>
      </c>
      <c r="AM84" s="254">
        <v>0</v>
      </c>
    </row>
    <row r="85" spans="1:41">
      <c r="A85" s="239"/>
      <c r="B85" s="239" t="s">
        <v>58</v>
      </c>
      <c r="C85" s="250">
        <v>0</v>
      </c>
      <c r="D85" s="251">
        <v>0</v>
      </c>
      <c r="E85" s="419">
        <v>0</v>
      </c>
      <c r="F85" s="251">
        <v>0</v>
      </c>
      <c r="G85" s="419">
        <v>0</v>
      </c>
      <c r="H85" s="251">
        <v>0</v>
      </c>
      <c r="I85" s="251"/>
      <c r="J85" s="532">
        <v>0</v>
      </c>
      <c r="K85" s="250">
        <v>0</v>
      </c>
      <c r="L85" s="251">
        <v>0</v>
      </c>
      <c r="M85" s="251">
        <v>0</v>
      </c>
      <c r="N85" s="251">
        <v>0</v>
      </c>
      <c r="O85" s="252">
        <v>0</v>
      </c>
      <c r="P85" s="250">
        <v>0</v>
      </c>
      <c r="Q85" s="250">
        <v>0</v>
      </c>
      <c r="R85" s="251">
        <v>0</v>
      </c>
      <c r="S85" s="252">
        <v>0</v>
      </c>
      <c r="T85" s="250">
        <v>0</v>
      </c>
      <c r="U85" s="253"/>
      <c r="V85" s="254">
        <v>0</v>
      </c>
      <c r="W85" s="255">
        <v>0</v>
      </c>
      <c r="X85" s="255">
        <v>0</v>
      </c>
      <c r="Y85" s="255">
        <v>0</v>
      </c>
      <c r="Z85" s="255">
        <v>0</v>
      </c>
      <c r="AA85" s="255">
        <v>0</v>
      </c>
      <c r="AB85" s="255"/>
      <c r="AC85" s="256">
        <v>0</v>
      </c>
      <c r="AD85" s="254">
        <v>0</v>
      </c>
      <c r="AE85" s="255">
        <v>0</v>
      </c>
      <c r="AF85" s="255">
        <v>0</v>
      </c>
      <c r="AG85" s="255">
        <v>0</v>
      </c>
      <c r="AH85" s="257">
        <v>0</v>
      </c>
      <c r="AI85" s="257">
        <v>0</v>
      </c>
      <c r="AJ85" s="254">
        <v>0</v>
      </c>
      <c r="AK85" s="255">
        <v>0</v>
      </c>
      <c r="AL85" s="257">
        <v>0</v>
      </c>
      <c r="AM85" s="254">
        <v>0</v>
      </c>
    </row>
    <row r="86" spans="1:41" s="527" customFormat="1">
      <c r="A86" s="436"/>
      <c r="B86" s="436" t="s">
        <v>59</v>
      </c>
      <c r="C86" s="577">
        <f>SUM(C79:C83)</f>
        <v>0.99999999999999989</v>
      </c>
      <c r="D86" s="578">
        <f t="shared" ref="D86:J86" si="29">SUM(D79:D83)</f>
        <v>1</v>
      </c>
      <c r="E86" s="578">
        <f t="shared" si="29"/>
        <v>1</v>
      </c>
      <c r="F86" s="578">
        <f t="shared" si="29"/>
        <v>1</v>
      </c>
      <c r="G86" s="578">
        <f t="shared" si="29"/>
        <v>0</v>
      </c>
      <c r="H86" s="578">
        <f t="shared" si="29"/>
        <v>1</v>
      </c>
      <c r="I86" s="579">
        <f t="shared" si="29"/>
        <v>0</v>
      </c>
      <c r="J86" s="589">
        <f t="shared" si="29"/>
        <v>1</v>
      </c>
      <c r="K86" s="261">
        <v>0</v>
      </c>
      <c r="L86" s="262">
        <v>1</v>
      </c>
      <c r="M86" s="262">
        <v>1</v>
      </c>
      <c r="N86" s="262">
        <v>1</v>
      </c>
      <c r="O86" s="263">
        <v>0</v>
      </c>
      <c r="P86" s="261">
        <v>1</v>
      </c>
      <c r="Q86" s="261">
        <v>0</v>
      </c>
      <c r="R86" s="262">
        <v>0</v>
      </c>
      <c r="S86" s="263">
        <v>0</v>
      </c>
      <c r="T86" s="261">
        <v>0</v>
      </c>
      <c r="U86" s="264"/>
      <c r="V86" s="265">
        <v>1618</v>
      </c>
      <c r="W86" s="266">
        <v>480</v>
      </c>
      <c r="X86" s="266">
        <v>1255</v>
      </c>
      <c r="Y86" s="266">
        <v>1335</v>
      </c>
      <c r="Z86" s="266">
        <v>0</v>
      </c>
      <c r="AA86" s="266">
        <v>143</v>
      </c>
      <c r="AB86" s="266"/>
      <c r="AC86" s="267">
        <v>4831</v>
      </c>
      <c r="AD86" s="265">
        <v>0</v>
      </c>
      <c r="AE86" s="266">
        <v>1415</v>
      </c>
      <c r="AF86" s="266">
        <v>745</v>
      </c>
      <c r="AG86" s="266">
        <v>260</v>
      </c>
      <c r="AH86" s="268">
        <v>0</v>
      </c>
      <c r="AI86" s="268">
        <v>2420</v>
      </c>
      <c r="AJ86" s="265">
        <v>0</v>
      </c>
      <c r="AK86" s="266">
        <v>0</v>
      </c>
      <c r="AL86" s="268">
        <v>0</v>
      </c>
      <c r="AM86" s="265">
        <v>0</v>
      </c>
      <c r="AN86" s="270"/>
      <c r="AO86" s="270"/>
    </row>
    <row r="87" spans="1:41">
      <c r="A87" s="240" t="s">
        <v>11</v>
      </c>
      <c r="B87" s="240" t="s">
        <v>53</v>
      </c>
      <c r="C87" s="241">
        <v>0.2362537764350453</v>
      </c>
      <c r="D87" s="242">
        <v>0.20944741532976827</v>
      </c>
      <c r="E87" s="242">
        <v>0</v>
      </c>
      <c r="F87" s="242">
        <v>0.16535433070866143</v>
      </c>
      <c r="G87" s="242">
        <v>0.19402985074626866</v>
      </c>
      <c r="H87" s="242">
        <v>0</v>
      </c>
      <c r="I87" s="242"/>
      <c r="J87" s="529">
        <v>0.21526762211172856</v>
      </c>
      <c r="K87" s="241">
        <v>0</v>
      </c>
      <c r="L87" s="242">
        <v>0</v>
      </c>
      <c r="M87" s="242">
        <v>0</v>
      </c>
      <c r="N87" s="242">
        <v>0</v>
      </c>
      <c r="O87" s="243">
        <v>0</v>
      </c>
      <c r="P87" s="241">
        <v>0</v>
      </c>
      <c r="Q87" s="342">
        <v>0</v>
      </c>
      <c r="R87" s="242">
        <v>0</v>
      </c>
      <c r="S87" s="243">
        <v>0</v>
      </c>
      <c r="T87" s="342">
        <v>0</v>
      </c>
      <c r="U87" s="244"/>
      <c r="V87" s="245">
        <v>391</v>
      </c>
      <c r="W87" s="246">
        <v>235</v>
      </c>
      <c r="X87" s="246">
        <v>0</v>
      </c>
      <c r="Y87" s="246">
        <v>84</v>
      </c>
      <c r="Z87" s="246">
        <v>26</v>
      </c>
      <c r="AA87" s="246">
        <v>0</v>
      </c>
      <c r="AB87" s="246"/>
      <c r="AC87" s="247">
        <v>736</v>
      </c>
      <c r="AD87" s="245">
        <v>0</v>
      </c>
      <c r="AE87" s="246">
        <v>0</v>
      </c>
      <c r="AF87" s="246">
        <v>0</v>
      </c>
      <c r="AG87" s="246">
        <v>0</v>
      </c>
      <c r="AH87" s="248">
        <v>0</v>
      </c>
      <c r="AI87" s="248">
        <v>0</v>
      </c>
      <c r="AJ87" s="245">
        <v>0</v>
      </c>
      <c r="AK87" s="246">
        <v>0</v>
      </c>
      <c r="AL87" s="248">
        <v>0</v>
      </c>
      <c r="AM87" s="245">
        <v>0</v>
      </c>
    </row>
    <row r="88" spans="1:41">
      <c r="A88" s="239"/>
      <c r="B88" s="239" t="s">
        <v>93</v>
      </c>
      <c r="C88" s="250">
        <v>0.23262839879154079</v>
      </c>
      <c r="D88" s="251">
        <v>0.2700534759358289</v>
      </c>
      <c r="E88" s="251">
        <v>0</v>
      </c>
      <c r="F88" s="251">
        <v>0.19881889763779528</v>
      </c>
      <c r="G88" s="251">
        <v>0.15671641791044777</v>
      </c>
      <c r="H88" s="251">
        <v>0</v>
      </c>
      <c r="I88" s="251"/>
      <c r="J88" s="530">
        <v>0.23691137759578823</v>
      </c>
      <c r="K88" s="250">
        <v>0</v>
      </c>
      <c r="L88" s="251">
        <v>0</v>
      </c>
      <c r="M88" s="251">
        <v>0</v>
      </c>
      <c r="N88" s="251">
        <v>0</v>
      </c>
      <c r="O88" s="252">
        <v>0</v>
      </c>
      <c r="P88" s="250">
        <v>0</v>
      </c>
      <c r="Q88" s="250">
        <v>0</v>
      </c>
      <c r="R88" s="251">
        <v>0</v>
      </c>
      <c r="S88" s="252">
        <v>0</v>
      </c>
      <c r="T88" s="250">
        <v>0</v>
      </c>
      <c r="U88" s="253"/>
      <c r="V88" s="254">
        <v>385</v>
      </c>
      <c r="W88" s="255">
        <v>303</v>
      </c>
      <c r="X88" s="255">
        <v>0</v>
      </c>
      <c r="Y88" s="255">
        <v>101</v>
      </c>
      <c r="Z88" s="255">
        <v>21</v>
      </c>
      <c r="AA88" s="255">
        <v>0</v>
      </c>
      <c r="AB88" s="255"/>
      <c r="AC88" s="256">
        <v>810</v>
      </c>
      <c r="AD88" s="254">
        <v>0</v>
      </c>
      <c r="AE88" s="255">
        <v>0</v>
      </c>
      <c r="AF88" s="255">
        <v>0</v>
      </c>
      <c r="AG88" s="255">
        <v>0</v>
      </c>
      <c r="AH88" s="257">
        <v>0</v>
      </c>
      <c r="AI88" s="257">
        <v>0</v>
      </c>
      <c r="AJ88" s="254">
        <v>0</v>
      </c>
      <c r="AK88" s="255">
        <v>0</v>
      </c>
      <c r="AL88" s="257">
        <v>0</v>
      </c>
      <c r="AM88" s="254">
        <v>0</v>
      </c>
    </row>
    <row r="89" spans="1:41">
      <c r="A89" s="239"/>
      <c r="B89" s="239" t="s">
        <v>55</v>
      </c>
      <c r="C89" s="250">
        <v>0.33353474320241694</v>
      </c>
      <c r="D89" s="251">
        <v>0.32976827094474154</v>
      </c>
      <c r="E89" s="251">
        <v>0</v>
      </c>
      <c r="F89" s="251">
        <v>0.39173228346456695</v>
      </c>
      <c r="G89" s="251">
        <v>0.26865671641791045</v>
      </c>
      <c r="H89" s="251">
        <v>0</v>
      </c>
      <c r="I89" s="251"/>
      <c r="J89" s="530">
        <v>0.33840304182509506</v>
      </c>
      <c r="K89" s="250">
        <v>0</v>
      </c>
      <c r="L89" s="251">
        <v>0</v>
      </c>
      <c r="M89" s="251">
        <v>0</v>
      </c>
      <c r="N89" s="251">
        <v>0</v>
      </c>
      <c r="O89" s="252">
        <v>0</v>
      </c>
      <c r="P89" s="250">
        <v>0</v>
      </c>
      <c r="Q89" s="250">
        <v>0</v>
      </c>
      <c r="R89" s="251">
        <v>0</v>
      </c>
      <c r="S89" s="252">
        <v>0</v>
      </c>
      <c r="T89" s="250">
        <v>0</v>
      </c>
      <c r="U89" s="253"/>
      <c r="V89" s="254">
        <v>552</v>
      </c>
      <c r="W89" s="255">
        <v>370</v>
      </c>
      <c r="X89" s="255">
        <v>0</v>
      </c>
      <c r="Y89" s="255">
        <v>199</v>
      </c>
      <c r="Z89" s="255">
        <v>36</v>
      </c>
      <c r="AA89" s="255">
        <v>0</v>
      </c>
      <c r="AB89" s="255"/>
      <c r="AC89" s="256">
        <v>1157</v>
      </c>
      <c r="AD89" s="254">
        <v>0</v>
      </c>
      <c r="AE89" s="255">
        <v>0</v>
      </c>
      <c r="AF89" s="255">
        <v>0</v>
      </c>
      <c r="AG89" s="255">
        <v>0</v>
      </c>
      <c r="AH89" s="257">
        <v>0</v>
      </c>
      <c r="AI89" s="257">
        <v>0</v>
      </c>
      <c r="AJ89" s="254">
        <v>0</v>
      </c>
      <c r="AK89" s="255">
        <v>0</v>
      </c>
      <c r="AL89" s="257">
        <v>0</v>
      </c>
      <c r="AM89" s="254">
        <v>0</v>
      </c>
    </row>
    <row r="90" spans="1:41">
      <c r="A90" s="239"/>
      <c r="B90" s="239" t="s">
        <v>78</v>
      </c>
      <c r="C90" s="250">
        <v>0.1673716012084592</v>
      </c>
      <c r="D90" s="251">
        <v>0.17201426024955438</v>
      </c>
      <c r="E90" s="251">
        <v>0</v>
      </c>
      <c r="F90" s="251">
        <v>0.24409448818897639</v>
      </c>
      <c r="G90" s="251">
        <v>0.38059701492537312</v>
      </c>
      <c r="H90" s="251">
        <v>0</v>
      </c>
      <c r="I90" s="251"/>
      <c r="J90" s="530">
        <v>0.18865165252997954</v>
      </c>
      <c r="K90" s="250">
        <v>0</v>
      </c>
      <c r="L90" s="251">
        <v>0</v>
      </c>
      <c r="M90" s="251">
        <v>0</v>
      </c>
      <c r="N90" s="251">
        <v>0</v>
      </c>
      <c r="O90" s="252">
        <v>0</v>
      </c>
      <c r="P90" s="250">
        <v>0</v>
      </c>
      <c r="Q90" s="250">
        <v>0</v>
      </c>
      <c r="R90" s="251">
        <v>0</v>
      </c>
      <c r="S90" s="252">
        <v>0</v>
      </c>
      <c r="T90" s="250">
        <v>0</v>
      </c>
      <c r="U90" s="253"/>
      <c r="V90" s="254">
        <v>277</v>
      </c>
      <c r="W90" s="255">
        <v>193</v>
      </c>
      <c r="X90" s="255">
        <v>0</v>
      </c>
      <c r="Y90" s="255">
        <v>124</v>
      </c>
      <c r="Z90" s="255">
        <v>51</v>
      </c>
      <c r="AA90" s="255">
        <v>0</v>
      </c>
      <c r="AB90" s="255"/>
      <c r="AC90" s="256">
        <v>645</v>
      </c>
      <c r="AD90" s="254">
        <v>0</v>
      </c>
      <c r="AE90" s="255">
        <v>0</v>
      </c>
      <c r="AF90" s="255">
        <v>0</v>
      </c>
      <c r="AG90" s="255">
        <v>0</v>
      </c>
      <c r="AH90" s="257">
        <v>0</v>
      </c>
      <c r="AI90" s="257">
        <v>0</v>
      </c>
      <c r="AJ90" s="254">
        <v>0</v>
      </c>
      <c r="AK90" s="255">
        <v>0</v>
      </c>
      <c r="AL90" s="257">
        <v>0</v>
      </c>
      <c r="AM90" s="254">
        <v>0</v>
      </c>
    </row>
    <row r="91" spans="1:41">
      <c r="A91" s="580"/>
      <c r="B91" s="580" t="s">
        <v>131</v>
      </c>
      <c r="C91" s="581">
        <f t="shared" ref="C91:T91" si="30">IF(V94&gt;0,(V91/V94),)</f>
        <v>3.0211480362537766E-2</v>
      </c>
      <c r="D91" s="582">
        <f t="shared" si="30"/>
        <v>1.871657754010695E-2</v>
      </c>
      <c r="E91" s="582">
        <f t="shared" si="30"/>
        <v>0</v>
      </c>
      <c r="F91" s="582">
        <f t="shared" si="30"/>
        <v>0</v>
      </c>
      <c r="G91" s="582">
        <f t="shared" si="30"/>
        <v>0</v>
      </c>
      <c r="H91" s="582">
        <f t="shared" si="30"/>
        <v>0</v>
      </c>
      <c r="I91" s="583">
        <f t="shared" si="30"/>
        <v>0</v>
      </c>
      <c r="J91" s="584">
        <f t="shared" si="30"/>
        <v>2.0766305937408597E-2</v>
      </c>
      <c r="K91" s="581">
        <f t="shared" si="30"/>
        <v>0</v>
      </c>
      <c r="L91" s="582">
        <f t="shared" si="30"/>
        <v>1</v>
      </c>
      <c r="M91" s="582">
        <f t="shared" si="30"/>
        <v>1</v>
      </c>
      <c r="N91" s="582">
        <f t="shared" si="30"/>
        <v>1</v>
      </c>
      <c r="O91" s="583">
        <f t="shared" si="30"/>
        <v>0</v>
      </c>
      <c r="P91" s="581">
        <f t="shared" si="30"/>
        <v>1</v>
      </c>
      <c r="Q91" s="581">
        <f t="shared" si="30"/>
        <v>0</v>
      </c>
      <c r="R91" s="582">
        <f t="shared" si="30"/>
        <v>0</v>
      </c>
      <c r="S91" s="583">
        <f t="shared" si="30"/>
        <v>0</v>
      </c>
      <c r="T91" s="581">
        <f t="shared" si="30"/>
        <v>0</v>
      </c>
      <c r="U91" s="253"/>
      <c r="V91" s="585">
        <f t="shared" ref="V91:AM91" si="31">+V92+V93</f>
        <v>50</v>
      </c>
      <c r="W91" s="586">
        <f t="shared" si="31"/>
        <v>21</v>
      </c>
      <c r="X91" s="586">
        <f t="shared" si="31"/>
        <v>0</v>
      </c>
      <c r="Y91" s="586">
        <f t="shared" si="31"/>
        <v>0</v>
      </c>
      <c r="Z91" s="586">
        <f t="shared" si="31"/>
        <v>0</v>
      </c>
      <c r="AA91" s="586">
        <f t="shared" si="31"/>
        <v>0</v>
      </c>
      <c r="AB91" s="586">
        <f t="shared" si="31"/>
        <v>0</v>
      </c>
      <c r="AC91" s="587">
        <f t="shared" si="31"/>
        <v>71</v>
      </c>
      <c r="AD91" s="585">
        <f t="shared" si="31"/>
        <v>0</v>
      </c>
      <c r="AE91" s="586">
        <f t="shared" si="31"/>
        <v>986</v>
      </c>
      <c r="AF91" s="586">
        <f t="shared" si="31"/>
        <v>1427.7</v>
      </c>
      <c r="AG91" s="586">
        <f t="shared" si="31"/>
        <v>146</v>
      </c>
      <c r="AH91" s="588">
        <f t="shared" si="31"/>
        <v>0</v>
      </c>
      <c r="AI91" s="588">
        <f t="shared" si="31"/>
        <v>2559.6999999999998</v>
      </c>
      <c r="AJ91" s="585">
        <f t="shared" si="31"/>
        <v>0</v>
      </c>
      <c r="AK91" s="586">
        <f t="shared" si="31"/>
        <v>0</v>
      </c>
      <c r="AL91" s="588">
        <f t="shared" si="31"/>
        <v>0</v>
      </c>
      <c r="AM91" s="585">
        <f t="shared" si="31"/>
        <v>0</v>
      </c>
    </row>
    <row r="92" spans="1:41">
      <c r="A92" s="239"/>
      <c r="B92" s="239" t="s">
        <v>32</v>
      </c>
      <c r="C92" s="250">
        <v>3.0211480362537766E-2</v>
      </c>
      <c r="D92" s="251">
        <v>1.871657754010695E-2</v>
      </c>
      <c r="E92" s="251">
        <v>0</v>
      </c>
      <c r="F92" s="251">
        <v>0</v>
      </c>
      <c r="G92" s="251">
        <v>0</v>
      </c>
      <c r="H92" s="251">
        <v>0</v>
      </c>
      <c r="I92" s="251"/>
      <c r="J92" s="530">
        <v>2.0766305937408597E-2</v>
      </c>
      <c r="K92" s="250">
        <v>0</v>
      </c>
      <c r="L92" s="251">
        <v>0</v>
      </c>
      <c r="M92" s="251">
        <v>0</v>
      </c>
      <c r="N92" s="251">
        <v>0</v>
      </c>
      <c r="O92" s="258">
        <v>0</v>
      </c>
      <c r="P92" s="250">
        <v>0</v>
      </c>
      <c r="Q92" s="250">
        <v>0</v>
      </c>
      <c r="R92" s="251">
        <v>0</v>
      </c>
      <c r="S92" s="252">
        <v>0</v>
      </c>
      <c r="T92" s="250">
        <v>0</v>
      </c>
      <c r="U92" s="253"/>
      <c r="V92" s="254">
        <v>50</v>
      </c>
      <c r="W92" s="255">
        <v>21</v>
      </c>
      <c r="X92" s="255">
        <v>0</v>
      </c>
      <c r="Y92" s="255">
        <v>0</v>
      </c>
      <c r="Z92" s="255">
        <v>0</v>
      </c>
      <c r="AA92" s="255">
        <v>0</v>
      </c>
      <c r="AB92" s="255"/>
      <c r="AC92" s="256">
        <v>71</v>
      </c>
      <c r="AD92" s="254">
        <v>0</v>
      </c>
      <c r="AE92" s="255">
        <v>0</v>
      </c>
      <c r="AF92" s="255">
        <v>0</v>
      </c>
      <c r="AG92" s="255">
        <v>0</v>
      </c>
      <c r="AH92" s="257">
        <v>0</v>
      </c>
      <c r="AI92" s="257">
        <v>0</v>
      </c>
      <c r="AJ92" s="254">
        <v>0</v>
      </c>
      <c r="AK92" s="255">
        <v>0</v>
      </c>
      <c r="AL92" s="257">
        <v>0</v>
      </c>
      <c r="AM92" s="254">
        <v>0</v>
      </c>
    </row>
    <row r="93" spans="1:41">
      <c r="A93" s="239"/>
      <c r="B93" s="239" t="s">
        <v>58</v>
      </c>
      <c r="C93" s="250">
        <v>0</v>
      </c>
      <c r="D93" s="251">
        <v>0</v>
      </c>
      <c r="E93" s="419">
        <v>0</v>
      </c>
      <c r="F93" s="251">
        <v>0</v>
      </c>
      <c r="G93" s="419">
        <v>0</v>
      </c>
      <c r="H93" s="251">
        <v>0</v>
      </c>
      <c r="I93" s="251"/>
      <c r="J93" s="532">
        <v>0</v>
      </c>
      <c r="K93" s="250">
        <v>0</v>
      </c>
      <c r="L93" s="251">
        <v>1</v>
      </c>
      <c r="M93" s="251">
        <v>1</v>
      </c>
      <c r="N93" s="251">
        <v>1</v>
      </c>
      <c r="O93" s="252">
        <v>0</v>
      </c>
      <c r="P93" s="250">
        <v>1</v>
      </c>
      <c r="Q93" s="250">
        <v>0</v>
      </c>
      <c r="R93" s="251">
        <v>0</v>
      </c>
      <c r="S93" s="252">
        <v>0</v>
      </c>
      <c r="T93" s="250">
        <v>0</v>
      </c>
      <c r="U93" s="253"/>
      <c r="V93" s="254">
        <v>0</v>
      </c>
      <c r="W93" s="255">
        <v>0</v>
      </c>
      <c r="X93" s="255">
        <v>0</v>
      </c>
      <c r="Y93" s="255">
        <v>0</v>
      </c>
      <c r="Z93" s="255">
        <v>0</v>
      </c>
      <c r="AA93" s="255">
        <v>0</v>
      </c>
      <c r="AB93" s="255"/>
      <c r="AC93" s="256">
        <v>0</v>
      </c>
      <c r="AD93" s="254">
        <v>0</v>
      </c>
      <c r="AE93" s="255">
        <v>986</v>
      </c>
      <c r="AF93" s="255">
        <v>1427.7</v>
      </c>
      <c r="AG93" s="255">
        <v>146</v>
      </c>
      <c r="AH93" s="257">
        <v>0</v>
      </c>
      <c r="AI93" s="257">
        <v>2559.6999999999998</v>
      </c>
      <c r="AJ93" s="254">
        <v>0</v>
      </c>
      <c r="AK93" s="255">
        <v>0</v>
      </c>
      <c r="AL93" s="257">
        <v>0</v>
      </c>
      <c r="AM93" s="254">
        <v>0</v>
      </c>
    </row>
    <row r="94" spans="1:41" s="527" customFormat="1">
      <c r="A94" s="436"/>
      <c r="B94" s="436" t="s">
        <v>59</v>
      </c>
      <c r="C94" s="577">
        <f>SUM(C87:C91)</f>
        <v>1</v>
      </c>
      <c r="D94" s="578">
        <f t="shared" ref="D94:J94" si="32">SUM(D87:D91)</f>
        <v>1</v>
      </c>
      <c r="E94" s="578">
        <f t="shared" si="32"/>
        <v>0</v>
      </c>
      <c r="F94" s="578">
        <f t="shared" si="32"/>
        <v>1</v>
      </c>
      <c r="G94" s="578">
        <f t="shared" si="32"/>
        <v>1</v>
      </c>
      <c r="H94" s="578">
        <f t="shared" si="32"/>
        <v>0</v>
      </c>
      <c r="I94" s="579">
        <f t="shared" si="32"/>
        <v>0</v>
      </c>
      <c r="J94" s="589">
        <f t="shared" si="32"/>
        <v>1</v>
      </c>
      <c r="K94" s="261">
        <v>0</v>
      </c>
      <c r="L94" s="262">
        <v>1</v>
      </c>
      <c r="M94" s="262">
        <v>1</v>
      </c>
      <c r="N94" s="262">
        <v>1</v>
      </c>
      <c r="O94" s="263">
        <v>0</v>
      </c>
      <c r="P94" s="261">
        <v>1</v>
      </c>
      <c r="Q94" s="261">
        <v>0</v>
      </c>
      <c r="R94" s="262">
        <v>0</v>
      </c>
      <c r="S94" s="263">
        <v>0</v>
      </c>
      <c r="T94" s="261">
        <v>0</v>
      </c>
      <c r="U94" s="264"/>
      <c r="V94" s="265">
        <v>1655</v>
      </c>
      <c r="W94" s="266">
        <v>1122</v>
      </c>
      <c r="X94" s="266">
        <v>0</v>
      </c>
      <c r="Y94" s="266">
        <v>508</v>
      </c>
      <c r="Z94" s="266">
        <v>134</v>
      </c>
      <c r="AA94" s="266">
        <v>0</v>
      </c>
      <c r="AB94" s="266"/>
      <c r="AC94" s="267">
        <v>3419</v>
      </c>
      <c r="AD94" s="265">
        <v>0</v>
      </c>
      <c r="AE94" s="266">
        <v>986</v>
      </c>
      <c r="AF94" s="266">
        <v>1427.7</v>
      </c>
      <c r="AG94" s="266">
        <v>146</v>
      </c>
      <c r="AH94" s="268">
        <v>0</v>
      </c>
      <c r="AI94" s="268">
        <v>2559.6999999999998</v>
      </c>
      <c r="AJ94" s="265">
        <v>0</v>
      </c>
      <c r="AK94" s="266">
        <v>0</v>
      </c>
      <c r="AL94" s="268">
        <v>0</v>
      </c>
      <c r="AM94" s="265">
        <v>0</v>
      </c>
      <c r="AN94" s="270"/>
      <c r="AO94" s="270"/>
    </row>
    <row r="95" spans="1:41">
      <c r="A95" s="240" t="s">
        <v>12</v>
      </c>
      <c r="B95" s="240" t="s">
        <v>53</v>
      </c>
      <c r="C95" s="241">
        <v>0.37930020582181712</v>
      </c>
      <c r="D95" s="242">
        <v>0.22286042504307868</v>
      </c>
      <c r="E95" s="242">
        <v>0.22305017386984599</v>
      </c>
      <c r="F95" s="242">
        <v>0.14982578397212543</v>
      </c>
      <c r="G95" s="242">
        <v>0.14724919093851133</v>
      </c>
      <c r="H95" s="242">
        <v>0.29222520107238603</v>
      </c>
      <c r="I95" s="242"/>
      <c r="J95" s="529">
        <v>0.26986406279915759</v>
      </c>
      <c r="K95" s="241">
        <v>0</v>
      </c>
      <c r="L95" s="242">
        <v>0</v>
      </c>
      <c r="M95" s="242">
        <v>0</v>
      </c>
      <c r="N95" s="242">
        <v>0</v>
      </c>
      <c r="O95" s="243">
        <v>0</v>
      </c>
      <c r="P95" s="241">
        <v>0</v>
      </c>
      <c r="Q95" s="342">
        <v>0</v>
      </c>
      <c r="R95" s="242">
        <v>0</v>
      </c>
      <c r="S95" s="243">
        <v>0</v>
      </c>
      <c r="T95" s="342">
        <v>0</v>
      </c>
      <c r="U95" s="244"/>
      <c r="V95" s="245">
        <v>1290</v>
      </c>
      <c r="W95" s="246">
        <v>388</v>
      </c>
      <c r="X95" s="246">
        <v>898</v>
      </c>
      <c r="Y95" s="246">
        <v>43</v>
      </c>
      <c r="Z95" s="246">
        <v>91</v>
      </c>
      <c r="AA95" s="246">
        <v>109</v>
      </c>
      <c r="AB95" s="246"/>
      <c r="AC95" s="247">
        <v>2819</v>
      </c>
      <c r="AD95" s="245">
        <v>0</v>
      </c>
      <c r="AE95" s="246">
        <v>0</v>
      </c>
      <c r="AF95" s="246">
        <v>0</v>
      </c>
      <c r="AG95" s="246">
        <v>0</v>
      </c>
      <c r="AH95" s="248">
        <v>0</v>
      </c>
      <c r="AI95" s="248">
        <v>0</v>
      </c>
      <c r="AJ95" s="245">
        <v>0</v>
      </c>
      <c r="AK95" s="246">
        <v>0</v>
      </c>
      <c r="AL95" s="248">
        <v>0</v>
      </c>
      <c r="AM95" s="245">
        <v>0</v>
      </c>
    </row>
    <row r="96" spans="1:41">
      <c r="A96" s="239"/>
      <c r="B96" s="239" t="s">
        <v>93</v>
      </c>
      <c r="C96" s="250">
        <v>0.23404880917377241</v>
      </c>
      <c r="D96" s="251">
        <v>0.29408385985066055</v>
      </c>
      <c r="E96" s="251">
        <v>0.28216592151018383</v>
      </c>
      <c r="F96" s="251">
        <v>0.27177700348432055</v>
      </c>
      <c r="G96" s="251">
        <v>0.27346278317152106</v>
      </c>
      <c r="H96" s="251">
        <v>0.2546916890080429</v>
      </c>
      <c r="I96" s="251"/>
      <c r="J96" s="530">
        <v>0.26670495883591805</v>
      </c>
      <c r="K96" s="250">
        <v>0</v>
      </c>
      <c r="L96" s="251">
        <v>0</v>
      </c>
      <c r="M96" s="251">
        <v>0</v>
      </c>
      <c r="N96" s="251">
        <v>0</v>
      </c>
      <c r="O96" s="252">
        <v>0</v>
      </c>
      <c r="P96" s="250">
        <v>0</v>
      </c>
      <c r="Q96" s="250">
        <v>0</v>
      </c>
      <c r="R96" s="251">
        <v>0</v>
      </c>
      <c r="S96" s="252">
        <v>0</v>
      </c>
      <c r="T96" s="250">
        <v>0</v>
      </c>
      <c r="U96" s="253"/>
      <c r="V96" s="254">
        <v>796</v>
      </c>
      <c r="W96" s="255">
        <v>512</v>
      </c>
      <c r="X96" s="255">
        <v>1136</v>
      </c>
      <c r="Y96" s="255">
        <v>78</v>
      </c>
      <c r="Z96" s="255">
        <v>169</v>
      </c>
      <c r="AA96" s="255">
        <v>95</v>
      </c>
      <c r="AB96" s="255"/>
      <c r="AC96" s="256">
        <v>2786</v>
      </c>
      <c r="AD96" s="254">
        <v>0</v>
      </c>
      <c r="AE96" s="255">
        <v>0</v>
      </c>
      <c r="AF96" s="255">
        <v>0</v>
      </c>
      <c r="AG96" s="255">
        <v>0</v>
      </c>
      <c r="AH96" s="257">
        <v>0</v>
      </c>
      <c r="AI96" s="257">
        <v>0</v>
      </c>
      <c r="AJ96" s="254">
        <v>0</v>
      </c>
      <c r="AK96" s="255">
        <v>0</v>
      </c>
      <c r="AL96" s="257">
        <v>0</v>
      </c>
      <c r="AM96" s="254">
        <v>0</v>
      </c>
    </row>
    <row r="97" spans="1:41">
      <c r="A97" s="239"/>
      <c r="B97" s="239" t="s">
        <v>55</v>
      </c>
      <c r="C97" s="250">
        <v>0.20141134960305793</v>
      </c>
      <c r="D97" s="251">
        <v>0.23205054566341182</v>
      </c>
      <c r="E97" s="251">
        <v>0.26751117734724295</v>
      </c>
      <c r="F97" s="251">
        <v>0.42160278745644597</v>
      </c>
      <c r="G97" s="251">
        <v>0.3673139158576052</v>
      </c>
      <c r="H97" s="251">
        <v>0.24932975871313673</v>
      </c>
      <c r="I97" s="251"/>
      <c r="J97" s="530">
        <v>0.24956921309592189</v>
      </c>
      <c r="K97" s="250">
        <v>0</v>
      </c>
      <c r="L97" s="251">
        <v>0</v>
      </c>
      <c r="M97" s="251">
        <v>0</v>
      </c>
      <c r="N97" s="251">
        <v>0</v>
      </c>
      <c r="O97" s="252">
        <v>0</v>
      </c>
      <c r="P97" s="250">
        <v>0</v>
      </c>
      <c r="Q97" s="250">
        <v>0</v>
      </c>
      <c r="R97" s="251">
        <v>0</v>
      </c>
      <c r="S97" s="252">
        <v>0</v>
      </c>
      <c r="T97" s="250">
        <v>0</v>
      </c>
      <c r="U97" s="253"/>
      <c r="V97" s="254">
        <v>685</v>
      </c>
      <c r="W97" s="255">
        <v>404</v>
      </c>
      <c r="X97" s="255">
        <v>1077</v>
      </c>
      <c r="Y97" s="255">
        <v>121</v>
      </c>
      <c r="Z97" s="255">
        <v>227</v>
      </c>
      <c r="AA97" s="255">
        <v>93</v>
      </c>
      <c r="AB97" s="255"/>
      <c r="AC97" s="256">
        <v>2607</v>
      </c>
      <c r="AD97" s="254">
        <v>0</v>
      </c>
      <c r="AE97" s="255">
        <v>0</v>
      </c>
      <c r="AF97" s="255">
        <v>0</v>
      </c>
      <c r="AG97" s="255">
        <v>0</v>
      </c>
      <c r="AH97" s="257">
        <v>0</v>
      </c>
      <c r="AI97" s="257">
        <v>0</v>
      </c>
      <c r="AJ97" s="254">
        <v>0</v>
      </c>
      <c r="AK97" s="255">
        <v>0</v>
      </c>
      <c r="AL97" s="257">
        <v>0</v>
      </c>
      <c r="AM97" s="254">
        <v>0</v>
      </c>
    </row>
    <row r="98" spans="1:41">
      <c r="A98" s="239"/>
      <c r="B98" s="239" t="s">
        <v>78</v>
      </c>
      <c r="C98" s="250">
        <v>5.5865921787709499E-3</v>
      </c>
      <c r="D98" s="273">
        <v>3.3888569787478458E-2</v>
      </c>
      <c r="E98" s="251">
        <v>1.3661202185792349E-2</v>
      </c>
      <c r="F98" s="251">
        <v>2.7874564459930314E-2</v>
      </c>
      <c r="G98" s="251">
        <v>7.4433656957928807E-2</v>
      </c>
      <c r="H98" s="251">
        <v>1.0723860589812333E-2</v>
      </c>
      <c r="I98" s="251"/>
      <c r="J98" s="530">
        <v>1.8284510817537812E-2</v>
      </c>
      <c r="K98" s="250">
        <v>0</v>
      </c>
      <c r="L98" s="251">
        <v>0</v>
      </c>
      <c r="M98" s="251">
        <v>0</v>
      </c>
      <c r="N98" s="251">
        <v>0</v>
      </c>
      <c r="O98" s="252">
        <v>0</v>
      </c>
      <c r="P98" s="250">
        <v>0</v>
      </c>
      <c r="Q98" s="250">
        <v>0</v>
      </c>
      <c r="R98" s="251">
        <v>0</v>
      </c>
      <c r="S98" s="252">
        <v>0</v>
      </c>
      <c r="T98" s="250">
        <v>0</v>
      </c>
      <c r="U98" s="253"/>
      <c r="V98" s="254">
        <v>19</v>
      </c>
      <c r="W98" s="255">
        <v>59</v>
      </c>
      <c r="X98" s="255">
        <v>55</v>
      </c>
      <c r="Y98" s="255">
        <v>8</v>
      </c>
      <c r="Z98" s="255">
        <v>46</v>
      </c>
      <c r="AA98" s="255">
        <v>4</v>
      </c>
      <c r="AB98" s="255"/>
      <c r="AC98" s="256">
        <v>191</v>
      </c>
      <c r="AD98" s="254">
        <v>0</v>
      </c>
      <c r="AE98" s="255">
        <v>0</v>
      </c>
      <c r="AF98" s="255">
        <v>0</v>
      </c>
      <c r="AG98" s="255">
        <v>0</v>
      </c>
      <c r="AH98" s="257">
        <v>0</v>
      </c>
      <c r="AI98" s="257">
        <v>0</v>
      </c>
      <c r="AJ98" s="254">
        <v>0</v>
      </c>
      <c r="AK98" s="255">
        <v>0</v>
      </c>
      <c r="AL98" s="257">
        <v>0</v>
      </c>
      <c r="AM98" s="254">
        <v>0</v>
      </c>
    </row>
    <row r="99" spans="1:41">
      <c r="A99" s="580"/>
      <c r="B99" s="580" t="s">
        <v>131</v>
      </c>
      <c r="C99" s="581">
        <f t="shared" ref="C99:T99" si="33">IF(V102&gt;0,(V99/V102),)</f>
        <v>0.1796530432225816</v>
      </c>
      <c r="D99" s="582">
        <f t="shared" si="33"/>
        <v>0.21711659965537047</v>
      </c>
      <c r="E99" s="582">
        <f t="shared" si="33"/>
        <v>0.21361152508693493</v>
      </c>
      <c r="F99" s="582">
        <f t="shared" si="33"/>
        <v>0.1289198606271777</v>
      </c>
      <c r="G99" s="582">
        <f t="shared" si="33"/>
        <v>0.13754045307443366</v>
      </c>
      <c r="H99" s="582">
        <f t="shared" si="33"/>
        <v>0.19302949061662197</v>
      </c>
      <c r="I99" s="583">
        <f t="shared" si="33"/>
        <v>0</v>
      </c>
      <c r="J99" s="584">
        <f t="shared" si="33"/>
        <v>0.19557725445146468</v>
      </c>
      <c r="K99" s="581">
        <f t="shared" si="33"/>
        <v>0</v>
      </c>
      <c r="L99" s="582">
        <f t="shared" si="33"/>
        <v>1</v>
      </c>
      <c r="M99" s="582">
        <f t="shared" si="33"/>
        <v>1</v>
      </c>
      <c r="N99" s="582">
        <f t="shared" si="33"/>
        <v>1</v>
      </c>
      <c r="O99" s="583">
        <f t="shared" si="33"/>
        <v>0</v>
      </c>
      <c r="P99" s="581">
        <f t="shared" si="33"/>
        <v>1</v>
      </c>
      <c r="Q99" s="581">
        <f t="shared" si="33"/>
        <v>0</v>
      </c>
      <c r="R99" s="582">
        <f t="shared" si="33"/>
        <v>0</v>
      </c>
      <c r="S99" s="583">
        <f t="shared" si="33"/>
        <v>0</v>
      </c>
      <c r="T99" s="581">
        <f t="shared" si="33"/>
        <v>0</v>
      </c>
      <c r="U99" s="253"/>
      <c r="V99" s="585">
        <f t="shared" ref="V99:AM99" si="34">+V100+V101</f>
        <v>611</v>
      </c>
      <c r="W99" s="586">
        <f t="shared" si="34"/>
        <v>378</v>
      </c>
      <c r="X99" s="586">
        <f t="shared" si="34"/>
        <v>860</v>
      </c>
      <c r="Y99" s="586">
        <f t="shared" si="34"/>
        <v>37</v>
      </c>
      <c r="Z99" s="586">
        <f t="shared" si="34"/>
        <v>85</v>
      </c>
      <c r="AA99" s="586">
        <f t="shared" si="34"/>
        <v>72</v>
      </c>
      <c r="AB99" s="586">
        <f t="shared" si="34"/>
        <v>0</v>
      </c>
      <c r="AC99" s="587">
        <f t="shared" si="34"/>
        <v>2043</v>
      </c>
      <c r="AD99" s="585">
        <f t="shared" si="34"/>
        <v>0</v>
      </c>
      <c r="AE99" s="586">
        <f t="shared" si="34"/>
        <v>2546</v>
      </c>
      <c r="AF99" s="586">
        <f t="shared" si="34"/>
        <v>2683</v>
      </c>
      <c r="AG99" s="586">
        <f t="shared" si="34"/>
        <v>548</v>
      </c>
      <c r="AH99" s="588">
        <f t="shared" si="34"/>
        <v>0</v>
      </c>
      <c r="AI99" s="588">
        <f t="shared" si="34"/>
        <v>5777</v>
      </c>
      <c r="AJ99" s="585">
        <f t="shared" si="34"/>
        <v>0</v>
      </c>
      <c r="AK99" s="586">
        <f t="shared" si="34"/>
        <v>0</v>
      </c>
      <c r="AL99" s="588">
        <f t="shared" si="34"/>
        <v>0</v>
      </c>
      <c r="AM99" s="585">
        <f t="shared" si="34"/>
        <v>0</v>
      </c>
    </row>
    <row r="100" spans="1:41">
      <c r="A100" s="239"/>
      <c r="B100" s="239" t="s">
        <v>32</v>
      </c>
      <c r="C100" s="250">
        <v>0.1796530432225816</v>
      </c>
      <c r="D100" s="251">
        <v>0.21711659965537047</v>
      </c>
      <c r="E100" s="251">
        <v>0.21361152508693493</v>
      </c>
      <c r="F100" s="251">
        <v>0.1289198606271777</v>
      </c>
      <c r="G100" s="251">
        <v>0.13754045307443366</v>
      </c>
      <c r="H100" s="251">
        <v>0.19302949061662197</v>
      </c>
      <c r="I100" s="251"/>
      <c r="J100" s="530">
        <v>0.19557725445146468</v>
      </c>
      <c r="K100" s="250">
        <v>0</v>
      </c>
      <c r="L100" s="251">
        <v>0</v>
      </c>
      <c r="M100" s="251">
        <v>0</v>
      </c>
      <c r="N100" s="251">
        <v>0</v>
      </c>
      <c r="O100" s="258">
        <v>0</v>
      </c>
      <c r="P100" s="250">
        <v>0</v>
      </c>
      <c r="Q100" s="250">
        <v>0</v>
      </c>
      <c r="R100" s="251">
        <v>0</v>
      </c>
      <c r="S100" s="252">
        <v>0</v>
      </c>
      <c r="T100" s="250">
        <v>0</v>
      </c>
      <c r="U100" s="253"/>
      <c r="V100" s="254">
        <v>611</v>
      </c>
      <c r="W100" s="255">
        <v>378</v>
      </c>
      <c r="X100" s="255">
        <v>860</v>
      </c>
      <c r="Y100" s="255">
        <v>37</v>
      </c>
      <c r="Z100" s="255">
        <v>85</v>
      </c>
      <c r="AA100" s="255">
        <v>72</v>
      </c>
      <c r="AB100" s="255"/>
      <c r="AC100" s="256">
        <v>2043</v>
      </c>
      <c r="AD100" s="254">
        <v>0</v>
      </c>
      <c r="AE100" s="255">
        <v>0</v>
      </c>
      <c r="AF100" s="255">
        <v>0</v>
      </c>
      <c r="AG100" s="255">
        <v>0</v>
      </c>
      <c r="AH100" s="257">
        <v>0</v>
      </c>
      <c r="AI100" s="257">
        <v>0</v>
      </c>
      <c r="AJ100" s="254">
        <v>0</v>
      </c>
      <c r="AK100" s="255">
        <v>0</v>
      </c>
      <c r="AL100" s="257">
        <v>0</v>
      </c>
      <c r="AM100" s="254">
        <v>0</v>
      </c>
    </row>
    <row r="101" spans="1:41">
      <c r="A101" s="239"/>
      <c r="B101" s="239" t="s">
        <v>58</v>
      </c>
      <c r="C101" s="250">
        <v>0</v>
      </c>
      <c r="D101" s="251">
        <v>0</v>
      </c>
      <c r="E101" s="419">
        <v>0</v>
      </c>
      <c r="F101" s="251">
        <v>0</v>
      </c>
      <c r="G101" s="419">
        <v>0</v>
      </c>
      <c r="H101" s="251">
        <v>0</v>
      </c>
      <c r="I101" s="251"/>
      <c r="J101" s="532">
        <v>0</v>
      </c>
      <c r="K101" s="250">
        <v>0</v>
      </c>
      <c r="L101" s="251">
        <v>1</v>
      </c>
      <c r="M101" s="251">
        <v>1</v>
      </c>
      <c r="N101" s="251">
        <v>1</v>
      </c>
      <c r="O101" s="252">
        <v>0</v>
      </c>
      <c r="P101" s="250">
        <v>1</v>
      </c>
      <c r="Q101" s="250">
        <v>0</v>
      </c>
      <c r="R101" s="251">
        <v>0</v>
      </c>
      <c r="S101" s="252">
        <v>0</v>
      </c>
      <c r="T101" s="250">
        <v>0</v>
      </c>
      <c r="U101" s="253"/>
      <c r="V101" s="254">
        <v>0</v>
      </c>
      <c r="W101" s="255">
        <v>0</v>
      </c>
      <c r="X101" s="255">
        <v>0</v>
      </c>
      <c r="Y101" s="255">
        <v>0</v>
      </c>
      <c r="Z101" s="255">
        <v>0</v>
      </c>
      <c r="AA101" s="255">
        <v>0</v>
      </c>
      <c r="AB101" s="255"/>
      <c r="AC101" s="256">
        <v>0</v>
      </c>
      <c r="AD101" s="254">
        <v>0</v>
      </c>
      <c r="AE101" s="255">
        <v>2546</v>
      </c>
      <c r="AF101" s="255">
        <v>2683</v>
      </c>
      <c r="AG101" s="255">
        <v>548</v>
      </c>
      <c r="AH101" s="257">
        <v>0</v>
      </c>
      <c r="AI101" s="257">
        <v>5777</v>
      </c>
      <c r="AJ101" s="254">
        <v>0</v>
      </c>
      <c r="AK101" s="255">
        <v>0</v>
      </c>
      <c r="AL101" s="257">
        <v>0</v>
      </c>
      <c r="AM101" s="254">
        <v>0</v>
      </c>
    </row>
    <row r="102" spans="1:41" s="527" customFormat="1">
      <c r="A102" s="436"/>
      <c r="B102" s="436" t="s">
        <v>59</v>
      </c>
      <c r="C102" s="577">
        <f>SUM(C95:C99)</f>
        <v>1.0000000000000002</v>
      </c>
      <c r="D102" s="578">
        <f t="shared" ref="D102:J102" si="35">SUM(D95:D99)</f>
        <v>0.99999999999999989</v>
      </c>
      <c r="E102" s="578">
        <f t="shared" si="35"/>
        <v>1</v>
      </c>
      <c r="F102" s="578">
        <f t="shared" si="35"/>
        <v>1</v>
      </c>
      <c r="G102" s="578">
        <f t="shared" si="35"/>
        <v>1</v>
      </c>
      <c r="H102" s="578">
        <f t="shared" si="35"/>
        <v>0.99999999999999989</v>
      </c>
      <c r="I102" s="579">
        <f t="shared" si="35"/>
        <v>0</v>
      </c>
      <c r="J102" s="589">
        <f t="shared" si="35"/>
        <v>1</v>
      </c>
      <c r="K102" s="261">
        <v>0</v>
      </c>
      <c r="L102" s="262">
        <v>1</v>
      </c>
      <c r="M102" s="262">
        <v>1</v>
      </c>
      <c r="N102" s="262">
        <v>1</v>
      </c>
      <c r="O102" s="263">
        <v>0</v>
      </c>
      <c r="P102" s="261">
        <v>1</v>
      </c>
      <c r="Q102" s="261">
        <v>0</v>
      </c>
      <c r="R102" s="262">
        <v>0</v>
      </c>
      <c r="S102" s="263">
        <v>0</v>
      </c>
      <c r="T102" s="261">
        <v>0</v>
      </c>
      <c r="U102" s="264"/>
      <c r="V102" s="265">
        <v>3401</v>
      </c>
      <c r="W102" s="266">
        <v>1741</v>
      </c>
      <c r="X102" s="266">
        <v>4026</v>
      </c>
      <c r="Y102" s="266">
        <v>287</v>
      </c>
      <c r="Z102" s="266">
        <v>618</v>
      </c>
      <c r="AA102" s="266">
        <v>373</v>
      </c>
      <c r="AB102" s="266"/>
      <c r="AC102" s="267">
        <v>10446</v>
      </c>
      <c r="AD102" s="265">
        <v>0</v>
      </c>
      <c r="AE102" s="266">
        <v>2546</v>
      </c>
      <c r="AF102" s="266">
        <v>2683</v>
      </c>
      <c r="AG102" s="266">
        <v>548</v>
      </c>
      <c r="AH102" s="268">
        <v>0</v>
      </c>
      <c r="AI102" s="268">
        <v>5777</v>
      </c>
      <c r="AJ102" s="265">
        <v>0</v>
      </c>
      <c r="AK102" s="266">
        <v>0</v>
      </c>
      <c r="AL102" s="268">
        <v>0</v>
      </c>
      <c r="AM102" s="265">
        <v>0</v>
      </c>
      <c r="AN102" s="270"/>
      <c r="AO102" s="270"/>
    </row>
    <row r="103" spans="1:41">
      <c r="A103" s="240" t="s">
        <v>13</v>
      </c>
      <c r="B103" s="240" t="s">
        <v>53</v>
      </c>
      <c r="C103" s="241">
        <v>0.34064327485380119</v>
      </c>
      <c r="D103" s="242">
        <v>0</v>
      </c>
      <c r="E103" s="242">
        <v>0.30117340286831812</v>
      </c>
      <c r="F103" s="242">
        <v>0</v>
      </c>
      <c r="G103" s="242">
        <v>0.21350762527233116</v>
      </c>
      <c r="H103" s="242">
        <v>0.1553398058252427</v>
      </c>
      <c r="I103" s="242"/>
      <c r="J103" s="529">
        <v>0.29368501141262998</v>
      </c>
      <c r="K103" s="241">
        <v>0</v>
      </c>
      <c r="L103" s="242">
        <v>0</v>
      </c>
      <c r="M103" s="242">
        <v>0</v>
      </c>
      <c r="N103" s="242">
        <v>0</v>
      </c>
      <c r="O103" s="243">
        <v>0</v>
      </c>
      <c r="P103" s="241">
        <v>0</v>
      </c>
      <c r="Q103" s="342">
        <v>0</v>
      </c>
      <c r="R103" s="242">
        <v>0</v>
      </c>
      <c r="S103" s="243">
        <v>0</v>
      </c>
      <c r="T103" s="342">
        <v>0</v>
      </c>
      <c r="U103" s="244"/>
      <c r="V103" s="245">
        <v>699</v>
      </c>
      <c r="W103" s="246">
        <v>0</v>
      </c>
      <c r="X103" s="246">
        <v>231</v>
      </c>
      <c r="Y103" s="246">
        <v>0</v>
      </c>
      <c r="Z103" s="246">
        <v>196</v>
      </c>
      <c r="AA103" s="246">
        <v>32</v>
      </c>
      <c r="AB103" s="246"/>
      <c r="AC103" s="247">
        <v>1158</v>
      </c>
      <c r="AD103" s="245">
        <v>0</v>
      </c>
      <c r="AE103" s="246">
        <v>0</v>
      </c>
      <c r="AF103" s="246">
        <v>0</v>
      </c>
      <c r="AG103" s="246">
        <v>0</v>
      </c>
      <c r="AH103" s="248">
        <v>0</v>
      </c>
      <c r="AI103" s="248">
        <v>0</v>
      </c>
      <c r="AJ103" s="245">
        <v>0</v>
      </c>
      <c r="AK103" s="246">
        <v>0</v>
      </c>
      <c r="AL103" s="248">
        <v>0</v>
      </c>
      <c r="AM103" s="245">
        <v>0</v>
      </c>
    </row>
    <row r="104" spans="1:41">
      <c r="A104" s="239"/>
      <c r="B104" s="239" t="s">
        <v>93</v>
      </c>
      <c r="C104" s="250">
        <v>0.26851851851851855</v>
      </c>
      <c r="D104" s="251">
        <v>0</v>
      </c>
      <c r="E104" s="251">
        <v>0.17992177314211213</v>
      </c>
      <c r="F104" s="251">
        <v>0</v>
      </c>
      <c r="G104" s="251">
        <v>0.20697167755991286</v>
      </c>
      <c r="H104" s="251">
        <v>0.25728155339805825</v>
      </c>
      <c r="I104" s="251"/>
      <c r="J104" s="530">
        <v>0.23636824752726351</v>
      </c>
      <c r="K104" s="250">
        <v>0</v>
      </c>
      <c r="L104" s="251">
        <v>0</v>
      </c>
      <c r="M104" s="251">
        <v>0</v>
      </c>
      <c r="N104" s="251">
        <v>0</v>
      </c>
      <c r="O104" s="252">
        <v>0</v>
      </c>
      <c r="P104" s="272">
        <v>0</v>
      </c>
      <c r="Q104" s="250">
        <v>0</v>
      </c>
      <c r="R104" s="251">
        <v>0</v>
      </c>
      <c r="S104" s="252">
        <v>0</v>
      </c>
      <c r="T104" s="250">
        <v>0</v>
      </c>
      <c r="U104" s="253"/>
      <c r="V104" s="254">
        <v>551</v>
      </c>
      <c r="W104" s="255">
        <v>0</v>
      </c>
      <c r="X104" s="255">
        <v>138</v>
      </c>
      <c r="Y104" s="255">
        <v>0</v>
      </c>
      <c r="Z104" s="255">
        <v>190</v>
      </c>
      <c r="AA104" s="255">
        <v>53</v>
      </c>
      <c r="AB104" s="255"/>
      <c r="AC104" s="256">
        <v>932</v>
      </c>
      <c r="AD104" s="254">
        <v>0</v>
      </c>
      <c r="AE104" s="255">
        <v>0</v>
      </c>
      <c r="AF104" s="255">
        <v>0</v>
      </c>
      <c r="AG104" s="255">
        <v>0</v>
      </c>
      <c r="AH104" s="257">
        <v>0</v>
      </c>
      <c r="AI104" s="257">
        <v>0</v>
      </c>
      <c r="AJ104" s="254">
        <v>0</v>
      </c>
      <c r="AK104" s="255">
        <v>0</v>
      </c>
      <c r="AL104" s="257">
        <v>0</v>
      </c>
      <c r="AM104" s="254">
        <v>0</v>
      </c>
    </row>
    <row r="105" spans="1:41">
      <c r="A105" s="239"/>
      <c r="B105" s="239" t="s">
        <v>55</v>
      </c>
      <c r="C105" s="250">
        <v>0.25682261208577001</v>
      </c>
      <c r="D105" s="251">
        <v>0</v>
      </c>
      <c r="E105" s="251">
        <v>0.28813559322033899</v>
      </c>
      <c r="F105" s="251">
        <v>0</v>
      </c>
      <c r="G105" s="251">
        <v>0.29302832244008714</v>
      </c>
      <c r="H105" s="251">
        <v>0.3155339805825243</v>
      </c>
      <c r="I105" s="251"/>
      <c r="J105" s="530">
        <v>0.27441034745117932</v>
      </c>
      <c r="K105" s="250">
        <v>0</v>
      </c>
      <c r="L105" s="251">
        <v>0</v>
      </c>
      <c r="M105" s="251">
        <v>0</v>
      </c>
      <c r="N105" s="251">
        <v>0</v>
      </c>
      <c r="O105" s="252">
        <v>0</v>
      </c>
      <c r="P105" s="250">
        <v>0</v>
      </c>
      <c r="Q105" s="250">
        <v>0</v>
      </c>
      <c r="R105" s="251">
        <v>0</v>
      </c>
      <c r="S105" s="252">
        <v>0</v>
      </c>
      <c r="T105" s="250">
        <v>0</v>
      </c>
      <c r="U105" s="253"/>
      <c r="V105" s="254">
        <v>527</v>
      </c>
      <c r="W105" s="255">
        <v>0</v>
      </c>
      <c r="X105" s="255">
        <v>221</v>
      </c>
      <c r="Y105" s="255">
        <v>0</v>
      </c>
      <c r="Z105" s="255">
        <v>269</v>
      </c>
      <c r="AA105" s="255">
        <v>65</v>
      </c>
      <c r="AB105" s="255"/>
      <c r="AC105" s="256">
        <v>1082</v>
      </c>
      <c r="AD105" s="254">
        <v>0</v>
      </c>
      <c r="AE105" s="255">
        <v>0</v>
      </c>
      <c r="AF105" s="255">
        <v>0</v>
      </c>
      <c r="AG105" s="255">
        <v>0</v>
      </c>
      <c r="AH105" s="257">
        <v>0</v>
      </c>
      <c r="AI105" s="257">
        <v>0</v>
      </c>
      <c r="AJ105" s="254">
        <v>0</v>
      </c>
      <c r="AK105" s="255">
        <v>0</v>
      </c>
      <c r="AL105" s="257">
        <v>0</v>
      </c>
      <c r="AM105" s="254">
        <v>0</v>
      </c>
    </row>
    <row r="106" spans="1:41">
      <c r="A106" s="239"/>
      <c r="B106" s="239" t="s">
        <v>78</v>
      </c>
      <c r="C106" s="250">
        <v>0.13401559454191034</v>
      </c>
      <c r="D106" s="251">
        <v>0</v>
      </c>
      <c r="E106" s="251">
        <v>0.23076923076923078</v>
      </c>
      <c r="F106" s="251">
        <v>0</v>
      </c>
      <c r="G106" s="251">
        <v>0.28649237472766886</v>
      </c>
      <c r="H106" s="251">
        <v>0.27184466019417475</v>
      </c>
      <c r="I106" s="251"/>
      <c r="J106" s="530">
        <v>0.19553639360892722</v>
      </c>
      <c r="K106" s="250">
        <v>0</v>
      </c>
      <c r="L106" s="251">
        <v>0</v>
      </c>
      <c r="M106" s="251">
        <v>0</v>
      </c>
      <c r="N106" s="251">
        <v>0</v>
      </c>
      <c r="O106" s="252">
        <v>0</v>
      </c>
      <c r="P106" s="250">
        <v>0</v>
      </c>
      <c r="Q106" s="250">
        <v>0</v>
      </c>
      <c r="R106" s="251">
        <v>0</v>
      </c>
      <c r="S106" s="252">
        <v>0</v>
      </c>
      <c r="T106" s="250">
        <v>0</v>
      </c>
      <c r="U106" s="253"/>
      <c r="V106" s="254">
        <v>275</v>
      </c>
      <c r="W106" s="255">
        <v>0</v>
      </c>
      <c r="X106" s="255">
        <v>177</v>
      </c>
      <c r="Y106" s="255">
        <v>0</v>
      </c>
      <c r="Z106" s="255">
        <v>263</v>
      </c>
      <c r="AA106" s="255">
        <v>56</v>
      </c>
      <c r="AB106" s="255"/>
      <c r="AC106" s="256">
        <v>771</v>
      </c>
      <c r="AD106" s="254">
        <v>0</v>
      </c>
      <c r="AE106" s="255">
        <v>0</v>
      </c>
      <c r="AF106" s="255">
        <v>0</v>
      </c>
      <c r="AG106" s="255">
        <v>0</v>
      </c>
      <c r="AH106" s="257">
        <v>0</v>
      </c>
      <c r="AI106" s="257">
        <v>0</v>
      </c>
      <c r="AJ106" s="254">
        <v>0</v>
      </c>
      <c r="AK106" s="255">
        <v>0</v>
      </c>
      <c r="AL106" s="257">
        <v>0</v>
      </c>
      <c r="AM106" s="254">
        <v>0</v>
      </c>
    </row>
    <row r="107" spans="1:41">
      <c r="A107" s="580"/>
      <c r="B107" s="580" t="s">
        <v>131</v>
      </c>
      <c r="C107" s="581">
        <f t="shared" ref="C107:T107" si="36">IF(V110&gt;0,(V107/V110),)</f>
        <v>0</v>
      </c>
      <c r="D107" s="582">
        <f t="shared" si="36"/>
        <v>0</v>
      </c>
      <c r="E107" s="582">
        <f t="shared" si="36"/>
        <v>0</v>
      </c>
      <c r="F107" s="582">
        <f t="shared" si="36"/>
        <v>0</v>
      </c>
      <c r="G107" s="582">
        <f t="shared" si="36"/>
        <v>0</v>
      </c>
      <c r="H107" s="582">
        <f t="shared" si="36"/>
        <v>0</v>
      </c>
      <c r="I107" s="583">
        <f t="shared" si="36"/>
        <v>0</v>
      </c>
      <c r="J107" s="584">
        <f t="shared" si="36"/>
        <v>0</v>
      </c>
      <c r="K107" s="581">
        <f t="shared" si="36"/>
        <v>1</v>
      </c>
      <c r="L107" s="582">
        <f t="shared" si="36"/>
        <v>1</v>
      </c>
      <c r="M107" s="582">
        <f t="shared" si="36"/>
        <v>1</v>
      </c>
      <c r="N107" s="582">
        <f t="shared" si="36"/>
        <v>1</v>
      </c>
      <c r="O107" s="583">
        <f t="shared" si="36"/>
        <v>0</v>
      </c>
      <c r="P107" s="581">
        <f t="shared" si="36"/>
        <v>1</v>
      </c>
      <c r="Q107" s="581">
        <f t="shared" si="36"/>
        <v>1</v>
      </c>
      <c r="R107" s="582">
        <f t="shared" si="36"/>
        <v>1</v>
      </c>
      <c r="S107" s="583">
        <f t="shared" si="36"/>
        <v>0</v>
      </c>
      <c r="T107" s="581">
        <f t="shared" si="36"/>
        <v>1</v>
      </c>
      <c r="U107" s="253"/>
      <c r="V107" s="585">
        <f t="shared" ref="V107:AM107" si="37">+V108+V109</f>
        <v>0</v>
      </c>
      <c r="W107" s="586">
        <f t="shared" si="37"/>
        <v>0</v>
      </c>
      <c r="X107" s="586">
        <f t="shared" si="37"/>
        <v>0</v>
      </c>
      <c r="Y107" s="586">
        <f t="shared" si="37"/>
        <v>0</v>
      </c>
      <c r="Z107" s="586">
        <f t="shared" si="37"/>
        <v>0</v>
      </c>
      <c r="AA107" s="586">
        <f t="shared" si="37"/>
        <v>0</v>
      </c>
      <c r="AB107" s="586">
        <f t="shared" si="37"/>
        <v>0</v>
      </c>
      <c r="AC107" s="587">
        <f t="shared" si="37"/>
        <v>0</v>
      </c>
      <c r="AD107" s="585">
        <f t="shared" si="37"/>
        <v>124</v>
      </c>
      <c r="AE107" s="586">
        <f t="shared" si="37"/>
        <v>446</v>
      </c>
      <c r="AF107" s="586">
        <f t="shared" si="37"/>
        <v>300</v>
      </c>
      <c r="AG107" s="586">
        <f t="shared" si="37"/>
        <v>378</v>
      </c>
      <c r="AH107" s="588">
        <f t="shared" si="37"/>
        <v>0</v>
      </c>
      <c r="AI107" s="588">
        <f t="shared" si="37"/>
        <v>1248</v>
      </c>
      <c r="AJ107" s="585">
        <f t="shared" si="37"/>
        <v>302</v>
      </c>
      <c r="AK107" s="586">
        <f t="shared" si="37"/>
        <v>821</v>
      </c>
      <c r="AL107" s="588">
        <f t="shared" si="37"/>
        <v>0</v>
      </c>
      <c r="AM107" s="585">
        <f t="shared" si="37"/>
        <v>1123</v>
      </c>
    </row>
    <row r="108" spans="1:41">
      <c r="A108" s="239"/>
      <c r="B108" s="239" t="s">
        <v>32</v>
      </c>
      <c r="C108" s="250">
        <v>0</v>
      </c>
      <c r="D108" s="251">
        <v>0</v>
      </c>
      <c r="E108" s="251">
        <v>0</v>
      </c>
      <c r="F108" s="251">
        <v>0</v>
      </c>
      <c r="G108" s="251">
        <v>0</v>
      </c>
      <c r="H108" s="251">
        <v>0</v>
      </c>
      <c r="I108" s="251"/>
      <c r="J108" s="530">
        <v>0</v>
      </c>
      <c r="K108" s="250">
        <v>0</v>
      </c>
      <c r="L108" s="251">
        <v>0</v>
      </c>
      <c r="M108" s="251">
        <v>0</v>
      </c>
      <c r="N108" s="251">
        <v>0</v>
      </c>
      <c r="O108" s="258">
        <v>0</v>
      </c>
      <c r="P108" s="250">
        <v>0</v>
      </c>
      <c r="Q108" s="250">
        <v>0</v>
      </c>
      <c r="R108" s="251">
        <v>0</v>
      </c>
      <c r="S108" s="252">
        <v>0</v>
      </c>
      <c r="T108" s="250">
        <v>0</v>
      </c>
      <c r="U108" s="253"/>
      <c r="V108" s="254">
        <v>0</v>
      </c>
      <c r="W108" s="255">
        <v>0</v>
      </c>
      <c r="X108" s="255">
        <v>0</v>
      </c>
      <c r="Y108" s="255">
        <v>0</v>
      </c>
      <c r="Z108" s="255">
        <v>0</v>
      </c>
      <c r="AA108" s="255">
        <v>0</v>
      </c>
      <c r="AB108" s="255"/>
      <c r="AC108" s="256">
        <v>0</v>
      </c>
      <c r="AD108" s="254">
        <v>0</v>
      </c>
      <c r="AE108" s="255">
        <v>0</v>
      </c>
      <c r="AF108" s="255">
        <v>0</v>
      </c>
      <c r="AG108" s="255">
        <v>0</v>
      </c>
      <c r="AH108" s="257">
        <v>0</v>
      </c>
      <c r="AI108" s="257">
        <v>0</v>
      </c>
      <c r="AJ108" s="254">
        <v>0</v>
      </c>
      <c r="AK108" s="255">
        <v>0</v>
      </c>
      <c r="AL108" s="257">
        <v>0</v>
      </c>
      <c r="AM108" s="254">
        <v>0</v>
      </c>
    </row>
    <row r="109" spans="1:41">
      <c r="A109" s="239"/>
      <c r="B109" s="239" t="s">
        <v>58</v>
      </c>
      <c r="C109" s="250">
        <v>0</v>
      </c>
      <c r="D109" s="251">
        <v>0</v>
      </c>
      <c r="E109" s="419">
        <v>0</v>
      </c>
      <c r="F109" s="251">
        <v>0</v>
      </c>
      <c r="G109" s="419">
        <v>0</v>
      </c>
      <c r="H109" s="251">
        <v>0</v>
      </c>
      <c r="I109" s="251"/>
      <c r="J109" s="532">
        <v>0</v>
      </c>
      <c r="K109" s="250">
        <v>1</v>
      </c>
      <c r="L109" s="251">
        <v>1</v>
      </c>
      <c r="M109" s="251">
        <v>1</v>
      </c>
      <c r="N109" s="251">
        <v>1</v>
      </c>
      <c r="O109" s="252">
        <v>0</v>
      </c>
      <c r="P109" s="250">
        <v>1</v>
      </c>
      <c r="Q109" s="250">
        <v>1</v>
      </c>
      <c r="R109" s="251">
        <v>1</v>
      </c>
      <c r="S109" s="252">
        <v>0</v>
      </c>
      <c r="T109" s="250">
        <v>1</v>
      </c>
      <c r="U109" s="253"/>
      <c r="V109" s="254">
        <v>0</v>
      </c>
      <c r="W109" s="255">
        <v>0</v>
      </c>
      <c r="X109" s="255">
        <v>0</v>
      </c>
      <c r="Y109" s="255">
        <v>0</v>
      </c>
      <c r="Z109" s="255">
        <v>0</v>
      </c>
      <c r="AA109" s="255">
        <v>0</v>
      </c>
      <c r="AB109" s="255"/>
      <c r="AC109" s="256">
        <v>0</v>
      </c>
      <c r="AD109" s="254">
        <v>124</v>
      </c>
      <c r="AE109" s="255">
        <v>446</v>
      </c>
      <c r="AF109" s="255">
        <v>300</v>
      </c>
      <c r="AG109" s="255">
        <v>378</v>
      </c>
      <c r="AH109" s="257">
        <v>0</v>
      </c>
      <c r="AI109" s="257">
        <v>1248</v>
      </c>
      <c r="AJ109" s="254">
        <v>302</v>
      </c>
      <c r="AK109" s="255">
        <v>821</v>
      </c>
      <c r="AL109" s="257">
        <v>0</v>
      </c>
      <c r="AM109" s="254">
        <v>1123</v>
      </c>
    </row>
    <row r="110" spans="1:41" s="527" customFormat="1">
      <c r="A110" s="436"/>
      <c r="B110" s="436" t="s">
        <v>59</v>
      </c>
      <c r="C110" s="577">
        <f>SUM(C103:C107)</f>
        <v>1</v>
      </c>
      <c r="D110" s="578">
        <f t="shared" ref="D110:J110" si="38">SUM(D103:D107)</f>
        <v>0</v>
      </c>
      <c r="E110" s="578">
        <f t="shared" si="38"/>
        <v>1</v>
      </c>
      <c r="F110" s="578">
        <f t="shared" si="38"/>
        <v>0</v>
      </c>
      <c r="G110" s="578">
        <f t="shared" si="38"/>
        <v>1</v>
      </c>
      <c r="H110" s="578">
        <f t="shared" si="38"/>
        <v>1</v>
      </c>
      <c r="I110" s="579">
        <f t="shared" si="38"/>
        <v>0</v>
      </c>
      <c r="J110" s="589">
        <f t="shared" si="38"/>
        <v>1</v>
      </c>
      <c r="K110" s="261">
        <v>1</v>
      </c>
      <c r="L110" s="262">
        <v>1</v>
      </c>
      <c r="M110" s="262">
        <v>1</v>
      </c>
      <c r="N110" s="262">
        <v>1</v>
      </c>
      <c r="O110" s="263">
        <v>0</v>
      </c>
      <c r="P110" s="261">
        <v>1</v>
      </c>
      <c r="Q110" s="261">
        <v>1</v>
      </c>
      <c r="R110" s="262">
        <v>1</v>
      </c>
      <c r="S110" s="263">
        <v>0</v>
      </c>
      <c r="T110" s="261">
        <v>1</v>
      </c>
      <c r="U110" s="264"/>
      <c r="V110" s="265">
        <v>2052</v>
      </c>
      <c r="W110" s="266">
        <v>0</v>
      </c>
      <c r="X110" s="266">
        <v>767</v>
      </c>
      <c r="Y110" s="266">
        <v>0</v>
      </c>
      <c r="Z110" s="266">
        <v>918</v>
      </c>
      <c r="AA110" s="266">
        <v>206</v>
      </c>
      <c r="AB110" s="266"/>
      <c r="AC110" s="267">
        <v>3943</v>
      </c>
      <c r="AD110" s="265">
        <v>124</v>
      </c>
      <c r="AE110" s="266">
        <v>446</v>
      </c>
      <c r="AF110" s="266">
        <v>300</v>
      </c>
      <c r="AG110" s="266">
        <v>378</v>
      </c>
      <c r="AH110" s="268">
        <v>0</v>
      </c>
      <c r="AI110" s="268">
        <v>1248</v>
      </c>
      <c r="AJ110" s="265">
        <v>302</v>
      </c>
      <c r="AK110" s="266">
        <v>821</v>
      </c>
      <c r="AL110" s="268">
        <v>0</v>
      </c>
      <c r="AM110" s="265">
        <v>1123</v>
      </c>
      <c r="AN110" s="270"/>
      <c r="AO110" s="270"/>
    </row>
    <row r="111" spans="1:41">
      <c r="A111" s="240" t="s">
        <v>14</v>
      </c>
      <c r="B111" s="240" t="s">
        <v>53</v>
      </c>
      <c r="C111" s="241">
        <v>0.29310344827586204</v>
      </c>
      <c r="D111" s="242">
        <v>0</v>
      </c>
      <c r="E111" s="242">
        <v>0.25031928480204341</v>
      </c>
      <c r="F111" s="242">
        <v>0.31976744186046513</v>
      </c>
      <c r="G111" s="242">
        <v>0.21265141318977121</v>
      </c>
      <c r="H111" s="242">
        <v>0.16348195329087048</v>
      </c>
      <c r="I111" s="242"/>
      <c r="J111" s="529">
        <v>0.25886119368854332</v>
      </c>
      <c r="K111" s="241">
        <v>0.19298245614035087</v>
      </c>
      <c r="L111" s="242">
        <v>0</v>
      </c>
      <c r="M111" s="242">
        <v>0</v>
      </c>
      <c r="N111" s="242">
        <v>6.4000000000000001E-2</v>
      </c>
      <c r="O111" s="243">
        <v>0</v>
      </c>
      <c r="P111" s="241">
        <v>1.2987012987012988E-2</v>
      </c>
      <c r="Q111" s="342">
        <v>0</v>
      </c>
      <c r="R111" s="242">
        <v>0</v>
      </c>
      <c r="S111" s="243">
        <v>0</v>
      </c>
      <c r="T111" s="342">
        <v>0</v>
      </c>
      <c r="U111" s="244"/>
      <c r="V111" s="245">
        <v>646</v>
      </c>
      <c r="W111" s="246">
        <v>0</v>
      </c>
      <c r="X111" s="246">
        <v>196</v>
      </c>
      <c r="Y111" s="246">
        <v>55</v>
      </c>
      <c r="Z111" s="246">
        <v>158</v>
      </c>
      <c r="AA111" s="246">
        <v>77</v>
      </c>
      <c r="AB111" s="246"/>
      <c r="AC111" s="247">
        <v>1132</v>
      </c>
      <c r="AD111" s="245">
        <v>11</v>
      </c>
      <c r="AE111" s="246">
        <v>0</v>
      </c>
      <c r="AF111" s="246">
        <v>0</v>
      </c>
      <c r="AG111" s="246">
        <v>16</v>
      </c>
      <c r="AH111" s="248">
        <v>0</v>
      </c>
      <c r="AI111" s="248">
        <v>27</v>
      </c>
      <c r="AJ111" s="245">
        <v>0</v>
      </c>
      <c r="AK111" s="246">
        <v>0</v>
      </c>
      <c r="AL111" s="248">
        <v>0</v>
      </c>
      <c r="AM111" s="245">
        <v>0</v>
      </c>
    </row>
    <row r="112" spans="1:41">
      <c r="A112" s="239"/>
      <c r="B112" s="239" t="s">
        <v>93</v>
      </c>
      <c r="C112" s="250">
        <v>0.26633393829401086</v>
      </c>
      <c r="D112" s="251">
        <v>0</v>
      </c>
      <c r="E112" s="251">
        <v>0.32311621966794379</v>
      </c>
      <c r="F112" s="251">
        <v>0.30232558139534882</v>
      </c>
      <c r="G112" s="251">
        <v>0.2449528936742934</v>
      </c>
      <c r="H112" s="251">
        <v>0.23354564755838642</v>
      </c>
      <c r="I112" s="251"/>
      <c r="J112" s="530">
        <v>0.27075234392865311</v>
      </c>
      <c r="K112" s="250">
        <v>0.26315789473684209</v>
      </c>
      <c r="L112" s="251">
        <v>0</v>
      </c>
      <c r="M112" s="251">
        <v>0</v>
      </c>
      <c r="N112" s="251">
        <v>9.1999999999999998E-2</v>
      </c>
      <c r="O112" s="252">
        <v>0</v>
      </c>
      <c r="P112" s="250">
        <v>1.8278018278018279E-2</v>
      </c>
      <c r="Q112" s="250">
        <v>0</v>
      </c>
      <c r="R112" s="251">
        <v>0</v>
      </c>
      <c r="S112" s="252">
        <v>0</v>
      </c>
      <c r="T112" s="250">
        <v>0</v>
      </c>
      <c r="U112" s="253"/>
      <c r="V112" s="254">
        <v>587</v>
      </c>
      <c r="W112" s="255">
        <v>0</v>
      </c>
      <c r="X112" s="255">
        <v>253</v>
      </c>
      <c r="Y112" s="255">
        <v>52</v>
      </c>
      <c r="Z112" s="255">
        <v>182</v>
      </c>
      <c r="AA112" s="255">
        <v>110</v>
      </c>
      <c r="AB112" s="255"/>
      <c r="AC112" s="256">
        <v>1184</v>
      </c>
      <c r="AD112" s="254">
        <v>15</v>
      </c>
      <c r="AE112" s="255">
        <v>0</v>
      </c>
      <c r="AF112" s="255">
        <v>0</v>
      </c>
      <c r="AG112" s="255">
        <v>23</v>
      </c>
      <c r="AH112" s="257">
        <v>0</v>
      </c>
      <c r="AI112" s="257">
        <v>38</v>
      </c>
      <c r="AJ112" s="254">
        <v>0</v>
      </c>
      <c r="AK112" s="255">
        <v>0</v>
      </c>
      <c r="AL112" s="257">
        <v>0</v>
      </c>
      <c r="AM112" s="254">
        <v>0</v>
      </c>
    </row>
    <row r="113" spans="1:41">
      <c r="A113" s="239"/>
      <c r="B113" s="239" t="s">
        <v>55</v>
      </c>
      <c r="C113" s="250">
        <v>0.28221415607985478</v>
      </c>
      <c r="D113" s="251">
        <v>0</v>
      </c>
      <c r="E113" s="251">
        <v>0.30906768837803322</v>
      </c>
      <c r="F113" s="251">
        <v>0.37790697674418605</v>
      </c>
      <c r="G113" s="251">
        <v>0.38088829071332436</v>
      </c>
      <c r="H113" s="251">
        <v>0.30997876857749468</v>
      </c>
      <c r="I113" s="251"/>
      <c r="J113" s="530">
        <v>0.31054196203978962</v>
      </c>
      <c r="K113" s="250">
        <v>0.2982456140350877</v>
      </c>
      <c r="L113" s="251">
        <v>0</v>
      </c>
      <c r="M113" s="251">
        <v>0</v>
      </c>
      <c r="N113" s="251">
        <v>0.13600000000000001</v>
      </c>
      <c r="O113" s="252">
        <v>0</v>
      </c>
      <c r="P113" s="250">
        <v>2.4531024531024532E-2</v>
      </c>
      <c r="Q113" s="250">
        <v>0</v>
      </c>
      <c r="R113" s="251">
        <v>0</v>
      </c>
      <c r="S113" s="252">
        <v>0</v>
      </c>
      <c r="T113" s="250">
        <v>0</v>
      </c>
      <c r="U113" s="253"/>
      <c r="V113" s="254">
        <v>622</v>
      </c>
      <c r="W113" s="255">
        <v>0</v>
      </c>
      <c r="X113" s="255">
        <v>242</v>
      </c>
      <c r="Y113" s="255">
        <v>65</v>
      </c>
      <c r="Z113" s="255">
        <v>283</v>
      </c>
      <c r="AA113" s="255">
        <v>146</v>
      </c>
      <c r="AB113" s="255"/>
      <c r="AC113" s="256">
        <v>1358</v>
      </c>
      <c r="AD113" s="254">
        <v>17</v>
      </c>
      <c r="AE113" s="255">
        <v>0</v>
      </c>
      <c r="AF113" s="255">
        <v>0</v>
      </c>
      <c r="AG113" s="255">
        <v>34</v>
      </c>
      <c r="AH113" s="257">
        <v>0</v>
      </c>
      <c r="AI113" s="257">
        <v>51</v>
      </c>
      <c r="AJ113" s="254">
        <v>0</v>
      </c>
      <c r="AK113" s="255">
        <v>0</v>
      </c>
      <c r="AL113" s="257">
        <v>0</v>
      </c>
      <c r="AM113" s="254">
        <v>0</v>
      </c>
    </row>
    <row r="114" spans="1:41">
      <c r="A114" s="239"/>
      <c r="B114" s="239" t="s">
        <v>78</v>
      </c>
      <c r="C114" s="250">
        <v>6.3067150635208707E-2</v>
      </c>
      <c r="D114" s="251">
        <v>0</v>
      </c>
      <c r="E114" s="251">
        <v>0.11749680715197956</v>
      </c>
      <c r="F114" s="251">
        <v>0</v>
      </c>
      <c r="G114" s="251">
        <v>8.47913862718708E-2</v>
      </c>
      <c r="H114" s="251">
        <v>0.28450106157112526</v>
      </c>
      <c r="I114" s="251"/>
      <c r="J114" s="530">
        <v>9.7873313514749594E-2</v>
      </c>
      <c r="K114" s="250">
        <v>0.24561403508771928</v>
      </c>
      <c r="L114" s="251">
        <v>0</v>
      </c>
      <c r="M114" s="251">
        <v>0</v>
      </c>
      <c r="N114" s="251">
        <v>0.188</v>
      </c>
      <c r="O114" s="252">
        <v>0</v>
      </c>
      <c r="P114" s="250">
        <v>2.9341029341029341E-2</v>
      </c>
      <c r="Q114" s="250">
        <v>0</v>
      </c>
      <c r="R114" s="251">
        <v>0</v>
      </c>
      <c r="S114" s="252">
        <v>0</v>
      </c>
      <c r="T114" s="250">
        <v>0</v>
      </c>
      <c r="U114" s="253"/>
      <c r="V114" s="254">
        <v>139</v>
      </c>
      <c r="W114" s="255">
        <v>0</v>
      </c>
      <c r="X114" s="255">
        <v>92</v>
      </c>
      <c r="Y114" s="255">
        <v>0</v>
      </c>
      <c r="Z114" s="255">
        <v>63</v>
      </c>
      <c r="AA114" s="255">
        <v>134</v>
      </c>
      <c r="AB114" s="255"/>
      <c r="AC114" s="256">
        <v>428</v>
      </c>
      <c r="AD114" s="254">
        <v>14</v>
      </c>
      <c r="AE114" s="255">
        <v>0</v>
      </c>
      <c r="AF114" s="255">
        <v>0</v>
      </c>
      <c r="AG114" s="255">
        <v>47</v>
      </c>
      <c r="AH114" s="257">
        <v>0</v>
      </c>
      <c r="AI114" s="257">
        <v>61</v>
      </c>
      <c r="AJ114" s="254">
        <v>0</v>
      </c>
      <c r="AK114" s="255">
        <v>0</v>
      </c>
      <c r="AL114" s="257">
        <v>0</v>
      </c>
      <c r="AM114" s="254">
        <v>0</v>
      </c>
    </row>
    <row r="115" spans="1:41">
      <c r="A115" s="580"/>
      <c r="B115" s="580" t="s">
        <v>131</v>
      </c>
      <c r="C115" s="581">
        <f t="shared" ref="C115:T115" si="39">IF(V118&gt;0,(V115/V118),)</f>
        <v>9.5281306715063518E-2</v>
      </c>
      <c r="D115" s="582">
        <f t="shared" si="39"/>
        <v>0</v>
      </c>
      <c r="E115" s="582">
        <f t="shared" si="39"/>
        <v>0</v>
      </c>
      <c r="F115" s="582">
        <f t="shared" si="39"/>
        <v>0</v>
      </c>
      <c r="G115" s="582">
        <f t="shared" si="39"/>
        <v>7.6716016150740238E-2</v>
      </c>
      <c r="H115" s="582">
        <f t="shared" si="39"/>
        <v>8.4925690021231421E-3</v>
      </c>
      <c r="I115" s="583">
        <f t="shared" si="39"/>
        <v>0</v>
      </c>
      <c r="J115" s="584">
        <f t="shared" si="39"/>
        <v>6.197118682826435E-2</v>
      </c>
      <c r="K115" s="581">
        <f t="shared" si="39"/>
        <v>0</v>
      </c>
      <c r="L115" s="582">
        <f t="shared" si="39"/>
        <v>1</v>
      </c>
      <c r="M115" s="582">
        <f t="shared" si="39"/>
        <v>1</v>
      </c>
      <c r="N115" s="582">
        <f t="shared" si="39"/>
        <v>0.52</v>
      </c>
      <c r="O115" s="583">
        <f t="shared" si="39"/>
        <v>0</v>
      </c>
      <c r="P115" s="581">
        <f t="shared" si="39"/>
        <v>0.91486291486291482</v>
      </c>
      <c r="Q115" s="581">
        <f t="shared" si="39"/>
        <v>0</v>
      </c>
      <c r="R115" s="582">
        <f t="shared" si="39"/>
        <v>0</v>
      </c>
      <c r="S115" s="583">
        <f t="shared" si="39"/>
        <v>0</v>
      </c>
      <c r="T115" s="581">
        <f t="shared" si="39"/>
        <v>0</v>
      </c>
      <c r="U115" s="253"/>
      <c r="V115" s="585">
        <f t="shared" ref="V115:AM115" si="40">+V116+V117</f>
        <v>210</v>
      </c>
      <c r="W115" s="586">
        <f t="shared" si="40"/>
        <v>0</v>
      </c>
      <c r="X115" s="586">
        <f t="shared" si="40"/>
        <v>0</v>
      </c>
      <c r="Y115" s="586">
        <f t="shared" si="40"/>
        <v>0</v>
      </c>
      <c r="Z115" s="586">
        <f t="shared" si="40"/>
        <v>57</v>
      </c>
      <c r="AA115" s="586">
        <f t="shared" si="40"/>
        <v>4</v>
      </c>
      <c r="AB115" s="586">
        <f t="shared" si="40"/>
        <v>0</v>
      </c>
      <c r="AC115" s="587">
        <f t="shared" si="40"/>
        <v>271</v>
      </c>
      <c r="AD115" s="585">
        <f t="shared" si="40"/>
        <v>0</v>
      </c>
      <c r="AE115" s="586">
        <f t="shared" si="40"/>
        <v>845</v>
      </c>
      <c r="AF115" s="586">
        <f t="shared" si="40"/>
        <v>927</v>
      </c>
      <c r="AG115" s="586">
        <f t="shared" si="40"/>
        <v>130</v>
      </c>
      <c r="AH115" s="588">
        <f t="shared" si="40"/>
        <v>0</v>
      </c>
      <c r="AI115" s="588">
        <f t="shared" si="40"/>
        <v>1902</v>
      </c>
      <c r="AJ115" s="585">
        <f t="shared" si="40"/>
        <v>0</v>
      </c>
      <c r="AK115" s="586">
        <f t="shared" si="40"/>
        <v>0</v>
      </c>
      <c r="AL115" s="588">
        <f t="shared" si="40"/>
        <v>0</v>
      </c>
      <c r="AM115" s="585">
        <f t="shared" si="40"/>
        <v>0</v>
      </c>
    </row>
    <row r="116" spans="1:41">
      <c r="A116" s="239"/>
      <c r="B116" s="239" t="s">
        <v>32</v>
      </c>
      <c r="C116" s="250">
        <v>9.5281306715063518E-2</v>
      </c>
      <c r="D116" s="251">
        <v>0</v>
      </c>
      <c r="E116" s="251">
        <v>0</v>
      </c>
      <c r="F116" s="251">
        <v>0</v>
      </c>
      <c r="G116" s="251">
        <v>7.6716016150740238E-2</v>
      </c>
      <c r="H116" s="251">
        <v>8.4925690021231421E-3</v>
      </c>
      <c r="I116" s="251"/>
      <c r="J116" s="530">
        <v>6.197118682826435E-2</v>
      </c>
      <c r="K116" s="250">
        <v>0</v>
      </c>
      <c r="L116" s="251">
        <v>1</v>
      </c>
      <c r="M116" s="251">
        <v>1</v>
      </c>
      <c r="N116" s="251">
        <v>0.52</v>
      </c>
      <c r="O116" s="258">
        <v>0</v>
      </c>
      <c r="P116" s="250">
        <v>0.91486291486291482</v>
      </c>
      <c r="Q116" s="250">
        <v>0</v>
      </c>
      <c r="R116" s="251">
        <v>0</v>
      </c>
      <c r="S116" s="252">
        <v>0</v>
      </c>
      <c r="T116" s="250">
        <v>0</v>
      </c>
      <c r="U116" s="253"/>
      <c r="V116" s="254">
        <v>210</v>
      </c>
      <c r="W116" s="255">
        <v>0</v>
      </c>
      <c r="X116" s="255">
        <v>0</v>
      </c>
      <c r="Y116" s="255">
        <v>0</v>
      </c>
      <c r="Z116" s="255">
        <v>57</v>
      </c>
      <c r="AA116" s="255">
        <v>4</v>
      </c>
      <c r="AB116" s="255"/>
      <c r="AC116" s="256">
        <v>271</v>
      </c>
      <c r="AD116" s="254">
        <v>0</v>
      </c>
      <c r="AE116" s="255">
        <v>845</v>
      </c>
      <c r="AF116" s="255">
        <v>927</v>
      </c>
      <c r="AG116" s="255">
        <v>130</v>
      </c>
      <c r="AH116" s="257">
        <v>0</v>
      </c>
      <c r="AI116" s="257">
        <v>1902</v>
      </c>
      <c r="AJ116" s="254">
        <v>0</v>
      </c>
      <c r="AK116" s="255">
        <v>0</v>
      </c>
      <c r="AL116" s="257">
        <v>0</v>
      </c>
      <c r="AM116" s="254">
        <v>0</v>
      </c>
    </row>
    <row r="117" spans="1:41">
      <c r="A117" s="239"/>
      <c r="B117" s="239" t="s">
        <v>58</v>
      </c>
      <c r="C117" s="250">
        <v>0</v>
      </c>
      <c r="D117" s="251">
        <v>0</v>
      </c>
      <c r="E117" s="419">
        <v>0</v>
      </c>
      <c r="F117" s="251">
        <v>0</v>
      </c>
      <c r="G117" s="419">
        <v>0</v>
      </c>
      <c r="H117" s="251">
        <v>0</v>
      </c>
      <c r="I117" s="251"/>
      <c r="J117" s="532">
        <v>0</v>
      </c>
      <c r="K117" s="250">
        <v>0</v>
      </c>
      <c r="L117" s="251">
        <v>0</v>
      </c>
      <c r="M117" s="251">
        <v>0</v>
      </c>
      <c r="N117" s="251">
        <v>0</v>
      </c>
      <c r="O117" s="252">
        <v>0</v>
      </c>
      <c r="P117" s="250">
        <v>0</v>
      </c>
      <c r="Q117" s="250">
        <v>0</v>
      </c>
      <c r="R117" s="251">
        <v>0</v>
      </c>
      <c r="S117" s="252">
        <v>0</v>
      </c>
      <c r="T117" s="250">
        <v>0</v>
      </c>
      <c r="U117" s="253"/>
      <c r="V117" s="254">
        <v>0</v>
      </c>
      <c r="W117" s="255">
        <v>0</v>
      </c>
      <c r="X117" s="255">
        <v>0</v>
      </c>
      <c r="Y117" s="255">
        <v>0</v>
      </c>
      <c r="Z117" s="255">
        <v>0</v>
      </c>
      <c r="AA117" s="255">
        <v>0</v>
      </c>
      <c r="AB117" s="255"/>
      <c r="AC117" s="256">
        <v>0</v>
      </c>
      <c r="AD117" s="254">
        <v>0</v>
      </c>
      <c r="AE117" s="255">
        <v>0</v>
      </c>
      <c r="AF117" s="255">
        <v>0</v>
      </c>
      <c r="AG117" s="255">
        <v>0</v>
      </c>
      <c r="AH117" s="257">
        <v>0</v>
      </c>
      <c r="AI117" s="257">
        <v>0</v>
      </c>
      <c r="AJ117" s="254">
        <v>0</v>
      </c>
      <c r="AK117" s="255">
        <v>0</v>
      </c>
      <c r="AL117" s="257">
        <v>0</v>
      </c>
      <c r="AM117" s="254">
        <v>0</v>
      </c>
    </row>
    <row r="118" spans="1:41" s="527" customFormat="1">
      <c r="A118" s="436"/>
      <c r="B118" s="436" t="s">
        <v>59</v>
      </c>
      <c r="C118" s="577">
        <f>SUM(C111:C115)</f>
        <v>1</v>
      </c>
      <c r="D118" s="578">
        <f t="shared" ref="D118:J118" si="41">SUM(D111:D115)</f>
        <v>0</v>
      </c>
      <c r="E118" s="578">
        <f t="shared" si="41"/>
        <v>1</v>
      </c>
      <c r="F118" s="578">
        <f t="shared" si="41"/>
        <v>1</v>
      </c>
      <c r="G118" s="578">
        <f t="shared" si="41"/>
        <v>0.99999999999999989</v>
      </c>
      <c r="H118" s="578">
        <f t="shared" si="41"/>
        <v>1</v>
      </c>
      <c r="I118" s="579">
        <f t="shared" si="41"/>
        <v>0</v>
      </c>
      <c r="J118" s="589">
        <f t="shared" si="41"/>
        <v>0.99999999999999989</v>
      </c>
      <c r="K118" s="261">
        <v>1</v>
      </c>
      <c r="L118" s="262">
        <v>1</v>
      </c>
      <c r="M118" s="262">
        <v>1</v>
      </c>
      <c r="N118" s="262">
        <v>1</v>
      </c>
      <c r="O118" s="263">
        <v>0</v>
      </c>
      <c r="P118" s="261">
        <v>1</v>
      </c>
      <c r="Q118" s="261">
        <v>0</v>
      </c>
      <c r="R118" s="262">
        <v>0</v>
      </c>
      <c r="S118" s="263">
        <v>0</v>
      </c>
      <c r="T118" s="261">
        <v>0</v>
      </c>
      <c r="U118" s="264"/>
      <c r="V118" s="265">
        <v>2204</v>
      </c>
      <c r="W118" s="266">
        <v>0</v>
      </c>
      <c r="X118" s="266">
        <v>783</v>
      </c>
      <c r="Y118" s="266">
        <v>172</v>
      </c>
      <c r="Z118" s="266">
        <v>743</v>
      </c>
      <c r="AA118" s="266">
        <v>471</v>
      </c>
      <c r="AB118" s="266"/>
      <c r="AC118" s="267">
        <v>4373</v>
      </c>
      <c r="AD118" s="265">
        <v>57</v>
      </c>
      <c r="AE118" s="266">
        <v>845</v>
      </c>
      <c r="AF118" s="266">
        <v>927</v>
      </c>
      <c r="AG118" s="266">
        <v>250</v>
      </c>
      <c r="AH118" s="268">
        <v>0</v>
      </c>
      <c r="AI118" s="268">
        <v>2079</v>
      </c>
      <c r="AJ118" s="265">
        <v>0</v>
      </c>
      <c r="AK118" s="266">
        <v>0</v>
      </c>
      <c r="AL118" s="268">
        <v>0</v>
      </c>
      <c r="AM118" s="265">
        <v>0</v>
      </c>
      <c r="AN118" s="270"/>
      <c r="AO118" s="270"/>
    </row>
    <row r="119" spans="1:41">
      <c r="A119" s="240" t="s">
        <v>15</v>
      </c>
      <c r="B119" s="240" t="s">
        <v>53</v>
      </c>
      <c r="C119" s="241">
        <v>0.32707551105548605</v>
      </c>
      <c r="D119" s="242">
        <v>0</v>
      </c>
      <c r="E119" s="242">
        <v>0.32507739938080493</v>
      </c>
      <c r="F119" s="242">
        <v>0.30967741935483872</v>
      </c>
      <c r="G119" s="242">
        <v>0.27372262773722628</v>
      </c>
      <c r="H119" s="242">
        <v>0</v>
      </c>
      <c r="I119" s="242"/>
      <c r="J119" s="529">
        <v>0.3225516621743037</v>
      </c>
      <c r="K119" s="241">
        <v>0</v>
      </c>
      <c r="L119" s="242">
        <v>0.14015748031496064</v>
      </c>
      <c r="M119" s="242">
        <v>0.10689990281827016</v>
      </c>
      <c r="N119" s="242">
        <v>0.18518518518518517</v>
      </c>
      <c r="O119" s="243">
        <v>0</v>
      </c>
      <c r="P119" s="241">
        <v>0.12165308498253784</v>
      </c>
      <c r="Q119" s="342">
        <v>0</v>
      </c>
      <c r="R119" s="242">
        <v>0</v>
      </c>
      <c r="S119" s="243">
        <v>0</v>
      </c>
      <c r="T119" s="342">
        <v>0</v>
      </c>
      <c r="U119" s="244"/>
      <c r="V119" s="245">
        <v>784</v>
      </c>
      <c r="W119" s="246">
        <v>0</v>
      </c>
      <c r="X119" s="246">
        <v>840</v>
      </c>
      <c r="Y119" s="246">
        <v>96</v>
      </c>
      <c r="Z119" s="246">
        <v>75</v>
      </c>
      <c r="AA119" s="246">
        <v>0</v>
      </c>
      <c r="AB119" s="246"/>
      <c r="AC119" s="247">
        <v>1795</v>
      </c>
      <c r="AD119" s="245">
        <v>0</v>
      </c>
      <c r="AE119" s="246">
        <v>89</v>
      </c>
      <c r="AF119" s="246">
        <v>110</v>
      </c>
      <c r="AG119" s="246">
        <v>10</v>
      </c>
      <c r="AH119" s="248">
        <v>0</v>
      </c>
      <c r="AI119" s="248">
        <v>209</v>
      </c>
      <c r="AJ119" s="245">
        <v>0</v>
      </c>
      <c r="AK119" s="246">
        <v>0</v>
      </c>
      <c r="AL119" s="248">
        <v>0</v>
      </c>
      <c r="AM119" s="245">
        <v>0</v>
      </c>
    </row>
    <row r="120" spans="1:41">
      <c r="A120" s="239"/>
      <c r="B120" s="239" t="s">
        <v>93</v>
      </c>
      <c r="C120" s="250">
        <v>0.27117229870671672</v>
      </c>
      <c r="D120" s="251">
        <v>0</v>
      </c>
      <c r="E120" s="251">
        <v>0.25928792569659442</v>
      </c>
      <c r="F120" s="251">
        <v>0.20645161290322581</v>
      </c>
      <c r="G120" s="251">
        <v>0.16423357664233576</v>
      </c>
      <c r="H120" s="251">
        <v>0</v>
      </c>
      <c r="I120" s="251"/>
      <c r="J120" s="530">
        <v>0.25678346810422281</v>
      </c>
      <c r="K120" s="250">
        <v>0</v>
      </c>
      <c r="L120" s="251">
        <v>0.47559055118110238</v>
      </c>
      <c r="M120" s="251">
        <v>0.41982507288629739</v>
      </c>
      <c r="N120" s="251">
        <v>0.3888888888888889</v>
      </c>
      <c r="O120" s="252">
        <v>0</v>
      </c>
      <c r="P120" s="250">
        <v>0.43946449359720607</v>
      </c>
      <c r="Q120" s="250">
        <v>0</v>
      </c>
      <c r="R120" s="251">
        <v>0</v>
      </c>
      <c r="S120" s="252">
        <v>0</v>
      </c>
      <c r="T120" s="250">
        <v>0</v>
      </c>
      <c r="U120" s="253"/>
      <c r="V120" s="254">
        <v>650</v>
      </c>
      <c r="W120" s="255">
        <v>0</v>
      </c>
      <c r="X120" s="255">
        <v>670</v>
      </c>
      <c r="Y120" s="255">
        <v>64</v>
      </c>
      <c r="Z120" s="255">
        <v>45</v>
      </c>
      <c r="AA120" s="255">
        <v>0</v>
      </c>
      <c r="AB120" s="255"/>
      <c r="AC120" s="256">
        <v>1429</v>
      </c>
      <c r="AD120" s="254">
        <v>0</v>
      </c>
      <c r="AE120" s="255">
        <v>302</v>
      </c>
      <c r="AF120" s="255">
        <v>432</v>
      </c>
      <c r="AG120" s="255">
        <v>21</v>
      </c>
      <c r="AH120" s="257">
        <v>0</v>
      </c>
      <c r="AI120" s="257">
        <v>755</v>
      </c>
      <c r="AJ120" s="254">
        <v>0</v>
      </c>
      <c r="AK120" s="255">
        <v>0</v>
      </c>
      <c r="AL120" s="257">
        <v>0</v>
      </c>
      <c r="AM120" s="254">
        <v>0</v>
      </c>
    </row>
    <row r="121" spans="1:41">
      <c r="A121" s="239"/>
      <c r="B121" s="239" t="s">
        <v>55</v>
      </c>
      <c r="C121" s="250">
        <v>0.24030037546933666</v>
      </c>
      <c r="D121" s="251">
        <v>0</v>
      </c>
      <c r="E121" s="251">
        <v>0.2836687306501548</v>
      </c>
      <c r="F121" s="251">
        <v>0.37419354838709679</v>
      </c>
      <c r="G121" s="251">
        <v>0.31386861313868614</v>
      </c>
      <c r="H121" s="251">
        <v>0</v>
      </c>
      <c r="I121" s="251"/>
      <c r="J121" s="530">
        <v>0.27151841868823001</v>
      </c>
      <c r="K121" s="250">
        <v>0</v>
      </c>
      <c r="L121" s="251">
        <v>0.18740157480314962</v>
      </c>
      <c r="M121" s="251">
        <v>0.22740524781341107</v>
      </c>
      <c r="N121" s="251">
        <v>0.12962962962962962</v>
      </c>
      <c r="O121" s="252">
        <v>0</v>
      </c>
      <c r="P121" s="250">
        <v>0.20954598370197905</v>
      </c>
      <c r="Q121" s="250">
        <v>0</v>
      </c>
      <c r="R121" s="251">
        <v>0</v>
      </c>
      <c r="S121" s="252">
        <v>0</v>
      </c>
      <c r="T121" s="250">
        <v>0</v>
      </c>
      <c r="U121" s="253"/>
      <c r="V121" s="254">
        <v>576</v>
      </c>
      <c r="W121" s="255">
        <v>0</v>
      </c>
      <c r="X121" s="255">
        <v>733</v>
      </c>
      <c r="Y121" s="255">
        <v>116</v>
      </c>
      <c r="Z121" s="255">
        <v>86</v>
      </c>
      <c r="AA121" s="255">
        <v>0</v>
      </c>
      <c r="AB121" s="255"/>
      <c r="AC121" s="256">
        <v>1511</v>
      </c>
      <c r="AD121" s="254">
        <v>0</v>
      </c>
      <c r="AE121" s="255">
        <v>119</v>
      </c>
      <c r="AF121" s="255">
        <v>234</v>
      </c>
      <c r="AG121" s="255">
        <v>7</v>
      </c>
      <c r="AH121" s="257">
        <v>0</v>
      </c>
      <c r="AI121" s="257">
        <v>360</v>
      </c>
      <c r="AJ121" s="254">
        <v>0</v>
      </c>
      <c r="AK121" s="255">
        <v>0</v>
      </c>
      <c r="AL121" s="257">
        <v>0</v>
      </c>
      <c r="AM121" s="254">
        <v>0</v>
      </c>
    </row>
    <row r="122" spans="1:41">
      <c r="A122" s="239"/>
      <c r="B122" s="239" t="s">
        <v>78</v>
      </c>
      <c r="C122" s="250">
        <v>6.0075093867334166E-2</v>
      </c>
      <c r="D122" s="251">
        <v>0</v>
      </c>
      <c r="E122" s="251">
        <v>8.2043343653250778E-2</v>
      </c>
      <c r="F122" s="251">
        <v>0.10967741935483871</v>
      </c>
      <c r="G122" s="251">
        <v>7.2992700729927001E-2</v>
      </c>
      <c r="H122" s="251">
        <v>0</v>
      </c>
      <c r="I122" s="251"/>
      <c r="J122" s="530">
        <v>7.3674752920035932E-2</v>
      </c>
      <c r="K122" s="250">
        <v>0</v>
      </c>
      <c r="L122" s="251">
        <v>0.19685039370078741</v>
      </c>
      <c r="M122" s="251">
        <v>0.24198250728862974</v>
      </c>
      <c r="N122" s="251">
        <v>0.29629629629629628</v>
      </c>
      <c r="O122" s="252">
        <v>0</v>
      </c>
      <c r="P122" s="250">
        <v>0.22700814901047731</v>
      </c>
      <c r="Q122" s="250">
        <v>0</v>
      </c>
      <c r="R122" s="251">
        <v>0</v>
      </c>
      <c r="S122" s="252">
        <v>0</v>
      </c>
      <c r="T122" s="250">
        <v>0</v>
      </c>
      <c r="U122" s="253"/>
      <c r="V122" s="254">
        <v>144</v>
      </c>
      <c r="W122" s="255">
        <v>0</v>
      </c>
      <c r="X122" s="255">
        <v>212</v>
      </c>
      <c r="Y122" s="255">
        <v>34</v>
      </c>
      <c r="Z122" s="255">
        <v>20</v>
      </c>
      <c r="AA122" s="255">
        <v>0</v>
      </c>
      <c r="AB122" s="255"/>
      <c r="AC122" s="256">
        <v>410</v>
      </c>
      <c r="AD122" s="254">
        <v>0</v>
      </c>
      <c r="AE122" s="255">
        <v>125</v>
      </c>
      <c r="AF122" s="255">
        <v>249</v>
      </c>
      <c r="AG122" s="255">
        <v>16</v>
      </c>
      <c r="AH122" s="257">
        <v>0</v>
      </c>
      <c r="AI122" s="257">
        <v>390</v>
      </c>
      <c r="AJ122" s="254">
        <v>0</v>
      </c>
      <c r="AK122" s="255">
        <v>0</v>
      </c>
      <c r="AL122" s="257">
        <v>0</v>
      </c>
      <c r="AM122" s="254">
        <v>0</v>
      </c>
    </row>
    <row r="123" spans="1:41">
      <c r="A123" s="580"/>
      <c r="B123" s="580" t="s">
        <v>131</v>
      </c>
      <c r="C123" s="581">
        <f t="shared" ref="C123:T123" si="42">IF(V126&gt;0,(V123/V126),)</f>
        <v>0.10137672090112641</v>
      </c>
      <c r="D123" s="582">
        <f t="shared" si="42"/>
        <v>0</v>
      </c>
      <c r="E123" s="582">
        <f t="shared" si="42"/>
        <v>4.9922600619195047E-2</v>
      </c>
      <c r="F123" s="582">
        <f t="shared" si="42"/>
        <v>0</v>
      </c>
      <c r="G123" s="582">
        <f t="shared" si="42"/>
        <v>0.17518248175182483</v>
      </c>
      <c r="H123" s="582">
        <f t="shared" si="42"/>
        <v>0</v>
      </c>
      <c r="I123" s="583">
        <f t="shared" si="42"/>
        <v>0</v>
      </c>
      <c r="J123" s="584">
        <f t="shared" si="42"/>
        <v>7.5471698113207544E-2</v>
      </c>
      <c r="K123" s="581">
        <f t="shared" si="42"/>
        <v>0</v>
      </c>
      <c r="L123" s="582">
        <f t="shared" si="42"/>
        <v>0</v>
      </c>
      <c r="M123" s="582">
        <f t="shared" si="42"/>
        <v>3.8872691933916422E-3</v>
      </c>
      <c r="N123" s="582">
        <f t="shared" si="42"/>
        <v>0</v>
      </c>
      <c r="O123" s="583">
        <f t="shared" si="42"/>
        <v>0</v>
      </c>
      <c r="P123" s="581">
        <f t="shared" si="42"/>
        <v>2.3282887077997671E-3</v>
      </c>
      <c r="Q123" s="581">
        <f t="shared" si="42"/>
        <v>0</v>
      </c>
      <c r="R123" s="582">
        <f t="shared" si="42"/>
        <v>1</v>
      </c>
      <c r="S123" s="583">
        <f t="shared" si="42"/>
        <v>0</v>
      </c>
      <c r="T123" s="581">
        <f t="shared" si="42"/>
        <v>1</v>
      </c>
      <c r="U123" s="253"/>
      <c r="V123" s="585">
        <f t="shared" ref="V123:AM123" si="43">+V124+V125</f>
        <v>243</v>
      </c>
      <c r="W123" s="586">
        <f t="shared" si="43"/>
        <v>0</v>
      </c>
      <c r="X123" s="586">
        <f t="shared" si="43"/>
        <v>129</v>
      </c>
      <c r="Y123" s="586">
        <f t="shared" si="43"/>
        <v>0</v>
      </c>
      <c r="Z123" s="586">
        <f t="shared" si="43"/>
        <v>48</v>
      </c>
      <c r="AA123" s="586">
        <f t="shared" si="43"/>
        <v>0</v>
      </c>
      <c r="AB123" s="586">
        <f t="shared" si="43"/>
        <v>0</v>
      </c>
      <c r="AC123" s="587">
        <f t="shared" si="43"/>
        <v>420</v>
      </c>
      <c r="AD123" s="585">
        <f t="shared" si="43"/>
        <v>0</v>
      </c>
      <c r="AE123" s="586">
        <f t="shared" si="43"/>
        <v>0</v>
      </c>
      <c r="AF123" s="586">
        <f t="shared" si="43"/>
        <v>4</v>
      </c>
      <c r="AG123" s="586">
        <f t="shared" si="43"/>
        <v>0</v>
      </c>
      <c r="AH123" s="588">
        <f t="shared" si="43"/>
        <v>0</v>
      </c>
      <c r="AI123" s="588">
        <f t="shared" si="43"/>
        <v>4</v>
      </c>
      <c r="AJ123" s="585">
        <f t="shared" si="43"/>
        <v>0</v>
      </c>
      <c r="AK123" s="586">
        <f t="shared" si="43"/>
        <v>501</v>
      </c>
      <c r="AL123" s="588">
        <f t="shared" si="43"/>
        <v>0</v>
      </c>
      <c r="AM123" s="585">
        <f t="shared" si="43"/>
        <v>501</v>
      </c>
    </row>
    <row r="124" spans="1:41">
      <c r="A124" s="239"/>
      <c r="B124" s="239" t="s">
        <v>32</v>
      </c>
      <c r="C124" s="250">
        <v>0.10137672090112641</v>
      </c>
      <c r="D124" s="251">
        <v>0</v>
      </c>
      <c r="E124" s="251">
        <v>4.9922600619195047E-2</v>
      </c>
      <c r="F124" s="251">
        <v>0</v>
      </c>
      <c r="G124" s="251">
        <v>0.17518248175182483</v>
      </c>
      <c r="H124" s="251">
        <v>0</v>
      </c>
      <c r="I124" s="251"/>
      <c r="J124" s="530">
        <v>7.5471698113207544E-2</v>
      </c>
      <c r="K124" s="250">
        <v>0</v>
      </c>
      <c r="L124" s="273">
        <v>0</v>
      </c>
      <c r="M124" s="251">
        <v>3.8872691933916422E-3</v>
      </c>
      <c r="N124" s="251">
        <v>0</v>
      </c>
      <c r="O124" s="258">
        <v>0</v>
      </c>
      <c r="P124" s="272">
        <v>2.3282887077997671E-3</v>
      </c>
      <c r="Q124" s="250">
        <v>0</v>
      </c>
      <c r="R124" s="251">
        <v>0</v>
      </c>
      <c r="S124" s="252">
        <v>0</v>
      </c>
      <c r="T124" s="250">
        <v>0</v>
      </c>
      <c r="U124" s="253"/>
      <c r="V124" s="254">
        <v>243</v>
      </c>
      <c r="W124" s="255">
        <v>0</v>
      </c>
      <c r="X124" s="255">
        <v>129</v>
      </c>
      <c r="Y124" s="255">
        <v>0</v>
      </c>
      <c r="Z124" s="255">
        <v>48</v>
      </c>
      <c r="AA124" s="255">
        <v>0</v>
      </c>
      <c r="AB124" s="255"/>
      <c r="AC124" s="256">
        <v>420</v>
      </c>
      <c r="AD124" s="254">
        <v>0</v>
      </c>
      <c r="AE124" s="255">
        <v>0</v>
      </c>
      <c r="AF124" s="255">
        <v>4</v>
      </c>
      <c r="AG124" s="255">
        <v>0</v>
      </c>
      <c r="AH124" s="257">
        <v>0</v>
      </c>
      <c r="AI124" s="257">
        <v>4</v>
      </c>
      <c r="AJ124" s="254">
        <v>0</v>
      </c>
      <c r="AK124" s="255">
        <v>0</v>
      </c>
      <c r="AL124" s="257">
        <v>0</v>
      </c>
      <c r="AM124" s="254">
        <v>0</v>
      </c>
    </row>
    <row r="125" spans="1:41">
      <c r="A125" s="239"/>
      <c r="B125" s="239" t="s">
        <v>58</v>
      </c>
      <c r="C125" s="250">
        <v>0</v>
      </c>
      <c r="D125" s="251">
        <v>0</v>
      </c>
      <c r="E125" s="419">
        <v>0</v>
      </c>
      <c r="F125" s="251">
        <v>0</v>
      </c>
      <c r="G125" s="419">
        <v>0</v>
      </c>
      <c r="H125" s="251">
        <v>0</v>
      </c>
      <c r="I125" s="251"/>
      <c r="J125" s="532">
        <v>0</v>
      </c>
      <c r="K125" s="250">
        <v>0</v>
      </c>
      <c r="L125" s="251">
        <v>0</v>
      </c>
      <c r="M125" s="251">
        <v>0</v>
      </c>
      <c r="N125" s="251">
        <v>0</v>
      </c>
      <c r="O125" s="252">
        <v>0</v>
      </c>
      <c r="P125" s="250">
        <v>0</v>
      </c>
      <c r="Q125" s="250">
        <v>0</v>
      </c>
      <c r="R125" s="251">
        <v>1</v>
      </c>
      <c r="S125" s="252">
        <v>0</v>
      </c>
      <c r="T125" s="250">
        <v>1</v>
      </c>
      <c r="U125" s="253"/>
      <c r="V125" s="254">
        <v>0</v>
      </c>
      <c r="W125" s="255">
        <v>0</v>
      </c>
      <c r="X125" s="255">
        <v>0</v>
      </c>
      <c r="Y125" s="255">
        <v>0</v>
      </c>
      <c r="Z125" s="255">
        <v>0</v>
      </c>
      <c r="AA125" s="255">
        <v>0</v>
      </c>
      <c r="AB125" s="255"/>
      <c r="AC125" s="256">
        <v>0</v>
      </c>
      <c r="AD125" s="254">
        <v>0</v>
      </c>
      <c r="AE125" s="255">
        <v>0</v>
      </c>
      <c r="AF125" s="255">
        <v>0</v>
      </c>
      <c r="AG125" s="255">
        <v>0</v>
      </c>
      <c r="AH125" s="257">
        <v>0</v>
      </c>
      <c r="AI125" s="257">
        <v>0</v>
      </c>
      <c r="AJ125" s="254">
        <v>0</v>
      </c>
      <c r="AK125" s="255">
        <v>501</v>
      </c>
      <c r="AL125" s="257">
        <v>0</v>
      </c>
      <c r="AM125" s="254">
        <v>501</v>
      </c>
    </row>
    <row r="126" spans="1:41" s="527" customFormat="1">
      <c r="A126" s="436"/>
      <c r="B126" s="436" t="s">
        <v>59</v>
      </c>
      <c r="C126" s="577">
        <f>SUM(C119:C123)</f>
        <v>1</v>
      </c>
      <c r="D126" s="578">
        <f t="shared" ref="D126:J126" si="44">SUM(D119:D123)</f>
        <v>0</v>
      </c>
      <c r="E126" s="578">
        <f t="shared" si="44"/>
        <v>1</v>
      </c>
      <c r="F126" s="578">
        <f t="shared" si="44"/>
        <v>1</v>
      </c>
      <c r="G126" s="578">
        <f t="shared" si="44"/>
        <v>1</v>
      </c>
      <c r="H126" s="578">
        <f t="shared" si="44"/>
        <v>0</v>
      </c>
      <c r="I126" s="579">
        <f t="shared" si="44"/>
        <v>0</v>
      </c>
      <c r="J126" s="589">
        <f t="shared" si="44"/>
        <v>1</v>
      </c>
      <c r="K126" s="261">
        <v>0</v>
      </c>
      <c r="L126" s="262">
        <v>1</v>
      </c>
      <c r="M126" s="262">
        <v>1</v>
      </c>
      <c r="N126" s="262">
        <v>1</v>
      </c>
      <c r="O126" s="263">
        <v>0</v>
      </c>
      <c r="P126" s="261">
        <v>1</v>
      </c>
      <c r="Q126" s="261">
        <v>0</v>
      </c>
      <c r="R126" s="262">
        <v>1</v>
      </c>
      <c r="S126" s="263">
        <v>0</v>
      </c>
      <c r="T126" s="261">
        <v>1</v>
      </c>
      <c r="U126" s="264"/>
      <c r="V126" s="265">
        <v>2397</v>
      </c>
      <c r="W126" s="266">
        <v>0</v>
      </c>
      <c r="X126" s="266">
        <v>2584</v>
      </c>
      <c r="Y126" s="266">
        <v>310</v>
      </c>
      <c r="Z126" s="266">
        <v>274</v>
      </c>
      <c r="AA126" s="266">
        <v>0</v>
      </c>
      <c r="AB126" s="266"/>
      <c r="AC126" s="267">
        <v>5565</v>
      </c>
      <c r="AD126" s="265">
        <v>0</v>
      </c>
      <c r="AE126" s="266">
        <v>635</v>
      </c>
      <c r="AF126" s="266">
        <v>1029</v>
      </c>
      <c r="AG126" s="266">
        <v>54</v>
      </c>
      <c r="AH126" s="268">
        <v>0</v>
      </c>
      <c r="AI126" s="268">
        <v>1718</v>
      </c>
      <c r="AJ126" s="265">
        <v>0</v>
      </c>
      <c r="AK126" s="266">
        <v>501</v>
      </c>
      <c r="AL126" s="268">
        <v>0</v>
      </c>
      <c r="AM126" s="265">
        <v>501</v>
      </c>
      <c r="AN126" s="270"/>
      <c r="AO126" s="270"/>
    </row>
    <row r="127" spans="1:41">
      <c r="A127" s="240" t="s">
        <v>16</v>
      </c>
      <c r="B127" s="240" t="s">
        <v>53</v>
      </c>
      <c r="C127" s="241">
        <v>0.33404733854557139</v>
      </c>
      <c r="D127" s="242">
        <v>0.207909604519774</v>
      </c>
      <c r="E127" s="242">
        <v>0.21037998146431883</v>
      </c>
      <c r="F127" s="242">
        <v>0.16544655929721816</v>
      </c>
      <c r="G127" s="242">
        <v>0.15862068965517243</v>
      </c>
      <c r="H127" s="242">
        <v>0.23157894736842105</v>
      </c>
      <c r="I127" s="242"/>
      <c r="J127" s="529">
        <v>0.26971955600836506</v>
      </c>
      <c r="K127" s="241">
        <v>8.5517241379310341E-2</v>
      </c>
      <c r="L127" s="242">
        <v>0.21783053415835332</v>
      </c>
      <c r="M127" s="242">
        <v>6.4182842830306827E-2</v>
      </c>
      <c r="N127" s="242">
        <v>7.3813708260105443E-2</v>
      </c>
      <c r="O127" s="243">
        <v>0</v>
      </c>
      <c r="P127" s="241">
        <v>0.1639397114532119</v>
      </c>
      <c r="Q127" s="342">
        <v>0</v>
      </c>
      <c r="R127" s="242">
        <v>0</v>
      </c>
      <c r="S127" s="243">
        <v>0</v>
      </c>
      <c r="T127" s="342">
        <v>0</v>
      </c>
      <c r="U127" s="244"/>
      <c r="V127" s="245">
        <v>3119</v>
      </c>
      <c r="W127" s="246">
        <v>368</v>
      </c>
      <c r="X127" s="246">
        <v>1362</v>
      </c>
      <c r="Y127" s="246">
        <v>113</v>
      </c>
      <c r="Z127" s="246">
        <v>46</v>
      </c>
      <c r="AA127" s="246">
        <v>22</v>
      </c>
      <c r="AB127" s="246"/>
      <c r="AC127" s="247">
        <v>5030</v>
      </c>
      <c r="AD127" s="245">
        <v>62</v>
      </c>
      <c r="AE127" s="246">
        <v>1725</v>
      </c>
      <c r="AF127" s="246">
        <v>205</v>
      </c>
      <c r="AG127" s="246">
        <v>42</v>
      </c>
      <c r="AH127" s="248">
        <v>0</v>
      </c>
      <c r="AI127" s="248">
        <v>2034</v>
      </c>
      <c r="AJ127" s="245">
        <v>0</v>
      </c>
      <c r="AK127" s="246">
        <v>0</v>
      </c>
      <c r="AL127" s="248">
        <v>0</v>
      </c>
      <c r="AM127" s="245">
        <v>0</v>
      </c>
    </row>
    <row r="128" spans="1:41">
      <c r="A128" s="239"/>
      <c r="B128" s="239" t="s">
        <v>93</v>
      </c>
      <c r="C128" s="250">
        <v>0.24418978258541288</v>
      </c>
      <c r="D128" s="251">
        <v>0.25367231638418081</v>
      </c>
      <c r="E128" s="251">
        <v>0.22304603027494593</v>
      </c>
      <c r="F128" s="251">
        <v>0.25768667642752563</v>
      </c>
      <c r="G128" s="251">
        <v>0.29655172413793102</v>
      </c>
      <c r="H128" s="251">
        <v>0.17894736842105263</v>
      </c>
      <c r="I128" s="251"/>
      <c r="J128" s="530">
        <v>0.23872593704756287</v>
      </c>
      <c r="K128" s="250">
        <v>7.862068965517241E-2</v>
      </c>
      <c r="L128" s="251">
        <v>0.12021719914130571</v>
      </c>
      <c r="M128" s="251">
        <v>4.5397620538509709E-2</v>
      </c>
      <c r="N128" s="251">
        <v>5.9753954305799648E-2</v>
      </c>
      <c r="O128" s="252">
        <v>0</v>
      </c>
      <c r="P128" s="250">
        <v>9.5752397839929074E-2</v>
      </c>
      <c r="Q128" s="250">
        <v>0</v>
      </c>
      <c r="R128" s="251">
        <v>0</v>
      </c>
      <c r="S128" s="252">
        <v>0</v>
      </c>
      <c r="T128" s="250">
        <v>0</v>
      </c>
      <c r="U128" s="253"/>
      <c r="V128" s="254">
        <v>2280</v>
      </c>
      <c r="W128" s="255">
        <v>449</v>
      </c>
      <c r="X128" s="255">
        <v>1444</v>
      </c>
      <c r="Y128" s="255">
        <v>176</v>
      </c>
      <c r="Z128" s="255">
        <v>86</v>
      </c>
      <c r="AA128" s="255">
        <v>17</v>
      </c>
      <c r="AB128" s="255"/>
      <c r="AC128" s="256">
        <v>4452</v>
      </c>
      <c r="AD128" s="254">
        <v>57</v>
      </c>
      <c r="AE128" s="255">
        <v>952</v>
      </c>
      <c r="AF128" s="255">
        <v>145</v>
      </c>
      <c r="AG128" s="255">
        <v>34</v>
      </c>
      <c r="AH128" s="257">
        <v>0</v>
      </c>
      <c r="AI128" s="257">
        <v>1188</v>
      </c>
      <c r="AJ128" s="254">
        <v>0</v>
      </c>
      <c r="AK128" s="255">
        <v>0</v>
      </c>
      <c r="AL128" s="257">
        <v>0</v>
      </c>
      <c r="AM128" s="254">
        <v>0</v>
      </c>
    </row>
    <row r="129" spans="1:41">
      <c r="A129" s="239"/>
      <c r="B129" s="239" t="s">
        <v>55</v>
      </c>
      <c r="C129" s="250">
        <v>0.23251579736532077</v>
      </c>
      <c r="D129" s="251">
        <v>0.26158192090395482</v>
      </c>
      <c r="E129" s="251">
        <v>0.29966017917825144</v>
      </c>
      <c r="F129" s="251">
        <v>0.28550512445095166</v>
      </c>
      <c r="G129" s="251">
        <v>0.32413793103448274</v>
      </c>
      <c r="H129" s="251">
        <v>0.16842105263157894</v>
      </c>
      <c r="I129" s="251"/>
      <c r="J129" s="530">
        <v>0.26162260711030083</v>
      </c>
      <c r="K129" s="250">
        <v>0.12</v>
      </c>
      <c r="L129" s="251">
        <v>0.11087258492233867</v>
      </c>
      <c r="M129" s="251">
        <v>4.1014402003757042E-2</v>
      </c>
      <c r="N129" s="251">
        <v>0.11072056239015818</v>
      </c>
      <c r="O129" s="252">
        <v>0</v>
      </c>
      <c r="P129" s="250">
        <v>9.3415007656967836E-2</v>
      </c>
      <c r="Q129" s="250">
        <v>0</v>
      </c>
      <c r="R129" s="251">
        <v>0</v>
      </c>
      <c r="S129" s="252">
        <v>0</v>
      </c>
      <c r="T129" s="250">
        <v>0</v>
      </c>
      <c r="U129" s="253"/>
      <c r="V129" s="254">
        <v>2171</v>
      </c>
      <c r="W129" s="255">
        <v>463</v>
      </c>
      <c r="X129" s="255">
        <v>1940</v>
      </c>
      <c r="Y129" s="255">
        <v>195</v>
      </c>
      <c r="Z129" s="255">
        <v>94</v>
      </c>
      <c r="AA129" s="255">
        <v>16</v>
      </c>
      <c r="AB129" s="255"/>
      <c r="AC129" s="256">
        <v>4879</v>
      </c>
      <c r="AD129" s="254">
        <v>87</v>
      </c>
      <c r="AE129" s="255">
        <v>878</v>
      </c>
      <c r="AF129" s="255">
        <v>131</v>
      </c>
      <c r="AG129" s="255">
        <v>63</v>
      </c>
      <c r="AH129" s="257">
        <v>0</v>
      </c>
      <c r="AI129" s="257">
        <v>1159</v>
      </c>
      <c r="AJ129" s="254">
        <v>0</v>
      </c>
      <c r="AK129" s="255">
        <v>0</v>
      </c>
      <c r="AL129" s="257">
        <v>0</v>
      </c>
      <c r="AM129" s="254">
        <v>0</v>
      </c>
    </row>
    <row r="130" spans="1:41">
      <c r="A130" s="239"/>
      <c r="B130" s="239" t="s">
        <v>78</v>
      </c>
      <c r="C130" s="250">
        <v>2.4097675913034165E-2</v>
      </c>
      <c r="D130" s="251">
        <v>6.7796610169491523E-3</v>
      </c>
      <c r="E130" s="251">
        <v>7.1516836577077539E-2</v>
      </c>
      <c r="F130" s="251">
        <v>0.13469985358711567</v>
      </c>
      <c r="G130" s="251">
        <v>2.7586206896551724E-2</v>
      </c>
      <c r="H130" s="251">
        <v>0</v>
      </c>
      <c r="I130" s="251"/>
      <c r="J130" s="530">
        <v>4.2897742506300608E-2</v>
      </c>
      <c r="K130" s="250">
        <v>0.70620689655172408</v>
      </c>
      <c r="L130" s="251">
        <v>0.14837732036873344</v>
      </c>
      <c r="M130" s="251">
        <v>0.15654351909830932</v>
      </c>
      <c r="N130" s="251">
        <v>0.5711775043936731</v>
      </c>
      <c r="O130" s="252">
        <v>0</v>
      </c>
      <c r="P130" s="250">
        <v>0.20246634964133151</v>
      </c>
      <c r="Q130" s="250">
        <v>0</v>
      </c>
      <c r="R130" s="251">
        <v>0</v>
      </c>
      <c r="S130" s="252">
        <v>0</v>
      </c>
      <c r="T130" s="250">
        <v>0</v>
      </c>
      <c r="U130" s="253"/>
      <c r="V130" s="254">
        <v>225</v>
      </c>
      <c r="W130" s="255">
        <v>12</v>
      </c>
      <c r="X130" s="255">
        <v>463</v>
      </c>
      <c r="Y130" s="255">
        <v>92</v>
      </c>
      <c r="Z130" s="255">
        <v>8</v>
      </c>
      <c r="AA130" s="255">
        <v>0</v>
      </c>
      <c r="AB130" s="255"/>
      <c r="AC130" s="256">
        <v>800</v>
      </c>
      <c r="AD130" s="254">
        <v>512</v>
      </c>
      <c r="AE130" s="255">
        <v>1175</v>
      </c>
      <c r="AF130" s="255">
        <v>500</v>
      </c>
      <c r="AG130" s="255">
        <v>325</v>
      </c>
      <c r="AH130" s="257">
        <v>0</v>
      </c>
      <c r="AI130" s="257">
        <v>2512</v>
      </c>
      <c r="AJ130" s="254">
        <v>0</v>
      </c>
      <c r="AK130" s="255">
        <v>0</v>
      </c>
      <c r="AL130" s="257">
        <v>0</v>
      </c>
      <c r="AM130" s="254">
        <v>0</v>
      </c>
    </row>
    <row r="131" spans="1:41">
      <c r="A131" s="580"/>
      <c r="B131" s="580" t="s">
        <v>131</v>
      </c>
      <c r="C131" s="581">
        <f t="shared" ref="C131:T131" si="45">IF(V134&gt;0,(V131/V134),)</f>
        <v>0.16514940559066082</v>
      </c>
      <c r="D131" s="582">
        <f t="shared" si="45"/>
        <v>0.27005649717514124</v>
      </c>
      <c r="E131" s="582">
        <f t="shared" si="45"/>
        <v>0.19539697250540625</v>
      </c>
      <c r="F131" s="582">
        <f t="shared" si="45"/>
        <v>0.15666178623718888</v>
      </c>
      <c r="G131" s="582">
        <f t="shared" si="45"/>
        <v>0.19310344827586207</v>
      </c>
      <c r="H131" s="582">
        <f t="shared" si="45"/>
        <v>0.42105263157894735</v>
      </c>
      <c r="I131" s="583">
        <f t="shared" si="45"/>
        <v>0</v>
      </c>
      <c r="J131" s="584">
        <f t="shared" si="45"/>
        <v>0.18703415732747064</v>
      </c>
      <c r="K131" s="581">
        <f t="shared" si="45"/>
        <v>9.655172413793104E-3</v>
      </c>
      <c r="L131" s="582">
        <f t="shared" si="45"/>
        <v>0.40270236140926885</v>
      </c>
      <c r="M131" s="582">
        <f t="shared" si="45"/>
        <v>0.69286161552911707</v>
      </c>
      <c r="N131" s="582">
        <f t="shared" si="45"/>
        <v>0.18453427065026362</v>
      </c>
      <c r="O131" s="583">
        <f t="shared" si="45"/>
        <v>0</v>
      </c>
      <c r="P131" s="581">
        <f t="shared" si="45"/>
        <v>0.4444265334085597</v>
      </c>
      <c r="Q131" s="581">
        <f t="shared" si="45"/>
        <v>0</v>
      </c>
      <c r="R131" s="582">
        <f t="shared" si="45"/>
        <v>0</v>
      </c>
      <c r="S131" s="583">
        <f t="shared" si="45"/>
        <v>0</v>
      </c>
      <c r="T131" s="581">
        <f t="shared" si="45"/>
        <v>0</v>
      </c>
      <c r="U131" s="253"/>
      <c r="V131" s="585">
        <f t="shared" ref="V131:AM131" si="46">+V132+V133</f>
        <v>1542</v>
      </c>
      <c r="W131" s="586">
        <f t="shared" si="46"/>
        <v>478</v>
      </c>
      <c r="X131" s="586">
        <f t="shared" si="46"/>
        <v>1265</v>
      </c>
      <c r="Y131" s="586">
        <f t="shared" si="46"/>
        <v>107</v>
      </c>
      <c r="Z131" s="586">
        <f t="shared" si="46"/>
        <v>56</v>
      </c>
      <c r="AA131" s="586">
        <f t="shared" si="46"/>
        <v>40</v>
      </c>
      <c r="AB131" s="586">
        <f t="shared" si="46"/>
        <v>0</v>
      </c>
      <c r="AC131" s="587">
        <f t="shared" si="46"/>
        <v>3488</v>
      </c>
      <c r="AD131" s="585">
        <f t="shared" si="46"/>
        <v>7</v>
      </c>
      <c r="AE131" s="586">
        <f t="shared" si="46"/>
        <v>3189</v>
      </c>
      <c r="AF131" s="586">
        <f t="shared" si="46"/>
        <v>2213</v>
      </c>
      <c r="AG131" s="586">
        <f t="shared" si="46"/>
        <v>105</v>
      </c>
      <c r="AH131" s="588">
        <f t="shared" si="46"/>
        <v>0</v>
      </c>
      <c r="AI131" s="588">
        <f t="shared" si="46"/>
        <v>5514</v>
      </c>
      <c r="AJ131" s="585">
        <f t="shared" si="46"/>
        <v>0</v>
      </c>
      <c r="AK131" s="586">
        <f t="shared" si="46"/>
        <v>0</v>
      </c>
      <c r="AL131" s="588">
        <f t="shared" si="46"/>
        <v>0</v>
      </c>
      <c r="AM131" s="585">
        <f t="shared" si="46"/>
        <v>0</v>
      </c>
    </row>
    <row r="132" spans="1:41">
      <c r="A132" s="239"/>
      <c r="B132" s="239" t="s">
        <v>32</v>
      </c>
      <c r="C132" s="250">
        <v>0.16514940559066082</v>
      </c>
      <c r="D132" s="251">
        <v>0.27005649717514124</v>
      </c>
      <c r="E132" s="251">
        <v>0.19539697250540625</v>
      </c>
      <c r="F132" s="251">
        <v>0.15666178623718888</v>
      </c>
      <c r="G132" s="251">
        <v>0.19310344827586207</v>
      </c>
      <c r="H132" s="251">
        <v>0.42105263157894735</v>
      </c>
      <c r="I132" s="251"/>
      <c r="J132" s="530">
        <v>0.18703415732747064</v>
      </c>
      <c r="K132" s="250">
        <v>0</v>
      </c>
      <c r="L132" s="251">
        <v>7.3241570905417351E-3</v>
      </c>
      <c r="M132" s="273">
        <v>1.878522229179712E-3</v>
      </c>
      <c r="N132" s="273">
        <v>3.5149384885764497E-3</v>
      </c>
      <c r="O132" s="258">
        <v>0</v>
      </c>
      <c r="P132" s="250">
        <v>5.3195776577738369E-3</v>
      </c>
      <c r="Q132" s="250">
        <v>0</v>
      </c>
      <c r="R132" s="251">
        <v>0</v>
      </c>
      <c r="S132" s="252">
        <v>0</v>
      </c>
      <c r="T132" s="250">
        <v>0</v>
      </c>
      <c r="U132" s="253"/>
      <c r="V132" s="254">
        <v>1542</v>
      </c>
      <c r="W132" s="255">
        <v>478</v>
      </c>
      <c r="X132" s="255">
        <v>1265</v>
      </c>
      <c r="Y132" s="255">
        <v>107</v>
      </c>
      <c r="Z132" s="255">
        <v>56</v>
      </c>
      <c r="AA132" s="255">
        <v>40</v>
      </c>
      <c r="AB132" s="255"/>
      <c r="AC132" s="256">
        <v>3488</v>
      </c>
      <c r="AD132" s="254">
        <v>0</v>
      </c>
      <c r="AE132" s="255">
        <v>58</v>
      </c>
      <c r="AF132" s="255">
        <v>6</v>
      </c>
      <c r="AG132" s="255">
        <v>2</v>
      </c>
      <c r="AH132" s="257">
        <v>0</v>
      </c>
      <c r="AI132" s="257">
        <v>66</v>
      </c>
      <c r="AJ132" s="254">
        <v>0</v>
      </c>
      <c r="AK132" s="255">
        <v>0</v>
      </c>
      <c r="AL132" s="257">
        <v>0</v>
      </c>
      <c r="AM132" s="254">
        <v>0</v>
      </c>
    </row>
    <row r="133" spans="1:41">
      <c r="A133" s="239"/>
      <c r="B133" s="239" t="s">
        <v>58</v>
      </c>
      <c r="C133" s="250">
        <v>0</v>
      </c>
      <c r="D133" s="251">
        <v>0</v>
      </c>
      <c r="E133" s="251">
        <v>0</v>
      </c>
      <c r="F133" s="251">
        <v>0</v>
      </c>
      <c r="G133" s="251">
        <v>0</v>
      </c>
      <c r="H133" s="251">
        <v>0</v>
      </c>
      <c r="I133" s="251"/>
      <c r="J133" s="530">
        <v>0</v>
      </c>
      <c r="K133" s="250">
        <v>9.655172413793104E-3</v>
      </c>
      <c r="L133" s="251">
        <v>0.39537820431872711</v>
      </c>
      <c r="M133" s="251">
        <v>0.69098309329993735</v>
      </c>
      <c r="N133" s="251">
        <v>0.18101933216168717</v>
      </c>
      <c r="O133" s="252">
        <v>0</v>
      </c>
      <c r="P133" s="250">
        <v>0.43910695575078584</v>
      </c>
      <c r="Q133" s="250">
        <v>0</v>
      </c>
      <c r="R133" s="251">
        <v>0</v>
      </c>
      <c r="S133" s="252">
        <v>0</v>
      </c>
      <c r="T133" s="250">
        <v>0</v>
      </c>
      <c r="U133" s="253"/>
      <c r="V133" s="254">
        <v>0</v>
      </c>
      <c r="W133" s="255">
        <v>0</v>
      </c>
      <c r="X133" s="255">
        <v>0</v>
      </c>
      <c r="Y133" s="255">
        <v>0</v>
      </c>
      <c r="Z133" s="255">
        <v>0</v>
      </c>
      <c r="AA133" s="255">
        <v>0</v>
      </c>
      <c r="AB133" s="255"/>
      <c r="AC133" s="256">
        <v>0</v>
      </c>
      <c r="AD133" s="254">
        <v>7</v>
      </c>
      <c r="AE133" s="255">
        <v>3131</v>
      </c>
      <c r="AF133" s="255">
        <v>2207</v>
      </c>
      <c r="AG133" s="255">
        <v>103</v>
      </c>
      <c r="AH133" s="257">
        <v>0</v>
      </c>
      <c r="AI133" s="257">
        <v>5448</v>
      </c>
      <c r="AJ133" s="254">
        <v>0</v>
      </c>
      <c r="AK133" s="255">
        <v>0</v>
      </c>
      <c r="AL133" s="257">
        <v>0</v>
      </c>
      <c r="AM133" s="254">
        <v>0</v>
      </c>
    </row>
    <row r="134" spans="1:41" s="527" customFormat="1">
      <c r="A134" s="436"/>
      <c r="B134" s="436" t="s">
        <v>59</v>
      </c>
      <c r="C134" s="577">
        <f>SUM(C127:C131)</f>
        <v>1</v>
      </c>
      <c r="D134" s="578">
        <f t="shared" ref="D134:J134" si="47">SUM(D127:D131)</f>
        <v>1</v>
      </c>
      <c r="E134" s="578">
        <f t="shared" si="47"/>
        <v>0.99999999999999989</v>
      </c>
      <c r="F134" s="578">
        <f t="shared" si="47"/>
        <v>1</v>
      </c>
      <c r="G134" s="578">
        <f t="shared" si="47"/>
        <v>1</v>
      </c>
      <c r="H134" s="578">
        <f t="shared" si="47"/>
        <v>1</v>
      </c>
      <c r="I134" s="579">
        <f t="shared" si="47"/>
        <v>0</v>
      </c>
      <c r="J134" s="589">
        <f t="shared" si="47"/>
        <v>1</v>
      </c>
      <c r="K134" s="261">
        <v>1</v>
      </c>
      <c r="L134" s="262">
        <v>1</v>
      </c>
      <c r="M134" s="262">
        <v>1</v>
      </c>
      <c r="N134" s="262">
        <v>1</v>
      </c>
      <c r="O134" s="263">
        <v>0</v>
      </c>
      <c r="P134" s="261">
        <v>1</v>
      </c>
      <c r="Q134" s="261">
        <v>0</v>
      </c>
      <c r="R134" s="262">
        <v>0</v>
      </c>
      <c r="S134" s="263">
        <v>0</v>
      </c>
      <c r="T134" s="261">
        <v>0</v>
      </c>
      <c r="U134" s="264"/>
      <c r="V134" s="265">
        <v>9337</v>
      </c>
      <c r="W134" s="266">
        <v>1770</v>
      </c>
      <c r="X134" s="266">
        <v>6474</v>
      </c>
      <c r="Y134" s="266">
        <v>683</v>
      </c>
      <c r="Z134" s="266">
        <v>290</v>
      </c>
      <c r="AA134" s="266">
        <v>95</v>
      </c>
      <c r="AB134" s="266"/>
      <c r="AC134" s="267">
        <v>18649</v>
      </c>
      <c r="AD134" s="265">
        <v>725</v>
      </c>
      <c r="AE134" s="266">
        <v>7919</v>
      </c>
      <c r="AF134" s="266">
        <v>3194</v>
      </c>
      <c r="AG134" s="266">
        <v>569</v>
      </c>
      <c r="AH134" s="268">
        <v>0</v>
      </c>
      <c r="AI134" s="268">
        <v>12407</v>
      </c>
      <c r="AJ134" s="265">
        <v>0</v>
      </c>
      <c r="AK134" s="266">
        <v>0</v>
      </c>
      <c r="AL134" s="268">
        <v>0</v>
      </c>
      <c r="AM134" s="265">
        <v>0</v>
      </c>
      <c r="AN134" s="270"/>
      <c r="AO134" s="270"/>
    </row>
    <row r="135" spans="1:41">
      <c r="A135" s="240" t="s">
        <v>17</v>
      </c>
      <c r="B135" s="240" t="s">
        <v>53</v>
      </c>
      <c r="C135" s="241">
        <v>0.34626797534809406</v>
      </c>
      <c r="D135" s="242">
        <v>0.25980105324751318</v>
      </c>
      <c r="E135" s="242">
        <v>0.29506802721088438</v>
      </c>
      <c r="F135" s="242">
        <v>0.26182965299684541</v>
      </c>
      <c r="G135" s="242">
        <v>0.23503649635036497</v>
      </c>
      <c r="H135" s="242">
        <v>0.19354838709677419</v>
      </c>
      <c r="I135" s="242"/>
      <c r="J135" s="529">
        <v>0.30571560267342707</v>
      </c>
      <c r="K135" s="241">
        <v>0</v>
      </c>
      <c r="L135" s="242">
        <v>0</v>
      </c>
      <c r="M135" s="242">
        <v>0</v>
      </c>
      <c r="N135" s="242">
        <v>0.27272727272727271</v>
      </c>
      <c r="O135" s="243">
        <v>0.20313219714417319</v>
      </c>
      <c r="P135" s="241">
        <v>0.20417422867513613</v>
      </c>
      <c r="Q135" s="342">
        <v>0</v>
      </c>
      <c r="R135" s="242">
        <v>0</v>
      </c>
      <c r="S135" s="243">
        <v>0</v>
      </c>
      <c r="T135" s="342">
        <v>0</v>
      </c>
      <c r="U135" s="244"/>
      <c r="V135" s="245">
        <v>1517</v>
      </c>
      <c r="W135" s="246">
        <v>444</v>
      </c>
      <c r="X135" s="246">
        <v>347</v>
      </c>
      <c r="Y135" s="246">
        <v>166</v>
      </c>
      <c r="Z135" s="246">
        <v>161</v>
      </c>
      <c r="AA135" s="246">
        <v>18</v>
      </c>
      <c r="AB135" s="246"/>
      <c r="AC135" s="247">
        <v>2653</v>
      </c>
      <c r="AD135" s="245">
        <v>0</v>
      </c>
      <c r="AE135" s="246">
        <v>0</v>
      </c>
      <c r="AF135" s="246">
        <v>0</v>
      </c>
      <c r="AG135" s="246">
        <v>9</v>
      </c>
      <c r="AH135" s="248">
        <v>441</v>
      </c>
      <c r="AI135" s="248">
        <v>450</v>
      </c>
      <c r="AJ135" s="245">
        <v>0</v>
      </c>
      <c r="AK135" s="246">
        <v>0</v>
      </c>
      <c r="AL135" s="248">
        <v>0</v>
      </c>
      <c r="AM135" s="245">
        <v>0</v>
      </c>
    </row>
    <row r="136" spans="1:41">
      <c r="A136" s="239"/>
      <c r="B136" s="239" t="s">
        <v>93</v>
      </c>
      <c r="C136" s="250">
        <v>0.29171422049760326</v>
      </c>
      <c r="D136" s="251">
        <v>0.29373902867173785</v>
      </c>
      <c r="E136" s="251">
        <v>0.24319727891156462</v>
      </c>
      <c r="F136" s="251">
        <v>0.28391167192429023</v>
      </c>
      <c r="G136" s="251">
        <v>0.3197080291970803</v>
      </c>
      <c r="H136" s="251">
        <v>0.27956989247311825</v>
      </c>
      <c r="I136" s="251"/>
      <c r="J136" s="530">
        <v>0.28704770684489511</v>
      </c>
      <c r="K136" s="250">
        <v>0</v>
      </c>
      <c r="L136" s="251">
        <v>0</v>
      </c>
      <c r="M136" s="251">
        <v>0</v>
      </c>
      <c r="N136" s="251">
        <v>0.48484848484848486</v>
      </c>
      <c r="O136" s="252">
        <v>0.29801934592353752</v>
      </c>
      <c r="P136" s="250">
        <v>0.30081669691470053</v>
      </c>
      <c r="Q136" s="250">
        <v>0</v>
      </c>
      <c r="R136" s="251">
        <v>0</v>
      </c>
      <c r="S136" s="252">
        <v>0</v>
      </c>
      <c r="T136" s="250">
        <v>0</v>
      </c>
      <c r="U136" s="253"/>
      <c r="V136" s="254">
        <v>1278</v>
      </c>
      <c r="W136" s="255">
        <v>502</v>
      </c>
      <c r="X136" s="255">
        <v>286</v>
      </c>
      <c r="Y136" s="255">
        <v>180</v>
      </c>
      <c r="Z136" s="255">
        <v>219</v>
      </c>
      <c r="AA136" s="255">
        <v>26</v>
      </c>
      <c r="AB136" s="255"/>
      <c r="AC136" s="256">
        <v>2491</v>
      </c>
      <c r="AD136" s="254">
        <v>0</v>
      </c>
      <c r="AE136" s="255">
        <v>0</v>
      </c>
      <c r="AF136" s="255">
        <v>0</v>
      </c>
      <c r="AG136" s="255">
        <v>16</v>
      </c>
      <c r="AH136" s="257">
        <v>647</v>
      </c>
      <c r="AI136" s="257">
        <v>663</v>
      </c>
      <c r="AJ136" s="254">
        <v>0</v>
      </c>
      <c r="AK136" s="255">
        <v>0</v>
      </c>
      <c r="AL136" s="257">
        <v>0</v>
      </c>
      <c r="AM136" s="254">
        <v>0</v>
      </c>
    </row>
    <row r="137" spans="1:41">
      <c r="A137" s="239"/>
      <c r="B137" s="239" t="s">
        <v>55</v>
      </c>
      <c r="C137" s="250">
        <v>0.24629080118694363</v>
      </c>
      <c r="D137" s="251">
        <v>0.30251609128145113</v>
      </c>
      <c r="E137" s="251">
        <v>0.31717687074829931</v>
      </c>
      <c r="F137" s="251">
        <v>0.34069400630914826</v>
      </c>
      <c r="G137" s="251">
        <v>0.31532846715328466</v>
      </c>
      <c r="H137" s="251">
        <v>0.26881720430107525</v>
      </c>
      <c r="I137" s="251"/>
      <c r="J137" s="530">
        <v>0.27955750172850885</v>
      </c>
      <c r="K137" s="250">
        <v>0</v>
      </c>
      <c r="L137" s="251">
        <v>0</v>
      </c>
      <c r="M137" s="251">
        <v>0</v>
      </c>
      <c r="N137" s="251">
        <v>0.24242424242424243</v>
      </c>
      <c r="O137" s="252">
        <v>0.31275909719023492</v>
      </c>
      <c r="P137" s="250">
        <v>0.31170598911070779</v>
      </c>
      <c r="Q137" s="250">
        <v>0</v>
      </c>
      <c r="R137" s="251">
        <v>0</v>
      </c>
      <c r="S137" s="252">
        <v>0</v>
      </c>
      <c r="T137" s="250">
        <v>0</v>
      </c>
      <c r="U137" s="253"/>
      <c r="V137" s="254">
        <v>1079</v>
      </c>
      <c r="W137" s="255">
        <v>517</v>
      </c>
      <c r="X137" s="255">
        <v>373</v>
      </c>
      <c r="Y137" s="255">
        <v>216</v>
      </c>
      <c r="Z137" s="255">
        <v>216</v>
      </c>
      <c r="AA137" s="255">
        <v>25</v>
      </c>
      <c r="AB137" s="255"/>
      <c r="AC137" s="256">
        <v>2426</v>
      </c>
      <c r="AD137" s="254">
        <v>0</v>
      </c>
      <c r="AE137" s="255">
        <v>0</v>
      </c>
      <c r="AF137" s="255">
        <v>0</v>
      </c>
      <c r="AG137" s="255">
        <v>8</v>
      </c>
      <c r="AH137" s="257">
        <v>679</v>
      </c>
      <c r="AI137" s="257">
        <v>687</v>
      </c>
      <c r="AJ137" s="254">
        <v>0</v>
      </c>
      <c r="AK137" s="255">
        <v>0</v>
      </c>
      <c r="AL137" s="257">
        <v>0</v>
      </c>
      <c r="AM137" s="254">
        <v>0</v>
      </c>
    </row>
    <row r="138" spans="1:41">
      <c r="A138" s="239"/>
      <c r="B138" s="239" t="s">
        <v>78</v>
      </c>
      <c r="C138" s="250">
        <v>6.2999315224834512E-2</v>
      </c>
      <c r="D138" s="251">
        <v>0.13809245172615564</v>
      </c>
      <c r="E138" s="251">
        <v>0.14455782312925169</v>
      </c>
      <c r="F138" s="251">
        <v>0.11356466876971609</v>
      </c>
      <c r="G138" s="251">
        <v>7.2992700729927001E-2</v>
      </c>
      <c r="H138" s="251">
        <v>0.22580645161290322</v>
      </c>
      <c r="I138" s="251"/>
      <c r="J138" s="530">
        <v>9.5067988015671817E-2</v>
      </c>
      <c r="K138" s="250">
        <v>0</v>
      </c>
      <c r="L138" s="251">
        <v>0</v>
      </c>
      <c r="M138" s="251">
        <v>0</v>
      </c>
      <c r="N138" s="251">
        <v>0</v>
      </c>
      <c r="O138" s="252">
        <v>0.18608935974205434</v>
      </c>
      <c r="P138" s="250">
        <v>0.18330308529945555</v>
      </c>
      <c r="Q138" s="250">
        <v>0</v>
      </c>
      <c r="R138" s="251">
        <v>0</v>
      </c>
      <c r="S138" s="252">
        <v>0</v>
      </c>
      <c r="T138" s="250">
        <v>0</v>
      </c>
      <c r="U138" s="253"/>
      <c r="V138" s="254">
        <v>276</v>
      </c>
      <c r="W138" s="255">
        <v>236</v>
      </c>
      <c r="X138" s="255">
        <v>170</v>
      </c>
      <c r="Y138" s="255">
        <v>72</v>
      </c>
      <c r="Z138" s="255">
        <v>50</v>
      </c>
      <c r="AA138" s="255">
        <v>21</v>
      </c>
      <c r="AB138" s="255"/>
      <c r="AC138" s="256">
        <v>825</v>
      </c>
      <c r="AD138" s="254">
        <v>0</v>
      </c>
      <c r="AE138" s="255">
        <v>0</v>
      </c>
      <c r="AF138" s="255">
        <v>0</v>
      </c>
      <c r="AG138" s="255">
        <v>0</v>
      </c>
      <c r="AH138" s="257">
        <v>404</v>
      </c>
      <c r="AI138" s="257">
        <v>404</v>
      </c>
      <c r="AJ138" s="254">
        <v>0</v>
      </c>
      <c r="AK138" s="255">
        <v>0</v>
      </c>
      <c r="AL138" s="257">
        <v>0</v>
      </c>
      <c r="AM138" s="254">
        <v>0</v>
      </c>
    </row>
    <row r="139" spans="1:41">
      <c r="A139" s="580"/>
      <c r="B139" s="580" t="s">
        <v>131</v>
      </c>
      <c r="C139" s="581">
        <f t="shared" ref="C139:T139" si="48">IF(V142&gt;0,(V139/V142),)</f>
        <v>5.2727687742524537E-2</v>
      </c>
      <c r="D139" s="582">
        <f t="shared" si="48"/>
        <v>5.8513750731421883E-3</v>
      </c>
      <c r="E139" s="582">
        <f t="shared" si="48"/>
        <v>0</v>
      </c>
      <c r="F139" s="582">
        <f t="shared" si="48"/>
        <v>0</v>
      </c>
      <c r="G139" s="582">
        <f t="shared" si="48"/>
        <v>5.6934306569343063E-2</v>
      </c>
      <c r="H139" s="582">
        <f t="shared" si="48"/>
        <v>3.2258064516129031E-2</v>
      </c>
      <c r="I139" s="583">
        <f t="shared" si="48"/>
        <v>0</v>
      </c>
      <c r="J139" s="584">
        <f t="shared" si="48"/>
        <v>3.2611200737497119E-2</v>
      </c>
      <c r="K139" s="581">
        <f t="shared" si="48"/>
        <v>0</v>
      </c>
      <c r="L139" s="582">
        <f t="shared" si="48"/>
        <v>0</v>
      </c>
      <c r="M139" s="582">
        <f t="shared" si="48"/>
        <v>0</v>
      </c>
      <c r="N139" s="582">
        <f t="shared" si="48"/>
        <v>0</v>
      </c>
      <c r="O139" s="583">
        <f t="shared" si="48"/>
        <v>0</v>
      </c>
      <c r="P139" s="581">
        <f t="shared" si="48"/>
        <v>0</v>
      </c>
      <c r="Q139" s="581">
        <f t="shared" si="48"/>
        <v>0</v>
      </c>
      <c r="R139" s="582">
        <f t="shared" si="48"/>
        <v>0</v>
      </c>
      <c r="S139" s="583">
        <f t="shared" si="48"/>
        <v>0</v>
      </c>
      <c r="T139" s="581">
        <f t="shared" si="48"/>
        <v>0</v>
      </c>
      <c r="U139" s="253"/>
      <c r="V139" s="585">
        <f t="shared" ref="V139:AM139" si="49">+V140+V141</f>
        <v>231</v>
      </c>
      <c r="W139" s="586">
        <f t="shared" si="49"/>
        <v>10</v>
      </c>
      <c r="X139" s="586">
        <f t="shared" si="49"/>
        <v>0</v>
      </c>
      <c r="Y139" s="586">
        <f t="shared" si="49"/>
        <v>0</v>
      </c>
      <c r="Z139" s="586">
        <f t="shared" si="49"/>
        <v>39</v>
      </c>
      <c r="AA139" s="586">
        <f t="shared" si="49"/>
        <v>3</v>
      </c>
      <c r="AB139" s="586">
        <f t="shared" si="49"/>
        <v>0</v>
      </c>
      <c r="AC139" s="587">
        <f t="shared" si="49"/>
        <v>283</v>
      </c>
      <c r="AD139" s="585">
        <f t="shared" si="49"/>
        <v>0</v>
      </c>
      <c r="AE139" s="586">
        <f t="shared" si="49"/>
        <v>0</v>
      </c>
      <c r="AF139" s="586">
        <f t="shared" si="49"/>
        <v>0</v>
      </c>
      <c r="AG139" s="586">
        <f t="shared" si="49"/>
        <v>0</v>
      </c>
      <c r="AH139" s="588">
        <f t="shared" si="49"/>
        <v>0</v>
      </c>
      <c r="AI139" s="588">
        <f t="shared" si="49"/>
        <v>0</v>
      </c>
      <c r="AJ139" s="585">
        <f t="shared" si="49"/>
        <v>0</v>
      </c>
      <c r="AK139" s="586">
        <f t="shared" si="49"/>
        <v>0</v>
      </c>
      <c r="AL139" s="588">
        <f t="shared" si="49"/>
        <v>0</v>
      </c>
      <c r="AM139" s="585">
        <f t="shared" si="49"/>
        <v>0</v>
      </c>
    </row>
    <row r="140" spans="1:41">
      <c r="A140" s="239"/>
      <c r="B140" s="239" t="s">
        <v>32</v>
      </c>
      <c r="C140" s="250">
        <v>5.2727687742524537E-2</v>
      </c>
      <c r="D140" s="251">
        <v>5.8513750731421883E-3</v>
      </c>
      <c r="E140" s="251">
        <v>0</v>
      </c>
      <c r="F140" s="251">
        <v>0</v>
      </c>
      <c r="G140" s="251">
        <v>5.6934306569343063E-2</v>
      </c>
      <c r="H140" s="251">
        <v>3.2258064516129031E-2</v>
      </c>
      <c r="I140" s="251"/>
      <c r="J140" s="530">
        <v>3.2611200737497119E-2</v>
      </c>
      <c r="K140" s="250">
        <v>0</v>
      </c>
      <c r="L140" s="251">
        <v>0</v>
      </c>
      <c r="M140" s="251">
        <v>0</v>
      </c>
      <c r="N140" s="251">
        <v>0</v>
      </c>
      <c r="O140" s="434">
        <v>0</v>
      </c>
      <c r="P140" s="420">
        <v>0</v>
      </c>
      <c r="Q140" s="250">
        <v>0</v>
      </c>
      <c r="R140" s="251">
        <v>0</v>
      </c>
      <c r="S140" s="252">
        <v>0</v>
      </c>
      <c r="T140" s="250">
        <v>0</v>
      </c>
      <c r="U140" s="253"/>
      <c r="V140" s="254">
        <v>231</v>
      </c>
      <c r="W140" s="255">
        <v>10</v>
      </c>
      <c r="X140" s="255">
        <v>0</v>
      </c>
      <c r="Y140" s="255">
        <v>0</v>
      </c>
      <c r="Z140" s="255">
        <v>39</v>
      </c>
      <c r="AA140" s="255">
        <v>3</v>
      </c>
      <c r="AB140" s="255"/>
      <c r="AC140" s="256">
        <v>283</v>
      </c>
      <c r="AD140" s="254">
        <v>0</v>
      </c>
      <c r="AE140" s="255">
        <v>0</v>
      </c>
      <c r="AF140" s="255">
        <v>0</v>
      </c>
      <c r="AG140" s="255">
        <v>0</v>
      </c>
      <c r="AH140" s="257">
        <v>0</v>
      </c>
      <c r="AI140" s="257">
        <v>0</v>
      </c>
      <c r="AJ140" s="254">
        <v>0</v>
      </c>
      <c r="AK140" s="255">
        <v>0</v>
      </c>
      <c r="AL140" s="257">
        <v>0</v>
      </c>
      <c r="AM140" s="254">
        <v>0</v>
      </c>
    </row>
    <row r="141" spans="1:41">
      <c r="A141" s="239"/>
      <c r="B141" s="239" t="s">
        <v>58</v>
      </c>
      <c r="C141" s="250">
        <v>0</v>
      </c>
      <c r="D141" s="251">
        <v>0</v>
      </c>
      <c r="E141" s="419">
        <v>0</v>
      </c>
      <c r="F141" s="251">
        <v>0</v>
      </c>
      <c r="G141" s="419">
        <v>0</v>
      </c>
      <c r="H141" s="251">
        <v>0</v>
      </c>
      <c r="I141" s="251"/>
      <c r="J141" s="532">
        <v>0</v>
      </c>
      <c r="K141" s="250">
        <v>0</v>
      </c>
      <c r="L141" s="251">
        <v>0</v>
      </c>
      <c r="M141" s="251">
        <v>0</v>
      </c>
      <c r="N141" s="251">
        <v>0</v>
      </c>
      <c r="O141" s="252">
        <v>0</v>
      </c>
      <c r="P141" s="250">
        <v>0</v>
      </c>
      <c r="Q141" s="250">
        <v>0</v>
      </c>
      <c r="R141" s="251">
        <v>0</v>
      </c>
      <c r="S141" s="252">
        <v>0</v>
      </c>
      <c r="T141" s="250">
        <v>0</v>
      </c>
      <c r="U141" s="253"/>
      <c r="V141" s="254">
        <v>0</v>
      </c>
      <c r="W141" s="255">
        <v>0</v>
      </c>
      <c r="X141" s="255">
        <v>0</v>
      </c>
      <c r="Y141" s="255">
        <v>0</v>
      </c>
      <c r="Z141" s="255">
        <v>0</v>
      </c>
      <c r="AA141" s="255">
        <v>0</v>
      </c>
      <c r="AB141" s="255"/>
      <c r="AC141" s="256">
        <v>0</v>
      </c>
      <c r="AD141" s="254">
        <v>0</v>
      </c>
      <c r="AE141" s="255">
        <v>0</v>
      </c>
      <c r="AF141" s="255">
        <v>0</v>
      </c>
      <c r="AG141" s="255">
        <v>0</v>
      </c>
      <c r="AH141" s="257">
        <v>0</v>
      </c>
      <c r="AI141" s="257">
        <v>0</v>
      </c>
      <c r="AJ141" s="254">
        <v>0</v>
      </c>
      <c r="AK141" s="255">
        <v>0</v>
      </c>
      <c r="AL141" s="257">
        <v>0</v>
      </c>
      <c r="AM141" s="254">
        <v>0</v>
      </c>
    </row>
    <row r="142" spans="1:41" s="527" customFormat="1">
      <c r="A142" s="436"/>
      <c r="B142" s="436" t="s">
        <v>59</v>
      </c>
      <c r="C142" s="577">
        <f>SUM(C135:C139)</f>
        <v>0.99999999999999989</v>
      </c>
      <c r="D142" s="578">
        <f t="shared" ref="D142:J142" si="50">SUM(D135:D139)</f>
        <v>1</v>
      </c>
      <c r="E142" s="578">
        <f t="shared" si="50"/>
        <v>1</v>
      </c>
      <c r="F142" s="578">
        <f t="shared" si="50"/>
        <v>0.99999999999999989</v>
      </c>
      <c r="G142" s="578">
        <f t="shared" si="50"/>
        <v>1</v>
      </c>
      <c r="H142" s="578">
        <f t="shared" si="50"/>
        <v>1</v>
      </c>
      <c r="I142" s="579">
        <f t="shared" si="50"/>
        <v>0</v>
      </c>
      <c r="J142" s="589">
        <f t="shared" si="50"/>
        <v>1</v>
      </c>
      <c r="K142" s="261">
        <v>0</v>
      </c>
      <c r="L142" s="262">
        <v>0</v>
      </c>
      <c r="M142" s="262">
        <v>0</v>
      </c>
      <c r="N142" s="262">
        <v>1</v>
      </c>
      <c r="O142" s="263">
        <v>1</v>
      </c>
      <c r="P142" s="261">
        <v>1</v>
      </c>
      <c r="Q142" s="261">
        <v>0</v>
      </c>
      <c r="R142" s="262">
        <v>0</v>
      </c>
      <c r="S142" s="263">
        <v>0</v>
      </c>
      <c r="T142" s="261">
        <v>0</v>
      </c>
      <c r="U142" s="264"/>
      <c r="V142" s="265">
        <v>4381</v>
      </c>
      <c r="W142" s="266">
        <v>1709</v>
      </c>
      <c r="X142" s="266">
        <v>1176</v>
      </c>
      <c r="Y142" s="266">
        <v>634</v>
      </c>
      <c r="Z142" s="266">
        <v>685</v>
      </c>
      <c r="AA142" s="266">
        <v>93</v>
      </c>
      <c r="AB142" s="266"/>
      <c r="AC142" s="267">
        <v>8678</v>
      </c>
      <c r="AD142" s="265">
        <v>0</v>
      </c>
      <c r="AE142" s="266">
        <v>0</v>
      </c>
      <c r="AF142" s="266">
        <v>0</v>
      </c>
      <c r="AG142" s="266">
        <v>33</v>
      </c>
      <c r="AH142" s="268">
        <v>2171</v>
      </c>
      <c r="AI142" s="268">
        <v>2204</v>
      </c>
      <c r="AJ142" s="265">
        <v>0</v>
      </c>
      <c r="AK142" s="266">
        <v>0</v>
      </c>
      <c r="AL142" s="268">
        <v>0</v>
      </c>
      <c r="AM142" s="265">
        <v>0</v>
      </c>
      <c r="AN142" s="270"/>
      <c r="AO142" s="270"/>
    </row>
    <row r="143" spans="1:41">
      <c r="A143" s="240" t="s">
        <v>18</v>
      </c>
      <c r="B143" s="240" t="s">
        <v>53</v>
      </c>
      <c r="C143" s="241">
        <v>0.30517423442449843</v>
      </c>
      <c r="D143" s="242">
        <v>0</v>
      </c>
      <c r="E143" s="242">
        <v>0.41791044776119401</v>
      </c>
      <c r="F143" s="242">
        <v>0</v>
      </c>
      <c r="G143" s="242">
        <v>0.30357142857142855</v>
      </c>
      <c r="H143" s="242">
        <v>0.22190201729106629</v>
      </c>
      <c r="I143" s="242"/>
      <c r="J143" s="529">
        <v>0.30289727831431079</v>
      </c>
      <c r="K143" s="241">
        <v>0.33858267716535434</v>
      </c>
      <c r="L143" s="242">
        <v>0</v>
      </c>
      <c r="M143" s="242">
        <v>0</v>
      </c>
      <c r="N143" s="242">
        <v>0.19506172839506172</v>
      </c>
      <c r="O143" s="243">
        <v>0</v>
      </c>
      <c r="P143" s="241">
        <v>0.22932330827067668</v>
      </c>
      <c r="Q143" s="342">
        <v>0</v>
      </c>
      <c r="R143" s="242">
        <v>0</v>
      </c>
      <c r="S143" s="243">
        <v>0</v>
      </c>
      <c r="T143" s="342">
        <v>0</v>
      </c>
      <c r="U143" s="244"/>
      <c r="V143" s="245">
        <v>289</v>
      </c>
      <c r="W143" s="246">
        <v>0</v>
      </c>
      <c r="X143" s="246">
        <v>196</v>
      </c>
      <c r="Y143" s="246">
        <v>0</v>
      </c>
      <c r="Z143" s="246">
        <v>51</v>
      </c>
      <c r="AA143" s="246">
        <v>154</v>
      </c>
      <c r="AB143" s="246"/>
      <c r="AC143" s="247">
        <v>690</v>
      </c>
      <c r="AD143" s="245">
        <v>43</v>
      </c>
      <c r="AE143" s="246">
        <v>0</v>
      </c>
      <c r="AF143" s="246">
        <v>0</v>
      </c>
      <c r="AG143" s="246">
        <v>79</v>
      </c>
      <c r="AH143" s="248">
        <v>0</v>
      </c>
      <c r="AI143" s="248">
        <v>122</v>
      </c>
      <c r="AJ143" s="245">
        <v>0</v>
      </c>
      <c r="AK143" s="246">
        <v>0</v>
      </c>
      <c r="AL143" s="248">
        <v>0</v>
      </c>
      <c r="AM143" s="245">
        <v>0</v>
      </c>
    </row>
    <row r="144" spans="1:41">
      <c r="A144" s="239"/>
      <c r="B144" s="239" t="s">
        <v>93</v>
      </c>
      <c r="C144" s="250">
        <v>0.25976768743400214</v>
      </c>
      <c r="D144" s="251">
        <v>0</v>
      </c>
      <c r="E144" s="251">
        <v>0.26865671641791045</v>
      </c>
      <c r="F144" s="251">
        <v>0</v>
      </c>
      <c r="G144" s="251">
        <v>0.22619047619047619</v>
      </c>
      <c r="H144" s="251">
        <v>0.26368876080691644</v>
      </c>
      <c r="I144" s="251"/>
      <c r="J144" s="530">
        <v>0.26031606672519753</v>
      </c>
      <c r="K144" s="250">
        <v>0.12598425196850394</v>
      </c>
      <c r="L144" s="251">
        <v>0</v>
      </c>
      <c r="M144" s="251">
        <v>0</v>
      </c>
      <c r="N144" s="251">
        <v>0.14074074074074075</v>
      </c>
      <c r="O144" s="252">
        <v>0</v>
      </c>
      <c r="P144" s="250">
        <v>0.13721804511278196</v>
      </c>
      <c r="Q144" s="250">
        <v>0</v>
      </c>
      <c r="R144" s="251">
        <v>0</v>
      </c>
      <c r="S144" s="252">
        <v>0</v>
      </c>
      <c r="T144" s="250">
        <v>0</v>
      </c>
      <c r="U144" s="253"/>
      <c r="V144" s="254">
        <v>246</v>
      </c>
      <c r="W144" s="255">
        <v>0</v>
      </c>
      <c r="X144" s="255">
        <v>126</v>
      </c>
      <c r="Y144" s="255">
        <v>0</v>
      </c>
      <c r="Z144" s="255">
        <v>38</v>
      </c>
      <c r="AA144" s="255">
        <v>183</v>
      </c>
      <c r="AB144" s="255"/>
      <c r="AC144" s="256">
        <v>593</v>
      </c>
      <c r="AD144" s="254">
        <v>16</v>
      </c>
      <c r="AE144" s="255">
        <v>0</v>
      </c>
      <c r="AF144" s="255">
        <v>0</v>
      </c>
      <c r="AG144" s="255">
        <v>57</v>
      </c>
      <c r="AH144" s="257">
        <v>0</v>
      </c>
      <c r="AI144" s="257">
        <v>73</v>
      </c>
      <c r="AJ144" s="254">
        <v>0</v>
      </c>
      <c r="AK144" s="255">
        <v>0</v>
      </c>
      <c r="AL144" s="257">
        <v>0</v>
      </c>
      <c r="AM144" s="254">
        <v>0</v>
      </c>
    </row>
    <row r="145" spans="1:41">
      <c r="A145" s="239"/>
      <c r="B145" s="239" t="s">
        <v>55</v>
      </c>
      <c r="C145" s="250">
        <v>0.36325237592397042</v>
      </c>
      <c r="D145" s="251">
        <v>0</v>
      </c>
      <c r="E145" s="251">
        <v>0.2537313432835821</v>
      </c>
      <c r="F145" s="251">
        <v>0</v>
      </c>
      <c r="G145" s="251">
        <v>0.38095238095238093</v>
      </c>
      <c r="H145" s="251">
        <v>0.35878962536023057</v>
      </c>
      <c r="I145" s="251"/>
      <c r="J145" s="530">
        <v>0.34064969271290607</v>
      </c>
      <c r="K145" s="250">
        <v>0.17322834645669291</v>
      </c>
      <c r="L145" s="251">
        <v>0</v>
      </c>
      <c r="M145" s="251">
        <v>0</v>
      </c>
      <c r="N145" s="251">
        <v>0.2617283950617284</v>
      </c>
      <c r="O145" s="252">
        <v>0</v>
      </c>
      <c r="P145" s="250">
        <v>0.24060150375939848</v>
      </c>
      <c r="Q145" s="250">
        <v>0</v>
      </c>
      <c r="R145" s="251">
        <v>0</v>
      </c>
      <c r="S145" s="252">
        <v>0</v>
      </c>
      <c r="T145" s="250">
        <v>0</v>
      </c>
      <c r="U145" s="253"/>
      <c r="V145" s="254">
        <v>344</v>
      </c>
      <c r="W145" s="255">
        <v>0</v>
      </c>
      <c r="X145" s="255">
        <v>119</v>
      </c>
      <c r="Y145" s="255">
        <v>0</v>
      </c>
      <c r="Z145" s="255">
        <v>64</v>
      </c>
      <c r="AA145" s="255">
        <v>249</v>
      </c>
      <c r="AB145" s="255"/>
      <c r="AC145" s="256">
        <v>776</v>
      </c>
      <c r="AD145" s="254">
        <v>22</v>
      </c>
      <c r="AE145" s="255">
        <v>0</v>
      </c>
      <c r="AF145" s="255">
        <v>0</v>
      </c>
      <c r="AG145" s="255">
        <v>106</v>
      </c>
      <c r="AH145" s="257">
        <v>0</v>
      </c>
      <c r="AI145" s="257">
        <v>128</v>
      </c>
      <c r="AJ145" s="254">
        <v>0</v>
      </c>
      <c r="AK145" s="255">
        <v>0</v>
      </c>
      <c r="AL145" s="257">
        <v>0</v>
      </c>
      <c r="AM145" s="254">
        <v>0</v>
      </c>
    </row>
    <row r="146" spans="1:41">
      <c r="A146" s="239"/>
      <c r="B146" s="239" t="s">
        <v>78</v>
      </c>
      <c r="C146" s="250">
        <v>5.1742344244984161E-2</v>
      </c>
      <c r="D146" s="251">
        <v>0</v>
      </c>
      <c r="E146" s="251">
        <v>5.9701492537313432E-2</v>
      </c>
      <c r="F146" s="251">
        <v>0</v>
      </c>
      <c r="G146" s="251">
        <v>7.7380952380952384E-2</v>
      </c>
      <c r="H146" s="251">
        <v>0.11959654178674352</v>
      </c>
      <c r="I146" s="251"/>
      <c r="J146" s="530">
        <v>7.5943810359964878E-2</v>
      </c>
      <c r="K146" s="250">
        <v>0.3543307086614173</v>
      </c>
      <c r="L146" s="251">
        <v>0</v>
      </c>
      <c r="M146" s="251">
        <v>0</v>
      </c>
      <c r="N146" s="251">
        <v>0.32345679012345679</v>
      </c>
      <c r="O146" s="252">
        <v>0</v>
      </c>
      <c r="P146" s="250">
        <v>0.33082706766917291</v>
      </c>
      <c r="Q146" s="250">
        <v>0</v>
      </c>
      <c r="R146" s="251">
        <v>0</v>
      </c>
      <c r="S146" s="252">
        <v>0</v>
      </c>
      <c r="T146" s="250">
        <v>0</v>
      </c>
      <c r="U146" s="253"/>
      <c r="V146" s="254">
        <v>49</v>
      </c>
      <c r="W146" s="255">
        <v>0</v>
      </c>
      <c r="X146" s="255">
        <v>28</v>
      </c>
      <c r="Y146" s="255">
        <v>0</v>
      </c>
      <c r="Z146" s="255">
        <v>13</v>
      </c>
      <c r="AA146" s="255">
        <v>83</v>
      </c>
      <c r="AB146" s="255"/>
      <c r="AC146" s="256">
        <v>173</v>
      </c>
      <c r="AD146" s="254">
        <v>45</v>
      </c>
      <c r="AE146" s="255">
        <v>0</v>
      </c>
      <c r="AF146" s="255">
        <v>0</v>
      </c>
      <c r="AG146" s="255">
        <v>131</v>
      </c>
      <c r="AH146" s="257">
        <v>0</v>
      </c>
      <c r="AI146" s="257">
        <v>176</v>
      </c>
      <c r="AJ146" s="254">
        <v>0</v>
      </c>
      <c r="AK146" s="255">
        <v>0</v>
      </c>
      <c r="AL146" s="257">
        <v>0</v>
      </c>
      <c r="AM146" s="254">
        <v>0</v>
      </c>
    </row>
    <row r="147" spans="1:41">
      <c r="A147" s="580"/>
      <c r="B147" s="580" t="s">
        <v>131</v>
      </c>
      <c r="C147" s="581">
        <f t="shared" ref="C147:T147" si="51">IF(V150&gt;0,(V147/V150),)</f>
        <v>2.0063357972544878E-2</v>
      </c>
      <c r="D147" s="582">
        <f t="shared" si="51"/>
        <v>0</v>
      </c>
      <c r="E147" s="582">
        <f t="shared" si="51"/>
        <v>0</v>
      </c>
      <c r="F147" s="582">
        <f t="shared" si="51"/>
        <v>0</v>
      </c>
      <c r="G147" s="582">
        <f t="shared" si="51"/>
        <v>1.1904761904761904E-2</v>
      </c>
      <c r="H147" s="582">
        <f t="shared" si="51"/>
        <v>3.6023054755043228E-2</v>
      </c>
      <c r="I147" s="583">
        <f t="shared" si="51"/>
        <v>0</v>
      </c>
      <c r="J147" s="584">
        <f t="shared" si="51"/>
        <v>2.0193151887620719E-2</v>
      </c>
      <c r="K147" s="581">
        <f t="shared" si="51"/>
        <v>7.874015748031496E-3</v>
      </c>
      <c r="L147" s="582">
        <f t="shared" si="51"/>
        <v>0</v>
      </c>
      <c r="M147" s="582">
        <f t="shared" si="51"/>
        <v>0</v>
      </c>
      <c r="N147" s="582">
        <f t="shared" si="51"/>
        <v>7.9012345679012344E-2</v>
      </c>
      <c r="O147" s="583">
        <f t="shared" si="51"/>
        <v>0</v>
      </c>
      <c r="P147" s="581">
        <f t="shared" si="51"/>
        <v>6.2030075187969921E-2</v>
      </c>
      <c r="Q147" s="581">
        <f t="shared" si="51"/>
        <v>0</v>
      </c>
      <c r="R147" s="582">
        <f t="shared" si="51"/>
        <v>0</v>
      </c>
      <c r="S147" s="583">
        <f t="shared" si="51"/>
        <v>0</v>
      </c>
      <c r="T147" s="581">
        <f t="shared" si="51"/>
        <v>0</v>
      </c>
      <c r="U147" s="253"/>
      <c r="V147" s="585">
        <f t="shared" ref="V147:AM147" si="52">+V148+V149</f>
        <v>19</v>
      </c>
      <c r="W147" s="586">
        <f t="shared" si="52"/>
        <v>0</v>
      </c>
      <c r="X147" s="586">
        <f t="shared" si="52"/>
        <v>0</v>
      </c>
      <c r="Y147" s="586">
        <f t="shared" si="52"/>
        <v>0</v>
      </c>
      <c r="Z147" s="586">
        <f t="shared" si="52"/>
        <v>2</v>
      </c>
      <c r="AA147" s="586">
        <f t="shared" si="52"/>
        <v>25</v>
      </c>
      <c r="AB147" s="586">
        <f t="shared" si="52"/>
        <v>0</v>
      </c>
      <c r="AC147" s="587">
        <f t="shared" si="52"/>
        <v>46</v>
      </c>
      <c r="AD147" s="585">
        <f t="shared" si="52"/>
        <v>1</v>
      </c>
      <c r="AE147" s="586">
        <f t="shared" si="52"/>
        <v>0</v>
      </c>
      <c r="AF147" s="586">
        <f t="shared" si="52"/>
        <v>0</v>
      </c>
      <c r="AG147" s="586">
        <f t="shared" si="52"/>
        <v>32</v>
      </c>
      <c r="AH147" s="588">
        <f t="shared" si="52"/>
        <v>0</v>
      </c>
      <c r="AI147" s="588">
        <f t="shared" si="52"/>
        <v>33</v>
      </c>
      <c r="AJ147" s="585">
        <f t="shared" si="52"/>
        <v>0</v>
      </c>
      <c r="AK147" s="586">
        <f t="shared" si="52"/>
        <v>0</v>
      </c>
      <c r="AL147" s="588">
        <f t="shared" si="52"/>
        <v>0</v>
      </c>
      <c r="AM147" s="585">
        <f t="shared" si="52"/>
        <v>0</v>
      </c>
    </row>
    <row r="148" spans="1:41">
      <c r="A148" s="239"/>
      <c r="B148" s="239" t="s">
        <v>32</v>
      </c>
      <c r="C148" s="250">
        <v>2.0063357972544878E-2</v>
      </c>
      <c r="D148" s="251">
        <v>0</v>
      </c>
      <c r="E148" s="251">
        <v>0</v>
      </c>
      <c r="F148" s="251">
        <v>0</v>
      </c>
      <c r="G148" s="251">
        <v>1.1904761904761904E-2</v>
      </c>
      <c r="H148" s="251">
        <v>3.6023054755043228E-2</v>
      </c>
      <c r="I148" s="251"/>
      <c r="J148" s="530">
        <v>2.0193151887620719E-2</v>
      </c>
      <c r="K148" s="250">
        <v>7.874015748031496E-3</v>
      </c>
      <c r="L148" s="251">
        <v>0</v>
      </c>
      <c r="M148" s="251">
        <v>0</v>
      </c>
      <c r="N148" s="251">
        <v>7.9012345679012344E-2</v>
      </c>
      <c r="O148" s="258">
        <v>0</v>
      </c>
      <c r="P148" s="250">
        <v>6.2030075187969921E-2</v>
      </c>
      <c r="Q148" s="250">
        <v>0</v>
      </c>
      <c r="R148" s="251">
        <v>0</v>
      </c>
      <c r="S148" s="252">
        <v>0</v>
      </c>
      <c r="T148" s="250">
        <v>0</v>
      </c>
      <c r="U148" s="253"/>
      <c r="V148" s="254">
        <v>19</v>
      </c>
      <c r="W148" s="255">
        <v>0</v>
      </c>
      <c r="X148" s="255">
        <v>0</v>
      </c>
      <c r="Y148" s="255">
        <v>0</v>
      </c>
      <c r="Z148" s="255">
        <v>2</v>
      </c>
      <c r="AA148" s="255">
        <v>25</v>
      </c>
      <c r="AB148" s="255"/>
      <c r="AC148" s="256">
        <v>46</v>
      </c>
      <c r="AD148" s="254">
        <v>1</v>
      </c>
      <c r="AE148" s="255">
        <v>0</v>
      </c>
      <c r="AF148" s="255">
        <v>0</v>
      </c>
      <c r="AG148" s="255">
        <v>32</v>
      </c>
      <c r="AH148" s="257">
        <v>0</v>
      </c>
      <c r="AI148" s="257">
        <v>33</v>
      </c>
      <c r="AJ148" s="254">
        <v>0</v>
      </c>
      <c r="AK148" s="255">
        <v>0</v>
      </c>
      <c r="AL148" s="257">
        <v>0</v>
      </c>
      <c r="AM148" s="254">
        <v>0</v>
      </c>
    </row>
    <row r="149" spans="1:41">
      <c r="A149" s="239"/>
      <c r="B149" s="239" t="s">
        <v>58</v>
      </c>
      <c r="C149" s="250">
        <v>0</v>
      </c>
      <c r="D149" s="251">
        <v>0</v>
      </c>
      <c r="E149" s="419">
        <v>0</v>
      </c>
      <c r="F149" s="251">
        <v>0</v>
      </c>
      <c r="G149" s="419">
        <v>0</v>
      </c>
      <c r="H149" s="251">
        <v>0</v>
      </c>
      <c r="I149" s="251"/>
      <c r="J149" s="532">
        <v>0</v>
      </c>
      <c r="K149" s="250">
        <v>0</v>
      </c>
      <c r="L149" s="251">
        <v>0</v>
      </c>
      <c r="M149" s="251">
        <v>0</v>
      </c>
      <c r="N149" s="251">
        <v>0</v>
      </c>
      <c r="O149" s="252">
        <v>0</v>
      </c>
      <c r="P149" s="250">
        <v>0</v>
      </c>
      <c r="Q149" s="250">
        <v>0</v>
      </c>
      <c r="R149" s="251">
        <v>0</v>
      </c>
      <c r="S149" s="252">
        <v>0</v>
      </c>
      <c r="T149" s="250">
        <v>0</v>
      </c>
      <c r="U149" s="253"/>
      <c r="V149" s="254">
        <v>0</v>
      </c>
      <c r="W149" s="255">
        <v>0</v>
      </c>
      <c r="X149" s="255">
        <v>0</v>
      </c>
      <c r="Y149" s="255">
        <v>0</v>
      </c>
      <c r="Z149" s="255">
        <v>0</v>
      </c>
      <c r="AA149" s="255">
        <v>0</v>
      </c>
      <c r="AB149" s="255"/>
      <c r="AC149" s="256">
        <v>0</v>
      </c>
      <c r="AD149" s="254">
        <v>0</v>
      </c>
      <c r="AE149" s="255">
        <v>0</v>
      </c>
      <c r="AF149" s="255">
        <v>0</v>
      </c>
      <c r="AG149" s="255">
        <v>0</v>
      </c>
      <c r="AH149" s="257">
        <v>0</v>
      </c>
      <c r="AI149" s="257">
        <v>0</v>
      </c>
      <c r="AJ149" s="254">
        <v>0</v>
      </c>
      <c r="AK149" s="255">
        <v>0</v>
      </c>
      <c r="AL149" s="257">
        <v>0</v>
      </c>
      <c r="AM149" s="254">
        <v>0</v>
      </c>
    </row>
    <row r="150" spans="1:41" s="527" customFormat="1">
      <c r="A150" s="436"/>
      <c r="B150" s="436" t="s">
        <v>59</v>
      </c>
      <c r="C150" s="577">
        <f>SUM(C143:C147)</f>
        <v>1</v>
      </c>
      <c r="D150" s="578">
        <f t="shared" ref="D150:J150" si="53">SUM(D143:D147)</f>
        <v>0</v>
      </c>
      <c r="E150" s="578">
        <f t="shared" si="53"/>
        <v>1</v>
      </c>
      <c r="F150" s="578">
        <f t="shared" si="53"/>
        <v>0</v>
      </c>
      <c r="G150" s="578">
        <f t="shared" si="53"/>
        <v>1</v>
      </c>
      <c r="H150" s="578">
        <f t="shared" si="53"/>
        <v>1</v>
      </c>
      <c r="I150" s="579">
        <f t="shared" si="53"/>
        <v>0</v>
      </c>
      <c r="J150" s="589">
        <f t="shared" si="53"/>
        <v>1</v>
      </c>
      <c r="K150" s="261">
        <v>1</v>
      </c>
      <c r="L150" s="262">
        <v>0</v>
      </c>
      <c r="M150" s="262">
        <v>0</v>
      </c>
      <c r="N150" s="262">
        <v>1</v>
      </c>
      <c r="O150" s="263">
        <v>0</v>
      </c>
      <c r="P150" s="261">
        <v>1</v>
      </c>
      <c r="Q150" s="261">
        <v>0</v>
      </c>
      <c r="R150" s="262">
        <v>0</v>
      </c>
      <c r="S150" s="263">
        <v>0</v>
      </c>
      <c r="T150" s="261">
        <v>0</v>
      </c>
      <c r="U150" s="264"/>
      <c r="V150" s="265">
        <v>947</v>
      </c>
      <c r="W150" s="266">
        <v>0</v>
      </c>
      <c r="X150" s="266">
        <v>469</v>
      </c>
      <c r="Y150" s="266">
        <v>0</v>
      </c>
      <c r="Z150" s="266">
        <v>168</v>
      </c>
      <c r="AA150" s="266">
        <v>694</v>
      </c>
      <c r="AB150" s="266"/>
      <c r="AC150" s="267">
        <v>2278</v>
      </c>
      <c r="AD150" s="265">
        <v>127</v>
      </c>
      <c r="AE150" s="266">
        <v>0</v>
      </c>
      <c r="AF150" s="266">
        <v>0</v>
      </c>
      <c r="AG150" s="266">
        <v>405</v>
      </c>
      <c r="AH150" s="268">
        <v>0</v>
      </c>
      <c r="AI150" s="268">
        <v>532</v>
      </c>
      <c r="AJ150" s="265">
        <v>0</v>
      </c>
      <c r="AK150" s="266">
        <v>0</v>
      </c>
      <c r="AL150" s="268">
        <v>0</v>
      </c>
      <c r="AM150" s="265">
        <v>0</v>
      </c>
      <c r="AN150" s="270"/>
      <c r="AO150" s="270"/>
    </row>
    <row r="151" spans="1:41">
      <c r="U151" s="564"/>
      <c r="V151" s="565"/>
      <c r="W151" s="565"/>
      <c r="X151" s="565"/>
      <c r="Y151" s="565"/>
      <c r="Z151" s="565"/>
      <c r="AA151" s="565"/>
      <c r="AB151" s="565"/>
      <c r="AC151" s="566"/>
      <c r="AD151" s="565"/>
      <c r="AE151" s="565"/>
      <c r="AF151" s="565"/>
      <c r="AG151" s="565"/>
      <c r="AH151" s="565"/>
      <c r="AI151" s="566"/>
      <c r="AJ151" s="565"/>
      <c r="AK151" s="565"/>
      <c r="AL151" s="565"/>
      <c r="AM151" s="566"/>
      <c r="AN151" s="565"/>
    </row>
    <row r="152" spans="1:41">
      <c r="A152" s="240" t="s">
        <v>171</v>
      </c>
      <c r="B152" s="240" t="s">
        <v>53</v>
      </c>
      <c r="C152" s="568">
        <f t="shared" ref="C152:T152" si="54">IF(V152&gt;0,(V152/V157),0)</f>
        <v>0.41838169500191741</v>
      </c>
      <c r="D152" s="568">
        <f t="shared" si="54"/>
        <v>0.30849509496973493</v>
      </c>
      <c r="E152" s="568">
        <f t="shared" si="54"/>
        <v>0.35440613026819923</v>
      </c>
      <c r="F152" s="568">
        <f t="shared" si="54"/>
        <v>0.30992631122670133</v>
      </c>
      <c r="G152" s="568">
        <f t="shared" si="54"/>
        <v>0.22578062449959968</v>
      </c>
      <c r="H152" s="568">
        <f t="shared" si="54"/>
        <v>0.24849785407725322</v>
      </c>
      <c r="I152" s="568">
        <f t="shared" si="54"/>
        <v>0</v>
      </c>
      <c r="J152" s="569">
        <f t="shared" si="54"/>
        <v>0.36523172958011896</v>
      </c>
      <c r="K152" s="570">
        <f t="shared" si="54"/>
        <v>0.54166666666666663</v>
      </c>
      <c r="L152" s="568">
        <f t="shared" si="54"/>
        <v>2.3465264592765687E-2</v>
      </c>
      <c r="M152" s="568">
        <f t="shared" si="54"/>
        <v>8.4457406732288243E-2</v>
      </c>
      <c r="N152" s="568">
        <f t="shared" si="54"/>
        <v>5.9655831739961758E-2</v>
      </c>
      <c r="O152" s="571">
        <f t="shared" si="54"/>
        <v>0</v>
      </c>
      <c r="P152" s="570">
        <f t="shared" si="54"/>
        <v>5.3446243563496497E-2</v>
      </c>
      <c r="Q152" s="568">
        <f t="shared" si="54"/>
        <v>0</v>
      </c>
      <c r="R152" s="568">
        <f t="shared" si="54"/>
        <v>0</v>
      </c>
      <c r="S152" s="571">
        <f t="shared" si="54"/>
        <v>0</v>
      </c>
      <c r="T152" s="570">
        <f t="shared" si="54"/>
        <v>0</v>
      </c>
      <c r="U152" s="244"/>
      <c r="V152" s="590">
        <f t="shared" ref="V152:V157" si="55">+V158+V164+V170+V176+V182+V188+V194+V200+V206+V212+V218+V224+V230</f>
        <v>9819</v>
      </c>
      <c r="W152" s="591">
        <f t="shared" ref="W152:AM157" si="56">+W158+W164+W170+W176+W182+W188+W194+W200+W206+W212+W218+W224+W230</f>
        <v>2956</v>
      </c>
      <c r="X152" s="591">
        <f t="shared" si="56"/>
        <v>4255</v>
      </c>
      <c r="Y152" s="591">
        <f t="shared" si="56"/>
        <v>715</v>
      </c>
      <c r="Z152" s="591">
        <f t="shared" si="56"/>
        <v>282</v>
      </c>
      <c r="AA152" s="591">
        <f t="shared" si="56"/>
        <v>579</v>
      </c>
      <c r="AB152" s="591">
        <f t="shared" si="56"/>
        <v>0</v>
      </c>
      <c r="AC152" s="592">
        <f t="shared" si="56"/>
        <v>18606</v>
      </c>
      <c r="AD152" s="590">
        <f t="shared" si="56"/>
        <v>390</v>
      </c>
      <c r="AE152" s="591">
        <f t="shared" si="56"/>
        <v>482</v>
      </c>
      <c r="AF152" s="591">
        <f t="shared" si="56"/>
        <v>695</v>
      </c>
      <c r="AG152" s="591">
        <f t="shared" si="56"/>
        <v>156</v>
      </c>
      <c r="AH152" s="593">
        <f t="shared" si="56"/>
        <v>0</v>
      </c>
      <c r="AI152" s="593">
        <f t="shared" si="56"/>
        <v>1723</v>
      </c>
      <c r="AJ152" s="590">
        <f t="shared" si="56"/>
        <v>0</v>
      </c>
      <c r="AK152" s="591">
        <f t="shared" si="56"/>
        <v>0</v>
      </c>
      <c r="AL152" s="593">
        <f t="shared" si="56"/>
        <v>0</v>
      </c>
      <c r="AM152" s="590">
        <f t="shared" si="56"/>
        <v>0</v>
      </c>
    </row>
    <row r="153" spans="1:41">
      <c r="A153" s="239"/>
      <c r="B153" s="239" t="s">
        <v>93</v>
      </c>
      <c r="C153" s="572">
        <f t="shared" ref="C153:T153" si="57">IF(V153&gt;0,(V153/V157),0)</f>
        <v>0.22565938045932932</v>
      </c>
      <c r="D153" s="572">
        <f t="shared" si="57"/>
        <v>0.26852431642663327</v>
      </c>
      <c r="E153" s="572">
        <f t="shared" si="57"/>
        <v>0.24362818590704649</v>
      </c>
      <c r="F153" s="572">
        <f t="shared" si="57"/>
        <v>0.26961421759861293</v>
      </c>
      <c r="G153" s="572">
        <f t="shared" si="57"/>
        <v>0.18654923939151322</v>
      </c>
      <c r="H153" s="572">
        <f t="shared" si="57"/>
        <v>0.23862660944206007</v>
      </c>
      <c r="I153" s="572">
        <f t="shared" si="57"/>
        <v>0</v>
      </c>
      <c r="J153" s="573">
        <f t="shared" si="57"/>
        <v>0.23958149304124218</v>
      </c>
      <c r="K153" s="574">
        <f t="shared" si="57"/>
        <v>4.1666666666666664E-2</v>
      </c>
      <c r="L153" s="572">
        <f t="shared" si="57"/>
        <v>7.5945669636337081E-3</v>
      </c>
      <c r="M153" s="572">
        <f t="shared" si="57"/>
        <v>4.2897071333090293E-2</v>
      </c>
      <c r="N153" s="572">
        <f t="shared" si="57"/>
        <v>4.5506692160611852E-2</v>
      </c>
      <c r="O153" s="575">
        <f t="shared" si="57"/>
        <v>0</v>
      </c>
      <c r="P153" s="574">
        <f t="shared" si="57"/>
        <v>2.0410695452571501E-2</v>
      </c>
      <c r="Q153" s="572">
        <f t="shared" si="57"/>
        <v>0</v>
      </c>
      <c r="R153" s="572">
        <f t="shared" si="57"/>
        <v>0</v>
      </c>
      <c r="S153" s="575">
        <f t="shared" si="57"/>
        <v>0</v>
      </c>
      <c r="T153" s="574">
        <f t="shared" si="57"/>
        <v>0</v>
      </c>
      <c r="U153" s="253"/>
      <c r="V153" s="594">
        <f t="shared" si="55"/>
        <v>5296</v>
      </c>
      <c r="W153" s="595">
        <f t="shared" ref="W153:AK153" si="58">+W159+W165+W171+W177+W183+W189+W195+W201+W207+W213+W219+W225+W231</f>
        <v>2573</v>
      </c>
      <c r="X153" s="595">
        <f t="shared" si="58"/>
        <v>2925</v>
      </c>
      <c r="Y153" s="595">
        <f t="shared" si="58"/>
        <v>622</v>
      </c>
      <c r="Z153" s="595">
        <f t="shared" si="58"/>
        <v>233</v>
      </c>
      <c r="AA153" s="595">
        <f t="shared" si="58"/>
        <v>556</v>
      </c>
      <c r="AB153" s="595">
        <f t="shared" si="58"/>
        <v>0</v>
      </c>
      <c r="AC153" s="596">
        <f t="shared" si="58"/>
        <v>12205</v>
      </c>
      <c r="AD153" s="594">
        <f t="shared" si="58"/>
        <v>30</v>
      </c>
      <c r="AE153" s="595">
        <f t="shared" si="58"/>
        <v>156</v>
      </c>
      <c r="AF153" s="595">
        <f t="shared" si="58"/>
        <v>353</v>
      </c>
      <c r="AG153" s="595">
        <f t="shared" si="58"/>
        <v>119</v>
      </c>
      <c r="AH153" s="597">
        <f t="shared" si="58"/>
        <v>0</v>
      </c>
      <c r="AI153" s="597">
        <f t="shared" si="58"/>
        <v>658</v>
      </c>
      <c r="AJ153" s="594">
        <f t="shared" si="58"/>
        <v>0</v>
      </c>
      <c r="AK153" s="595">
        <f t="shared" si="58"/>
        <v>0</v>
      </c>
      <c r="AL153" s="597">
        <f t="shared" si="56"/>
        <v>0</v>
      </c>
      <c r="AM153" s="594">
        <f t="shared" si="56"/>
        <v>0</v>
      </c>
    </row>
    <row r="154" spans="1:41">
      <c r="A154" s="239"/>
      <c r="B154" s="239" t="s">
        <v>55</v>
      </c>
      <c r="C154" s="572">
        <f t="shared" ref="C154:T154" si="59">IF(V154&gt;0,(V154/V157),0)</f>
        <v>0.20563296263155653</v>
      </c>
      <c r="D154" s="572">
        <f t="shared" si="59"/>
        <v>0.24942600709663953</v>
      </c>
      <c r="E154" s="572">
        <f t="shared" si="59"/>
        <v>0.25895385640513074</v>
      </c>
      <c r="F154" s="572">
        <f t="shared" si="59"/>
        <v>0.25357607282184658</v>
      </c>
      <c r="G154" s="572">
        <f t="shared" si="59"/>
        <v>0.27141713370696557</v>
      </c>
      <c r="H154" s="572">
        <f t="shared" si="59"/>
        <v>0.35751072961373392</v>
      </c>
      <c r="I154" s="572">
        <f t="shared" si="59"/>
        <v>0</v>
      </c>
      <c r="J154" s="573">
        <f t="shared" si="59"/>
        <v>0.23716702981763932</v>
      </c>
      <c r="K154" s="574">
        <f t="shared" si="59"/>
        <v>7.6388888888888895E-2</v>
      </c>
      <c r="L154" s="572">
        <f t="shared" si="59"/>
        <v>5.8906577089722989E-3</v>
      </c>
      <c r="M154" s="572">
        <f t="shared" si="59"/>
        <v>4.5205978855267955E-2</v>
      </c>
      <c r="N154" s="572">
        <f t="shared" si="59"/>
        <v>7.6864244741873811E-2</v>
      </c>
      <c r="O154" s="575">
        <f t="shared" si="59"/>
        <v>0</v>
      </c>
      <c r="P154" s="574">
        <f t="shared" si="59"/>
        <v>2.3233451206650536E-2</v>
      </c>
      <c r="Q154" s="572">
        <f t="shared" si="59"/>
        <v>0</v>
      </c>
      <c r="R154" s="572">
        <f t="shared" si="59"/>
        <v>0</v>
      </c>
      <c r="S154" s="575">
        <f t="shared" si="59"/>
        <v>0</v>
      </c>
      <c r="T154" s="574">
        <f t="shared" si="59"/>
        <v>0</v>
      </c>
      <c r="U154" s="253"/>
      <c r="V154" s="594">
        <f t="shared" si="55"/>
        <v>4826</v>
      </c>
      <c r="W154" s="595">
        <f t="shared" si="56"/>
        <v>2390</v>
      </c>
      <c r="X154" s="595">
        <f t="shared" si="56"/>
        <v>3109</v>
      </c>
      <c r="Y154" s="595">
        <f t="shared" si="56"/>
        <v>585</v>
      </c>
      <c r="Z154" s="595">
        <f t="shared" si="56"/>
        <v>339</v>
      </c>
      <c r="AA154" s="595">
        <f t="shared" si="56"/>
        <v>833</v>
      </c>
      <c r="AB154" s="595">
        <f t="shared" si="56"/>
        <v>0</v>
      </c>
      <c r="AC154" s="596">
        <f t="shared" si="56"/>
        <v>12082</v>
      </c>
      <c r="AD154" s="594">
        <f t="shared" si="56"/>
        <v>55</v>
      </c>
      <c r="AE154" s="595">
        <f t="shared" si="56"/>
        <v>121</v>
      </c>
      <c r="AF154" s="595">
        <f t="shared" si="56"/>
        <v>372</v>
      </c>
      <c r="AG154" s="595">
        <f t="shared" si="56"/>
        <v>201</v>
      </c>
      <c r="AH154" s="597">
        <f t="shared" si="56"/>
        <v>0</v>
      </c>
      <c r="AI154" s="597">
        <f t="shared" si="56"/>
        <v>749</v>
      </c>
      <c r="AJ154" s="594">
        <f t="shared" si="56"/>
        <v>0</v>
      </c>
      <c r="AK154" s="595">
        <f t="shared" si="56"/>
        <v>0</v>
      </c>
      <c r="AL154" s="597">
        <f t="shared" si="56"/>
        <v>0</v>
      </c>
      <c r="AM154" s="594">
        <f t="shared" si="56"/>
        <v>0</v>
      </c>
    </row>
    <row r="155" spans="1:41">
      <c r="A155" s="239"/>
      <c r="B155" s="239" t="s">
        <v>78</v>
      </c>
      <c r="C155" s="572">
        <f t="shared" ref="C155:T155" si="60">IF(V155&gt;0,(V155/V157),0)</f>
        <v>4.9938216370531342E-2</v>
      </c>
      <c r="D155" s="572">
        <f t="shared" si="60"/>
        <v>8.3281152160300562E-2</v>
      </c>
      <c r="E155" s="572">
        <f t="shared" si="60"/>
        <v>2.1822422122272197E-2</v>
      </c>
      <c r="F155" s="572">
        <f t="shared" si="60"/>
        <v>7.5422626788036407E-2</v>
      </c>
      <c r="G155" s="572">
        <f t="shared" si="60"/>
        <v>8.5668534827862283E-2</v>
      </c>
      <c r="H155" s="572">
        <f t="shared" si="60"/>
        <v>7.3390557939914169E-2</v>
      </c>
      <c r="I155" s="572">
        <f t="shared" si="60"/>
        <v>0</v>
      </c>
      <c r="J155" s="573">
        <f t="shared" si="60"/>
        <v>5.2686335708536994E-2</v>
      </c>
      <c r="K155" s="574">
        <f t="shared" si="60"/>
        <v>0.33888888888888891</v>
      </c>
      <c r="L155" s="572">
        <f t="shared" si="60"/>
        <v>0.83179981500413802</v>
      </c>
      <c r="M155" s="572">
        <f t="shared" si="60"/>
        <v>0.47527038522299186</v>
      </c>
      <c r="N155" s="572">
        <f t="shared" si="60"/>
        <v>0.54378585086042064</v>
      </c>
      <c r="O155" s="575">
        <f t="shared" si="60"/>
        <v>1</v>
      </c>
      <c r="P155" s="574">
        <f t="shared" si="60"/>
        <v>0.70711582604379919</v>
      </c>
      <c r="Q155" s="572">
        <f t="shared" si="60"/>
        <v>0</v>
      </c>
      <c r="R155" s="572">
        <f t="shared" si="60"/>
        <v>0</v>
      </c>
      <c r="S155" s="575">
        <f t="shared" si="60"/>
        <v>0</v>
      </c>
      <c r="T155" s="574">
        <f t="shared" si="60"/>
        <v>0</v>
      </c>
      <c r="U155" s="253"/>
      <c r="V155" s="594">
        <f t="shared" si="55"/>
        <v>1172</v>
      </c>
      <c r="W155" s="595">
        <f t="shared" si="56"/>
        <v>798</v>
      </c>
      <c r="X155" s="595">
        <f t="shared" si="56"/>
        <v>262</v>
      </c>
      <c r="Y155" s="595">
        <f t="shared" si="56"/>
        <v>174</v>
      </c>
      <c r="Z155" s="595">
        <f t="shared" si="56"/>
        <v>107</v>
      </c>
      <c r="AA155" s="595">
        <f t="shared" si="56"/>
        <v>171</v>
      </c>
      <c r="AB155" s="595">
        <f t="shared" si="56"/>
        <v>0</v>
      </c>
      <c r="AC155" s="596">
        <f t="shared" si="56"/>
        <v>2684</v>
      </c>
      <c r="AD155" s="594">
        <f t="shared" si="56"/>
        <v>244</v>
      </c>
      <c r="AE155" s="595">
        <f t="shared" si="56"/>
        <v>17086</v>
      </c>
      <c r="AF155" s="595">
        <f t="shared" si="56"/>
        <v>3911</v>
      </c>
      <c r="AG155" s="595">
        <f t="shared" si="56"/>
        <v>1422</v>
      </c>
      <c r="AH155" s="597">
        <f t="shared" si="56"/>
        <v>133</v>
      </c>
      <c r="AI155" s="597">
        <f t="shared" si="56"/>
        <v>22796</v>
      </c>
      <c r="AJ155" s="594">
        <f t="shared" si="56"/>
        <v>0</v>
      </c>
      <c r="AK155" s="595">
        <f t="shared" si="56"/>
        <v>0</v>
      </c>
      <c r="AL155" s="597">
        <f t="shared" si="56"/>
        <v>0</v>
      </c>
      <c r="AM155" s="594">
        <f t="shared" si="56"/>
        <v>0</v>
      </c>
    </row>
    <row r="156" spans="1:41">
      <c r="A156" s="580"/>
      <c r="B156" s="580" t="s">
        <v>131</v>
      </c>
      <c r="C156" s="581">
        <f t="shared" ref="C156:T156" si="61">IF(V156&gt;0,(V156/V157),0)</f>
        <v>0.10038774553666539</v>
      </c>
      <c r="D156" s="582">
        <f t="shared" si="61"/>
        <v>9.0273429346691719E-2</v>
      </c>
      <c r="E156" s="582">
        <f t="shared" si="61"/>
        <v>0.12118940529735132</v>
      </c>
      <c r="F156" s="582">
        <f t="shared" si="61"/>
        <v>9.146077156480277E-2</v>
      </c>
      <c r="G156" s="582">
        <f t="shared" si="61"/>
        <v>0.23058446757405926</v>
      </c>
      <c r="H156" s="582">
        <f t="shared" si="61"/>
        <v>8.1974248927038626E-2</v>
      </c>
      <c r="I156" s="583">
        <f t="shared" si="61"/>
        <v>0</v>
      </c>
      <c r="J156" s="584">
        <f t="shared" si="61"/>
        <v>0.10533341185246256</v>
      </c>
      <c r="K156" s="581">
        <f t="shared" si="61"/>
        <v>1.3888888888888889E-3</v>
      </c>
      <c r="L156" s="582">
        <f t="shared" si="61"/>
        <v>0.13124969573049025</v>
      </c>
      <c r="M156" s="582">
        <f t="shared" si="61"/>
        <v>0.35216915785636166</v>
      </c>
      <c r="N156" s="582">
        <f t="shared" si="61"/>
        <v>0.27418738049713193</v>
      </c>
      <c r="O156" s="583">
        <f t="shared" si="61"/>
        <v>0</v>
      </c>
      <c r="P156" s="581">
        <f t="shared" si="61"/>
        <v>0.19579378373348222</v>
      </c>
      <c r="Q156" s="581">
        <f t="shared" si="61"/>
        <v>0</v>
      </c>
      <c r="R156" s="582">
        <f t="shared" si="61"/>
        <v>0</v>
      </c>
      <c r="S156" s="583">
        <f t="shared" si="61"/>
        <v>0</v>
      </c>
      <c r="T156" s="581">
        <f t="shared" si="61"/>
        <v>0</v>
      </c>
      <c r="U156" s="253"/>
      <c r="V156" s="585">
        <f t="shared" si="55"/>
        <v>2356</v>
      </c>
      <c r="W156" s="586">
        <f t="shared" si="56"/>
        <v>865</v>
      </c>
      <c r="X156" s="586">
        <f t="shared" si="56"/>
        <v>1455</v>
      </c>
      <c r="Y156" s="586">
        <f t="shared" si="56"/>
        <v>211</v>
      </c>
      <c r="Z156" s="586">
        <f t="shared" si="56"/>
        <v>288</v>
      </c>
      <c r="AA156" s="586">
        <f t="shared" si="56"/>
        <v>191</v>
      </c>
      <c r="AB156" s="586">
        <f t="shared" si="56"/>
        <v>0</v>
      </c>
      <c r="AC156" s="587">
        <f t="shared" si="56"/>
        <v>5366</v>
      </c>
      <c r="AD156" s="585">
        <f t="shared" si="56"/>
        <v>1</v>
      </c>
      <c r="AE156" s="586">
        <f t="shared" si="56"/>
        <v>2696</v>
      </c>
      <c r="AF156" s="586">
        <f t="shared" si="56"/>
        <v>2898</v>
      </c>
      <c r="AG156" s="586">
        <f t="shared" si="56"/>
        <v>717</v>
      </c>
      <c r="AH156" s="588">
        <f t="shared" si="56"/>
        <v>0</v>
      </c>
      <c r="AI156" s="588">
        <f t="shared" si="56"/>
        <v>6312</v>
      </c>
      <c r="AJ156" s="585">
        <f t="shared" si="56"/>
        <v>0</v>
      </c>
      <c r="AK156" s="586">
        <f t="shared" si="56"/>
        <v>0</v>
      </c>
      <c r="AL156" s="588">
        <f t="shared" si="56"/>
        <v>0</v>
      </c>
      <c r="AM156" s="585">
        <f t="shared" si="56"/>
        <v>0</v>
      </c>
    </row>
    <row r="157" spans="1:41" s="527" customFormat="1">
      <c r="A157" s="436" t="s">
        <v>86</v>
      </c>
      <c r="B157" s="436" t="s">
        <v>59</v>
      </c>
      <c r="C157" s="456">
        <f t="shared" ref="C157:T157" si="62">SUM(C152:C156)</f>
        <v>0.99999999999999989</v>
      </c>
      <c r="D157" s="456">
        <f t="shared" si="62"/>
        <v>1</v>
      </c>
      <c r="E157" s="456">
        <f t="shared" si="62"/>
        <v>1</v>
      </c>
      <c r="F157" s="456">
        <f t="shared" si="62"/>
        <v>1</v>
      </c>
      <c r="G157" s="456">
        <f t="shared" si="62"/>
        <v>1</v>
      </c>
      <c r="H157" s="456">
        <f t="shared" si="62"/>
        <v>0.99999999999999989</v>
      </c>
      <c r="I157" s="456">
        <f t="shared" si="62"/>
        <v>0</v>
      </c>
      <c r="J157" s="576">
        <f t="shared" si="62"/>
        <v>1</v>
      </c>
      <c r="K157" s="577">
        <f t="shared" si="62"/>
        <v>0.99999999999999989</v>
      </c>
      <c r="L157" s="578">
        <f t="shared" si="62"/>
        <v>1</v>
      </c>
      <c r="M157" s="578">
        <f t="shared" si="62"/>
        <v>1</v>
      </c>
      <c r="N157" s="578">
        <f t="shared" si="62"/>
        <v>1</v>
      </c>
      <c r="O157" s="579">
        <f t="shared" si="62"/>
        <v>1</v>
      </c>
      <c r="P157" s="577">
        <f t="shared" si="62"/>
        <v>0.99999999999999989</v>
      </c>
      <c r="Q157" s="578">
        <f t="shared" si="62"/>
        <v>0</v>
      </c>
      <c r="R157" s="578">
        <f t="shared" si="62"/>
        <v>0</v>
      </c>
      <c r="S157" s="579">
        <f t="shared" si="62"/>
        <v>0</v>
      </c>
      <c r="T157" s="577">
        <f t="shared" si="62"/>
        <v>0</v>
      </c>
      <c r="U157" s="264"/>
      <c r="V157" s="598">
        <f t="shared" si="55"/>
        <v>23469</v>
      </c>
      <c r="W157" s="599">
        <f t="shared" si="56"/>
        <v>9582</v>
      </c>
      <c r="X157" s="599">
        <f t="shared" si="56"/>
        <v>12006</v>
      </c>
      <c r="Y157" s="599">
        <f t="shared" si="56"/>
        <v>2307</v>
      </c>
      <c r="Z157" s="599">
        <f t="shared" si="56"/>
        <v>1249</v>
      </c>
      <c r="AA157" s="599">
        <f t="shared" si="56"/>
        <v>2330</v>
      </c>
      <c r="AB157" s="599">
        <f t="shared" si="56"/>
        <v>0</v>
      </c>
      <c r="AC157" s="600">
        <f t="shared" si="56"/>
        <v>50943</v>
      </c>
      <c r="AD157" s="598">
        <f t="shared" si="56"/>
        <v>720</v>
      </c>
      <c r="AE157" s="599">
        <f t="shared" si="56"/>
        <v>20541</v>
      </c>
      <c r="AF157" s="599">
        <f t="shared" si="56"/>
        <v>8229</v>
      </c>
      <c r="AG157" s="599">
        <f t="shared" si="56"/>
        <v>2615</v>
      </c>
      <c r="AH157" s="601">
        <f t="shared" si="56"/>
        <v>133</v>
      </c>
      <c r="AI157" s="601">
        <f t="shared" si="56"/>
        <v>32238</v>
      </c>
      <c r="AJ157" s="598">
        <f t="shared" si="56"/>
        <v>0</v>
      </c>
      <c r="AK157" s="599">
        <f t="shared" si="56"/>
        <v>0</v>
      </c>
      <c r="AL157" s="601">
        <f t="shared" si="56"/>
        <v>0</v>
      </c>
      <c r="AM157" s="598">
        <f t="shared" si="56"/>
        <v>0</v>
      </c>
      <c r="AN157" s="270"/>
      <c r="AO157" s="270"/>
    </row>
    <row r="158" spans="1:41">
      <c r="A158" s="240" t="s">
        <v>136</v>
      </c>
      <c r="B158" s="240" t="s">
        <v>53</v>
      </c>
      <c r="C158" s="568">
        <f>IF(V158&gt;0,(V158/V163),0)</f>
        <v>0</v>
      </c>
      <c r="D158" s="568">
        <f t="shared" ref="D158:T158" si="63">IF(W158&gt;0,(W158/W163),0)</f>
        <v>0</v>
      </c>
      <c r="E158" s="568">
        <f t="shared" si="63"/>
        <v>0.20892274211099021</v>
      </c>
      <c r="F158" s="568">
        <f t="shared" si="63"/>
        <v>0</v>
      </c>
      <c r="G158" s="568">
        <f t="shared" si="63"/>
        <v>5.8823529411764705E-2</v>
      </c>
      <c r="H158" s="568">
        <f t="shared" si="63"/>
        <v>0</v>
      </c>
      <c r="I158" s="568">
        <f t="shared" si="63"/>
        <v>0</v>
      </c>
      <c r="J158" s="569">
        <f t="shared" si="63"/>
        <v>0.19392752203721841</v>
      </c>
      <c r="K158" s="570">
        <f t="shared" si="63"/>
        <v>0</v>
      </c>
      <c r="L158" s="568">
        <f t="shared" si="63"/>
        <v>0</v>
      </c>
      <c r="M158" s="568">
        <f t="shared" si="63"/>
        <v>0</v>
      </c>
      <c r="N158" s="568">
        <f t="shared" si="63"/>
        <v>0.19047619047619047</v>
      </c>
      <c r="O158" s="571">
        <f t="shared" si="63"/>
        <v>0</v>
      </c>
      <c r="P158" s="570">
        <f t="shared" si="63"/>
        <v>0.19047619047619047</v>
      </c>
      <c r="Q158" s="568">
        <f t="shared" si="63"/>
        <v>0</v>
      </c>
      <c r="R158" s="568">
        <f t="shared" si="63"/>
        <v>0</v>
      </c>
      <c r="S158" s="571">
        <f t="shared" si="63"/>
        <v>0</v>
      </c>
      <c r="T158" s="570">
        <f t="shared" si="63"/>
        <v>0</v>
      </c>
      <c r="U158" s="253"/>
      <c r="V158" s="245"/>
      <c r="W158" s="246"/>
      <c r="X158" s="246">
        <v>192</v>
      </c>
      <c r="Y158" s="246"/>
      <c r="Z158" s="246">
        <v>6</v>
      </c>
      <c r="AA158" s="246"/>
      <c r="AB158" s="246"/>
      <c r="AC158" s="247">
        <v>198</v>
      </c>
      <c r="AD158" s="245"/>
      <c r="AE158" s="246"/>
      <c r="AF158" s="246"/>
      <c r="AG158" s="246">
        <v>4</v>
      </c>
      <c r="AH158" s="248"/>
      <c r="AI158" s="248">
        <v>4</v>
      </c>
      <c r="AJ158" s="245"/>
      <c r="AK158" s="246"/>
      <c r="AL158" s="248"/>
      <c r="AM158" s="245"/>
      <c r="AN158" s="563"/>
    </row>
    <row r="159" spans="1:41">
      <c r="A159" s="239"/>
      <c r="B159" s="239" t="s">
        <v>93</v>
      </c>
      <c r="C159" s="572">
        <f>IF(V159&gt;0,(V159/V163),0)</f>
        <v>0</v>
      </c>
      <c r="D159" s="572">
        <f t="shared" ref="D159:T159" si="64">IF(W159&gt;0,(W159/W163),0)</f>
        <v>0</v>
      </c>
      <c r="E159" s="572">
        <f t="shared" si="64"/>
        <v>0.27747551686615884</v>
      </c>
      <c r="F159" s="572">
        <f t="shared" si="64"/>
        <v>0</v>
      </c>
      <c r="G159" s="572">
        <f t="shared" si="64"/>
        <v>0.3235294117647059</v>
      </c>
      <c r="H159" s="572">
        <f t="shared" si="64"/>
        <v>0</v>
      </c>
      <c r="I159" s="572">
        <f t="shared" si="64"/>
        <v>0</v>
      </c>
      <c r="J159" s="573">
        <f t="shared" si="64"/>
        <v>0.28207639569049953</v>
      </c>
      <c r="K159" s="574">
        <f t="shared" si="64"/>
        <v>0</v>
      </c>
      <c r="L159" s="572">
        <f t="shared" si="64"/>
        <v>0</v>
      </c>
      <c r="M159" s="572">
        <f t="shared" si="64"/>
        <v>0</v>
      </c>
      <c r="N159" s="572">
        <f t="shared" si="64"/>
        <v>9.5238095238095233E-2</v>
      </c>
      <c r="O159" s="575">
        <f t="shared" si="64"/>
        <v>0</v>
      </c>
      <c r="P159" s="574">
        <f t="shared" si="64"/>
        <v>9.5238095238095233E-2</v>
      </c>
      <c r="Q159" s="572">
        <f t="shared" si="64"/>
        <v>0</v>
      </c>
      <c r="R159" s="572">
        <f t="shared" si="64"/>
        <v>0</v>
      </c>
      <c r="S159" s="575">
        <f t="shared" si="64"/>
        <v>0</v>
      </c>
      <c r="T159" s="574">
        <f t="shared" si="64"/>
        <v>0</v>
      </c>
      <c r="U159" s="253"/>
      <c r="V159" s="254"/>
      <c r="W159" s="255"/>
      <c r="X159" s="255">
        <v>255</v>
      </c>
      <c r="Y159" s="255"/>
      <c r="Z159" s="255">
        <v>33</v>
      </c>
      <c r="AA159" s="255"/>
      <c r="AB159" s="255"/>
      <c r="AC159" s="256">
        <v>288</v>
      </c>
      <c r="AD159" s="254"/>
      <c r="AE159" s="255"/>
      <c r="AF159" s="255"/>
      <c r="AG159" s="255">
        <v>2</v>
      </c>
      <c r="AH159" s="257"/>
      <c r="AI159" s="257">
        <v>2</v>
      </c>
      <c r="AJ159" s="254"/>
      <c r="AK159" s="255"/>
      <c r="AL159" s="257"/>
      <c r="AM159" s="254"/>
      <c r="AN159" s="563"/>
    </row>
    <row r="160" spans="1:41">
      <c r="A160" s="239"/>
      <c r="B160" s="239" t="s">
        <v>55</v>
      </c>
      <c r="C160" s="572">
        <f>IF(V160&gt;0,(V160/V163),0)</f>
        <v>0</v>
      </c>
      <c r="D160" s="572">
        <f t="shared" ref="D160:T160" si="65">IF(W160&gt;0,(W160/W163),0)</f>
        <v>0</v>
      </c>
      <c r="E160" s="572">
        <f t="shared" si="65"/>
        <v>0.42110990206746463</v>
      </c>
      <c r="F160" s="572">
        <f t="shared" si="65"/>
        <v>0</v>
      </c>
      <c r="G160" s="572">
        <f t="shared" si="65"/>
        <v>0.61764705882352944</v>
      </c>
      <c r="H160" s="572">
        <f t="shared" si="65"/>
        <v>0</v>
      </c>
      <c r="I160" s="572">
        <f t="shared" si="65"/>
        <v>0</v>
      </c>
      <c r="J160" s="573">
        <f t="shared" si="65"/>
        <v>0.44074436826640551</v>
      </c>
      <c r="K160" s="574">
        <f t="shared" si="65"/>
        <v>0</v>
      </c>
      <c r="L160" s="572">
        <f t="shared" si="65"/>
        <v>0</v>
      </c>
      <c r="M160" s="572">
        <f t="shared" si="65"/>
        <v>0</v>
      </c>
      <c r="N160" s="572">
        <f t="shared" si="65"/>
        <v>0.38095238095238093</v>
      </c>
      <c r="O160" s="575">
        <f t="shared" si="65"/>
        <v>0</v>
      </c>
      <c r="P160" s="574">
        <f t="shared" si="65"/>
        <v>0.38095238095238093</v>
      </c>
      <c r="Q160" s="572">
        <f t="shared" si="65"/>
        <v>0</v>
      </c>
      <c r="R160" s="572">
        <f t="shared" si="65"/>
        <v>0</v>
      </c>
      <c r="S160" s="575">
        <f t="shared" si="65"/>
        <v>0</v>
      </c>
      <c r="T160" s="574">
        <f t="shared" si="65"/>
        <v>0</v>
      </c>
      <c r="U160" s="253"/>
      <c r="V160" s="254"/>
      <c r="W160" s="255"/>
      <c r="X160" s="255">
        <v>387</v>
      </c>
      <c r="Y160" s="255"/>
      <c r="Z160" s="255">
        <v>63</v>
      </c>
      <c r="AA160" s="255"/>
      <c r="AB160" s="255"/>
      <c r="AC160" s="256">
        <v>450</v>
      </c>
      <c r="AD160" s="254"/>
      <c r="AE160" s="255"/>
      <c r="AF160" s="255"/>
      <c r="AG160" s="255">
        <v>8</v>
      </c>
      <c r="AH160" s="257"/>
      <c r="AI160" s="257">
        <v>8</v>
      </c>
      <c r="AJ160" s="254"/>
      <c r="AK160" s="255"/>
      <c r="AL160" s="257"/>
      <c r="AM160" s="254"/>
      <c r="AN160" s="563"/>
    </row>
    <row r="161" spans="1:40">
      <c r="A161" s="239"/>
      <c r="B161" s="239" t="s">
        <v>78</v>
      </c>
      <c r="C161" s="572">
        <f>IF(V161&gt;0,(V161/V163),0)</f>
        <v>0</v>
      </c>
      <c r="D161" s="572">
        <f t="shared" ref="D161:T161" si="66">IF(W161&gt;0,(W161/W163),0)</f>
        <v>0</v>
      </c>
      <c r="E161" s="572">
        <f t="shared" si="66"/>
        <v>8.3786724700761692E-2</v>
      </c>
      <c r="F161" s="572">
        <f t="shared" si="66"/>
        <v>0</v>
      </c>
      <c r="G161" s="572">
        <f t="shared" si="66"/>
        <v>0</v>
      </c>
      <c r="H161" s="572">
        <f t="shared" si="66"/>
        <v>0</v>
      </c>
      <c r="I161" s="572">
        <f t="shared" si="66"/>
        <v>0</v>
      </c>
      <c r="J161" s="573">
        <f t="shared" si="66"/>
        <v>7.5416258570029385E-2</v>
      </c>
      <c r="K161" s="574">
        <f t="shared" si="66"/>
        <v>0</v>
      </c>
      <c r="L161" s="572">
        <f t="shared" si="66"/>
        <v>0</v>
      </c>
      <c r="M161" s="572">
        <f t="shared" si="66"/>
        <v>0</v>
      </c>
      <c r="N161" s="572">
        <f t="shared" si="66"/>
        <v>0.33333333333333331</v>
      </c>
      <c r="O161" s="575">
        <f t="shared" si="66"/>
        <v>0</v>
      </c>
      <c r="P161" s="574">
        <f t="shared" si="66"/>
        <v>0.33333333333333331</v>
      </c>
      <c r="Q161" s="572">
        <f t="shared" si="66"/>
        <v>0</v>
      </c>
      <c r="R161" s="572">
        <f t="shared" si="66"/>
        <v>0</v>
      </c>
      <c r="S161" s="575">
        <f t="shared" si="66"/>
        <v>0</v>
      </c>
      <c r="T161" s="574">
        <f t="shared" si="66"/>
        <v>0</v>
      </c>
      <c r="U161" s="253"/>
      <c r="V161" s="254"/>
      <c r="W161" s="255"/>
      <c r="X161" s="255">
        <v>77</v>
      </c>
      <c r="Y161" s="255"/>
      <c r="Z161" s="255"/>
      <c r="AA161" s="255"/>
      <c r="AB161" s="255"/>
      <c r="AC161" s="256">
        <v>77</v>
      </c>
      <c r="AD161" s="254"/>
      <c r="AE161" s="255"/>
      <c r="AF161" s="255"/>
      <c r="AG161" s="255">
        <v>7</v>
      </c>
      <c r="AH161" s="257"/>
      <c r="AI161" s="257">
        <v>7</v>
      </c>
      <c r="AJ161" s="254"/>
      <c r="AK161" s="255"/>
      <c r="AL161" s="257"/>
      <c r="AM161" s="254"/>
      <c r="AN161" s="563"/>
    </row>
    <row r="162" spans="1:40">
      <c r="A162" s="580"/>
      <c r="B162" s="580" t="s">
        <v>131</v>
      </c>
      <c r="C162" s="581">
        <f>IF(V162&gt;0,(V162/V163),0)</f>
        <v>0</v>
      </c>
      <c r="D162" s="582">
        <f t="shared" ref="D162:T162" si="67">IF(W162&gt;0,(W162/W163),0)</f>
        <v>0</v>
      </c>
      <c r="E162" s="582">
        <f t="shared" si="67"/>
        <v>8.7051142546245922E-3</v>
      </c>
      <c r="F162" s="582">
        <f t="shared" si="67"/>
        <v>0</v>
      </c>
      <c r="G162" s="582">
        <f t="shared" si="67"/>
        <v>0</v>
      </c>
      <c r="H162" s="582">
        <f t="shared" si="67"/>
        <v>0</v>
      </c>
      <c r="I162" s="583">
        <f t="shared" si="67"/>
        <v>0</v>
      </c>
      <c r="J162" s="584">
        <f t="shared" si="67"/>
        <v>7.8354554358472089E-3</v>
      </c>
      <c r="K162" s="581">
        <f t="shared" si="67"/>
        <v>0</v>
      </c>
      <c r="L162" s="582">
        <f t="shared" si="67"/>
        <v>0</v>
      </c>
      <c r="M162" s="582">
        <f t="shared" si="67"/>
        <v>0</v>
      </c>
      <c r="N162" s="582">
        <f t="shared" si="67"/>
        <v>0</v>
      </c>
      <c r="O162" s="583">
        <f t="shared" si="67"/>
        <v>0</v>
      </c>
      <c r="P162" s="581">
        <f t="shared" si="67"/>
        <v>0</v>
      </c>
      <c r="Q162" s="581">
        <f t="shared" si="67"/>
        <v>0</v>
      </c>
      <c r="R162" s="582">
        <f t="shared" si="67"/>
        <v>0</v>
      </c>
      <c r="S162" s="583">
        <f t="shared" si="67"/>
        <v>0</v>
      </c>
      <c r="T162" s="581">
        <f t="shared" si="67"/>
        <v>0</v>
      </c>
      <c r="U162" s="253"/>
      <c r="V162" s="585"/>
      <c r="W162" s="586"/>
      <c r="X162" s="586">
        <v>8</v>
      </c>
      <c r="Y162" s="586"/>
      <c r="Z162" s="586"/>
      <c r="AA162" s="586"/>
      <c r="AB162" s="586"/>
      <c r="AC162" s="587">
        <v>8</v>
      </c>
      <c r="AD162" s="585"/>
      <c r="AE162" s="586"/>
      <c r="AF162" s="586"/>
      <c r="AG162" s="586"/>
      <c r="AH162" s="588"/>
      <c r="AI162" s="588"/>
      <c r="AJ162" s="585"/>
      <c r="AK162" s="586"/>
      <c r="AL162" s="588"/>
      <c r="AM162" s="585"/>
    </row>
    <row r="163" spans="1:40">
      <c r="A163" s="436"/>
      <c r="B163" s="436" t="s">
        <v>59</v>
      </c>
      <c r="C163" s="456">
        <f>SUM(C158:C162)</f>
        <v>0</v>
      </c>
      <c r="D163" s="456">
        <f t="shared" ref="D163:T163" si="68">SUM(D158:D162)</f>
        <v>0</v>
      </c>
      <c r="E163" s="456">
        <f t="shared" si="68"/>
        <v>0.99999999999999989</v>
      </c>
      <c r="F163" s="456">
        <f t="shared" si="68"/>
        <v>0</v>
      </c>
      <c r="G163" s="456">
        <f t="shared" si="68"/>
        <v>1</v>
      </c>
      <c r="H163" s="456">
        <f t="shared" si="68"/>
        <v>0</v>
      </c>
      <c r="I163" s="456">
        <f t="shared" si="68"/>
        <v>0</v>
      </c>
      <c r="J163" s="576">
        <f t="shared" si="68"/>
        <v>1</v>
      </c>
      <c r="K163" s="577">
        <f t="shared" si="68"/>
        <v>0</v>
      </c>
      <c r="L163" s="578">
        <f t="shared" si="68"/>
        <v>0</v>
      </c>
      <c r="M163" s="578">
        <f t="shared" si="68"/>
        <v>0</v>
      </c>
      <c r="N163" s="578">
        <f t="shared" si="68"/>
        <v>1</v>
      </c>
      <c r="O163" s="579">
        <f t="shared" si="68"/>
        <v>0</v>
      </c>
      <c r="P163" s="577">
        <f t="shared" si="68"/>
        <v>1</v>
      </c>
      <c r="Q163" s="578">
        <f t="shared" si="68"/>
        <v>0</v>
      </c>
      <c r="R163" s="578">
        <f t="shared" si="68"/>
        <v>0</v>
      </c>
      <c r="S163" s="579">
        <f t="shared" si="68"/>
        <v>0</v>
      </c>
      <c r="T163" s="577">
        <f t="shared" si="68"/>
        <v>0</v>
      </c>
      <c r="U163" s="264"/>
      <c r="V163" s="265"/>
      <c r="W163" s="266"/>
      <c r="X163" s="266">
        <v>919</v>
      </c>
      <c r="Y163" s="266"/>
      <c r="Z163" s="266">
        <v>102</v>
      </c>
      <c r="AA163" s="266"/>
      <c r="AB163" s="266"/>
      <c r="AC163" s="267">
        <v>1021</v>
      </c>
      <c r="AD163" s="265"/>
      <c r="AE163" s="266"/>
      <c r="AF163" s="266"/>
      <c r="AG163" s="266">
        <v>21</v>
      </c>
      <c r="AH163" s="268"/>
      <c r="AI163" s="268">
        <v>21</v>
      </c>
      <c r="AJ163" s="265"/>
      <c r="AK163" s="266"/>
      <c r="AL163" s="268"/>
      <c r="AM163" s="265"/>
      <c r="AN163" s="563"/>
    </row>
    <row r="164" spans="1:40">
      <c r="A164" s="240" t="s">
        <v>137</v>
      </c>
      <c r="B164" s="240" t="s">
        <v>53</v>
      </c>
      <c r="C164" s="568">
        <f t="shared" ref="C164:T164" si="69">IF(V164&gt;0,(V164/V169),0)</f>
        <v>0.36047995915241254</v>
      </c>
      <c r="D164" s="568">
        <f t="shared" si="69"/>
        <v>0.32213930348258707</v>
      </c>
      <c r="E164" s="568">
        <f t="shared" si="69"/>
        <v>0</v>
      </c>
      <c r="F164" s="568">
        <f t="shared" si="69"/>
        <v>0</v>
      </c>
      <c r="G164" s="568">
        <f t="shared" si="69"/>
        <v>0</v>
      </c>
      <c r="H164" s="568">
        <f t="shared" si="69"/>
        <v>0</v>
      </c>
      <c r="I164" s="568">
        <f t="shared" si="69"/>
        <v>0</v>
      </c>
      <c r="J164" s="569">
        <f t="shared" si="69"/>
        <v>0.35395043423003603</v>
      </c>
      <c r="K164" s="570">
        <f t="shared" si="69"/>
        <v>0</v>
      </c>
      <c r="L164" s="568">
        <f t="shared" si="69"/>
        <v>0</v>
      </c>
      <c r="M164" s="568">
        <f t="shared" si="69"/>
        <v>0.11133810010214505</v>
      </c>
      <c r="N164" s="568">
        <f t="shared" si="69"/>
        <v>0</v>
      </c>
      <c r="O164" s="571">
        <f t="shared" si="69"/>
        <v>0</v>
      </c>
      <c r="P164" s="570">
        <f t="shared" si="69"/>
        <v>4.3898509867096251E-2</v>
      </c>
      <c r="Q164" s="568">
        <f t="shared" si="69"/>
        <v>0</v>
      </c>
      <c r="R164" s="568">
        <f t="shared" si="69"/>
        <v>0</v>
      </c>
      <c r="S164" s="571">
        <f t="shared" si="69"/>
        <v>0</v>
      </c>
      <c r="T164" s="570">
        <f t="shared" si="69"/>
        <v>0</v>
      </c>
      <c r="U164" s="253"/>
      <c r="V164" s="245">
        <v>1412</v>
      </c>
      <c r="W164" s="246">
        <v>259</v>
      </c>
      <c r="X164" s="246"/>
      <c r="Y164" s="246"/>
      <c r="Z164" s="246"/>
      <c r="AA164" s="246"/>
      <c r="AB164" s="246"/>
      <c r="AC164" s="247">
        <v>1671</v>
      </c>
      <c r="AD164" s="245"/>
      <c r="AE164" s="246"/>
      <c r="AF164" s="246">
        <v>109</v>
      </c>
      <c r="AG164" s="246"/>
      <c r="AH164" s="248"/>
      <c r="AI164" s="248">
        <v>109</v>
      </c>
      <c r="AJ164" s="245"/>
      <c r="AK164" s="246"/>
      <c r="AL164" s="248"/>
      <c r="AM164" s="245"/>
      <c r="AN164" s="563"/>
    </row>
    <row r="165" spans="1:40">
      <c r="A165" s="239"/>
      <c r="B165" s="239" t="s">
        <v>93</v>
      </c>
      <c r="C165" s="572">
        <f t="shared" ref="C165:T165" si="70">IF(V165&gt;0,(V165/V169),0)</f>
        <v>0.25504212407454685</v>
      </c>
      <c r="D165" s="572">
        <f t="shared" si="70"/>
        <v>0.25</v>
      </c>
      <c r="E165" s="572">
        <f t="shared" si="70"/>
        <v>0</v>
      </c>
      <c r="F165" s="572">
        <f t="shared" si="70"/>
        <v>0</v>
      </c>
      <c r="G165" s="572">
        <f t="shared" si="70"/>
        <v>0</v>
      </c>
      <c r="H165" s="572">
        <f t="shared" si="70"/>
        <v>0</v>
      </c>
      <c r="I165" s="572">
        <f t="shared" si="70"/>
        <v>0</v>
      </c>
      <c r="J165" s="573">
        <f t="shared" si="70"/>
        <v>0.25418343571277274</v>
      </c>
      <c r="K165" s="574">
        <f t="shared" si="70"/>
        <v>0</v>
      </c>
      <c r="L165" s="572">
        <f t="shared" si="70"/>
        <v>0</v>
      </c>
      <c r="M165" s="572">
        <f t="shared" si="70"/>
        <v>0</v>
      </c>
      <c r="N165" s="572">
        <f t="shared" si="70"/>
        <v>0</v>
      </c>
      <c r="O165" s="575">
        <f t="shared" si="70"/>
        <v>0</v>
      </c>
      <c r="P165" s="574">
        <f t="shared" si="70"/>
        <v>0</v>
      </c>
      <c r="Q165" s="572">
        <f t="shared" si="70"/>
        <v>0</v>
      </c>
      <c r="R165" s="572">
        <f t="shared" si="70"/>
        <v>0</v>
      </c>
      <c r="S165" s="575">
        <f t="shared" si="70"/>
        <v>0</v>
      </c>
      <c r="T165" s="574">
        <f t="shared" si="70"/>
        <v>0</v>
      </c>
      <c r="U165" s="253"/>
      <c r="V165" s="254">
        <v>999</v>
      </c>
      <c r="W165" s="255">
        <v>201</v>
      </c>
      <c r="X165" s="255"/>
      <c r="Y165" s="255"/>
      <c r="Z165" s="255"/>
      <c r="AA165" s="255"/>
      <c r="AB165" s="255"/>
      <c r="AC165" s="256">
        <v>1200</v>
      </c>
      <c r="AD165" s="254"/>
      <c r="AE165" s="255"/>
      <c r="AF165" s="255"/>
      <c r="AG165" s="255"/>
      <c r="AH165" s="257"/>
      <c r="AI165" s="257"/>
      <c r="AJ165" s="254"/>
      <c r="AK165" s="255"/>
      <c r="AL165" s="257"/>
      <c r="AM165" s="254"/>
      <c r="AN165" s="563"/>
    </row>
    <row r="166" spans="1:40">
      <c r="A166" s="239"/>
      <c r="B166" s="239" t="s">
        <v>55</v>
      </c>
      <c r="C166" s="572">
        <f t="shared" ref="C166:T166" si="71">IF(V166&gt;0,(V166/V169),0)</f>
        <v>0.21419453663517998</v>
      </c>
      <c r="D166" s="572">
        <f t="shared" si="71"/>
        <v>0.24253731343283583</v>
      </c>
      <c r="E166" s="572">
        <f t="shared" si="71"/>
        <v>0</v>
      </c>
      <c r="F166" s="572">
        <f t="shared" si="71"/>
        <v>0</v>
      </c>
      <c r="G166" s="572">
        <f t="shared" si="71"/>
        <v>0</v>
      </c>
      <c r="H166" s="572">
        <f t="shared" si="71"/>
        <v>0</v>
      </c>
      <c r="I166" s="572">
        <f t="shared" si="71"/>
        <v>0</v>
      </c>
      <c r="J166" s="573">
        <f t="shared" si="71"/>
        <v>0.21902139377250582</v>
      </c>
      <c r="K166" s="574">
        <f t="shared" si="71"/>
        <v>0</v>
      </c>
      <c r="L166" s="572">
        <f t="shared" si="71"/>
        <v>0</v>
      </c>
      <c r="M166" s="572">
        <f t="shared" si="71"/>
        <v>0</v>
      </c>
      <c r="N166" s="572">
        <f t="shared" si="71"/>
        <v>0</v>
      </c>
      <c r="O166" s="575">
        <f t="shared" si="71"/>
        <v>0</v>
      </c>
      <c r="P166" s="574">
        <f t="shared" si="71"/>
        <v>0</v>
      </c>
      <c r="Q166" s="572">
        <f t="shared" si="71"/>
        <v>0</v>
      </c>
      <c r="R166" s="572">
        <f t="shared" si="71"/>
        <v>0</v>
      </c>
      <c r="S166" s="575">
        <f t="shared" si="71"/>
        <v>0</v>
      </c>
      <c r="T166" s="574">
        <f t="shared" si="71"/>
        <v>0</v>
      </c>
      <c r="U166" s="253"/>
      <c r="V166" s="254">
        <v>839</v>
      </c>
      <c r="W166" s="255">
        <v>195</v>
      </c>
      <c r="X166" s="255"/>
      <c r="Y166" s="255"/>
      <c r="Z166" s="255"/>
      <c r="AA166" s="255"/>
      <c r="AB166" s="255"/>
      <c r="AC166" s="256">
        <v>1034</v>
      </c>
      <c r="AD166" s="254"/>
      <c r="AE166" s="255"/>
      <c r="AF166" s="255"/>
      <c r="AG166" s="255"/>
      <c r="AH166" s="257"/>
      <c r="AI166" s="257"/>
      <c r="AJ166" s="254"/>
      <c r="AK166" s="255"/>
      <c r="AL166" s="257"/>
      <c r="AM166" s="254"/>
      <c r="AN166" s="563"/>
    </row>
    <row r="167" spans="1:40">
      <c r="A167" s="239"/>
      <c r="B167" s="239" t="s">
        <v>78</v>
      </c>
      <c r="C167" s="572">
        <f t="shared" ref="C167:T167" si="72">IF(V167&gt;0,(V167/V169),0)</f>
        <v>4.5953535869287722E-2</v>
      </c>
      <c r="D167" s="572">
        <f t="shared" si="72"/>
        <v>4.6019900497512436E-2</v>
      </c>
      <c r="E167" s="572">
        <f t="shared" si="72"/>
        <v>0</v>
      </c>
      <c r="F167" s="572">
        <f t="shared" si="72"/>
        <v>0</v>
      </c>
      <c r="G167" s="572">
        <f t="shared" si="72"/>
        <v>0</v>
      </c>
      <c r="H167" s="572">
        <f t="shared" si="72"/>
        <v>0</v>
      </c>
      <c r="I167" s="572">
        <f t="shared" si="72"/>
        <v>0</v>
      </c>
      <c r="J167" s="573">
        <f t="shared" si="72"/>
        <v>4.596483795805973E-2</v>
      </c>
      <c r="K167" s="574">
        <f t="shared" si="72"/>
        <v>0</v>
      </c>
      <c r="L167" s="572">
        <f t="shared" si="72"/>
        <v>0</v>
      </c>
      <c r="M167" s="572">
        <f t="shared" si="72"/>
        <v>0.27477017364657813</v>
      </c>
      <c r="N167" s="572">
        <f t="shared" si="72"/>
        <v>0.61538461538461542</v>
      </c>
      <c r="O167" s="575">
        <f t="shared" si="72"/>
        <v>0</v>
      </c>
      <c r="P167" s="574">
        <f t="shared" si="72"/>
        <v>0.13733387031816352</v>
      </c>
      <c r="Q167" s="572">
        <f t="shared" si="72"/>
        <v>0</v>
      </c>
      <c r="R167" s="572">
        <f t="shared" si="72"/>
        <v>0</v>
      </c>
      <c r="S167" s="575">
        <f t="shared" si="72"/>
        <v>0</v>
      </c>
      <c r="T167" s="574">
        <f t="shared" si="72"/>
        <v>0</v>
      </c>
      <c r="U167" s="253"/>
      <c r="V167" s="254">
        <v>180</v>
      </c>
      <c r="W167" s="255">
        <v>37</v>
      </c>
      <c r="X167" s="255"/>
      <c r="Y167" s="255"/>
      <c r="Z167" s="255"/>
      <c r="AA167" s="255"/>
      <c r="AB167" s="255"/>
      <c r="AC167" s="256">
        <v>217</v>
      </c>
      <c r="AD167" s="254"/>
      <c r="AE167" s="255"/>
      <c r="AF167" s="255">
        <v>269</v>
      </c>
      <c r="AG167" s="255">
        <v>72</v>
      </c>
      <c r="AH167" s="257"/>
      <c r="AI167" s="257">
        <v>341</v>
      </c>
      <c r="AJ167" s="254"/>
      <c r="AK167" s="255"/>
      <c r="AL167" s="257"/>
      <c r="AM167" s="254"/>
      <c r="AN167" s="563"/>
    </row>
    <row r="168" spans="1:40">
      <c r="A168" s="580"/>
      <c r="B168" s="580" t="s">
        <v>131</v>
      </c>
      <c r="C168" s="581">
        <f t="shared" ref="C168:T168" si="73">IF(V168&gt;0,(V168/V169),0)</f>
        <v>0.12432984426857288</v>
      </c>
      <c r="D168" s="582">
        <f t="shared" si="73"/>
        <v>0.13930348258706468</v>
      </c>
      <c r="E168" s="582">
        <f t="shared" si="73"/>
        <v>0</v>
      </c>
      <c r="F168" s="582">
        <f t="shared" si="73"/>
        <v>0</v>
      </c>
      <c r="G168" s="582">
        <f t="shared" si="73"/>
        <v>0</v>
      </c>
      <c r="H168" s="582">
        <f t="shared" si="73"/>
        <v>0</v>
      </c>
      <c r="I168" s="583">
        <f t="shared" si="73"/>
        <v>0</v>
      </c>
      <c r="J168" s="584">
        <f t="shared" si="73"/>
        <v>0.12687989832662572</v>
      </c>
      <c r="K168" s="581">
        <f t="shared" si="73"/>
        <v>0</v>
      </c>
      <c r="L168" s="582">
        <f t="shared" si="73"/>
        <v>1</v>
      </c>
      <c r="M168" s="582">
        <f t="shared" si="73"/>
        <v>0.61389172625127686</v>
      </c>
      <c r="N168" s="582">
        <f t="shared" si="73"/>
        <v>0.38461538461538464</v>
      </c>
      <c r="O168" s="583">
        <f t="shared" si="73"/>
        <v>0</v>
      </c>
      <c r="P168" s="581">
        <f t="shared" si="73"/>
        <v>0.81876761981474022</v>
      </c>
      <c r="Q168" s="581">
        <f t="shared" si="73"/>
        <v>0</v>
      </c>
      <c r="R168" s="582">
        <f t="shared" si="73"/>
        <v>0</v>
      </c>
      <c r="S168" s="583">
        <f t="shared" si="73"/>
        <v>0</v>
      </c>
      <c r="T168" s="581">
        <f t="shared" si="73"/>
        <v>0</v>
      </c>
      <c r="U168" s="253"/>
      <c r="V168" s="585">
        <v>487</v>
      </c>
      <c r="W168" s="586">
        <v>112</v>
      </c>
      <c r="X168" s="586"/>
      <c r="Y168" s="586"/>
      <c r="Z168" s="586"/>
      <c r="AA168" s="586"/>
      <c r="AB168" s="586"/>
      <c r="AC168" s="587">
        <v>599</v>
      </c>
      <c r="AD168" s="585"/>
      <c r="AE168" s="586">
        <v>1387</v>
      </c>
      <c r="AF168" s="586">
        <v>601</v>
      </c>
      <c r="AG168" s="586">
        <v>45</v>
      </c>
      <c r="AH168" s="588"/>
      <c r="AI168" s="588">
        <v>2033</v>
      </c>
      <c r="AJ168" s="585"/>
      <c r="AK168" s="586"/>
      <c r="AL168" s="588"/>
      <c r="AM168" s="585"/>
    </row>
    <row r="169" spans="1:40">
      <c r="A169" s="436"/>
      <c r="B169" s="436" t="s">
        <v>59</v>
      </c>
      <c r="C169" s="456">
        <f t="shared" ref="C169:T169" si="74">SUM(C164:C168)</f>
        <v>1</v>
      </c>
      <c r="D169" s="456">
        <f t="shared" si="74"/>
        <v>1</v>
      </c>
      <c r="E169" s="456">
        <f t="shared" si="74"/>
        <v>0</v>
      </c>
      <c r="F169" s="456">
        <f t="shared" si="74"/>
        <v>0</v>
      </c>
      <c r="G169" s="456">
        <f t="shared" si="74"/>
        <v>0</v>
      </c>
      <c r="H169" s="456">
        <f t="shared" si="74"/>
        <v>0</v>
      </c>
      <c r="I169" s="456">
        <f t="shared" si="74"/>
        <v>0</v>
      </c>
      <c r="J169" s="576">
        <f t="shared" si="74"/>
        <v>1</v>
      </c>
      <c r="K169" s="577">
        <f t="shared" si="74"/>
        <v>0</v>
      </c>
      <c r="L169" s="578">
        <f t="shared" si="74"/>
        <v>1</v>
      </c>
      <c r="M169" s="578">
        <f t="shared" si="74"/>
        <v>1</v>
      </c>
      <c r="N169" s="578">
        <f t="shared" si="74"/>
        <v>1</v>
      </c>
      <c r="O169" s="579">
        <f t="shared" si="74"/>
        <v>0</v>
      </c>
      <c r="P169" s="577">
        <f t="shared" si="74"/>
        <v>1</v>
      </c>
      <c r="Q169" s="578">
        <f t="shared" si="74"/>
        <v>0</v>
      </c>
      <c r="R169" s="578">
        <f t="shared" si="74"/>
        <v>0</v>
      </c>
      <c r="S169" s="579">
        <f t="shared" si="74"/>
        <v>0</v>
      </c>
      <c r="T169" s="577">
        <f t="shared" si="74"/>
        <v>0</v>
      </c>
      <c r="U169" s="253"/>
      <c r="V169" s="265">
        <v>3917</v>
      </c>
      <c r="W169" s="266">
        <v>804</v>
      </c>
      <c r="X169" s="266"/>
      <c r="Y169" s="266"/>
      <c r="Z169" s="266"/>
      <c r="AA169" s="266"/>
      <c r="AB169" s="266"/>
      <c r="AC169" s="267">
        <v>4721</v>
      </c>
      <c r="AD169" s="265"/>
      <c r="AE169" s="266">
        <v>1387</v>
      </c>
      <c r="AF169" s="266">
        <v>979</v>
      </c>
      <c r="AG169" s="266">
        <v>117</v>
      </c>
      <c r="AH169" s="268"/>
      <c r="AI169" s="268">
        <v>2483</v>
      </c>
      <c r="AJ169" s="265"/>
      <c r="AK169" s="266"/>
      <c r="AL169" s="268"/>
      <c r="AM169" s="265"/>
      <c r="AN169" s="563"/>
    </row>
    <row r="170" spans="1:40">
      <c r="A170" s="240" t="s">
        <v>138</v>
      </c>
      <c r="B170" s="240" t="s">
        <v>53</v>
      </c>
      <c r="C170" s="568">
        <f t="shared" ref="C170:T170" si="75">IF(V170&gt;0,(V170/V175),0)</f>
        <v>0.53018516489536538</v>
      </c>
      <c r="D170" s="568">
        <f t="shared" si="75"/>
        <v>0.39555555555555555</v>
      </c>
      <c r="E170" s="568">
        <f t="shared" si="75"/>
        <v>0.38753729630479689</v>
      </c>
      <c r="F170" s="568">
        <f t="shared" si="75"/>
        <v>0.32075471698113206</v>
      </c>
      <c r="G170" s="568">
        <f t="shared" si="75"/>
        <v>0</v>
      </c>
      <c r="H170" s="568">
        <f t="shared" si="75"/>
        <v>0.16216216216216217</v>
      </c>
      <c r="I170" s="568">
        <f t="shared" si="75"/>
        <v>0</v>
      </c>
      <c r="J170" s="569">
        <f t="shared" si="75"/>
        <v>0.4491151564322296</v>
      </c>
      <c r="K170" s="570">
        <f t="shared" si="75"/>
        <v>0</v>
      </c>
      <c r="L170" s="568">
        <f t="shared" si="75"/>
        <v>6.7046807444075445E-3</v>
      </c>
      <c r="M170" s="568">
        <f t="shared" si="75"/>
        <v>3.0371713508612876E-2</v>
      </c>
      <c r="N170" s="568">
        <f t="shared" si="75"/>
        <v>0</v>
      </c>
      <c r="O170" s="571">
        <f t="shared" si="75"/>
        <v>0</v>
      </c>
      <c r="P170" s="570">
        <f t="shared" si="75"/>
        <v>9.3608779857972894E-3</v>
      </c>
      <c r="Q170" s="568">
        <f t="shared" si="75"/>
        <v>0</v>
      </c>
      <c r="R170" s="568">
        <f t="shared" si="75"/>
        <v>0</v>
      </c>
      <c r="S170" s="571">
        <f t="shared" si="75"/>
        <v>0</v>
      </c>
      <c r="T170" s="570">
        <f t="shared" si="75"/>
        <v>0</v>
      </c>
      <c r="U170" s="253"/>
      <c r="V170" s="245">
        <v>4839</v>
      </c>
      <c r="W170" s="246">
        <v>356</v>
      </c>
      <c r="X170" s="246">
        <v>3377</v>
      </c>
      <c r="Y170" s="246">
        <v>255</v>
      </c>
      <c r="Z170" s="246"/>
      <c r="AA170" s="246">
        <v>30</v>
      </c>
      <c r="AB170" s="246"/>
      <c r="AC170" s="247">
        <v>8857</v>
      </c>
      <c r="AD170" s="245"/>
      <c r="AE170" s="246">
        <v>107</v>
      </c>
      <c r="AF170" s="246">
        <v>67</v>
      </c>
      <c r="AG170" s="246"/>
      <c r="AH170" s="248"/>
      <c r="AI170" s="248">
        <v>174</v>
      </c>
      <c r="AJ170" s="245"/>
      <c r="AK170" s="246"/>
      <c r="AL170" s="248"/>
      <c r="AM170" s="245"/>
      <c r="AN170" s="563"/>
    </row>
    <row r="171" spans="1:40">
      <c r="A171" s="239"/>
      <c r="B171" s="239" t="s">
        <v>93</v>
      </c>
      <c r="C171" s="572">
        <f t="shared" ref="C171:T171" si="76">IF(V171&gt;0,(V171/V175),0)</f>
        <v>0.17924838391585407</v>
      </c>
      <c r="D171" s="572">
        <f t="shared" si="76"/>
        <v>0.26333333333333331</v>
      </c>
      <c r="E171" s="572">
        <f t="shared" si="76"/>
        <v>0.23376176268074364</v>
      </c>
      <c r="F171" s="572">
        <f t="shared" si="76"/>
        <v>0.28301886792452829</v>
      </c>
      <c r="G171" s="572">
        <f t="shared" si="76"/>
        <v>0</v>
      </c>
      <c r="H171" s="572">
        <f t="shared" si="76"/>
        <v>8.1081081081081086E-2</v>
      </c>
      <c r="I171" s="572">
        <f t="shared" si="76"/>
        <v>0</v>
      </c>
      <c r="J171" s="573">
        <f t="shared" si="76"/>
        <v>0.21043557628923482</v>
      </c>
      <c r="K171" s="574">
        <f t="shared" si="76"/>
        <v>0</v>
      </c>
      <c r="L171" s="572">
        <f t="shared" si="76"/>
        <v>4.0102763331035778E-3</v>
      </c>
      <c r="M171" s="572">
        <f t="shared" si="76"/>
        <v>2.2665457842248413E-2</v>
      </c>
      <c r="N171" s="572">
        <f t="shared" si="76"/>
        <v>0</v>
      </c>
      <c r="O171" s="575">
        <f t="shared" si="76"/>
        <v>0</v>
      </c>
      <c r="P171" s="574">
        <f t="shared" si="76"/>
        <v>6.1329890251775338E-3</v>
      </c>
      <c r="Q171" s="572">
        <f t="shared" si="76"/>
        <v>0</v>
      </c>
      <c r="R171" s="572">
        <f t="shared" si="76"/>
        <v>0</v>
      </c>
      <c r="S171" s="575">
        <f t="shared" si="76"/>
        <v>0</v>
      </c>
      <c r="T171" s="574">
        <f t="shared" si="76"/>
        <v>0</v>
      </c>
      <c r="U171" s="253"/>
      <c r="V171" s="254">
        <v>1636</v>
      </c>
      <c r="W171" s="255">
        <v>237</v>
      </c>
      <c r="X171" s="255">
        <v>2037</v>
      </c>
      <c r="Y171" s="255">
        <v>225</v>
      </c>
      <c r="Z171" s="255"/>
      <c r="AA171" s="255">
        <v>15</v>
      </c>
      <c r="AB171" s="255"/>
      <c r="AC171" s="256">
        <v>4150</v>
      </c>
      <c r="AD171" s="254"/>
      <c r="AE171" s="255">
        <v>64</v>
      </c>
      <c r="AF171" s="255">
        <v>50</v>
      </c>
      <c r="AG171" s="255"/>
      <c r="AH171" s="257"/>
      <c r="AI171" s="257">
        <v>114</v>
      </c>
      <c r="AJ171" s="254"/>
      <c r="AK171" s="255"/>
      <c r="AL171" s="257"/>
      <c r="AM171" s="254"/>
      <c r="AN171" s="563"/>
    </row>
    <row r="172" spans="1:40">
      <c r="A172" s="239"/>
      <c r="B172" s="239" t="s">
        <v>55</v>
      </c>
      <c r="C172" s="572">
        <f t="shared" ref="C172:T172" si="77">IF(V172&gt;0,(V172/V175),0)</f>
        <v>0.1863701106606771</v>
      </c>
      <c r="D172" s="572">
        <f t="shared" si="77"/>
        <v>0.17888888888888888</v>
      </c>
      <c r="E172" s="572">
        <f t="shared" si="77"/>
        <v>0.2435161808583888</v>
      </c>
      <c r="F172" s="572">
        <f t="shared" si="77"/>
        <v>0.2238993710691824</v>
      </c>
      <c r="G172" s="572">
        <f t="shared" si="77"/>
        <v>0</v>
      </c>
      <c r="H172" s="572">
        <f t="shared" si="77"/>
        <v>0.38918918918918921</v>
      </c>
      <c r="I172" s="572">
        <f t="shared" si="77"/>
        <v>0</v>
      </c>
      <c r="J172" s="573">
        <f t="shared" si="77"/>
        <v>0.21469499518280005</v>
      </c>
      <c r="K172" s="574">
        <f t="shared" si="77"/>
        <v>0</v>
      </c>
      <c r="L172" s="572">
        <f t="shared" si="77"/>
        <v>1.5665141926185851E-3</v>
      </c>
      <c r="M172" s="572">
        <f t="shared" si="77"/>
        <v>6.3463281958295557E-3</v>
      </c>
      <c r="N172" s="572">
        <f t="shared" si="77"/>
        <v>0</v>
      </c>
      <c r="O172" s="575">
        <f t="shared" si="77"/>
        <v>0</v>
      </c>
      <c r="P172" s="574">
        <f t="shared" si="77"/>
        <v>2.0981278244028407E-3</v>
      </c>
      <c r="Q172" s="572">
        <f t="shared" si="77"/>
        <v>0</v>
      </c>
      <c r="R172" s="572">
        <f t="shared" si="77"/>
        <v>0</v>
      </c>
      <c r="S172" s="575">
        <f t="shared" si="77"/>
        <v>0</v>
      </c>
      <c r="T172" s="574">
        <f t="shared" si="77"/>
        <v>0</v>
      </c>
      <c r="U172" s="253"/>
      <c r="V172" s="254">
        <v>1701</v>
      </c>
      <c r="W172" s="255">
        <v>161</v>
      </c>
      <c r="X172" s="255">
        <v>2122</v>
      </c>
      <c r="Y172" s="255">
        <v>178</v>
      </c>
      <c r="Z172" s="255"/>
      <c r="AA172" s="255">
        <v>72</v>
      </c>
      <c r="AB172" s="255"/>
      <c r="AC172" s="256">
        <v>4234</v>
      </c>
      <c r="AD172" s="254"/>
      <c r="AE172" s="255">
        <v>25</v>
      </c>
      <c r="AF172" s="255">
        <v>14</v>
      </c>
      <c r="AG172" s="255"/>
      <c r="AH172" s="257"/>
      <c r="AI172" s="257">
        <v>39</v>
      </c>
      <c r="AJ172" s="254"/>
      <c r="AK172" s="255"/>
      <c r="AL172" s="257"/>
      <c r="AM172" s="254"/>
      <c r="AN172" s="563"/>
    </row>
    <row r="173" spans="1:40">
      <c r="A173" s="239"/>
      <c r="B173" s="239" t="s">
        <v>78</v>
      </c>
      <c r="C173" s="572">
        <f t="shared" ref="C173:T173" si="78">IF(V173&gt;0,(V173/V175),0)</f>
        <v>4.3826010737372633E-4</v>
      </c>
      <c r="D173" s="572">
        <f t="shared" si="78"/>
        <v>0</v>
      </c>
      <c r="E173" s="572">
        <f t="shared" si="78"/>
        <v>2.2951572182694515E-4</v>
      </c>
      <c r="F173" s="572">
        <f t="shared" si="78"/>
        <v>0</v>
      </c>
      <c r="G173" s="572">
        <f t="shared" si="78"/>
        <v>0</v>
      </c>
      <c r="H173" s="572">
        <f t="shared" si="78"/>
        <v>0</v>
      </c>
      <c r="I173" s="572">
        <f t="shared" si="78"/>
        <v>0</v>
      </c>
      <c r="J173" s="573">
        <f t="shared" si="78"/>
        <v>3.0424420668323109E-4</v>
      </c>
      <c r="K173" s="574">
        <f t="shared" si="78"/>
        <v>0</v>
      </c>
      <c r="L173" s="572">
        <f t="shared" si="78"/>
        <v>0.98627733567266118</v>
      </c>
      <c r="M173" s="572">
        <f t="shared" si="78"/>
        <v>0.93880326382592927</v>
      </c>
      <c r="N173" s="572">
        <f t="shared" si="78"/>
        <v>1</v>
      </c>
      <c r="O173" s="575">
        <f t="shared" si="78"/>
        <v>1</v>
      </c>
      <c r="P173" s="574">
        <f t="shared" si="78"/>
        <v>0.9809554551323435</v>
      </c>
      <c r="Q173" s="572">
        <f t="shared" si="78"/>
        <v>0</v>
      </c>
      <c r="R173" s="572">
        <f t="shared" si="78"/>
        <v>0</v>
      </c>
      <c r="S173" s="575">
        <f t="shared" si="78"/>
        <v>0</v>
      </c>
      <c r="T173" s="574">
        <f t="shared" si="78"/>
        <v>0</v>
      </c>
      <c r="U173" s="253"/>
      <c r="V173" s="254">
        <v>4</v>
      </c>
      <c r="W173" s="255"/>
      <c r="X173" s="255">
        <v>2</v>
      </c>
      <c r="Y173" s="255"/>
      <c r="Z173" s="255"/>
      <c r="AA173" s="255"/>
      <c r="AB173" s="255"/>
      <c r="AC173" s="256">
        <v>6</v>
      </c>
      <c r="AD173" s="254"/>
      <c r="AE173" s="255">
        <v>15740</v>
      </c>
      <c r="AF173" s="255">
        <v>2071</v>
      </c>
      <c r="AG173" s="255">
        <v>375</v>
      </c>
      <c r="AH173" s="257">
        <v>48</v>
      </c>
      <c r="AI173" s="257">
        <v>18234</v>
      </c>
      <c r="AJ173" s="254"/>
      <c r="AK173" s="255"/>
      <c r="AL173" s="257"/>
      <c r="AM173" s="254"/>
      <c r="AN173" s="563"/>
    </row>
    <row r="174" spans="1:40">
      <c r="A174" s="580"/>
      <c r="B174" s="580" t="s">
        <v>131</v>
      </c>
      <c r="C174" s="581">
        <f t="shared" ref="C174:T174" si="79">IF(V174&gt;0,(V174/V175),0)</f>
        <v>0.1037580804207297</v>
      </c>
      <c r="D174" s="582">
        <f t="shared" si="79"/>
        <v>0.16222222222222221</v>
      </c>
      <c r="E174" s="582">
        <f t="shared" si="79"/>
        <v>0.13495524443424375</v>
      </c>
      <c r="F174" s="582">
        <f t="shared" si="79"/>
        <v>0.17232704402515722</v>
      </c>
      <c r="G174" s="582">
        <f t="shared" si="79"/>
        <v>0</v>
      </c>
      <c r="H174" s="582">
        <f t="shared" si="79"/>
        <v>0.36756756756756759</v>
      </c>
      <c r="I174" s="583">
        <f t="shared" si="79"/>
        <v>0</v>
      </c>
      <c r="J174" s="584">
        <f t="shared" si="79"/>
        <v>0.12545002788905227</v>
      </c>
      <c r="K174" s="581">
        <f t="shared" si="79"/>
        <v>0</v>
      </c>
      <c r="L174" s="582">
        <f t="shared" si="79"/>
        <v>1.4411930572090983E-3</v>
      </c>
      <c r="M174" s="582">
        <f t="shared" si="79"/>
        <v>1.8132366273798731E-3</v>
      </c>
      <c r="N174" s="582">
        <f t="shared" si="79"/>
        <v>0</v>
      </c>
      <c r="O174" s="583">
        <f t="shared" si="79"/>
        <v>0</v>
      </c>
      <c r="P174" s="581">
        <f t="shared" si="79"/>
        <v>1.4525500322788896E-3</v>
      </c>
      <c r="Q174" s="581">
        <f t="shared" si="79"/>
        <v>0</v>
      </c>
      <c r="R174" s="582">
        <f t="shared" si="79"/>
        <v>0</v>
      </c>
      <c r="S174" s="583">
        <f t="shared" si="79"/>
        <v>0</v>
      </c>
      <c r="T174" s="581">
        <f t="shared" si="79"/>
        <v>0</v>
      </c>
      <c r="U174" s="253"/>
      <c r="V174" s="585">
        <v>947</v>
      </c>
      <c r="W174" s="586">
        <v>146</v>
      </c>
      <c r="X174" s="586">
        <v>1176</v>
      </c>
      <c r="Y174" s="586">
        <v>137</v>
      </c>
      <c r="Z174" s="586"/>
      <c r="AA174" s="586">
        <v>68</v>
      </c>
      <c r="AB174" s="586"/>
      <c r="AC174" s="587">
        <v>2474</v>
      </c>
      <c r="AD174" s="585"/>
      <c r="AE174" s="586">
        <v>23</v>
      </c>
      <c r="AF174" s="586">
        <v>4</v>
      </c>
      <c r="AG174" s="586"/>
      <c r="AH174" s="588"/>
      <c r="AI174" s="588">
        <v>27</v>
      </c>
      <c r="AJ174" s="585"/>
      <c r="AK174" s="586"/>
      <c r="AL174" s="588"/>
      <c r="AM174" s="585"/>
    </row>
    <row r="175" spans="1:40">
      <c r="A175" s="436"/>
      <c r="B175" s="436" t="s">
        <v>59</v>
      </c>
      <c r="C175" s="456">
        <f t="shared" ref="C175:T175" si="80">SUM(C170:C174)</f>
        <v>1</v>
      </c>
      <c r="D175" s="456">
        <f t="shared" si="80"/>
        <v>1</v>
      </c>
      <c r="E175" s="456">
        <f t="shared" si="80"/>
        <v>1</v>
      </c>
      <c r="F175" s="456">
        <f t="shared" si="80"/>
        <v>1</v>
      </c>
      <c r="G175" s="456">
        <f t="shared" si="80"/>
        <v>0</v>
      </c>
      <c r="H175" s="456">
        <f t="shared" si="80"/>
        <v>1</v>
      </c>
      <c r="I175" s="456">
        <f t="shared" si="80"/>
        <v>0</v>
      </c>
      <c r="J175" s="576">
        <f t="shared" si="80"/>
        <v>1</v>
      </c>
      <c r="K175" s="577">
        <f t="shared" si="80"/>
        <v>0</v>
      </c>
      <c r="L175" s="578">
        <f t="shared" si="80"/>
        <v>1</v>
      </c>
      <c r="M175" s="578">
        <f t="shared" si="80"/>
        <v>1</v>
      </c>
      <c r="N175" s="578">
        <f t="shared" si="80"/>
        <v>1</v>
      </c>
      <c r="O175" s="579">
        <f t="shared" si="80"/>
        <v>1</v>
      </c>
      <c r="P175" s="577">
        <f t="shared" si="80"/>
        <v>1</v>
      </c>
      <c r="Q175" s="578">
        <f t="shared" si="80"/>
        <v>0</v>
      </c>
      <c r="R175" s="578">
        <f t="shared" si="80"/>
        <v>0</v>
      </c>
      <c r="S175" s="579">
        <f t="shared" si="80"/>
        <v>0</v>
      </c>
      <c r="T175" s="577">
        <f t="shared" si="80"/>
        <v>0</v>
      </c>
      <c r="U175" s="253"/>
      <c r="V175" s="265">
        <v>9127</v>
      </c>
      <c r="W175" s="266">
        <v>900</v>
      </c>
      <c r="X175" s="266">
        <v>8714</v>
      </c>
      <c r="Y175" s="266">
        <v>795</v>
      </c>
      <c r="Z175" s="266"/>
      <c r="AA175" s="266">
        <v>185</v>
      </c>
      <c r="AB175" s="266"/>
      <c r="AC175" s="267">
        <v>19721</v>
      </c>
      <c r="AD175" s="265"/>
      <c r="AE175" s="266">
        <v>15959</v>
      </c>
      <c r="AF175" s="266">
        <v>2206</v>
      </c>
      <c r="AG175" s="266">
        <v>375</v>
      </c>
      <c r="AH175" s="268">
        <v>48</v>
      </c>
      <c r="AI175" s="268">
        <v>18588</v>
      </c>
      <c r="AJ175" s="265"/>
      <c r="AK175" s="266"/>
      <c r="AL175" s="268"/>
      <c r="AM175" s="265"/>
      <c r="AN175" s="563"/>
    </row>
    <row r="176" spans="1:40">
      <c r="A176" s="240" t="s">
        <v>139</v>
      </c>
      <c r="B176" s="240" t="s">
        <v>53</v>
      </c>
      <c r="C176" s="568">
        <f t="shared" ref="C176:T176" si="81">IF(V176&gt;0,(V176/V181),0)</f>
        <v>0.32412451361867706</v>
      </c>
      <c r="D176" s="568">
        <f t="shared" si="81"/>
        <v>0.23893805309734514</v>
      </c>
      <c r="E176" s="568">
        <f t="shared" si="81"/>
        <v>0.23974763406940064</v>
      </c>
      <c r="F176" s="568">
        <f t="shared" si="81"/>
        <v>0</v>
      </c>
      <c r="G176" s="568">
        <f t="shared" si="81"/>
        <v>0.28599221789883267</v>
      </c>
      <c r="H176" s="568">
        <f t="shared" si="81"/>
        <v>0.27487562189054726</v>
      </c>
      <c r="I176" s="568">
        <f t="shared" si="81"/>
        <v>0</v>
      </c>
      <c r="J176" s="569">
        <f t="shared" si="81"/>
        <v>0.28891336270190898</v>
      </c>
      <c r="K176" s="570">
        <f t="shared" si="81"/>
        <v>0</v>
      </c>
      <c r="L176" s="568">
        <f t="shared" si="81"/>
        <v>0.58119658119658124</v>
      </c>
      <c r="M176" s="568">
        <f t="shared" si="81"/>
        <v>0.17499999999999999</v>
      </c>
      <c r="N176" s="568">
        <f t="shared" si="81"/>
        <v>5.9907834101382486E-2</v>
      </c>
      <c r="O176" s="571">
        <f t="shared" si="81"/>
        <v>0</v>
      </c>
      <c r="P176" s="570">
        <f t="shared" si="81"/>
        <v>0.27568493150684931</v>
      </c>
      <c r="Q176" s="568">
        <f t="shared" si="81"/>
        <v>0</v>
      </c>
      <c r="R176" s="568">
        <f t="shared" si="81"/>
        <v>0</v>
      </c>
      <c r="S176" s="571">
        <f t="shared" si="81"/>
        <v>0</v>
      </c>
      <c r="T176" s="570">
        <f t="shared" si="81"/>
        <v>0</v>
      </c>
      <c r="U176" s="253"/>
      <c r="V176" s="245">
        <v>833</v>
      </c>
      <c r="W176" s="246">
        <v>297</v>
      </c>
      <c r="X176" s="246">
        <v>76</v>
      </c>
      <c r="Y176" s="246"/>
      <c r="Z176" s="246">
        <v>147</v>
      </c>
      <c r="AA176" s="246">
        <v>221</v>
      </c>
      <c r="AB176" s="246"/>
      <c r="AC176" s="247">
        <v>1574</v>
      </c>
      <c r="AD176" s="245"/>
      <c r="AE176" s="246">
        <v>204</v>
      </c>
      <c r="AF176" s="246">
        <v>105</v>
      </c>
      <c r="AG176" s="246">
        <v>13</v>
      </c>
      <c r="AH176" s="248"/>
      <c r="AI176" s="248">
        <v>322</v>
      </c>
      <c r="AJ176" s="245"/>
      <c r="AK176" s="246"/>
      <c r="AL176" s="248"/>
      <c r="AM176" s="245"/>
      <c r="AN176" s="563"/>
    </row>
    <row r="177" spans="1:40">
      <c r="A177" s="239"/>
      <c r="B177" s="239" t="s">
        <v>93</v>
      </c>
      <c r="C177" s="572">
        <f t="shared" ref="C177:T177" si="82">IF(V177&gt;0,(V177/V181),0)</f>
        <v>0.25330739299610894</v>
      </c>
      <c r="D177" s="572">
        <f t="shared" si="82"/>
        <v>0.23008849557522124</v>
      </c>
      <c r="E177" s="572">
        <f t="shared" si="82"/>
        <v>0.18611987381703471</v>
      </c>
      <c r="F177" s="572">
        <f t="shared" si="82"/>
        <v>0</v>
      </c>
      <c r="G177" s="572">
        <f t="shared" si="82"/>
        <v>0.19455252918287938</v>
      </c>
      <c r="H177" s="572">
        <f t="shared" si="82"/>
        <v>0.18159203980099503</v>
      </c>
      <c r="I177" s="572">
        <f t="shared" si="82"/>
        <v>0</v>
      </c>
      <c r="J177" s="573">
        <f t="shared" si="82"/>
        <v>0.22797356828193832</v>
      </c>
      <c r="K177" s="574">
        <f t="shared" si="82"/>
        <v>0</v>
      </c>
      <c r="L177" s="572">
        <f t="shared" si="82"/>
        <v>0</v>
      </c>
      <c r="M177" s="572">
        <f t="shared" si="82"/>
        <v>0.12333333333333334</v>
      </c>
      <c r="N177" s="572">
        <f t="shared" si="82"/>
        <v>4.608294930875576E-3</v>
      </c>
      <c r="O177" s="575">
        <f t="shared" si="82"/>
        <v>0</v>
      </c>
      <c r="P177" s="574">
        <f t="shared" si="82"/>
        <v>6.4212328767123295E-2</v>
      </c>
      <c r="Q177" s="572">
        <f t="shared" si="82"/>
        <v>0</v>
      </c>
      <c r="R177" s="572">
        <f t="shared" si="82"/>
        <v>0</v>
      </c>
      <c r="S177" s="575">
        <f t="shared" si="82"/>
        <v>0</v>
      </c>
      <c r="T177" s="574">
        <f t="shared" si="82"/>
        <v>0</v>
      </c>
      <c r="U177" s="253"/>
      <c r="V177" s="254">
        <v>651</v>
      </c>
      <c r="W177" s="255">
        <v>286</v>
      </c>
      <c r="X177" s="255">
        <v>59</v>
      </c>
      <c r="Y177" s="255"/>
      <c r="Z177" s="255">
        <v>100</v>
      </c>
      <c r="AA177" s="255">
        <v>146</v>
      </c>
      <c r="AB177" s="255"/>
      <c r="AC177" s="256">
        <v>1242</v>
      </c>
      <c r="AD177" s="254"/>
      <c r="AE177" s="255"/>
      <c r="AF177" s="255">
        <v>74</v>
      </c>
      <c r="AG177" s="255">
        <v>1</v>
      </c>
      <c r="AH177" s="257"/>
      <c r="AI177" s="257">
        <v>75</v>
      </c>
      <c r="AJ177" s="254"/>
      <c r="AK177" s="255"/>
      <c r="AL177" s="257"/>
      <c r="AM177" s="254"/>
      <c r="AN177" s="563"/>
    </row>
    <row r="178" spans="1:40">
      <c r="A178" s="239"/>
      <c r="B178" s="239" t="s">
        <v>55</v>
      </c>
      <c r="C178" s="572">
        <f t="shared" ref="C178:T178" si="83">IF(V178&gt;0,(V178/V181),0)</f>
        <v>0.25992217898832687</v>
      </c>
      <c r="D178" s="572">
        <f t="shared" si="83"/>
        <v>0.250201126307321</v>
      </c>
      <c r="E178" s="572">
        <f t="shared" si="83"/>
        <v>0.26498422712933756</v>
      </c>
      <c r="F178" s="572">
        <f t="shared" si="83"/>
        <v>0</v>
      </c>
      <c r="G178" s="572">
        <f t="shared" si="83"/>
        <v>0.28210116731517509</v>
      </c>
      <c r="H178" s="572">
        <f t="shared" si="83"/>
        <v>0.42910447761194032</v>
      </c>
      <c r="I178" s="572">
        <f t="shared" si="83"/>
        <v>0</v>
      </c>
      <c r="J178" s="573">
        <f t="shared" si="83"/>
        <v>0.28505873715124819</v>
      </c>
      <c r="K178" s="574">
        <f t="shared" si="83"/>
        <v>0</v>
      </c>
      <c r="L178" s="572">
        <f t="shared" si="83"/>
        <v>0</v>
      </c>
      <c r="M178" s="572">
        <f t="shared" si="83"/>
        <v>5.3333333333333337E-2</v>
      </c>
      <c r="N178" s="572">
        <f t="shared" si="83"/>
        <v>0.11059907834101383</v>
      </c>
      <c r="O178" s="575">
        <f t="shared" si="83"/>
        <v>0</v>
      </c>
      <c r="P178" s="574">
        <f t="shared" si="83"/>
        <v>4.7945205479452052E-2</v>
      </c>
      <c r="Q178" s="572">
        <f t="shared" si="83"/>
        <v>0</v>
      </c>
      <c r="R178" s="572">
        <f t="shared" si="83"/>
        <v>0</v>
      </c>
      <c r="S178" s="575">
        <f t="shared" si="83"/>
        <v>0</v>
      </c>
      <c r="T178" s="574">
        <f t="shared" si="83"/>
        <v>0</v>
      </c>
      <c r="U178" s="253"/>
      <c r="V178" s="254">
        <v>668</v>
      </c>
      <c r="W178" s="255">
        <v>311</v>
      </c>
      <c r="X178" s="255">
        <v>84</v>
      </c>
      <c r="Y178" s="255"/>
      <c r="Z178" s="255">
        <v>145</v>
      </c>
      <c r="AA178" s="255">
        <v>345</v>
      </c>
      <c r="AB178" s="255"/>
      <c r="AC178" s="256">
        <v>1553</v>
      </c>
      <c r="AD178" s="254"/>
      <c r="AE178" s="255"/>
      <c r="AF178" s="255">
        <v>32</v>
      </c>
      <c r="AG178" s="255">
        <v>24</v>
      </c>
      <c r="AH178" s="257"/>
      <c r="AI178" s="257">
        <v>56</v>
      </c>
      <c r="AJ178" s="254"/>
      <c r="AK178" s="255"/>
      <c r="AL178" s="257"/>
      <c r="AM178" s="254"/>
      <c r="AN178" s="563"/>
    </row>
    <row r="179" spans="1:40">
      <c r="A179" s="239"/>
      <c r="B179" s="239" t="s">
        <v>78</v>
      </c>
      <c r="C179" s="572">
        <f t="shared" ref="C179:T179" si="84">IF(V179&gt;0,(V179/V181),0)</f>
        <v>0.16264591439688716</v>
      </c>
      <c r="D179" s="572">
        <f t="shared" si="84"/>
        <v>0.20434432823813356</v>
      </c>
      <c r="E179" s="572">
        <f t="shared" si="84"/>
        <v>0.30283911671924291</v>
      </c>
      <c r="F179" s="572">
        <f t="shared" si="84"/>
        <v>0</v>
      </c>
      <c r="G179" s="572">
        <f t="shared" si="84"/>
        <v>0.14202334630350194</v>
      </c>
      <c r="H179" s="572">
        <f t="shared" si="84"/>
        <v>7.3383084577114427E-2</v>
      </c>
      <c r="I179" s="572">
        <f t="shared" si="84"/>
        <v>0</v>
      </c>
      <c r="J179" s="573">
        <f t="shared" si="84"/>
        <v>0.16519823788546256</v>
      </c>
      <c r="K179" s="574">
        <f t="shared" si="84"/>
        <v>0</v>
      </c>
      <c r="L179" s="572">
        <f t="shared" si="84"/>
        <v>0</v>
      </c>
      <c r="M179" s="572">
        <f t="shared" si="84"/>
        <v>0.40666666666666668</v>
      </c>
      <c r="N179" s="572">
        <f t="shared" si="84"/>
        <v>0.14746543778801843</v>
      </c>
      <c r="O179" s="575">
        <f t="shared" si="84"/>
        <v>0</v>
      </c>
      <c r="P179" s="574">
        <f t="shared" si="84"/>
        <v>0.2363013698630137</v>
      </c>
      <c r="Q179" s="572">
        <f t="shared" si="84"/>
        <v>0</v>
      </c>
      <c r="R179" s="572">
        <f t="shared" si="84"/>
        <v>0</v>
      </c>
      <c r="S179" s="575">
        <f t="shared" si="84"/>
        <v>0</v>
      </c>
      <c r="T179" s="574">
        <f t="shared" si="84"/>
        <v>0</v>
      </c>
      <c r="U179" s="253"/>
      <c r="V179" s="254">
        <v>418</v>
      </c>
      <c r="W179" s="255">
        <v>254</v>
      </c>
      <c r="X179" s="255">
        <v>96</v>
      </c>
      <c r="Y179" s="255"/>
      <c r="Z179" s="255">
        <v>73</v>
      </c>
      <c r="AA179" s="255">
        <v>59</v>
      </c>
      <c r="AB179" s="255"/>
      <c r="AC179" s="256">
        <v>900</v>
      </c>
      <c r="AD179" s="254"/>
      <c r="AE179" s="255"/>
      <c r="AF179" s="255">
        <v>244</v>
      </c>
      <c r="AG179" s="255">
        <v>32</v>
      </c>
      <c r="AH179" s="257"/>
      <c r="AI179" s="257">
        <v>276</v>
      </c>
      <c r="AJ179" s="254"/>
      <c r="AK179" s="255"/>
      <c r="AL179" s="257"/>
      <c r="AM179" s="254"/>
      <c r="AN179" s="563"/>
    </row>
    <row r="180" spans="1:40">
      <c r="A180" s="580"/>
      <c r="B180" s="580" t="s">
        <v>131</v>
      </c>
      <c r="C180" s="581">
        <f t="shared" ref="C180:T180" si="85">IF(V180&gt;0,(V180/V181),0)</f>
        <v>0</v>
      </c>
      <c r="D180" s="582">
        <f t="shared" si="85"/>
        <v>7.6427996781979077E-2</v>
      </c>
      <c r="E180" s="582">
        <f t="shared" si="85"/>
        <v>6.3091482649842269E-3</v>
      </c>
      <c r="F180" s="582">
        <f t="shared" si="85"/>
        <v>0</v>
      </c>
      <c r="G180" s="582">
        <f t="shared" si="85"/>
        <v>9.5330739299610889E-2</v>
      </c>
      <c r="H180" s="582">
        <f t="shared" si="85"/>
        <v>4.1044776119402986E-2</v>
      </c>
      <c r="I180" s="583">
        <f t="shared" si="85"/>
        <v>0</v>
      </c>
      <c r="J180" s="584">
        <f t="shared" si="85"/>
        <v>3.2856093979441996E-2</v>
      </c>
      <c r="K180" s="581">
        <f t="shared" si="85"/>
        <v>0</v>
      </c>
      <c r="L180" s="582">
        <f t="shared" si="85"/>
        <v>0.41880341880341881</v>
      </c>
      <c r="M180" s="582">
        <f t="shared" si="85"/>
        <v>0.24166666666666667</v>
      </c>
      <c r="N180" s="582">
        <f t="shared" si="85"/>
        <v>0.67741935483870963</v>
      </c>
      <c r="O180" s="583">
        <f t="shared" si="85"/>
        <v>0</v>
      </c>
      <c r="P180" s="581">
        <f t="shared" si="85"/>
        <v>0.37585616438356162</v>
      </c>
      <c r="Q180" s="581">
        <f t="shared" si="85"/>
        <v>0</v>
      </c>
      <c r="R180" s="582">
        <f t="shared" si="85"/>
        <v>0</v>
      </c>
      <c r="S180" s="583">
        <f t="shared" si="85"/>
        <v>0</v>
      </c>
      <c r="T180" s="581">
        <f t="shared" si="85"/>
        <v>0</v>
      </c>
      <c r="U180" s="253"/>
      <c r="V180" s="585"/>
      <c r="W180" s="586">
        <v>95</v>
      </c>
      <c r="X180" s="586">
        <v>2</v>
      </c>
      <c r="Y180" s="586"/>
      <c r="Z180" s="586">
        <v>49</v>
      </c>
      <c r="AA180" s="586">
        <v>33</v>
      </c>
      <c r="AB180" s="586"/>
      <c r="AC180" s="587">
        <v>179</v>
      </c>
      <c r="AD180" s="585"/>
      <c r="AE180" s="586">
        <v>147</v>
      </c>
      <c r="AF180" s="586">
        <v>145</v>
      </c>
      <c r="AG180" s="586">
        <v>147</v>
      </c>
      <c r="AH180" s="588"/>
      <c r="AI180" s="588">
        <v>439</v>
      </c>
      <c r="AJ180" s="585"/>
      <c r="AK180" s="586"/>
      <c r="AL180" s="588"/>
      <c r="AM180" s="585"/>
    </row>
    <row r="181" spans="1:40">
      <c r="A181" s="436"/>
      <c r="B181" s="436" t="s">
        <v>59</v>
      </c>
      <c r="C181" s="456">
        <f t="shared" ref="C181:T181" si="86">SUM(C176:C180)</f>
        <v>0.99999999999999989</v>
      </c>
      <c r="D181" s="456">
        <f t="shared" si="86"/>
        <v>1</v>
      </c>
      <c r="E181" s="456">
        <f t="shared" si="86"/>
        <v>1</v>
      </c>
      <c r="F181" s="456">
        <f t="shared" si="86"/>
        <v>0</v>
      </c>
      <c r="G181" s="456">
        <f t="shared" si="86"/>
        <v>0.99999999999999989</v>
      </c>
      <c r="H181" s="456">
        <f t="shared" si="86"/>
        <v>0.99999999999999989</v>
      </c>
      <c r="I181" s="456">
        <f t="shared" si="86"/>
        <v>0</v>
      </c>
      <c r="J181" s="576">
        <f t="shared" si="86"/>
        <v>1</v>
      </c>
      <c r="K181" s="577">
        <f t="shared" si="86"/>
        <v>0</v>
      </c>
      <c r="L181" s="578">
        <f t="shared" si="86"/>
        <v>1</v>
      </c>
      <c r="M181" s="578">
        <f t="shared" si="86"/>
        <v>1</v>
      </c>
      <c r="N181" s="578">
        <f t="shared" si="86"/>
        <v>1</v>
      </c>
      <c r="O181" s="579">
        <f t="shared" si="86"/>
        <v>0</v>
      </c>
      <c r="P181" s="577">
        <f t="shared" si="86"/>
        <v>1</v>
      </c>
      <c r="Q181" s="578">
        <f t="shared" si="86"/>
        <v>0</v>
      </c>
      <c r="R181" s="578">
        <f t="shared" si="86"/>
        <v>0</v>
      </c>
      <c r="S181" s="579">
        <f t="shared" si="86"/>
        <v>0</v>
      </c>
      <c r="T181" s="577">
        <f t="shared" si="86"/>
        <v>0</v>
      </c>
      <c r="U181" s="253"/>
      <c r="V181" s="265">
        <v>2570</v>
      </c>
      <c r="W181" s="266">
        <v>1243</v>
      </c>
      <c r="X181" s="266">
        <v>317</v>
      </c>
      <c r="Y181" s="266"/>
      <c r="Z181" s="266">
        <v>514</v>
      </c>
      <c r="AA181" s="266">
        <v>804</v>
      </c>
      <c r="AB181" s="266"/>
      <c r="AC181" s="267">
        <v>5448</v>
      </c>
      <c r="AD181" s="265"/>
      <c r="AE181" s="266">
        <v>351</v>
      </c>
      <c r="AF181" s="266">
        <v>600</v>
      </c>
      <c r="AG181" s="266">
        <v>217</v>
      </c>
      <c r="AH181" s="268"/>
      <c r="AI181" s="268">
        <v>1168</v>
      </c>
      <c r="AJ181" s="265"/>
      <c r="AK181" s="266"/>
      <c r="AL181" s="268"/>
      <c r="AM181" s="265"/>
      <c r="AN181" s="563"/>
    </row>
    <row r="182" spans="1:40">
      <c r="A182" s="240" t="s">
        <v>141</v>
      </c>
      <c r="B182" s="240" t="s">
        <v>53</v>
      </c>
      <c r="C182" s="568">
        <f t="shared" ref="C182:T182" si="87">IF(V182&gt;0,(V182/V187),0)</f>
        <v>0.41827768014059752</v>
      </c>
      <c r="D182" s="568">
        <f t="shared" si="87"/>
        <v>0</v>
      </c>
      <c r="E182" s="568">
        <f t="shared" si="87"/>
        <v>0</v>
      </c>
      <c r="F182" s="568">
        <f t="shared" si="87"/>
        <v>0</v>
      </c>
      <c r="G182" s="568">
        <f t="shared" si="87"/>
        <v>0</v>
      </c>
      <c r="H182" s="568">
        <f t="shared" si="87"/>
        <v>0.27376425855513309</v>
      </c>
      <c r="I182" s="568">
        <f t="shared" si="87"/>
        <v>0</v>
      </c>
      <c r="J182" s="569">
        <f t="shared" si="87"/>
        <v>0.39114917915774444</v>
      </c>
      <c r="K182" s="570">
        <f t="shared" si="87"/>
        <v>0.1650485436893204</v>
      </c>
      <c r="L182" s="568">
        <f t="shared" si="87"/>
        <v>0</v>
      </c>
      <c r="M182" s="568">
        <f t="shared" si="87"/>
        <v>0.29853862212943633</v>
      </c>
      <c r="N182" s="568">
        <f t="shared" si="87"/>
        <v>0.25943396226415094</v>
      </c>
      <c r="O182" s="571">
        <f t="shared" si="87"/>
        <v>0</v>
      </c>
      <c r="P182" s="570">
        <f t="shared" si="87"/>
        <v>0.27078085642317379</v>
      </c>
      <c r="Q182" s="568">
        <f t="shared" si="87"/>
        <v>0</v>
      </c>
      <c r="R182" s="568">
        <f t="shared" si="87"/>
        <v>0</v>
      </c>
      <c r="S182" s="571">
        <f t="shared" si="87"/>
        <v>0</v>
      </c>
      <c r="T182" s="570">
        <f t="shared" si="87"/>
        <v>0</v>
      </c>
      <c r="U182" s="253"/>
      <c r="V182" s="245">
        <v>476</v>
      </c>
      <c r="W182" s="246"/>
      <c r="X182" s="246"/>
      <c r="Y182" s="246"/>
      <c r="Z182" s="246"/>
      <c r="AA182" s="246">
        <v>72</v>
      </c>
      <c r="AB182" s="246"/>
      <c r="AC182" s="247">
        <v>548</v>
      </c>
      <c r="AD182" s="245">
        <v>17</v>
      </c>
      <c r="AE182" s="246"/>
      <c r="AF182" s="246">
        <v>143</v>
      </c>
      <c r="AG182" s="246">
        <v>55</v>
      </c>
      <c r="AH182" s="248"/>
      <c r="AI182" s="248">
        <v>215</v>
      </c>
      <c r="AJ182" s="245"/>
      <c r="AK182" s="246"/>
      <c r="AL182" s="248"/>
      <c r="AM182" s="245"/>
      <c r="AN182" s="563"/>
    </row>
    <row r="183" spans="1:40">
      <c r="A183" s="239"/>
      <c r="B183" s="239" t="s">
        <v>93</v>
      </c>
      <c r="C183" s="572">
        <f t="shared" ref="C183:T183" si="88">IF(V183&gt;0,(V183/V187),0)</f>
        <v>0.24868189806678384</v>
      </c>
      <c r="D183" s="572">
        <f t="shared" si="88"/>
        <v>0</v>
      </c>
      <c r="E183" s="572">
        <f t="shared" si="88"/>
        <v>0</v>
      </c>
      <c r="F183" s="572">
        <f t="shared" si="88"/>
        <v>0</v>
      </c>
      <c r="G183" s="572">
        <f t="shared" si="88"/>
        <v>0</v>
      </c>
      <c r="H183" s="572">
        <f t="shared" si="88"/>
        <v>0.22433460076045628</v>
      </c>
      <c r="I183" s="572">
        <f t="shared" si="88"/>
        <v>0</v>
      </c>
      <c r="J183" s="573">
        <f t="shared" si="88"/>
        <v>0.24411134903640258</v>
      </c>
      <c r="K183" s="574">
        <f t="shared" si="88"/>
        <v>0.17475728155339806</v>
      </c>
      <c r="L183" s="572">
        <f t="shared" si="88"/>
        <v>0</v>
      </c>
      <c r="M183" s="572">
        <f t="shared" si="88"/>
        <v>0.15866388308977036</v>
      </c>
      <c r="N183" s="572">
        <f t="shared" si="88"/>
        <v>0.13207547169811321</v>
      </c>
      <c r="O183" s="575">
        <f t="shared" si="88"/>
        <v>0</v>
      </c>
      <c r="P183" s="574">
        <f t="shared" si="88"/>
        <v>0.15365239294710328</v>
      </c>
      <c r="Q183" s="572">
        <f t="shared" si="88"/>
        <v>0</v>
      </c>
      <c r="R183" s="572">
        <f t="shared" si="88"/>
        <v>0</v>
      </c>
      <c r="S183" s="575">
        <f t="shared" si="88"/>
        <v>0</v>
      </c>
      <c r="T183" s="574">
        <f t="shared" si="88"/>
        <v>0</v>
      </c>
      <c r="U183" s="253"/>
      <c r="V183" s="254">
        <v>283</v>
      </c>
      <c r="W183" s="255"/>
      <c r="X183" s="255"/>
      <c r="Y183" s="255"/>
      <c r="Z183" s="255"/>
      <c r="AA183" s="255">
        <v>59</v>
      </c>
      <c r="AB183" s="255"/>
      <c r="AC183" s="256">
        <v>342</v>
      </c>
      <c r="AD183" s="254">
        <v>18</v>
      </c>
      <c r="AE183" s="255"/>
      <c r="AF183" s="255">
        <v>76</v>
      </c>
      <c r="AG183" s="255">
        <v>28</v>
      </c>
      <c r="AH183" s="257"/>
      <c r="AI183" s="257">
        <v>122</v>
      </c>
      <c r="AJ183" s="254"/>
      <c r="AK183" s="255"/>
      <c r="AL183" s="257"/>
      <c r="AM183" s="254"/>
      <c r="AN183" s="563"/>
    </row>
    <row r="184" spans="1:40">
      <c r="A184" s="239"/>
      <c r="B184" s="239" t="s">
        <v>55</v>
      </c>
      <c r="C184" s="572">
        <f t="shared" ref="C184:T184" si="89">IF(V184&gt;0,(V184/V187),0)</f>
        <v>0.24340949033391915</v>
      </c>
      <c r="D184" s="572">
        <f t="shared" si="89"/>
        <v>0</v>
      </c>
      <c r="E184" s="572">
        <f t="shared" si="89"/>
        <v>0</v>
      </c>
      <c r="F184" s="572">
        <f t="shared" si="89"/>
        <v>0</v>
      </c>
      <c r="G184" s="572">
        <f t="shared" si="89"/>
        <v>0</v>
      </c>
      <c r="H184" s="572">
        <f t="shared" si="89"/>
        <v>0.39163498098859317</v>
      </c>
      <c r="I184" s="572">
        <f t="shared" si="89"/>
        <v>0</v>
      </c>
      <c r="J184" s="573">
        <f t="shared" si="89"/>
        <v>0.27123483226266953</v>
      </c>
      <c r="K184" s="574">
        <f t="shared" si="89"/>
        <v>0.26213592233009708</v>
      </c>
      <c r="L184" s="572">
        <f t="shared" si="89"/>
        <v>0</v>
      </c>
      <c r="M184" s="572">
        <f t="shared" si="89"/>
        <v>0.23173277661795408</v>
      </c>
      <c r="N184" s="572">
        <f t="shared" si="89"/>
        <v>0.19811320754716982</v>
      </c>
      <c r="O184" s="575">
        <f t="shared" si="89"/>
        <v>0</v>
      </c>
      <c r="P184" s="574">
        <f t="shared" si="89"/>
        <v>0.22670025188916876</v>
      </c>
      <c r="Q184" s="572">
        <f t="shared" si="89"/>
        <v>0</v>
      </c>
      <c r="R184" s="572">
        <f t="shared" si="89"/>
        <v>0</v>
      </c>
      <c r="S184" s="575">
        <f t="shared" si="89"/>
        <v>0</v>
      </c>
      <c r="T184" s="574">
        <f t="shared" si="89"/>
        <v>0</v>
      </c>
      <c r="U184" s="253"/>
      <c r="V184" s="254">
        <v>277</v>
      </c>
      <c r="W184" s="255"/>
      <c r="X184" s="255"/>
      <c r="Y184" s="255"/>
      <c r="Z184" s="255"/>
      <c r="AA184" s="255">
        <v>103</v>
      </c>
      <c r="AB184" s="255"/>
      <c r="AC184" s="256">
        <v>380</v>
      </c>
      <c r="AD184" s="254">
        <v>27</v>
      </c>
      <c r="AE184" s="255"/>
      <c r="AF184" s="255">
        <v>111</v>
      </c>
      <c r="AG184" s="255">
        <v>42</v>
      </c>
      <c r="AH184" s="257"/>
      <c r="AI184" s="257">
        <v>180</v>
      </c>
      <c r="AJ184" s="254"/>
      <c r="AK184" s="255"/>
      <c r="AL184" s="257"/>
      <c r="AM184" s="254"/>
      <c r="AN184" s="563"/>
    </row>
    <row r="185" spans="1:40">
      <c r="A185" s="239"/>
      <c r="B185" s="239" t="s">
        <v>78</v>
      </c>
      <c r="C185" s="572">
        <f t="shared" ref="C185:T185" si="90">IF(V185&gt;0,(V185/V187),0)</f>
        <v>8.9630931458699478E-2</v>
      </c>
      <c r="D185" s="572">
        <f t="shared" si="90"/>
        <v>0</v>
      </c>
      <c r="E185" s="572">
        <f t="shared" si="90"/>
        <v>0</v>
      </c>
      <c r="F185" s="572">
        <f t="shared" si="90"/>
        <v>0</v>
      </c>
      <c r="G185" s="572">
        <f t="shared" si="90"/>
        <v>0</v>
      </c>
      <c r="H185" s="572">
        <f t="shared" si="90"/>
        <v>0.11026615969581749</v>
      </c>
      <c r="I185" s="572">
        <f t="shared" si="90"/>
        <v>0</v>
      </c>
      <c r="J185" s="573">
        <f t="shared" si="90"/>
        <v>9.3504639543183443E-2</v>
      </c>
      <c r="K185" s="574">
        <f t="shared" si="90"/>
        <v>0.39805825242718446</v>
      </c>
      <c r="L185" s="572">
        <f t="shared" si="90"/>
        <v>0</v>
      </c>
      <c r="M185" s="572">
        <f t="shared" si="90"/>
        <v>0.31106471816283926</v>
      </c>
      <c r="N185" s="572">
        <f t="shared" si="90"/>
        <v>0.41037735849056606</v>
      </c>
      <c r="O185" s="575">
        <f t="shared" si="90"/>
        <v>0</v>
      </c>
      <c r="P185" s="574">
        <f t="shared" si="90"/>
        <v>0.34886649874055414</v>
      </c>
      <c r="Q185" s="572">
        <f t="shared" si="90"/>
        <v>0</v>
      </c>
      <c r="R185" s="572">
        <f t="shared" si="90"/>
        <v>0</v>
      </c>
      <c r="S185" s="575">
        <f t="shared" si="90"/>
        <v>0</v>
      </c>
      <c r="T185" s="574">
        <f t="shared" si="90"/>
        <v>0</v>
      </c>
      <c r="U185" s="253"/>
      <c r="V185" s="254">
        <v>102</v>
      </c>
      <c r="W185" s="255"/>
      <c r="X185" s="255"/>
      <c r="Y185" s="255"/>
      <c r="Z185" s="255"/>
      <c r="AA185" s="255">
        <v>29</v>
      </c>
      <c r="AB185" s="255"/>
      <c r="AC185" s="256">
        <v>131</v>
      </c>
      <c r="AD185" s="254">
        <v>41</v>
      </c>
      <c r="AE185" s="255"/>
      <c r="AF185" s="255">
        <v>149</v>
      </c>
      <c r="AG185" s="255">
        <v>87</v>
      </c>
      <c r="AH185" s="257"/>
      <c r="AI185" s="257">
        <v>277</v>
      </c>
      <c r="AJ185" s="254"/>
      <c r="AK185" s="255"/>
      <c r="AL185" s="257"/>
      <c r="AM185" s="254"/>
      <c r="AN185" s="563"/>
    </row>
    <row r="186" spans="1:40">
      <c r="A186" s="580"/>
      <c r="B186" s="580" t="s">
        <v>131</v>
      </c>
      <c r="C186" s="581">
        <f t="shared" ref="C186:T186" si="91">IF(V186&gt;0,(V186/V187),0)</f>
        <v>0</v>
      </c>
      <c r="D186" s="582">
        <f t="shared" si="91"/>
        <v>0</v>
      </c>
      <c r="E186" s="582">
        <f t="shared" si="91"/>
        <v>0</v>
      </c>
      <c r="F186" s="582">
        <f t="shared" si="91"/>
        <v>0</v>
      </c>
      <c r="G186" s="582">
        <f t="shared" si="91"/>
        <v>0</v>
      </c>
      <c r="H186" s="582">
        <f t="shared" si="91"/>
        <v>0</v>
      </c>
      <c r="I186" s="583">
        <f t="shared" si="91"/>
        <v>0</v>
      </c>
      <c r="J186" s="584">
        <f t="shared" si="91"/>
        <v>0</v>
      </c>
      <c r="K186" s="581">
        <f t="shared" si="91"/>
        <v>0</v>
      </c>
      <c r="L186" s="582">
        <f t="shared" si="91"/>
        <v>0</v>
      </c>
      <c r="M186" s="582">
        <f t="shared" si="91"/>
        <v>0</v>
      </c>
      <c r="N186" s="582">
        <f t="shared" si="91"/>
        <v>0</v>
      </c>
      <c r="O186" s="583">
        <f t="shared" si="91"/>
        <v>0</v>
      </c>
      <c r="P186" s="581">
        <f t="shared" si="91"/>
        <v>0</v>
      </c>
      <c r="Q186" s="581">
        <f t="shared" si="91"/>
        <v>0</v>
      </c>
      <c r="R186" s="582">
        <f t="shared" si="91"/>
        <v>0</v>
      </c>
      <c r="S186" s="583">
        <f t="shared" si="91"/>
        <v>0</v>
      </c>
      <c r="T186" s="581">
        <f t="shared" si="91"/>
        <v>0</v>
      </c>
      <c r="U186" s="253"/>
      <c r="V186" s="585"/>
      <c r="W186" s="586"/>
      <c r="X186" s="586"/>
      <c r="Y186" s="586"/>
      <c r="Z186" s="586"/>
      <c r="AA186" s="586"/>
      <c r="AB186" s="586"/>
      <c r="AC186" s="587"/>
      <c r="AD186" s="585"/>
      <c r="AE186" s="586"/>
      <c r="AF186" s="586"/>
      <c r="AG186" s="586"/>
      <c r="AH186" s="588"/>
      <c r="AI186" s="588"/>
      <c r="AJ186" s="585"/>
      <c r="AK186" s="586"/>
      <c r="AL186" s="588"/>
      <c r="AM186" s="585"/>
    </row>
    <row r="187" spans="1:40">
      <c r="A187" s="436"/>
      <c r="B187" s="436" t="s">
        <v>59</v>
      </c>
      <c r="C187" s="456">
        <f t="shared" ref="C187:T187" si="92">SUM(C182:C186)</f>
        <v>1</v>
      </c>
      <c r="D187" s="456">
        <f t="shared" si="92"/>
        <v>0</v>
      </c>
      <c r="E187" s="456">
        <f t="shared" si="92"/>
        <v>0</v>
      </c>
      <c r="F187" s="456">
        <f t="shared" si="92"/>
        <v>0</v>
      </c>
      <c r="G187" s="456">
        <f t="shared" si="92"/>
        <v>0</v>
      </c>
      <c r="H187" s="456">
        <f t="shared" si="92"/>
        <v>1</v>
      </c>
      <c r="I187" s="456">
        <f t="shared" si="92"/>
        <v>0</v>
      </c>
      <c r="J187" s="576">
        <f t="shared" si="92"/>
        <v>1</v>
      </c>
      <c r="K187" s="577">
        <f t="shared" si="92"/>
        <v>1</v>
      </c>
      <c r="L187" s="578">
        <f t="shared" si="92"/>
        <v>0</v>
      </c>
      <c r="M187" s="578">
        <f t="shared" si="92"/>
        <v>1</v>
      </c>
      <c r="N187" s="578">
        <f t="shared" si="92"/>
        <v>1</v>
      </c>
      <c r="O187" s="579">
        <f t="shared" si="92"/>
        <v>0</v>
      </c>
      <c r="P187" s="577">
        <f t="shared" si="92"/>
        <v>1</v>
      </c>
      <c r="Q187" s="578">
        <f t="shared" si="92"/>
        <v>0</v>
      </c>
      <c r="R187" s="578">
        <f t="shared" si="92"/>
        <v>0</v>
      </c>
      <c r="S187" s="579">
        <f t="shared" si="92"/>
        <v>0</v>
      </c>
      <c r="T187" s="577">
        <f t="shared" si="92"/>
        <v>0</v>
      </c>
      <c r="U187" s="253"/>
      <c r="V187" s="265">
        <v>1138</v>
      </c>
      <c r="W187" s="266"/>
      <c r="X187" s="266"/>
      <c r="Y187" s="266"/>
      <c r="Z187" s="266"/>
      <c r="AA187" s="266">
        <v>263</v>
      </c>
      <c r="AB187" s="266"/>
      <c r="AC187" s="267">
        <v>1401</v>
      </c>
      <c r="AD187" s="265">
        <v>103</v>
      </c>
      <c r="AE187" s="266"/>
      <c r="AF187" s="266">
        <v>479</v>
      </c>
      <c r="AG187" s="266">
        <v>212</v>
      </c>
      <c r="AH187" s="268"/>
      <c r="AI187" s="268">
        <v>794</v>
      </c>
      <c r="AJ187" s="265"/>
      <c r="AK187" s="266"/>
      <c r="AL187" s="268"/>
      <c r="AM187" s="265"/>
      <c r="AN187" s="563"/>
    </row>
    <row r="188" spans="1:40">
      <c r="A188" s="240" t="s">
        <v>143</v>
      </c>
      <c r="B188" s="240" t="s">
        <v>53</v>
      </c>
      <c r="C188" s="568">
        <f t="shared" ref="C188:T188" si="93">IF(V188&gt;0,(V188/V193),0)</f>
        <v>0</v>
      </c>
      <c r="D188" s="568">
        <f t="shared" si="93"/>
        <v>0.29488291413703382</v>
      </c>
      <c r="E188" s="568">
        <f t="shared" si="93"/>
        <v>0.26763110307414106</v>
      </c>
      <c r="F188" s="568">
        <f t="shared" si="93"/>
        <v>0</v>
      </c>
      <c r="G188" s="568">
        <f t="shared" si="93"/>
        <v>0</v>
      </c>
      <c r="H188" s="568">
        <f t="shared" si="93"/>
        <v>0.33333333333333331</v>
      </c>
      <c r="I188" s="568">
        <f t="shared" si="93"/>
        <v>0</v>
      </c>
      <c r="J188" s="569">
        <f t="shared" si="93"/>
        <v>0.2900804289544236</v>
      </c>
      <c r="K188" s="570">
        <f t="shared" si="93"/>
        <v>0</v>
      </c>
      <c r="L188" s="568">
        <f t="shared" si="93"/>
        <v>0</v>
      </c>
      <c r="M188" s="568">
        <f t="shared" si="93"/>
        <v>0.13230769230769232</v>
      </c>
      <c r="N188" s="568">
        <f t="shared" si="93"/>
        <v>0</v>
      </c>
      <c r="O188" s="571">
        <f t="shared" si="93"/>
        <v>0</v>
      </c>
      <c r="P188" s="570">
        <f t="shared" si="93"/>
        <v>9.5343680709534362E-2</v>
      </c>
      <c r="Q188" s="568">
        <f t="shared" si="93"/>
        <v>0</v>
      </c>
      <c r="R188" s="568">
        <f t="shared" si="93"/>
        <v>0</v>
      </c>
      <c r="S188" s="571">
        <f t="shared" si="93"/>
        <v>0</v>
      </c>
      <c r="T188" s="570">
        <f t="shared" si="93"/>
        <v>0</v>
      </c>
      <c r="U188" s="253"/>
      <c r="V188" s="245"/>
      <c r="W188" s="246">
        <v>340</v>
      </c>
      <c r="X188" s="246">
        <v>148</v>
      </c>
      <c r="Y188" s="246"/>
      <c r="Z188" s="246"/>
      <c r="AA188" s="246">
        <v>53</v>
      </c>
      <c r="AB188" s="246"/>
      <c r="AC188" s="247">
        <v>541</v>
      </c>
      <c r="AD188" s="245"/>
      <c r="AE188" s="246"/>
      <c r="AF188" s="246">
        <v>43</v>
      </c>
      <c r="AG188" s="246"/>
      <c r="AH188" s="248"/>
      <c r="AI188" s="248">
        <v>43</v>
      </c>
      <c r="AJ188" s="245"/>
      <c r="AK188" s="246"/>
      <c r="AL188" s="248"/>
      <c r="AM188" s="245"/>
      <c r="AN188" s="563"/>
    </row>
    <row r="189" spans="1:40">
      <c r="A189" s="239"/>
      <c r="B189" s="239" t="s">
        <v>93</v>
      </c>
      <c r="C189" s="572">
        <f t="shared" ref="C189:T189" si="94">IF(V189&gt;0,(V189/V193),0)</f>
        <v>0</v>
      </c>
      <c r="D189" s="572">
        <f t="shared" si="94"/>
        <v>0.23590633130962707</v>
      </c>
      <c r="E189" s="572">
        <f t="shared" si="94"/>
        <v>0.32007233273056057</v>
      </c>
      <c r="F189" s="572">
        <f t="shared" si="94"/>
        <v>0</v>
      </c>
      <c r="G189" s="572">
        <f t="shared" si="94"/>
        <v>0</v>
      </c>
      <c r="H189" s="572">
        <f t="shared" si="94"/>
        <v>0.27672955974842767</v>
      </c>
      <c r="I189" s="572">
        <f t="shared" si="94"/>
        <v>0</v>
      </c>
      <c r="J189" s="573">
        <f t="shared" si="94"/>
        <v>0.26434316353887399</v>
      </c>
      <c r="K189" s="574">
        <f t="shared" si="94"/>
        <v>0</v>
      </c>
      <c r="L189" s="572">
        <f t="shared" si="94"/>
        <v>0</v>
      </c>
      <c r="M189" s="572">
        <f t="shared" si="94"/>
        <v>0.12</v>
      </c>
      <c r="N189" s="572">
        <f t="shared" si="94"/>
        <v>0</v>
      </c>
      <c r="O189" s="575">
        <f t="shared" si="94"/>
        <v>0</v>
      </c>
      <c r="P189" s="574">
        <f t="shared" si="94"/>
        <v>8.6474501108647447E-2</v>
      </c>
      <c r="Q189" s="572">
        <f t="shared" si="94"/>
        <v>0</v>
      </c>
      <c r="R189" s="572">
        <f t="shared" si="94"/>
        <v>0</v>
      </c>
      <c r="S189" s="575">
        <f t="shared" si="94"/>
        <v>0</v>
      </c>
      <c r="T189" s="574">
        <f t="shared" si="94"/>
        <v>0</v>
      </c>
      <c r="U189" s="253"/>
      <c r="V189" s="254"/>
      <c r="W189" s="255">
        <v>272</v>
      </c>
      <c r="X189" s="255">
        <v>177</v>
      </c>
      <c r="Y189" s="255"/>
      <c r="Z189" s="255"/>
      <c r="AA189" s="255">
        <v>44</v>
      </c>
      <c r="AB189" s="255"/>
      <c r="AC189" s="256">
        <v>493</v>
      </c>
      <c r="AD189" s="254"/>
      <c r="AE189" s="255"/>
      <c r="AF189" s="255">
        <v>39</v>
      </c>
      <c r="AG189" s="255"/>
      <c r="AH189" s="257"/>
      <c r="AI189" s="257">
        <v>39</v>
      </c>
      <c r="AJ189" s="254"/>
      <c r="AK189" s="255"/>
      <c r="AL189" s="257"/>
      <c r="AM189" s="254"/>
      <c r="AN189" s="563"/>
    </row>
    <row r="190" spans="1:40">
      <c r="A190" s="239"/>
      <c r="B190" s="239" t="s">
        <v>55</v>
      </c>
      <c r="C190" s="572">
        <f t="shared" ref="C190:T190" si="95">IF(V190&gt;0,(V190/V193),0)</f>
        <v>0</v>
      </c>
      <c r="D190" s="572">
        <f t="shared" si="95"/>
        <v>0.23764093668690373</v>
      </c>
      <c r="E190" s="572">
        <f t="shared" si="95"/>
        <v>0.24773960216998192</v>
      </c>
      <c r="F190" s="572">
        <f t="shared" si="95"/>
        <v>0</v>
      </c>
      <c r="G190" s="572">
        <f t="shared" si="95"/>
        <v>0</v>
      </c>
      <c r="H190" s="572">
        <f t="shared" si="95"/>
        <v>0.24528301886792453</v>
      </c>
      <c r="I190" s="572">
        <f t="shared" si="95"/>
        <v>0</v>
      </c>
      <c r="J190" s="573">
        <f t="shared" si="95"/>
        <v>0.24128686327077747</v>
      </c>
      <c r="K190" s="574">
        <f t="shared" si="95"/>
        <v>0</v>
      </c>
      <c r="L190" s="572">
        <f t="shared" si="95"/>
        <v>0</v>
      </c>
      <c r="M190" s="572">
        <f t="shared" si="95"/>
        <v>0.10153846153846154</v>
      </c>
      <c r="N190" s="572">
        <f t="shared" si="95"/>
        <v>0</v>
      </c>
      <c r="O190" s="575">
        <f t="shared" si="95"/>
        <v>0</v>
      </c>
      <c r="P190" s="574">
        <f t="shared" si="95"/>
        <v>7.3170731707317069E-2</v>
      </c>
      <c r="Q190" s="572">
        <f t="shared" si="95"/>
        <v>0</v>
      </c>
      <c r="R190" s="572">
        <f t="shared" si="95"/>
        <v>0</v>
      </c>
      <c r="S190" s="575">
        <f t="shared" si="95"/>
        <v>0</v>
      </c>
      <c r="T190" s="574">
        <f t="shared" si="95"/>
        <v>0</v>
      </c>
      <c r="U190" s="253"/>
      <c r="V190" s="254"/>
      <c r="W190" s="255">
        <v>274</v>
      </c>
      <c r="X190" s="255">
        <v>137</v>
      </c>
      <c r="Y190" s="255"/>
      <c r="Z190" s="255"/>
      <c r="AA190" s="255">
        <v>39</v>
      </c>
      <c r="AB190" s="255"/>
      <c r="AC190" s="256">
        <v>450</v>
      </c>
      <c r="AD190" s="254"/>
      <c r="AE190" s="255"/>
      <c r="AF190" s="255">
        <v>33</v>
      </c>
      <c r="AG190" s="255"/>
      <c r="AH190" s="257"/>
      <c r="AI190" s="257">
        <v>33</v>
      </c>
      <c r="AJ190" s="254"/>
      <c r="AK190" s="255"/>
      <c r="AL190" s="257"/>
      <c r="AM190" s="254"/>
      <c r="AN190" s="563"/>
    </row>
    <row r="191" spans="1:40">
      <c r="A191" s="239"/>
      <c r="B191" s="239" t="s">
        <v>78</v>
      </c>
      <c r="C191" s="572">
        <f t="shared" ref="C191:T191" si="96">IF(V191&gt;0,(V191/V193),0)</f>
        <v>0</v>
      </c>
      <c r="D191" s="572">
        <f t="shared" si="96"/>
        <v>0.12922810060711187</v>
      </c>
      <c r="E191" s="572">
        <f t="shared" si="96"/>
        <v>1.4466546112115732E-2</v>
      </c>
      <c r="F191" s="572">
        <f t="shared" si="96"/>
        <v>0</v>
      </c>
      <c r="G191" s="572">
        <f t="shared" si="96"/>
        <v>0</v>
      </c>
      <c r="H191" s="572">
        <f t="shared" si="96"/>
        <v>1.2578616352201259E-2</v>
      </c>
      <c r="I191" s="572">
        <f t="shared" si="96"/>
        <v>0</v>
      </c>
      <c r="J191" s="573">
        <f t="shared" si="96"/>
        <v>8.5254691689008039E-2</v>
      </c>
      <c r="K191" s="574">
        <f t="shared" si="96"/>
        <v>0</v>
      </c>
      <c r="L191" s="572">
        <f t="shared" si="96"/>
        <v>0</v>
      </c>
      <c r="M191" s="572">
        <f t="shared" si="96"/>
        <v>0.62461538461538457</v>
      </c>
      <c r="N191" s="572">
        <f t="shared" si="96"/>
        <v>1</v>
      </c>
      <c r="O191" s="575">
        <f t="shared" si="96"/>
        <v>1</v>
      </c>
      <c r="P191" s="574">
        <f t="shared" si="96"/>
        <v>0.729490022172949</v>
      </c>
      <c r="Q191" s="572">
        <f t="shared" si="96"/>
        <v>0</v>
      </c>
      <c r="R191" s="572">
        <f t="shared" si="96"/>
        <v>0</v>
      </c>
      <c r="S191" s="575">
        <f t="shared" si="96"/>
        <v>0</v>
      </c>
      <c r="T191" s="574">
        <f t="shared" si="96"/>
        <v>0</v>
      </c>
      <c r="U191" s="253"/>
      <c r="V191" s="254"/>
      <c r="W191" s="255">
        <v>149</v>
      </c>
      <c r="X191" s="255">
        <v>8</v>
      </c>
      <c r="Y191" s="255"/>
      <c r="Z191" s="255"/>
      <c r="AA191" s="255">
        <v>2</v>
      </c>
      <c r="AB191" s="255"/>
      <c r="AC191" s="256">
        <v>159</v>
      </c>
      <c r="AD191" s="254"/>
      <c r="AE191" s="255"/>
      <c r="AF191" s="255">
        <v>203</v>
      </c>
      <c r="AG191" s="255">
        <v>41</v>
      </c>
      <c r="AH191" s="257">
        <v>85</v>
      </c>
      <c r="AI191" s="257">
        <v>329</v>
      </c>
      <c r="AJ191" s="254"/>
      <c r="AK191" s="255"/>
      <c r="AL191" s="257"/>
      <c r="AM191" s="254"/>
      <c r="AN191" s="563"/>
    </row>
    <row r="192" spans="1:40">
      <c r="A192" s="580"/>
      <c r="B192" s="580" t="s">
        <v>131</v>
      </c>
      <c r="C192" s="581">
        <f t="shared" ref="C192:T192" si="97">IF(V192&gt;0,(V192/V193),0)</f>
        <v>0</v>
      </c>
      <c r="D192" s="582">
        <f t="shared" si="97"/>
        <v>0.10234171725932351</v>
      </c>
      <c r="E192" s="582">
        <f t="shared" si="97"/>
        <v>0.15009041591320071</v>
      </c>
      <c r="F192" s="582">
        <f t="shared" si="97"/>
        <v>0</v>
      </c>
      <c r="G192" s="582">
        <f t="shared" si="97"/>
        <v>0</v>
      </c>
      <c r="H192" s="582">
        <f t="shared" si="97"/>
        <v>0.13207547169811321</v>
      </c>
      <c r="I192" s="583">
        <f t="shared" si="97"/>
        <v>0</v>
      </c>
      <c r="J192" s="584">
        <f t="shared" si="97"/>
        <v>0.11903485254691688</v>
      </c>
      <c r="K192" s="581">
        <f t="shared" si="97"/>
        <v>0</v>
      </c>
      <c r="L192" s="582">
        <f t="shared" si="97"/>
        <v>0</v>
      </c>
      <c r="M192" s="582">
        <f t="shared" si="97"/>
        <v>2.1538461538461538E-2</v>
      </c>
      <c r="N192" s="582">
        <f t="shared" si="97"/>
        <v>0</v>
      </c>
      <c r="O192" s="583">
        <f t="shared" si="97"/>
        <v>0</v>
      </c>
      <c r="P192" s="581">
        <f t="shared" si="97"/>
        <v>1.5521064301552107E-2</v>
      </c>
      <c r="Q192" s="581">
        <f t="shared" si="97"/>
        <v>0</v>
      </c>
      <c r="R192" s="582">
        <f t="shared" si="97"/>
        <v>0</v>
      </c>
      <c r="S192" s="583">
        <f t="shared" si="97"/>
        <v>0</v>
      </c>
      <c r="T192" s="581">
        <f t="shared" si="97"/>
        <v>0</v>
      </c>
      <c r="U192" s="253"/>
      <c r="V192" s="585"/>
      <c r="W192" s="586">
        <v>118</v>
      </c>
      <c r="X192" s="586">
        <v>83</v>
      </c>
      <c r="Y192" s="586"/>
      <c r="Z192" s="586"/>
      <c r="AA192" s="586">
        <v>21</v>
      </c>
      <c r="AB192" s="586"/>
      <c r="AC192" s="587">
        <v>222</v>
      </c>
      <c r="AD192" s="585"/>
      <c r="AE192" s="586"/>
      <c r="AF192" s="586">
        <v>7</v>
      </c>
      <c r="AG192" s="586"/>
      <c r="AH192" s="588"/>
      <c r="AI192" s="588">
        <v>7</v>
      </c>
      <c r="AJ192" s="585"/>
      <c r="AK192" s="586"/>
      <c r="AL192" s="588"/>
      <c r="AM192" s="585"/>
    </row>
    <row r="193" spans="1:40">
      <c r="A193" s="436"/>
      <c r="B193" s="436" t="s">
        <v>59</v>
      </c>
      <c r="C193" s="456">
        <f t="shared" ref="C193:T193" si="98">SUM(C188:C192)</f>
        <v>0</v>
      </c>
      <c r="D193" s="456">
        <f t="shared" si="98"/>
        <v>1</v>
      </c>
      <c r="E193" s="456">
        <f t="shared" si="98"/>
        <v>1</v>
      </c>
      <c r="F193" s="456">
        <f t="shared" si="98"/>
        <v>0</v>
      </c>
      <c r="G193" s="456">
        <f t="shared" si="98"/>
        <v>0</v>
      </c>
      <c r="H193" s="456">
        <f t="shared" si="98"/>
        <v>1</v>
      </c>
      <c r="I193" s="456">
        <f t="shared" si="98"/>
        <v>0</v>
      </c>
      <c r="J193" s="576">
        <f t="shared" si="98"/>
        <v>1</v>
      </c>
      <c r="K193" s="577">
        <f t="shared" si="98"/>
        <v>0</v>
      </c>
      <c r="L193" s="578">
        <f t="shared" si="98"/>
        <v>0</v>
      </c>
      <c r="M193" s="578">
        <f t="shared" si="98"/>
        <v>1</v>
      </c>
      <c r="N193" s="578">
        <f t="shared" si="98"/>
        <v>1</v>
      </c>
      <c r="O193" s="579">
        <f t="shared" si="98"/>
        <v>1</v>
      </c>
      <c r="P193" s="577">
        <f t="shared" si="98"/>
        <v>1</v>
      </c>
      <c r="Q193" s="578">
        <f t="shared" si="98"/>
        <v>0</v>
      </c>
      <c r="R193" s="578">
        <f t="shared" si="98"/>
        <v>0</v>
      </c>
      <c r="S193" s="579">
        <f t="shared" si="98"/>
        <v>0</v>
      </c>
      <c r="T193" s="577">
        <f t="shared" si="98"/>
        <v>0</v>
      </c>
      <c r="U193" s="253"/>
      <c r="V193" s="265"/>
      <c r="W193" s="266">
        <v>1153</v>
      </c>
      <c r="X193" s="266">
        <v>553</v>
      </c>
      <c r="Y193" s="266"/>
      <c r="Z193" s="266"/>
      <c r="AA193" s="266">
        <v>159</v>
      </c>
      <c r="AB193" s="266"/>
      <c r="AC193" s="267">
        <v>1865</v>
      </c>
      <c r="AD193" s="265"/>
      <c r="AE193" s="266"/>
      <c r="AF193" s="266">
        <v>325</v>
      </c>
      <c r="AG193" s="266">
        <v>41</v>
      </c>
      <c r="AH193" s="268">
        <v>85</v>
      </c>
      <c r="AI193" s="268">
        <v>451</v>
      </c>
      <c r="AJ193" s="265"/>
      <c r="AK193" s="266"/>
      <c r="AL193" s="268"/>
      <c r="AM193" s="265"/>
      <c r="AN193" s="563"/>
    </row>
    <row r="194" spans="1:40">
      <c r="A194" s="240" t="s">
        <v>152</v>
      </c>
      <c r="B194" s="240" t="s">
        <v>53</v>
      </c>
      <c r="C194" s="568">
        <f t="shared" ref="C194:T194" si="99">IF(V194&gt;0,(V194/V199),0)</f>
        <v>0</v>
      </c>
      <c r="D194" s="568">
        <f t="shared" si="99"/>
        <v>0.33273056057866185</v>
      </c>
      <c r="E194" s="568">
        <f t="shared" si="99"/>
        <v>0</v>
      </c>
      <c r="F194" s="568">
        <f t="shared" si="99"/>
        <v>0.26623376623376621</v>
      </c>
      <c r="G194" s="568">
        <f t="shared" si="99"/>
        <v>0.20710059171597633</v>
      </c>
      <c r="H194" s="568">
        <f t="shared" si="99"/>
        <v>0.27049180327868855</v>
      </c>
      <c r="I194" s="568">
        <f t="shared" si="99"/>
        <v>0</v>
      </c>
      <c r="J194" s="569">
        <f t="shared" si="99"/>
        <v>0.30754352030947774</v>
      </c>
      <c r="K194" s="570">
        <f t="shared" si="99"/>
        <v>0</v>
      </c>
      <c r="L194" s="568">
        <f t="shared" si="99"/>
        <v>0</v>
      </c>
      <c r="M194" s="568">
        <f t="shared" si="99"/>
        <v>0</v>
      </c>
      <c r="N194" s="568">
        <f t="shared" si="99"/>
        <v>0</v>
      </c>
      <c r="O194" s="571">
        <f t="shared" si="99"/>
        <v>0</v>
      </c>
      <c r="P194" s="570">
        <f t="shared" si="99"/>
        <v>0</v>
      </c>
      <c r="Q194" s="568">
        <f t="shared" si="99"/>
        <v>0</v>
      </c>
      <c r="R194" s="568">
        <f t="shared" si="99"/>
        <v>0</v>
      </c>
      <c r="S194" s="571">
        <f t="shared" si="99"/>
        <v>0</v>
      </c>
      <c r="T194" s="570">
        <f t="shared" si="99"/>
        <v>0</v>
      </c>
      <c r="U194" s="253"/>
      <c r="V194" s="245"/>
      <c r="W194" s="246">
        <v>368</v>
      </c>
      <c r="X194" s="246"/>
      <c r="Y194" s="246">
        <v>41</v>
      </c>
      <c r="Z194" s="246">
        <v>35</v>
      </c>
      <c r="AA194" s="246">
        <v>33</v>
      </c>
      <c r="AB194" s="246"/>
      <c r="AC194" s="247">
        <v>477</v>
      </c>
      <c r="AD194" s="245"/>
      <c r="AE194" s="246"/>
      <c r="AF194" s="246"/>
      <c r="AG194" s="246"/>
      <c r="AH194" s="248"/>
      <c r="AI194" s="248"/>
      <c r="AJ194" s="245"/>
      <c r="AK194" s="246"/>
      <c r="AL194" s="248"/>
      <c r="AM194" s="245"/>
      <c r="AN194" s="563"/>
    </row>
    <row r="195" spans="1:40">
      <c r="A195" s="239"/>
      <c r="B195" s="239" t="s">
        <v>93</v>
      </c>
      <c r="C195" s="572">
        <f t="shared" ref="C195:T195" si="100">IF(V195&gt;0,(V195/V199),0)</f>
        <v>0</v>
      </c>
      <c r="D195" s="572">
        <f t="shared" si="100"/>
        <v>0.24412296564195299</v>
      </c>
      <c r="E195" s="572">
        <f t="shared" si="100"/>
        <v>0</v>
      </c>
      <c r="F195" s="572">
        <f t="shared" si="100"/>
        <v>0.14935064935064934</v>
      </c>
      <c r="G195" s="572">
        <f t="shared" si="100"/>
        <v>0.11834319526627218</v>
      </c>
      <c r="H195" s="572">
        <f t="shared" si="100"/>
        <v>0.20491803278688525</v>
      </c>
      <c r="I195" s="572">
        <f t="shared" si="100"/>
        <v>0</v>
      </c>
      <c r="J195" s="573">
        <f t="shared" si="100"/>
        <v>0.21792392005157962</v>
      </c>
      <c r="K195" s="574">
        <f t="shared" si="100"/>
        <v>0</v>
      </c>
      <c r="L195" s="572">
        <f t="shared" si="100"/>
        <v>0</v>
      </c>
      <c r="M195" s="572">
        <f t="shared" si="100"/>
        <v>0</v>
      </c>
      <c r="N195" s="572">
        <f t="shared" si="100"/>
        <v>0</v>
      </c>
      <c r="O195" s="575">
        <f t="shared" si="100"/>
        <v>0</v>
      </c>
      <c r="P195" s="574">
        <f t="shared" si="100"/>
        <v>0</v>
      </c>
      <c r="Q195" s="572">
        <f t="shared" si="100"/>
        <v>0</v>
      </c>
      <c r="R195" s="572">
        <f t="shared" si="100"/>
        <v>0</v>
      </c>
      <c r="S195" s="575">
        <f t="shared" si="100"/>
        <v>0</v>
      </c>
      <c r="T195" s="574">
        <f t="shared" si="100"/>
        <v>0</v>
      </c>
      <c r="U195" s="253"/>
      <c r="V195" s="254"/>
      <c r="W195" s="255">
        <v>270</v>
      </c>
      <c r="X195" s="255"/>
      <c r="Y195" s="255">
        <v>23</v>
      </c>
      <c r="Z195" s="255">
        <v>20</v>
      </c>
      <c r="AA195" s="255">
        <v>25</v>
      </c>
      <c r="AB195" s="255"/>
      <c r="AC195" s="256">
        <v>338</v>
      </c>
      <c r="AD195" s="254"/>
      <c r="AE195" s="255"/>
      <c r="AF195" s="255"/>
      <c r="AG195" s="255"/>
      <c r="AH195" s="257"/>
      <c r="AI195" s="257"/>
      <c r="AJ195" s="254"/>
      <c r="AK195" s="255"/>
      <c r="AL195" s="257"/>
      <c r="AM195" s="254"/>
      <c r="AN195" s="563"/>
    </row>
    <row r="196" spans="1:40">
      <c r="A196" s="239"/>
      <c r="B196" s="239" t="s">
        <v>55</v>
      </c>
      <c r="C196" s="572">
        <f t="shared" ref="C196:T196" si="101">IF(V196&gt;0,(V196/V199),0)</f>
        <v>0</v>
      </c>
      <c r="D196" s="572">
        <f t="shared" si="101"/>
        <v>0.25045207956600363</v>
      </c>
      <c r="E196" s="572">
        <f t="shared" si="101"/>
        <v>0</v>
      </c>
      <c r="F196" s="572">
        <f t="shared" si="101"/>
        <v>0.22077922077922077</v>
      </c>
      <c r="G196" s="572">
        <f t="shared" si="101"/>
        <v>0.27810650887573962</v>
      </c>
      <c r="H196" s="572">
        <f t="shared" si="101"/>
        <v>0.34426229508196721</v>
      </c>
      <c r="I196" s="572">
        <f t="shared" si="101"/>
        <v>0</v>
      </c>
      <c r="J196" s="573">
        <f t="shared" si="101"/>
        <v>0.25789813023855579</v>
      </c>
      <c r="K196" s="574">
        <f t="shared" si="101"/>
        <v>0</v>
      </c>
      <c r="L196" s="572">
        <f t="shared" si="101"/>
        <v>0</v>
      </c>
      <c r="M196" s="572">
        <f t="shared" si="101"/>
        <v>0</v>
      </c>
      <c r="N196" s="572">
        <f t="shared" si="101"/>
        <v>0</v>
      </c>
      <c r="O196" s="575">
        <f t="shared" si="101"/>
        <v>0</v>
      </c>
      <c r="P196" s="574">
        <f t="shared" si="101"/>
        <v>0</v>
      </c>
      <c r="Q196" s="572">
        <f t="shared" si="101"/>
        <v>0</v>
      </c>
      <c r="R196" s="572">
        <f t="shared" si="101"/>
        <v>0</v>
      </c>
      <c r="S196" s="575">
        <f t="shared" si="101"/>
        <v>0</v>
      </c>
      <c r="T196" s="574">
        <f t="shared" si="101"/>
        <v>0</v>
      </c>
      <c r="U196" s="253"/>
      <c r="V196" s="254"/>
      <c r="W196" s="255">
        <v>277</v>
      </c>
      <c r="X196" s="255"/>
      <c r="Y196" s="255">
        <v>34</v>
      </c>
      <c r="Z196" s="255">
        <v>47</v>
      </c>
      <c r="AA196" s="255">
        <v>42</v>
      </c>
      <c r="AB196" s="255"/>
      <c r="AC196" s="256">
        <v>400</v>
      </c>
      <c r="AD196" s="254"/>
      <c r="AE196" s="255"/>
      <c r="AF196" s="255"/>
      <c r="AG196" s="255"/>
      <c r="AH196" s="257"/>
      <c r="AI196" s="257"/>
      <c r="AJ196" s="254"/>
      <c r="AK196" s="255"/>
      <c r="AL196" s="257"/>
      <c r="AM196" s="254"/>
      <c r="AN196" s="563"/>
    </row>
    <row r="197" spans="1:40">
      <c r="A197" s="239"/>
      <c r="B197" s="239" t="s">
        <v>78</v>
      </c>
      <c r="C197" s="572">
        <f t="shared" ref="C197:T197" si="102">IF(V197&gt;0,(V197/V199),0)</f>
        <v>0</v>
      </c>
      <c r="D197" s="572">
        <f t="shared" si="102"/>
        <v>0.11211573236889692</v>
      </c>
      <c r="E197" s="572">
        <f t="shared" si="102"/>
        <v>0</v>
      </c>
      <c r="F197" s="572">
        <f t="shared" si="102"/>
        <v>0.23376623376623376</v>
      </c>
      <c r="G197" s="572">
        <f t="shared" si="102"/>
        <v>0.14792899408284024</v>
      </c>
      <c r="H197" s="572">
        <f t="shared" si="102"/>
        <v>0.18032786885245902</v>
      </c>
      <c r="I197" s="572">
        <f t="shared" si="102"/>
        <v>0</v>
      </c>
      <c r="J197" s="573">
        <f t="shared" si="102"/>
        <v>0.13346228239845262</v>
      </c>
      <c r="K197" s="574">
        <f t="shared" si="102"/>
        <v>0</v>
      </c>
      <c r="L197" s="572">
        <f t="shared" si="102"/>
        <v>0</v>
      </c>
      <c r="M197" s="572">
        <f t="shared" si="102"/>
        <v>0</v>
      </c>
      <c r="N197" s="572">
        <f t="shared" si="102"/>
        <v>0.70222222222222219</v>
      </c>
      <c r="O197" s="575">
        <f t="shared" si="102"/>
        <v>0</v>
      </c>
      <c r="P197" s="574">
        <f t="shared" si="102"/>
        <v>0.70222222222222219</v>
      </c>
      <c r="Q197" s="572">
        <f t="shared" si="102"/>
        <v>0</v>
      </c>
      <c r="R197" s="572">
        <f t="shared" si="102"/>
        <v>0</v>
      </c>
      <c r="S197" s="575">
        <f t="shared" si="102"/>
        <v>0</v>
      </c>
      <c r="T197" s="574">
        <f t="shared" si="102"/>
        <v>0</v>
      </c>
      <c r="U197" s="253"/>
      <c r="V197" s="254"/>
      <c r="W197" s="255">
        <v>124</v>
      </c>
      <c r="X197" s="255"/>
      <c r="Y197" s="255">
        <v>36</v>
      </c>
      <c r="Z197" s="255">
        <v>25</v>
      </c>
      <c r="AA197" s="255">
        <v>22</v>
      </c>
      <c r="AB197" s="255"/>
      <c r="AC197" s="256">
        <v>207</v>
      </c>
      <c r="AD197" s="254"/>
      <c r="AE197" s="255"/>
      <c r="AF197" s="255"/>
      <c r="AG197" s="255">
        <v>158</v>
      </c>
      <c r="AH197" s="257"/>
      <c r="AI197" s="257">
        <v>158</v>
      </c>
      <c r="AJ197" s="254"/>
      <c r="AK197" s="255"/>
      <c r="AL197" s="257"/>
      <c r="AM197" s="254"/>
      <c r="AN197" s="563"/>
    </row>
    <row r="198" spans="1:40">
      <c r="A198" s="580"/>
      <c r="B198" s="580" t="s">
        <v>131</v>
      </c>
      <c r="C198" s="581">
        <f t="shared" ref="C198:T198" si="103">IF(V198&gt;0,(V198/V199),0)</f>
        <v>0</v>
      </c>
      <c r="D198" s="582">
        <f t="shared" si="103"/>
        <v>6.0578661844484627E-2</v>
      </c>
      <c r="E198" s="582">
        <f t="shared" si="103"/>
        <v>0</v>
      </c>
      <c r="F198" s="582">
        <f t="shared" si="103"/>
        <v>0.12987012987012986</v>
      </c>
      <c r="G198" s="582">
        <f t="shared" si="103"/>
        <v>0.24852071005917159</v>
      </c>
      <c r="H198" s="582">
        <f t="shared" si="103"/>
        <v>0</v>
      </c>
      <c r="I198" s="583">
        <f t="shared" si="103"/>
        <v>0</v>
      </c>
      <c r="J198" s="584">
        <f t="shared" si="103"/>
        <v>8.3172147001934232E-2</v>
      </c>
      <c r="K198" s="581">
        <f t="shared" si="103"/>
        <v>0</v>
      </c>
      <c r="L198" s="582">
        <f t="shared" si="103"/>
        <v>0</v>
      </c>
      <c r="M198" s="582">
        <f t="shared" si="103"/>
        <v>0</v>
      </c>
      <c r="N198" s="582">
        <f t="shared" si="103"/>
        <v>0.29777777777777775</v>
      </c>
      <c r="O198" s="583">
        <f t="shared" si="103"/>
        <v>0</v>
      </c>
      <c r="P198" s="581">
        <f t="shared" si="103"/>
        <v>0.29777777777777775</v>
      </c>
      <c r="Q198" s="581">
        <f t="shared" si="103"/>
        <v>0</v>
      </c>
      <c r="R198" s="582">
        <f t="shared" si="103"/>
        <v>0</v>
      </c>
      <c r="S198" s="583">
        <f t="shared" si="103"/>
        <v>0</v>
      </c>
      <c r="T198" s="581">
        <f t="shared" si="103"/>
        <v>0</v>
      </c>
      <c r="U198" s="253"/>
      <c r="V198" s="585"/>
      <c r="W198" s="586">
        <v>67</v>
      </c>
      <c r="X198" s="586"/>
      <c r="Y198" s="586">
        <v>20</v>
      </c>
      <c r="Z198" s="586">
        <v>42</v>
      </c>
      <c r="AA198" s="586"/>
      <c r="AB198" s="586"/>
      <c r="AC198" s="587">
        <v>129</v>
      </c>
      <c r="AD198" s="585"/>
      <c r="AE198" s="586"/>
      <c r="AF198" s="586"/>
      <c r="AG198" s="586">
        <v>67</v>
      </c>
      <c r="AH198" s="588"/>
      <c r="AI198" s="588">
        <v>67</v>
      </c>
      <c r="AJ198" s="585"/>
      <c r="AK198" s="586"/>
      <c r="AL198" s="588"/>
      <c r="AM198" s="585"/>
    </row>
    <row r="199" spans="1:40">
      <c r="A199" s="436"/>
      <c r="B199" s="436" t="s">
        <v>59</v>
      </c>
      <c r="C199" s="456">
        <f t="shared" ref="C199:T199" si="104">SUM(C194:C198)</f>
        <v>0</v>
      </c>
      <c r="D199" s="456">
        <f t="shared" si="104"/>
        <v>1</v>
      </c>
      <c r="E199" s="456">
        <f t="shared" si="104"/>
        <v>0</v>
      </c>
      <c r="F199" s="456">
        <f t="shared" si="104"/>
        <v>1</v>
      </c>
      <c r="G199" s="456">
        <f t="shared" si="104"/>
        <v>1</v>
      </c>
      <c r="H199" s="456">
        <f t="shared" si="104"/>
        <v>1</v>
      </c>
      <c r="I199" s="456">
        <f t="shared" si="104"/>
        <v>0</v>
      </c>
      <c r="J199" s="576">
        <f t="shared" si="104"/>
        <v>0.99999999999999989</v>
      </c>
      <c r="K199" s="577">
        <f t="shared" si="104"/>
        <v>0</v>
      </c>
      <c r="L199" s="578">
        <f t="shared" si="104"/>
        <v>0</v>
      </c>
      <c r="M199" s="578">
        <f t="shared" si="104"/>
        <v>0</v>
      </c>
      <c r="N199" s="578">
        <f t="shared" si="104"/>
        <v>1</v>
      </c>
      <c r="O199" s="579">
        <f t="shared" si="104"/>
        <v>0</v>
      </c>
      <c r="P199" s="577">
        <f t="shared" si="104"/>
        <v>1</v>
      </c>
      <c r="Q199" s="578">
        <f t="shared" si="104"/>
        <v>0</v>
      </c>
      <c r="R199" s="578">
        <f t="shared" si="104"/>
        <v>0</v>
      </c>
      <c r="S199" s="579">
        <f t="shared" si="104"/>
        <v>0</v>
      </c>
      <c r="T199" s="577">
        <f t="shared" si="104"/>
        <v>0</v>
      </c>
      <c r="U199" s="253"/>
      <c r="V199" s="265"/>
      <c r="W199" s="266">
        <v>1106</v>
      </c>
      <c r="X199" s="266"/>
      <c r="Y199" s="266">
        <v>154</v>
      </c>
      <c r="Z199" s="266">
        <v>169</v>
      </c>
      <c r="AA199" s="266">
        <v>122</v>
      </c>
      <c r="AB199" s="266"/>
      <c r="AC199" s="267">
        <v>1551</v>
      </c>
      <c r="AD199" s="265"/>
      <c r="AE199" s="266"/>
      <c r="AF199" s="266"/>
      <c r="AG199" s="266">
        <v>225</v>
      </c>
      <c r="AH199" s="268"/>
      <c r="AI199" s="268">
        <v>225</v>
      </c>
      <c r="AJ199" s="265"/>
      <c r="AK199" s="266"/>
      <c r="AL199" s="268"/>
      <c r="AM199" s="265"/>
      <c r="AN199" s="563"/>
    </row>
    <row r="200" spans="1:40">
      <c r="A200" s="240" t="s">
        <v>158</v>
      </c>
      <c r="B200" s="240" t="s">
        <v>53</v>
      </c>
      <c r="C200" s="568">
        <f t="shared" ref="C200:T200" si="105">IF(V200&gt;0,(V200/V205),0)</f>
        <v>0</v>
      </c>
      <c r="D200" s="568">
        <f t="shared" si="105"/>
        <v>0.30220492866407261</v>
      </c>
      <c r="E200" s="568">
        <f t="shared" si="105"/>
        <v>0</v>
      </c>
      <c r="F200" s="568">
        <f t="shared" si="105"/>
        <v>0</v>
      </c>
      <c r="G200" s="568">
        <f t="shared" si="105"/>
        <v>0</v>
      </c>
      <c r="H200" s="568">
        <f t="shared" si="105"/>
        <v>4.5454545454545456E-2</v>
      </c>
      <c r="I200" s="568">
        <f t="shared" si="105"/>
        <v>0</v>
      </c>
      <c r="J200" s="569">
        <f t="shared" si="105"/>
        <v>0.29508196721311475</v>
      </c>
      <c r="K200" s="570">
        <f t="shared" si="105"/>
        <v>0.66607142857142854</v>
      </c>
      <c r="L200" s="568">
        <f t="shared" si="105"/>
        <v>0.71511627906976749</v>
      </c>
      <c r="M200" s="568">
        <f t="shared" si="105"/>
        <v>0.80327868852459017</v>
      </c>
      <c r="N200" s="568">
        <f t="shared" si="105"/>
        <v>0</v>
      </c>
      <c r="O200" s="571">
        <f t="shared" si="105"/>
        <v>0</v>
      </c>
      <c r="P200" s="570">
        <f t="shared" si="105"/>
        <v>0.68726355611601508</v>
      </c>
      <c r="Q200" s="568">
        <f t="shared" si="105"/>
        <v>0</v>
      </c>
      <c r="R200" s="568">
        <f t="shared" si="105"/>
        <v>0</v>
      </c>
      <c r="S200" s="571">
        <f t="shared" si="105"/>
        <v>0</v>
      </c>
      <c r="T200" s="570">
        <f t="shared" si="105"/>
        <v>0</v>
      </c>
      <c r="U200" s="253"/>
      <c r="V200" s="245"/>
      <c r="W200" s="246">
        <v>466</v>
      </c>
      <c r="X200" s="246"/>
      <c r="Y200" s="246"/>
      <c r="Z200" s="246"/>
      <c r="AA200" s="246">
        <v>2</v>
      </c>
      <c r="AB200" s="246"/>
      <c r="AC200" s="247">
        <v>468</v>
      </c>
      <c r="AD200" s="245">
        <v>373</v>
      </c>
      <c r="AE200" s="246">
        <v>123</v>
      </c>
      <c r="AF200" s="246">
        <v>49</v>
      </c>
      <c r="AG200" s="246"/>
      <c r="AH200" s="248"/>
      <c r="AI200" s="248">
        <v>545</v>
      </c>
      <c r="AJ200" s="245"/>
      <c r="AK200" s="246"/>
      <c r="AL200" s="248"/>
      <c r="AM200" s="245"/>
      <c r="AN200" s="563"/>
    </row>
    <row r="201" spans="1:40">
      <c r="A201" s="239"/>
      <c r="B201" s="239" t="s">
        <v>93</v>
      </c>
      <c r="C201" s="572">
        <f t="shared" ref="C201:T201" si="106">IF(V201&gt;0,(V201/V205),0)</f>
        <v>0</v>
      </c>
      <c r="D201" s="572">
        <f t="shared" si="106"/>
        <v>0.32425421530479898</v>
      </c>
      <c r="E201" s="572">
        <f t="shared" si="106"/>
        <v>0</v>
      </c>
      <c r="F201" s="572">
        <f t="shared" si="106"/>
        <v>0</v>
      </c>
      <c r="G201" s="572">
        <f t="shared" si="106"/>
        <v>0</v>
      </c>
      <c r="H201" s="572">
        <f t="shared" si="106"/>
        <v>9.0909090909090912E-2</v>
      </c>
      <c r="I201" s="572">
        <f t="shared" si="106"/>
        <v>0</v>
      </c>
      <c r="J201" s="573">
        <f t="shared" si="106"/>
        <v>0.31778058007566207</v>
      </c>
      <c r="K201" s="574">
        <f t="shared" si="106"/>
        <v>0</v>
      </c>
      <c r="L201" s="572">
        <f t="shared" si="106"/>
        <v>0</v>
      </c>
      <c r="M201" s="572">
        <f t="shared" si="106"/>
        <v>0</v>
      </c>
      <c r="N201" s="572">
        <f t="shared" si="106"/>
        <v>0</v>
      </c>
      <c r="O201" s="575">
        <f t="shared" si="106"/>
        <v>0</v>
      </c>
      <c r="P201" s="574">
        <f t="shared" si="106"/>
        <v>0</v>
      </c>
      <c r="Q201" s="572">
        <f t="shared" si="106"/>
        <v>0</v>
      </c>
      <c r="R201" s="572">
        <f t="shared" si="106"/>
        <v>0</v>
      </c>
      <c r="S201" s="575">
        <f t="shared" si="106"/>
        <v>0</v>
      </c>
      <c r="T201" s="574">
        <f t="shared" si="106"/>
        <v>0</v>
      </c>
      <c r="U201" s="253"/>
      <c r="V201" s="254"/>
      <c r="W201" s="255">
        <v>500</v>
      </c>
      <c r="X201" s="255"/>
      <c r="Y201" s="255"/>
      <c r="Z201" s="255"/>
      <c r="AA201" s="255">
        <v>4</v>
      </c>
      <c r="AB201" s="255"/>
      <c r="AC201" s="256">
        <v>504</v>
      </c>
      <c r="AD201" s="254"/>
      <c r="AE201" s="255"/>
      <c r="AF201" s="255"/>
      <c r="AG201" s="255"/>
      <c r="AH201" s="257"/>
      <c r="AI201" s="257"/>
      <c r="AJ201" s="254"/>
      <c r="AK201" s="255"/>
      <c r="AL201" s="257"/>
      <c r="AM201" s="254"/>
      <c r="AN201" s="563"/>
    </row>
    <row r="202" spans="1:40">
      <c r="A202" s="239"/>
      <c r="B202" s="239" t="s">
        <v>55</v>
      </c>
      <c r="C202" s="572">
        <f t="shared" ref="C202:T202" si="107">IF(V202&gt;0,(V202/V205),0)</f>
        <v>0</v>
      </c>
      <c r="D202" s="572">
        <f t="shared" si="107"/>
        <v>0.26653696498054474</v>
      </c>
      <c r="E202" s="572">
        <f t="shared" si="107"/>
        <v>0</v>
      </c>
      <c r="F202" s="572">
        <f t="shared" si="107"/>
        <v>0</v>
      </c>
      <c r="G202" s="572">
        <f t="shared" si="107"/>
        <v>0</v>
      </c>
      <c r="H202" s="572">
        <f t="shared" si="107"/>
        <v>0.45454545454545453</v>
      </c>
      <c r="I202" s="572">
        <f t="shared" si="107"/>
        <v>0</v>
      </c>
      <c r="J202" s="573">
        <f t="shared" si="107"/>
        <v>0.27175283732660782</v>
      </c>
      <c r="K202" s="574">
        <f t="shared" si="107"/>
        <v>0</v>
      </c>
      <c r="L202" s="572">
        <f t="shared" si="107"/>
        <v>0</v>
      </c>
      <c r="M202" s="572">
        <f t="shared" si="107"/>
        <v>0</v>
      </c>
      <c r="N202" s="572">
        <f t="shared" si="107"/>
        <v>0</v>
      </c>
      <c r="O202" s="575">
        <f t="shared" si="107"/>
        <v>0</v>
      </c>
      <c r="P202" s="574">
        <f t="shared" si="107"/>
        <v>0</v>
      </c>
      <c r="Q202" s="572">
        <f t="shared" si="107"/>
        <v>0</v>
      </c>
      <c r="R202" s="572">
        <f t="shared" si="107"/>
        <v>0</v>
      </c>
      <c r="S202" s="575">
        <f t="shared" si="107"/>
        <v>0</v>
      </c>
      <c r="T202" s="574">
        <f t="shared" si="107"/>
        <v>0</v>
      </c>
      <c r="U202" s="253"/>
      <c r="V202" s="254"/>
      <c r="W202" s="255">
        <v>411</v>
      </c>
      <c r="X202" s="255"/>
      <c r="Y202" s="255"/>
      <c r="Z202" s="255"/>
      <c r="AA202" s="255">
        <v>20</v>
      </c>
      <c r="AB202" s="255"/>
      <c r="AC202" s="256">
        <v>431</v>
      </c>
      <c r="AD202" s="254"/>
      <c r="AE202" s="255"/>
      <c r="AF202" s="255"/>
      <c r="AG202" s="255"/>
      <c r="AH202" s="257"/>
      <c r="AI202" s="257"/>
      <c r="AJ202" s="254"/>
      <c r="AK202" s="255"/>
      <c r="AL202" s="257"/>
      <c r="AM202" s="254"/>
      <c r="AN202" s="563"/>
    </row>
    <row r="203" spans="1:40">
      <c r="A203" s="239"/>
      <c r="B203" s="239" t="s">
        <v>78</v>
      </c>
      <c r="C203" s="572">
        <f t="shared" ref="C203:T203" si="108">IF(V203&gt;0,(V203/V205),0)</f>
        <v>0</v>
      </c>
      <c r="D203" s="572">
        <f t="shared" si="108"/>
        <v>5.3177691309987028E-2</v>
      </c>
      <c r="E203" s="572">
        <f t="shared" si="108"/>
        <v>0</v>
      </c>
      <c r="F203" s="572">
        <f t="shared" si="108"/>
        <v>0</v>
      </c>
      <c r="G203" s="572">
        <f t="shared" si="108"/>
        <v>0</v>
      </c>
      <c r="H203" s="572">
        <f t="shared" si="108"/>
        <v>0</v>
      </c>
      <c r="I203" s="572">
        <f t="shared" si="108"/>
        <v>0</v>
      </c>
      <c r="J203" s="573">
        <f t="shared" si="108"/>
        <v>5.1702395964691047E-2</v>
      </c>
      <c r="K203" s="574">
        <f t="shared" si="108"/>
        <v>0.33392857142857141</v>
      </c>
      <c r="L203" s="572">
        <f t="shared" si="108"/>
        <v>0.28488372093023256</v>
      </c>
      <c r="M203" s="572">
        <f t="shared" si="108"/>
        <v>0.19672131147540983</v>
      </c>
      <c r="N203" s="572">
        <f t="shared" si="108"/>
        <v>0</v>
      </c>
      <c r="O203" s="575">
        <f t="shared" si="108"/>
        <v>0</v>
      </c>
      <c r="P203" s="574">
        <f t="shared" si="108"/>
        <v>0.31273644388398486</v>
      </c>
      <c r="Q203" s="572">
        <f t="shared" si="108"/>
        <v>0</v>
      </c>
      <c r="R203" s="572">
        <f t="shared" si="108"/>
        <v>0</v>
      </c>
      <c r="S203" s="575">
        <f t="shared" si="108"/>
        <v>0</v>
      </c>
      <c r="T203" s="574">
        <f t="shared" si="108"/>
        <v>0</v>
      </c>
      <c r="U203" s="253"/>
      <c r="V203" s="254"/>
      <c r="W203" s="255">
        <v>82</v>
      </c>
      <c r="X203" s="255"/>
      <c r="Y203" s="255"/>
      <c r="Z203" s="255"/>
      <c r="AA203" s="255"/>
      <c r="AB203" s="255"/>
      <c r="AC203" s="256">
        <v>82</v>
      </c>
      <c r="AD203" s="254">
        <v>187</v>
      </c>
      <c r="AE203" s="255">
        <v>49</v>
      </c>
      <c r="AF203" s="255">
        <v>12</v>
      </c>
      <c r="AG203" s="255"/>
      <c r="AH203" s="257"/>
      <c r="AI203" s="257">
        <v>248</v>
      </c>
      <c r="AJ203" s="254"/>
      <c r="AK203" s="255"/>
      <c r="AL203" s="257"/>
      <c r="AM203" s="254"/>
      <c r="AN203" s="563"/>
    </row>
    <row r="204" spans="1:40">
      <c r="A204" s="580"/>
      <c r="B204" s="580" t="s">
        <v>131</v>
      </c>
      <c r="C204" s="581">
        <f t="shared" ref="C204:T204" si="109">IF(V204&gt;0,(V204/V205),0)</f>
        <v>0</v>
      </c>
      <c r="D204" s="582">
        <f t="shared" si="109"/>
        <v>5.3826199740596631E-2</v>
      </c>
      <c r="E204" s="582">
        <f t="shared" si="109"/>
        <v>0</v>
      </c>
      <c r="F204" s="582">
        <f t="shared" si="109"/>
        <v>0</v>
      </c>
      <c r="G204" s="582">
        <f t="shared" si="109"/>
        <v>0</v>
      </c>
      <c r="H204" s="582">
        <f t="shared" si="109"/>
        <v>0.40909090909090912</v>
      </c>
      <c r="I204" s="583">
        <f t="shared" si="109"/>
        <v>0</v>
      </c>
      <c r="J204" s="584">
        <f t="shared" si="109"/>
        <v>6.3682219419924344E-2</v>
      </c>
      <c r="K204" s="581">
        <f t="shared" si="109"/>
        <v>0</v>
      </c>
      <c r="L204" s="582">
        <f t="shared" si="109"/>
        <v>0</v>
      </c>
      <c r="M204" s="582">
        <f t="shared" si="109"/>
        <v>0</v>
      </c>
      <c r="N204" s="582">
        <f t="shared" si="109"/>
        <v>0</v>
      </c>
      <c r="O204" s="583">
        <f t="shared" si="109"/>
        <v>0</v>
      </c>
      <c r="P204" s="581">
        <f t="shared" si="109"/>
        <v>0</v>
      </c>
      <c r="Q204" s="581">
        <f t="shared" si="109"/>
        <v>0</v>
      </c>
      <c r="R204" s="582">
        <f t="shared" si="109"/>
        <v>0</v>
      </c>
      <c r="S204" s="583">
        <f t="shared" si="109"/>
        <v>0</v>
      </c>
      <c r="T204" s="581">
        <f t="shared" si="109"/>
        <v>0</v>
      </c>
      <c r="U204" s="253"/>
      <c r="V204" s="585"/>
      <c r="W204" s="586">
        <v>83</v>
      </c>
      <c r="X204" s="586"/>
      <c r="Y204" s="586"/>
      <c r="Z204" s="586"/>
      <c r="AA204" s="586">
        <v>18</v>
      </c>
      <c r="AB204" s="586"/>
      <c r="AC204" s="587">
        <v>101</v>
      </c>
      <c r="AD204" s="585"/>
      <c r="AE204" s="586"/>
      <c r="AF204" s="586"/>
      <c r="AG204" s="586"/>
      <c r="AH204" s="588"/>
      <c r="AI204" s="588"/>
      <c r="AJ204" s="585"/>
      <c r="AK204" s="586"/>
      <c r="AL204" s="588"/>
      <c r="AM204" s="585"/>
    </row>
    <row r="205" spans="1:40">
      <c r="A205" s="436"/>
      <c r="B205" s="436" t="s">
        <v>59</v>
      </c>
      <c r="C205" s="456">
        <f t="shared" ref="C205:T205" si="110">SUM(C200:C204)</f>
        <v>0</v>
      </c>
      <c r="D205" s="456">
        <f t="shared" si="110"/>
        <v>1</v>
      </c>
      <c r="E205" s="456">
        <f t="shared" si="110"/>
        <v>0</v>
      </c>
      <c r="F205" s="456">
        <f t="shared" si="110"/>
        <v>0</v>
      </c>
      <c r="G205" s="456">
        <f t="shared" si="110"/>
        <v>0</v>
      </c>
      <c r="H205" s="456">
        <f t="shared" si="110"/>
        <v>1</v>
      </c>
      <c r="I205" s="456">
        <f t="shared" si="110"/>
        <v>0</v>
      </c>
      <c r="J205" s="576">
        <f t="shared" si="110"/>
        <v>1</v>
      </c>
      <c r="K205" s="577">
        <f t="shared" si="110"/>
        <v>1</v>
      </c>
      <c r="L205" s="578">
        <f t="shared" si="110"/>
        <v>1</v>
      </c>
      <c r="M205" s="578">
        <f t="shared" si="110"/>
        <v>1</v>
      </c>
      <c r="N205" s="578">
        <f t="shared" si="110"/>
        <v>0</v>
      </c>
      <c r="O205" s="579">
        <f t="shared" si="110"/>
        <v>0</v>
      </c>
      <c r="P205" s="577">
        <f t="shared" si="110"/>
        <v>1</v>
      </c>
      <c r="Q205" s="578">
        <f t="shared" si="110"/>
        <v>0</v>
      </c>
      <c r="R205" s="578">
        <f t="shared" si="110"/>
        <v>0</v>
      </c>
      <c r="S205" s="579">
        <f t="shared" si="110"/>
        <v>0</v>
      </c>
      <c r="T205" s="577">
        <f t="shared" si="110"/>
        <v>0</v>
      </c>
      <c r="U205" s="253"/>
      <c r="V205" s="265"/>
      <c r="W205" s="266">
        <v>1542</v>
      </c>
      <c r="X205" s="266"/>
      <c r="Y205" s="266"/>
      <c r="Z205" s="266"/>
      <c r="AA205" s="266">
        <v>44</v>
      </c>
      <c r="AB205" s="266"/>
      <c r="AC205" s="267">
        <v>1586</v>
      </c>
      <c r="AD205" s="265">
        <v>560</v>
      </c>
      <c r="AE205" s="266">
        <v>172</v>
      </c>
      <c r="AF205" s="266">
        <v>61</v>
      </c>
      <c r="AG205" s="266"/>
      <c r="AH205" s="268"/>
      <c r="AI205" s="268">
        <v>793</v>
      </c>
      <c r="AJ205" s="265"/>
      <c r="AK205" s="266"/>
      <c r="AL205" s="268"/>
      <c r="AM205" s="265"/>
      <c r="AN205" s="563"/>
    </row>
    <row r="206" spans="1:40">
      <c r="A206" s="240" t="s">
        <v>157</v>
      </c>
      <c r="B206" s="240" t="s">
        <v>53</v>
      </c>
      <c r="C206" s="568">
        <f t="shared" ref="C206:T206" si="111">IF(V206&gt;0,(V206/V211),0)</f>
        <v>0.33924843423799583</v>
      </c>
      <c r="D206" s="568">
        <f t="shared" si="111"/>
        <v>0.31564245810055863</v>
      </c>
      <c r="E206" s="568">
        <f t="shared" si="111"/>
        <v>0.27702702702702703</v>
      </c>
      <c r="F206" s="568">
        <f t="shared" si="111"/>
        <v>0.19148936170212766</v>
      </c>
      <c r="G206" s="568">
        <f t="shared" si="111"/>
        <v>0.38235294117647056</v>
      </c>
      <c r="H206" s="568">
        <f t="shared" si="111"/>
        <v>0</v>
      </c>
      <c r="I206" s="568">
        <f t="shared" si="111"/>
        <v>0</v>
      </c>
      <c r="J206" s="569">
        <f t="shared" si="111"/>
        <v>0.31864406779661014</v>
      </c>
      <c r="K206" s="570">
        <f t="shared" si="111"/>
        <v>0</v>
      </c>
      <c r="L206" s="568">
        <f t="shared" si="111"/>
        <v>0</v>
      </c>
      <c r="M206" s="568">
        <f t="shared" si="111"/>
        <v>9.7500000000000003E-2</v>
      </c>
      <c r="N206" s="568">
        <f t="shared" si="111"/>
        <v>6.8965517241379309E-2</v>
      </c>
      <c r="O206" s="571">
        <f t="shared" si="111"/>
        <v>0</v>
      </c>
      <c r="P206" s="570">
        <f t="shared" si="111"/>
        <v>5.689102564102564E-2</v>
      </c>
      <c r="Q206" s="568">
        <f t="shared" si="111"/>
        <v>0</v>
      </c>
      <c r="R206" s="568">
        <f t="shared" si="111"/>
        <v>0</v>
      </c>
      <c r="S206" s="571">
        <f t="shared" si="111"/>
        <v>0</v>
      </c>
      <c r="T206" s="570">
        <f t="shared" si="111"/>
        <v>0</v>
      </c>
      <c r="U206" s="253"/>
      <c r="V206" s="245">
        <v>325</v>
      </c>
      <c r="W206" s="246">
        <v>226</v>
      </c>
      <c r="X206" s="246">
        <v>41</v>
      </c>
      <c r="Y206" s="246">
        <v>27</v>
      </c>
      <c r="Z206" s="246">
        <v>39</v>
      </c>
      <c r="AA206" s="246"/>
      <c r="AB206" s="246"/>
      <c r="AC206" s="247">
        <v>658</v>
      </c>
      <c r="AD206" s="245"/>
      <c r="AE206" s="246"/>
      <c r="AF206" s="246">
        <v>39</v>
      </c>
      <c r="AG206" s="246">
        <v>32</v>
      </c>
      <c r="AH206" s="248"/>
      <c r="AI206" s="248">
        <v>71</v>
      </c>
      <c r="AJ206" s="245"/>
      <c r="AK206" s="246"/>
      <c r="AL206" s="248"/>
      <c r="AM206" s="245"/>
      <c r="AN206" s="563"/>
    </row>
    <row r="207" spans="1:40">
      <c r="A207" s="239"/>
      <c r="B207" s="239" t="s">
        <v>93</v>
      </c>
      <c r="C207" s="572">
        <f t="shared" ref="C207:T207" si="112">IF(V207&gt;0,(V207/V211),0)</f>
        <v>0.29123173277661796</v>
      </c>
      <c r="D207" s="572">
        <f t="shared" si="112"/>
        <v>0.33240223463687152</v>
      </c>
      <c r="E207" s="572">
        <f t="shared" si="112"/>
        <v>0.25</v>
      </c>
      <c r="F207" s="572">
        <f t="shared" si="112"/>
        <v>0.26241134751773049</v>
      </c>
      <c r="G207" s="572">
        <f t="shared" si="112"/>
        <v>0.28431372549019607</v>
      </c>
      <c r="H207" s="572">
        <f t="shared" si="112"/>
        <v>0</v>
      </c>
      <c r="I207" s="572">
        <f t="shared" si="112"/>
        <v>0</v>
      </c>
      <c r="J207" s="573">
        <f t="shared" si="112"/>
        <v>0.30024213075060535</v>
      </c>
      <c r="K207" s="574">
        <f t="shared" si="112"/>
        <v>0.21052631578947367</v>
      </c>
      <c r="L207" s="572">
        <f t="shared" si="112"/>
        <v>0</v>
      </c>
      <c r="M207" s="572">
        <f t="shared" si="112"/>
        <v>0.13750000000000001</v>
      </c>
      <c r="N207" s="572">
        <f t="shared" si="112"/>
        <v>8.1896551724137928E-2</v>
      </c>
      <c r="O207" s="575">
        <f t="shared" si="112"/>
        <v>0</v>
      </c>
      <c r="P207" s="574">
        <f t="shared" si="112"/>
        <v>8.4134615384615391E-2</v>
      </c>
      <c r="Q207" s="572">
        <f t="shared" si="112"/>
        <v>0</v>
      </c>
      <c r="R207" s="572">
        <f t="shared" si="112"/>
        <v>0</v>
      </c>
      <c r="S207" s="575">
        <f t="shared" si="112"/>
        <v>0</v>
      </c>
      <c r="T207" s="574">
        <f t="shared" si="112"/>
        <v>0</v>
      </c>
      <c r="U207" s="253"/>
      <c r="V207" s="254">
        <v>279</v>
      </c>
      <c r="W207" s="255">
        <v>238</v>
      </c>
      <c r="X207" s="255">
        <v>37</v>
      </c>
      <c r="Y207" s="255">
        <v>37</v>
      </c>
      <c r="Z207" s="255">
        <v>29</v>
      </c>
      <c r="AA207" s="255"/>
      <c r="AB207" s="255"/>
      <c r="AC207" s="256">
        <v>620</v>
      </c>
      <c r="AD207" s="254">
        <v>12</v>
      </c>
      <c r="AE207" s="255"/>
      <c r="AF207" s="255">
        <v>55</v>
      </c>
      <c r="AG207" s="255">
        <v>38</v>
      </c>
      <c r="AH207" s="257"/>
      <c r="AI207" s="257">
        <v>105</v>
      </c>
      <c r="AJ207" s="254"/>
      <c r="AK207" s="255"/>
      <c r="AL207" s="257"/>
      <c r="AM207" s="254"/>
      <c r="AN207" s="563"/>
    </row>
    <row r="208" spans="1:40">
      <c r="A208" s="239"/>
      <c r="B208" s="239" t="s">
        <v>55</v>
      </c>
      <c r="C208" s="572">
        <f t="shared" ref="C208:T208" si="113">IF(V208&gt;0,(V208/V211),0)</f>
        <v>0.22860125260960334</v>
      </c>
      <c r="D208" s="572">
        <f t="shared" si="113"/>
        <v>0.30865921787709499</v>
      </c>
      <c r="E208" s="572">
        <f t="shared" si="113"/>
        <v>0.27702702702702703</v>
      </c>
      <c r="F208" s="572">
        <f t="shared" si="113"/>
        <v>0.37588652482269502</v>
      </c>
      <c r="G208" s="572">
        <f t="shared" si="113"/>
        <v>0.30392156862745096</v>
      </c>
      <c r="H208" s="572">
        <f t="shared" si="113"/>
        <v>0</v>
      </c>
      <c r="I208" s="572">
        <f t="shared" si="113"/>
        <v>0</v>
      </c>
      <c r="J208" s="573">
        <f t="shared" si="113"/>
        <v>0.27360774818401939</v>
      </c>
      <c r="K208" s="574">
        <f t="shared" si="113"/>
        <v>0.49122807017543857</v>
      </c>
      <c r="L208" s="572">
        <f t="shared" si="113"/>
        <v>0</v>
      </c>
      <c r="M208" s="572">
        <f t="shared" si="113"/>
        <v>0.3125</v>
      </c>
      <c r="N208" s="572">
        <f t="shared" si="113"/>
        <v>0.1206896551724138</v>
      </c>
      <c r="O208" s="575">
        <f t="shared" si="113"/>
        <v>0</v>
      </c>
      <c r="P208" s="574">
        <f t="shared" si="113"/>
        <v>0.16746794871794871</v>
      </c>
      <c r="Q208" s="572">
        <f t="shared" si="113"/>
        <v>0</v>
      </c>
      <c r="R208" s="572">
        <f t="shared" si="113"/>
        <v>0</v>
      </c>
      <c r="S208" s="575">
        <f t="shared" si="113"/>
        <v>0</v>
      </c>
      <c r="T208" s="574">
        <f t="shared" si="113"/>
        <v>0</v>
      </c>
      <c r="U208" s="253"/>
      <c r="V208" s="254">
        <v>219</v>
      </c>
      <c r="W208" s="255">
        <v>221</v>
      </c>
      <c r="X208" s="255">
        <v>41</v>
      </c>
      <c r="Y208" s="255">
        <v>53</v>
      </c>
      <c r="Z208" s="255">
        <v>31</v>
      </c>
      <c r="AA208" s="255"/>
      <c r="AB208" s="255"/>
      <c r="AC208" s="256">
        <v>565</v>
      </c>
      <c r="AD208" s="254">
        <v>28</v>
      </c>
      <c r="AE208" s="255"/>
      <c r="AF208" s="255">
        <v>125</v>
      </c>
      <c r="AG208" s="255">
        <v>56</v>
      </c>
      <c r="AH208" s="257"/>
      <c r="AI208" s="257">
        <v>209</v>
      </c>
      <c r="AJ208" s="254"/>
      <c r="AK208" s="255"/>
      <c r="AL208" s="257"/>
      <c r="AM208" s="254"/>
      <c r="AN208" s="563"/>
    </row>
    <row r="209" spans="1:40">
      <c r="A209" s="239"/>
      <c r="B209" s="239" t="s">
        <v>78</v>
      </c>
      <c r="C209" s="572">
        <f t="shared" ref="C209:T209" si="114">IF(V209&gt;0,(V209/V211),0)</f>
        <v>6.2630480167014616E-3</v>
      </c>
      <c r="D209" s="572">
        <f t="shared" si="114"/>
        <v>3.6312849162011177E-2</v>
      </c>
      <c r="E209" s="572">
        <f t="shared" si="114"/>
        <v>0.19594594594594594</v>
      </c>
      <c r="F209" s="572">
        <f t="shared" si="114"/>
        <v>0.13475177304964539</v>
      </c>
      <c r="G209" s="572">
        <f t="shared" si="114"/>
        <v>2.9411764705882353E-2</v>
      </c>
      <c r="H209" s="572">
        <f t="shared" si="114"/>
        <v>0</v>
      </c>
      <c r="I209" s="572">
        <f t="shared" si="114"/>
        <v>0</v>
      </c>
      <c r="J209" s="573">
        <f t="shared" si="114"/>
        <v>4.0193704600484263E-2</v>
      </c>
      <c r="K209" s="574">
        <f t="shared" si="114"/>
        <v>0.2807017543859649</v>
      </c>
      <c r="L209" s="572">
        <f t="shared" si="114"/>
        <v>1</v>
      </c>
      <c r="M209" s="572">
        <f t="shared" si="114"/>
        <v>0.38750000000000001</v>
      </c>
      <c r="N209" s="572">
        <f t="shared" si="114"/>
        <v>0.44396551724137934</v>
      </c>
      <c r="O209" s="575">
        <f t="shared" si="114"/>
        <v>0</v>
      </c>
      <c r="P209" s="574">
        <f t="shared" si="114"/>
        <v>0.5641025641025641</v>
      </c>
      <c r="Q209" s="572">
        <f t="shared" si="114"/>
        <v>0</v>
      </c>
      <c r="R209" s="572">
        <f t="shared" si="114"/>
        <v>0</v>
      </c>
      <c r="S209" s="575">
        <f t="shared" si="114"/>
        <v>0</v>
      </c>
      <c r="T209" s="574">
        <f t="shared" si="114"/>
        <v>0</v>
      </c>
      <c r="U209" s="253"/>
      <c r="V209" s="254">
        <v>6</v>
      </c>
      <c r="W209" s="255">
        <v>26</v>
      </c>
      <c r="X209" s="255">
        <v>29</v>
      </c>
      <c r="Y209" s="255">
        <v>19</v>
      </c>
      <c r="Z209" s="255">
        <v>3</v>
      </c>
      <c r="AA209" s="255"/>
      <c r="AB209" s="255"/>
      <c r="AC209" s="256">
        <v>83</v>
      </c>
      <c r="AD209" s="254">
        <v>16</v>
      </c>
      <c r="AE209" s="255">
        <v>327</v>
      </c>
      <c r="AF209" s="255">
        <v>155</v>
      </c>
      <c r="AG209" s="255">
        <v>206</v>
      </c>
      <c r="AH209" s="257"/>
      <c r="AI209" s="257">
        <v>704</v>
      </c>
      <c r="AJ209" s="254"/>
      <c r="AK209" s="255"/>
      <c r="AL209" s="257"/>
      <c r="AM209" s="254"/>
      <c r="AN209" s="563"/>
    </row>
    <row r="210" spans="1:40">
      <c r="A210" s="580"/>
      <c r="B210" s="580" t="s">
        <v>131</v>
      </c>
      <c r="C210" s="581">
        <f t="shared" ref="C210:T210" si="115">IF(V210&gt;0,(V210/V211),0)</f>
        <v>0.13465553235908143</v>
      </c>
      <c r="D210" s="582">
        <f t="shared" si="115"/>
        <v>6.9832402234636867E-3</v>
      </c>
      <c r="E210" s="582">
        <f t="shared" si="115"/>
        <v>0</v>
      </c>
      <c r="F210" s="582">
        <f t="shared" si="115"/>
        <v>3.5460992907801421E-2</v>
      </c>
      <c r="G210" s="582">
        <f t="shared" si="115"/>
        <v>0</v>
      </c>
      <c r="H210" s="582">
        <f t="shared" si="115"/>
        <v>0</v>
      </c>
      <c r="I210" s="583">
        <f t="shared" si="115"/>
        <v>0</v>
      </c>
      <c r="J210" s="584">
        <f t="shared" si="115"/>
        <v>6.7312348668280869E-2</v>
      </c>
      <c r="K210" s="581">
        <f t="shared" si="115"/>
        <v>1.7543859649122806E-2</v>
      </c>
      <c r="L210" s="582">
        <f t="shared" si="115"/>
        <v>0</v>
      </c>
      <c r="M210" s="582">
        <f t="shared" si="115"/>
        <v>6.5000000000000002E-2</v>
      </c>
      <c r="N210" s="582">
        <f t="shared" si="115"/>
        <v>0.28448275862068967</v>
      </c>
      <c r="O210" s="583">
        <f t="shared" si="115"/>
        <v>0</v>
      </c>
      <c r="P210" s="581">
        <f t="shared" si="115"/>
        <v>0.12740384615384615</v>
      </c>
      <c r="Q210" s="581">
        <f t="shared" si="115"/>
        <v>0</v>
      </c>
      <c r="R210" s="582">
        <f t="shared" si="115"/>
        <v>0</v>
      </c>
      <c r="S210" s="583">
        <f t="shared" si="115"/>
        <v>0</v>
      </c>
      <c r="T210" s="581">
        <f t="shared" si="115"/>
        <v>0</v>
      </c>
      <c r="U210" s="253"/>
      <c r="V210" s="585">
        <v>129</v>
      </c>
      <c r="W210" s="586">
        <v>5</v>
      </c>
      <c r="X210" s="586"/>
      <c r="Y210" s="586">
        <v>5</v>
      </c>
      <c r="Z210" s="586"/>
      <c r="AA210" s="586"/>
      <c r="AB210" s="586"/>
      <c r="AC210" s="587">
        <v>139</v>
      </c>
      <c r="AD210" s="585">
        <v>1</v>
      </c>
      <c r="AE210" s="586"/>
      <c r="AF210" s="586">
        <v>26</v>
      </c>
      <c r="AG210" s="586">
        <v>132</v>
      </c>
      <c r="AH210" s="588"/>
      <c r="AI210" s="588">
        <v>159</v>
      </c>
      <c r="AJ210" s="585"/>
      <c r="AK210" s="586"/>
      <c r="AL210" s="588"/>
      <c r="AM210" s="585"/>
    </row>
    <row r="211" spans="1:40">
      <c r="A211" s="436"/>
      <c r="B211" s="436" t="s">
        <v>59</v>
      </c>
      <c r="C211" s="456">
        <f t="shared" ref="C211:T211" si="116">SUM(C206:C210)</f>
        <v>1</v>
      </c>
      <c r="D211" s="456">
        <f t="shared" si="116"/>
        <v>1</v>
      </c>
      <c r="E211" s="456">
        <f t="shared" si="116"/>
        <v>0.99999999999999989</v>
      </c>
      <c r="F211" s="456">
        <f t="shared" si="116"/>
        <v>1</v>
      </c>
      <c r="G211" s="456">
        <f t="shared" si="116"/>
        <v>0.99999999999999989</v>
      </c>
      <c r="H211" s="456">
        <f t="shared" si="116"/>
        <v>0</v>
      </c>
      <c r="I211" s="456">
        <f t="shared" si="116"/>
        <v>0</v>
      </c>
      <c r="J211" s="576">
        <f t="shared" si="116"/>
        <v>1</v>
      </c>
      <c r="K211" s="577">
        <f t="shared" si="116"/>
        <v>1</v>
      </c>
      <c r="L211" s="578">
        <f t="shared" si="116"/>
        <v>1</v>
      </c>
      <c r="M211" s="578">
        <f t="shared" si="116"/>
        <v>1</v>
      </c>
      <c r="N211" s="578">
        <f t="shared" si="116"/>
        <v>1</v>
      </c>
      <c r="O211" s="579">
        <f t="shared" si="116"/>
        <v>0</v>
      </c>
      <c r="P211" s="577">
        <f t="shared" si="116"/>
        <v>1</v>
      </c>
      <c r="Q211" s="578">
        <f t="shared" si="116"/>
        <v>0</v>
      </c>
      <c r="R211" s="578">
        <f t="shared" si="116"/>
        <v>0</v>
      </c>
      <c r="S211" s="579">
        <f t="shared" si="116"/>
        <v>0</v>
      </c>
      <c r="T211" s="577">
        <f t="shared" si="116"/>
        <v>0</v>
      </c>
      <c r="U211" s="253"/>
      <c r="V211" s="265">
        <v>958</v>
      </c>
      <c r="W211" s="266">
        <v>716</v>
      </c>
      <c r="X211" s="266">
        <v>148</v>
      </c>
      <c r="Y211" s="266">
        <v>141</v>
      </c>
      <c r="Z211" s="266">
        <v>102</v>
      </c>
      <c r="AA211" s="266"/>
      <c r="AB211" s="266"/>
      <c r="AC211" s="267">
        <v>2065</v>
      </c>
      <c r="AD211" s="265">
        <v>57</v>
      </c>
      <c r="AE211" s="266">
        <v>327</v>
      </c>
      <c r="AF211" s="266">
        <v>400</v>
      </c>
      <c r="AG211" s="266">
        <v>464</v>
      </c>
      <c r="AH211" s="268"/>
      <c r="AI211" s="268">
        <v>1248</v>
      </c>
      <c r="AJ211" s="265"/>
      <c r="AK211" s="266"/>
      <c r="AL211" s="268"/>
      <c r="AM211" s="265"/>
      <c r="AN211" s="563"/>
    </row>
    <row r="212" spans="1:40">
      <c r="A212" s="240" t="s">
        <v>161</v>
      </c>
      <c r="B212" s="240" t="s">
        <v>53</v>
      </c>
      <c r="C212" s="568">
        <f t="shared" ref="C212:T212" si="117">IF(V212&gt;0,(V212/V217),0)</f>
        <v>0.27157190635451506</v>
      </c>
      <c r="D212" s="568">
        <f t="shared" si="117"/>
        <v>0.31617647058823528</v>
      </c>
      <c r="E212" s="568">
        <f t="shared" si="117"/>
        <v>0</v>
      </c>
      <c r="F212" s="568">
        <f t="shared" si="117"/>
        <v>0.3631713554987212</v>
      </c>
      <c r="G212" s="568">
        <f t="shared" si="117"/>
        <v>0.31914893617021278</v>
      </c>
      <c r="H212" s="568">
        <f t="shared" si="117"/>
        <v>0.27611940298507465</v>
      </c>
      <c r="I212" s="568">
        <f t="shared" si="117"/>
        <v>0</v>
      </c>
      <c r="J212" s="569">
        <f t="shared" si="117"/>
        <v>0.29706513958482461</v>
      </c>
      <c r="K212" s="570">
        <f t="shared" si="117"/>
        <v>0</v>
      </c>
      <c r="L212" s="568">
        <f t="shared" si="117"/>
        <v>0</v>
      </c>
      <c r="M212" s="568">
        <f t="shared" si="117"/>
        <v>5.1724137931034482E-2</v>
      </c>
      <c r="N212" s="568">
        <f t="shared" si="117"/>
        <v>6.2874251497005984E-2</v>
      </c>
      <c r="O212" s="571">
        <f t="shared" si="117"/>
        <v>0</v>
      </c>
      <c r="P212" s="570">
        <f t="shared" si="117"/>
        <v>2.9379760609357999E-2</v>
      </c>
      <c r="Q212" s="568">
        <f t="shared" si="117"/>
        <v>0</v>
      </c>
      <c r="R212" s="568">
        <f t="shared" si="117"/>
        <v>0</v>
      </c>
      <c r="S212" s="571">
        <f t="shared" si="117"/>
        <v>0</v>
      </c>
      <c r="T212" s="570">
        <f t="shared" si="117"/>
        <v>0</v>
      </c>
      <c r="U212" s="253"/>
      <c r="V212" s="245">
        <v>406</v>
      </c>
      <c r="W212" s="246">
        <v>215</v>
      </c>
      <c r="X212" s="246"/>
      <c r="Y212" s="246">
        <v>142</v>
      </c>
      <c r="Z212" s="246">
        <v>30</v>
      </c>
      <c r="AA212" s="246">
        <v>37</v>
      </c>
      <c r="AB212" s="246"/>
      <c r="AC212" s="247">
        <v>830</v>
      </c>
      <c r="AD212" s="245"/>
      <c r="AE212" s="246"/>
      <c r="AF212" s="246">
        <v>33</v>
      </c>
      <c r="AG212" s="246">
        <v>21</v>
      </c>
      <c r="AH212" s="248"/>
      <c r="AI212" s="248">
        <v>54</v>
      </c>
      <c r="AJ212" s="245"/>
      <c r="AK212" s="246"/>
      <c r="AL212" s="248"/>
      <c r="AM212" s="245"/>
      <c r="AN212" s="563"/>
    </row>
    <row r="213" spans="1:40">
      <c r="A213" s="239"/>
      <c r="B213" s="239" t="s">
        <v>93</v>
      </c>
      <c r="C213" s="572">
        <f t="shared" ref="C213:T213" si="118">IF(V213&gt;0,(V213/V217),0)</f>
        <v>0.29096989966555181</v>
      </c>
      <c r="D213" s="572">
        <f t="shared" si="118"/>
        <v>0.2411764705882353</v>
      </c>
      <c r="E213" s="572">
        <f t="shared" si="118"/>
        <v>0</v>
      </c>
      <c r="F213" s="572">
        <f t="shared" si="118"/>
        <v>0.30690537084398978</v>
      </c>
      <c r="G213" s="572">
        <f t="shared" si="118"/>
        <v>0.37234042553191488</v>
      </c>
      <c r="H213" s="572">
        <f t="shared" si="118"/>
        <v>0.31343283582089554</v>
      </c>
      <c r="I213" s="572">
        <f t="shared" si="118"/>
        <v>0</v>
      </c>
      <c r="J213" s="573">
        <f t="shared" si="118"/>
        <v>0.28489620615604866</v>
      </c>
      <c r="K213" s="574">
        <f t="shared" si="118"/>
        <v>0</v>
      </c>
      <c r="L213" s="572">
        <f t="shared" si="118"/>
        <v>0</v>
      </c>
      <c r="M213" s="572">
        <f t="shared" si="118"/>
        <v>4.2319749216300939E-2</v>
      </c>
      <c r="N213" s="572">
        <f t="shared" si="118"/>
        <v>2.6946107784431138E-2</v>
      </c>
      <c r="O213" s="575">
        <f t="shared" si="118"/>
        <v>0</v>
      </c>
      <c r="P213" s="574">
        <f t="shared" si="118"/>
        <v>1.9586507072905331E-2</v>
      </c>
      <c r="Q213" s="572">
        <f t="shared" si="118"/>
        <v>0</v>
      </c>
      <c r="R213" s="572">
        <f t="shared" si="118"/>
        <v>0</v>
      </c>
      <c r="S213" s="575">
        <f t="shared" si="118"/>
        <v>0</v>
      </c>
      <c r="T213" s="574">
        <f t="shared" si="118"/>
        <v>0</v>
      </c>
      <c r="U213" s="253"/>
      <c r="V213" s="254">
        <v>435</v>
      </c>
      <c r="W213" s="255">
        <v>164</v>
      </c>
      <c r="X213" s="255"/>
      <c r="Y213" s="255">
        <v>120</v>
      </c>
      <c r="Z213" s="255">
        <v>35</v>
      </c>
      <c r="AA213" s="255">
        <v>42</v>
      </c>
      <c r="AB213" s="255"/>
      <c r="AC213" s="256">
        <v>796</v>
      </c>
      <c r="AD213" s="254"/>
      <c r="AE213" s="255"/>
      <c r="AF213" s="255">
        <v>27</v>
      </c>
      <c r="AG213" s="255">
        <v>9</v>
      </c>
      <c r="AH213" s="257"/>
      <c r="AI213" s="257">
        <v>36</v>
      </c>
      <c r="AJ213" s="254"/>
      <c r="AK213" s="255"/>
      <c r="AL213" s="257"/>
      <c r="AM213" s="254"/>
      <c r="AN213" s="563"/>
    </row>
    <row r="214" spans="1:40">
      <c r="A214" s="239"/>
      <c r="B214" s="239" t="s">
        <v>55</v>
      </c>
      <c r="C214" s="572">
        <f t="shared" ref="C214:T214" si="119">IF(V214&gt;0,(V214/V217),0)</f>
        <v>0.21939799331103679</v>
      </c>
      <c r="D214" s="572">
        <f t="shared" si="119"/>
        <v>0.26911764705882352</v>
      </c>
      <c r="E214" s="572">
        <f t="shared" si="119"/>
        <v>0</v>
      </c>
      <c r="F214" s="572">
        <f t="shared" si="119"/>
        <v>0.16368286445012789</v>
      </c>
      <c r="G214" s="572">
        <f t="shared" si="119"/>
        <v>0.25531914893617019</v>
      </c>
      <c r="H214" s="572">
        <f t="shared" si="119"/>
        <v>0.2537313432835821</v>
      </c>
      <c r="I214" s="572">
        <f t="shared" si="119"/>
        <v>0</v>
      </c>
      <c r="J214" s="573">
        <f t="shared" si="119"/>
        <v>0.22655690765926986</v>
      </c>
      <c r="K214" s="574">
        <f t="shared" si="119"/>
        <v>0</v>
      </c>
      <c r="L214" s="572">
        <f t="shared" si="119"/>
        <v>0</v>
      </c>
      <c r="M214" s="572">
        <f t="shared" si="119"/>
        <v>4.3887147335423198E-2</v>
      </c>
      <c r="N214" s="572">
        <f t="shared" si="119"/>
        <v>2.0958083832335328E-2</v>
      </c>
      <c r="O214" s="575">
        <f t="shared" si="119"/>
        <v>0</v>
      </c>
      <c r="P214" s="574">
        <f t="shared" si="119"/>
        <v>1.9042437431991296E-2</v>
      </c>
      <c r="Q214" s="572">
        <f t="shared" si="119"/>
        <v>0</v>
      </c>
      <c r="R214" s="572">
        <f t="shared" si="119"/>
        <v>0</v>
      </c>
      <c r="S214" s="575">
        <f t="shared" si="119"/>
        <v>0</v>
      </c>
      <c r="T214" s="574">
        <f t="shared" si="119"/>
        <v>0</v>
      </c>
      <c r="U214" s="253"/>
      <c r="V214" s="254">
        <v>328</v>
      </c>
      <c r="W214" s="255">
        <v>183</v>
      </c>
      <c r="X214" s="255"/>
      <c r="Y214" s="255">
        <v>64</v>
      </c>
      <c r="Z214" s="255">
        <v>24</v>
      </c>
      <c r="AA214" s="255">
        <v>34</v>
      </c>
      <c r="AB214" s="255"/>
      <c r="AC214" s="256">
        <v>633</v>
      </c>
      <c r="AD214" s="254"/>
      <c r="AE214" s="255"/>
      <c r="AF214" s="255">
        <v>28</v>
      </c>
      <c r="AG214" s="255">
        <v>7</v>
      </c>
      <c r="AH214" s="257"/>
      <c r="AI214" s="257">
        <v>35</v>
      </c>
      <c r="AJ214" s="254"/>
      <c r="AK214" s="255"/>
      <c r="AL214" s="257"/>
      <c r="AM214" s="254"/>
      <c r="AN214" s="563"/>
    </row>
    <row r="215" spans="1:40">
      <c r="A215" s="239"/>
      <c r="B215" s="239" t="s">
        <v>78</v>
      </c>
      <c r="C215" s="572">
        <f t="shared" ref="C215:T215" si="120">IF(V215&gt;0,(V215/V217),0)</f>
        <v>0.18996655518394648</v>
      </c>
      <c r="D215" s="572">
        <f t="shared" si="120"/>
        <v>0.16470588235294117</v>
      </c>
      <c r="E215" s="572">
        <f t="shared" si="120"/>
        <v>0</v>
      </c>
      <c r="F215" s="572">
        <f t="shared" si="120"/>
        <v>0.15601023017902813</v>
      </c>
      <c r="G215" s="572">
        <f t="shared" si="120"/>
        <v>5.3191489361702128E-2</v>
      </c>
      <c r="H215" s="572">
        <f t="shared" si="120"/>
        <v>0.15671641791044777</v>
      </c>
      <c r="I215" s="572">
        <f t="shared" si="120"/>
        <v>0</v>
      </c>
      <c r="J215" s="573">
        <f t="shared" si="120"/>
        <v>0.17287043664996421</v>
      </c>
      <c r="K215" s="574">
        <f t="shared" si="120"/>
        <v>0</v>
      </c>
      <c r="L215" s="572">
        <f t="shared" si="120"/>
        <v>1</v>
      </c>
      <c r="M215" s="572">
        <f t="shared" si="120"/>
        <v>0.61755485893416928</v>
      </c>
      <c r="N215" s="572">
        <f t="shared" si="120"/>
        <v>0.76047904191616766</v>
      </c>
      <c r="O215" s="575">
        <f t="shared" si="120"/>
        <v>0</v>
      </c>
      <c r="P215" s="574">
        <f t="shared" si="120"/>
        <v>0.82372143634385198</v>
      </c>
      <c r="Q215" s="572">
        <f t="shared" si="120"/>
        <v>0</v>
      </c>
      <c r="R215" s="572">
        <f t="shared" si="120"/>
        <v>0</v>
      </c>
      <c r="S215" s="575">
        <f t="shared" si="120"/>
        <v>0</v>
      </c>
      <c r="T215" s="574">
        <f t="shared" si="120"/>
        <v>0</v>
      </c>
      <c r="U215" s="253"/>
      <c r="V215" s="254">
        <v>284</v>
      </c>
      <c r="W215" s="255">
        <v>112</v>
      </c>
      <c r="X215" s="255"/>
      <c r="Y215" s="255">
        <v>61</v>
      </c>
      <c r="Z215" s="255">
        <v>5</v>
      </c>
      <c r="AA215" s="255">
        <v>21</v>
      </c>
      <c r="AB215" s="255"/>
      <c r="AC215" s="256">
        <v>483</v>
      </c>
      <c r="AD215" s="254"/>
      <c r="AE215" s="255">
        <v>866</v>
      </c>
      <c r="AF215" s="255">
        <v>394</v>
      </c>
      <c r="AG215" s="255">
        <v>254</v>
      </c>
      <c r="AH215" s="257"/>
      <c r="AI215" s="257">
        <v>1514</v>
      </c>
      <c r="AJ215" s="254"/>
      <c r="AK215" s="255"/>
      <c r="AL215" s="257"/>
      <c r="AM215" s="254"/>
      <c r="AN215" s="563"/>
    </row>
    <row r="216" spans="1:40">
      <c r="A216" s="580"/>
      <c r="B216" s="580" t="s">
        <v>131</v>
      </c>
      <c r="C216" s="581">
        <f t="shared" ref="C216:T216" si="121">IF(V216&gt;0,(V216/V217),0)</f>
        <v>2.8093645484949834E-2</v>
      </c>
      <c r="D216" s="582">
        <f t="shared" si="121"/>
        <v>8.8235294117647058E-3</v>
      </c>
      <c r="E216" s="582">
        <f t="shared" si="121"/>
        <v>0</v>
      </c>
      <c r="F216" s="582">
        <f t="shared" si="121"/>
        <v>1.0230179028132993E-2</v>
      </c>
      <c r="G216" s="582">
        <f t="shared" si="121"/>
        <v>0</v>
      </c>
      <c r="H216" s="582">
        <f t="shared" si="121"/>
        <v>0</v>
      </c>
      <c r="I216" s="583">
        <f t="shared" si="121"/>
        <v>0</v>
      </c>
      <c r="J216" s="584">
        <f t="shared" si="121"/>
        <v>1.8611309949892626E-2</v>
      </c>
      <c r="K216" s="581">
        <f t="shared" si="121"/>
        <v>0</v>
      </c>
      <c r="L216" s="582">
        <f t="shared" si="121"/>
        <v>0</v>
      </c>
      <c r="M216" s="582">
        <f t="shared" si="121"/>
        <v>0.2445141065830721</v>
      </c>
      <c r="N216" s="582">
        <f t="shared" si="121"/>
        <v>0.12874251497005987</v>
      </c>
      <c r="O216" s="583">
        <f t="shared" si="121"/>
        <v>0</v>
      </c>
      <c r="P216" s="581">
        <f t="shared" si="121"/>
        <v>0.10826985854189336</v>
      </c>
      <c r="Q216" s="581">
        <f t="shared" si="121"/>
        <v>0</v>
      </c>
      <c r="R216" s="582">
        <f t="shared" si="121"/>
        <v>0</v>
      </c>
      <c r="S216" s="583">
        <f t="shared" si="121"/>
        <v>0</v>
      </c>
      <c r="T216" s="581">
        <f t="shared" si="121"/>
        <v>0</v>
      </c>
      <c r="U216" s="253"/>
      <c r="V216" s="585">
        <v>42</v>
      </c>
      <c r="W216" s="586">
        <v>6</v>
      </c>
      <c r="X216" s="586"/>
      <c r="Y216" s="586">
        <v>4</v>
      </c>
      <c r="Z216" s="586"/>
      <c r="AA216" s="586"/>
      <c r="AB216" s="586"/>
      <c r="AC216" s="587">
        <v>52</v>
      </c>
      <c r="AD216" s="585"/>
      <c r="AE216" s="586"/>
      <c r="AF216" s="586">
        <v>156</v>
      </c>
      <c r="AG216" s="586">
        <v>43</v>
      </c>
      <c r="AH216" s="588"/>
      <c r="AI216" s="588">
        <v>199</v>
      </c>
      <c r="AJ216" s="585"/>
      <c r="AK216" s="586"/>
      <c r="AL216" s="588"/>
      <c r="AM216" s="585"/>
    </row>
    <row r="217" spans="1:40">
      <c r="A217" s="436"/>
      <c r="B217" s="436" t="s">
        <v>59</v>
      </c>
      <c r="C217" s="456">
        <f t="shared" ref="C217:T217" si="122">SUM(C212:C216)</f>
        <v>1</v>
      </c>
      <c r="D217" s="456">
        <f t="shared" si="122"/>
        <v>0.99999999999999989</v>
      </c>
      <c r="E217" s="456">
        <f t="shared" si="122"/>
        <v>0</v>
      </c>
      <c r="F217" s="456">
        <f t="shared" si="122"/>
        <v>1</v>
      </c>
      <c r="G217" s="456">
        <f t="shared" si="122"/>
        <v>0.99999999999999989</v>
      </c>
      <c r="H217" s="456">
        <f t="shared" si="122"/>
        <v>1</v>
      </c>
      <c r="I217" s="456">
        <f t="shared" si="122"/>
        <v>0</v>
      </c>
      <c r="J217" s="576">
        <f t="shared" si="122"/>
        <v>0.99999999999999978</v>
      </c>
      <c r="K217" s="577">
        <f t="shared" si="122"/>
        <v>0</v>
      </c>
      <c r="L217" s="578">
        <f t="shared" si="122"/>
        <v>1</v>
      </c>
      <c r="M217" s="578">
        <f t="shared" si="122"/>
        <v>1</v>
      </c>
      <c r="N217" s="578">
        <f t="shared" si="122"/>
        <v>1</v>
      </c>
      <c r="O217" s="579">
        <f t="shared" si="122"/>
        <v>0</v>
      </c>
      <c r="P217" s="577">
        <f t="shared" si="122"/>
        <v>1</v>
      </c>
      <c r="Q217" s="578">
        <f t="shared" si="122"/>
        <v>0</v>
      </c>
      <c r="R217" s="578">
        <f t="shared" si="122"/>
        <v>0</v>
      </c>
      <c r="S217" s="579">
        <f t="shared" si="122"/>
        <v>0</v>
      </c>
      <c r="T217" s="577">
        <f t="shared" si="122"/>
        <v>0</v>
      </c>
      <c r="U217" s="253"/>
      <c r="V217" s="265">
        <v>1495</v>
      </c>
      <c r="W217" s="266">
        <v>680</v>
      </c>
      <c r="X217" s="266"/>
      <c r="Y217" s="266">
        <v>391</v>
      </c>
      <c r="Z217" s="266">
        <v>94</v>
      </c>
      <c r="AA217" s="266">
        <v>134</v>
      </c>
      <c r="AB217" s="266"/>
      <c r="AC217" s="267">
        <v>2794</v>
      </c>
      <c r="AD217" s="265"/>
      <c r="AE217" s="266">
        <v>866</v>
      </c>
      <c r="AF217" s="266">
        <v>638</v>
      </c>
      <c r="AG217" s="266">
        <v>334</v>
      </c>
      <c r="AH217" s="268"/>
      <c r="AI217" s="268">
        <v>1838</v>
      </c>
      <c r="AJ217" s="265"/>
      <c r="AK217" s="266"/>
      <c r="AL217" s="268"/>
      <c r="AM217" s="265"/>
      <c r="AN217" s="563"/>
    </row>
    <row r="218" spans="1:40">
      <c r="A218" s="240" t="s">
        <v>165</v>
      </c>
      <c r="B218" s="240" t="s">
        <v>53</v>
      </c>
      <c r="C218" s="568">
        <f t="shared" ref="C218:T218" si="123">IF(V218&gt;0,(V218/V223),0)</f>
        <v>0.33518665607625098</v>
      </c>
      <c r="D218" s="568">
        <f t="shared" si="123"/>
        <v>0.30508474576271188</v>
      </c>
      <c r="E218" s="568">
        <f t="shared" si="123"/>
        <v>0</v>
      </c>
      <c r="F218" s="568">
        <f t="shared" si="123"/>
        <v>0.31850789096126253</v>
      </c>
      <c r="G218" s="568">
        <f t="shared" si="123"/>
        <v>0</v>
      </c>
      <c r="H218" s="568">
        <f t="shared" si="123"/>
        <v>0.21163166397415187</v>
      </c>
      <c r="I218" s="568">
        <f t="shared" si="123"/>
        <v>0</v>
      </c>
      <c r="J218" s="569">
        <f t="shared" si="123"/>
        <v>0.30185805665549803</v>
      </c>
      <c r="K218" s="570">
        <f t="shared" si="123"/>
        <v>0</v>
      </c>
      <c r="L218" s="568">
        <f t="shared" si="123"/>
        <v>0.14414414414414414</v>
      </c>
      <c r="M218" s="568">
        <f t="shared" si="123"/>
        <v>0.14912280701754385</v>
      </c>
      <c r="N218" s="568">
        <f t="shared" si="123"/>
        <v>0</v>
      </c>
      <c r="O218" s="571">
        <f t="shared" si="123"/>
        <v>0</v>
      </c>
      <c r="P218" s="570">
        <f t="shared" si="123"/>
        <v>0.12380952380952381</v>
      </c>
      <c r="Q218" s="568">
        <f t="shared" si="123"/>
        <v>0</v>
      </c>
      <c r="R218" s="568">
        <f t="shared" si="123"/>
        <v>0</v>
      </c>
      <c r="S218" s="571">
        <f t="shared" si="123"/>
        <v>0</v>
      </c>
      <c r="T218" s="570">
        <f t="shared" si="123"/>
        <v>0</v>
      </c>
      <c r="U218" s="253"/>
      <c r="V218" s="245">
        <v>422</v>
      </c>
      <c r="W218" s="246">
        <v>216</v>
      </c>
      <c r="X218" s="246"/>
      <c r="Y218" s="246">
        <v>222</v>
      </c>
      <c r="Z218" s="246"/>
      <c r="AA218" s="246">
        <v>131</v>
      </c>
      <c r="AB218" s="246"/>
      <c r="AC218" s="247">
        <v>991</v>
      </c>
      <c r="AD218" s="245"/>
      <c r="AE218" s="246">
        <v>48</v>
      </c>
      <c r="AF218" s="246">
        <v>17</v>
      </c>
      <c r="AG218" s="246"/>
      <c r="AH218" s="248"/>
      <c r="AI218" s="248">
        <v>65</v>
      </c>
      <c r="AJ218" s="245"/>
      <c r="AK218" s="246"/>
      <c r="AL218" s="248"/>
      <c r="AM218" s="245"/>
      <c r="AN218" s="563"/>
    </row>
    <row r="219" spans="1:40">
      <c r="A219" s="239"/>
      <c r="B219" s="239" t="s">
        <v>93</v>
      </c>
      <c r="C219" s="572">
        <f t="shared" ref="C219:T219" si="124">IF(V219&gt;0,(V219/V223),0)</f>
        <v>0.21922160444797459</v>
      </c>
      <c r="D219" s="572">
        <f t="shared" si="124"/>
        <v>0.29661016949152541</v>
      </c>
      <c r="E219" s="572">
        <f t="shared" si="124"/>
        <v>0</v>
      </c>
      <c r="F219" s="572">
        <f t="shared" si="124"/>
        <v>0.24964131994261118</v>
      </c>
      <c r="G219" s="572">
        <f t="shared" si="124"/>
        <v>0</v>
      </c>
      <c r="H219" s="572">
        <f t="shared" si="124"/>
        <v>0.35702746365105009</v>
      </c>
      <c r="I219" s="572">
        <f t="shared" si="124"/>
        <v>0</v>
      </c>
      <c r="J219" s="573">
        <f t="shared" si="124"/>
        <v>0.26835211696618944</v>
      </c>
      <c r="K219" s="574">
        <f t="shared" si="124"/>
        <v>0</v>
      </c>
      <c r="L219" s="572">
        <f t="shared" si="124"/>
        <v>0.27627627627627627</v>
      </c>
      <c r="M219" s="572">
        <f t="shared" si="124"/>
        <v>0.2807017543859649</v>
      </c>
      <c r="N219" s="572">
        <f t="shared" si="124"/>
        <v>0</v>
      </c>
      <c r="O219" s="575">
        <f t="shared" si="124"/>
        <v>0</v>
      </c>
      <c r="P219" s="574">
        <f t="shared" si="124"/>
        <v>0.2361904761904762</v>
      </c>
      <c r="Q219" s="572">
        <f t="shared" si="124"/>
        <v>0</v>
      </c>
      <c r="R219" s="572">
        <f t="shared" si="124"/>
        <v>0</v>
      </c>
      <c r="S219" s="575">
        <f t="shared" si="124"/>
        <v>0</v>
      </c>
      <c r="T219" s="574">
        <f t="shared" si="124"/>
        <v>0</v>
      </c>
      <c r="U219" s="253"/>
      <c r="V219" s="254">
        <v>276</v>
      </c>
      <c r="W219" s="255">
        <v>210</v>
      </c>
      <c r="X219" s="255"/>
      <c r="Y219" s="255">
        <v>174</v>
      </c>
      <c r="Z219" s="255"/>
      <c r="AA219" s="255">
        <v>221</v>
      </c>
      <c r="AB219" s="255"/>
      <c r="AC219" s="256">
        <v>881</v>
      </c>
      <c r="AD219" s="254"/>
      <c r="AE219" s="255">
        <v>92</v>
      </c>
      <c r="AF219" s="255">
        <v>32</v>
      </c>
      <c r="AG219" s="255"/>
      <c r="AH219" s="257"/>
      <c r="AI219" s="257">
        <v>124</v>
      </c>
      <c r="AJ219" s="254"/>
      <c r="AK219" s="255"/>
      <c r="AL219" s="257"/>
      <c r="AM219" s="254"/>
      <c r="AN219" s="563"/>
    </row>
    <row r="220" spans="1:40">
      <c r="A220" s="239"/>
      <c r="B220" s="239" t="s">
        <v>55</v>
      </c>
      <c r="C220" s="572">
        <f t="shared" ref="C220:T220" si="125">IF(V220&gt;0,(V220/V223),0)</f>
        <v>0.1636219221604448</v>
      </c>
      <c r="D220" s="572">
        <f t="shared" si="125"/>
        <v>0.26129943502824859</v>
      </c>
      <c r="E220" s="572">
        <f t="shared" si="125"/>
        <v>0</v>
      </c>
      <c r="F220" s="572">
        <f t="shared" si="125"/>
        <v>0.31563845050215206</v>
      </c>
      <c r="G220" s="572">
        <f t="shared" si="125"/>
        <v>0</v>
      </c>
      <c r="H220" s="572">
        <f t="shared" si="125"/>
        <v>0.28756058158319869</v>
      </c>
      <c r="I220" s="572">
        <f t="shared" si="125"/>
        <v>0</v>
      </c>
      <c r="J220" s="573">
        <f t="shared" si="125"/>
        <v>0.24032896740785867</v>
      </c>
      <c r="K220" s="574">
        <f t="shared" si="125"/>
        <v>0</v>
      </c>
      <c r="L220" s="572">
        <f t="shared" si="125"/>
        <v>0.28828828828828829</v>
      </c>
      <c r="M220" s="572">
        <f t="shared" si="125"/>
        <v>0.25438596491228072</v>
      </c>
      <c r="N220" s="572">
        <f t="shared" si="125"/>
        <v>0</v>
      </c>
      <c r="O220" s="575">
        <f t="shared" si="125"/>
        <v>0</v>
      </c>
      <c r="P220" s="574">
        <f t="shared" si="125"/>
        <v>0.23809523809523808</v>
      </c>
      <c r="Q220" s="572">
        <f t="shared" si="125"/>
        <v>0</v>
      </c>
      <c r="R220" s="572">
        <f t="shared" si="125"/>
        <v>0</v>
      </c>
      <c r="S220" s="575">
        <f t="shared" si="125"/>
        <v>0</v>
      </c>
      <c r="T220" s="574">
        <f t="shared" si="125"/>
        <v>0</v>
      </c>
      <c r="U220" s="253"/>
      <c r="V220" s="254">
        <v>206</v>
      </c>
      <c r="W220" s="255">
        <v>185</v>
      </c>
      <c r="X220" s="255"/>
      <c r="Y220" s="255">
        <v>220</v>
      </c>
      <c r="Z220" s="255"/>
      <c r="AA220" s="255">
        <v>178</v>
      </c>
      <c r="AB220" s="255"/>
      <c r="AC220" s="256">
        <v>789</v>
      </c>
      <c r="AD220" s="254"/>
      <c r="AE220" s="255">
        <v>96</v>
      </c>
      <c r="AF220" s="255">
        <v>29</v>
      </c>
      <c r="AG220" s="255"/>
      <c r="AH220" s="257"/>
      <c r="AI220" s="257">
        <v>125</v>
      </c>
      <c r="AJ220" s="254"/>
      <c r="AK220" s="255"/>
      <c r="AL220" s="257"/>
      <c r="AM220" s="254"/>
      <c r="AN220" s="563"/>
    </row>
    <row r="221" spans="1:40">
      <c r="A221" s="239"/>
      <c r="B221" s="239" t="s">
        <v>78</v>
      </c>
      <c r="C221" s="572">
        <f t="shared" ref="C221:T221" si="126">IF(V221&gt;0,(V221/V223),0)</f>
        <v>3.9714058776806989E-3</v>
      </c>
      <c r="D221" s="572">
        <f t="shared" si="126"/>
        <v>1.5536723163841809E-2</v>
      </c>
      <c r="E221" s="572">
        <f t="shared" si="126"/>
        <v>0</v>
      </c>
      <c r="F221" s="572">
        <f t="shared" si="126"/>
        <v>8.3213773314203723E-2</v>
      </c>
      <c r="G221" s="572">
        <f t="shared" si="126"/>
        <v>0</v>
      </c>
      <c r="H221" s="572">
        <f t="shared" si="126"/>
        <v>6.1389337641357025E-2</v>
      </c>
      <c r="I221" s="572">
        <f t="shared" si="126"/>
        <v>0</v>
      </c>
      <c r="J221" s="573">
        <f t="shared" si="126"/>
        <v>3.4115138592750532E-2</v>
      </c>
      <c r="K221" s="574">
        <f t="shared" si="126"/>
        <v>0</v>
      </c>
      <c r="L221" s="572">
        <f t="shared" si="126"/>
        <v>0.29129129129129128</v>
      </c>
      <c r="M221" s="572">
        <f t="shared" si="126"/>
        <v>0.2807017543859649</v>
      </c>
      <c r="N221" s="572">
        <f t="shared" si="126"/>
        <v>0</v>
      </c>
      <c r="O221" s="575">
        <f t="shared" si="126"/>
        <v>0</v>
      </c>
      <c r="P221" s="574">
        <f t="shared" si="126"/>
        <v>0.24571428571428572</v>
      </c>
      <c r="Q221" s="572">
        <f t="shared" si="126"/>
        <v>0</v>
      </c>
      <c r="R221" s="572">
        <f t="shared" si="126"/>
        <v>0</v>
      </c>
      <c r="S221" s="575">
        <f t="shared" si="126"/>
        <v>0</v>
      </c>
      <c r="T221" s="574">
        <f t="shared" si="126"/>
        <v>0</v>
      </c>
      <c r="U221" s="253"/>
      <c r="V221" s="254">
        <v>5</v>
      </c>
      <c r="W221" s="255">
        <v>11</v>
      </c>
      <c r="X221" s="255"/>
      <c r="Y221" s="255">
        <v>58</v>
      </c>
      <c r="Z221" s="255"/>
      <c r="AA221" s="255">
        <v>38</v>
      </c>
      <c r="AB221" s="255"/>
      <c r="AC221" s="256">
        <v>112</v>
      </c>
      <c r="AD221" s="254"/>
      <c r="AE221" s="255">
        <v>97</v>
      </c>
      <c r="AF221" s="255">
        <v>32</v>
      </c>
      <c r="AG221" s="255"/>
      <c r="AH221" s="257"/>
      <c r="AI221" s="257">
        <v>129</v>
      </c>
      <c r="AJ221" s="254"/>
      <c r="AK221" s="255"/>
      <c r="AL221" s="257"/>
      <c r="AM221" s="254"/>
      <c r="AN221" s="563"/>
    </row>
    <row r="222" spans="1:40">
      <c r="A222" s="580"/>
      <c r="B222" s="580" t="s">
        <v>131</v>
      </c>
      <c r="C222" s="581">
        <f t="shared" ref="C222:T222" si="127">IF(V222&gt;0,(V222/V223),0)</f>
        <v>0.27799841143764892</v>
      </c>
      <c r="D222" s="582">
        <f t="shared" si="127"/>
        <v>0.12146892655367232</v>
      </c>
      <c r="E222" s="582">
        <f t="shared" si="127"/>
        <v>0</v>
      </c>
      <c r="F222" s="582">
        <f t="shared" si="127"/>
        <v>3.2998565279770443E-2</v>
      </c>
      <c r="G222" s="582">
        <f t="shared" si="127"/>
        <v>0</v>
      </c>
      <c r="H222" s="582">
        <f t="shared" si="127"/>
        <v>8.2390953150242321E-2</v>
      </c>
      <c r="I222" s="583">
        <f t="shared" si="127"/>
        <v>0</v>
      </c>
      <c r="J222" s="584">
        <f t="shared" si="127"/>
        <v>0.15534572037770333</v>
      </c>
      <c r="K222" s="581">
        <f t="shared" si="127"/>
        <v>0</v>
      </c>
      <c r="L222" s="582">
        <f t="shared" si="127"/>
        <v>0</v>
      </c>
      <c r="M222" s="582">
        <f t="shared" si="127"/>
        <v>3.5087719298245612E-2</v>
      </c>
      <c r="N222" s="582">
        <f t="shared" si="127"/>
        <v>1</v>
      </c>
      <c r="O222" s="583">
        <f t="shared" si="127"/>
        <v>0</v>
      </c>
      <c r="P222" s="581">
        <f t="shared" si="127"/>
        <v>0.15619047619047619</v>
      </c>
      <c r="Q222" s="581">
        <f t="shared" si="127"/>
        <v>0</v>
      </c>
      <c r="R222" s="582">
        <f t="shared" si="127"/>
        <v>0</v>
      </c>
      <c r="S222" s="583">
        <f t="shared" si="127"/>
        <v>0</v>
      </c>
      <c r="T222" s="581">
        <f t="shared" si="127"/>
        <v>0</v>
      </c>
      <c r="U222" s="253"/>
      <c r="V222" s="585">
        <v>350</v>
      </c>
      <c r="W222" s="586">
        <v>86</v>
      </c>
      <c r="X222" s="586"/>
      <c r="Y222" s="586">
        <v>23</v>
      </c>
      <c r="Z222" s="586"/>
      <c r="AA222" s="586">
        <v>51</v>
      </c>
      <c r="AB222" s="586"/>
      <c r="AC222" s="587">
        <v>510</v>
      </c>
      <c r="AD222" s="585"/>
      <c r="AE222" s="586"/>
      <c r="AF222" s="586">
        <v>4</v>
      </c>
      <c r="AG222" s="586">
        <v>78</v>
      </c>
      <c r="AH222" s="588"/>
      <c r="AI222" s="588">
        <v>82</v>
      </c>
      <c r="AJ222" s="585"/>
      <c r="AK222" s="586"/>
      <c r="AL222" s="588"/>
      <c r="AM222" s="585"/>
    </row>
    <row r="223" spans="1:40">
      <c r="A223" s="436"/>
      <c r="B223" s="436" t="s">
        <v>59</v>
      </c>
      <c r="C223" s="456">
        <f t="shared" ref="C223:T223" si="128">SUM(C218:C222)</f>
        <v>1</v>
      </c>
      <c r="D223" s="456">
        <f t="shared" si="128"/>
        <v>1</v>
      </c>
      <c r="E223" s="456">
        <f t="shared" si="128"/>
        <v>0</v>
      </c>
      <c r="F223" s="456">
        <f t="shared" si="128"/>
        <v>1</v>
      </c>
      <c r="G223" s="456">
        <f t="shared" si="128"/>
        <v>0</v>
      </c>
      <c r="H223" s="456">
        <f t="shared" si="128"/>
        <v>1</v>
      </c>
      <c r="I223" s="456">
        <f t="shared" si="128"/>
        <v>0</v>
      </c>
      <c r="J223" s="576">
        <f t="shared" si="128"/>
        <v>1</v>
      </c>
      <c r="K223" s="577">
        <f t="shared" si="128"/>
        <v>0</v>
      </c>
      <c r="L223" s="578">
        <f t="shared" si="128"/>
        <v>1</v>
      </c>
      <c r="M223" s="578">
        <f t="shared" si="128"/>
        <v>1</v>
      </c>
      <c r="N223" s="578">
        <f t="shared" si="128"/>
        <v>1</v>
      </c>
      <c r="O223" s="579">
        <f t="shared" si="128"/>
        <v>0</v>
      </c>
      <c r="P223" s="577">
        <f t="shared" si="128"/>
        <v>1</v>
      </c>
      <c r="Q223" s="578">
        <f t="shared" si="128"/>
        <v>0</v>
      </c>
      <c r="R223" s="578">
        <f t="shared" si="128"/>
        <v>0</v>
      </c>
      <c r="S223" s="579">
        <f t="shared" si="128"/>
        <v>0</v>
      </c>
      <c r="T223" s="577">
        <f t="shared" si="128"/>
        <v>0</v>
      </c>
      <c r="U223" s="253"/>
      <c r="V223" s="265">
        <v>1259</v>
      </c>
      <c r="W223" s="266">
        <v>708</v>
      </c>
      <c r="X223" s="266"/>
      <c r="Y223" s="266">
        <v>697</v>
      </c>
      <c r="Z223" s="266"/>
      <c r="AA223" s="266">
        <v>619</v>
      </c>
      <c r="AB223" s="266"/>
      <c r="AC223" s="267">
        <v>3283</v>
      </c>
      <c r="AD223" s="265"/>
      <c r="AE223" s="266">
        <v>333</v>
      </c>
      <c r="AF223" s="266">
        <v>114</v>
      </c>
      <c r="AG223" s="266">
        <v>78</v>
      </c>
      <c r="AH223" s="268"/>
      <c r="AI223" s="268">
        <v>525</v>
      </c>
      <c r="AJ223" s="265"/>
      <c r="AK223" s="266"/>
      <c r="AL223" s="268"/>
      <c r="AM223" s="265"/>
      <c r="AN223" s="563"/>
    </row>
    <row r="224" spans="1:40">
      <c r="A224" s="240" t="s">
        <v>167</v>
      </c>
      <c r="B224" s="240" t="s">
        <v>53</v>
      </c>
      <c r="C224" s="568">
        <f t="shared" ref="C224:T224" si="129">IF(V224&gt;0,(V224/V229),0)</f>
        <v>0.36805324459234606</v>
      </c>
      <c r="D224" s="568">
        <f t="shared" si="129"/>
        <v>0</v>
      </c>
      <c r="E224" s="568">
        <f t="shared" si="129"/>
        <v>0.31070110701107012</v>
      </c>
      <c r="F224" s="568">
        <f t="shared" si="129"/>
        <v>0.21705426356589147</v>
      </c>
      <c r="G224" s="568">
        <f t="shared" si="129"/>
        <v>9.3283582089552244E-2</v>
      </c>
      <c r="H224" s="568">
        <f t="shared" si="129"/>
        <v>0</v>
      </c>
      <c r="I224" s="568">
        <f t="shared" si="129"/>
        <v>0</v>
      </c>
      <c r="J224" s="569">
        <f t="shared" si="129"/>
        <v>0.33214210636956065</v>
      </c>
      <c r="K224" s="570">
        <f t="shared" si="129"/>
        <v>0</v>
      </c>
      <c r="L224" s="568">
        <f t="shared" si="129"/>
        <v>0</v>
      </c>
      <c r="M224" s="568">
        <f t="shared" si="129"/>
        <v>4.3062200956937802E-2</v>
      </c>
      <c r="N224" s="568">
        <f t="shared" si="129"/>
        <v>0</v>
      </c>
      <c r="O224" s="571">
        <f t="shared" si="129"/>
        <v>0</v>
      </c>
      <c r="P224" s="570">
        <f t="shared" si="129"/>
        <v>2.5553662691652469E-2</v>
      </c>
      <c r="Q224" s="568">
        <f t="shared" si="129"/>
        <v>0</v>
      </c>
      <c r="R224" s="568">
        <f t="shared" si="129"/>
        <v>0</v>
      </c>
      <c r="S224" s="571">
        <f t="shared" si="129"/>
        <v>0</v>
      </c>
      <c r="T224" s="570">
        <f t="shared" si="129"/>
        <v>0</v>
      </c>
      <c r="U224" s="253"/>
      <c r="V224" s="245">
        <v>1106</v>
      </c>
      <c r="W224" s="246"/>
      <c r="X224" s="246">
        <v>421</v>
      </c>
      <c r="Y224" s="246">
        <v>28</v>
      </c>
      <c r="Z224" s="246">
        <v>25</v>
      </c>
      <c r="AA224" s="246"/>
      <c r="AB224" s="246"/>
      <c r="AC224" s="247">
        <v>1580</v>
      </c>
      <c r="AD224" s="245"/>
      <c r="AE224" s="246"/>
      <c r="AF224" s="246">
        <v>90</v>
      </c>
      <c r="AG224" s="246"/>
      <c r="AH224" s="248"/>
      <c r="AI224" s="248">
        <v>90</v>
      </c>
      <c r="AJ224" s="245"/>
      <c r="AK224" s="246"/>
      <c r="AL224" s="248"/>
      <c r="AM224" s="245"/>
      <c r="AN224" s="563"/>
    </row>
    <row r="225" spans="1:40">
      <c r="A225" s="239"/>
      <c r="B225" s="239" t="s">
        <v>93</v>
      </c>
      <c r="C225" s="572">
        <f t="shared" ref="C225:T225" si="130">IF(V225&gt;0,(V225/V229),0)</f>
        <v>0.24525790349417637</v>
      </c>
      <c r="D225" s="572">
        <f t="shared" si="130"/>
        <v>0</v>
      </c>
      <c r="E225" s="572">
        <f t="shared" si="130"/>
        <v>0.26568265682656828</v>
      </c>
      <c r="F225" s="572">
        <f t="shared" si="130"/>
        <v>0.33333333333333331</v>
      </c>
      <c r="G225" s="572">
        <f t="shared" si="130"/>
        <v>5.9701492537313432E-2</v>
      </c>
      <c r="H225" s="572">
        <f t="shared" si="130"/>
        <v>0</v>
      </c>
      <c r="I225" s="572">
        <f t="shared" si="130"/>
        <v>0</v>
      </c>
      <c r="J225" s="573">
        <f t="shared" si="130"/>
        <v>0.24301030060962792</v>
      </c>
      <c r="K225" s="574">
        <f t="shared" si="130"/>
        <v>0</v>
      </c>
      <c r="L225" s="572">
        <f t="shared" si="130"/>
        <v>0</v>
      </c>
      <c r="M225" s="572">
        <f t="shared" si="130"/>
        <v>0</v>
      </c>
      <c r="N225" s="572">
        <f t="shared" si="130"/>
        <v>0</v>
      </c>
      <c r="O225" s="575">
        <f t="shared" si="130"/>
        <v>0</v>
      </c>
      <c r="P225" s="574">
        <f t="shared" si="130"/>
        <v>0</v>
      </c>
      <c r="Q225" s="572">
        <f t="shared" si="130"/>
        <v>0</v>
      </c>
      <c r="R225" s="572">
        <f t="shared" si="130"/>
        <v>0</v>
      </c>
      <c r="S225" s="575">
        <f t="shared" si="130"/>
        <v>0</v>
      </c>
      <c r="T225" s="574">
        <f t="shared" si="130"/>
        <v>0</v>
      </c>
      <c r="U225" s="253"/>
      <c r="V225" s="254">
        <v>737</v>
      </c>
      <c r="W225" s="255"/>
      <c r="X225" s="255">
        <v>360</v>
      </c>
      <c r="Y225" s="255">
        <v>43</v>
      </c>
      <c r="Z225" s="255">
        <v>16</v>
      </c>
      <c r="AA225" s="255"/>
      <c r="AB225" s="255"/>
      <c r="AC225" s="256">
        <v>1156</v>
      </c>
      <c r="AD225" s="254"/>
      <c r="AE225" s="255"/>
      <c r="AF225" s="255"/>
      <c r="AG225" s="255"/>
      <c r="AH225" s="257"/>
      <c r="AI225" s="257"/>
      <c r="AJ225" s="254"/>
      <c r="AK225" s="255"/>
      <c r="AL225" s="257"/>
      <c r="AM225" s="254"/>
      <c r="AN225" s="563"/>
    </row>
    <row r="226" spans="1:40">
      <c r="A226" s="239"/>
      <c r="B226" s="239" t="s">
        <v>55</v>
      </c>
      <c r="C226" s="572">
        <f t="shared" ref="C226:T226" si="131">IF(V226&gt;0,(V226/V229),0)</f>
        <v>0.1956738768718802</v>
      </c>
      <c r="D226" s="572">
        <f t="shared" si="131"/>
        <v>0</v>
      </c>
      <c r="E226" s="572">
        <f t="shared" si="131"/>
        <v>0.24944649446494466</v>
      </c>
      <c r="F226" s="572">
        <f t="shared" si="131"/>
        <v>0.27906976744186046</v>
      </c>
      <c r="G226" s="572">
        <f t="shared" si="131"/>
        <v>0.10820895522388059</v>
      </c>
      <c r="H226" s="572">
        <f t="shared" si="131"/>
        <v>0</v>
      </c>
      <c r="I226" s="572">
        <f t="shared" si="131"/>
        <v>0</v>
      </c>
      <c r="J226" s="573">
        <f t="shared" si="131"/>
        <v>0.20832457431154089</v>
      </c>
      <c r="K226" s="574">
        <f t="shared" si="131"/>
        <v>0</v>
      </c>
      <c r="L226" s="572">
        <f t="shared" si="131"/>
        <v>0</v>
      </c>
      <c r="M226" s="572">
        <f t="shared" si="131"/>
        <v>0</v>
      </c>
      <c r="N226" s="572">
        <f t="shared" si="131"/>
        <v>0</v>
      </c>
      <c r="O226" s="575">
        <f t="shared" si="131"/>
        <v>0</v>
      </c>
      <c r="P226" s="574">
        <f t="shared" si="131"/>
        <v>0</v>
      </c>
      <c r="Q226" s="572">
        <f t="shared" si="131"/>
        <v>0</v>
      </c>
      <c r="R226" s="572">
        <f t="shared" si="131"/>
        <v>0</v>
      </c>
      <c r="S226" s="575">
        <f t="shared" si="131"/>
        <v>0</v>
      </c>
      <c r="T226" s="574">
        <f t="shared" si="131"/>
        <v>0</v>
      </c>
      <c r="U226" s="253"/>
      <c r="V226" s="254">
        <v>588</v>
      </c>
      <c r="W226" s="255"/>
      <c r="X226" s="255">
        <v>338</v>
      </c>
      <c r="Y226" s="255">
        <v>36</v>
      </c>
      <c r="Z226" s="255">
        <v>29</v>
      </c>
      <c r="AA226" s="255"/>
      <c r="AB226" s="255"/>
      <c r="AC226" s="256">
        <v>991</v>
      </c>
      <c r="AD226" s="254"/>
      <c r="AE226" s="255"/>
      <c r="AF226" s="255"/>
      <c r="AG226" s="255"/>
      <c r="AH226" s="257"/>
      <c r="AI226" s="257"/>
      <c r="AJ226" s="254"/>
      <c r="AK226" s="255"/>
      <c r="AL226" s="257"/>
      <c r="AM226" s="254"/>
      <c r="AN226" s="563"/>
    </row>
    <row r="227" spans="1:40">
      <c r="A227" s="239"/>
      <c r="B227" s="239" t="s">
        <v>78</v>
      </c>
      <c r="C227" s="572">
        <f t="shared" ref="C227:T227" si="132">IF(V227&gt;0,(V227/V229),0)</f>
        <v>5.7570715474209652E-2</v>
      </c>
      <c r="D227" s="572">
        <f t="shared" si="132"/>
        <v>0</v>
      </c>
      <c r="E227" s="572">
        <f t="shared" si="132"/>
        <v>3.6900369003690037E-2</v>
      </c>
      <c r="F227" s="572">
        <f t="shared" si="132"/>
        <v>0</v>
      </c>
      <c r="G227" s="572">
        <f t="shared" si="132"/>
        <v>3.7313432835820895E-3</v>
      </c>
      <c r="H227" s="572">
        <f t="shared" si="132"/>
        <v>0</v>
      </c>
      <c r="I227" s="572">
        <f t="shared" si="132"/>
        <v>0</v>
      </c>
      <c r="J227" s="573">
        <f t="shared" si="132"/>
        <v>4.7088501156190878E-2</v>
      </c>
      <c r="K227" s="574">
        <f t="shared" si="132"/>
        <v>0</v>
      </c>
      <c r="L227" s="572">
        <f t="shared" si="132"/>
        <v>6.1082024432809771E-3</v>
      </c>
      <c r="M227" s="572">
        <f t="shared" si="132"/>
        <v>0.18277511961722487</v>
      </c>
      <c r="N227" s="572">
        <f t="shared" si="132"/>
        <v>0.28321678321678323</v>
      </c>
      <c r="O227" s="575">
        <f t="shared" si="132"/>
        <v>0</v>
      </c>
      <c r="P227" s="574">
        <f t="shared" si="132"/>
        <v>0.13344690516751845</v>
      </c>
      <c r="Q227" s="572">
        <f t="shared" si="132"/>
        <v>0</v>
      </c>
      <c r="R227" s="572">
        <f t="shared" si="132"/>
        <v>0</v>
      </c>
      <c r="S227" s="575">
        <f t="shared" si="132"/>
        <v>0</v>
      </c>
      <c r="T227" s="574">
        <f t="shared" si="132"/>
        <v>0</v>
      </c>
      <c r="U227" s="253"/>
      <c r="V227" s="254">
        <v>173</v>
      </c>
      <c r="W227" s="255"/>
      <c r="X227" s="255">
        <v>50</v>
      </c>
      <c r="Y227" s="255"/>
      <c r="Z227" s="255">
        <v>1</v>
      </c>
      <c r="AA227" s="255"/>
      <c r="AB227" s="255"/>
      <c r="AC227" s="256">
        <v>224</v>
      </c>
      <c r="AD227" s="254"/>
      <c r="AE227" s="255">
        <v>7</v>
      </c>
      <c r="AF227" s="255">
        <v>382</v>
      </c>
      <c r="AG227" s="255">
        <v>81</v>
      </c>
      <c r="AH227" s="257"/>
      <c r="AI227" s="257">
        <v>470</v>
      </c>
      <c r="AJ227" s="254"/>
      <c r="AK227" s="255"/>
      <c r="AL227" s="257"/>
      <c r="AM227" s="254"/>
      <c r="AN227" s="563"/>
    </row>
    <row r="228" spans="1:40">
      <c r="A228" s="580"/>
      <c r="B228" s="580" t="s">
        <v>131</v>
      </c>
      <c r="C228" s="581">
        <f t="shared" ref="C228:T228" si="133">IF(V228&gt;0,(V228/V229),0)</f>
        <v>0.13344425956738767</v>
      </c>
      <c r="D228" s="582">
        <f t="shared" si="133"/>
        <v>0</v>
      </c>
      <c r="E228" s="582">
        <f t="shared" si="133"/>
        <v>0.13726937269372694</v>
      </c>
      <c r="F228" s="582">
        <f t="shared" si="133"/>
        <v>0.17054263565891473</v>
      </c>
      <c r="G228" s="582">
        <f t="shared" si="133"/>
        <v>0.7350746268656716</v>
      </c>
      <c r="H228" s="582">
        <f t="shared" si="133"/>
        <v>0</v>
      </c>
      <c r="I228" s="583">
        <f t="shared" si="133"/>
        <v>0</v>
      </c>
      <c r="J228" s="584">
        <f t="shared" si="133"/>
        <v>0.16943451755307967</v>
      </c>
      <c r="K228" s="581">
        <f t="shared" si="133"/>
        <v>0</v>
      </c>
      <c r="L228" s="582">
        <f t="shared" si="133"/>
        <v>0.99389179755671897</v>
      </c>
      <c r="M228" s="582">
        <f t="shared" si="133"/>
        <v>0.77416267942583727</v>
      </c>
      <c r="N228" s="582">
        <f t="shared" si="133"/>
        <v>0.71678321678321677</v>
      </c>
      <c r="O228" s="583">
        <f t="shared" si="133"/>
        <v>0</v>
      </c>
      <c r="P228" s="581">
        <f t="shared" si="133"/>
        <v>0.84099943214082906</v>
      </c>
      <c r="Q228" s="581">
        <f t="shared" si="133"/>
        <v>0</v>
      </c>
      <c r="R228" s="582">
        <f t="shared" si="133"/>
        <v>0</v>
      </c>
      <c r="S228" s="583">
        <f t="shared" si="133"/>
        <v>0</v>
      </c>
      <c r="T228" s="581">
        <f t="shared" si="133"/>
        <v>0</v>
      </c>
      <c r="U228" s="253"/>
      <c r="V228" s="585">
        <v>401</v>
      </c>
      <c r="W228" s="586"/>
      <c r="X228" s="586">
        <v>186</v>
      </c>
      <c r="Y228" s="586">
        <v>22</v>
      </c>
      <c r="Z228" s="586">
        <v>197</v>
      </c>
      <c r="AA228" s="586"/>
      <c r="AB228" s="586"/>
      <c r="AC228" s="587">
        <v>806</v>
      </c>
      <c r="AD228" s="585"/>
      <c r="AE228" s="586">
        <v>1139</v>
      </c>
      <c r="AF228" s="586">
        <v>1618</v>
      </c>
      <c r="AG228" s="586">
        <v>205</v>
      </c>
      <c r="AH228" s="588"/>
      <c r="AI228" s="588">
        <v>2962</v>
      </c>
      <c r="AJ228" s="585"/>
      <c r="AK228" s="586"/>
      <c r="AL228" s="588"/>
      <c r="AM228" s="585"/>
    </row>
    <row r="229" spans="1:40" ht="18" customHeight="1">
      <c r="A229" s="436"/>
      <c r="B229" s="436" t="s">
        <v>59</v>
      </c>
      <c r="C229" s="456">
        <f t="shared" ref="C229:T229" si="134">SUM(C224:C228)</f>
        <v>1</v>
      </c>
      <c r="D229" s="456">
        <f t="shared" si="134"/>
        <v>0</v>
      </c>
      <c r="E229" s="456">
        <f t="shared" si="134"/>
        <v>0.99999999999999989</v>
      </c>
      <c r="F229" s="456">
        <f t="shared" si="134"/>
        <v>0.99999999999999989</v>
      </c>
      <c r="G229" s="456">
        <f t="shared" si="134"/>
        <v>1</v>
      </c>
      <c r="H229" s="456">
        <f t="shared" si="134"/>
        <v>0</v>
      </c>
      <c r="I229" s="456">
        <f t="shared" si="134"/>
        <v>0</v>
      </c>
      <c r="J229" s="576">
        <f t="shared" si="134"/>
        <v>1</v>
      </c>
      <c r="K229" s="577">
        <f t="shared" si="134"/>
        <v>0</v>
      </c>
      <c r="L229" s="578">
        <f t="shared" si="134"/>
        <v>1</v>
      </c>
      <c r="M229" s="578">
        <f t="shared" si="134"/>
        <v>1</v>
      </c>
      <c r="N229" s="578">
        <f t="shared" si="134"/>
        <v>1</v>
      </c>
      <c r="O229" s="579">
        <f t="shared" si="134"/>
        <v>0</v>
      </c>
      <c r="P229" s="577">
        <f t="shared" si="134"/>
        <v>1</v>
      </c>
      <c r="Q229" s="578">
        <f t="shared" si="134"/>
        <v>0</v>
      </c>
      <c r="R229" s="578">
        <f t="shared" si="134"/>
        <v>0</v>
      </c>
      <c r="S229" s="579">
        <f t="shared" si="134"/>
        <v>0</v>
      </c>
      <c r="T229" s="577">
        <f t="shared" si="134"/>
        <v>0</v>
      </c>
      <c r="U229" s="253"/>
      <c r="V229" s="265">
        <v>3005</v>
      </c>
      <c r="W229" s="266"/>
      <c r="X229" s="266">
        <v>1355</v>
      </c>
      <c r="Y229" s="266">
        <v>129</v>
      </c>
      <c r="Z229" s="266">
        <v>268</v>
      </c>
      <c r="AA229" s="266"/>
      <c r="AB229" s="266"/>
      <c r="AC229" s="267">
        <v>4757</v>
      </c>
      <c r="AD229" s="265"/>
      <c r="AE229" s="266">
        <v>1146</v>
      </c>
      <c r="AF229" s="266">
        <v>2090</v>
      </c>
      <c r="AG229" s="266">
        <v>286</v>
      </c>
      <c r="AH229" s="268"/>
      <c r="AI229" s="268">
        <v>3522</v>
      </c>
      <c r="AJ229" s="265"/>
      <c r="AK229" s="266"/>
      <c r="AL229" s="268"/>
      <c r="AM229" s="265"/>
      <c r="AN229" s="563"/>
    </row>
    <row r="230" spans="1:40">
      <c r="A230" s="240" t="s">
        <v>169</v>
      </c>
      <c r="B230" s="240" t="s">
        <v>53</v>
      </c>
      <c r="C230" s="568">
        <f t="shared" ref="C230:T230" si="135">IF(V230&gt;0,(V230/V235),0)</f>
        <v>0</v>
      </c>
      <c r="D230" s="568">
        <f t="shared" si="135"/>
        <v>0.29178082191780824</v>
      </c>
      <c r="E230" s="568">
        <f t="shared" si="135"/>
        <v>0</v>
      </c>
      <c r="F230" s="568">
        <f t="shared" si="135"/>
        <v>0</v>
      </c>
      <c r="G230" s="568">
        <f t="shared" si="135"/>
        <v>0</v>
      </c>
      <c r="H230" s="568">
        <f t="shared" si="135"/>
        <v>0</v>
      </c>
      <c r="I230" s="568">
        <f t="shared" si="135"/>
        <v>0</v>
      </c>
      <c r="J230" s="569">
        <f t="shared" si="135"/>
        <v>0.29178082191780824</v>
      </c>
      <c r="K230" s="570">
        <f t="shared" si="135"/>
        <v>0</v>
      </c>
      <c r="L230" s="568">
        <f t="shared" si="135"/>
        <v>0</v>
      </c>
      <c r="M230" s="568">
        <f t="shared" si="135"/>
        <v>0</v>
      </c>
      <c r="N230" s="568">
        <f t="shared" si="135"/>
        <v>0.12653061224489795</v>
      </c>
      <c r="O230" s="571">
        <f t="shared" si="135"/>
        <v>0</v>
      </c>
      <c r="P230" s="570">
        <f t="shared" si="135"/>
        <v>5.3264604810996562E-2</v>
      </c>
      <c r="Q230" s="568">
        <f t="shared" si="135"/>
        <v>0</v>
      </c>
      <c r="R230" s="568">
        <f t="shared" si="135"/>
        <v>0</v>
      </c>
      <c r="S230" s="571">
        <f t="shared" si="135"/>
        <v>0</v>
      </c>
      <c r="T230" s="570">
        <f t="shared" si="135"/>
        <v>0</v>
      </c>
      <c r="U230" s="253"/>
      <c r="V230" s="245"/>
      <c r="W230" s="246">
        <v>213</v>
      </c>
      <c r="X230" s="246"/>
      <c r="Y230" s="246"/>
      <c r="Z230" s="246"/>
      <c r="AA230" s="246"/>
      <c r="AB230" s="246"/>
      <c r="AC230" s="247">
        <v>213</v>
      </c>
      <c r="AD230" s="245"/>
      <c r="AE230" s="246"/>
      <c r="AF230" s="246"/>
      <c r="AG230" s="246">
        <v>31</v>
      </c>
      <c r="AH230" s="248"/>
      <c r="AI230" s="248">
        <v>31</v>
      </c>
      <c r="AJ230" s="245"/>
      <c r="AK230" s="246"/>
      <c r="AL230" s="248"/>
      <c r="AM230" s="245"/>
      <c r="AN230" s="563"/>
    </row>
    <row r="231" spans="1:40">
      <c r="A231" s="239"/>
      <c r="B231" s="239" t="s">
        <v>93</v>
      </c>
      <c r="C231" s="572">
        <f t="shared" ref="C231:T231" si="136">IF(V231&gt;0,(V231/V235),0)</f>
        <v>0</v>
      </c>
      <c r="D231" s="572">
        <f t="shared" si="136"/>
        <v>0.26712328767123289</v>
      </c>
      <c r="E231" s="572">
        <f t="shared" si="136"/>
        <v>0</v>
      </c>
      <c r="F231" s="572">
        <f t="shared" si="136"/>
        <v>0</v>
      </c>
      <c r="G231" s="572">
        <f t="shared" si="136"/>
        <v>0</v>
      </c>
      <c r="H231" s="572">
        <f t="shared" si="136"/>
        <v>0</v>
      </c>
      <c r="I231" s="572">
        <f t="shared" si="136"/>
        <v>0</v>
      </c>
      <c r="J231" s="573">
        <f t="shared" si="136"/>
        <v>0.26712328767123289</v>
      </c>
      <c r="K231" s="574">
        <f t="shared" si="136"/>
        <v>0</v>
      </c>
      <c r="L231" s="572">
        <f t="shared" si="136"/>
        <v>0</v>
      </c>
      <c r="M231" s="572">
        <f t="shared" si="136"/>
        <v>0</v>
      </c>
      <c r="N231" s="572">
        <f t="shared" si="136"/>
        <v>0.16734693877551021</v>
      </c>
      <c r="O231" s="575">
        <f t="shared" si="136"/>
        <v>0</v>
      </c>
      <c r="P231" s="574">
        <f t="shared" si="136"/>
        <v>7.0446735395189003E-2</v>
      </c>
      <c r="Q231" s="572">
        <f t="shared" si="136"/>
        <v>0</v>
      </c>
      <c r="R231" s="572">
        <f t="shared" si="136"/>
        <v>0</v>
      </c>
      <c r="S231" s="575">
        <f t="shared" si="136"/>
        <v>0</v>
      </c>
      <c r="T231" s="574">
        <f t="shared" si="136"/>
        <v>0</v>
      </c>
      <c r="U231" s="253"/>
      <c r="V231" s="254"/>
      <c r="W231" s="255">
        <v>195</v>
      </c>
      <c r="X231" s="255"/>
      <c r="Y231" s="255"/>
      <c r="Z231" s="255"/>
      <c r="AA231" s="255"/>
      <c r="AB231" s="255"/>
      <c r="AC231" s="256">
        <v>195</v>
      </c>
      <c r="AD231" s="254"/>
      <c r="AE231" s="255"/>
      <c r="AF231" s="255"/>
      <c r="AG231" s="255">
        <v>41</v>
      </c>
      <c r="AH231" s="257"/>
      <c r="AI231" s="257">
        <v>41</v>
      </c>
      <c r="AJ231" s="254"/>
      <c r="AK231" s="255"/>
      <c r="AL231" s="257"/>
      <c r="AM231" s="254"/>
      <c r="AN231" s="563"/>
    </row>
    <row r="232" spans="1:40">
      <c r="A232" s="239"/>
      <c r="B232" s="239" t="s">
        <v>55</v>
      </c>
      <c r="C232" s="572">
        <f t="shared" ref="C232:T232" si="137">IF(V232&gt;0,(V232/V235),0)</f>
        <v>0</v>
      </c>
      <c r="D232" s="572">
        <f t="shared" si="137"/>
        <v>0.23561643835616439</v>
      </c>
      <c r="E232" s="572">
        <f t="shared" si="137"/>
        <v>0</v>
      </c>
      <c r="F232" s="572">
        <f t="shared" si="137"/>
        <v>0</v>
      </c>
      <c r="G232" s="572">
        <f t="shared" si="137"/>
        <v>0</v>
      </c>
      <c r="H232" s="572">
        <f t="shared" si="137"/>
        <v>0</v>
      </c>
      <c r="I232" s="572">
        <f t="shared" si="137"/>
        <v>0</v>
      </c>
      <c r="J232" s="573">
        <f t="shared" si="137"/>
        <v>0.23561643835616439</v>
      </c>
      <c r="K232" s="574">
        <f t="shared" si="137"/>
        <v>0</v>
      </c>
      <c r="L232" s="572">
        <f t="shared" si="137"/>
        <v>0</v>
      </c>
      <c r="M232" s="572">
        <f t="shared" si="137"/>
        <v>0</v>
      </c>
      <c r="N232" s="572">
        <f t="shared" si="137"/>
        <v>0.26122448979591839</v>
      </c>
      <c r="O232" s="575">
        <f t="shared" si="137"/>
        <v>0</v>
      </c>
      <c r="P232" s="574">
        <f t="shared" si="137"/>
        <v>0.10996563573883161</v>
      </c>
      <c r="Q232" s="572">
        <f t="shared" si="137"/>
        <v>0</v>
      </c>
      <c r="R232" s="572">
        <f t="shared" si="137"/>
        <v>0</v>
      </c>
      <c r="S232" s="575">
        <f t="shared" si="137"/>
        <v>0</v>
      </c>
      <c r="T232" s="574">
        <f t="shared" si="137"/>
        <v>0</v>
      </c>
      <c r="U232" s="253"/>
      <c r="V232" s="254"/>
      <c r="W232" s="255">
        <v>172</v>
      </c>
      <c r="X232" s="255"/>
      <c r="Y232" s="255"/>
      <c r="Z232" s="255"/>
      <c r="AA232" s="255"/>
      <c r="AB232" s="255"/>
      <c r="AC232" s="256">
        <v>172</v>
      </c>
      <c r="AD232" s="254"/>
      <c r="AE232" s="255"/>
      <c r="AF232" s="255"/>
      <c r="AG232" s="255">
        <v>64</v>
      </c>
      <c r="AH232" s="257"/>
      <c r="AI232" s="257">
        <v>64</v>
      </c>
      <c r="AJ232" s="254"/>
      <c r="AK232" s="255"/>
      <c r="AL232" s="257"/>
      <c r="AM232" s="254"/>
      <c r="AN232" s="563"/>
    </row>
    <row r="233" spans="1:40">
      <c r="A233" s="239"/>
      <c r="B233" s="239" t="s">
        <v>78</v>
      </c>
      <c r="C233" s="572">
        <f t="shared" ref="C233:T233" si="138">IF(V233&gt;0,(V233/V235),0)</f>
        <v>0</v>
      </c>
      <c r="D233" s="572">
        <f t="shared" si="138"/>
        <v>4.10958904109589E-3</v>
      </c>
      <c r="E233" s="572">
        <f t="shared" si="138"/>
        <v>0</v>
      </c>
      <c r="F233" s="572">
        <f t="shared" si="138"/>
        <v>0</v>
      </c>
      <c r="G233" s="572">
        <f t="shared" si="138"/>
        <v>0</v>
      </c>
      <c r="H233" s="572">
        <f t="shared" si="138"/>
        <v>0</v>
      </c>
      <c r="I233" s="572">
        <f t="shared" si="138"/>
        <v>0</v>
      </c>
      <c r="J233" s="573">
        <f t="shared" si="138"/>
        <v>4.10958904109589E-3</v>
      </c>
      <c r="K233" s="574">
        <f t="shared" si="138"/>
        <v>0</v>
      </c>
      <c r="L233" s="572">
        <f t="shared" si="138"/>
        <v>0</v>
      </c>
      <c r="M233" s="572">
        <f t="shared" si="138"/>
        <v>0</v>
      </c>
      <c r="N233" s="572">
        <f t="shared" si="138"/>
        <v>0.44489795918367347</v>
      </c>
      <c r="O233" s="575">
        <f t="shared" si="138"/>
        <v>0</v>
      </c>
      <c r="P233" s="574">
        <f t="shared" si="138"/>
        <v>0.1872852233676976</v>
      </c>
      <c r="Q233" s="572">
        <f t="shared" si="138"/>
        <v>0</v>
      </c>
      <c r="R233" s="572">
        <f t="shared" si="138"/>
        <v>0</v>
      </c>
      <c r="S233" s="575">
        <f t="shared" si="138"/>
        <v>0</v>
      </c>
      <c r="T233" s="574">
        <f t="shared" si="138"/>
        <v>0</v>
      </c>
      <c r="U233" s="253"/>
      <c r="V233" s="254"/>
      <c r="W233" s="255">
        <v>3</v>
      </c>
      <c r="X233" s="255"/>
      <c r="Y233" s="255"/>
      <c r="Z233" s="255"/>
      <c r="AA233" s="255"/>
      <c r="AB233" s="255"/>
      <c r="AC233" s="256">
        <v>3</v>
      </c>
      <c r="AD233" s="254"/>
      <c r="AE233" s="255"/>
      <c r="AF233" s="255"/>
      <c r="AG233" s="255">
        <v>109</v>
      </c>
      <c r="AH233" s="257"/>
      <c r="AI233" s="257">
        <v>109</v>
      </c>
      <c r="AJ233" s="254"/>
      <c r="AK233" s="255"/>
      <c r="AL233" s="257"/>
      <c r="AM233" s="254"/>
      <c r="AN233" s="563"/>
    </row>
    <row r="234" spans="1:40">
      <c r="A234" s="580"/>
      <c r="B234" s="580" t="s">
        <v>131</v>
      </c>
      <c r="C234" s="581">
        <f t="shared" ref="C234:T234" si="139">IF(V234&gt;0,(V234/V235),0)</f>
        <v>0</v>
      </c>
      <c r="D234" s="582">
        <f t="shared" si="139"/>
        <v>0.20136986301369864</v>
      </c>
      <c r="E234" s="582">
        <f t="shared" si="139"/>
        <v>0</v>
      </c>
      <c r="F234" s="582">
        <f t="shared" si="139"/>
        <v>0</v>
      </c>
      <c r="G234" s="582">
        <f t="shared" si="139"/>
        <v>0</v>
      </c>
      <c r="H234" s="582">
        <f t="shared" si="139"/>
        <v>0</v>
      </c>
      <c r="I234" s="583">
        <f t="shared" si="139"/>
        <v>0</v>
      </c>
      <c r="J234" s="584">
        <f t="shared" si="139"/>
        <v>0.20136986301369864</v>
      </c>
      <c r="K234" s="581">
        <f t="shared" si="139"/>
        <v>0</v>
      </c>
      <c r="L234" s="582">
        <f t="shared" si="139"/>
        <v>0</v>
      </c>
      <c r="M234" s="582">
        <f t="shared" si="139"/>
        <v>1</v>
      </c>
      <c r="N234" s="582">
        <f t="shared" si="139"/>
        <v>0</v>
      </c>
      <c r="O234" s="583">
        <f t="shared" si="139"/>
        <v>0</v>
      </c>
      <c r="P234" s="581">
        <f t="shared" si="139"/>
        <v>0.57903780068728528</v>
      </c>
      <c r="Q234" s="581">
        <f t="shared" si="139"/>
        <v>0</v>
      </c>
      <c r="R234" s="582">
        <f t="shared" si="139"/>
        <v>0</v>
      </c>
      <c r="S234" s="583">
        <f t="shared" si="139"/>
        <v>0</v>
      </c>
      <c r="T234" s="581">
        <f t="shared" si="139"/>
        <v>0</v>
      </c>
      <c r="U234" s="253"/>
      <c r="V234" s="585"/>
      <c r="W234" s="586">
        <v>147</v>
      </c>
      <c r="X234" s="586"/>
      <c r="Y234" s="586"/>
      <c r="Z234" s="586"/>
      <c r="AA234" s="586"/>
      <c r="AB234" s="586"/>
      <c r="AC234" s="587">
        <v>147</v>
      </c>
      <c r="AD234" s="585"/>
      <c r="AE234" s="586"/>
      <c r="AF234" s="586">
        <v>337</v>
      </c>
      <c r="AG234" s="586"/>
      <c r="AH234" s="588"/>
      <c r="AI234" s="588">
        <v>337</v>
      </c>
      <c r="AJ234" s="585"/>
      <c r="AK234" s="586"/>
      <c r="AL234" s="588"/>
      <c r="AM234" s="585"/>
    </row>
    <row r="235" spans="1:40">
      <c r="A235" s="436"/>
      <c r="B235" s="436" t="s">
        <v>59</v>
      </c>
      <c r="C235" s="456">
        <f t="shared" ref="C235:T235" si="140">SUM(C230:C234)</f>
        <v>0</v>
      </c>
      <c r="D235" s="456">
        <f t="shared" si="140"/>
        <v>1</v>
      </c>
      <c r="E235" s="456">
        <f t="shared" si="140"/>
        <v>0</v>
      </c>
      <c r="F235" s="456">
        <f t="shared" si="140"/>
        <v>0</v>
      </c>
      <c r="G235" s="456">
        <f t="shared" si="140"/>
        <v>0</v>
      </c>
      <c r="H235" s="456">
        <f t="shared" si="140"/>
        <v>0</v>
      </c>
      <c r="I235" s="456">
        <f t="shared" si="140"/>
        <v>0</v>
      </c>
      <c r="J235" s="576">
        <f t="shared" si="140"/>
        <v>1</v>
      </c>
      <c r="K235" s="577">
        <f t="shared" si="140"/>
        <v>0</v>
      </c>
      <c r="L235" s="578">
        <f t="shared" si="140"/>
        <v>0</v>
      </c>
      <c r="M235" s="578">
        <f t="shared" si="140"/>
        <v>1</v>
      </c>
      <c r="N235" s="578">
        <f t="shared" si="140"/>
        <v>1</v>
      </c>
      <c r="O235" s="579">
        <f t="shared" si="140"/>
        <v>0</v>
      </c>
      <c r="P235" s="577">
        <f t="shared" si="140"/>
        <v>1</v>
      </c>
      <c r="Q235" s="578">
        <f t="shared" si="140"/>
        <v>0</v>
      </c>
      <c r="R235" s="578">
        <f t="shared" si="140"/>
        <v>0</v>
      </c>
      <c r="S235" s="579">
        <f t="shared" si="140"/>
        <v>0</v>
      </c>
      <c r="T235" s="577">
        <f t="shared" si="140"/>
        <v>0</v>
      </c>
      <c r="U235" s="253"/>
      <c r="V235" s="265"/>
      <c r="W235" s="266">
        <v>730</v>
      </c>
      <c r="X235" s="266"/>
      <c r="Y235" s="266"/>
      <c r="Z235" s="266"/>
      <c r="AA235" s="266"/>
      <c r="AB235" s="266"/>
      <c r="AC235" s="267">
        <v>730</v>
      </c>
      <c r="AD235" s="265"/>
      <c r="AE235" s="266"/>
      <c r="AF235" s="266">
        <v>337</v>
      </c>
      <c r="AG235" s="266">
        <v>245</v>
      </c>
      <c r="AH235" s="268"/>
      <c r="AI235" s="268">
        <v>582</v>
      </c>
      <c r="AJ235" s="265"/>
      <c r="AK235" s="266"/>
      <c r="AL235" s="268"/>
      <c r="AM235" s="265"/>
      <c r="AN235" s="563"/>
    </row>
    <row r="236" spans="1:40">
      <c r="A236" s="240" t="s">
        <v>172</v>
      </c>
      <c r="B236" s="240" t="s">
        <v>53</v>
      </c>
      <c r="C236" s="568">
        <f t="shared" ref="C236:T236" si="141">IF(V236&gt;0,(V236/V241),0)</f>
        <v>0.34453042027006525</v>
      </c>
      <c r="D236" s="568">
        <f t="shared" si="141"/>
        <v>0.25611681136543013</v>
      </c>
      <c r="E236" s="568">
        <f t="shared" si="141"/>
        <v>0.28327987169206092</v>
      </c>
      <c r="F236" s="568">
        <f t="shared" si="141"/>
        <v>0.28580042206813383</v>
      </c>
      <c r="G236" s="568">
        <f t="shared" si="141"/>
        <v>0.29991281604184827</v>
      </c>
      <c r="H236" s="568">
        <f t="shared" si="141"/>
        <v>0.19312499999999999</v>
      </c>
      <c r="I236" s="568">
        <f t="shared" si="141"/>
        <v>0</v>
      </c>
      <c r="J236" s="569">
        <f t="shared" si="141"/>
        <v>0.30739396060248164</v>
      </c>
      <c r="K236" s="570">
        <f t="shared" si="141"/>
        <v>0.28135593220338984</v>
      </c>
      <c r="L236" s="568">
        <f t="shared" si="141"/>
        <v>0.19389327682527452</v>
      </c>
      <c r="M236" s="568">
        <f t="shared" si="141"/>
        <v>9.2637976668954028E-2</v>
      </c>
      <c r="N236" s="568">
        <f t="shared" si="141"/>
        <v>0.10298219266251878</v>
      </c>
      <c r="O236" s="571">
        <f t="shared" si="141"/>
        <v>0</v>
      </c>
      <c r="P236" s="570">
        <f t="shared" si="141"/>
        <v>0.13950607726252226</v>
      </c>
      <c r="Q236" s="568">
        <f t="shared" si="141"/>
        <v>0</v>
      </c>
      <c r="R236" s="568">
        <f t="shared" si="141"/>
        <v>0</v>
      </c>
      <c r="S236" s="571">
        <f t="shared" si="141"/>
        <v>0</v>
      </c>
      <c r="T236" s="570">
        <f t="shared" si="141"/>
        <v>0</v>
      </c>
      <c r="U236" s="244"/>
      <c r="V236" s="590">
        <f t="shared" ref="V236:V241" si="142">+V242+V248+V254+V260+V266+V272+V278+V284+V290+V296+V302+V308</f>
        <v>11354</v>
      </c>
      <c r="W236" s="591">
        <f t="shared" ref="W236:AM241" si="143">+W242+W248+W254+W260+W266+W272+W278+W284+W290+W296+W302+W308</f>
        <v>2596</v>
      </c>
      <c r="X236" s="591">
        <f t="shared" si="143"/>
        <v>4239</v>
      </c>
      <c r="Y236" s="591">
        <f t="shared" si="143"/>
        <v>1896</v>
      </c>
      <c r="Z236" s="591">
        <f t="shared" si="143"/>
        <v>688</v>
      </c>
      <c r="AA236" s="591">
        <f t="shared" si="143"/>
        <v>309</v>
      </c>
      <c r="AB236" s="591">
        <f t="shared" si="143"/>
        <v>0</v>
      </c>
      <c r="AC236" s="592">
        <f t="shared" si="143"/>
        <v>21082</v>
      </c>
      <c r="AD236" s="590">
        <f t="shared" si="143"/>
        <v>166</v>
      </c>
      <c r="AE236" s="591">
        <f t="shared" si="143"/>
        <v>2013</v>
      </c>
      <c r="AF236" s="591">
        <f t="shared" si="143"/>
        <v>945</v>
      </c>
      <c r="AG236" s="591">
        <f t="shared" si="143"/>
        <v>480</v>
      </c>
      <c r="AH236" s="593">
        <f t="shared" si="143"/>
        <v>0</v>
      </c>
      <c r="AI236" s="593">
        <f t="shared" si="143"/>
        <v>3604</v>
      </c>
      <c r="AJ236" s="590">
        <f t="shared" si="143"/>
        <v>0</v>
      </c>
      <c r="AK236" s="591">
        <f t="shared" si="143"/>
        <v>0</v>
      </c>
      <c r="AL236" s="593">
        <f t="shared" si="143"/>
        <v>0</v>
      </c>
      <c r="AM236" s="590">
        <f t="shared" si="143"/>
        <v>0</v>
      </c>
    </row>
    <row r="237" spans="1:40">
      <c r="A237" s="239"/>
      <c r="B237" s="239" t="s">
        <v>93</v>
      </c>
      <c r="C237" s="572">
        <f t="shared" ref="C237:T237" si="144">IF(V237&gt;0,(V237/V241),0)</f>
        <v>0.26882111970869366</v>
      </c>
      <c r="D237" s="572">
        <f t="shared" si="144"/>
        <v>0.29745461720599842</v>
      </c>
      <c r="E237" s="572">
        <f t="shared" si="144"/>
        <v>0.26510291365944932</v>
      </c>
      <c r="F237" s="572">
        <f t="shared" si="144"/>
        <v>0.25972264094060898</v>
      </c>
      <c r="G237" s="572">
        <f t="shared" si="144"/>
        <v>0.26198779424585877</v>
      </c>
      <c r="H237" s="572">
        <f t="shared" si="144"/>
        <v>0.28937499999999999</v>
      </c>
      <c r="I237" s="572">
        <f t="shared" si="144"/>
        <v>0</v>
      </c>
      <c r="J237" s="573">
        <f t="shared" si="144"/>
        <v>0.27161249872417365</v>
      </c>
      <c r="K237" s="574">
        <f t="shared" si="144"/>
        <v>0.2288135593220339</v>
      </c>
      <c r="L237" s="572">
        <f t="shared" si="144"/>
        <v>0.13138123675592372</v>
      </c>
      <c r="M237" s="572">
        <f t="shared" si="144"/>
        <v>8.0482305656308206E-2</v>
      </c>
      <c r="N237" s="572">
        <f t="shared" si="144"/>
        <v>8.2385754130015018E-2</v>
      </c>
      <c r="O237" s="575">
        <f t="shared" si="144"/>
        <v>0</v>
      </c>
      <c r="P237" s="574">
        <f t="shared" si="144"/>
        <v>0.10466826662537741</v>
      </c>
      <c r="Q237" s="572">
        <f t="shared" si="144"/>
        <v>0</v>
      </c>
      <c r="R237" s="572">
        <f t="shared" si="144"/>
        <v>0</v>
      </c>
      <c r="S237" s="575">
        <f t="shared" si="144"/>
        <v>0</v>
      </c>
      <c r="T237" s="574">
        <f t="shared" si="144"/>
        <v>0</v>
      </c>
      <c r="U237" s="253"/>
      <c r="V237" s="594">
        <f t="shared" si="142"/>
        <v>8859</v>
      </c>
      <c r="W237" s="595">
        <f t="shared" ref="W237:AK237" si="145">+W243+W249+W255+W261+W267+W273+W279+W285+W291+W297+W303+W309</f>
        <v>3015</v>
      </c>
      <c r="X237" s="595">
        <f t="shared" si="145"/>
        <v>3967</v>
      </c>
      <c r="Y237" s="595">
        <f t="shared" si="145"/>
        <v>1723</v>
      </c>
      <c r="Z237" s="595">
        <f t="shared" si="145"/>
        <v>601</v>
      </c>
      <c r="AA237" s="595">
        <f t="shared" si="145"/>
        <v>463</v>
      </c>
      <c r="AB237" s="595">
        <f t="shared" si="145"/>
        <v>0</v>
      </c>
      <c r="AC237" s="596">
        <f t="shared" si="145"/>
        <v>18628</v>
      </c>
      <c r="AD237" s="594">
        <f t="shared" si="145"/>
        <v>135</v>
      </c>
      <c r="AE237" s="595">
        <f t="shared" si="145"/>
        <v>1364</v>
      </c>
      <c r="AF237" s="595">
        <f t="shared" si="145"/>
        <v>821</v>
      </c>
      <c r="AG237" s="595">
        <f t="shared" si="145"/>
        <v>384</v>
      </c>
      <c r="AH237" s="597">
        <f t="shared" si="145"/>
        <v>0</v>
      </c>
      <c r="AI237" s="597">
        <f t="shared" si="145"/>
        <v>2704</v>
      </c>
      <c r="AJ237" s="594">
        <f t="shared" si="145"/>
        <v>0</v>
      </c>
      <c r="AK237" s="595">
        <f t="shared" si="145"/>
        <v>0</v>
      </c>
      <c r="AL237" s="597">
        <f t="shared" si="143"/>
        <v>0</v>
      </c>
      <c r="AM237" s="594">
        <f t="shared" si="143"/>
        <v>0</v>
      </c>
    </row>
    <row r="238" spans="1:40">
      <c r="A238" s="239"/>
      <c r="B238" s="239" t="s">
        <v>55</v>
      </c>
      <c r="C238" s="572">
        <f t="shared" ref="C238:T238" si="146">IF(V238&gt;0,(V238/V241),0)</f>
        <v>0.2484296768320437</v>
      </c>
      <c r="D238" s="572">
        <f t="shared" si="146"/>
        <v>0.26558800315706393</v>
      </c>
      <c r="E238" s="572">
        <f t="shared" si="146"/>
        <v>0.26603849238171612</v>
      </c>
      <c r="F238" s="572">
        <f t="shared" si="146"/>
        <v>0.27690684353331324</v>
      </c>
      <c r="G238" s="572">
        <f t="shared" si="146"/>
        <v>0.28596338273757627</v>
      </c>
      <c r="H238" s="572">
        <f t="shared" si="146"/>
        <v>0.35749999999999998</v>
      </c>
      <c r="I238" s="572">
        <f t="shared" si="146"/>
        <v>0</v>
      </c>
      <c r="J238" s="573">
        <f t="shared" si="146"/>
        <v>0.26136214513800798</v>
      </c>
      <c r="K238" s="574">
        <f t="shared" si="146"/>
        <v>0.28644067796610168</v>
      </c>
      <c r="L238" s="572">
        <f t="shared" si="146"/>
        <v>0.14505875553843189</v>
      </c>
      <c r="M238" s="572">
        <f t="shared" si="146"/>
        <v>0.10851877266934615</v>
      </c>
      <c r="N238" s="572">
        <f t="shared" si="146"/>
        <v>0.10190946148895087</v>
      </c>
      <c r="O238" s="575">
        <f t="shared" si="146"/>
        <v>0</v>
      </c>
      <c r="P238" s="574">
        <f t="shared" si="146"/>
        <v>0.12607416582797865</v>
      </c>
      <c r="Q238" s="572">
        <f t="shared" si="146"/>
        <v>0</v>
      </c>
      <c r="R238" s="572">
        <f t="shared" si="146"/>
        <v>0</v>
      </c>
      <c r="S238" s="575">
        <f t="shared" si="146"/>
        <v>0</v>
      </c>
      <c r="T238" s="574">
        <f t="shared" si="146"/>
        <v>0</v>
      </c>
      <c r="U238" s="253"/>
      <c r="V238" s="594">
        <f t="shared" si="142"/>
        <v>8187</v>
      </c>
      <c r="W238" s="595">
        <f t="shared" si="143"/>
        <v>2692</v>
      </c>
      <c r="X238" s="595">
        <f t="shared" si="143"/>
        <v>3981</v>
      </c>
      <c r="Y238" s="595">
        <f t="shared" si="143"/>
        <v>1837</v>
      </c>
      <c r="Z238" s="595">
        <f t="shared" si="143"/>
        <v>656</v>
      </c>
      <c r="AA238" s="595">
        <f t="shared" si="143"/>
        <v>572</v>
      </c>
      <c r="AB238" s="595">
        <f t="shared" si="143"/>
        <v>0</v>
      </c>
      <c r="AC238" s="596">
        <f t="shared" si="143"/>
        <v>17925</v>
      </c>
      <c r="AD238" s="594">
        <f t="shared" si="143"/>
        <v>169</v>
      </c>
      <c r="AE238" s="595">
        <f t="shared" si="143"/>
        <v>1506</v>
      </c>
      <c r="AF238" s="595">
        <f t="shared" si="143"/>
        <v>1107</v>
      </c>
      <c r="AG238" s="595">
        <f t="shared" si="143"/>
        <v>475</v>
      </c>
      <c r="AH238" s="597">
        <f t="shared" si="143"/>
        <v>0</v>
      </c>
      <c r="AI238" s="597">
        <f t="shared" si="143"/>
        <v>3257</v>
      </c>
      <c r="AJ238" s="594">
        <f t="shared" si="143"/>
        <v>0</v>
      </c>
      <c r="AK238" s="595">
        <f t="shared" si="143"/>
        <v>0</v>
      </c>
      <c r="AL238" s="597">
        <f t="shared" si="143"/>
        <v>0</v>
      </c>
      <c r="AM238" s="594">
        <f t="shared" si="143"/>
        <v>0</v>
      </c>
    </row>
    <row r="239" spans="1:40">
      <c r="A239" s="239"/>
      <c r="B239" s="239" t="s">
        <v>78</v>
      </c>
      <c r="C239" s="572">
        <f t="shared" ref="C239:T239" si="147">IF(V239&gt;0,(V239/V241),0)</f>
        <v>3.3439538764982554E-2</v>
      </c>
      <c r="D239" s="572">
        <f t="shared" si="147"/>
        <v>9.0173638516179946E-2</v>
      </c>
      <c r="E239" s="572">
        <f t="shared" si="147"/>
        <v>0.12884255546645282</v>
      </c>
      <c r="F239" s="572">
        <f t="shared" si="147"/>
        <v>4.6879710581851072E-2</v>
      </c>
      <c r="G239" s="572">
        <f t="shared" si="147"/>
        <v>6.495204882301657E-2</v>
      </c>
      <c r="H239" s="572">
        <f t="shared" si="147"/>
        <v>0.111875</v>
      </c>
      <c r="I239" s="572">
        <f t="shared" si="147"/>
        <v>0</v>
      </c>
      <c r="J239" s="573">
        <f t="shared" si="147"/>
        <v>6.6824140093025966E-2</v>
      </c>
      <c r="K239" s="574">
        <f t="shared" si="147"/>
        <v>0.15084745762711865</v>
      </c>
      <c r="L239" s="572">
        <f t="shared" si="147"/>
        <v>0.28809477942592948</v>
      </c>
      <c r="M239" s="572">
        <f t="shared" si="147"/>
        <v>0.35408293304577981</v>
      </c>
      <c r="N239" s="572">
        <f t="shared" si="147"/>
        <v>0.42909246942716156</v>
      </c>
      <c r="O239" s="575">
        <f t="shared" si="147"/>
        <v>0</v>
      </c>
      <c r="P239" s="574">
        <f t="shared" si="147"/>
        <v>0.33645583339784779</v>
      </c>
      <c r="Q239" s="572">
        <f t="shared" si="147"/>
        <v>0</v>
      </c>
      <c r="R239" s="572">
        <f t="shared" si="147"/>
        <v>0</v>
      </c>
      <c r="S239" s="575">
        <f t="shared" si="147"/>
        <v>0</v>
      </c>
      <c r="T239" s="574">
        <f t="shared" si="147"/>
        <v>0</v>
      </c>
      <c r="U239" s="253"/>
      <c r="V239" s="594">
        <f t="shared" si="142"/>
        <v>1102</v>
      </c>
      <c r="W239" s="595">
        <f t="shared" si="143"/>
        <v>914</v>
      </c>
      <c r="X239" s="595">
        <f t="shared" si="143"/>
        <v>1928</v>
      </c>
      <c r="Y239" s="595">
        <f t="shared" si="143"/>
        <v>311</v>
      </c>
      <c r="Z239" s="595">
        <f t="shared" si="143"/>
        <v>149</v>
      </c>
      <c r="AA239" s="595">
        <f t="shared" si="143"/>
        <v>179</v>
      </c>
      <c r="AB239" s="595">
        <f t="shared" si="143"/>
        <v>0</v>
      </c>
      <c r="AC239" s="596">
        <f t="shared" si="143"/>
        <v>4583</v>
      </c>
      <c r="AD239" s="594">
        <f t="shared" si="143"/>
        <v>89</v>
      </c>
      <c r="AE239" s="595">
        <f t="shared" si="143"/>
        <v>2991</v>
      </c>
      <c r="AF239" s="595">
        <f t="shared" si="143"/>
        <v>3612</v>
      </c>
      <c r="AG239" s="595">
        <f t="shared" si="143"/>
        <v>2000</v>
      </c>
      <c r="AH239" s="597">
        <f t="shared" si="143"/>
        <v>0</v>
      </c>
      <c r="AI239" s="597">
        <f t="shared" si="143"/>
        <v>8692</v>
      </c>
      <c r="AJ239" s="594">
        <f t="shared" si="143"/>
        <v>0</v>
      </c>
      <c r="AK239" s="595">
        <f t="shared" si="143"/>
        <v>0</v>
      </c>
      <c r="AL239" s="597">
        <f t="shared" si="143"/>
        <v>0</v>
      </c>
      <c r="AM239" s="594">
        <f t="shared" si="143"/>
        <v>0</v>
      </c>
    </row>
    <row r="240" spans="1:40">
      <c r="A240" s="580"/>
      <c r="B240" s="580" t="s">
        <v>131</v>
      </c>
      <c r="C240" s="581">
        <f t="shared" ref="C240:T240" si="148">IF(V240&gt;0,(V240/V241),0)</f>
        <v>0.10477924442421484</v>
      </c>
      <c r="D240" s="582">
        <f t="shared" si="148"/>
        <v>9.0666929755327544E-2</v>
      </c>
      <c r="E240" s="582">
        <f t="shared" si="148"/>
        <v>5.6736166800320773E-2</v>
      </c>
      <c r="F240" s="582">
        <f t="shared" si="148"/>
        <v>0.13069038287609286</v>
      </c>
      <c r="G240" s="582">
        <f t="shared" si="148"/>
        <v>8.7183958151700089E-2</v>
      </c>
      <c r="H240" s="582">
        <f t="shared" si="148"/>
        <v>4.8125000000000001E-2</v>
      </c>
      <c r="I240" s="583">
        <f t="shared" si="148"/>
        <v>0</v>
      </c>
      <c r="J240" s="584">
        <f t="shared" si="148"/>
        <v>9.2807255442310777E-2</v>
      </c>
      <c r="K240" s="581">
        <f t="shared" si="148"/>
        <v>5.254237288135593E-2</v>
      </c>
      <c r="L240" s="582">
        <f t="shared" si="148"/>
        <v>0.24157195145444038</v>
      </c>
      <c r="M240" s="582">
        <f t="shared" si="148"/>
        <v>0.36427801195961179</v>
      </c>
      <c r="N240" s="582">
        <f t="shared" si="148"/>
        <v>0.28363012229135381</v>
      </c>
      <c r="O240" s="583">
        <f t="shared" si="148"/>
        <v>0</v>
      </c>
      <c r="P240" s="581">
        <f t="shared" si="148"/>
        <v>0.2932956568862739</v>
      </c>
      <c r="Q240" s="581">
        <f t="shared" si="148"/>
        <v>0</v>
      </c>
      <c r="R240" s="582">
        <f t="shared" si="148"/>
        <v>0</v>
      </c>
      <c r="S240" s="583">
        <f t="shared" si="148"/>
        <v>0</v>
      </c>
      <c r="T240" s="581">
        <f t="shared" si="148"/>
        <v>0</v>
      </c>
      <c r="U240" s="253"/>
      <c r="V240" s="585">
        <f t="shared" si="142"/>
        <v>3453</v>
      </c>
      <c r="W240" s="586">
        <f t="shared" si="143"/>
        <v>919</v>
      </c>
      <c r="X240" s="586">
        <f t="shared" si="143"/>
        <v>849</v>
      </c>
      <c r="Y240" s="586">
        <f t="shared" si="143"/>
        <v>867</v>
      </c>
      <c r="Z240" s="586">
        <f t="shared" si="143"/>
        <v>200</v>
      </c>
      <c r="AA240" s="586">
        <f t="shared" si="143"/>
        <v>77</v>
      </c>
      <c r="AB240" s="586">
        <f t="shared" si="143"/>
        <v>0</v>
      </c>
      <c r="AC240" s="587">
        <f t="shared" si="143"/>
        <v>6365</v>
      </c>
      <c r="AD240" s="585">
        <f t="shared" si="143"/>
        <v>31</v>
      </c>
      <c r="AE240" s="586">
        <f t="shared" si="143"/>
        <v>2508</v>
      </c>
      <c r="AF240" s="586">
        <f t="shared" si="143"/>
        <v>3716</v>
      </c>
      <c r="AG240" s="586">
        <f t="shared" si="143"/>
        <v>1322</v>
      </c>
      <c r="AH240" s="588">
        <f t="shared" si="143"/>
        <v>0</v>
      </c>
      <c r="AI240" s="588">
        <f t="shared" si="143"/>
        <v>7577</v>
      </c>
      <c r="AJ240" s="585">
        <f t="shared" si="143"/>
        <v>0</v>
      </c>
      <c r="AK240" s="586">
        <f t="shared" si="143"/>
        <v>0</v>
      </c>
      <c r="AL240" s="588">
        <f t="shared" si="143"/>
        <v>0</v>
      </c>
      <c r="AM240" s="585">
        <f t="shared" si="143"/>
        <v>0</v>
      </c>
    </row>
    <row r="241" spans="1:41" s="527" customFormat="1">
      <c r="A241" s="436" t="s">
        <v>86</v>
      </c>
      <c r="B241" s="436" t="s">
        <v>59</v>
      </c>
      <c r="C241" s="456">
        <f t="shared" ref="C241:T241" si="149">SUM(C236:C240)</f>
        <v>0.99999999999999989</v>
      </c>
      <c r="D241" s="456">
        <f t="shared" si="149"/>
        <v>1</v>
      </c>
      <c r="E241" s="456">
        <f t="shared" si="149"/>
        <v>0.99999999999999989</v>
      </c>
      <c r="F241" s="456">
        <f t="shared" si="149"/>
        <v>1</v>
      </c>
      <c r="G241" s="456">
        <f t="shared" si="149"/>
        <v>1</v>
      </c>
      <c r="H241" s="456">
        <f t="shared" si="149"/>
        <v>1</v>
      </c>
      <c r="I241" s="456">
        <f t="shared" si="149"/>
        <v>0</v>
      </c>
      <c r="J241" s="576">
        <f t="shared" si="149"/>
        <v>1</v>
      </c>
      <c r="K241" s="577">
        <f t="shared" si="149"/>
        <v>1</v>
      </c>
      <c r="L241" s="578">
        <f t="shared" si="149"/>
        <v>1</v>
      </c>
      <c r="M241" s="578">
        <f t="shared" si="149"/>
        <v>1</v>
      </c>
      <c r="N241" s="578">
        <f t="shared" si="149"/>
        <v>1</v>
      </c>
      <c r="O241" s="579">
        <f t="shared" si="149"/>
        <v>0</v>
      </c>
      <c r="P241" s="577">
        <f t="shared" si="149"/>
        <v>1</v>
      </c>
      <c r="Q241" s="578">
        <f t="shared" si="149"/>
        <v>0</v>
      </c>
      <c r="R241" s="578">
        <f t="shared" si="149"/>
        <v>0</v>
      </c>
      <c r="S241" s="579">
        <f t="shared" si="149"/>
        <v>0</v>
      </c>
      <c r="T241" s="577">
        <f t="shared" si="149"/>
        <v>0</v>
      </c>
      <c r="U241" s="264"/>
      <c r="V241" s="598">
        <f t="shared" si="142"/>
        <v>32955</v>
      </c>
      <c r="W241" s="599">
        <f t="shared" si="143"/>
        <v>10136</v>
      </c>
      <c r="X241" s="599">
        <f t="shared" si="143"/>
        <v>14964</v>
      </c>
      <c r="Y241" s="599">
        <f t="shared" si="143"/>
        <v>6634</v>
      </c>
      <c r="Z241" s="599">
        <f t="shared" si="143"/>
        <v>2294</v>
      </c>
      <c r="AA241" s="599">
        <f t="shared" si="143"/>
        <v>1600</v>
      </c>
      <c r="AB241" s="599">
        <f t="shared" si="143"/>
        <v>0</v>
      </c>
      <c r="AC241" s="600">
        <f t="shared" si="143"/>
        <v>68583</v>
      </c>
      <c r="AD241" s="598">
        <f t="shared" si="143"/>
        <v>590</v>
      </c>
      <c r="AE241" s="599">
        <f t="shared" si="143"/>
        <v>10382</v>
      </c>
      <c r="AF241" s="599">
        <f t="shared" si="143"/>
        <v>10201</v>
      </c>
      <c r="AG241" s="599">
        <f t="shared" si="143"/>
        <v>4661</v>
      </c>
      <c r="AH241" s="601">
        <f t="shared" si="143"/>
        <v>0</v>
      </c>
      <c r="AI241" s="601">
        <f t="shared" si="143"/>
        <v>25834</v>
      </c>
      <c r="AJ241" s="598">
        <f t="shared" si="143"/>
        <v>0</v>
      </c>
      <c r="AK241" s="599">
        <f t="shared" si="143"/>
        <v>0</v>
      </c>
      <c r="AL241" s="601">
        <f t="shared" si="143"/>
        <v>0</v>
      </c>
      <c r="AM241" s="598">
        <f t="shared" si="143"/>
        <v>0</v>
      </c>
      <c r="AN241" s="270"/>
      <c r="AO241" s="270"/>
    </row>
    <row r="242" spans="1:41">
      <c r="A242" s="240" t="s">
        <v>144</v>
      </c>
      <c r="B242" s="240" t="s">
        <v>53</v>
      </c>
      <c r="C242" s="568">
        <f t="shared" ref="C242:T242" si="150">IF(V242&gt;0,(V242/V247),0)</f>
        <v>0.30975889781859933</v>
      </c>
      <c r="D242" s="568">
        <f t="shared" si="150"/>
        <v>0.23887079261672095</v>
      </c>
      <c r="E242" s="568">
        <f t="shared" si="150"/>
        <v>0.25255885363357217</v>
      </c>
      <c r="F242" s="568">
        <f t="shared" si="150"/>
        <v>0</v>
      </c>
      <c r="G242" s="568">
        <f t="shared" si="150"/>
        <v>0</v>
      </c>
      <c r="H242" s="568">
        <f t="shared" si="150"/>
        <v>0</v>
      </c>
      <c r="I242" s="568">
        <f t="shared" si="150"/>
        <v>0</v>
      </c>
      <c r="J242" s="569">
        <f t="shared" si="150"/>
        <v>0.27831010452961674</v>
      </c>
      <c r="K242" s="570">
        <f t="shared" si="150"/>
        <v>0</v>
      </c>
      <c r="L242" s="568">
        <f t="shared" si="150"/>
        <v>0.20368946963873943</v>
      </c>
      <c r="M242" s="568">
        <f t="shared" si="150"/>
        <v>0.21691413815364752</v>
      </c>
      <c r="N242" s="568">
        <f t="shared" si="150"/>
        <v>0.29805996472663138</v>
      </c>
      <c r="O242" s="571">
        <f t="shared" si="150"/>
        <v>0</v>
      </c>
      <c r="P242" s="570">
        <f t="shared" si="150"/>
        <v>0.21937261551504875</v>
      </c>
      <c r="Q242" s="568">
        <f t="shared" si="150"/>
        <v>0</v>
      </c>
      <c r="R242" s="568">
        <f t="shared" si="150"/>
        <v>0</v>
      </c>
      <c r="S242" s="571">
        <f t="shared" si="150"/>
        <v>0</v>
      </c>
      <c r="T242" s="570">
        <f t="shared" si="150"/>
        <v>0</v>
      </c>
      <c r="U242" s="253"/>
      <c r="V242" s="245">
        <v>1349</v>
      </c>
      <c r="W242" s="246">
        <v>220</v>
      </c>
      <c r="X242" s="246">
        <v>987</v>
      </c>
      <c r="Y242" s="246"/>
      <c r="Z242" s="246"/>
      <c r="AA242" s="246"/>
      <c r="AB242" s="246"/>
      <c r="AC242" s="247">
        <v>2556</v>
      </c>
      <c r="AD242" s="245"/>
      <c r="AE242" s="246">
        <v>530</v>
      </c>
      <c r="AF242" s="246">
        <v>336</v>
      </c>
      <c r="AG242" s="246">
        <v>169</v>
      </c>
      <c r="AH242" s="248"/>
      <c r="AI242" s="248">
        <v>1035</v>
      </c>
      <c r="AJ242" s="245"/>
      <c r="AK242" s="246"/>
      <c r="AL242" s="248"/>
      <c r="AM242" s="245"/>
      <c r="AN242" s="563"/>
    </row>
    <row r="243" spans="1:41">
      <c r="A243" s="239"/>
      <c r="B243" s="239" t="s">
        <v>93</v>
      </c>
      <c r="C243" s="572">
        <f t="shared" ref="C243:T243" si="151">IF(V243&gt;0,(V243/V247),0)</f>
        <v>0.26153846153846155</v>
      </c>
      <c r="D243" s="572">
        <f t="shared" si="151"/>
        <v>0.34527687296416937</v>
      </c>
      <c r="E243" s="572">
        <f t="shared" si="151"/>
        <v>0.26202661207778916</v>
      </c>
      <c r="F243" s="572">
        <f t="shared" si="151"/>
        <v>0</v>
      </c>
      <c r="G243" s="572">
        <f t="shared" si="151"/>
        <v>0</v>
      </c>
      <c r="H243" s="572">
        <f t="shared" si="151"/>
        <v>0</v>
      </c>
      <c r="I243" s="572">
        <f t="shared" si="151"/>
        <v>0</v>
      </c>
      <c r="J243" s="573">
        <f t="shared" si="151"/>
        <v>0.27014372822299654</v>
      </c>
      <c r="K243" s="574">
        <f t="shared" si="151"/>
        <v>0</v>
      </c>
      <c r="L243" s="572">
        <f t="shared" si="151"/>
        <v>0.17832436587240585</v>
      </c>
      <c r="M243" s="572">
        <f t="shared" si="151"/>
        <v>0.12265978050355068</v>
      </c>
      <c r="N243" s="572">
        <f t="shared" si="151"/>
        <v>4.585537918871252E-2</v>
      </c>
      <c r="O243" s="575">
        <f t="shared" si="151"/>
        <v>0</v>
      </c>
      <c r="P243" s="574">
        <f t="shared" si="151"/>
        <v>0.14412886816447648</v>
      </c>
      <c r="Q243" s="572">
        <f t="shared" si="151"/>
        <v>0</v>
      </c>
      <c r="R243" s="572">
        <f t="shared" si="151"/>
        <v>0</v>
      </c>
      <c r="S243" s="575">
        <f t="shared" si="151"/>
        <v>0</v>
      </c>
      <c r="T243" s="574">
        <f t="shared" si="151"/>
        <v>0</v>
      </c>
      <c r="U243" s="253"/>
      <c r="V243" s="254">
        <v>1139</v>
      </c>
      <c r="W243" s="255">
        <v>318</v>
      </c>
      <c r="X243" s="255">
        <v>1024</v>
      </c>
      <c r="Y243" s="255"/>
      <c r="Z243" s="255"/>
      <c r="AA243" s="255"/>
      <c r="AB243" s="255"/>
      <c r="AC243" s="256">
        <v>2481</v>
      </c>
      <c r="AD243" s="254"/>
      <c r="AE243" s="255">
        <v>464</v>
      </c>
      <c r="AF243" s="255">
        <v>190</v>
      </c>
      <c r="AG243" s="255">
        <v>26</v>
      </c>
      <c r="AH243" s="257"/>
      <c r="AI243" s="257">
        <v>680</v>
      </c>
      <c r="AJ243" s="254"/>
      <c r="AK243" s="255"/>
      <c r="AL243" s="257"/>
      <c r="AM243" s="254"/>
      <c r="AN243" s="563"/>
    </row>
    <row r="244" spans="1:41">
      <c r="A244" s="239"/>
      <c r="B244" s="239" t="s">
        <v>55</v>
      </c>
      <c r="C244" s="572">
        <f t="shared" ref="C244:T244" si="152">IF(V244&gt;0,(V244/V247),0)</f>
        <v>0.28427095292766935</v>
      </c>
      <c r="D244" s="572">
        <f t="shared" si="152"/>
        <v>0.24647122692725298</v>
      </c>
      <c r="E244" s="572">
        <f t="shared" si="152"/>
        <v>0.26074718526100304</v>
      </c>
      <c r="F244" s="572">
        <f t="shared" si="152"/>
        <v>0</v>
      </c>
      <c r="G244" s="572">
        <f t="shared" si="152"/>
        <v>0</v>
      </c>
      <c r="H244" s="572">
        <f t="shared" si="152"/>
        <v>0</v>
      </c>
      <c r="I244" s="572">
        <f t="shared" si="152"/>
        <v>0</v>
      </c>
      <c r="J244" s="573">
        <f t="shared" si="152"/>
        <v>0.27047038327526135</v>
      </c>
      <c r="K244" s="574">
        <f t="shared" si="152"/>
        <v>0</v>
      </c>
      <c r="L244" s="572">
        <f t="shared" si="152"/>
        <v>0.20099923136049194</v>
      </c>
      <c r="M244" s="572">
        <f t="shared" si="152"/>
        <v>0.14202711426726922</v>
      </c>
      <c r="N244" s="572">
        <f t="shared" si="152"/>
        <v>9.3474426807760136E-2</v>
      </c>
      <c r="O244" s="575">
        <f t="shared" si="152"/>
        <v>0</v>
      </c>
      <c r="P244" s="574">
        <f t="shared" si="152"/>
        <v>0.16871555743959304</v>
      </c>
      <c r="Q244" s="572">
        <f t="shared" si="152"/>
        <v>0</v>
      </c>
      <c r="R244" s="572">
        <f t="shared" si="152"/>
        <v>0</v>
      </c>
      <c r="S244" s="575">
        <f t="shared" si="152"/>
        <v>0</v>
      </c>
      <c r="T244" s="574">
        <f t="shared" si="152"/>
        <v>0</v>
      </c>
      <c r="U244" s="253"/>
      <c r="V244" s="254">
        <v>1238</v>
      </c>
      <c r="W244" s="255">
        <v>227</v>
      </c>
      <c r="X244" s="255">
        <v>1019</v>
      </c>
      <c r="Y244" s="255"/>
      <c r="Z244" s="255"/>
      <c r="AA244" s="255"/>
      <c r="AB244" s="255"/>
      <c r="AC244" s="256">
        <v>2484</v>
      </c>
      <c r="AD244" s="254"/>
      <c r="AE244" s="255">
        <v>523</v>
      </c>
      <c r="AF244" s="255">
        <v>220</v>
      </c>
      <c r="AG244" s="255">
        <v>53</v>
      </c>
      <c r="AH244" s="257"/>
      <c r="AI244" s="257">
        <v>796</v>
      </c>
      <c r="AJ244" s="254"/>
      <c r="AK244" s="255"/>
      <c r="AL244" s="257"/>
      <c r="AM244" s="254"/>
      <c r="AN244" s="563"/>
    </row>
    <row r="245" spans="1:41">
      <c r="A245" s="239"/>
      <c r="B245" s="239" t="s">
        <v>78</v>
      </c>
      <c r="C245" s="572">
        <f t="shared" ref="C245:T245" si="153">IF(V245&gt;0,(V245/V247),0)</f>
        <v>3.880597014925373E-2</v>
      </c>
      <c r="D245" s="572">
        <f t="shared" si="153"/>
        <v>0.16938110749185667</v>
      </c>
      <c r="E245" s="572">
        <f t="shared" si="153"/>
        <v>0.14687819856704196</v>
      </c>
      <c r="F245" s="572">
        <f t="shared" si="153"/>
        <v>0</v>
      </c>
      <c r="G245" s="572">
        <f t="shared" si="153"/>
        <v>0</v>
      </c>
      <c r="H245" s="572">
        <f t="shared" si="153"/>
        <v>0</v>
      </c>
      <c r="I245" s="572">
        <f t="shared" si="153"/>
        <v>0</v>
      </c>
      <c r="J245" s="573">
        <f t="shared" si="153"/>
        <v>9.78876306620209E-2</v>
      </c>
      <c r="K245" s="574">
        <f t="shared" si="153"/>
        <v>0</v>
      </c>
      <c r="L245" s="572">
        <f t="shared" si="153"/>
        <v>0.265564950038432</v>
      </c>
      <c r="M245" s="572">
        <f t="shared" si="153"/>
        <v>0.26597805035506777</v>
      </c>
      <c r="N245" s="572">
        <f t="shared" si="153"/>
        <v>0.13051146384479717</v>
      </c>
      <c r="O245" s="575">
        <f t="shared" si="153"/>
        <v>0</v>
      </c>
      <c r="P245" s="574">
        <f t="shared" si="153"/>
        <v>0.24947011445527767</v>
      </c>
      <c r="Q245" s="572">
        <f t="shared" si="153"/>
        <v>0</v>
      </c>
      <c r="R245" s="572">
        <f t="shared" si="153"/>
        <v>0</v>
      </c>
      <c r="S245" s="575">
        <f t="shared" si="153"/>
        <v>0</v>
      </c>
      <c r="T245" s="574">
        <f t="shared" si="153"/>
        <v>0</v>
      </c>
      <c r="U245" s="253"/>
      <c r="V245" s="254">
        <v>169</v>
      </c>
      <c r="W245" s="255">
        <v>156</v>
      </c>
      <c r="X245" s="255">
        <v>574</v>
      </c>
      <c r="Y245" s="255"/>
      <c r="Z245" s="255"/>
      <c r="AA245" s="255"/>
      <c r="AB245" s="255"/>
      <c r="AC245" s="256">
        <v>899</v>
      </c>
      <c r="AD245" s="254"/>
      <c r="AE245" s="255">
        <v>691</v>
      </c>
      <c r="AF245" s="255">
        <v>412</v>
      </c>
      <c r="AG245" s="255">
        <v>74</v>
      </c>
      <c r="AH245" s="257"/>
      <c r="AI245" s="257">
        <v>1177</v>
      </c>
      <c r="AJ245" s="254"/>
      <c r="AK245" s="255"/>
      <c r="AL245" s="257"/>
      <c r="AM245" s="254"/>
      <c r="AN245" s="563"/>
    </row>
    <row r="246" spans="1:41">
      <c r="A246" s="580"/>
      <c r="B246" s="580" t="s">
        <v>131</v>
      </c>
      <c r="C246" s="581">
        <f t="shared" ref="C246:T246" si="154">IF(V246&gt;0,(V246/V247),0)</f>
        <v>0.10562571756601608</v>
      </c>
      <c r="D246" s="582">
        <f t="shared" si="154"/>
        <v>0</v>
      </c>
      <c r="E246" s="582">
        <f t="shared" si="154"/>
        <v>7.7789150460593648E-2</v>
      </c>
      <c r="F246" s="582">
        <f t="shared" si="154"/>
        <v>0</v>
      </c>
      <c r="G246" s="582">
        <f t="shared" si="154"/>
        <v>0</v>
      </c>
      <c r="H246" s="582">
        <f t="shared" si="154"/>
        <v>0</v>
      </c>
      <c r="I246" s="583">
        <f t="shared" si="154"/>
        <v>0</v>
      </c>
      <c r="J246" s="584">
        <f t="shared" si="154"/>
        <v>8.3188153310104526E-2</v>
      </c>
      <c r="K246" s="581">
        <f t="shared" si="154"/>
        <v>0</v>
      </c>
      <c r="L246" s="582">
        <f t="shared" si="154"/>
        <v>0.15142198308993082</v>
      </c>
      <c r="M246" s="582">
        <f t="shared" si="154"/>
        <v>0.25242091672046479</v>
      </c>
      <c r="N246" s="582">
        <f t="shared" si="154"/>
        <v>0.43209876543209874</v>
      </c>
      <c r="O246" s="583">
        <f t="shared" si="154"/>
        <v>0</v>
      </c>
      <c r="P246" s="581">
        <f t="shared" si="154"/>
        <v>0.21831284442560406</v>
      </c>
      <c r="Q246" s="581">
        <f t="shared" si="154"/>
        <v>0</v>
      </c>
      <c r="R246" s="582">
        <f t="shared" si="154"/>
        <v>0</v>
      </c>
      <c r="S246" s="583">
        <f t="shared" si="154"/>
        <v>0</v>
      </c>
      <c r="T246" s="581">
        <f t="shared" si="154"/>
        <v>0</v>
      </c>
      <c r="U246" s="253"/>
      <c r="V246" s="585">
        <v>460</v>
      </c>
      <c r="W246" s="586"/>
      <c r="X246" s="586">
        <v>304</v>
      </c>
      <c r="Y246" s="586"/>
      <c r="Z246" s="586"/>
      <c r="AA246" s="586"/>
      <c r="AB246" s="586"/>
      <c r="AC246" s="587">
        <v>764</v>
      </c>
      <c r="AD246" s="585"/>
      <c r="AE246" s="586">
        <v>394</v>
      </c>
      <c r="AF246" s="586">
        <v>391</v>
      </c>
      <c r="AG246" s="586">
        <v>245</v>
      </c>
      <c r="AH246" s="588"/>
      <c r="AI246" s="588">
        <v>1030</v>
      </c>
      <c r="AJ246" s="585"/>
      <c r="AK246" s="586"/>
      <c r="AL246" s="588"/>
      <c r="AM246" s="585"/>
    </row>
    <row r="247" spans="1:41">
      <c r="A247" s="436"/>
      <c r="B247" s="436" t="s">
        <v>59</v>
      </c>
      <c r="C247" s="456">
        <f t="shared" ref="C247:T247" si="155">SUM(C242:C246)</f>
        <v>1</v>
      </c>
      <c r="D247" s="456">
        <f t="shared" si="155"/>
        <v>1</v>
      </c>
      <c r="E247" s="456">
        <f t="shared" si="155"/>
        <v>1</v>
      </c>
      <c r="F247" s="456">
        <f t="shared" si="155"/>
        <v>0</v>
      </c>
      <c r="G247" s="456">
        <f t="shared" si="155"/>
        <v>0</v>
      </c>
      <c r="H247" s="456">
        <f t="shared" si="155"/>
        <v>0</v>
      </c>
      <c r="I247" s="456">
        <f t="shared" si="155"/>
        <v>0</v>
      </c>
      <c r="J247" s="576">
        <f t="shared" si="155"/>
        <v>1</v>
      </c>
      <c r="K247" s="577">
        <f t="shared" si="155"/>
        <v>0</v>
      </c>
      <c r="L247" s="578">
        <f t="shared" si="155"/>
        <v>1</v>
      </c>
      <c r="M247" s="578">
        <f t="shared" si="155"/>
        <v>1</v>
      </c>
      <c r="N247" s="578">
        <f t="shared" si="155"/>
        <v>1</v>
      </c>
      <c r="O247" s="579">
        <f t="shared" si="155"/>
        <v>0</v>
      </c>
      <c r="P247" s="577">
        <f t="shared" si="155"/>
        <v>1</v>
      </c>
      <c r="Q247" s="578">
        <f t="shared" si="155"/>
        <v>0</v>
      </c>
      <c r="R247" s="578">
        <f t="shared" si="155"/>
        <v>0</v>
      </c>
      <c r="S247" s="579">
        <f t="shared" si="155"/>
        <v>0</v>
      </c>
      <c r="T247" s="577">
        <f t="shared" si="155"/>
        <v>0</v>
      </c>
      <c r="U247" s="253"/>
      <c r="V247" s="265">
        <v>4355</v>
      </c>
      <c r="W247" s="266">
        <v>921</v>
      </c>
      <c r="X247" s="266">
        <v>3908</v>
      </c>
      <c r="Y247" s="266"/>
      <c r="Z247" s="266"/>
      <c r="AA247" s="266"/>
      <c r="AB247" s="266"/>
      <c r="AC247" s="267">
        <v>9184</v>
      </c>
      <c r="AD247" s="265"/>
      <c r="AE247" s="266">
        <v>2602</v>
      </c>
      <c r="AF247" s="266">
        <v>1549</v>
      </c>
      <c r="AG247" s="266">
        <v>567</v>
      </c>
      <c r="AH247" s="268"/>
      <c r="AI247" s="268">
        <v>4718</v>
      </c>
      <c r="AJ247" s="265"/>
      <c r="AK247" s="266"/>
      <c r="AL247" s="268"/>
      <c r="AM247" s="265"/>
      <c r="AN247" s="563"/>
    </row>
    <row r="248" spans="1:41">
      <c r="A248" s="240" t="s">
        <v>145</v>
      </c>
      <c r="B248" s="240" t="s">
        <v>53</v>
      </c>
      <c r="C248" s="568">
        <f t="shared" ref="C248:T248" si="156">IF(V248&gt;0,(V248/V253),0)</f>
        <v>0.34809197651663404</v>
      </c>
      <c r="D248" s="568">
        <f t="shared" si="156"/>
        <v>0.24678308823529413</v>
      </c>
      <c r="E248" s="568">
        <f t="shared" si="156"/>
        <v>0.21732283464566929</v>
      </c>
      <c r="F248" s="568">
        <f t="shared" si="156"/>
        <v>0.13804713804713806</v>
      </c>
      <c r="G248" s="568">
        <f t="shared" si="156"/>
        <v>0.2354368932038835</v>
      </c>
      <c r="H248" s="568">
        <f t="shared" si="156"/>
        <v>0.11229946524064172</v>
      </c>
      <c r="I248" s="568">
        <f t="shared" si="156"/>
        <v>0</v>
      </c>
      <c r="J248" s="569">
        <f t="shared" si="156"/>
        <v>0.28398418190805735</v>
      </c>
      <c r="K248" s="570">
        <f t="shared" si="156"/>
        <v>0.44841269841269843</v>
      </c>
      <c r="L248" s="568">
        <f t="shared" si="156"/>
        <v>7.1895424836601302E-2</v>
      </c>
      <c r="M248" s="568">
        <f t="shared" si="156"/>
        <v>6.1855670103092786E-2</v>
      </c>
      <c r="N248" s="568">
        <f t="shared" si="156"/>
        <v>9.2105263157894732E-2</v>
      </c>
      <c r="O248" s="571">
        <f t="shared" si="156"/>
        <v>0</v>
      </c>
      <c r="P248" s="570">
        <f t="shared" si="156"/>
        <v>0.13663220088626293</v>
      </c>
      <c r="Q248" s="568">
        <f t="shared" si="156"/>
        <v>0</v>
      </c>
      <c r="R248" s="568">
        <f t="shared" si="156"/>
        <v>0</v>
      </c>
      <c r="S248" s="571">
        <f t="shared" si="156"/>
        <v>0</v>
      </c>
      <c r="T248" s="570">
        <f t="shared" si="156"/>
        <v>0</v>
      </c>
      <c r="U248" s="253"/>
      <c r="V248" s="245">
        <v>1423</v>
      </c>
      <c r="W248" s="246">
        <v>537</v>
      </c>
      <c r="X248" s="246">
        <v>138</v>
      </c>
      <c r="Y248" s="246">
        <v>82</v>
      </c>
      <c r="Z248" s="246">
        <v>97</v>
      </c>
      <c r="AA248" s="246">
        <v>21</v>
      </c>
      <c r="AB248" s="246"/>
      <c r="AC248" s="247">
        <v>2298</v>
      </c>
      <c r="AD248" s="245">
        <v>113</v>
      </c>
      <c r="AE248" s="246">
        <v>11</v>
      </c>
      <c r="AF248" s="246">
        <v>54</v>
      </c>
      <c r="AG248" s="246">
        <v>7</v>
      </c>
      <c r="AH248" s="248"/>
      <c r="AI248" s="248">
        <v>185</v>
      </c>
      <c r="AJ248" s="245"/>
      <c r="AK248" s="246"/>
      <c r="AL248" s="248"/>
      <c r="AM248" s="245"/>
      <c r="AN248" s="563"/>
    </row>
    <row r="249" spans="1:41">
      <c r="A249" s="239"/>
      <c r="B249" s="239" t="s">
        <v>93</v>
      </c>
      <c r="C249" s="572">
        <f t="shared" ref="C249:T249" si="157">IF(V249&gt;0,(V249/V253),0)</f>
        <v>0.24608610567514677</v>
      </c>
      <c r="D249" s="572">
        <f t="shared" si="157"/>
        <v>0.2766544117647059</v>
      </c>
      <c r="E249" s="572">
        <f t="shared" si="157"/>
        <v>0.30078740157480316</v>
      </c>
      <c r="F249" s="572">
        <f t="shared" si="157"/>
        <v>0.24915824915824916</v>
      </c>
      <c r="G249" s="572">
        <f t="shared" si="157"/>
        <v>0.2645631067961165</v>
      </c>
      <c r="H249" s="572">
        <f t="shared" si="157"/>
        <v>0.28877005347593582</v>
      </c>
      <c r="I249" s="572">
        <f t="shared" si="157"/>
        <v>0</v>
      </c>
      <c r="J249" s="573">
        <f t="shared" si="157"/>
        <v>0.26075135936727634</v>
      </c>
      <c r="K249" s="574">
        <f t="shared" si="157"/>
        <v>0.19444444444444445</v>
      </c>
      <c r="L249" s="572">
        <f t="shared" si="157"/>
        <v>0.28758169934640521</v>
      </c>
      <c r="M249" s="572">
        <f t="shared" si="157"/>
        <v>0.18900343642611683</v>
      </c>
      <c r="N249" s="572">
        <f t="shared" si="157"/>
        <v>0.25</v>
      </c>
      <c r="O249" s="575">
        <f t="shared" si="157"/>
        <v>0</v>
      </c>
      <c r="P249" s="574">
        <f t="shared" si="157"/>
        <v>0.20457902511078285</v>
      </c>
      <c r="Q249" s="572">
        <f t="shared" si="157"/>
        <v>0</v>
      </c>
      <c r="R249" s="572">
        <f t="shared" si="157"/>
        <v>0</v>
      </c>
      <c r="S249" s="575">
        <f t="shared" si="157"/>
        <v>0</v>
      </c>
      <c r="T249" s="574">
        <f t="shared" si="157"/>
        <v>0</v>
      </c>
      <c r="U249" s="253"/>
      <c r="V249" s="254">
        <v>1006</v>
      </c>
      <c r="W249" s="255">
        <v>602</v>
      </c>
      <c r="X249" s="255">
        <v>191</v>
      </c>
      <c r="Y249" s="255">
        <v>148</v>
      </c>
      <c r="Z249" s="255">
        <v>109</v>
      </c>
      <c r="AA249" s="255">
        <v>54</v>
      </c>
      <c r="AB249" s="255"/>
      <c r="AC249" s="256">
        <v>2110</v>
      </c>
      <c r="AD249" s="254">
        <v>49</v>
      </c>
      <c r="AE249" s="255">
        <v>44</v>
      </c>
      <c r="AF249" s="255">
        <v>165</v>
      </c>
      <c r="AG249" s="255">
        <v>19</v>
      </c>
      <c r="AH249" s="257"/>
      <c r="AI249" s="257">
        <v>277</v>
      </c>
      <c r="AJ249" s="254"/>
      <c r="AK249" s="255"/>
      <c r="AL249" s="257"/>
      <c r="AM249" s="254"/>
      <c r="AN249" s="563"/>
    </row>
    <row r="250" spans="1:41">
      <c r="A250" s="239"/>
      <c r="B250" s="239" t="s">
        <v>55</v>
      </c>
      <c r="C250" s="572">
        <f t="shared" ref="C250:T250" si="158">IF(V250&gt;0,(V250/V253),0)</f>
        <v>0.23679060665362034</v>
      </c>
      <c r="D250" s="572">
        <f t="shared" si="158"/>
        <v>0.29136029411764708</v>
      </c>
      <c r="E250" s="572">
        <f t="shared" si="158"/>
        <v>0.32755905511811023</v>
      </c>
      <c r="F250" s="572">
        <f t="shared" si="158"/>
        <v>0.33333333333333331</v>
      </c>
      <c r="G250" s="572">
        <f t="shared" si="158"/>
        <v>0.28883495145631066</v>
      </c>
      <c r="H250" s="572">
        <f t="shared" si="158"/>
        <v>0.39572192513368987</v>
      </c>
      <c r="I250" s="572">
        <f t="shared" si="158"/>
        <v>0</v>
      </c>
      <c r="J250" s="573">
        <f t="shared" si="158"/>
        <v>0.27199703410776077</v>
      </c>
      <c r="K250" s="574">
        <f t="shared" si="158"/>
        <v>0.26190476190476192</v>
      </c>
      <c r="L250" s="572">
        <f t="shared" si="158"/>
        <v>0.43790849673202614</v>
      </c>
      <c r="M250" s="572">
        <f t="shared" si="158"/>
        <v>0.41695303550973656</v>
      </c>
      <c r="N250" s="572">
        <f t="shared" si="158"/>
        <v>0.51315789473684215</v>
      </c>
      <c r="O250" s="575">
        <f t="shared" si="158"/>
        <v>0</v>
      </c>
      <c r="P250" s="574">
        <f t="shared" si="158"/>
        <v>0.39586410635155095</v>
      </c>
      <c r="Q250" s="572">
        <f t="shared" si="158"/>
        <v>0</v>
      </c>
      <c r="R250" s="572">
        <f t="shared" si="158"/>
        <v>0</v>
      </c>
      <c r="S250" s="575">
        <f t="shared" si="158"/>
        <v>0</v>
      </c>
      <c r="T250" s="574">
        <f t="shared" si="158"/>
        <v>0</v>
      </c>
      <c r="U250" s="253"/>
      <c r="V250" s="254">
        <v>968</v>
      </c>
      <c r="W250" s="255">
        <v>634</v>
      </c>
      <c r="X250" s="255">
        <v>208</v>
      </c>
      <c r="Y250" s="255">
        <v>198</v>
      </c>
      <c r="Z250" s="255">
        <v>119</v>
      </c>
      <c r="AA250" s="255">
        <v>74</v>
      </c>
      <c r="AB250" s="255"/>
      <c r="AC250" s="256">
        <v>2201</v>
      </c>
      <c r="AD250" s="254">
        <v>66</v>
      </c>
      <c r="AE250" s="255">
        <v>67</v>
      </c>
      <c r="AF250" s="255">
        <v>364</v>
      </c>
      <c r="AG250" s="255">
        <v>39</v>
      </c>
      <c r="AH250" s="257"/>
      <c r="AI250" s="257">
        <v>536</v>
      </c>
      <c r="AJ250" s="254"/>
      <c r="AK250" s="255"/>
      <c r="AL250" s="257"/>
      <c r="AM250" s="254"/>
      <c r="AN250" s="563"/>
    </row>
    <row r="251" spans="1:41">
      <c r="A251" s="239"/>
      <c r="B251" s="239" t="s">
        <v>78</v>
      </c>
      <c r="C251" s="572">
        <f t="shared" ref="C251:T251" si="159">IF(V251&gt;0,(V251/V253),0)</f>
        <v>2.446183953033268E-3</v>
      </c>
      <c r="D251" s="572">
        <f t="shared" si="159"/>
        <v>9.9724264705882359E-2</v>
      </c>
      <c r="E251" s="572">
        <f t="shared" si="159"/>
        <v>4.7244094488188976E-2</v>
      </c>
      <c r="F251" s="572">
        <f t="shared" si="159"/>
        <v>0.16835016835016836</v>
      </c>
      <c r="G251" s="572">
        <f t="shared" si="159"/>
        <v>4.8543689320388345E-3</v>
      </c>
      <c r="H251" s="572">
        <f t="shared" si="159"/>
        <v>0</v>
      </c>
      <c r="I251" s="572">
        <f t="shared" si="159"/>
        <v>0</v>
      </c>
      <c r="J251" s="573">
        <f t="shared" si="159"/>
        <v>4.4364804745427582E-2</v>
      </c>
      <c r="K251" s="574">
        <f t="shared" si="159"/>
        <v>9.5238095238095233E-2</v>
      </c>
      <c r="L251" s="572">
        <f t="shared" si="159"/>
        <v>0.20261437908496732</v>
      </c>
      <c r="M251" s="572">
        <f t="shared" si="159"/>
        <v>0.26689576174112256</v>
      </c>
      <c r="N251" s="572">
        <f t="shared" si="159"/>
        <v>0.14473684210526316</v>
      </c>
      <c r="O251" s="575">
        <f t="shared" si="159"/>
        <v>0</v>
      </c>
      <c r="P251" s="574">
        <f t="shared" si="159"/>
        <v>0.22082717872968982</v>
      </c>
      <c r="Q251" s="572">
        <f t="shared" si="159"/>
        <v>0</v>
      </c>
      <c r="R251" s="572">
        <f t="shared" si="159"/>
        <v>0</v>
      </c>
      <c r="S251" s="575">
        <f t="shared" si="159"/>
        <v>0</v>
      </c>
      <c r="T251" s="574">
        <f t="shared" si="159"/>
        <v>0</v>
      </c>
      <c r="U251" s="253"/>
      <c r="V251" s="254">
        <v>10</v>
      </c>
      <c r="W251" s="255">
        <v>217</v>
      </c>
      <c r="X251" s="255">
        <v>30</v>
      </c>
      <c r="Y251" s="255">
        <v>100</v>
      </c>
      <c r="Z251" s="255">
        <v>2</v>
      </c>
      <c r="AA251" s="255"/>
      <c r="AB251" s="255"/>
      <c r="AC251" s="256">
        <v>359</v>
      </c>
      <c r="AD251" s="254">
        <v>24</v>
      </c>
      <c r="AE251" s="255">
        <v>31</v>
      </c>
      <c r="AF251" s="255">
        <v>233</v>
      </c>
      <c r="AG251" s="255">
        <v>11</v>
      </c>
      <c r="AH251" s="257"/>
      <c r="AI251" s="257">
        <v>299</v>
      </c>
      <c r="AJ251" s="254"/>
      <c r="AK251" s="255"/>
      <c r="AL251" s="257"/>
      <c r="AM251" s="254"/>
      <c r="AN251" s="563"/>
    </row>
    <row r="252" spans="1:41">
      <c r="A252" s="580"/>
      <c r="B252" s="580" t="s">
        <v>131</v>
      </c>
      <c r="C252" s="581">
        <f t="shared" ref="C252:T252" si="160">IF(V252&gt;0,(V252/V253),0)</f>
        <v>0.16658512720156557</v>
      </c>
      <c r="D252" s="582">
        <f t="shared" si="160"/>
        <v>8.547794117647059E-2</v>
      </c>
      <c r="E252" s="582">
        <f t="shared" si="160"/>
        <v>0.10708661417322834</v>
      </c>
      <c r="F252" s="582">
        <f t="shared" si="160"/>
        <v>0.1111111111111111</v>
      </c>
      <c r="G252" s="582">
        <f t="shared" si="160"/>
        <v>0.20631067961165048</v>
      </c>
      <c r="H252" s="582">
        <f t="shared" si="160"/>
        <v>0.20320855614973263</v>
      </c>
      <c r="I252" s="583">
        <f t="shared" si="160"/>
        <v>0</v>
      </c>
      <c r="J252" s="584">
        <f t="shared" si="160"/>
        <v>0.13890261987147801</v>
      </c>
      <c r="K252" s="581">
        <f t="shared" si="160"/>
        <v>0</v>
      </c>
      <c r="L252" s="582">
        <f t="shared" si="160"/>
        <v>0</v>
      </c>
      <c r="M252" s="582">
        <f t="shared" si="160"/>
        <v>6.5292096219931275E-2</v>
      </c>
      <c r="N252" s="582">
        <f t="shared" si="160"/>
        <v>0</v>
      </c>
      <c r="O252" s="583">
        <f t="shared" si="160"/>
        <v>0</v>
      </c>
      <c r="P252" s="581">
        <f t="shared" si="160"/>
        <v>4.2097488921713444E-2</v>
      </c>
      <c r="Q252" s="581">
        <f t="shared" si="160"/>
        <v>0</v>
      </c>
      <c r="R252" s="582">
        <f t="shared" si="160"/>
        <v>0</v>
      </c>
      <c r="S252" s="583">
        <f t="shared" si="160"/>
        <v>0</v>
      </c>
      <c r="T252" s="581">
        <f t="shared" si="160"/>
        <v>0</v>
      </c>
      <c r="U252" s="253"/>
      <c r="V252" s="585">
        <v>681</v>
      </c>
      <c r="W252" s="586">
        <v>186</v>
      </c>
      <c r="X252" s="586">
        <v>68</v>
      </c>
      <c r="Y252" s="586">
        <v>66</v>
      </c>
      <c r="Z252" s="586">
        <v>85</v>
      </c>
      <c r="AA252" s="586">
        <v>38</v>
      </c>
      <c r="AB252" s="586"/>
      <c r="AC252" s="587">
        <v>1124</v>
      </c>
      <c r="AD252" s="585"/>
      <c r="AE252" s="586"/>
      <c r="AF252" s="586">
        <v>57</v>
      </c>
      <c r="AG252" s="586"/>
      <c r="AH252" s="588"/>
      <c r="AI252" s="588">
        <v>57</v>
      </c>
      <c r="AJ252" s="585"/>
      <c r="AK252" s="586"/>
      <c r="AL252" s="588"/>
      <c r="AM252" s="585"/>
    </row>
    <row r="253" spans="1:41">
      <c r="A253" s="436"/>
      <c r="B253" s="436" t="s">
        <v>59</v>
      </c>
      <c r="C253" s="456">
        <f t="shared" ref="C253:T253" si="161">SUM(C248:C252)</f>
        <v>1</v>
      </c>
      <c r="D253" s="456">
        <f t="shared" si="161"/>
        <v>1</v>
      </c>
      <c r="E253" s="456">
        <f t="shared" si="161"/>
        <v>1</v>
      </c>
      <c r="F253" s="456">
        <f t="shared" si="161"/>
        <v>1</v>
      </c>
      <c r="G253" s="456">
        <f t="shared" si="161"/>
        <v>1</v>
      </c>
      <c r="H253" s="456">
        <f t="shared" si="161"/>
        <v>1</v>
      </c>
      <c r="I253" s="456">
        <f t="shared" si="161"/>
        <v>0</v>
      </c>
      <c r="J253" s="576">
        <f t="shared" si="161"/>
        <v>1</v>
      </c>
      <c r="K253" s="577">
        <f t="shared" si="161"/>
        <v>1</v>
      </c>
      <c r="L253" s="578">
        <f t="shared" si="161"/>
        <v>1</v>
      </c>
      <c r="M253" s="578">
        <f t="shared" si="161"/>
        <v>1</v>
      </c>
      <c r="N253" s="578">
        <f t="shared" si="161"/>
        <v>1</v>
      </c>
      <c r="O253" s="579">
        <f t="shared" si="161"/>
        <v>0</v>
      </c>
      <c r="P253" s="577">
        <f t="shared" si="161"/>
        <v>1</v>
      </c>
      <c r="Q253" s="578">
        <f t="shared" si="161"/>
        <v>0</v>
      </c>
      <c r="R253" s="578">
        <f t="shared" si="161"/>
        <v>0</v>
      </c>
      <c r="S253" s="579">
        <f t="shared" si="161"/>
        <v>0</v>
      </c>
      <c r="T253" s="577">
        <f t="shared" si="161"/>
        <v>0</v>
      </c>
      <c r="U253" s="253"/>
      <c r="V253" s="265">
        <v>4088</v>
      </c>
      <c r="W253" s="266">
        <v>2176</v>
      </c>
      <c r="X253" s="266">
        <v>635</v>
      </c>
      <c r="Y253" s="266">
        <v>594</v>
      </c>
      <c r="Z253" s="266">
        <v>412</v>
      </c>
      <c r="AA253" s="266">
        <v>187</v>
      </c>
      <c r="AB253" s="266"/>
      <c r="AC253" s="267">
        <v>8092</v>
      </c>
      <c r="AD253" s="265">
        <v>252</v>
      </c>
      <c r="AE253" s="266">
        <v>153</v>
      </c>
      <c r="AF253" s="266">
        <v>873</v>
      </c>
      <c r="AG253" s="266">
        <v>76</v>
      </c>
      <c r="AH253" s="268"/>
      <c r="AI253" s="268">
        <v>1354</v>
      </c>
      <c r="AJ253" s="265"/>
      <c r="AK253" s="266"/>
      <c r="AL253" s="268"/>
      <c r="AM253" s="265"/>
      <c r="AN253" s="563"/>
    </row>
    <row r="254" spans="1:41" ht="18" customHeight="1">
      <c r="A254" s="240" t="s">
        <v>142</v>
      </c>
      <c r="B254" s="240" t="s">
        <v>53</v>
      </c>
      <c r="C254" s="568">
        <f t="shared" ref="C254:T254" si="162">IF(V254&gt;0,(V254/V259),0)</f>
        <v>0.35640266469282011</v>
      </c>
      <c r="D254" s="568">
        <f t="shared" si="162"/>
        <v>0</v>
      </c>
      <c r="E254" s="568">
        <f t="shared" si="162"/>
        <v>0.27304347826086955</v>
      </c>
      <c r="F254" s="568">
        <f t="shared" si="162"/>
        <v>0</v>
      </c>
      <c r="G254" s="568">
        <f t="shared" si="162"/>
        <v>0</v>
      </c>
      <c r="H254" s="568">
        <f t="shared" si="162"/>
        <v>0</v>
      </c>
      <c r="I254" s="568">
        <f t="shared" si="162"/>
        <v>0</v>
      </c>
      <c r="J254" s="569">
        <f t="shared" si="162"/>
        <v>0.34177601464754348</v>
      </c>
      <c r="K254" s="570">
        <f t="shared" si="162"/>
        <v>0</v>
      </c>
      <c r="L254" s="568">
        <f t="shared" si="162"/>
        <v>0.49919484702093397</v>
      </c>
      <c r="M254" s="568">
        <f t="shared" si="162"/>
        <v>5.6310679611650483E-2</v>
      </c>
      <c r="N254" s="568">
        <f t="shared" si="162"/>
        <v>0.15923566878980891</v>
      </c>
      <c r="O254" s="571">
        <f t="shared" si="162"/>
        <v>0</v>
      </c>
      <c r="P254" s="570">
        <f t="shared" si="162"/>
        <v>0.21736725663716813</v>
      </c>
      <c r="Q254" s="568">
        <f t="shared" si="162"/>
        <v>0</v>
      </c>
      <c r="R254" s="568">
        <f t="shared" si="162"/>
        <v>0</v>
      </c>
      <c r="S254" s="571">
        <f t="shared" si="162"/>
        <v>0</v>
      </c>
      <c r="T254" s="570">
        <f t="shared" si="162"/>
        <v>0</v>
      </c>
      <c r="U254" s="253"/>
      <c r="V254" s="245">
        <v>963</v>
      </c>
      <c r="W254" s="246"/>
      <c r="X254" s="246">
        <v>157</v>
      </c>
      <c r="Y254" s="246"/>
      <c r="Z254" s="246"/>
      <c r="AA254" s="246"/>
      <c r="AB254" s="246"/>
      <c r="AC254" s="247">
        <v>1120</v>
      </c>
      <c r="AD254" s="245"/>
      <c r="AE254" s="246">
        <v>310</v>
      </c>
      <c r="AF254" s="246">
        <v>58</v>
      </c>
      <c r="AG254" s="246">
        <v>25</v>
      </c>
      <c r="AH254" s="248"/>
      <c r="AI254" s="248">
        <v>393</v>
      </c>
      <c r="AJ254" s="245"/>
      <c r="AK254" s="246"/>
      <c r="AL254" s="248"/>
      <c r="AM254" s="245"/>
      <c r="AN254" s="563"/>
    </row>
    <row r="255" spans="1:41" ht="18" customHeight="1">
      <c r="A255" s="239"/>
      <c r="B255" s="239" t="s">
        <v>93</v>
      </c>
      <c r="C255" s="572">
        <f t="shared" ref="C255:T255" si="163">IF(V255&gt;0,(V255/V259),0)</f>
        <v>0.28793486306439675</v>
      </c>
      <c r="D255" s="572">
        <f t="shared" si="163"/>
        <v>0</v>
      </c>
      <c r="E255" s="572">
        <f t="shared" si="163"/>
        <v>0.3339130434782609</v>
      </c>
      <c r="F255" s="572">
        <f t="shared" si="163"/>
        <v>0</v>
      </c>
      <c r="G255" s="572">
        <f t="shared" si="163"/>
        <v>0</v>
      </c>
      <c r="H255" s="572">
        <f t="shared" si="163"/>
        <v>0</v>
      </c>
      <c r="I255" s="572">
        <f t="shared" si="163"/>
        <v>0</v>
      </c>
      <c r="J255" s="573">
        <f t="shared" si="163"/>
        <v>0.29600244125724751</v>
      </c>
      <c r="K255" s="574">
        <f t="shared" si="163"/>
        <v>0</v>
      </c>
      <c r="L255" s="572">
        <f t="shared" si="163"/>
        <v>0.18357487922705315</v>
      </c>
      <c r="M255" s="572">
        <f t="shared" si="163"/>
        <v>3.8834951456310676E-2</v>
      </c>
      <c r="N255" s="572">
        <f t="shared" si="163"/>
        <v>0.21656050955414013</v>
      </c>
      <c r="O255" s="575">
        <f t="shared" si="163"/>
        <v>0</v>
      </c>
      <c r="P255" s="574">
        <f t="shared" si="163"/>
        <v>0.10398230088495575</v>
      </c>
      <c r="Q255" s="572">
        <f t="shared" si="163"/>
        <v>0</v>
      </c>
      <c r="R255" s="572">
        <f t="shared" si="163"/>
        <v>0</v>
      </c>
      <c r="S255" s="575">
        <f t="shared" si="163"/>
        <v>0</v>
      </c>
      <c r="T255" s="574">
        <f t="shared" si="163"/>
        <v>0</v>
      </c>
      <c r="U255" s="253"/>
      <c r="V255" s="254">
        <v>778</v>
      </c>
      <c r="W255" s="255"/>
      <c r="X255" s="255">
        <v>192</v>
      </c>
      <c r="Y255" s="255"/>
      <c r="Z255" s="255"/>
      <c r="AA255" s="255"/>
      <c r="AB255" s="255"/>
      <c r="AC255" s="256">
        <v>970</v>
      </c>
      <c r="AD255" s="254"/>
      <c r="AE255" s="255">
        <v>114</v>
      </c>
      <c r="AF255" s="255">
        <v>40</v>
      </c>
      <c r="AG255" s="255">
        <v>34</v>
      </c>
      <c r="AH255" s="257"/>
      <c r="AI255" s="257">
        <v>188</v>
      </c>
      <c r="AJ255" s="254"/>
      <c r="AK255" s="255"/>
      <c r="AL255" s="257"/>
      <c r="AM255" s="254"/>
      <c r="AN255" s="563"/>
    </row>
    <row r="256" spans="1:41" ht="18" customHeight="1">
      <c r="A256" s="239"/>
      <c r="B256" s="239" t="s">
        <v>55</v>
      </c>
      <c r="C256" s="572">
        <f t="shared" ref="C256:T256" si="164">IF(V256&gt;0,(V256/V259),0)</f>
        <v>0.23723168023686159</v>
      </c>
      <c r="D256" s="572">
        <f t="shared" si="164"/>
        <v>0</v>
      </c>
      <c r="E256" s="572">
        <f t="shared" si="164"/>
        <v>0.21043478260869566</v>
      </c>
      <c r="F256" s="572">
        <f t="shared" si="164"/>
        <v>0</v>
      </c>
      <c r="G256" s="572">
        <f t="shared" si="164"/>
        <v>0</v>
      </c>
      <c r="H256" s="572">
        <f t="shared" si="164"/>
        <v>0</v>
      </c>
      <c r="I256" s="572">
        <f t="shared" si="164"/>
        <v>0</v>
      </c>
      <c r="J256" s="573">
        <f t="shared" si="164"/>
        <v>0.23252975282270369</v>
      </c>
      <c r="K256" s="574">
        <f t="shared" si="164"/>
        <v>0</v>
      </c>
      <c r="L256" s="572">
        <f t="shared" si="164"/>
        <v>0.15136876006441224</v>
      </c>
      <c r="M256" s="572">
        <f t="shared" si="164"/>
        <v>4.8543689320388349E-2</v>
      </c>
      <c r="N256" s="572">
        <f t="shared" si="164"/>
        <v>8.2802547770700632E-2</v>
      </c>
      <c r="O256" s="575">
        <f t="shared" si="164"/>
        <v>0</v>
      </c>
      <c r="P256" s="574">
        <f t="shared" si="164"/>
        <v>8.6836283185840704E-2</v>
      </c>
      <c r="Q256" s="572">
        <f t="shared" si="164"/>
        <v>0</v>
      </c>
      <c r="R256" s="572">
        <f t="shared" si="164"/>
        <v>0</v>
      </c>
      <c r="S256" s="575">
        <f t="shared" si="164"/>
        <v>0</v>
      </c>
      <c r="T256" s="574">
        <f t="shared" si="164"/>
        <v>0</v>
      </c>
      <c r="U256" s="253"/>
      <c r="V256" s="254">
        <v>641</v>
      </c>
      <c r="W256" s="255"/>
      <c r="X256" s="255">
        <v>121</v>
      </c>
      <c r="Y256" s="255"/>
      <c r="Z256" s="255"/>
      <c r="AA256" s="255"/>
      <c r="AB256" s="255"/>
      <c r="AC256" s="256">
        <v>762</v>
      </c>
      <c r="AD256" s="254"/>
      <c r="AE256" s="255">
        <v>94</v>
      </c>
      <c r="AF256" s="255">
        <v>50</v>
      </c>
      <c r="AG256" s="255">
        <v>13</v>
      </c>
      <c r="AH256" s="257"/>
      <c r="AI256" s="257">
        <v>157</v>
      </c>
      <c r="AJ256" s="254"/>
      <c r="AK256" s="255"/>
      <c r="AL256" s="257"/>
      <c r="AM256" s="254"/>
      <c r="AN256" s="563"/>
    </row>
    <row r="257" spans="1:40" ht="18" customHeight="1">
      <c r="A257" s="239"/>
      <c r="B257" s="239" t="s">
        <v>78</v>
      </c>
      <c r="C257" s="572">
        <f t="shared" ref="C257:T257" si="165">IF(V257&gt;0,(V257/V259),0)</f>
        <v>9.9925980754996292E-3</v>
      </c>
      <c r="D257" s="572">
        <f t="shared" si="165"/>
        <v>0</v>
      </c>
      <c r="E257" s="572">
        <f t="shared" si="165"/>
        <v>0.18260869565217391</v>
      </c>
      <c r="F257" s="572">
        <f t="shared" si="165"/>
        <v>0</v>
      </c>
      <c r="G257" s="572">
        <f t="shared" si="165"/>
        <v>0</v>
      </c>
      <c r="H257" s="572">
        <f t="shared" si="165"/>
        <v>0</v>
      </c>
      <c r="I257" s="572">
        <f t="shared" si="165"/>
        <v>0</v>
      </c>
      <c r="J257" s="573">
        <f t="shared" si="165"/>
        <v>4.0280744583460482E-2</v>
      </c>
      <c r="K257" s="574">
        <f t="shared" si="165"/>
        <v>0</v>
      </c>
      <c r="L257" s="572">
        <f t="shared" si="165"/>
        <v>0.14975845410628019</v>
      </c>
      <c r="M257" s="572">
        <f t="shared" si="165"/>
        <v>0.73689320388349511</v>
      </c>
      <c r="N257" s="572">
        <f t="shared" si="165"/>
        <v>0.28025477707006369</v>
      </c>
      <c r="O257" s="575">
        <f t="shared" si="165"/>
        <v>0</v>
      </c>
      <c r="P257" s="574">
        <f t="shared" si="165"/>
        <v>0.49557522123893805</v>
      </c>
      <c r="Q257" s="572">
        <f t="shared" si="165"/>
        <v>0</v>
      </c>
      <c r="R257" s="572">
        <f t="shared" si="165"/>
        <v>0</v>
      </c>
      <c r="S257" s="575">
        <f t="shared" si="165"/>
        <v>0</v>
      </c>
      <c r="T257" s="574">
        <f t="shared" si="165"/>
        <v>0</v>
      </c>
      <c r="U257" s="253"/>
      <c r="V257" s="254">
        <v>27</v>
      </c>
      <c r="W257" s="255"/>
      <c r="X257" s="255">
        <v>105</v>
      </c>
      <c r="Y257" s="255"/>
      <c r="Z257" s="255"/>
      <c r="AA257" s="255"/>
      <c r="AB257" s="255"/>
      <c r="AC257" s="256">
        <v>132</v>
      </c>
      <c r="AD257" s="254"/>
      <c r="AE257" s="255">
        <v>93</v>
      </c>
      <c r="AF257" s="255">
        <v>759</v>
      </c>
      <c r="AG257" s="255">
        <v>44</v>
      </c>
      <c r="AH257" s="257"/>
      <c r="AI257" s="257">
        <v>896</v>
      </c>
      <c r="AJ257" s="254"/>
      <c r="AK257" s="255"/>
      <c r="AL257" s="257"/>
      <c r="AM257" s="254"/>
      <c r="AN257" s="563"/>
    </row>
    <row r="258" spans="1:40">
      <c r="A258" s="580"/>
      <c r="B258" s="580" t="s">
        <v>131</v>
      </c>
      <c r="C258" s="581">
        <f t="shared" ref="C258:T258" si="166">IF(V258&gt;0,(V258/V259),0)</f>
        <v>0.10843819393042191</v>
      </c>
      <c r="D258" s="582">
        <f t="shared" si="166"/>
        <v>0</v>
      </c>
      <c r="E258" s="582">
        <f t="shared" si="166"/>
        <v>0</v>
      </c>
      <c r="F258" s="582">
        <f t="shared" si="166"/>
        <v>0</v>
      </c>
      <c r="G258" s="582">
        <f t="shared" si="166"/>
        <v>0</v>
      </c>
      <c r="H258" s="582">
        <f t="shared" si="166"/>
        <v>0</v>
      </c>
      <c r="I258" s="583">
        <f t="shared" si="166"/>
        <v>0</v>
      </c>
      <c r="J258" s="584">
        <f t="shared" si="166"/>
        <v>8.9411046689044857E-2</v>
      </c>
      <c r="K258" s="581">
        <f t="shared" si="166"/>
        <v>0</v>
      </c>
      <c r="L258" s="582">
        <f t="shared" si="166"/>
        <v>1.610305958132045E-2</v>
      </c>
      <c r="M258" s="582">
        <f t="shared" si="166"/>
        <v>0.11941747572815534</v>
      </c>
      <c r="N258" s="582">
        <f t="shared" si="166"/>
        <v>0.26114649681528662</v>
      </c>
      <c r="O258" s="583">
        <f t="shared" si="166"/>
        <v>0</v>
      </c>
      <c r="P258" s="581">
        <f t="shared" si="166"/>
        <v>9.6238938053097342E-2</v>
      </c>
      <c r="Q258" s="581">
        <f t="shared" si="166"/>
        <v>0</v>
      </c>
      <c r="R258" s="582">
        <f t="shared" si="166"/>
        <v>0</v>
      </c>
      <c r="S258" s="583">
        <f t="shared" si="166"/>
        <v>0</v>
      </c>
      <c r="T258" s="581">
        <f t="shared" si="166"/>
        <v>0</v>
      </c>
      <c r="U258" s="253"/>
      <c r="V258" s="585">
        <v>293</v>
      </c>
      <c r="W258" s="586"/>
      <c r="X258" s="586"/>
      <c r="Y258" s="586"/>
      <c r="Z258" s="586"/>
      <c r="AA258" s="586"/>
      <c r="AB258" s="586"/>
      <c r="AC258" s="587">
        <v>293</v>
      </c>
      <c r="AD258" s="585"/>
      <c r="AE258" s="586">
        <v>10</v>
      </c>
      <c r="AF258" s="586">
        <v>123</v>
      </c>
      <c r="AG258" s="586">
        <v>41</v>
      </c>
      <c r="AH258" s="588"/>
      <c r="AI258" s="588">
        <v>174</v>
      </c>
      <c r="AJ258" s="585"/>
      <c r="AK258" s="586"/>
      <c r="AL258" s="588"/>
      <c r="AM258" s="585"/>
    </row>
    <row r="259" spans="1:40">
      <c r="A259" s="436"/>
      <c r="B259" s="436" t="s">
        <v>59</v>
      </c>
      <c r="C259" s="456">
        <f t="shared" ref="C259:T259" si="167">SUM(C254:C258)</f>
        <v>1</v>
      </c>
      <c r="D259" s="456">
        <f t="shared" si="167"/>
        <v>0</v>
      </c>
      <c r="E259" s="456">
        <f t="shared" si="167"/>
        <v>1</v>
      </c>
      <c r="F259" s="456">
        <f t="shared" si="167"/>
        <v>0</v>
      </c>
      <c r="G259" s="456">
        <f t="shared" si="167"/>
        <v>0</v>
      </c>
      <c r="H259" s="456">
        <f t="shared" si="167"/>
        <v>0</v>
      </c>
      <c r="I259" s="456">
        <f t="shared" si="167"/>
        <v>0</v>
      </c>
      <c r="J259" s="576">
        <f t="shared" si="167"/>
        <v>1</v>
      </c>
      <c r="K259" s="577">
        <f t="shared" si="167"/>
        <v>0</v>
      </c>
      <c r="L259" s="578">
        <f t="shared" si="167"/>
        <v>1</v>
      </c>
      <c r="M259" s="578">
        <f t="shared" si="167"/>
        <v>0.99999999999999989</v>
      </c>
      <c r="N259" s="578">
        <f t="shared" si="167"/>
        <v>1</v>
      </c>
      <c r="O259" s="579">
        <f t="shared" si="167"/>
        <v>0</v>
      </c>
      <c r="P259" s="577">
        <f t="shared" si="167"/>
        <v>1</v>
      </c>
      <c r="Q259" s="578">
        <f t="shared" si="167"/>
        <v>0</v>
      </c>
      <c r="R259" s="578">
        <f t="shared" si="167"/>
        <v>0</v>
      </c>
      <c r="S259" s="579">
        <f t="shared" si="167"/>
        <v>0</v>
      </c>
      <c r="T259" s="577">
        <f t="shared" si="167"/>
        <v>0</v>
      </c>
      <c r="U259" s="253"/>
      <c r="V259" s="265">
        <v>2702</v>
      </c>
      <c r="W259" s="266"/>
      <c r="X259" s="266">
        <v>575</v>
      </c>
      <c r="Y259" s="266"/>
      <c r="Z259" s="266"/>
      <c r="AA259" s="266"/>
      <c r="AB259" s="266"/>
      <c r="AC259" s="267">
        <v>3277</v>
      </c>
      <c r="AD259" s="265"/>
      <c r="AE259" s="266">
        <v>621</v>
      </c>
      <c r="AF259" s="266">
        <v>1030</v>
      </c>
      <c r="AG259" s="266">
        <v>157</v>
      </c>
      <c r="AH259" s="268"/>
      <c r="AI259" s="268">
        <v>1808</v>
      </c>
      <c r="AJ259" s="265"/>
      <c r="AK259" s="266"/>
      <c r="AL259" s="268"/>
      <c r="AM259" s="265"/>
      <c r="AN259" s="563"/>
    </row>
    <row r="260" spans="1:40">
      <c r="A260" s="240" t="s">
        <v>146</v>
      </c>
      <c r="B260" s="240" t="s">
        <v>53</v>
      </c>
      <c r="C260" s="568">
        <f t="shared" ref="C260:T260" si="168">IF(V260&gt;0,(V260/V265),0)</f>
        <v>0.33270588235294118</v>
      </c>
      <c r="D260" s="568">
        <f t="shared" si="168"/>
        <v>0.29464285714285715</v>
      </c>
      <c r="E260" s="568">
        <f t="shared" si="168"/>
        <v>0.26785714285714285</v>
      </c>
      <c r="F260" s="568">
        <f t="shared" si="168"/>
        <v>0.2421875</v>
      </c>
      <c r="G260" s="568">
        <f t="shared" si="168"/>
        <v>0</v>
      </c>
      <c r="H260" s="568">
        <f t="shared" si="168"/>
        <v>0</v>
      </c>
      <c r="I260" s="568">
        <f t="shared" si="168"/>
        <v>0</v>
      </c>
      <c r="J260" s="569">
        <f t="shared" si="168"/>
        <v>0.30689561188334696</v>
      </c>
      <c r="K260" s="570">
        <f t="shared" si="168"/>
        <v>0</v>
      </c>
      <c r="L260" s="568">
        <f t="shared" si="168"/>
        <v>0.36497890295358648</v>
      </c>
      <c r="M260" s="568">
        <f t="shared" si="168"/>
        <v>0.17287234042553193</v>
      </c>
      <c r="N260" s="568">
        <f t="shared" si="168"/>
        <v>7.8886310904872387E-2</v>
      </c>
      <c r="O260" s="571">
        <f t="shared" si="168"/>
        <v>0</v>
      </c>
      <c r="P260" s="570">
        <f t="shared" si="168"/>
        <v>0.17873831775700935</v>
      </c>
      <c r="Q260" s="568">
        <f t="shared" si="168"/>
        <v>0</v>
      </c>
      <c r="R260" s="568">
        <f t="shared" si="168"/>
        <v>0</v>
      </c>
      <c r="S260" s="571">
        <f t="shared" si="168"/>
        <v>0</v>
      </c>
      <c r="T260" s="570">
        <f t="shared" si="168"/>
        <v>0</v>
      </c>
      <c r="U260" s="253"/>
      <c r="V260" s="245">
        <v>707</v>
      </c>
      <c r="W260" s="246">
        <v>132</v>
      </c>
      <c r="X260" s="246">
        <v>225</v>
      </c>
      <c r="Y260" s="246">
        <v>62</v>
      </c>
      <c r="Z260" s="246"/>
      <c r="AA260" s="246"/>
      <c r="AB260" s="246"/>
      <c r="AC260" s="247">
        <v>1126</v>
      </c>
      <c r="AD260" s="245"/>
      <c r="AE260" s="246">
        <v>173</v>
      </c>
      <c r="AF260" s="246">
        <v>65</v>
      </c>
      <c r="AG260" s="246">
        <v>68</v>
      </c>
      <c r="AH260" s="248"/>
      <c r="AI260" s="248">
        <v>306</v>
      </c>
      <c r="AJ260" s="245"/>
      <c r="AK260" s="246"/>
      <c r="AL260" s="248"/>
      <c r="AM260" s="245"/>
      <c r="AN260" s="563"/>
    </row>
    <row r="261" spans="1:40">
      <c r="A261" s="239"/>
      <c r="B261" s="239" t="s">
        <v>93</v>
      </c>
      <c r="C261" s="572">
        <f t="shared" ref="C261:T261" si="169">IF(V261&gt;0,(V261/V265),0)</f>
        <v>0.30870588235294116</v>
      </c>
      <c r="D261" s="572">
        <f t="shared" si="169"/>
        <v>0.29017857142857145</v>
      </c>
      <c r="E261" s="572">
        <f t="shared" si="169"/>
        <v>0.25</v>
      </c>
      <c r="F261" s="572">
        <f t="shared" si="169"/>
        <v>0.27734375</v>
      </c>
      <c r="G261" s="572">
        <f t="shared" si="169"/>
        <v>0</v>
      </c>
      <c r="H261" s="572">
        <f t="shared" si="169"/>
        <v>0</v>
      </c>
      <c r="I261" s="572">
        <f t="shared" si="169"/>
        <v>0</v>
      </c>
      <c r="J261" s="573">
        <f t="shared" si="169"/>
        <v>0.29081493594985008</v>
      </c>
      <c r="K261" s="574">
        <f t="shared" si="169"/>
        <v>0</v>
      </c>
      <c r="L261" s="572">
        <f t="shared" si="169"/>
        <v>0.19831223628691982</v>
      </c>
      <c r="M261" s="572">
        <f t="shared" si="169"/>
        <v>7.1808510638297879E-2</v>
      </c>
      <c r="N261" s="572">
        <f t="shared" si="169"/>
        <v>2.9002320185614848E-2</v>
      </c>
      <c r="O261" s="575">
        <f t="shared" si="169"/>
        <v>0</v>
      </c>
      <c r="P261" s="574">
        <f t="shared" si="169"/>
        <v>8.5280373831775697E-2</v>
      </c>
      <c r="Q261" s="572">
        <f t="shared" si="169"/>
        <v>0</v>
      </c>
      <c r="R261" s="572">
        <f t="shared" si="169"/>
        <v>0</v>
      </c>
      <c r="S261" s="575">
        <f t="shared" si="169"/>
        <v>0</v>
      </c>
      <c r="T261" s="574">
        <f t="shared" si="169"/>
        <v>0</v>
      </c>
      <c r="U261" s="253"/>
      <c r="V261" s="254">
        <v>656</v>
      </c>
      <c r="W261" s="255">
        <v>130</v>
      </c>
      <c r="X261" s="255">
        <v>210</v>
      </c>
      <c r="Y261" s="255">
        <v>71</v>
      </c>
      <c r="Z261" s="255"/>
      <c r="AA261" s="255"/>
      <c r="AB261" s="255"/>
      <c r="AC261" s="256">
        <v>1067</v>
      </c>
      <c r="AD261" s="254"/>
      <c r="AE261" s="255">
        <v>94</v>
      </c>
      <c r="AF261" s="255">
        <v>27</v>
      </c>
      <c r="AG261" s="255">
        <v>25</v>
      </c>
      <c r="AH261" s="257"/>
      <c r="AI261" s="257">
        <v>146</v>
      </c>
      <c r="AJ261" s="254"/>
      <c r="AK261" s="255"/>
      <c r="AL261" s="257"/>
      <c r="AM261" s="254"/>
      <c r="AN261" s="563"/>
    </row>
    <row r="262" spans="1:40">
      <c r="A262" s="239"/>
      <c r="B262" s="239" t="s">
        <v>55</v>
      </c>
      <c r="C262" s="572">
        <f t="shared" ref="C262:T262" si="170">IF(V262&gt;0,(V262/V265),0)</f>
        <v>0.2451764705882353</v>
      </c>
      <c r="D262" s="572">
        <f t="shared" si="170"/>
        <v>0.22544642857142858</v>
      </c>
      <c r="E262" s="572">
        <f t="shared" si="170"/>
        <v>0.26190476190476192</v>
      </c>
      <c r="F262" s="572">
        <f t="shared" si="170"/>
        <v>0.2421875</v>
      </c>
      <c r="G262" s="572">
        <f t="shared" si="170"/>
        <v>0</v>
      </c>
      <c r="H262" s="572">
        <f t="shared" si="170"/>
        <v>0</v>
      </c>
      <c r="I262" s="572">
        <f t="shared" si="170"/>
        <v>0</v>
      </c>
      <c r="J262" s="573">
        <f t="shared" si="170"/>
        <v>0.24638866176069774</v>
      </c>
      <c r="K262" s="574">
        <f t="shared" si="170"/>
        <v>0</v>
      </c>
      <c r="L262" s="572">
        <f t="shared" si="170"/>
        <v>0.12025316455696203</v>
      </c>
      <c r="M262" s="572">
        <f t="shared" si="170"/>
        <v>6.6489361702127658E-2</v>
      </c>
      <c r="N262" s="572">
        <f t="shared" si="170"/>
        <v>1.7401392111368909E-2</v>
      </c>
      <c r="O262" s="575">
        <f t="shared" si="170"/>
        <v>0</v>
      </c>
      <c r="P262" s="574">
        <f t="shared" si="170"/>
        <v>5.6658878504672897E-2</v>
      </c>
      <c r="Q262" s="572">
        <f t="shared" si="170"/>
        <v>0</v>
      </c>
      <c r="R262" s="572">
        <f t="shared" si="170"/>
        <v>0</v>
      </c>
      <c r="S262" s="575">
        <f t="shared" si="170"/>
        <v>0</v>
      </c>
      <c r="T262" s="574">
        <f t="shared" si="170"/>
        <v>0</v>
      </c>
      <c r="U262" s="253"/>
      <c r="V262" s="254">
        <v>521</v>
      </c>
      <c r="W262" s="255">
        <v>101</v>
      </c>
      <c r="X262" s="255">
        <v>220</v>
      </c>
      <c r="Y262" s="255">
        <v>62</v>
      </c>
      <c r="Z262" s="255"/>
      <c r="AA262" s="255"/>
      <c r="AB262" s="255"/>
      <c r="AC262" s="256">
        <v>904</v>
      </c>
      <c r="AD262" s="254"/>
      <c r="AE262" s="255">
        <v>57</v>
      </c>
      <c r="AF262" s="255">
        <v>25</v>
      </c>
      <c r="AG262" s="255">
        <v>15</v>
      </c>
      <c r="AH262" s="257"/>
      <c r="AI262" s="257">
        <v>97</v>
      </c>
      <c r="AJ262" s="254"/>
      <c r="AK262" s="255"/>
      <c r="AL262" s="257"/>
      <c r="AM262" s="254"/>
      <c r="AN262" s="563"/>
    </row>
    <row r="263" spans="1:40">
      <c r="A263" s="239"/>
      <c r="B263" s="239" t="s">
        <v>78</v>
      </c>
      <c r="C263" s="572">
        <f t="shared" ref="C263:T263" si="171">IF(V263&gt;0,(V263/V265),0)</f>
        <v>8.141176470588235E-2</v>
      </c>
      <c r="D263" s="572">
        <f t="shared" si="171"/>
        <v>7.1428571428571425E-2</v>
      </c>
      <c r="E263" s="572">
        <f t="shared" si="171"/>
        <v>0.22023809523809523</v>
      </c>
      <c r="F263" s="572">
        <f t="shared" si="171"/>
        <v>1.953125E-2</v>
      </c>
      <c r="G263" s="572">
        <f t="shared" si="171"/>
        <v>0</v>
      </c>
      <c r="H263" s="572">
        <f t="shared" si="171"/>
        <v>0</v>
      </c>
      <c r="I263" s="572">
        <f t="shared" si="171"/>
        <v>0</v>
      </c>
      <c r="J263" s="573">
        <f t="shared" si="171"/>
        <v>0.10765876260561461</v>
      </c>
      <c r="K263" s="574">
        <f t="shared" si="171"/>
        <v>0</v>
      </c>
      <c r="L263" s="572">
        <f t="shared" si="171"/>
        <v>0.31645569620253167</v>
      </c>
      <c r="M263" s="572">
        <f t="shared" si="171"/>
        <v>0.50797872340425532</v>
      </c>
      <c r="N263" s="572">
        <f t="shared" si="171"/>
        <v>0.87122969837587005</v>
      </c>
      <c r="O263" s="575">
        <f t="shared" si="171"/>
        <v>0</v>
      </c>
      <c r="P263" s="574">
        <f t="shared" si="171"/>
        <v>0.63785046728971961</v>
      </c>
      <c r="Q263" s="572">
        <f t="shared" si="171"/>
        <v>0</v>
      </c>
      <c r="R263" s="572">
        <f t="shared" si="171"/>
        <v>0</v>
      </c>
      <c r="S263" s="575">
        <f t="shared" si="171"/>
        <v>0</v>
      </c>
      <c r="T263" s="574">
        <f t="shared" si="171"/>
        <v>0</v>
      </c>
      <c r="U263" s="253"/>
      <c r="V263" s="254">
        <v>173</v>
      </c>
      <c r="W263" s="255">
        <v>32</v>
      </c>
      <c r="X263" s="255">
        <v>185</v>
      </c>
      <c r="Y263" s="255">
        <v>5</v>
      </c>
      <c r="Z263" s="255"/>
      <c r="AA263" s="255"/>
      <c r="AB263" s="255"/>
      <c r="AC263" s="256">
        <v>395</v>
      </c>
      <c r="AD263" s="254"/>
      <c r="AE263" s="255">
        <v>150</v>
      </c>
      <c r="AF263" s="255">
        <v>191</v>
      </c>
      <c r="AG263" s="255">
        <v>751</v>
      </c>
      <c r="AH263" s="257"/>
      <c r="AI263" s="257">
        <v>1092</v>
      </c>
      <c r="AJ263" s="254"/>
      <c r="AK263" s="255"/>
      <c r="AL263" s="257"/>
      <c r="AM263" s="254"/>
      <c r="AN263" s="563"/>
    </row>
    <row r="264" spans="1:40">
      <c r="A264" s="580"/>
      <c r="B264" s="580" t="s">
        <v>131</v>
      </c>
      <c r="C264" s="581">
        <f t="shared" ref="C264:T264" si="172">IF(V264&gt;0,(V264/V265),0)</f>
        <v>3.2000000000000001E-2</v>
      </c>
      <c r="D264" s="582">
        <f t="shared" si="172"/>
        <v>0.11830357142857142</v>
      </c>
      <c r="E264" s="582">
        <f t="shared" si="172"/>
        <v>0</v>
      </c>
      <c r="F264" s="582">
        <f t="shared" si="172"/>
        <v>0.21875</v>
      </c>
      <c r="G264" s="582">
        <f t="shared" si="172"/>
        <v>0</v>
      </c>
      <c r="H264" s="582">
        <f t="shared" si="172"/>
        <v>0</v>
      </c>
      <c r="I264" s="583">
        <f t="shared" si="172"/>
        <v>0</v>
      </c>
      <c r="J264" s="584">
        <f t="shared" si="172"/>
        <v>4.8242027800490597E-2</v>
      </c>
      <c r="K264" s="581">
        <f t="shared" si="172"/>
        <v>0</v>
      </c>
      <c r="L264" s="582">
        <f t="shared" si="172"/>
        <v>0</v>
      </c>
      <c r="M264" s="582">
        <f t="shared" si="172"/>
        <v>0.18085106382978725</v>
      </c>
      <c r="N264" s="582">
        <f t="shared" si="172"/>
        <v>3.4802784222737818E-3</v>
      </c>
      <c r="O264" s="583">
        <f t="shared" si="172"/>
        <v>0</v>
      </c>
      <c r="P264" s="581">
        <f t="shared" si="172"/>
        <v>4.1471962616822428E-2</v>
      </c>
      <c r="Q264" s="581">
        <f t="shared" si="172"/>
        <v>0</v>
      </c>
      <c r="R264" s="582">
        <f t="shared" si="172"/>
        <v>0</v>
      </c>
      <c r="S264" s="583">
        <f t="shared" si="172"/>
        <v>0</v>
      </c>
      <c r="T264" s="581">
        <f t="shared" si="172"/>
        <v>0</v>
      </c>
      <c r="U264" s="253"/>
      <c r="V264" s="585">
        <v>68</v>
      </c>
      <c r="W264" s="586">
        <v>53</v>
      </c>
      <c r="X264" s="586"/>
      <c r="Y264" s="586">
        <v>56</v>
      </c>
      <c r="Z264" s="586"/>
      <c r="AA264" s="586"/>
      <c r="AB264" s="586"/>
      <c r="AC264" s="587">
        <v>177</v>
      </c>
      <c r="AD264" s="585"/>
      <c r="AE264" s="586"/>
      <c r="AF264" s="586">
        <v>68</v>
      </c>
      <c r="AG264" s="586">
        <v>3</v>
      </c>
      <c r="AH264" s="588"/>
      <c r="AI264" s="588">
        <v>71</v>
      </c>
      <c r="AJ264" s="585"/>
      <c r="AK264" s="586"/>
      <c r="AL264" s="588"/>
      <c r="AM264" s="585"/>
    </row>
    <row r="265" spans="1:40">
      <c r="A265" s="436"/>
      <c r="B265" s="436" t="s">
        <v>59</v>
      </c>
      <c r="C265" s="456">
        <f t="shared" ref="C265:T265" si="173">SUM(C260:C264)</f>
        <v>1</v>
      </c>
      <c r="D265" s="456">
        <f t="shared" si="173"/>
        <v>1</v>
      </c>
      <c r="E265" s="456">
        <f t="shared" si="173"/>
        <v>0.99999999999999989</v>
      </c>
      <c r="F265" s="456">
        <f t="shared" si="173"/>
        <v>1</v>
      </c>
      <c r="G265" s="456">
        <f t="shared" si="173"/>
        <v>0</v>
      </c>
      <c r="H265" s="456">
        <f t="shared" si="173"/>
        <v>0</v>
      </c>
      <c r="I265" s="456">
        <f t="shared" si="173"/>
        <v>0</v>
      </c>
      <c r="J265" s="576">
        <f t="shared" si="173"/>
        <v>0.99999999999999989</v>
      </c>
      <c r="K265" s="577">
        <f t="shared" si="173"/>
        <v>0</v>
      </c>
      <c r="L265" s="578">
        <f t="shared" si="173"/>
        <v>1</v>
      </c>
      <c r="M265" s="578">
        <f t="shared" si="173"/>
        <v>1</v>
      </c>
      <c r="N265" s="578">
        <f t="shared" si="173"/>
        <v>1</v>
      </c>
      <c r="O265" s="579">
        <f t="shared" si="173"/>
        <v>0</v>
      </c>
      <c r="P265" s="577">
        <f t="shared" si="173"/>
        <v>0.99999999999999989</v>
      </c>
      <c r="Q265" s="578">
        <f t="shared" si="173"/>
        <v>0</v>
      </c>
      <c r="R265" s="578">
        <f t="shared" si="173"/>
        <v>0</v>
      </c>
      <c r="S265" s="579">
        <f t="shared" si="173"/>
        <v>0</v>
      </c>
      <c r="T265" s="577">
        <f t="shared" si="173"/>
        <v>0</v>
      </c>
      <c r="U265" s="253"/>
      <c r="V265" s="265">
        <v>2125</v>
      </c>
      <c r="W265" s="266">
        <v>448</v>
      </c>
      <c r="X265" s="266">
        <v>840</v>
      </c>
      <c r="Y265" s="266">
        <v>256</v>
      </c>
      <c r="Z265" s="266"/>
      <c r="AA265" s="266"/>
      <c r="AB265" s="266"/>
      <c r="AC265" s="267">
        <v>3669</v>
      </c>
      <c r="AD265" s="265"/>
      <c r="AE265" s="266">
        <v>474</v>
      </c>
      <c r="AF265" s="266">
        <v>376</v>
      </c>
      <c r="AG265" s="266">
        <v>862</v>
      </c>
      <c r="AH265" s="268"/>
      <c r="AI265" s="268">
        <v>1712</v>
      </c>
      <c r="AJ265" s="265"/>
      <c r="AK265" s="266"/>
      <c r="AL265" s="268"/>
      <c r="AM265" s="265"/>
      <c r="AN265" s="563"/>
    </row>
    <row r="266" spans="1:40">
      <c r="A266" s="240" t="s">
        <v>149</v>
      </c>
      <c r="B266" s="240" t="s">
        <v>53</v>
      </c>
      <c r="C266" s="568">
        <f t="shared" ref="C266:T266" si="174">IF(V266&gt;0,(V266/V271),0)</f>
        <v>0.33867307435589372</v>
      </c>
      <c r="D266" s="568">
        <f t="shared" si="174"/>
        <v>0.23111612175873733</v>
      </c>
      <c r="E266" s="568">
        <f t="shared" si="174"/>
        <v>0.30235783633841884</v>
      </c>
      <c r="F266" s="568">
        <f t="shared" si="174"/>
        <v>0.31741573033707865</v>
      </c>
      <c r="G266" s="568">
        <f t="shared" si="174"/>
        <v>0</v>
      </c>
      <c r="H266" s="568">
        <f t="shared" si="174"/>
        <v>0.24347826086956523</v>
      </c>
      <c r="I266" s="568">
        <f t="shared" si="174"/>
        <v>0</v>
      </c>
      <c r="J266" s="569">
        <f t="shared" si="174"/>
        <v>0.31981876415905008</v>
      </c>
      <c r="K266" s="570">
        <f t="shared" si="174"/>
        <v>0</v>
      </c>
      <c r="L266" s="568">
        <f t="shared" si="174"/>
        <v>0.19941205291523764</v>
      </c>
      <c r="M266" s="568">
        <f t="shared" si="174"/>
        <v>0.23063973063973064</v>
      </c>
      <c r="N266" s="568">
        <f t="shared" si="174"/>
        <v>0.21763085399449036</v>
      </c>
      <c r="O266" s="571">
        <f t="shared" si="174"/>
        <v>0</v>
      </c>
      <c r="P266" s="570">
        <f t="shared" si="174"/>
        <v>0.20780520346897932</v>
      </c>
      <c r="Q266" s="568">
        <f t="shared" si="174"/>
        <v>0</v>
      </c>
      <c r="R266" s="568">
        <f t="shared" si="174"/>
        <v>0</v>
      </c>
      <c r="S266" s="571">
        <f t="shared" si="174"/>
        <v>0</v>
      </c>
      <c r="T266" s="570">
        <f t="shared" si="174"/>
        <v>0</v>
      </c>
      <c r="U266" s="253"/>
      <c r="V266" s="245">
        <v>2537</v>
      </c>
      <c r="W266" s="246">
        <v>205</v>
      </c>
      <c r="X266" s="246">
        <v>872</v>
      </c>
      <c r="Y266" s="246">
        <v>452</v>
      </c>
      <c r="Z266" s="246"/>
      <c r="AA266" s="246">
        <v>28</v>
      </c>
      <c r="AB266" s="246"/>
      <c r="AC266" s="247">
        <v>4094</v>
      </c>
      <c r="AD266" s="245"/>
      <c r="AE266" s="246">
        <v>407</v>
      </c>
      <c r="AF266" s="246">
        <v>137</v>
      </c>
      <c r="AG266" s="246">
        <v>79</v>
      </c>
      <c r="AH266" s="248"/>
      <c r="AI266" s="248">
        <v>623</v>
      </c>
      <c r="AJ266" s="245"/>
      <c r="AK266" s="246"/>
      <c r="AL266" s="248"/>
      <c r="AM266" s="245"/>
      <c r="AN266" s="563"/>
    </row>
    <row r="267" spans="1:40">
      <c r="A267" s="239"/>
      <c r="B267" s="239" t="s">
        <v>93</v>
      </c>
      <c r="C267" s="572">
        <f t="shared" ref="C267:T267" si="175">IF(V267&gt;0,(V267/V271),0)</f>
        <v>0.23227873448137765</v>
      </c>
      <c r="D267" s="572">
        <f t="shared" si="175"/>
        <v>0.34611048478015782</v>
      </c>
      <c r="E267" s="572">
        <f t="shared" si="175"/>
        <v>0.26907073509015256</v>
      </c>
      <c r="F267" s="572">
        <f t="shared" si="175"/>
        <v>0.24157303370786518</v>
      </c>
      <c r="G267" s="572">
        <f t="shared" si="175"/>
        <v>0</v>
      </c>
      <c r="H267" s="572">
        <f t="shared" si="175"/>
        <v>0.24347826086956523</v>
      </c>
      <c r="I267" s="572">
        <f t="shared" si="175"/>
        <v>0</v>
      </c>
      <c r="J267" s="573">
        <f t="shared" si="175"/>
        <v>0.24958987579095382</v>
      </c>
      <c r="K267" s="574">
        <f t="shared" si="175"/>
        <v>0</v>
      </c>
      <c r="L267" s="572">
        <f t="shared" si="175"/>
        <v>5.7324840764331211E-2</v>
      </c>
      <c r="M267" s="572">
        <f t="shared" si="175"/>
        <v>4.5454545454545456E-2</v>
      </c>
      <c r="N267" s="572">
        <f t="shared" si="175"/>
        <v>5.5096418732782371E-3</v>
      </c>
      <c r="O267" s="575">
        <f t="shared" si="175"/>
        <v>0</v>
      </c>
      <c r="P267" s="574">
        <f t="shared" si="175"/>
        <v>4.8699132755170113E-2</v>
      </c>
      <c r="Q267" s="572">
        <f t="shared" si="175"/>
        <v>0</v>
      </c>
      <c r="R267" s="572">
        <f t="shared" si="175"/>
        <v>0</v>
      </c>
      <c r="S267" s="575">
        <f t="shared" si="175"/>
        <v>0</v>
      </c>
      <c r="T267" s="574">
        <f t="shared" si="175"/>
        <v>0</v>
      </c>
      <c r="U267" s="253"/>
      <c r="V267" s="254">
        <v>1740</v>
      </c>
      <c r="W267" s="255">
        <v>307</v>
      </c>
      <c r="X267" s="255">
        <v>776</v>
      </c>
      <c r="Y267" s="255">
        <v>344</v>
      </c>
      <c r="Z267" s="255"/>
      <c r="AA267" s="255">
        <v>28</v>
      </c>
      <c r="AB267" s="255"/>
      <c r="AC267" s="256">
        <v>3195</v>
      </c>
      <c r="AD267" s="254"/>
      <c r="AE267" s="255">
        <v>117</v>
      </c>
      <c r="AF267" s="255">
        <v>27</v>
      </c>
      <c r="AG267" s="255">
        <v>2</v>
      </c>
      <c r="AH267" s="257"/>
      <c r="AI267" s="257">
        <v>146</v>
      </c>
      <c r="AJ267" s="254"/>
      <c r="AK267" s="255"/>
      <c r="AL267" s="257"/>
      <c r="AM267" s="254"/>
      <c r="AN267" s="563"/>
    </row>
    <row r="268" spans="1:40">
      <c r="A268" s="239"/>
      <c r="B268" s="239" t="s">
        <v>55</v>
      </c>
      <c r="C268" s="572">
        <f t="shared" ref="C268:T268" si="176">IF(V268&gt;0,(V268/V271),0)</f>
        <v>0.22760646108663729</v>
      </c>
      <c r="D268" s="572">
        <f t="shared" si="176"/>
        <v>0.29312288613303267</v>
      </c>
      <c r="E268" s="572">
        <f t="shared" si="176"/>
        <v>0.26490984743411927</v>
      </c>
      <c r="F268" s="572">
        <f t="shared" si="176"/>
        <v>0.2794943820224719</v>
      </c>
      <c r="G268" s="572">
        <f t="shared" si="176"/>
        <v>0</v>
      </c>
      <c r="H268" s="572">
        <f t="shared" si="176"/>
        <v>0.40869565217391307</v>
      </c>
      <c r="I268" s="572">
        <f t="shared" si="176"/>
        <v>0</v>
      </c>
      <c r="J268" s="573">
        <f t="shared" si="176"/>
        <v>0.24794937895476915</v>
      </c>
      <c r="K268" s="574">
        <f t="shared" si="176"/>
        <v>0</v>
      </c>
      <c r="L268" s="572">
        <f t="shared" si="176"/>
        <v>5.3895149436550709E-2</v>
      </c>
      <c r="M268" s="572">
        <f t="shared" si="176"/>
        <v>8.2491582491582491E-2</v>
      </c>
      <c r="N268" s="572">
        <f t="shared" si="176"/>
        <v>0</v>
      </c>
      <c r="O268" s="575">
        <f t="shared" si="176"/>
        <v>0</v>
      </c>
      <c r="P268" s="574">
        <f t="shared" si="176"/>
        <v>5.3035356904603072E-2</v>
      </c>
      <c r="Q268" s="572">
        <f t="shared" si="176"/>
        <v>0</v>
      </c>
      <c r="R268" s="572">
        <f t="shared" si="176"/>
        <v>0</v>
      </c>
      <c r="S268" s="575">
        <f t="shared" si="176"/>
        <v>0</v>
      </c>
      <c r="T268" s="574">
        <f t="shared" si="176"/>
        <v>0</v>
      </c>
      <c r="U268" s="253"/>
      <c r="V268" s="254">
        <v>1705</v>
      </c>
      <c r="W268" s="255">
        <v>260</v>
      </c>
      <c r="X268" s="255">
        <v>764</v>
      </c>
      <c r="Y268" s="255">
        <v>398</v>
      </c>
      <c r="Z268" s="255"/>
      <c r="AA268" s="255">
        <v>47</v>
      </c>
      <c r="AB268" s="255"/>
      <c r="AC268" s="256">
        <v>3174</v>
      </c>
      <c r="AD268" s="254"/>
      <c r="AE268" s="255">
        <v>110</v>
      </c>
      <c r="AF268" s="255">
        <v>49</v>
      </c>
      <c r="AG268" s="255"/>
      <c r="AH268" s="257"/>
      <c r="AI268" s="257">
        <v>159</v>
      </c>
      <c r="AJ268" s="254"/>
      <c r="AK268" s="255"/>
      <c r="AL268" s="257"/>
      <c r="AM268" s="254"/>
      <c r="AN268" s="563"/>
    </row>
    <row r="269" spans="1:40">
      <c r="A269" s="239"/>
      <c r="B269" s="239" t="s">
        <v>78</v>
      </c>
      <c r="C269" s="572">
        <f t="shared" ref="C269:T269" si="177">IF(V269&gt;0,(V269/V271),0)</f>
        <v>3.711120010679482E-2</v>
      </c>
      <c r="D269" s="572">
        <f t="shared" si="177"/>
        <v>8.4554678692220969E-2</v>
      </c>
      <c r="E269" s="572">
        <f t="shared" si="177"/>
        <v>7.4549237170596389E-2</v>
      </c>
      <c r="F269" s="572">
        <f t="shared" si="177"/>
        <v>4.8455056179775281E-2</v>
      </c>
      <c r="G269" s="572">
        <f t="shared" si="177"/>
        <v>0</v>
      </c>
      <c r="H269" s="572">
        <f t="shared" si="177"/>
        <v>0.10434782608695652</v>
      </c>
      <c r="I269" s="572">
        <f t="shared" si="177"/>
        <v>0</v>
      </c>
      <c r="J269" s="573">
        <f t="shared" si="177"/>
        <v>5.0699164127802517E-2</v>
      </c>
      <c r="K269" s="574">
        <f t="shared" si="177"/>
        <v>0</v>
      </c>
      <c r="L269" s="572">
        <f t="shared" si="177"/>
        <v>0.16266536011758942</v>
      </c>
      <c r="M269" s="572">
        <f t="shared" si="177"/>
        <v>0.32996632996632996</v>
      </c>
      <c r="N269" s="572">
        <f t="shared" si="177"/>
        <v>0.21212121212121213</v>
      </c>
      <c r="O269" s="575">
        <f t="shared" si="177"/>
        <v>0</v>
      </c>
      <c r="P269" s="574">
        <f t="shared" si="177"/>
        <v>0.20180120080053368</v>
      </c>
      <c r="Q269" s="572">
        <f t="shared" si="177"/>
        <v>0</v>
      </c>
      <c r="R269" s="572">
        <f t="shared" si="177"/>
        <v>0</v>
      </c>
      <c r="S269" s="575">
        <f t="shared" si="177"/>
        <v>0</v>
      </c>
      <c r="T269" s="574">
        <f t="shared" si="177"/>
        <v>0</v>
      </c>
      <c r="U269" s="253"/>
      <c r="V269" s="254">
        <v>278</v>
      </c>
      <c r="W269" s="255">
        <v>75</v>
      </c>
      <c r="X269" s="255">
        <v>215</v>
      </c>
      <c r="Y269" s="255">
        <v>69</v>
      </c>
      <c r="Z269" s="255"/>
      <c r="AA269" s="255">
        <v>12</v>
      </c>
      <c r="AB269" s="255"/>
      <c r="AC269" s="256">
        <v>649</v>
      </c>
      <c r="AD269" s="254"/>
      <c r="AE269" s="255">
        <v>332</v>
      </c>
      <c r="AF269" s="255">
        <v>196</v>
      </c>
      <c r="AG269" s="255">
        <v>77</v>
      </c>
      <c r="AH269" s="257"/>
      <c r="AI269" s="257">
        <v>605</v>
      </c>
      <c r="AJ269" s="254"/>
      <c r="AK269" s="255"/>
      <c r="AL269" s="257"/>
      <c r="AM269" s="254"/>
      <c r="AN269" s="563"/>
    </row>
    <row r="270" spans="1:40">
      <c r="A270" s="580"/>
      <c r="B270" s="580" t="s">
        <v>131</v>
      </c>
      <c r="C270" s="581">
        <f t="shared" ref="C270:T270" si="178">IF(V270&gt;0,(V270/V271),0)</f>
        <v>0.16433052996929648</v>
      </c>
      <c r="D270" s="582">
        <f t="shared" si="178"/>
        <v>4.5095828635851182E-2</v>
      </c>
      <c r="E270" s="582">
        <f t="shared" si="178"/>
        <v>8.9112343966712901E-2</v>
      </c>
      <c r="F270" s="582">
        <f t="shared" si="178"/>
        <v>0.11306179775280899</v>
      </c>
      <c r="G270" s="582">
        <f t="shared" si="178"/>
        <v>0</v>
      </c>
      <c r="H270" s="582">
        <f t="shared" si="178"/>
        <v>0</v>
      </c>
      <c r="I270" s="583">
        <f t="shared" si="178"/>
        <v>0</v>
      </c>
      <c r="J270" s="584">
        <f t="shared" si="178"/>
        <v>0.13194281696742441</v>
      </c>
      <c r="K270" s="581">
        <f t="shared" si="178"/>
        <v>0</v>
      </c>
      <c r="L270" s="582">
        <f t="shared" si="178"/>
        <v>0.52670259676629105</v>
      </c>
      <c r="M270" s="582">
        <f t="shared" si="178"/>
        <v>0.31144781144781147</v>
      </c>
      <c r="N270" s="582">
        <f t="shared" si="178"/>
        <v>0.56473829201101933</v>
      </c>
      <c r="O270" s="583">
        <f t="shared" si="178"/>
        <v>0</v>
      </c>
      <c r="P270" s="581">
        <f t="shared" si="178"/>
        <v>0.48865910607071383</v>
      </c>
      <c r="Q270" s="581">
        <f t="shared" si="178"/>
        <v>0</v>
      </c>
      <c r="R270" s="582">
        <f t="shared" si="178"/>
        <v>0</v>
      </c>
      <c r="S270" s="583">
        <f t="shared" si="178"/>
        <v>0</v>
      </c>
      <c r="T270" s="581">
        <f t="shared" si="178"/>
        <v>0</v>
      </c>
      <c r="U270" s="253"/>
      <c r="V270" s="585">
        <v>1231</v>
      </c>
      <c r="W270" s="586">
        <v>40</v>
      </c>
      <c r="X270" s="586">
        <v>257</v>
      </c>
      <c r="Y270" s="586">
        <v>161</v>
      </c>
      <c r="Z270" s="586"/>
      <c r="AA270" s="586"/>
      <c r="AB270" s="586"/>
      <c r="AC270" s="587">
        <v>1689</v>
      </c>
      <c r="AD270" s="585"/>
      <c r="AE270" s="586">
        <v>1075</v>
      </c>
      <c r="AF270" s="586">
        <v>185</v>
      </c>
      <c r="AG270" s="586">
        <v>205</v>
      </c>
      <c r="AH270" s="588"/>
      <c r="AI270" s="588">
        <v>1465</v>
      </c>
      <c r="AJ270" s="585"/>
      <c r="AK270" s="586"/>
      <c r="AL270" s="588"/>
      <c r="AM270" s="585"/>
    </row>
    <row r="271" spans="1:40">
      <c r="A271" s="436"/>
      <c r="B271" s="436" t="s">
        <v>59</v>
      </c>
      <c r="C271" s="456">
        <f t="shared" ref="C271:T271" si="179">SUM(C266:C270)</f>
        <v>1</v>
      </c>
      <c r="D271" s="456">
        <f t="shared" si="179"/>
        <v>0.99999999999999989</v>
      </c>
      <c r="E271" s="456">
        <f t="shared" si="179"/>
        <v>0.99999999999999989</v>
      </c>
      <c r="F271" s="456">
        <f t="shared" si="179"/>
        <v>1</v>
      </c>
      <c r="G271" s="456">
        <f t="shared" si="179"/>
        <v>0</v>
      </c>
      <c r="H271" s="456">
        <f t="shared" si="179"/>
        <v>1</v>
      </c>
      <c r="I271" s="456">
        <f t="shared" si="179"/>
        <v>0</v>
      </c>
      <c r="J271" s="576">
        <f t="shared" si="179"/>
        <v>1</v>
      </c>
      <c r="K271" s="577">
        <f t="shared" si="179"/>
        <v>0</v>
      </c>
      <c r="L271" s="578">
        <f t="shared" si="179"/>
        <v>1</v>
      </c>
      <c r="M271" s="578">
        <f t="shared" si="179"/>
        <v>1</v>
      </c>
      <c r="N271" s="578">
        <f t="shared" si="179"/>
        <v>1</v>
      </c>
      <c r="O271" s="579">
        <f t="shared" si="179"/>
        <v>0</v>
      </c>
      <c r="P271" s="577">
        <f t="shared" si="179"/>
        <v>1</v>
      </c>
      <c r="Q271" s="578">
        <f t="shared" si="179"/>
        <v>0</v>
      </c>
      <c r="R271" s="578">
        <f t="shared" si="179"/>
        <v>0</v>
      </c>
      <c r="S271" s="579">
        <f t="shared" si="179"/>
        <v>0</v>
      </c>
      <c r="T271" s="577">
        <f t="shared" si="179"/>
        <v>0</v>
      </c>
      <c r="U271" s="253"/>
      <c r="V271" s="265">
        <v>7491</v>
      </c>
      <c r="W271" s="266">
        <v>887</v>
      </c>
      <c r="X271" s="266">
        <v>2884</v>
      </c>
      <c r="Y271" s="266">
        <v>1424</v>
      </c>
      <c r="Z271" s="266"/>
      <c r="AA271" s="266">
        <v>115</v>
      </c>
      <c r="AB271" s="266"/>
      <c r="AC271" s="267">
        <v>12801</v>
      </c>
      <c r="AD271" s="265"/>
      <c r="AE271" s="266">
        <v>2041</v>
      </c>
      <c r="AF271" s="266">
        <v>594</v>
      </c>
      <c r="AG271" s="266">
        <v>363</v>
      </c>
      <c r="AH271" s="268"/>
      <c r="AI271" s="268">
        <v>2998</v>
      </c>
      <c r="AJ271" s="265"/>
      <c r="AK271" s="266"/>
      <c r="AL271" s="268"/>
      <c r="AM271" s="265"/>
      <c r="AN271" s="563"/>
    </row>
    <row r="272" spans="1:40">
      <c r="A272" s="240" t="s">
        <v>150</v>
      </c>
      <c r="B272" s="240" t="s">
        <v>53</v>
      </c>
      <c r="C272" s="568">
        <f t="shared" ref="C272:T272" si="180">IF(V272&gt;0,(V272/V277),0)</f>
        <v>0.3642311886586696</v>
      </c>
      <c r="D272" s="568">
        <f t="shared" si="180"/>
        <v>0</v>
      </c>
      <c r="E272" s="568">
        <f t="shared" si="180"/>
        <v>0.32995267072346179</v>
      </c>
      <c r="F272" s="568">
        <f t="shared" si="180"/>
        <v>0.37300177619893427</v>
      </c>
      <c r="G272" s="568">
        <f t="shared" si="180"/>
        <v>0.39737991266375544</v>
      </c>
      <c r="H272" s="568">
        <f t="shared" si="180"/>
        <v>0.19631901840490798</v>
      </c>
      <c r="I272" s="568">
        <f t="shared" si="180"/>
        <v>0</v>
      </c>
      <c r="J272" s="569">
        <f t="shared" si="180"/>
        <v>0.35134534133867024</v>
      </c>
      <c r="K272" s="570">
        <f t="shared" si="180"/>
        <v>0</v>
      </c>
      <c r="L272" s="568">
        <f t="shared" si="180"/>
        <v>0</v>
      </c>
      <c r="M272" s="568">
        <f t="shared" si="180"/>
        <v>0</v>
      </c>
      <c r="N272" s="568">
        <f t="shared" si="180"/>
        <v>0</v>
      </c>
      <c r="O272" s="571">
        <f t="shared" si="180"/>
        <v>0</v>
      </c>
      <c r="P272" s="570">
        <f t="shared" si="180"/>
        <v>0</v>
      </c>
      <c r="Q272" s="568">
        <f t="shared" si="180"/>
        <v>0</v>
      </c>
      <c r="R272" s="568">
        <f t="shared" si="180"/>
        <v>0</v>
      </c>
      <c r="S272" s="571">
        <f t="shared" si="180"/>
        <v>0</v>
      </c>
      <c r="T272" s="570">
        <f t="shared" si="180"/>
        <v>0</v>
      </c>
      <c r="U272" s="253"/>
      <c r="V272" s="245">
        <v>668</v>
      </c>
      <c r="W272" s="246"/>
      <c r="X272" s="246">
        <v>488</v>
      </c>
      <c r="Y272" s="246">
        <v>210</v>
      </c>
      <c r="Z272" s="246">
        <v>182</v>
      </c>
      <c r="AA272" s="246">
        <v>32</v>
      </c>
      <c r="AB272" s="246"/>
      <c r="AC272" s="247">
        <v>1580</v>
      </c>
      <c r="AD272" s="245"/>
      <c r="AE272" s="246"/>
      <c r="AF272" s="246"/>
      <c r="AG272" s="246"/>
      <c r="AH272" s="248"/>
      <c r="AI272" s="248"/>
      <c r="AJ272" s="245"/>
      <c r="AK272" s="246"/>
      <c r="AL272" s="248"/>
      <c r="AM272" s="245"/>
      <c r="AN272" s="563"/>
    </row>
    <row r="273" spans="1:40">
      <c r="A273" s="239"/>
      <c r="B273" s="239" t="s">
        <v>93</v>
      </c>
      <c r="C273" s="572">
        <f t="shared" ref="C273:T273" si="181">IF(V273&gt;0,(V273/V277),0)</f>
        <v>0.2786259541984733</v>
      </c>
      <c r="D273" s="572">
        <f t="shared" si="181"/>
        <v>0</v>
      </c>
      <c r="E273" s="572">
        <f t="shared" si="181"/>
        <v>0.27586206896551724</v>
      </c>
      <c r="F273" s="572">
        <f t="shared" si="181"/>
        <v>0.28063943161634103</v>
      </c>
      <c r="G273" s="572">
        <f t="shared" si="181"/>
        <v>0.24454148471615719</v>
      </c>
      <c r="H273" s="572">
        <f t="shared" si="181"/>
        <v>0.38036809815950923</v>
      </c>
      <c r="I273" s="572">
        <f t="shared" si="181"/>
        <v>0</v>
      </c>
      <c r="J273" s="573">
        <f t="shared" si="181"/>
        <v>0.27818545697131419</v>
      </c>
      <c r="K273" s="574">
        <f t="shared" si="181"/>
        <v>0</v>
      </c>
      <c r="L273" s="572">
        <f t="shared" si="181"/>
        <v>0</v>
      </c>
      <c r="M273" s="572">
        <f t="shared" si="181"/>
        <v>0</v>
      </c>
      <c r="N273" s="572">
        <f t="shared" si="181"/>
        <v>0</v>
      </c>
      <c r="O273" s="575">
        <f t="shared" si="181"/>
        <v>0</v>
      </c>
      <c r="P273" s="574">
        <f t="shared" si="181"/>
        <v>0</v>
      </c>
      <c r="Q273" s="572">
        <f t="shared" si="181"/>
        <v>0</v>
      </c>
      <c r="R273" s="572">
        <f t="shared" si="181"/>
        <v>0</v>
      </c>
      <c r="S273" s="575">
        <f t="shared" si="181"/>
        <v>0</v>
      </c>
      <c r="T273" s="574">
        <f t="shared" si="181"/>
        <v>0</v>
      </c>
      <c r="U273" s="253"/>
      <c r="V273" s="254">
        <v>511</v>
      </c>
      <c r="W273" s="255"/>
      <c r="X273" s="255">
        <v>408</v>
      </c>
      <c r="Y273" s="255">
        <v>158</v>
      </c>
      <c r="Z273" s="255">
        <v>112</v>
      </c>
      <c r="AA273" s="255">
        <v>62</v>
      </c>
      <c r="AB273" s="255"/>
      <c r="AC273" s="256">
        <v>1251</v>
      </c>
      <c r="AD273" s="254"/>
      <c r="AE273" s="255"/>
      <c r="AF273" s="255"/>
      <c r="AG273" s="255"/>
      <c r="AH273" s="257"/>
      <c r="AI273" s="257"/>
      <c r="AJ273" s="254"/>
      <c r="AK273" s="255"/>
      <c r="AL273" s="257"/>
      <c r="AM273" s="254"/>
      <c r="AN273" s="563"/>
    </row>
    <row r="274" spans="1:40">
      <c r="A274" s="239"/>
      <c r="B274" s="239" t="s">
        <v>55</v>
      </c>
      <c r="C274" s="572">
        <f t="shared" ref="C274:T274" si="182">IF(V274&gt;0,(V274/V277),0)</f>
        <v>0.20665212649945475</v>
      </c>
      <c r="D274" s="572">
        <f t="shared" si="182"/>
        <v>0</v>
      </c>
      <c r="E274" s="572">
        <f t="shared" si="182"/>
        <v>0.31643002028397565</v>
      </c>
      <c r="F274" s="572">
        <f t="shared" si="182"/>
        <v>0.28419182948490229</v>
      </c>
      <c r="G274" s="572">
        <f t="shared" si="182"/>
        <v>0.27292576419213976</v>
      </c>
      <c r="H274" s="572">
        <f t="shared" si="182"/>
        <v>0.22085889570552147</v>
      </c>
      <c r="I274" s="572">
        <f t="shared" si="182"/>
        <v>0</v>
      </c>
      <c r="J274" s="573">
        <f t="shared" si="182"/>
        <v>0.25972870802757392</v>
      </c>
      <c r="K274" s="574">
        <f t="shared" si="182"/>
        <v>0</v>
      </c>
      <c r="L274" s="572">
        <f t="shared" si="182"/>
        <v>0</v>
      </c>
      <c r="M274" s="572">
        <f t="shared" si="182"/>
        <v>0</v>
      </c>
      <c r="N274" s="572">
        <f t="shared" si="182"/>
        <v>0</v>
      </c>
      <c r="O274" s="575">
        <f t="shared" si="182"/>
        <v>0</v>
      </c>
      <c r="P274" s="574">
        <f t="shared" si="182"/>
        <v>0</v>
      </c>
      <c r="Q274" s="572">
        <f t="shared" si="182"/>
        <v>0</v>
      </c>
      <c r="R274" s="572">
        <f t="shared" si="182"/>
        <v>0</v>
      </c>
      <c r="S274" s="575">
        <f t="shared" si="182"/>
        <v>0</v>
      </c>
      <c r="T274" s="574">
        <f t="shared" si="182"/>
        <v>0</v>
      </c>
      <c r="U274" s="253"/>
      <c r="V274" s="254">
        <v>379</v>
      </c>
      <c r="W274" s="255"/>
      <c r="X274" s="255">
        <v>468</v>
      </c>
      <c r="Y274" s="255">
        <v>160</v>
      </c>
      <c r="Z274" s="255">
        <v>125</v>
      </c>
      <c r="AA274" s="255">
        <v>36</v>
      </c>
      <c r="AB274" s="255"/>
      <c r="AC274" s="256">
        <v>1168</v>
      </c>
      <c r="AD274" s="254"/>
      <c r="AE274" s="255"/>
      <c r="AF274" s="255"/>
      <c r="AG274" s="255"/>
      <c r="AH274" s="257"/>
      <c r="AI274" s="257"/>
      <c r="AJ274" s="254"/>
      <c r="AK274" s="255"/>
      <c r="AL274" s="257"/>
      <c r="AM274" s="254"/>
      <c r="AN274" s="563"/>
    </row>
    <row r="275" spans="1:40">
      <c r="A275" s="239"/>
      <c r="B275" s="239" t="s">
        <v>78</v>
      </c>
      <c r="C275" s="572">
        <f t="shared" ref="C275:T275" si="183">IF(V275&gt;0,(V275/V277),0)</f>
        <v>7.7426390403489642E-2</v>
      </c>
      <c r="D275" s="572">
        <f t="shared" si="183"/>
        <v>0</v>
      </c>
      <c r="E275" s="572">
        <f t="shared" si="183"/>
        <v>7.5050709939148072E-2</v>
      </c>
      <c r="F275" s="572">
        <f t="shared" si="183"/>
        <v>6.216696269982238E-2</v>
      </c>
      <c r="G275" s="572">
        <f t="shared" si="183"/>
        <v>8.5152838427947602E-2</v>
      </c>
      <c r="H275" s="572">
        <f t="shared" si="183"/>
        <v>0.13496932515337423</v>
      </c>
      <c r="I275" s="572">
        <f t="shared" si="183"/>
        <v>0</v>
      </c>
      <c r="J275" s="573">
        <f t="shared" si="183"/>
        <v>7.7607293751389819E-2</v>
      </c>
      <c r="K275" s="574">
        <f t="shared" si="183"/>
        <v>0</v>
      </c>
      <c r="L275" s="572">
        <f t="shared" si="183"/>
        <v>0</v>
      </c>
      <c r="M275" s="572">
        <f t="shared" si="183"/>
        <v>0</v>
      </c>
      <c r="N275" s="572">
        <f t="shared" si="183"/>
        <v>0</v>
      </c>
      <c r="O275" s="575">
        <f t="shared" si="183"/>
        <v>0</v>
      </c>
      <c r="P275" s="574">
        <f t="shared" si="183"/>
        <v>0</v>
      </c>
      <c r="Q275" s="572">
        <f t="shared" si="183"/>
        <v>0</v>
      </c>
      <c r="R275" s="572">
        <f t="shared" si="183"/>
        <v>0</v>
      </c>
      <c r="S275" s="575">
        <f t="shared" si="183"/>
        <v>0</v>
      </c>
      <c r="T275" s="574">
        <f t="shared" si="183"/>
        <v>0</v>
      </c>
      <c r="U275" s="253"/>
      <c r="V275" s="254">
        <v>142</v>
      </c>
      <c r="W275" s="255"/>
      <c r="X275" s="255">
        <v>111</v>
      </c>
      <c r="Y275" s="255">
        <v>35</v>
      </c>
      <c r="Z275" s="255">
        <v>39</v>
      </c>
      <c r="AA275" s="255">
        <v>22</v>
      </c>
      <c r="AB275" s="255"/>
      <c r="AC275" s="256">
        <v>349</v>
      </c>
      <c r="AD275" s="254"/>
      <c r="AE275" s="255"/>
      <c r="AF275" s="255"/>
      <c r="AG275" s="255"/>
      <c r="AH275" s="257"/>
      <c r="AI275" s="257"/>
      <c r="AJ275" s="254"/>
      <c r="AK275" s="255"/>
      <c r="AL275" s="257"/>
      <c r="AM275" s="254"/>
      <c r="AN275" s="563"/>
    </row>
    <row r="276" spans="1:40">
      <c r="A276" s="580"/>
      <c r="B276" s="580" t="s">
        <v>131</v>
      </c>
      <c r="C276" s="581">
        <f t="shared" ref="C276:T276" si="184">IF(V276&gt;0,(V276/V277),0)</f>
        <v>7.3064340239912762E-2</v>
      </c>
      <c r="D276" s="582">
        <f t="shared" si="184"/>
        <v>0</v>
      </c>
      <c r="E276" s="582">
        <f t="shared" si="184"/>
        <v>2.7045300878972278E-3</v>
      </c>
      <c r="F276" s="582">
        <f t="shared" si="184"/>
        <v>0</v>
      </c>
      <c r="G276" s="582">
        <f t="shared" si="184"/>
        <v>0</v>
      </c>
      <c r="H276" s="582">
        <f t="shared" si="184"/>
        <v>6.7484662576687116E-2</v>
      </c>
      <c r="I276" s="583">
        <f t="shared" si="184"/>
        <v>0</v>
      </c>
      <c r="J276" s="584">
        <f t="shared" si="184"/>
        <v>3.3133199911051812E-2</v>
      </c>
      <c r="K276" s="581">
        <f t="shared" si="184"/>
        <v>0</v>
      </c>
      <c r="L276" s="582">
        <f t="shared" si="184"/>
        <v>1</v>
      </c>
      <c r="M276" s="582">
        <f t="shared" si="184"/>
        <v>1</v>
      </c>
      <c r="N276" s="582">
        <f t="shared" si="184"/>
        <v>1</v>
      </c>
      <c r="O276" s="583">
        <f t="shared" si="184"/>
        <v>0</v>
      </c>
      <c r="P276" s="581">
        <f t="shared" si="184"/>
        <v>1</v>
      </c>
      <c r="Q276" s="581">
        <f t="shared" si="184"/>
        <v>0</v>
      </c>
      <c r="R276" s="582">
        <f t="shared" si="184"/>
        <v>0</v>
      </c>
      <c r="S276" s="583">
        <f t="shared" si="184"/>
        <v>0</v>
      </c>
      <c r="T276" s="581">
        <f t="shared" si="184"/>
        <v>0</v>
      </c>
      <c r="U276" s="253"/>
      <c r="V276" s="585">
        <v>134</v>
      </c>
      <c r="W276" s="586"/>
      <c r="X276" s="586">
        <v>4</v>
      </c>
      <c r="Y276" s="586"/>
      <c r="Z276" s="586"/>
      <c r="AA276" s="586">
        <v>11</v>
      </c>
      <c r="AB276" s="586"/>
      <c r="AC276" s="587">
        <v>149</v>
      </c>
      <c r="AD276" s="585"/>
      <c r="AE276" s="586">
        <v>656</v>
      </c>
      <c r="AF276" s="586">
        <v>1568</v>
      </c>
      <c r="AG276" s="586">
        <v>486</v>
      </c>
      <c r="AH276" s="588"/>
      <c r="AI276" s="588">
        <v>2710</v>
      </c>
      <c r="AJ276" s="585"/>
      <c r="AK276" s="586"/>
      <c r="AL276" s="588"/>
      <c r="AM276" s="585"/>
    </row>
    <row r="277" spans="1:40">
      <c r="A277" s="436"/>
      <c r="B277" s="436" t="s">
        <v>59</v>
      </c>
      <c r="C277" s="456">
        <f t="shared" ref="C277:T277" si="185">SUM(C272:C276)</f>
        <v>1</v>
      </c>
      <c r="D277" s="456">
        <f t="shared" si="185"/>
        <v>0</v>
      </c>
      <c r="E277" s="456">
        <f t="shared" si="185"/>
        <v>1</v>
      </c>
      <c r="F277" s="456">
        <f t="shared" si="185"/>
        <v>1</v>
      </c>
      <c r="G277" s="456">
        <f t="shared" si="185"/>
        <v>1</v>
      </c>
      <c r="H277" s="456">
        <f t="shared" si="185"/>
        <v>1</v>
      </c>
      <c r="I277" s="456">
        <f t="shared" si="185"/>
        <v>0</v>
      </c>
      <c r="J277" s="576">
        <f t="shared" si="185"/>
        <v>1</v>
      </c>
      <c r="K277" s="577">
        <f t="shared" si="185"/>
        <v>0</v>
      </c>
      <c r="L277" s="578">
        <f t="shared" si="185"/>
        <v>1</v>
      </c>
      <c r="M277" s="578">
        <f t="shared" si="185"/>
        <v>1</v>
      </c>
      <c r="N277" s="578">
        <f t="shared" si="185"/>
        <v>1</v>
      </c>
      <c r="O277" s="579">
        <f t="shared" si="185"/>
        <v>0</v>
      </c>
      <c r="P277" s="577">
        <f t="shared" si="185"/>
        <v>1</v>
      </c>
      <c r="Q277" s="578">
        <f t="shared" si="185"/>
        <v>0</v>
      </c>
      <c r="R277" s="578">
        <f t="shared" si="185"/>
        <v>0</v>
      </c>
      <c r="S277" s="579">
        <f t="shared" si="185"/>
        <v>0</v>
      </c>
      <c r="T277" s="577">
        <f t="shared" si="185"/>
        <v>0</v>
      </c>
      <c r="U277" s="253"/>
      <c r="V277" s="265">
        <v>1834</v>
      </c>
      <c r="W277" s="266"/>
      <c r="X277" s="266">
        <v>1479</v>
      </c>
      <c r="Y277" s="266">
        <v>563</v>
      </c>
      <c r="Z277" s="266">
        <v>458</v>
      </c>
      <c r="AA277" s="266">
        <v>163</v>
      </c>
      <c r="AB277" s="266"/>
      <c r="AC277" s="267">
        <v>4497</v>
      </c>
      <c r="AD277" s="265"/>
      <c r="AE277" s="266">
        <v>656</v>
      </c>
      <c r="AF277" s="266">
        <v>1568</v>
      </c>
      <c r="AG277" s="266">
        <v>486</v>
      </c>
      <c r="AH277" s="268"/>
      <c r="AI277" s="268">
        <v>2710</v>
      </c>
      <c r="AJ277" s="265"/>
      <c r="AK277" s="266"/>
      <c r="AL277" s="268"/>
      <c r="AM277" s="265"/>
      <c r="AN277" s="563"/>
    </row>
    <row r="278" spans="1:40">
      <c r="A278" s="240" t="s">
        <v>151</v>
      </c>
      <c r="B278" s="240" t="s">
        <v>53</v>
      </c>
      <c r="C278" s="568">
        <f t="shared" ref="C278:T278" si="186">IF(V278&gt;0,(V278/V283),0)</f>
        <v>0.2764797507788162</v>
      </c>
      <c r="D278" s="568">
        <f t="shared" si="186"/>
        <v>0.25708502024291496</v>
      </c>
      <c r="E278" s="568">
        <f t="shared" si="186"/>
        <v>0.28304821150855364</v>
      </c>
      <c r="F278" s="568">
        <f t="shared" si="186"/>
        <v>0.38495575221238937</v>
      </c>
      <c r="G278" s="568">
        <f t="shared" si="186"/>
        <v>0.19083969465648856</v>
      </c>
      <c r="H278" s="568">
        <f t="shared" si="186"/>
        <v>0.25934065934065936</v>
      </c>
      <c r="I278" s="568">
        <f t="shared" si="186"/>
        <v>0</v>
      </c>
      <c r="J278" s="569">
        <f t="shared" si="186"/>
        <v>0.28749554684716777</v>
      </c>
      <c r="K278" s="570">
        <f t="shared" si="186"/>
        <v>0</v>
      </c>
      <c r="L278" s="568">
        <f t="shared" si="186"/>
        <v>0.17582417582417584</v>
      </c>
      <c r="M278" s="568">
        <f t="shared" si="186"/>
        <v>0.17206290471785385</v>
      </c>
      <c r="N278" s="568">
        <f t="shared" si="186"/>
        <v>3.5000000000000003E-2</v>
      </c>
      <c r="O278" s="571">
        <f t="shared" si="186"/>
        <v>0</v>
      </c>
      <c r="P278" s="570">
        <f t="shared" si="186"/>
        <v>0.15623100303951368</v>
      </c>
      <c r="Q278" s="568">
        <f t="shared" si="186"/>
        <v>0</v>
      </c>
      <c r="R278" s="568">
        <f t="shared" si="186"/>
        <v>0</v>
      </c>
      <c r="S278" s="571">
        <f t="shared" si="186"/>
        <v>0</v>
      </c>
      <c r="T278" s="570">
        <f t="shared" si="186"/>
        <v>0</v>
      </c>
      <c r="U278" s="253"/>
      <c r="V278" s="245">
        <v>355</v>
      </c>
      <c r="W278" s="246">
        <v>127</v>
      </c>
      <c r="X278" s="246">
        <v>728</v>
      </c>
      <c r="Y278" s="246">
        <v>261</v>
      </c>
      <c r="Z278" s="246">
        <v>25</v>
      </c>
      <c r="AA278" s="246">
        <v>118</v>
      </c>
      <c r="AB278" s="246"/>
      <c r="AC278" s="247">
        <v>1614</v>
      </c>
      <c r="AD278" s="245"/>
      <c r="AE278" s="246">
        <v>64</v>
      </c>
      <c r="AF278" s="246">
        <v>186</v>
      </c>
      <c r="AG278" s="246">
        <v>7</v>
      </c>
      <c r="AH278" s="248"/>
      <c r="AI278" s="248">
        <v>257</v>
      </c>
      <c r="AJ278" s="245"/>
      <c r="AK278" s="246"/>
      <c r="AL278" s="248"/>
      <c r="AM278" s="245"/>
      <c r="AN278" s="563"/>
    </row>
    <row r="279" spans="1:40">
      <c r="A279" s="239"/>
      <c r="B279" s="239" t="s">
        <v>93</v>
      </c>
      <c r="C279" s="572">
        <f t="shared" ref="C279:T279" si="187">IF(V279&gt;0,(V279/V283),0)</f>
        <v>0.30062305295950154</v>
      </c>
      <c r="D279" s="572">
        <f t="shared" si="187"/>
        <v>0.32793522267206476</v>
      </c>
      <c r="E279" s="572">
        <f t="shared" si="187"/>
        <v>0.24066874027993779</v>
      </c>
      <c r="F279" s="572">
        <f t="shared" si="187"/>
        <v>0.29498525073746312</v>
      </c>
      <c r="G279" s="572">
        <f t="shared" si="187"/>
        <v>0.28244274809160308</v>
      </c>
      <c r="H279" s="572">
        <f t="shared" si="187"/>
        <v>0.22197802197802197</v>
      </c>
      <c r="I279" s="572">
        <f t="shared" si="187"/>
        <v>0</v>
      </c>
      <c r="J279" s="573">
        <f t="shared" si="187"/>
        <v>0.26807980049875313</v>
      </c>
      <c r="K279" s="574">
        <f t="shared" si="187"/>
        <v>0</v>
      </c>
      <c r="L279" s="572">
        <f t="shared" si="187"/>
        <v>0.12087912087912088</v>
      </c>
      <c r="M279" s="572">
        <f t="shared" si="187"/>
        <v>0.13413506012950971</v>
      </c>
      <c r="N279" s="572">
        <f t="shared" si="187"/>
        <v>1.4999999999999999E-2</v>
      </c>
      <c r="O279" s="575">
        <f t="shared" si="187"/>
        <v>0</v>
      </c>
      <c r="P279" s="574">
        <f t="shared" si="187"/>
        <v>0.11671732522796352</v>
      </c>
      <c r="Q279" s="572">
        <f t="shared" si="187"/>
        <v>0</v>
      </c>
      <c r="R279" s="572">
        <f t="shared" si="187"/>
        <v>0</v>
      </c>
      <c r="S279" s="575">
        <f t="shared" si="187"/>
        <v>0</v>
      </c>
      <c r="T279" s="574">
        <f t="shared" si="187"/>
        <v>0</v>
      </c>
      <c r="U279" s="253"/>
      <c r="V279" s="254">
        <v>386</v>
      </c>
      <c r="W279" s="255">
        <v>162</v>
      </c>
      <c r="X279" s="255">
        <v>619</v>
      </c>
      <c r="Y279" s="255">
        <v>200</v>
      </c>
      <c r="Z279" s="255">
        <v>37</v>
      </c>
      <c r="AA279" s="255">
        <v>101</v>
      </c>
      <c r="AB279" s="255"/>
      <c r="AC279" s="256">
        <v>1505</v>
      </c>
      <c r="AD279" s="254"/>
      <c r="AE279" s="255">
        <v>44</v>
      </c>
      <c r="AF279" s="255">
        <v>145</v>
      </c>
      <c r="AG279" s="255">
        <v>3</v>
      </c>
      <c r="AH279" s="257"/>
      <c r="AI279" s="257">
        <v>192</v>
      </c>
      <c r="AJ279" s="254"/>
      <c r="AK279" s="255"/>
      <c r="AL279" s="257"/>
      <c r="AM279" s="254"/>
      <c r="AN279" s="563"/>
    </row>
    <row r="280" spans="1:40">
      <c r="A280" s="239"/>
      <c r="B280" s="239" t="s">
        <v>55</v>
      </c>
      <c r="C280" s="572">
        <f t="shared" ref="C280:T280" si="188">IF(V280&gt;0,(V280/V283),0)</f>
        <v>0.28115264797507789</v>
      </c>
      <c r="D280" s="572">
        <f t="shared" si="188"/>
        <v>0.291497975708502</v>
      </c>
      <c r="E280" s="572">
        <f t="shared" si="188"/>
        <v>0.25972006220839816</v>
      </c>
      <c r="F280" s="572">
        <f t="shared" si="188"/>
        <v>0.20943952802359883</v>
      </c>
      <c r="G280" s="572">
        <f t="shared" si="188"/>
        <v>0.45038167938931295</v>
      </c>
      <c r="H280" s="572">
        <f t="shared" si="188"/>
        <v>0.36703296703296701</v>
      </c>
      <c r="I280" s="572">
        <f t="shared" si="188"/>
        <v>0</v>
      </c>
      <c r="J280" s="573">
        <f t="shared" si="188"/>
        <v>0.27449234057712862</v>
      </c>
      <c r="K280" s="574">
        <f t="shared" si="188"/>
        <v>0</v>
      </c>
      <c r="L280" s="572">
        <f t="shared" si="188"/>
        <v>0.13186813186813187</v>
      </c>
      <c r="M280" s="572">
        <f t="shared" si="188"/>
        <v>0.12210915818686402</v>
      </c>
      <c r="N280" s="572">
        <f t="shared" si="188"/>
        <v>9.5000000000000001E-2</v>
      </c>
      <c r="O280" s="575">
        <f t="shared" si="188"/>
        <v>0</v>
      </c>
      <c r="P280" s="574">
        <f t="shared" si="188"/>
        <v>0.1209726443768997</v>
      </c>
      <c r="Q280" s="572">
        <f t="shared" si="188"/>
        <v>0</v>
      </c>
      <c r="R280" s="572">
        <f t="shared" si="188"/>
        <v>0</v>
      </c>
      <c r="S280" s="575">
        <f t="shared" si="188"/>
        <v>0</v>
      </c>
      <c r="T280" s="574">
        <f t="shared" si="188"/>
        <v>0</v>
      </c>
      <c r="U280" s="253"/>
      <c r="V280" s="254">
        <v>361</v>
      </c>
      <c r="W280" s="255">
        <v>144</v>
      </c>
      <c r="X280" s="255">
        <v>668</v>
      </c>
      <c r="Y280" s="255">
        <v>142</v>
      </c>
      <c r="Z280" s="255">
        <v>59</v>
      </c>
      <c r="AA280" s="255">
        <v>167</v>
      </c>
      <c r="AB280" s="255"/>
      <c r="AC280" s="256">
        <v>1541</v>
      </c>
      <c r="AD280" s="254"/>
      <c r="AE280" s="255">
        <v>48</v>
      </c>
      <c r="AF280" s="255">
        <v>132</v>
      </c>
      <c r="AG280" s="255">
        <v>19</v>
      </c>
      <c r="AH280" s="257"/>
      <c r="AI280" s="257">
        <v>199</v>
      </c>
      <c r="AJ280" s="254"/>
      <c r="AK280" s="255"/>
      <c r="AL280" s="257"/>
      <c r="AM280" s="254"/>
      <c r="AN280" s="563"/>
    </row>
    <row r="281" spans="1:40">
      <c r="A281" s="239"/>
      <c r="B281" s="239" t="s">
        <v>78</v>
      </c>
      <c r="C281" s="572">
        <f t="shared" ref="C281:T281" si="189">IF(V281&gt;0,(V281/V283),0)</f>
        <v>6.7757009345794386E-2</v>
      </c>
      <c r="D281" s="572">
        <f t="shared" si="189"/>
        <v>2.0242914979757085E-3</v>
      </c>
      <c r="E281" s="572">
        <f t="shared" si="189"/>
        <v>0.17573872472783825</v>
      </c>
      <c r="F281" s="572">
        <f t="shared" si="189"/>
        <v>6.1946902654867256E-2</v>
      </c>
      <c r="G281" s="572">
        <f t="shared" si="189"/>
        <v>7.6335877862595422E-2</v>
      </c>
      <c r="H281" s="572">
        <f t="shared" si="189"/>
        <v>0.15164835164835164</v>
      </c>
      <c r="I281" s="572">
        <f t="shared" si="189"/>
        <v>0</v>
      </c>
      <c r="J281" s="573">
        <f t="shared" si="189"/>
        <v>0.11774136088350552</v>
      </c>
      <c r="K281" s="574">
        <f t="shared" si="189"/>
        <v>0</v>
      </c>
      <c r="L281" s="572">
        <f t="shared" si="189"/>
        <v>0.5714285714285714</v>
      </c>
      <c r="M281" s="572">
        <f t="shared" si="189"/>
        <v>0.20536540240518039</v>
      </c>
      <c r="N281" s="572">
        <f t="shared" si="189"/>
        <v>0.63</v>
      </c>
      <c r="O281" s="575">
        <f t="shared" si="189"/>
        <v>0</v>
      </c>
      <c r="P281" s="574">
        <f t="shared" si="189"/>
        <v>0.33799392097264436</v>
      </c>
      <c r="Q281" s="572">
        <f t="shared" si="189"/>
        <v>0</v>
      </c>
      <c r="R281" s="572">
        <f t="shared" si="189"/>
        <v>0</v>
      </c>
      <c r="S281" s="575">
        <f t="shared" si="189"/>
        <v>0</v>
      </c>
      <c r="T281" s="574">
        <f t="shared" si="189"/>
        <v>0</v>
      </c>
      <c r="U281" s="253"/>
      <c r="V281" s="254">
        <v>87</v>
      </c>
      <c r="W281" s="255">
        <v>1</v>
      </c>
      <c r="X281" s="255">
        <v>452</v>
      </c>
      <c r="Y281" s="255">
        <v>42</v>
      </c>
      <c r="Z281" s="255">
        <v>10</v>
      </c>
      <c r="AA281" s="255">
        <v>69</v>
      </c>
      <c r="AB281" s="255"/>
      <c r="AC281" s="256">
        <v>661</v>
      </c>
      <c r="AD281" s="254"/>
      <c r="AE281" s="255">
        <v>208</v>
      </c>
      <c r="AF281" s="255">
        <v>222</v>
      </c>
      <c r="AG281" s="255">
        <v>126</v>
      </c>
      <c r="AH281" s="257"/>
      <c r="AI281" s="257">
        <v>556</v>
      </c>
      <c r="AJ281" s="254"/>
      <c r="AK281" s="255"/>
      <c r="AL281" s="257"/>
      <c r="AM281" s="254"/>
      <c r="AN281" s="563"/>
    </row>
    <row r="282" spans="1:40">
      <c r="A282" s="580"/>
      <c r="B282" s="580" t="s">
        <v>131</v>
      </c>
      <c r="C282" s="581">
        <f t="shared" ref="C282:T282" si="190">IF(V282&gt;0,(V282/V283),0)</f>
        <v>7.3987538940809963E-2</v>
      </c>
      <c r="D282" s="582">
        <f t="shared" si="190"/>
        <v>0.1214574898785425</v>
      </c>
      <c r="E282" s="582">
        <f t="shared" si="190"/>
        <v>4.082426127527216E-2</v>
      </c>
      <c r="F282" s="582">
        <f t="shared" si="190"/>
        <v>4.8672566371681415E-2</v>
      </c>
      <c r="G282" s="582">
        <f t="shared" si="190"/>
        <v>0</v>
      </c>
      <c r="H282" s="582">
        <f t="shared" si="190"/>
        <v>0</v>
      </c>
      <c r="I282" s="583">
        <f t="shared" si="190"/>
        <v>0</v>
      </c>
      <c r="J282" s="584">
        <f t="shared" si="190"/>
        <v>5.2190951193444961E-2</v>
      </c>
      <c r="K282" s="581">
        <f t="shared" si="190"/>
        <v>0</v>
      </c>
      <c r="L282" s="582">
        <f t="shared" si="190"/>
        <v>0</v>
      </c>
      <c r="M282" s="582">
        <f t="shared" si="190"/>
        <v>0.36632747456059206</v>
      </c>
      <c r="N282" s="582">
        <f t="shared" si="190"/>
        <v>0.22500000000000001</v>
      </c>
      <c r="O282" s="583">
        <f t="shared" si="190"/>
        <v>0</v>
      </c>
      <c r="P282" s="581">
        <f t="shared" si="190"/>
        <v>0.26808510638297872</v>
      </c>
      <c r="Q282" s="581">
        <f t="shared" si="190"/>
        <v>0</v>
      </c>
      <c r="R282" s="582">
        <f t="shared" si="190"/>
        <v>0</v>
      </c>
      <c r="S282" s="583">
        <f t="shared" si="190"/>
        <v>0</v>
      </c>
      <c r="T282" s="581">
        <f t="shared" si="190"/>
        <v>0</v>
      </c>
      <c r="U282" s="253"/>
      <c r="V282" s="585">
        <v>95</v>
      </c>
      <c r="W282" s="586">
        <v>60</v>
      </c>
      <c r="X282" s="586">
        <v>105</v>
      </c>
      <c r="Y282" s="586">
        <v>33</v>
      </c>
      <c r="Z282" s="586"/>
      <c r="AA282" s="586"/>
      <c r="AB282" s="586"/>
      <c r="AC282" s="587">
        <v>293</v>
      </c>
      <c r="AD282" s="585"/>
      <c r="AE282" s="586"/>
      <c r="AF282" s="586">
        <v>396</v>
      </c>
      <c r="AG282" s="586">
        <v>45</v>
      </c>
      <c r="AH282" s="588"/>
      <c r="AI282" s="588">
        <v>441</v>
      </c>
      <c r="AJ282" s="585"/>
      <c r="AK282" s="586"/>
      <c r="AL282" s="588"/>
      <c r="AM282" s="585"/>
    </row>
    <row r="283" spans="1:40">
      <c r="A283" s="436"/>
      <c r="B283" s="436" t="s">
        <v>59</v>
      </c>
      <c r="C283" s="456">
        <f t="shared" ref="C283:T283" si="191">SUM(C278:C282)</f>
        <v>1</v>
      </c>
      <c r="D283" s="456">
        <f t="shared" si="191"/>
        <v>1</v>
      </c>
      <c r="E283" s="456">
        <f t="shared" si="191"/>
        <v>1</v>
      </c>
      <c r="F283" s="456">
        <f t="shared" si="191"/>
        <v>0.99999999999999989</v>
      </c>
      <c r="G283" s="456">
        <f t="shared" si="191"/>
        <v>1</v>
      </c>
      <c r="H283" s="456">
        <f t="shared" si="191"/>
        <v>1</v>
      </c>
      <c r="I283" s="456">
        <f t="shared" si="191"/>
        <v>0</v>
      </c>
      <c r="J283" s="576">
        <f t="shared" si="191"/>
        <v>1</v>
      </c>
      <c r="K283" s="577">
        <f t="shared" si="191"/>
        <v>0</v>
      </c>
      <c r="L283" s="578">
        <f t="shared" si="191"/>
        <v>1</v>
      </c>
      <c r="M283" s="578">
        <f t="shared" si="191"/>
        <v>1</v>
      </c>
      <c r="N283" s="578">
        <f t="shared" si="191"/>
        <v>1</v>
      </c>
      <c r="O283" s="579">
        <f t="shared" si="191"/>
        <v>0</v>
      </c>
      <c r="P283" s="577">
        <f t="shared" si="191"/>
        <v>1</v>
      </c>
      <c r="Q283" s="578">
        <f t="shared" si="191"/>
        <v>0</v>
      </c>
      <c r="R283" s="578">
        <f t="shared" si="191"/>
        <v>0</v>
      </c>
      <c r="S283" s="579">
        <f t="shared" si="191"/>
        <v>0</v>
      </c>
      <c r="T283" s="577">
        <f t="shared" si="191"/>
        <v>0</v>
      </c>
      <c r="U283" s="253"/>
      <c r="V283" s="265">
        <v>1284</v>
      </c>
      <c r="W283" s="266">
        <v>494</v>
      </c>
      <c r="X283" s="266">
        <v>2572</v>
      </c>
      <c r="Y283" s="266">
        <v>678</v>
      </c>
      <c r="Z283" s="266">
        <v>131</v>
      </c>
      <c r="AA283" s="266">
        <v>455</v>
      </c>
      <c r="AB283" s="266"/>
      <c r="AC283" s="267">
        <v>5614</v>
      </c>
      <c r="AD283" s="265"/>
      <c r="AE283" s="266">
        <v>364</v>
      </c>
      <c r="AF283" s="266">
        <v>1081</v>
      </c>
      <c r="AG283" s="266">
        <v>200</v>
      </c>
      <c r="AH283" s="268"/>
      <c r="AI283" s="268">
        <v>1645</v>
      </c>
      <c r="AJ283" s="265"/>
      <c r="AK283" s="266"/>
      <c r="AL283" s="268"/>
      <c r="AM283" s="265"/>
      <c r="AN283" s="563"/>
    </row>
    <row r="284" spans="1:40">
      <c r="A284" s="240" t="s">
        <v>154</v>
      </c>
      <c r="B284" s="240" t="s">
        <v>53</v>
      </c>
      <c r="C284" s="568">
        <f t="shared" ref="C284:T284" si="192">IF(V284&gt;0,(V284/V289),0)</f>
        <v>0.40993265993265993</v>
      </c>
      <c r="D284" s="568">
        <f t="shared" si="192"/>
        <v>0</v>
      </c>
      <c r="E284" s="568">
        <f t="shared" si="192"/>
        <v>0.32091097308488614</v>
      </c>
      <c r="F284" s="568">
        <f t="shared" si="192"/>
        <v>0.30163934426229511</v>
      </c>
      <c r="G284" s="568">
        <f t="shared" si="192"/>
        <v>0.38931297709923662</v>
      </c>
      <c r="H284" s="568">
        <f t="shared" si="192"/>
        <v>0</v>
      </c>
      <c r="I284" s="568">
        <f t="shared" si="192"/>
        <v>0</v>
      </c>
      <c r="J284" s="569">
        <f t="shared" si="192"/>
        <v>0.37354781054512959</v>
      </c>
      <c r="K284" s="570">
        <f t="shared" si="192"/>
        <v>0</v>
      </c>
      <c r="L284" s="568">
        <f t="shared" si="192"/>
        <v>0</v>
      </c>
      <c r="M284" s="568">
        <f t="shared" si="192"/>
        <v>0</v>
      </c>
      <c r="N284" s="568">
        <f t="shared" si="192"/>
        <v>0</v>
      </c>
      <c r="O284" s="571">
        <f t="shared" si="192"/>
        <v>0</v>
      </c>
      <c r="P284" s="570">
        <f t="shared" si="192"/>
        <v>0</v>
      </c>
      <c r="Q284" s="568">
        <f t="shared" si="192"/>
        <v>0</v>
      </c>
      <c r="R284" s="568">
        <f t="shared" si="192"/>
        <v>0</v>
      </c>
      <c r="S284" s="571">
        <f t="shared" si="192"/>
        <v>0</v>
      </c>
      <c r="T284" s="570">
        <f t="shared" si="192"/>
        <v>0</v>
      </c>
      <c r="U284" s="253"/>
      <c r="V284" s="245">
        <v>487</v>
      </c>
      <c r="W284" s="246"/>
      <c r="X284" s="246">
        <v>155</v>
      </c>
      <c r="Y284" s="246">
        <v>92</v>
      </c>
      <c r="Z284" s="246">
        <v>102</v>
      </c>
      <c r="AA284" s="246"/>
      <c r="AB284" s="246"/>
      <c r="AC284" s="247">
        <v>836</v>
      </c>
      <c r="AD284" s="245"/>
      <c r="AE284" s="246"/>
      <c r="AF284" s="246"/>
      <c r="AG284" s="246"/>
      <c r="AH284" s="248"/>
      <c r="AI284" s="248"/>
      <c r="AJ284" s="245"/>
      <c r="AK284" s="246"/>
      <c r="AL284" s="248"/>
      <c r="AM284" s="245"/>
      <c r="AN284" s="563"/>
    </row>
    <row r="285" spans="1:40">
      <c r="A285" s="239"/>
      <c r="B285" s="239" t="s">
        <v>93</v>
      </c>
      <c r="C285" s="572">
        <f t="shared" ref="C285:T285" si="193">IF(V285&gt;0,(V285/V289),0)</f>
        <v>0.28030303030303028</v>
      </c>
      <c r="D285" s="572">
        <f t="shared" si="193"/>
        <v>0</v>
      </c>
      <c r="E285" s="572">
        <f t="shared" si="193"/>
        <v>0.30434782608695654</v>
      </c>
      <c r="F285" s="572">
        <f t="shared" si="193"/>
        <v>0.28196721311475409</v>
      </c>
      <c r="G285" s="572">
        <f t="shared" si="193"/>
        <v>0.18702290076335878</v>
      </c>
      <c r="H285" s="572">
        <f t="shared" si="193"/>
        <v>0</v>
      </c>
      <c r="I285" s="572">
        <f t="shared" si="193"/>
        <v>0</v>
      </c>
      <c r="J285" s="573">
        <f t="shared" si="193"/>
        <v>0.27479892761394104</v>
      </c>
      <c r="K285" s="574">
        <f t="shared" si="193"/>
        <v>0</v>
      </c>
      <c r="L285" s="572">
        <f t="shared" si="193"/>
        <v>0</v>
      </c>
      <c r="M285" s="572">
        <f t="shared" si="193"/>
        <v>0</v>
      </c>
      <c r="N285" s="572">
        <f t="shared" si="193"/>
        <v>0</v>
      </c>
      <c r="O285" s="575">
        <f t="shared" si="193"/>
        <v>0</v>
      </c>
      <c r="P285" s="574">
        <f t="shared" si="193"/>
        <v>0</v>
      </c>
      <c r="Q285" s="572">
        <f t="shared" si="193"/>
        <v>0</v>
      </c>
      <c r="R285" s="572">
        <f t="shared" si="193"/>
        <v>0</v>
      </c>
      <c r="S285" s="575">
        <f t="shared" si="193"/>
        <v>0</v>
      </c>
      <c r="T285" s="574">
        <f t="shared" si="193"/>
        <v>0</v>
      </c>
      <c r="U285" s="253"/>
      <c r="V285" s="254">
        <v>333</v>
      </c>
      <c r="W285" s="255"/>
      <c r="X285" s="255">
        <v>147</v>
      </c>
      <c r="Y285" s="255">
        <v>86</v>
      </c>
      <c r="Z285" s="255">
        <v>49</v>
      </c>
      <c r="AA285" s="255"/>
      <c r="AB285" s="255"/>
      <c r="AC285" s="256">
        <v>615</v>
      </c>
      <c r="AD285" s="254"/>
      <c r="AE285" s="255"/>
      <c r="AF285" s="255"/>
      <c r="AG285" s="255"/>
      <c r="AH285" s="257"/>
      <c r="AI285" s="257"/>
      <c r="AJ285" s="254"/>
      <c r="AK285" s="255"/>
      <c r="AL285" s="257"/>
      <c r="AM285" s="254"/>
      <c r="AN285" s="563"/>
    </row>
    <row r="286" spans="1:40">
      <c r="A286" s="239"/>
      <c r="B286" s="239" t="s">
        <v>55</v>
      </c>
      <c r="C286" s="572">
        <f t="shared" ref="C286:T286" si="194">IF(V286&gt;0,(V286/V289),0)</f>
        <v>0.2356902356902357</v>
      </c>
      <c r="D286" s="572">
        <f t="shared" si="194"/>
        <v>0</v>
      </c>
      <c r="E286" s="572">
        <f t="shared" si="194"/>
        <v>0.2360248447204969</v>
      </c>
      <c r="F286" s="572">
        <f t="shared" si="194"/>
        <v>0.22295081967213115</v>
      </c>
      <c r="G286" s="572">
        <f t="shared" si="194"/>
        <v>0.29389312977099236</v>
      </c>
      <c r="H286" s="572">
        <f t="shared" si="194"/>
        <v>0</v>
      </c>
      <c r="I286" s="572">
        <f t="shared" si="194"/>
        <v>0</v>
      </c>
      <c r="J286" s="573">
        <f t="shared" si="194"/>
        <v>0.24084003574620197</v>
      </c>
      <c r="K286" s="574">
        <f t="shared" si="194"/>
        <v>0</v>
      </c>
      <c r="L286" s="572">
        <f t="shared" si="194"/>
        <v>0</v>
      </c>
      <c r="M286" s="572">
        <f t="shared" si="194"/>
        <v>0</v>
      </c>
      <c r="N286" s="572">
        <f t="shared" si="194"/>
        <v>0</v>
      </c>
      <c r="O286" s="575">
        <f t="shared" si="194"/>
        <v>0</v>
      </c>
      <c r="P286" s="574">
        <f t="shared" si="194"/>
        <v>0</v>
      </c>
      <c r="Q286" s="572">
        <f t="shared" si="194"/>
        <v>0</v>
      </c>
      <c r="R286" s="572">
        <f t="shared" si="194"/>
        <v>0</v>
      </c>
      <c r="S286" s="575">
        <f t="shared" si="194"/>
        <v>0</v>
      </c>
      <c r="T286" s="574">
        <f t="shared" si="194"/>
        <v>0</v>
      </c>
      <c r="U286" s="253"/>
      <c r="V286" s="254">
        <v>280</v>
      </c>
      <c r="W286" s="255"/>
      <c r="X286" s="255">
        <v>114</v>
      </c>
      <c r="Y286" s="255">
        <v>68</v>
      </c>
      <c r="Z286" s="255">
        <v>77</v>
      </c>
      <c r="AA286" s="255"/>
      <c r="AB286" s="255"/>
      <c r="AC286" s="256">
        <v>539</v>
      </c>
      <c r="AD286" s="254"/>
      <c r="AE286" s="255"/>
      <c r="AF286" s="255"/>
      <c r="AG286" s="255"/>
      <c r="AH286" s="257"/>
      <c r="AI286" s="257"/>
      <c r="AJ286" s="254"/>
      <c r="AK286" s="255"/>
      <c r="AL286" s="257"/>
      <c r="AM286" s="254"/>
      <c r="AN286" s="563"/>
    </row>
    <row r="287" spans="1:40">
      <c r="A287" s="239"/>
      <c r="B287" s="239" t="s">
        <v>78</v>
      </c>
      <c r="C287" s="572">
        <f t="shared" ref="C287:T287" si="195">IF(V287&gt;0,(V287/V289),0)</f>
        <v>0</v>
      </c>
      <c r="D287" s="572">
        <f t="shared" si="195"/>
        <v>0</v>
      </c>
      <c r="E287" s="572">
        <f t="shared" si="195"/>
        <v>8.9026915113871632E-2</v>
      </c>
      <c r="F287" s="572">
        <f t="shared" si="195"/>
        <v>3.2786885245901639E-3</v>
      </c>
      <c r="G287" s="572">
        <f t="shared" si="195"/>
        <v>0.12595419847328243</v>
      </c>
      <c r="H287" s="572">
        <f t="shared" si="195"/>
        <v>0</v>
      </c>
      <c r="I287" s="572">
        <f t="shared" si="195"/>
        <v>0</v>
      </c>
      <c r="J287" s="573">
        <f t="shared" si="195"/>
        <v>3.4405719392314564E-2</v>
      </c>
      <c r="K287" s="574">
        <f t="shared" si="195"/>
        <v>0</v>
      </c>
      <c r="L287" s="572">
        <f t="shared" si="195"/>
        <v>0.42720306513409961</v>
      </c>
      <c r="M287" s="572">
        <f t="shared" si="195"/>
        <v>0</v>
      </c>
      <c r="N287" s="572">
        <f t="shared" si="195"/>
        <v>4.1095890410958902E-2</v>
      </c>
      <c r="O287" s="575">
        <f t="shared" si="195"/>
        <v>0</v>
      </c>
      <c r="P287" s="574">
        <f t="shared" si="195"/>
        <v>0.24361702127659574</v>
      </c>
      <c r="Q287" s="572">
        <f t="shared" si="195"/>
        <v>0</v>
      </c>
      <c r="R287" s="572">
        <f t="shared" si="195"/>
        <v>0</v>
      </c>
      <c r="S287" s="575">
        <f t="shared" si="195"/>
        <v>0</v>
      </c>
      <c r="T287" s="574">
        <f t="shared" si="195"/>
        <v>0</v>
      </c>
      <c r="U287" s="253"/>
      <c r="V287" s="254"/>
      <c r="W287" s="255"/>
      <c r="X287" s="255">
        <v>43</v>
      </c>
      <c r="Y287" s="255">
        <v>1</v>
      </c>
      <c r="Z287" s="255">
        <v>33</v>
      </c>
      <c r="AA287" s="255"/>
      <c r="AB287" s="255"/>
      <c r="AC287" s="256">
        <v>77</v>
      </c>
      <c r="AD287" s="254"/>
      <c r="AE287" s="255">
        <v>223</v>
      </c>
      <c r="AF287" s="255"/>
      <c r="AG287" s="255">
        <v>6</v>
      </c>
      <c r="AH287" s="257"/>
      <c r="AI287" s="257">
        <v>229</v>
      </c>
      <c r="AJ287" s="254"/>
      <c r="AK287" s="255"/>
      <c r="AL287" s="257"/>
      <c r="AM287" s="254"/>
      <c r="AN287" s="563"/>
    </row>
    <row r="288" spans="1:40">
      <c r="A288" s="580"/>
      <c r="B288" s="580" t="s">
        <v>131</v>
      </c>
      <c r="C288" s="581">
        <f t="shared" ref="C288:T288" si="196">IF(V288&gt;0,(V288/V289),0)</f>
        <v>7.407407407407407E-2</v>
      </c>
      <c r="D288" s="582">
        <f t="shared" si="196"/>
        <v>0</v>
      </c>
      <c r="E288" s="582">
        <f t="shared" si="196"/>
        <v>4.9689440993788817E-2</v>
      </c>
      <c r="F288" s="582">
        <f t="shared" si="196"/>
        <v>0.1901639344262295</v>
      </c>
      <c r="G288" s="582">
        <f t="shared" si="196"/>
        <v>3.8167938931297708E-3</v>
      </c>
      <c r="H288" s="582">
        <f t="shared" si="196"/>
        <v>0</v>
      </c>
      <c r="I288" s="583">
        <f t="shared" si="196"/>
        <v>0</v>
      </c>
      <c r="J288" s="584">
        <f t="shared" si="196"/>
        <v>7.6407506702412864E-2</v>
      </c>
      <c r="K288" s="581">
        <f t="shared" si="196"/>
        <v>0</v>
      </c>
      <c r="L288" s="582">
        <f t="shared" si="196"/>
        <v>0.57279693486590033</v>
      </c>
      <c r="M288" s="582">
        <f t="shared" si="196"/>
        <v>1</v>
      </c>
      <c r="N288" s="582">
        <f t="shared" si="196"/>
        <v>0.95890410958904104</v>
      </c>
      <c r="O288" s="583">
        <f t="shared" si="196"/>
        <v>0</v>
      </c>
      <c r="P288" s="581">
        <f t="shared" si="196"/>
        <v>0.75638297872340421</v>
      </c>
      <c r="Q288" s="581">
        <f t="shared" si="196"/>
        <v>0</v>
      </c>
      <c r="R288" s="582">
        <f t="shared" si="196"/>
        <v>0</v>
      </c>
      <c r="S288" s="583">
        <f t="shared" si="196"/>
        <v>0</v>
      </c>
      <c r="T288" s="581">
        <f t="shared" si="196"/>
        <v>0</v>
      </c>
      <c r="U288" s="253"/>
      <c r="V288" s="585">
        <v>88</v>
      </c>
      <c r="W288" s="586"/>
      <c r="X288" s="586">
        <v>24</v>
      </c>
      <c r="Y288" s="586">
        <v>58</v>
      </c>
      <c r="Z288" s="586">
        <v>1</v>
      </c>
      <c r="AA288" s="586"/>
      <c r="AB288" s="586"/>
      <c r="AC288" s="587">
        <v>171</v>
      </c>
      <c r="AD288" s="585"/>
      <c r="AE288" s="586">
        <v>299</v>
      </c>
      <c r="AF288" s="586">
        <v>272</v>
      </c>
      <c r="AG288" s="586">
        <v>140</v>
      </c>
      <c r="AH288" s="588"/>
      <c r="AI288" s="588">
        <v>711</v>
      </c>
      <c r="AJ288" s="585"/>
      <c r="AK288" s="586"/>
      <c r="AL288" s="588"/>
      <c r="AM288" s="585"/>
    </row>
    <row r="289" spans="1:40">
      <c r="A289" s="436"/>
      <c r="B289" s="436" t="s">
        <v>59</v>
      </c>
      <c r="C289" s="456">
        <f t="shared" ref="C289:T289" si="197">SUM(C284:C288)</f>
        <v>1</v>
      </c>
      <c r="D289" s="456">
        <f t="shared" si="197"/>
        <v>0</v>
      </c>
      <c r="E289" s="456">
        <f t="shared" si="197"/>
        <v>1</v>
      </c>
      <c r="F289" s="456">
        <f t="shared" si="197"/>
        <v>1</v>
      </c>
      <c r="G289" s="456">
        <f t="shared" si="197"/>
        <v>1</v>
      </c>
      <c r="H289" s="456">
        <f t="shared" si="197"/>
        <v>0</v>
      </c>
      <c r="I289" s="456">
        <f t="shared" si="197"/>
        <v>0</v>
      </c>
      <c r="J289" s="576">
        <f t="shared" si="197"/>
        <v>1</v>
      </c>
      <c r="K289" s="577">
        <f t="shared" si="197"/>
        <v>0</v>
      </c>
      <c r="L289" s="578">
        <f t="shared" si="197"/>
        <v>1</v>
      </c>
      <c r="M289" s="578">
        <f t="shared" si="197"/>
        <v>1</v>
      </c>
      <c r="N289" s="578">
        <f t="shared" si="197"/>
        <v>1</v>
      </c>
      <c r="O289" s="579">
        <f t="shared" si="197"/>
        <v>0</v>
      </c>
      <c r="P289" s="577">
        <f t="shared" si="197"/>
        <v>1</v>
      </c>
      <c r="Q289" s="578">
        <f t="shared" si="197"/>
        <v>0</v>
      </c>
      <c r="R289" s="578">
        <f t="shared" si="197"/>
        <v>0</v>
      </c>
      <c r="S289" s="579">
        <f t="shared" si="197"/>
        <v>0</v>
      </c>
      <c r="T289" s="577">
        <f t="shared" si="197"/>
        <v>0</v>
      </c>
      <c r="U289" s="253"/>
      <c r="V289" s="265">
        <v>1188</v>
      </c>
      <c r="W289" s="266"/>
      <c r="X289" s="266">
        <v>483</v>
      </c>
      <c r="Y289" s="266">
        <v>305</v>
      </c>
      <c r="Z289" s="266">
        <v>262</v>
      </c>
      <c r="AA289" s="266"/>
      <c r="AB289" s="266"/>
      <c r="AC289" s="267">
        <v>2238</v>
      </c>
      <c r="AD289" s="265"/>
      <c r="AE289" s="266">
        <v>522</v>
      </c>
      <c r="AF289" s="266">
        <v>272</v>
      </c>
      <c r="AG289" s="266">
        <v>146</v>
      </c>
      <c r="AH289" s="268"/>
      <c r="AI289" s="268">
        <v>940</v>
      </c>
      <c r="AJ289" s="265"/>
      <c r="AK289" s="266"/>
      <c r="AL289" s="268"/>
      <c r="AM289" s="265"/>
      <c r="AN289" s="563"/>
    </row>
    <row r="290" spans="1:40">
      <c r="A290" s="240" t="s">
        <v>153</v>
      </c>
      <c r="B290" s="240" t="s">
        <v>53</v>
      </c>
      <c r="C290" s="568">
        <f t="shared" ref="C290:T290" si="198">IF(V290&gt;0,(V290/V295),0)</f>
        <v>0</v>
      </c>
      <c r="D290" s="568">
        <f t="shared" si="198"/>
        <v>0.20806599450045829</v>
      </c>
      <c r="E290" s="568">
        <f t="shared" si="198"/>
        <v>0</v>
      </c>
      <c r="F290" s="568">
        <f t="shared" si="198"/>
        <v>0.15642458100558659</v>
      </c>
      <c r="G290" s="568">
        <f t="shared" si="198"/>
        <v>0</v>
      </c>
      <c r="H290" s="568">
        <f t="shared" si="198"/>
        <v>0.13020833333333334</v>
      </c>
      <c r="I290" s="568">
        <f t="shared" si="198"/>
        <v>0</v>
      </c>
      <c r="J290" s="569">
        <f t="shared" si="198"/>
        <v>0.19151846785225718</v>
      </c>
      <c r="K290" s="570">
        <f t="shared" si="198"/>
        <v>0</v>
      </c>
      <c r="L290" s="568">
        <f t="shared" si="198"/>
        <v>0</v>
      </c>
      <c r="M290" s="568">
        <f t="shared" si="198"/>
        <v>3.125E-2</v>
      </c>
      <c r="N290" s="568">
        <f t="shared" si="198"/>
        <v>6.7796610169491525E-2</v>
      </c>
      <c r="O290" s="571">
        <f t="shared" si="198"/>
        <v>0</v>
      </c>
      <c r="P290" s="570">
        <f t="shared" si="198"/>
        <v>4.1322314049586778E-2</v>
      </c>
      <c r="Q290" s="568">
        <f t="shared" si="198"/>
        <v>0</v>
      </c>
      <c r="R290" s="568">
        <f t="shared" si="198"/>
        <v>0</v>
      </c>
      <c r="S290" s="571">
        <f t="shared" si="198"/>
        <v>0</v>
      </c>
      <c r="T290" s="570">
        <f t="shared" si="198"/>
        <v>0</v>
      </c>
      <c r="U290" s="253"/>
      <c r="V290" s="245"/>
      <c r="W290" s="246">
        <v>227</v>
      </c>
      <c r="X290" s="246"/>
      <c r="Y290" s="246">
        <v>28</v>
      </c>
      <c r="Z290" s="246"/>
      <c r="AA290" s="246">
        <v>25</v>
      </c>
      <c r="AB290" s="246"/>
      <c r="AC290" s="247">
        <v>280</v>
      </c>
      <c r="AD290" s="245"/>
      <c r="AE290" s="246"/>
      <c r="AF290" s="246">
        <v>7</v>
      </c>
      <c r="AG290" s="246">
        <v>8</v>
      </c>
      <c r="AH290" s="248"/>
      <c r="AI290" s="248">
        <v>15</v>
      </c>
      <c r="AJ290" s="245"/>
      <c r="AK290" s="246"/>
      <c r="AL290" s="248"/>
      <c r="AM290" s="245"/>
      <c r="AN290" s="563"/>
    </row>
    <row r="291" spans="1:40">
      <c r="A291" s="239"/>
      <c r="B291" s="239" t="s">
        <v>93</v>
      </c>
      <c r="C291" s="572">
        <f t="shared" ref="C291:T291" si="199">IF(V291&gt;0,(V291/V295),0)</f>
        <v>0</v>
      </c>
      <c r="D291" s="572">
        <f t="shared" si="199"/>
        <v>0.25206232813932172</v>
      </c>
      <c r="E291" s="572">
        <f t="shared" si="199"/>
        <v>0</v>
      </c>
      <c r="F291" s="572">
        <f t="shared" si="199"/>
        <v>0.24022346368715083</v>
      </c>
      <c r="G291" s="572">
        <f t="shared" si="199"/>
        <v>0</v>
      </c>
      <c r="H291" s="572">
        <f t="shared" si="199"/>
        <v>0.25</v>
      </c>
      <c r="I291" s="572">
        <f t="shared" si="199"/>
        <v>0</v>
      </c>
      <c r="J291" s="573">
        <f t="shared" si="199"/>
        <v>0.2503419972640219</v>
      </c>
      <c r="K291" s="574">
        <f t="shared" si="199"/>
        <v>0</v>
      </c>
      <c r="L291" s="572">
        <f t="shared" si="199"/>
        <v>0</v>
      </c>
      <c r="M291" s="572">
        <f t="shared" si="199"/>
        <v>0.5089285714285714</v>
      </c>
      <c r="N291" s="572">
        <f t="shared" si="199"/>
        <v>7.6271186440677971E-2</v>
      </c>
      <c r="O291" s="575">
        <f t="shared" si="199"/>
        <v>0</v>
      </c>
      <c r="P291" s="574">
        <f t="shared" si="199"/>
        <v>0.33884297520661155</v>
      </c>
      <c r="Q291" s="572">
        <f t="shared" si="199"/>
        <v>0</v>
      </c>
      <c r="R291" s="572">
        <f t="shared" si="199"/>
        <v>0</v>
      </c>
      <c r="S291" s="575">
        <f t="shared" si="199"/>
        <v>0</v>
      </c>
      <c r="T291" s="574">
        <f t="shared" si="199"/>
        <v>0</v>
      </c>
      <c r="U291" s="253"/>
      <c r="V291" s="254"/>
      <c r="W291" s="255">
        <v>275</v>
      </c>
      <c r="X291" s="255"/>
      <c r="Y291" s="255">
        <v>43</v>
      </c>
      <c r="Z291" s="255"/>
      <c r="AA291" s="255">
        <v>48</v>
      </c>
      <c r="AB291" s="255"/>
      <c r="AC291" s="256">
        <v>366</v>
      </c>
      <c r="AD291" s="254"/>
      <c r="AE291" s="255"/>
      <c r="AF291" s="255">
        <v>114</v>
      </c>
      <c r="AG291" s="255">
        <v>9</v>
      </c>
      <c r="AH291" s="257"/>
      <c r="AI291" s="257">
        <v>123</v>
      </c>
      <c r="AJ291" s="254"/>
      <c r="AK291" s="255"/>
      <c r="AL291" s="257"/>
      <c r="AM291" s="254"/>
      <c r="AN291" s="563"/>
    </row>
    <row r="292" spans="1:40">
      <c r="A292" s="239"/>
      <c r="B292" s="239" t="s">
        <v>55</v>
      </c>
      <c r="C292" s="572">
        <f t="shared" ref="C292:T292" si="200">IF(V292&gt;0,(V292/V295),0)</f>
        <v>0</v>
      </c>
      <c r="D292" s="572">
        <f t="shared" si="200"/>
        <v>0.38313473877176901</v>
      </c>
      <c r="E292" s="572">
        <f t="shared" si="200"/>
        <v>0</v>
      </c>
      <c r="F292" s="572">
        <f t="shared" si="200"/>
        <v>0.36312849162011174</v>
      </c>
      <c r="G292" s="572">
        <f t="shared" si="200"/>
        <v>0</v>
      </c>
      <c r="H292" s="572">
        <f t="shared" si="200"/>
        <v>0.4375</v>
      </c>
      <c r="I292" s="572">
        <f t="shared" si="200"/>
        <v>0</v>
      </c>
      <c r="J292" s="573">
        <f t="shared" si="200"/>
        <v>0.38782489740082077</v>
      </c>
      <c r="K292" s="574">
        <f t="shared" si="200"/>
        <v>0</v>
      </c>
      <c r="L292" s="572">
        <f t="shared" si="200"/>
        <v>0</v>
      </c>
      <c r="M292" s="572">
        <f t="shared" si="200"/>
        <v>0.34375</v>
      </c>
      <c r="N292" s="572">
        <f t="shared" si="200"/>
        <v>0.19491525423728814</v>
      </c>
      <c r="O292" s="575">
        <f t="shared" si="200"/>
        <v>0</v>
      </c>
      <c r="P292" s="574">
        <f t="shared" si="200"/>
        <v>0.27548209366391185</v>
      </c>
      <c r="Q292" s="572">
        <f t="shared" si="200"/>
        <v>0</v>
      </c>
      <c r="R292" s="572">
        <f t="shared" si="200"/>
        <v>0</v>
      </c>
      <c r="S292" s="575">
        <f t="shared" si="200"/>
        <v>0</v>
      </c>
      <c r="T292" s="574">
        <f t="shared" si="200"/>
        <v>0</v>
      </c>
      <c r="U292" s="253"/>
      <c r="V292" s="254"/>
      <c r="W292" s="255">
        <v>418</v>
      </c>
      <c r="X292" s="255"/>
      <c r="Y292" s="255">
        <v>65</v>
      </c>
      <c r="Z292" s="255"/>
      <c r="AA292" s="255">
        <v>84</v>
      </c>
      <c r="AB292" s="255"/>
      <c r="AC292" s="256">
        <v>567</v>
      </c>
      <c r="AD292" s="254"/>
      <c r="AE292" s="255"/>
      <c r="AF292" s="255">
        <v>77</v>
      </c>
      <c r="AG292" s="255">
        <v>23</v>
      </c>
      <c r="AH292" s="257"/>
      <c r="AI292" s="257">
        <v>100</v>
      </c>
      <c r="AJ292" s="254"/>
      <c r="AK292" s="255"/>
      <c r="AL292" s="257"/>
      <c r="AM292" s="254"/>
      <c r="AN292" s="563"/>
    </row>
    <row r="293" spans="1:40">
      <c r="A293" s="239"/>
      <c r="B293" s="239" t="s">
        <v>78</v>
      </c>
      <c r="C293" s="572">
        <f t="shared" ref="C293:T293" si="201">IF(V293&gt;0,(V293/V295),0)</f>
        <v>0</v>
      </c>
      <c r="D293" s="572">
        <f t="shared" si="201"/>
        <v>2.0164986251145739E-2</v>
      </c>
      <c r="E293" s="572">
        <f t="shared" si="201"/>
        <v>0</v>
      </c>
      <c r="F293" s="572">
        <f t="shared" si="201"/>
        <v>0.16201117318435754</v>
      </c>
      <c r="G293" s="572">
        <f t="shared" si="201"/>
        <v>0</v>
      </c>
      <c r="H293" s="572">
        <f t="shared" si="201"/>
        <v>0.15104166666666666</v>
      </c>
      <c r="I293" s="572">
        <f t="shared" si="201"/>
        <v>0</v>
      </c>
      <c r="J293" s="573">
        <f t="shared" si="201"/>
        <v>5.4719562243502051E-2</v>
      </c>
      <c r="K293" s="574">
        <f t="shared" si="201"/>
        <v>0</v>
      </c>
      <c r="L293" s="572">
        <f t="shared" si="201"/>
        <v>0</v>
      </c>
      <c r="M293" s="572">
        <f t="shared" si="201"/>
        <v>0.11160714285714286</v>
      </c>
      <c r="N293" s="572">
        <f t="shared" si="201"/>
        <v>0.64406779661016944</v>
      </c>
      <c r="O293" s="575">
        <f t="shared" si="201"/>
        <v>0</v>
      </c>
      <c r="P293" s="574">
        <f t="shared" si="201"/>
        <v>0.27823691460055094</v>
      </c>
      <c r="Q293" s="572">
        <f t="shared" si="201"/>
        <v>0</v>
      </c>
      <c r="R293" s="572">
        <f t="shared" si="201"/>
        <v>0</v>
      </c>
      <c r="S293" s="575">
        <f t="shared" si="201"/>
        <v>0</v>
      </c>
      <c r="T293" s="574">
        <f t="shared" si="201"/>
        <v>0</v>
      </c>
      <c r="U293" s="253"/>
      <c r="V293" s="254"/>
      <c r="W293" s="255">
        <v>22</v>
      </c>
      <c r="X293" s="255"/>
      <c r="Y293" s="255">
        <v>29</v>
      </c>
      <c r="Z293" s="255"/>
      <c r="AA293" s="255">
        <v>29</v>
      </c>
      <c r="AB293" s="255"/>
      <c r="AC293" s="256">
        <v>80</v>
      </c>
      <c r="AD293" s="254"/>
      <c r="AE293" s="255"/>
      <c r="AF293" s="255">
        <v>25</v>
      </c>
      <c r="AG293" s="255">
        <v>76</v>
      </c>
      <c r="AH293" s="257"/>
      <c r="AI293" s="257">
        <v>101</v>
      </c>
      <c r="AJ293" s="254"/>
      <c r="AK293" s="255"/>
      <c r="AL293" s="257"/>
      <c r="AM293" s="254"/>
      <c r="AN293" s="563"/>
    </row>
    <row r="294" spans="1:40">
      <c r="A294" s="580"/>
      <c r="B294" s="580" t="s">
        <v>131</v>
      </c>
      <c r="C294" s="581">
        <f t="shared" ref="C294:T294" si="202">IF(V294&gt;0,(V294/V295),0)</f>
        <v>0</v>
      </c>
      <c r="D294" s="582">
        <f t="shared" si="202"/>
        <v>0.13657195233730524</v>
      </c>
      <c r="E294" s="582">
        <f t="shared" si="202"/>
        <v>0</v>
      </c>
      <c r="F294" s="582">
        <f t="shared" si="202"/>
        <v>7.8212290502793297E-2</v>
      </c>
      <c r="G294" s="582">
        <f t="shared" si="202"/>
        <v>0</v>
      </c>
      <c r="H294" s="582">
        <f t="shared" si="202"/>
        <v>3.125E-2</v>
      </c>
      <c r="I294" s="583">
        <f t="shared" si="202"/>
        <v>0</v>
      </c>
      <c r="J294" s="584">
        <f t="shared" si="202"/>
        <v>0.11559507523939809</v>
      </c>
      <c r="K294" s="581">
        <f t="shared" si="202"/>
        <v>1</v>
      </c>
      <c r="L294" s="582">
        <f t="shared" si="202"/>
        <v>0</v>
      </c>
      <c r="M294" s="582">
        <f t="shared" si="202"/>
        <v>4.464285714285714E-3</v>
      </c>
      <c r="N294" s="582">
        <f t="shared" si="202"/>
        <v>1.6949152542372881E-2</v>
      </c>
      <c r="O294" s="583">
        <f t="shared" si="202"/>
        <v>0</v>
      </c>
      <c r="P294" s="581">
        <f t="shared" si="202"/>
        <v>6.6115702479338845E-2</v>
      </c>
      <c r="Q294" s="581">
        <f t="shared" si="202"/>
        <v>0</v>
      </c>
      <c r="R294" s="582">
        <f t="shared" si="202"/>
        <v>0</v>
      </c>
      <c r="S294" s="583">
        <f t="shared" si="202"/>
        <v>0</v>
      </c>
      <c r="T294" s="581">
        <f t="shared" si="202"/>
        <v>0</v>
      </c>
      <c r="U294" s="253"/>
      <c r="V294" s="585"/>
      <c r="W294" s="586">
        <v>149</v>
      </c>
      <c r="X294" s="586"/>
      <c r="Y294" s="586">
        <v>14</v>
      </c>
      <c r="Z294" s="586"/>
      <c r="AA294" s="586">
        <v>6</v>
      </c>
      <c r="AB294" s="586"/>
      <c r="AC294" s="587">
        <v>169</v>
      </c>
      <c r="AD294" s="585">
        <v>21</v>
      </c>
      <c r="AE294" s="586"/>
      <c r="AF294" s="586">
        <v>1</v>
      </c>
      <c r="AG294" s="586">
        <v>2</v>
      </c>
      <c r="AH294" s="588"/>
      <c r="AI294" s="588">
        <v>24</v>
      </c>
      <c r="AJ294" s="585"/>
      <c r="AK294" s="586"/>
      <c r="AL294" s="588"/>
      <c r="AM294" s="585"/>
    </row>
    <row r="295" spans="1:40">
      <c r="A295" s="436"/>
      <c r="B295" s="436" t="s">
        <v>59</v>
      </c>
      <c r="C295" s="456">
        <f t="shared" ref="C295:T295" si="203">SUM(C290:C294)</f>
        <v>0</v>
      </c>
      <c r="D295" s="456">
        <f t="shared" si="203"/>
        <v>1</v>
      </c>
      <c r="E295" s="456">
        <f t="shared" si="203"/>
        <v>0</v>
      </c>
      <c r="F295" s="456">
        <f t="shared" si="203"/>
        <v>1</v>
      </c>
      <c r="G295" s="456">
        <f t="shared" si="203"/>
        <v>0</v>
      </c>
      <c r="H295" s="456">
        <f t="shared" si="203"/>
        <v>1</v>
      </c>
      <c r="I295" s="456">
        <f t="shared" si="203"/>
        <v>0</v>
      </c>
      <c r="J295" s="576">
        <f t="shared" si="203"/>
        <v>1</v>
      </c>
      <c r="K295" s="577">
        <f t="shared" si="203"/>
        <v>1</v>
      </c>
      <c r="L295" s="578">
        <f t="shared" si="203"/>
        <v>0</v>
      </c>
      <c r="M295" s="578">
        <f t="shared" si="203"/>
        <v>1</v>
      </c>
      <c r="N295" s="578">
        <f t="shared" si="203"/>
        <v>0.99999999999999989</v>
      </c>
      <c r="O295" s="579">
        <f t="shared" si="203"/>
        <v>0</v>
      </c>
      <c r="P295" s="577">
        <f t="shared" si="203"/>
        <v>1</v>
      </c>
      <c r="Q295" s="578">
        <f t="shared" si="203"/>
        <v>0</v>
      </c>
      <c r="R295" s="578">
        <f t="shared" si="203"/>
        <v>0</v>
      </c>
      <c r="S295" s="579">
        <f t="shared" si="203"/>
        <v>0</v>
      </c>
      <c r="T295" s="577">
        <f t="shared" si="203"/>
        <v>0</v>
      </c>
      <c r="U295" s="253"/>
      <c r="V295" s="265"/>
      <c r="W295" s="266">
        <v>1091</v>
      </c>
      <c r="X295" s="266"/>
      <c r="Y295" s="266">
        <v>179</v>
      </c>
      <c r="Z295" s="266"/>
      <c r="AA295" s="266">
        <v>192</v>
      </c>
      <c r="AB295" s="266"/>
      <c r="AC295" s="267">
        <v>1462</v>
      </c>
      <c r="AD295" s="265">
        <v>21</v>
      </c>
      <c r="AE295" s="266"/>
      <c r="AF295" s="266">
        <v>224</v>
      </c>
      <c r="AG295" s="266">
        <v>118</v>
      </c>
      <c r="AH295" s="268"/>
      <c r="AI295" s="268">
        <v>363</v>
      </c>
      <c r="AJ295" s="265"/>
      <c r="AK295" s="266"/>
      <c r="AL295" s="268"/>
      <c r="AM295" s="265"/>
      <c r="AN295" s="563"/>
    </row>
    <row r="296" spans="1:40">
      <c r="A296" s="240" t="s">
        <v>160</v>
      </c>
      <c r="B296" s="240" t="s">
        <v>53</v>
      </c>
      <c r="C296" s="568">
        <f t="shared" ref="C296:T296" si="204">IF(V296&gt;0,(V296/V301),0)</f>
        <v>0.34322605511659277</v>
      </c>
      <c r="D296" s="568">
        <f t="shared" si="204"/>
        <v>0.2811023622047244</v>
      </c>
      <c r="E296" s="568">
        <f t="shared" si="204"/>
        <v>0.30755395683453235</v>
      </c>
      <c r="F296" s="568">
        <f t="shared" si="204"/>
        <v>0</v>
      </c>
      <c r="G296" s="568">
        <f t="shared" si="204"/>
        <v>0</v>
      </c>
      <c r="H296" s="568">
        <f t="shared" si="204"/>
        <v>0.17418032786885246</v>
      </c>
      <c r="I296" s="568">
        <f t="shared" si="204"/>
        <v>0</v>
      </c>
      <c r="J296" s="569">
        <f t="shared" si="204"/>
        <v>0.3093688083781489</v>
      </c>
      <c r="K296" s="570">
        <f t="shared" si="204"/>
        <v>0.20703125</v>
      </c>
      <c r="L296" s="568">
        <f t="shared" si="204"/>
        <v>0.27747419550698238</v>
      </c>
      <c r="M296" s="568">
        <f t="shared" si="204"/>
        <v>0.13350785340314136</v>
      </c>
      <c r="N296" s="568">
        <f t="shared" si="204"/>
        <v>0.12717391304347825</v>
      </c>
      <c r="O296" s="571">
        <f t="shared" si="204"/>
        <v>0</v>
      </c>
      <c r="P296" s="570">
        <f t="shared" si="204"/>
        <v>0.20323390019514914</v>
      </c>
      <c r="Q296" s="568">
        <f t="shared" si="204"/>
        <v>0</v>
      </c>
      <c r="R296" s="568">
        <f t="shared" si="204"/>
        <v>0</v>
      </c>
      <c r="S296" s="571">
        <f t="shared" si="204"/>
        <v>0</v>
      </c>
      <c r="T296" s="570">
        <f t="shared" si="204"/>
        <v>0</v>
      </c>
      <c r="U296" s="253"/>
      <c r="V296" s="245">
        <v>1781</v>
      </c>
      <c r="W296" s="246">
        <v>1071</v>
      </c>
      <c r="X296" s="246">
        <v>342</v>
      </c>
      <c r="Y296" s="246"/>
      <c r="Z296" s="246"/>
      <c r="AA296" s="246">
        <v>85</v>
      </c>
      <c r="AB296" s="246"/>
      <c r="AC296" s="247">
        <v>3279</v>
      </c>
      <c r="AD296" s="245">
        <v>53</v>
      </c>
      <c r="AE296" s="246">
        <v>457</v>
      </c>
      <c r="AF296" s="246">
        <v>102</v>
      </c>
      <c r="AG296" s="246">
        <v>117</v>
      </c>
      <c r="AH296" s="248"/>
      <c r="AI296" s="248">
        <v>729</v>
      </c>
      <c r="AJ296" s="245"/>
      <c r="AK296" s="246"/>
      <c r="AL296" s="248"/>
      <c r="AM296" s="245"/>
      <c r="AN296" s="563"/>
    </row>
    <row r="297" spans="1:40">
      <c r="A297" s="239"/>
      <c r="B297" s="239" t="s">
        <v>93</v>
      </c>
      <c r="C297" s="572">
        <f t="shared" ref="C297:T297" si="205">IF(V297&gt;0,(V297/V301),0)</f>
        <v>0.31682405087685489</v>
      </c>
      <c r="D297" s="572">
        <f t="shared" si="205"/>
        <v>0.30131233595800527</v>
      </c>
      <c r="E297" s="572">
        <f t="shared" si="205"/>
        <v>0.27428057553956836</v>
      </c>
      <c r="F297" s="572">
        <f t="shared" si="205"/>
        <v>0</v>
      </c>
      <c r="G297" s="572">
        <f t="shared" si="205"/>
        <v>0</v>
      </c>
      <c r="H297" s="572">
        <f t="shared" si="205"/>
        <v>0.34836065573770492</v>
      </c>
      <c r="I297" s="572">
        <f t="shared" si="205"/>
        <v>0</v>
      </c>
      <c r="J297" s="573">
        <f t="shared" si="205"/>
        <v>0.30823662609680158</v>
      </c>
      <c r="K297" s="574">
        <f t="shared" si="205"/>
        <v>0.3359375</v>
      </c>
      <c r="L297" s="572">
        <f t="shared" si="205"/>
        <v>0.22525804493017607</v>
      </c>
      <c r="M297" s="572">
        <f t="shared" si="205"/>
        <v>0.14790575916230367</v>
      </c>
      <c r="N297" s="572">
        <f t="shared" si="205"/>
        <v>0.28913043478260869</v>
      </c>
      <c r="O297" s="575">
        <f t="shared" si="205"/>
        <v>0</v>
      </c>
      <c r="P297" s="574">
        <f t="shared" si="205"/>
        <v>0.23306384165040422</v>
      </c>
      <c r="Q297" s="572">
        <f t="shared" si="205"/>
        <v>0</v>
      </c>
      <c r="R297" s="572">
        <f t="shared" si="205"/>
        <v>0</v>
      </c>
      <c r="S297" s="575">
        <f t="shared" si="205"/>
        <v>0</v>
      </c>
      <c r="T297" s="574">
        <f t="shared" si="205"/>
        <v>0</v>
      </c>
      <c r="U297" s="253"/>
      <c r="V297" s="254">
        <v>1644</v>
      </c>
      <c r="W297" s="255">
        <v>1148</v>
      </c>
      <c r="X297" s="255">
        <v>305</v>
      </c>
      <c r="Y297" s="255"/>
      <c r="Z297" s="255"/>
      <c r="AA297" s="255">
        <v>170</v>
      </c>
      <c r="AB297" s="255"/>
      <c r="AC297" s="256">
        <v>3267</v>
      </c>
      <c r="AD297" s="254">
        <v>86</v>
      </c>
      <c r="AE297" s="255">
        <v>371</v>
      </c>
      <c r="AF297" s="255">
        <v>113</v>
      </c>
      <c r="AG297" s="255">
        <v>266</v>
      </c>
      <c r="AH297" s="257"/>
      <c r="AI297" s="257">
        <v>836</v>
      </c>
      <c r="AJ297" s="254"/>
      <c r="AK297" s="255"/>
      <c r="AL297" s="257"/>
      <c r="AM297" s="254"/>
      <c r="AN297" s="563"/>
    </row>
    <row r="298" spans="1:40">
      <c r="A298" s="239"/>
      <c r="B298" s="239" t="s">
        <v>55</v>
      </c>
      <c r="C298" s="572">
        <f t="shared" ref="C298:T298" si="206">IF(V298&gt;0,(V298/V301),0)</f>
        <v>0.281171709385238</v>
      </c>
      <c r="D298" s="572">
        <f t="shared" si="206"/>
        <v>0.21102362204724409</v>
      </c>
      <c r="E298" s="572">
        <f t="shared" si="206"/>
        <v>0.24640287769784172</v>
      </c>
      <c r="F298" s="572">
        <f t="shared" si="206"/>
        <v>0</v>
      </c>
      <c r="G298" s="572">
        <f t="shared" si="206"/>
        <v>0</v>
      </c>
      <c r="H298" s="572">
        <f t="shared" si="206"/>
        <v>0.33606557377049179</v>
      </c>
      <c r="I298" s="572">
        <f t="shared" si="206"/>
        <v>0</v>
      </c>
      <c r="J298" s="573">
        <f t="shared" si="206"/>
        <v>0.25483536182658739</v>
      </c>
      <c r="K298" s="574">
        <f t="shared" si="206"/>
        <v>0.40234375</v>
      </c>
      <c r="L298" s="572">
        <f t="shared" si="206"/>
        <v>0.28840315725561627</v>
      </c>
      <c r="M298" s="572">
        <f t="shared" si="206"/>
        <v>0.2486910994764398</v>
      </c>
      <c r="N298" s="572">
        <f t="shared" si="206"/>
        <v>0.3402173913043478</v>
      </c>
      <c r="O298" s="575">
        <f t="shared" si="206"/>
        <v>0</v>
      </c>
      <c r="P298" s="574">
        <f t="shared" si="206"/>
        <v>0.30136604404795092</v>
      </c>
      <c r="Q298" s="572">
        <f t="shared" si="206"/>
        <v>0</v>
      </c>
      <c r="R298" s="572">
        <f t="shared" si="206"/>
        <v>0</v>
      </c>
      <c r="S298" s="575">
        <f t="shared" si="206"/>
        <v>0</v>
      </c>
      <c r="T298" s="574">
        <f t="shared" si="206"/>
        <v>0</v>
      </c>
      <c r="U298" s="253"/>
      <c r="V298" s="254">
        <v>1459</v>
      </c>
      <c r="W298" s="255">
        <v>804</v>
      </c>
      <c r="X298" s="255">
        <v>274</v>
      </c>
      <c r="Y298" s="255"/>
      <c r="Z298" s="255"/>
      <c r="AA298" s="255">
        <v>164</v>
      </c>
      <c r="AB298" s="255"/>
      <c r="AC298" s="256">
        <v>2701</v>
      </c>
      <c r="AD298" s="254">
        <v>103</v>
      </c>
      <c r="AE298" s="255">
        <v>475</v>
      </c>
      <c r="AF298" s="255">
        <v>190</v>
      </c>
      <c r="AG298" s="255">
        <v>313</v>
      </c>
      <c r="AH298" s="257"/>
      <c r="AI298" s="257">
        <v>1081</v>
      </c>
      <c r="AJ298" s="254"/>
      <c r="AK298" s="255"/>
      <c r="AL298" s="257"/>
      <c r="AM298" s="254"/>
      <c r="AN298" s="563"/>
    </row>
    <row r="299" spans="1:40">
      <c r="A299" s="239"/>
      <c r="B299" s="239" t="s">
        <v>78</v>
      </c>
      <c r="C299" s="572">
        <f t="shared" ref="C299:T299" si="207">IF(V299&gt;0,(V299/V301),0)</f>
        <v>3.4303333975717866E-2</v>
      </c>
      <c r="D299" s="572">
        <f t="shared" si="207"/>
        <v>9.5013123359580051E-2</v>
      </c>
      <c r="E299" s="572">
        <f t="shared" si="207"/>
        <v>9.8021582733812951E-2</v>
      </c>
      <c r="F299" s="572">
        <f t="shared" si="207"/>
        <v>0</v>
      </c>
      <c r="G299" s="572">
        <f t="shared" si="207"/>
        <v>0</v>
      </c>
      <c r="H299" s="572">
        <f t="shared" si="207"/>
        <v>9.6311475409836061E-2</v>
      </c>
      <c r="I299" s="572">
        <f t="shared" si="207"/>
        <v>0</v>
      </c>
      <c r="J299" s="573">
        <f t="shared" si="207"/>
        <v>6.5666572318143226E-2</v>
      </c>
      <c r="K299" s="574">
        <f t="shared" si="207"/>
        <v>1.5625E-2</v>
      </c>
      <c r="L299" s="572">
        <f t="shared" si="207"/>
        <v>0.16879174256223436</v>
      </c>
      <c r="M299" s="572">
        <f t="shared" si="207"/>
        <v>0.19764397905759162</v>
      </c>
      <c r="N299" s="572">
        <f t="shared" si="207"/>
        <v>0.14891304347826087</v>
      </c>
      <c r="O299" s="575">
        <f t="shared" si="207"/>
        <v>0</v>
      </c>
      <c r="P299" s="574">
        <f t="shared" si="207"/>
        <v>0.15890716476163924</v>
      </c>
      <c r="Q299" s="572">
        <f t="shared" si="207"/>
        <v>0</v>
      </c>
      <c r="R299" s="572">
        <f t="shared" si="207"/>
        <v>0</v>
      </c>
      <c r="S299" s="575">
        <f t="shared" si="207"/>
        <v>0</v>
      </c>
      <c r="T299" s="574">
        <f t="shared" si="207"/>
        <v>0</v>
      </c>
      <c r="U299" s="253"/>
      <c r="V299" s="254">
        <v>178</v>
      </c>
      <c r="W299" s="255">
        <v>362</v>
      </c>
      <c r="X299" s="255">
        <v>109</v>
      </c>
      <c r="Y299" s="255"/>
      <c r="Z299" s="255"/>
      <c r="AA299" s="255">
        <v>47</v>
      </c>
      <c r="AB299" s="255"/>
      <c r="AC299" s="256">
        <v>696</v>
      </c>
      <c r="AD299" s="254">
        <v>4</v>
      </c>
      <c r="AE299" s="255">
        <v>278</v>
      </c>
      <c r="AF299" s="255">
        <v>151</v>
      </c>
      <c r="AG299" s="255">
        <v>137</v>
      </c>
      <c r="AH299" s="257"/>
      <c r="AI299" s="257">
        <v>570</v>
      </c>
      <c r="AJ299" s="254"/>
      <c r="AK299" s="255"/>
      <c r="AL299" s="257"/>
      <c r="AM299" s="254"/>
      <c r="AN299" s="563"/>
    </row>
    <row r="300" spans="1:40">
      <c r="A300" s="580"/>
      <c r="B300" s="580" t="s">
        <v>131</v>
      </c>
      <c r="C300" s="581">
        <f t="shared" ref="C300:T300" si="208">IF(V300&gt;0,(V300/V301),0)</f>
        <v>2.4474850645596454E-2</v>
      </c>
      <c r="D300" s="582">
        <f t="shared" si="208"/>
        <v>0.1115485564304462</v>
      </c>
      <c r="E300" s="582">
        <f t="shared" si="208"/>
        <v>7.3741007194244604E-2</v>
      </c>
      <c r="F300" s="582">
        <f t="shared" si="208"/>
        <v>0</v>
      </c>
      <c r="G300" s="582">
        <f t="shared" si="208"/>
        <v>0</v>
      </c>
      <c r="H300" s="582">
        <f t="shared" si="208"/>
        <v>4.5081967213114756E-2</v>
      </c>
      <c r="I300" s="583">
        <f t="shared" si="208"/>
        <v>0</v>
      </c>
      <c r="J300" s="584">
        <f t="shared" si="208"/>
        <v>6.1892631380318898E-2</v>
      </c>
      <c r="K300" s="581">
        <f t="shared" si="208"/>
        <v>3.90625E-2</v>
      </c>
      <c r="L300" s="582">
        <f t="shared" si="208"/>
        <v>4.0072859744990891E-2</v>
      </c>
      <c r="M300" s="582">
        <f t="shared" si="208"/>
        <v>0.27225130890052357</v>
      </c>
      <c r="N300" s="582">
        <f t="shared" si="208"/>
        <v>9.4565217391304343E-2</v>
      </c>
      <c r="O300" s="583">
        <f t="shared" si="208"/>
        <v>0</v>
      </c>
      <c r="P300" s="581">
        <f t="shared" si="208"/>
        <v>0.10342904934485643</v>
      </c>
      <c r="Q300" s="581">
        <f t="shared" si="208"/>
        <v>0</v>
      </c>
      <c r="R300" s="582">
        <f t="shared" si="208"/>
        <v>0</v>
      </c>
      <c r="S300" s="583">
        <f t="shared" si="208"/>
        <v>0</v>
      </c>
      <c r="T300" s="581">
        <f t="shared" si="208"/>
        <v>0</v>
      </c>
      <c r="U300" s="253"/>
      <c r="V300" s="585">
        <v>127</v>
      </c>
      <c r="W300" s="586">
        <v>425</v>
      </c>
      <c r="X300" s="586">
        <v>82</v>
      </c>
      <c r="Y300" s="586"/>
      <c r="Z300" s="586"/>
      <c r="AA300" s="586">
        <v>22</v>
      </c>
      <c r="AB300" s="586"/>
      <c r="AC300" s="587">
        <v>656</v>
      </c>
      <c r="AD300" s="585">
        <v>10</v>
      </c>
      <c r="AE300" s="586">
        <v>66</v>
      </c>
      <c r="AF300" s="586">
        <v>208</v>
      </c>
      <c r="AG300" s="586">
        <v>87</v>
      </c>
      <c r="AH300" s="588"/>
      <c r="AI300" s="588">
        <v>371</v>
      </c>
      <c r="AJ300" s="585"/>
      <c r="AK300" s="586"/>
      <c r="AL300" s="588"/>
      <c r="AM300" s="585"/>
    </row>
    <row r="301" spans="1:40">
      <c r="A301" s="436"/>
      <c r="B301" s="436" t="s">
        <v>59</v>
      </c>
      <c r="C301" s="456">
        <f t="shared" ref="C301:T301" si="209">SUM(C296:C300)</f>
        <v>0.99999999999999978</v>
      </c>
      <c r="D301" s="456">
        <f t="shared" si="209"/>
        <v>1</v>
      </c>
      <c r="E301" s="456">
        <f t="shared" si="209"/>
        <v>1</v>
      </c>
      <c r="F301" s="456">
        <f t="shared" si="209"/>
        <v>0</v>
      </c>
      <c r="G301" s="456">
        <f t="shared" si="209"/>
        <v>0</v>
      </c>
      <c r="H301" s="456">
        <f t="shared" si="209"/>
        <v>1</v>
      </c>
      <c r="I301" s="456">
        <f t="shared" si="209"/>
        <v>0</v>
      </c>
      <c r="J301" s="576">
        <f t="shared" si="209"/>
        <v>0.99999999999999989</v>
      </c>
      <c r="K301" s="577">
        <f t="shared" si="209"/>
        <v>1</v>
      </c>
      <c r="L301" s="578">
        <f t="shared" si="209"/>
        <v>1</v>
      </c>
      <c r="M301" s="578">
        <f t="shared" si="209"/>
        <v>1.0000000000000002</v>
      </c>
      <c r="N301" s="578">
        <f t="shared" si="209"/>
        <v>0.99999999999999989</v>
      </c>
      <c r="O301" s="579">
        <f t="shared" si="209"/>
        <v>0</v>
      </c>
      <c r="P301" s="577">
        <f t="shared" si="209"/>
        <v>0.99999999999999989</v>
      </c>
      <c r="Q301" s="578">
        <f t="shared" si="209"/>
        <v>0</v>
      </c>
      <c r="R301" s="578">
        <f t="shared" si="209"/>
        <v>0</v>
      </c>
      <c r="S301" s="579">
        <f t="shared" si="209"/>
        <v>0</v>
      </c>
      <c r="T301" s="577">
        <f t="shared" si="209"/>
        <v>0</v>
      </c>
      <c r="U301" s="253"/>
      <c r="V301" s="265">
        <v>5189</v>
      </c>
      <c r="W301" s="266">
        <v>3810</v>
      </c>
      <c r="X301" s="266">
        <v>1112</v>
      </c>
      <c r="Y301" s="266"/>
      <c r="Z301" s="266"/>
      <c r="AA301" s="266">
        <v>488</v>
      </c>
      <c r="AB301" s="266"/>
      <c r="AC301" s="267">
        <v>10599</v>
      </c>
      <c r="AD301" s="265">
        <v>256</v>
      </c>
      <c r="AE301" s="266">
        <v>1647</v>
      </c>
      <c r="AF301" s="266">
        <v>764</v>
      </c>
      <c r="AG301" s="266">
        <v>920</v>
      </c>
      <c r="AH301" s="268"/>
      <c r="AI301" s="268">
        <v>3587</v>
      </c>
      <c r="AJ301" s="265"/>
      <c r="AK301" s="266"/>
      <c r="AL301" s="268"/>
      <c r="AM301" s="265"/>
      <c r="AN301" s="563"/>
    </row>
    <row r="302" spans="1:40">
      <c r="A302" s="240" t="s">
        <v>164</v>
      </c>
      <c r="B302" s="240" t="s">
        <v>53</v>
      </c>
      <c r="C302" s="568">
        <f t="shared" ref="C302:T302" si="210">IF(V302&gt;0,(V302/V307),0)</f>
        <v>0</v>
      </c>
      <c r="D302" s="568">
        <f t="shared" si="210"/>
        <v>0.24919093851132687</v>
      </c>
      <c r="E302" s="568">
        <f t="shared" si="210"/>
        <v>0.30882352941176472</v>
      </c>
      <c r="F302" s="568">
        <f t="shared" si="210"/>
        <v>0</v>
      </c>
      <c r="G302" s="568">
        <f t="shared" si="210"/>
        <v>0.18944099378881987</v>
      </c>
      <c r="H302" s="568">
        <f t="shared" si="210"/>
        <v>0</v>
      </c>
      <c r="I302" s="568">
        <f t="shared" si="210"/>
        <v>0</v>
      </c>
      <c r="J302" s="569">
        <f t="shared" si="210"/>
        <v>0.25745257452574527</v>
      </c>
      <c r="K302" s="570">
        <f t="shared" si="210"/>
        <v>0</v>
      </c>
      <c r="L302" s="568">
        <f t="shared" si="210"/>
        <v>0</v>
      </c>
      <c r="M302" s="568">
        <f t="shared" si="210"/>
        <v>0</v>
      </c>
      <c r="N302" s="568">
        <f t="shared" si="210"/>
        <v>0</v>
      </c>
      <c r="O302" s="571">
        <f t="shared" si="210"/>
        <v>0</v>
      </c>
      <c r="P302" s="570">
        <f t="shared" si="210"/>
        <v>0</v>
      </c>
      <c r="Q302" s="568">
        <f t="shared" si="210"/>
        <v>0</v>
      </c>
      <c r="R302" s="568">
        <f t="shared" si="210"/>
        <v>0</v>
      </c>
      <c r="S302" s="571">
        <f t="shared" si="210"/>
        <v>0</v>
      </c>
      <c r="T302" s="570">
        <f t="shared" si="210"/>
        <v>0</v>
      </c>
      <c r="U302" s="253"/>
      <c r="V302" s="245"/>
      <c r="W302" s="246">
        <v>77</v>
      </c>
      <c r="X302" s="246">
        <v>147</v>
      </c>
      <c r="Y302" s="246"/>
      <c r="Z302" s="246">
        <v>61</v>
      </c>
      <c r="AA302" s="246"/>
      <c r="AB302" s="246"/>
      <c r="AC302" s="247">
        <v>285</v>
      </c>
      <c r="AD302" s="245"/>
      <c r="AE302" s="246"/>
      <c r="AF302" s="246"/>
      <c r="AG302" s="246"/>
      <c r="AH302" s="248"/>
      <c r="AI302" s="248"/>
      <c r="AJ302" s="245"/>
      <c r="AK302" s="246"/>
      <c r="AL302" s="248"/>
      <c r="AM302" s="245"/>
      <c r="AN302" s="563"/>
    </row>
    <row r="303" spans="1:40">
      <c r="A303" s="239"/>
      <c r="B303" s="239" t="s">
        <v>93</v>
      </c>
      <c r="C303" s="572">
        <f t="shared" ref="C303:T303" si="211">IF(V303&gt;0,(V303/V307),0)</f>
        <v>0</v>
      </c>
      <c r="D303" s="572">
        <f t="shared" si="211"/>
        <v>0.23624595469255663</v>
      </c>
      <c r="E303" s="572">
        <f t="shared" si="211"/>
        <v>0.19957983193277312</v>
      </c>
      <c r="F303" s="572">
        <f t="shared" si="211"/>
        <v>0</v>
      </c>
      <c r="G303" s="572">
        <f t="shared" si="211"/>
        <v>0.29503105590062112</v>
      </c>
      <c r="H303" s="572">
        <f t="shared" si="211"/>
        <v>0</v>
      </c>
      <c r="I303" s="572">
        <f t="shared" si="211"/>
        <v>0</v>
      </c>
      <c r="J303" s="573">
        <f t="shared" si="211"/>
        <v>0.23757904245709124</v>
      </c>
      <c r="K303" s="574">
        <f t="shared" si="211"/>
        <v>0</v>
      </c>
      <c r="L303" s="572">
        <f t="shared" si="211"/>
        <v>0</v>
      </c>
      <c r="M303" s="572">
        <f t="shared" si="211"/>
        <v>0</v>
      </c>
      <c r="N303" s="572">
        <f t="shared" si="211"/>
        <v>0</v>
      </c>
      <c r="O303" s="575">
        <f t="shared" si="211"/>
        <v>0</v>
      </c>
      <c r="P303" s="574">
        <f t="shared" si="211"/>
        <v>0</v>
      </c>
      <c r="Q303" s="572">
        <f t="shared" si="211"/>
        <v>0</v>
      </c>
      <c r="R303" s="572">
        <f t="shared" si="211"/>
        <v>0</v>
      </c>
      <c r="S303" s="575">
        <f t="shared" si="211"/>
        <v>0</v>
      </c>
      <c r="T303" s="574">
        <f t="shared" si="211"/>
        <v>0</v>
      </c>
      <c r="U303" s="253"/>
      <c r="V303" s="254"/>
      <c r="W303" s="255">
        <v>73</v>
      </c>
      <c r="X303" s="255">
        <v>95</v>
      </c>
      <c r="Y303" s="255"/>
      <c r="Z303" s="255">
        <v>95</v>
      </c>
      <c r="AA303" s="255"/>
      <c r="AB303" s="255"/>
      <c r="AC303" s="256">
        <v>263</v>
      </c>
      <c r="AD303" s="254"/>
      <c r="AE303" s="255"/>
      <c r="AF303" s="255"/>
      <c r="AG303" s="255"/>
      <c r="AH303" s="257"/>
      <c r="AI303" s="257"/>
      <c r="AJ303" s="254"/>
      <c r="AK303" s="255"/>
      <c r="AL303" s="257"/>
      <c r="AM303" s="254"/>
      <c r="AN303" s="563"/>
    </row>
    <row r="304" spans="1:40">
      <c r="A304" s="239"/>
      <c r="B304" s="239" t="s">
        <v>55</v>
      </c>
      <c r="C304" s="572">
        <f t="shared" ref="C304:T304" si="212">IF(V304&gt;0,(V304/V307),0)</f>
        <v>0</v>
      </c>
      <c r="D304" s="572">
        <f t="shared" si="212"/>
        <v>0.33656957928802589</v>
      </c>
      <c r="E304" s="572">
        <f t="shared" si="212"/>
        <v>0.26260504201680673</v>
      </c>
      <c r="F304" s="572">
        <f t="shared" si="212"/>
        <v>0</v>
      </c>
      <c r="G304" s="572">
        <f t="shared" si="212"/>
        <v>0.32298136645962733</v>
      </c>
      <c r="H304" s="572">
        <f t="shared" si="212"/>
        <v>0</v>
      </c>
      <c r="I304" s="572">
        <f t="shared" si="212"/>
        <v>0</v>
      </c>
      <c r="J304" s="573">
        <f t="shared" si="212"/>
        <v>0.30081300813008133</v>
      </c>
      <c r="K304" s="574">
        <f t="shared" si="212"/>
        <v>0</v>
      </c>
      <c r="L304" s="572">
        <f t="shared" si="212"/>
        <v>0</v>
      </c>
      <c r="M304" s="572">
        <f t="shared" si="212"/>
        <v>0</v>
      </c>
      <c r="N304" s="572">
        <f t="shared" si="212"/>
        <v>0</v>
      </c>
      <c r="O304" s="575">
        <f t="shared" si="212"/>
        <v>0</v>
      </c>
      <c r="P304" s="574">
        <f t="shared" si="212"/>
        <v>0</v>
      </c>
      <c r="Q304" s="572">
        <f t="shared" si="212"/>
        <v>0</v>
      </c>
      <c r="R304" s="572">
        <f t="shared" si="212"/>
        <v>0</v>
      </c>
      <c r="S304" s="575">
        <f t="shared" si="212"/>
        <v>0</v>
      </c>
      <c r="T304" s="574">
        <f t="shared" si="212"/>
        <v>0</v>
      </c>
      <c r="U304" s="253"/>
      <c r="V304" s="254"/>
      <c r="W304" s="255">
        <v>104</v>
      </c>
      <c r="X304" s="255">
        <v>125</v>
      </c>
      <c r="Y304" s="255"/>
      <c r="Z304" s="255">
        <v>104</v>
      </c>
      <c r="AA304" s="255"/>
      <c r="AB304" s="255"/>
      <c r="AC304" s="256">
        <v>333</v>
      </c>
      <c r="AD304" s="254"/>
      <c r="AE304" s="255"/>
      <c r="AF304" s="255"/>
      <c r="AG304" s="255"/>
      <c r="AH304" s="257"/>
      <c r="AI304" s="257"/>
      <c r="AJ304" s="254"/>
      <c r="AK304" s="255"/>
      <c r="AL304" s="257"/>
      <c r="AM304" s="254"/>
      <c r="AN304" s="563"/>
    </row>
    <row r="305" spans="1:41">
      <c r="A305" s="239"/>
      <c r="B305" s="239" t="s">
        <v>78</v>
      </c>
      <c r="C305" s="572">
        <f t="shared" ref="C305:T305" si="213">IF(V305&gt;0,(V305/V307),0)</f>
        <v>0</v>
      </c>
      <c r="D305" s="572">
        <f t="shared" si="213"/>
        <v>0.15857605177993528</v>
      </c>
      <c r="E305" s="572">
        <f t="shared" si="213"/>
        <v>0.21848739495798319</v>
      </c>
      <c r="F305" s="572">
        <f t="shared" si="213"/>
        <v>0</v>
      </c>
      <c r="G305" s="572">
        <f t="shared" si="213"/>
        <v>0.19254658385093168</v>
      </c>
      <c r="H305" s="572">
        <f t="shared" si="213"/>
        <v>0</v>
      </c>
      <c r="I305" s="572">
        <f t="shared" si="213"/>
        <v>0</v>
      </c>
      <c r="J305" s="573">
        <f t="shared" si="213"/>
        <v>0.19421860885275519</v>
      </c>
      <c r="K305" s="574">
        <f t="shared" si="213"/>
        <v>1</v>
      </c>
      <c r="L305" s="572">
        <f t="shared" si="213"/>
        <v>0</v>
      </c>
      <c r="M305" s="572">
        <f t="shared" si="213"/>
        <v>0</v>
      </c>
      <c r="N305" s="572">
        <f t="shared" si="213"/>
        <v>0.80811808118081185</v>
      </c>
      <c r="O305" s="575">
        <f t="shared" si="213"/>
        <v>0</v>
      </c>
      <c r="P305" s="574">
        <f t="shared" si="213"/>
        <v>0.84337349397590367</v>
      </c>
      <c r="Q305" s="572">
        <f t="shared" si="213"/>
        <v>0</v>
      </c>
      <c r="R305" s="572">
        <f t="shared" si="213"/>
        <v>0</v>
      </c>
      <c r="S305" s="575">
        <f t="shared" si="213"/>
        <v>0</v>
      </c>
      <c r="T305" s="574">
        <f t="shared" si="213"/>
        <v>0</v>
      </c>
      <c r="U305" s="253"/>
      <c r="V305" s="254"/>
      <c r="W305" s="255">
        <v>49</v>
      </c>
      <c r="X305" s="255">
        <v>104</v>
      </c>
      <c r="Y305" s="255"/>
      <c r="Z305" s="255">
        <v>62</v>
      </c>
      <c r="AA305" s="255"/>
      <c r="AB305" s="255"/>
      <c r="AC305" s="256">
        <v>215</v>
      </c>
      <c r="AD305" s="254">
        <v>61</v>
      </c>
      <c r="AE305" s="255"/>
      <c r="AF305" s="255"/>
      <c r="AG305" s="255">
        <v>219</v>
      </c>
      <c r="AH305" s="257"/>
      <c r="AI305" s="257">
        <v>280</v>
      </c>
      <c r="AJ305" s="254"/>
      <c r="AK305" s="255"/>
      <c r="AL305" s="257"/>
      <c r="AM305" s="254"/>
      <c r="AN305" s="563"/>
    </row>
    <row r="306" spans="1:41">
      <c r="A306" s="580"/>
      <c r="B306" s="580" t="s">
        <v>131</v>
      </c>
      <c r="C306" s="581">
        <f t="shared" ref="C306:T306" si="214">IF(V306&gt;0,(V306/V307),0)</f>
        <v>0</v>
      </c>
      <c r="D306" s="582">
        <f t="shared" si="214"/>
        <v>1.9417475728155338E-2</v>
      </c>
      <c r="E306" s="582">
        <f t="shared" si="214"/>
        <v>1.050420168067227E-2</v>
      </c>
      <c r="F306" s="582">
        <f t="shared" si="214"/>
        <v>0</v>
      </c>
      <c r="G306" s="582">
        <f t="shared" si="214"/>
        <v>0</v>
      </c>
      <c r="H306" s="582">
        <f t="shared" si="214"/>
        <v>0</v>
      </c>
      <c r="I306" s="583">
        <f t="shared" si="214"/>
        <v>0</v>
      </c>
      <c r="J306" s="584">
        <f t="shared" si="214"/>
        <v>9.9367660343270096E-3</v>
      </c>
      <c r="K306" s="581">
        <f t="shared" si="214"/>
        <v>0</v>
      </c>
      <c r="L306" s="582">
        <f t="shared" si="214"/>
        <v>0</v>
      </c>
      <c r="M306" s="582">
        <f t="shared" si="214"/>
        <v>0</v>
      </c>
      <c r="N306" s="582">
        <f t="shared" si="214"/>
        <v>0.1918819188191882</v>
      </c>
      <c r="O306" s="583">
        <f t="shared" si="214"/>
        <v>0</v>
      </c>
      <c r="P306" s="581">
        <f t="shared" si="214"/>
        <v>0.15662650602409639</v>
      </c>
      <c r="Q306" s="581">
        <f t="shared" si="214"/>
        <v>0</v>
      </c>
      <c r="R306" s="582">
        <f t="shared" si="214"/>
        <v>0</v>
      </c>
      <c r="S306" s="583">
        <f t="shared" si="214"/>
        <v>0</v>
      </c>
      <c r="T306" s="581">
        <f t="shared" si="214"/>
        <v>0</v>
      </c>
      <c r="U306" s="253"/>
      <c r="V306" s="585"/>
      <c r="W306" s="586">
        <v>6</v>
      </c>
      <c r="X306" s="586">
        <v>5</v>
      </c>
      <c r="Y306" s="586"/>
      <c r="Z306" s="586"/>
      <c r="AA306" s="586"/>
      <c r="AB306" s="586"/>
      <c r="AC306" s="587">
        <v>11</v>
      </c>
      <c r="AD306" s="585"/>
      <c r="AE306" s="586"/>
      <c r="AF306" s="586"/>
      <c r="AG306" s="586">
        <v>52</v>
      </c>
      <c r="AH306" s="588"/>
      <c r="AI306" s="588">
        <v>52</v>
      </c>
      <c r="AJ306" s="585"/>
      <c r="AK306" s="586"/>
      <c r="AL306" s="588"/>
      <c r="AM306" s="585"/>
    </row>
    <row r="307" spans="1:41">
      <c r="A307" s="436"/>
      <c r="B307" s="436" t="s">
        <v>59</v>
      </c>
      <c r="C307" s="456">
        <f t="shared" ref="C307:T307" si="215">SUM(C302:C306)</f>
        <v>0</v>
      </c>
      <c r="D307" s="456">
        <f t="shared" si="215"/>
        <v>1</v>
      </c>
      <c r="E307" s="456">
        <f t="shared" si="215"/>
        <v>0.99999999999999989</v>
      </c>
      <c r="F307" s="456">
        <f t="shared" si="215"/>
        <v>0</v>
      </c>
      <c r="G307" s="456">
        <f t="shared" si="215"/>
        <v>1</v>
      </c>
      <c r="H307" s="456">
        <f t="shared" si="215"/>
        <v>0</v>
      </c>
      <c r="I307" s="456">
        <f t="shared" si="215"/>
        <v>0</v>
      </c>
      <c r="J307" s="576">
        <f t="shared" si="215"/>
        <v>1</v>
      </c>
      <c r="K307" s="577">
        <f t="shared" si="215"/>
        <v>1</v>
      </c>
      <c r="L307" s="578">
        <f t="shared" si="215"/>
        <v>0</v>
      </c>
      <c r="M307" s="578">
        <f t="shared" si="215"/>
        <v>0</v>
      </c>
      <c r="N307" s="578">
        <f t="shared" si="215"/>
        <v>1</v>
      </c>
      <c r="O307" s="579">
        <f t="shared" si="215"/>
        <v>0</v>
      </c>
      <c r="P307" s="577">
        <f t="shared" si="215"/>
        <v>1</v>
      </c>
      <c r="Q307" s="578">
        <f t="shared" si="215"/>
        <v>0</v>
      </c>
      <c r="R307" s="578">
        <f t="shared" si="215"/>
        <v>0</v>
      </c>
      <c r="S307" s="579">
        <f t="shared" si="215"/>
        <v>0</v>
      </c>
      <c r="T307" s="577">
        <f t="shared" si="215"/>
        <v>0</v>
      </c>
      <c r="U307" s="253"/>
      <c r="V307" s="265"/>
      <c r="W307" s="266">
        <v>309</v>
      </c>
      <c r="X307" s="266">
        <v>476</v>
      </c>
      <c r="Y307" s="266"/>
      <c r="Z307" s="266">
        <v>322</v>
      </c>
      <c r="AA307" s="266"/>
      <c r="AB307" s="266"/>
      <c r="AC307" s="267">
        <v>1107</v>
      </c>
      <c r="AD307" s="265">
        <v>61</v>
      </c>
      <c r="AE307" s="266"/>
      <c r="AF307" s="266"/>
      <c r="AG307" s="266">
        <v>271</v>
      </c>
      <c r="AH307" s="268"/>
      <c r="AI307" s="268">
        <v>332</v>
      </c>
      <c r="AJ307" s="265"/>
      <c r="AK307" s="266"/>
      <c r="AL307" s="268"/>
      <c r="AM307" s="265"/>
      <c r="AN307" s="563"/>
    </row>
    <row r="308" spans="1:41">
      <c r="A308" s="240" t="s">
        <v>168</v>
      </c>
      <c r="B308" s="240" t="s">
        <v>53</v>
      </c>
      <c r="C308" s="568">
        <f t="shared" ref="C308:T308" si="216">IF(V308&gt;0,(V308/V313),0)</f>
        <v>0.4016302334197851</v>
      </c>
      <c r="D308" s="568">
        <f t="shared" si="216"/>
        <v>0</v>
      </c>
      <c r="E308" s="568">
        <f t="shared" si="216"/>
        <v>0</v>
      </c>
      <c r="F308" s="568">
        <f t="shared" si="216"/>
        <v>0.26907020872865273</v>
      </c>
      <c r="G308" s="568">
        <f t="shared" si="216"/>
        <v>0.31170662905500707</v>
      </c>
      <c r="H308" s="568">
        <f t="shared" si="216"/>
        <v>0</v>
      </c>
      <c r="I308" s="568">
        <f t="shared" si="216"/>
        <v>0</v>
      </c>
      <c r="J308" s="569">
        <f t="shared" si="216"/>
        <v>0.3332781730928347</v>
      </c>
      <c r="K308" s="570">
        <f t="shared" si="216"/>
        <v>0</v>
      </c>
      <c r="L308" s="568">
        <f t="shared" si="216"/>
        <v>4.6850998463901693E-2</v>
      </c>
      <c r="M308" s="568">
        <f t="shared" si="216"/>
        <v>0</v>
      </c>
      <c r="N308" s="568">
        <f t="shared" si="216"/>
        <v>0</v>
      </c>
      <c r="O308" s="571">
        <f t="shared" si="216"/>
        <v>0</v>
      </c>
      <c r="P308" s="570">
        <f t="shared" si="216"/>
        <v>1.6634851377147531E-2</v>
      </c>
      <c r="Q308" s="568">
        <f t="shared" si="216"/>
        <v>0</v>
      </c>
      <c r="R308" s="568">
        <f t="shared" si="216"/>
        <v>0</v>
      </c>
      <c r="S308" s="571">
        <f t="shared" si="216"/>
        <v>0</v>
      </c>
      <c r="T308" s="570">
        <f t="shared" si="216"/>
        <v>0</v>
      </c>
      <c r="U308" s="253"/>
      <c r="V308" s="245">
        <v>1084</v>
      </c>
      <c r="W308" s="246"/>
      <c r="X308" s="246"/>
      <c r="Y308" s="246">
        <v>709</v>
      </c>
      <c r="Z308" s="246">
        <v>221</v>
      </c>
      <c r="AA308" s="246"/>
      <c r="AB308" s="246"/>
      <c r="AC308" s="247">
        <v>2014</v>
      </c>
      <c r="AD308" s="245"/>
      <c r="AE308" s="246">
        <v>61</v>
      </c>
      <c r="AF308" s="246"/>
      <c r="AG308" s="246"/>
      <c r="AH308" s="248"/>
      <c r="AI308" s="248">
        <v>61</v>
      </c>
      <c r="AJ308" s="245"/>
      <c r="AK308" s="246"/>
      <c r="AL308" s="248"/>
      <c r="AM308" s="245"/>
      <c r="AN308" s="563"/>
    </row>
    <row r="309" spans="1:41">
      <c r="A309" s="239"/>
      <c r="B309" s="239" t="s">
        <v>93</v>
      </c>
      <c r="C309" s="572">
        <f t="shared" ref="C309:T309" si="217">IF(V309&gt;0,(V309/V313),0)</f>
        <v>0.24675805854020008</v>
      </c>
      <c r="D309" s="572">
        <f t="shared" si="217"/>
        <v>0</v>
      </c>
      <c r="E309" s="572">
        <f t="shared" si="217"/>
        <v>0</v>
      </c>
      <c r="F309" s="572">
        <f t="shared" si="217"/>
        <v>0.25540796963946871</v>
      </c>
      <c r="G309" s="572">
        <f t="shared" si="217"/>
        <v>0.28067700987306066</v>
      </c>
      <c r="H309" s="572">
        <f t="shared" si="217"/>
        <v>0</v>
      </c>
      <c r="I309" s="572">
        <f t="shared" si="217"/>
        <v>0</v>
      </c>
      <c r="J309" s="573">
        <f t="shared" si="217"/>
        <v>0.25450934966076449</v>
      </c>
      <c r="K309" s="574">
        <f t="shared" si="217"/>
        <v>0</v>
      </c>
      <c r="L309" s="572">
        <f t="shared" si="217"/>
        <v>8.9093701996927802E-2</v>
      </c>
      <c r="M309" s="572">
        <f t="shared" si="217"/>
        <v>0</v>
      </c>
      <c r="N309" s="572">
        <f t="shared" si="217"/>
        <v>0</v>
      </c>
      <c r="O309" s="575">
        <f t="shared" si="217"/>
        <v>0</v>
      </c>
      <c r="P309" s="574">
        <f t="shared" si="217"/>
        <v>3.1633487864739566E-2</v>
      </c>
      <c r="Q309" s="572">
        <f t="shared" si="217"/>
        <v>0</v>
      </c>
      <c r="R309" s="572">
        <f t="shared" si="217"/>
        <v>0</v>
      </c>
      <c r="S309" s="575">
        <f t="shared" si="217"/>
        <v>0</v>
      </c>
      <c r="T309" s="574">
        <f t="shared" si="217"/>
        <v>0</v>
      </c>
      <c r="U309" s="253"/>
      <c r="V309" s="254">
        <v>666</v>
      </c>
      <c r="W309" s="255"/>
      <c r="X309" s="255"/>
      <c r="Y309" s="255">
        <v>673</v>
      </c>
      <c r="Z309" s="255">
        <v>199</v>
      </c>
      <c r="AA309" s="255"/>
      <c r="AB309" s="255"/>
      <c r="AC309" s="256">
        <v>1538</v>
      </c>
      <c r="AD309" s="254"/>
      <c r="AE309" s="255">
        <v>116</v>
      </c>
      <c r="AF309" s="255"/>
      <c r="AG309" s="255"/>
      <c r="AH309" s="257"/>
      <c r="AI309" s="257">
        <v>116</v>
      </c>
      <c r="AJ309" s="254"/>
      <c r="AK309" s="255"/>
      <c r="AL309" s="257"/>
      <c r="AM309" s="254"/>
      <c r="AN309" s="563"/>
    </row>
    <row r="310" spans="1:41">
      <c r="A310" s="239"/>
      <c r="B310" s="239" t="s">
        <v>55</v>
      </c>
      <c r="C310" s="572">
        <f t="shared" ref="C310:T310" si="218">IF(V310&gt;0,(V310/V313),0)</f>
        <v>0.23527232308262319</v>
      </c>
      <c r="D310" s="572">
        <f t="shared" si="218"/>
        <v>0</v>
      </c>
      <c r="E310" s="572">
        <f t="shared" si="218"/>
        <v>0</v>
      </c>
      <c r="F310" s="572">
        <f t="shared" si="218"/>
        <v>0.28235294117647058</v>
      </c>
      <c r="G310" s="572">
        <f t="shared" si="218"/>
        <v>0.24259520451339917</v>
      </c>
      <c r="H310" s="572">
        <f t="shared" si="218"/>
        <v>0</v>
      </c>
      <c r="I310" s="572">
        <f t="shared" si="218"/>
        <v>0</v>
      </c>
      <c r="J310" s="573">
        <f t="shared" si="218"/>
        <v>0.25666059904021182</v>
      </c>
      <c r="K310" s="574">
        <f t="shared" si="218"/>
        <v>0</v>
      </c>
      <c r="L310" s="572">
        <f t="shared" si="218"/>
        <v>0.10138248847926268</v>
      </c>
      <c r="M310" s="572">
        <f t="shared" si="218"/>
        <v>0</v>
      </c>
      <c r="N310" s="572">
        <f t="shared" si="218"/>
        <v>0</v>
      </c>
      <c r="O310" s="575">
        <f t="shared" si="218"/>
        <v>0</v>
      </c>
      <c r="P310" s="574">
        <f t="shared" si="218"/>
        <v>3.5996727570220891E-2</v>
      </c>
      <c r="Q310" s="572">
        <f t="shared" si="218"/>
        <v>0</v>
      </c>
      <c r="R310" s="572">
        <f t="shared" si="218"/>
        <v>0</v>
      </c>
      <c r="S310" s="575">
        <f t="shared" si="218"/>
        <v>0</v>
      </c>
      <c r="T310" s="574">
        <f t="shared" si="218"/>
        <v>0</v>
      </c>
      <c r="U310" s="253"/>
      <c r="V310" s="254">
        <v>635</v>
      </c>
      <c r="W310" s="255"/>
      <c r="X310" s="255"/>
      <c r="Y310" s="255">
        <v>744</v>
      </c>
      <c r="Z310" s="255">
        <v>172</v>
      </c>
      <c r="AA310" s="255"/>
      <c r="AB310" s="255"/>
      <c r="AC310" s="256">
        <v>1551</v>
      </c>
      <c r="AD310" s="254"/>
      <c r="AE310" s="255">
        <v>132</v>
      </c>
      <c r="AF310" s="255"/>
      <c r="AG310" s="255"/>
      <c r="AH310" s="257"/>
      <c r="AI310" s="257">
        <v>132</v>
      </c>
      <c r="AJ310" s="254"/>
      <c r="AK310" s="255"/>
      <c r="AL310" s="257"/>
      <c r="AM310" s="254"/>
      <c r="AN310" s="563"/>
    </row>
    <row r="311" spans="1:41">
      <c r="A311" s="239"/>
      <c r="B311" s="239" t="s">
        <v>78</v>
      </c>
      <c r="C311" s="572">
        <f t="shared" ref="C311:T311" si="219">IF(V311&gt;0,(V311/V313),0)</f>
        <v>1.4079288625416821E-2</v>
      </c>
      <c r="D311" s="572">
        <f t="shared" si="219"/>
        <v>0</v>
      </c>
      <c r="E311" s="572">
        <f t="shared" si="219"/>
        <v>0</v>
      </c>
      <c r="F311" s="572">
        <f t="shared" si="219"/>
        <v>1.1385199240986717E-2</v>
      </c>
      <c r="G311" s="572">
        <f t="shared" si="219"/>
        <v>4.2313117066290554E-3</v>
      </c>
      <c r="H311" s="572">
        <f t="shared" si="219"/>
        <v>0</v>
      </c>
      <c r="I311" s="572">
        <f t="shared" si="219"/>
        <v>0</v>
      </c>
      <c r="J311" s="573">
        <f t="shared" si="219"/>
        <v>1.1749131226212146E-2</v>
      </c>
      <c r="K311" s="574">
        <f t="shared" si="219"/>
        <v>0</v>
      </c>
      <c r="L311" s="572">
        <f t="shared" si="219"/>
        <v>0.75652841781874036</v>
      </c>
      <c r="M311" s="572">
        <f t="shared" si="219"/>
        <v>0.76096256684491981</v>
      </c>
      <c r="N311" s="572">
        <f t="shared" si="219"/>
        <v>0.96767676767676769</v>
      </c>
      <c r="O311" s="575">
        <f t="shared" si="219"/>
        <v>0</v>
      </c>
      <c r="P311" s="574">
        <f t="shared" si="219"/>
        <v>0.78729206435778565</v>
      </c>
      <c r="Q311" s="572">
        <f t="shared" si="219"/>
        <v>0</v>
      </c>
      <c r="R311" s="572">
        <f t="shared" si="219"/>
        <v>0</v>
      </c>
      <c r="S311" s="575">
        <f t="shared" si="219"/>
        <v>0</v>
      </c>
      <c r="T311" s="574">
        <f t="shared" si="219"/>
        <v>0</v>
      </c>
      <c r="U311" s="253"/>
      <c r="V311" s="254">
        <v>38</v>
      </c>
      <c r="W311" s="255"/>
      <c r="X311" s="255"/>
      <c r="Y311" s="255">
        <v>30</v>
      </c>
      <c r="Z311" s="255">
        <v>3</v>
      </c>
      <c r="AA311" s="255"/>
      <c r="AB311" s="255"/>
      <c r="AC311" s="256">
        <v>71</v>
      </c>
      <c r="AD311" s="254"/>
      <c r="AE311" s="255">
        <v>985</v>
      </c>
      <c r="AF311" s="255">
        <v>1423</v>
      </c>
      <c r="AG311" s="255">
        <v>479</v>
      </c>
      <c r="AH311" s="257"/>
      <c r="AI311" s="257">
        <v>2887</v>
      </c>
      <c r="AJ311" s="254"/>
      <c r="AK311" s="255"/>
      <c r="AL311" s="257"/>
      <c r="AM311" s="254"/>
      <c r="AN311" s="563"/>
    </row>
    <row r="312" spans="1:41">
      <c r="A312" s="580"/>
      <c r="B312" s="580" t="s">
        <v>131</v>
      </c>
      <c r="C312" s="581">
        <f t="shared" ref="C312:T312" si="220">IF(V312&gt;0,(V312/V313),0)</f>
        <v>0.1022600963319748</v>
      </c>
      <c r="D312" s="582">
        <f t="shared" si="220"/>
        <v>0</v>
      </c>
      <c r="E312" s="582">
        <f t="shared" si="220"/>
        <v>0</v>
      </c>
      <c r="F312" s="582">
        <f t="shared" si="220"/>
        <v>0.18178368121442126</v>
      </c>
      <c r="G312" s="582">
        <f t="shared" si="220"/>
        <v>0.16078984485190409</v>
      </c>
      <c r="H312" s="582">
        <f t="shared" si="220"/>
        <v>0</v>
      </c>
      <c r="I312" s="583">
        <f t="shared" si="220"/>
        <v>0</v>
      </c>
      <c r="J312" s="584">
        <f t="shared" si="220"/>
        <v>0.14380274697997683</v>
      </c>
      <c r="K312" s="581">
        <f t="shared" si="220"/>
        <v>0</v>
      </c>
      <c r="L312" s="582">
        <f t="shared" si="220"/>
        <v>6.1443932411674347E-3</v>
      </c>
      <c r="M312" s="582">
        <f t="shared" si="220"/>
        <v>0.23903743315508022</v>
      </c>
      <c r="N312" s="582">
        <f t="shared" si="220"/>
        <v>3.2323232323232323E-2</v>
      </c>
      <c r="O312" s="583">
        <f t="shared" si="220"/>
        <v>0</v>
      </c>
      <c r="P312" s="581">
        <f t="shared" si="220"/>
        <v>0.12844286883010636</v>
      </c>
      <c r="Q312" s="581">
        <f t="shared" si="220"/>
        <v>0</v>
      </c>
      <c r="R312" s="582">
        <f t="shared" si="220"/>
        <v>0</v>
      </c>
      <c r="S312" s="583">
        <f t="shared" si="220"/>
        <v>0</v>
      </c>
      <c r="T312" s="581">
        <f t="shared" si="220"/>
        <v>0</v>
      </c>
      <c r="U312" s="253"/>
      <c r="V312" s="585">
        <v>276</v>
      </c>
      <c r="W312" s="586"/>
      <c r="X312" s="586"/>
      <c r="Y312" s="586">
        <v>479</v>
      </c>
      <c r="Z312" s="586">
        <v>114</v>
      </c>
      <c r="AA312" s="586"/>
      <c r="AB312" s="586"/>
      <c r="AC312" s="587">
        <v>869</v>
      </c>
      <c r="AD312" s="585"/>
      <c r="AE312" s="586">
        <v>8</v>
      </c>
      <c r="AF312" s="586">
        <v>447</v>
      </c>
      <c r="AG312" s="586">
        <v>16</v>
      </c>
      <c r="AH312" s="588"/>
      <c r="AI312" s="588">
        <v>471</v>
      </c>
      <c r="AJ312" s="585"/>
      <c r="AK312" s="586"/>
      <c r="AL312" s="588"/>
      <c r="AM312" s="585"/>
    </row>
    <row r="313" spans="1:41">
      <c r="A313" s="436"/>
      <c r="B313" s="436" t="s">
        <v>59</v>
      </c>
      <c r="C313" s="456">
        <f t="shared" ref="C313:T313" si="221">SUM(C308:C312)</f>
        <v>1</v>
      </c>
      <c r="D313" s="456">
        <f t="shared" si="221"/>
        <v>0</v>
      </c>
      <c r="E313" s="456">
        <f t="shared" si="221"/>
        <v>0</v>
      </c>
      <c r="F313" s="456">
        <f t="shared" si="221"/>
        <v>0.99999999999999989</v>
      </c>
      <c r="G313" s="456">
        <f t="shared" si="221"/>
        <v>1</v>
      </c>
      <c r="H313" s="456">
        <f t="shared" si="221"/>
        <v>0</v>
      </c>
      <c r="I313" s="456">
        <f t="shared" si="221"/>
        <v>0</v>
      </c>
      <c r="J313" s="576">
        <f t="shared" si="221"/>
        <v>0.99999999999999989</v>
      </c>
      <c r="K313" s="577">
        <f t="shared" si="221"/>
        <v>0</v>
      </c>
      <c r="L313" s="578">
        <f t="shared" si="221"/>
        <v>1</v>
      </c>
      <c r="M313" s="578">
        <f t="shared" si="221"/>
        <v>1</v>
      </c>
      <c r="N313" s="578">
        <f t="shared" si="221"/>
        <v>1</v>
      </c>
      <c r="O313" s="579">
        <f t="shared" si="221"/>
        <v>0</v>
      </c>
      <c r="P313" s="577">
        <f t="shared" si="221"/>
        <v>1</v>
      </c>
      <c r="Q313" s="578">
        <f t="shared" si="221"/>
        <v>0</v>
      </c>
      <c r="R313" s="578">
        <f t="shared" si="221"/>
        <v>0</v>
      </c>
      <c r="S313" s="579">
        <f t="shared" si="221"/>
        <v>0</v>
      </c>
      <c r="T313" s="577">
        <f t="shared" si="221"/>
        <v>0</v>
      </c>
      <c r="U313" s="253"/>
      <c r="V313" s="265">
        <v>2699</v>
      </c>
      <c r="W313" s="266"/>
      <c r="X313" s="266"/>
      <c r="Y313" s="266">
        <v>2635</v>
      </c>
      <c r="Z313" s="266">
        <v>709</v>
      </c>
      <c r="AA313" s="266"/>
      <c r="AB313" s="266"/>
      <c r="AC313" s="267">
        <v>6043</v>
      </c>
      <c r="AD313" s="265"/>
      <c r="AE313" s="266">
        <v>1302</v>
      </c>
      <c r="AF313" s="266">
        <v>1870</v>
      </c>
      <c r="AG313" s="266">
        <v>495</v>
      </c>
      <c r="AH313" s="268"/>
      <c r="AI313" s="268">
        <v>3667</v>
      </c>
      <c r="AJ313" s="265"/>
      <c r="AK313" s="266"/>
      <c r="AL313" s="268"/>
      <c r="AM313" s="265"/>
      <c r="AN313" s="563"/>
    </row>
    <row r="314" spans="1:41">
      <c r="A314" s="240" t="s">
        <v>173</v>
      </c>
      <c r="B314" s="240" t="s">
        <v>53</v>
      </c>
      <c r="C314" s="568">
        <f t="shared" ref="C314:T314" si="222">IF(V314&gt;0,(V314/V319),0)</f>
        <v>0.33866812397532986</v>
      </c>
      <c r="D314" s="568">
        <f t="shared" si="222"/>
        <v>0.35473879826553789</v>
      </c>
      <c r="E314" s="568">
        <f t="shared" si="222"/>
        <v>0.31710011045285669</v>
      </c>
      <c r="F314" s="568">
        <f t="shared" si="222"/>
        <v>0.31077788191190253</v>
      </c>
      <c r="G314" s="568">
        <f t="shared" si="222"/>
        <v>0.28256454888308674</v>
      </c>
      <c r="H314" s="568">
        <f t="shared" si="222"/>
        <v>0.17</v>
      </c>
      <c r="I314" s="568">
        <f t="shared" si="222"/>
        <v>0</v>
      </c>
      <c r="J314" s="569">
        <f t="shared" si="222"/>
        <v>0.31221571633201817</v>
      </c>
      <c r="K314" s="570">
        <f t="shared" si="222"/>
        <v>0.15596330275229359</v>
      </c>
      <c r="L314" s="568">
        <f t="shared" si="222"/>
        <v>0.30853658536585366</v>
      </c>
      <c r="M314" s="568">
        <f t="shared" si="222"/>
        <v>0.37598699489084997</v>
      </c>
      <c r="N314" s="568">
        <f t="shared" si="222"/>
        <v>0.34401349072512649</v>
      </c>
      <c r="O314" s="571">
        <f t="shared" si="222"/>
        <v>6.25E-2</v>
      </c>
      <c r="P314" s="570">
        <f t="shared" si="222"/>
        <v>0.32676553672316383</v>
      </c>
      <c r="Q314" s="568">
        <f t="shared" si="222"/>
        <v>0</v>
      </c>
      <c r="R314" s="568">
        <f t="shared" si="222"/>
        <v>0</v>
      </c>
      <c r="S314" s="571">
        <f t="shared" si="222"/>
        <v>0</v>
      </c>
      <c r="T314" s="570">
        <f t="shared" si="222"/>
        <v>0</v>
      </c>
      <c r="U314" s="244"/>
      <c r="V314" s="590">
        <f t="shared" ref="V314:V319" si="223">+V320+V326+V332+V338+V344+V350+V356+V362+V368</f>
        <v>4338</v>
      </c>
      <c r="W314" s="591">
        <f t="shared" ref="W314:AM319" si="224">+W320+W326+W332+W338+W344+W350+W356+W362+W368</f>
        <v>1718</v>
      </c>
      <c r="X314" s="591">
        <f t="shared" si="224"/>
        <v>3158</v>
      </c>
      <c r="Y314" s="591">
        <f t="shared" si="224"/>
        <v>1658</v>
      </c>
      <c r="Z314" s="591">
        <f t="shared" si="224"/>
        <v>974</v>
      </c>
      <c r="AA314" s="591">
        <f t="shared" si="224"/>
        <v>578</v>
      </c>
      <c r="AB314" s="591">
        <f t="shared" si="224"/>
        <v>0</v>
      </c>
      <c r="AC314" s="592">
        <f t="shared" si="224"/>
        <v>12424</v>
      </c>
      <c r="AD314" s="590">
        <f t="shared" si="224"/>
        <v>68</v>
      </c>
      <c r="AE314" s="591">
        <f t="shared" si="224"/>
        <v>2530</v>
      </c>
      <c r="AF314" s="591">
        <f t="shared" si="224"/>
        <v>1619</v>
      </c>
      <c r="AG314" s="591">
        <f t="shared" si="224"/>
        <v>408</v>
      </c>
      <c r="AH314" s="593">
        <f t="shared" si="224"/>
        <v>2</v>
      </c>
      <c r="AI314" s="593">
        <f t="shared" si="224"/>
        <v>4627</v>
      </c>
      <c r="AJ314" s="590">
        <f t="shared" si="224"/>
        <v>0</v>
      </c>
      <c r="AK314" s="591">
        <f t="shared" si="224"/>
        <v>0</v>
      </c>
      <c r="AL314" s="593">
        <f t="shared" si="224"/>
        <v>0</v>
      </c>
      <c r="AM314" s="590">
        <f t="shared" si="224"/>
        <v>0</v>
      </c>
    </row>
    <row r="315" spans="1:41">
      <c r="A315" s="239"/>
      <c r="B315" s="239" t="s">
        <v>93</v>
      </c>
      <c r="C315" s="572">
        <f t="shared" ref="C315:T315" si="225">IF(V315&gt;0,(V315/V319),0)</f>
        <v>0.26770239675228358</v>
      </c>
      <c r="D315" s="572">
        <f t="shared" si="225"/>
        <v>0.29114185422258931</v>
      </c>
      <c r="E315" s="572">
        <f t="shared" si="225"/>
        <v>0.29741941962044383</v>
      </c>
      <c r="F315" s="572">
        <f t="shared" si="225"/>
        <v>0.30796626054358012</v>
      </c>
      <c r="G315" s="572">
        <f t="shared" si="225"/>
        <v>0.30403249202204818</v>
      </c>
      <c r="H315" s="572">
        <f t="shared" si="225"/>
        <v>0.27147058823529413</v>
      </c>
      <c r="I315" s="572">
        <f t="shared" si="225"/>
        <v>0</v>
      </c>
      <c r="J315" s="573">
        <f t="shared" si="225"/>
        <v>0.286859497901641</v>
      </c>
      <c r="K315" s="574">
        <f t="shared" si="225"/>
        <v>0.20183486238532111</v>
      </c>
      <c r="L315" s="572">
        <f t="shared" si="225"/>
        <v>0.21146341463414633</v>
      </c>
      <c r="M315" s="572">
        <f t="shared" si="225"/>
        <v>0.19252206223873664</v>
      </c>
      <c r="N315" s="572">
        <f t="shared" si="225"/>
        <v>0.18128161888701519</v>
      </c>
      <c r="O315" s="575">
        <f t="shared" si="225"/>
        <v>9.375E-2</v>
      </c>
      <c r="P315" s="574">
        <f t="shared" si="225"/>
        <v>0.20261299435028249</v>
      </c>
      <c r="Q315" s="572">
        <f t="shared" si="225"/>
        <v>0</v>
      </c>
      <c r="R315" s="572">
        <f t="shared" si="225"/>
        <v>0</v>
      </c>
      <c r="S315" s="575">
        <f t="shared" si="225"/>
        <v>0</v>
      </c>
      <c r="T315" s="574">
        <f t="shared" si="225"/>
        <v>0</v>
      </c>
      <c r="U315" s="253"/>
      <c r="V315" s="594">
        <f t="shared" si="223"/>
        <v>3429</v>
      </c>
      <c r="W315" s="595">
        <f t="shared" ref="W315:AK315" si="226">+W321+W327+W333+W339+W345+W351+W357+W363+W369</f>
        <v>1410</v>
      </c>
      <c r="X315" s="595">
        <f t="shared" si="226"/>
        <v>2962</v>
      </c>
      <c r="Y315" s="595">
        <f t="shared" si="226"/>
        <v>1643</v>
      </c>
      <c r="Z315" s="595">
        <f t="shared" si="226"/>
        <v>1048</v>
      </c>
      <c r="AA315" s="595">
        <f t="shared" si="226"/>
        <v>923</v>
      </c>
      <c r="AB315" s="595">
        <f t="shared" si="226"/>
        <v>0</v>
      </c>
      <c r="AC315" s="596">
        <f t="shared" si="226"/>
        <v>11415</v>
      </c>
      <c r="AD315" s="594">
        <f t="shared" si="226"/>
        <v>88</v>
      </c>
      <c r="AE315" s="595">
        <f t="shared" si="226"/>
        <v>1734</v>
      </c>
      <c r="AF315" s="595">
        <f t="shared" si="226"/>
        <v>829</v>
      </c>
      <c r="AG315" s="595">
        <f t="shared" si="226"/>
        <v>215</v>
      </c>
      <c r="AH315" s="597">
        <f t="shared" si="226"/>
        <v>3</v>
      </c>
      <c r="AI315" s="597">
        <f t="shared" si="226"/>
        <v>2869</v>
      </c>
      <c r="AJ315" s="594">
        <f t="shared" si="226"/>
        <v>0</v>
      </c>
      <c r="AK315" s="595">
        <f t="shared" si="226"/>
        <v>0</v>
      </c>
      <c r="AL315" s="597">
        <f t="shared" si="224"/>
        <v>0</v>
      </c>
      <c r="AM315" s="594">
        <f t="shared" si="224"/>
        <v>0</v>
      </c>
    </row>
    <row r="316" spans="1:41">
      <c r="A316" s="239"/>
      <c r="B316" s="239" t="s">
        <v>55</v>
      </c>
      <c r="C316" s="572">
        <f t="shared" ref="C316:T316" si="227">IF(V316&gt;0,(V316/V319),0)</f>
        <v>0.2562260910297447</v>
      </c>
      <c r="D316" s="572">
        <f t="shared" si="227"/>
        <v>0.21742721453644434</v>
      </c>
      <c r="E316" s="572">
        <f t="shared" si="227"/>
        <v>0.30103424038558091</v>
      </c>
      <c r="F316" s="572">
        <f t="shared" si="227"/>
        <v>0.30946579194001872</v>
      </c>
      <c r="G316" s="572">
        <f t="shared" si="227"/>
        <v>0.30954453147664635</v>
      </c>
      <c r="H316" s="572">
        <f t="shared" si="227"/>
        <v>0.33705882352941174</v>
      </c>
      <c r="I316" s="572">
        <f t="shared" si="227"/>
        <v>0</v>
      </c>
      <c r="J316" s="573">
        <f t="shared" si="227"/>
        <v>0.28138114743799159</v>
      </c>
      <c r="K316" s="574">
        <f t="shared" si="227"/>
        <v>0.31192660550458717</v>
      </c>
      <c r="L316" s="572">
        <f t="shared" si="227"/>
        <v>0.29890243902439023</v>
      </c>
      <c r="M316" s="572">
        <f t="shared" si="227"/>
        <v>0.23920111472364142</v>
      </c>
      <c r="N316" s="572">
        <f t="shared" si="227"/>
        <v>0.16526138279932545</v>
      </c>
      <c r="O316" s="575">
        <f t="shared" si="227"/>
        <v>0.25</v>
      </c>
      <c r="P316" s="574">
        <f t="shared" si="227"/>
        <v>0.26984463276836157</v>
      </c>
      <c r="Q316" s="572">
        <f t="shared" si="227"/>
        <v>0</v>
      </c>
      <c r="R316" s="572">
        <f t="shared" si="227"/>
        <v>0</v>
      </c>
      <c r="S316" s="575">
        <f t="shared" si="227"/>
        <v>0</v>
      </c>
      <c r="T316" s="574">
        <f t="shared" si="227"/>
        <v>0</v>
      </c>
      <c r="U316" s="253"/>
      <c r="V316" s="594">
        <f t="shared" si="223"/>
        <v>3282</v>
      </c>
      <c r="W316" s="595">
        <f t="shared" si="224"/>
        <v>1053</v>
      </c>
      <c r="X316" s="595">
        <f t="shared" si="224"/>
        <v>2998</v>
      </c>
      <c r="Y316" s="595">
        <f t="shared" si="224"/>
        <v>1651</v>
      </c>
      <c r="Z316" s="595">
        <f t="shared" si="224"/>
        <v>1067</v>
      </c>
      <c r="AA316" s="595">
        <f t="shared" si="224"/>
        <v>1146</v>
      </c>
      <c r="AB316" s="595">
        <f t="shared" si="224"/>
        <v>0</v>
      </c>
      <c r="AC316" s="596">
        <f t="shared" si="224"/>
        <v>11197</v>
      </c>
      <c r="AD316" s="594">
        <f t="shared" si="224"/>
        <v>136</v>
      </c>
      <c r="AE316" s="595">
        <f t="shared" si="224"/>
        <v>2451</v>
      </c>
      <c r="AF316" s="595">
        <f t="shared" si="224"/>
        <v>1030</v>
      </c>
      <c r="AG316" s="595">
        <f t="shared" si="224"/>
        <v>196</v>
      </c>
      <c r="AH316" s="597">
        <f t="shared" si="224"/>
        <v>8</v>
      </c>
      <c r="AI316" s="597">
        <f t="shared" si="224"/>
        <v>3821</v>
      </c>
      <c r="AJ316" s="594">
        <f t="shared" si="224"/>
        <v>0</v>
      </c>
      <c r="AK316" s="595">
        <f t="shared" si="224"/>
        <v>0</v>
      </c>
      <c r="AL316" s="597">
        <f t="shared" si="224"/>
        <v>0</v>
      </c>
      <c r="AM316" s="594">
        <f t="shared" si="224"/>
        <v>0</v>
      </c>
    </row>
    <row r="317" spans="1:41">
      <c r="A317" s="239"/>
      <c r="B317" s="239" t="s">
        <v>78</v>
      </c>
      <c r="C317" s="572">
        <f t="shared" ref="C317:T317" si="228">IF(V317&gt;0,(V317/V319),0)</f>
        <v>5.4024514013584199E-2</v>
      </c>
      <c r="D317" s="572">
        <f t="shared" si="228"/>
        <v>3.2211439190584348E-2</v>
      </c>
      <c r="E317" s="572">
        <f t="shared" si="228"/>
        <v>4.1871673862837633E-2</v>
      </c>
      <c r="F317" s="572">
        <f t="shared" si="228"/>
        <v>5.1171508903467666E-2</v>
      </c>
      <c r="G317" s="572">
        <f t="shared" si="228"/>
        <v>2.5819553234696837E-2</v>
      </c>
      <c r="H317" s="572">
        <f t="shared" si="228"/>
        <v>0.14323529411764707</v>
      </c>
      <c r="I317" s="572">
        <f t="shared" si="228"/>
        <v>0</v>
      </c>
      <c r="J317" s="573">
        <f t="shared" si="228"/>
        <v>5.3124921468600005E-2</v>
      </c>
      <c r="K317" s="574">
        <f t="shared" si="228"/>
        <v>0.31422018348623854</v>
      </c>
      <c r="L317" s="572">
        <f t="shared" si="228"/>
        <v>0.13378048780487806</v>
      </c>
      <c r="M317" s="572">
        <f t="shared" si="228"/>
        <v>0.13655364607524384</v>
      </c>
      <c r="N317" s="572">
        <f t="shared" si="228"/>
        <v>0.20489038785834737</v>
      </c>
      <c r="O317" s="575">
        <f t="shared" si="228"/>
        <v>0.59375</v>
      </c>
      <c r="P317" s="574">
        <f t="shared" si="228"/>
        <v>0.14717514124293785</v>
      </c>
      <c r="Q317" s="572">
        <f t="shared" si="228"/>
        <v>0</v>
      </c>
      <c r="R317" s="572">
        <f t="shared" si="228"/>
        <v>0</v>
      </c>
      <c r="S317" s="575">
        <f t="shared" si="228"/>
        <v>0</v>
      </c>
      <c r="T317" s="574">
        <f t="shared" si="228"/>
        <v>0</v>
      </c>
      <c r="U317" s="253"/>
      <c r="V317" s="594">
        <f t="shared" si="223"/>
        <v>692</v>
      </c>
      <c r="W317" s="595">
        <f t="shared" si="224"/>
        <v>156</v>
      </c>
      <c r="X317" s="595">
        <f t="shared" si="224"/>
        <v>417</v>
      </c>
      <c r="Y317" s="595">
        <f t="shared" si="224"/>
        <v>273</v>
      </c>
      <c r="Z317" s="595">
        <f t="shared" si="224"/>
        <v>89</v>
      </c>
      <c r="AA317" s="595">
        <f t="shared" si="224"/>
        <v>487</v>
      </c>
      <c r="AB317" s="595">
        <f t="shared" si="224"/>
        <v>0</v>
      </c>
      <c r="AC317" s="596">
        <f t="shared" si="224"/>
        <v>2114</v>
      </c>
      <c r="AD317" s="594">
        <f t="shared" si="224"/>
        <v>137</v>
      </c>
      <c r="AE317" s="595">
        <f t="shared" si="224"/>
        <v>1097</v>
      </c>
      <c r="AF317" s="595">
        <f t="shared" si="224"/>
        <v>588</v>
      </c>
      <c r="AG317" s="595">
        <f t="shared" si="224"/>
        <v>243</v>
      </c>
      <c r="AH317" s="597">
        <f t="shared" si="224"/>
        <v>19</v>
      </c>
      <c r="AI317" s="597">
        <f t="shared" si="224"/>
        <v>2084</v>
      </c>
      <c r="AJ317" s="594">
        <f t="shared" si="224"/>
        <v>0</v>
      </c>
      <c r="AK317" s="595">
        <f t="shared" si="224"/>
        <v>0</v>
      </c>
      <c r="AL317" s="597">
        <f t="shared" si="224"/>
        <v>0</v>
      </c>
      <c r="AM317" s="594">
        <f t="shared" si="224"/>
        <v>0</v>
      </c>
    </row>
    <row r="318" spans="1:41">
      <c r="A318" s="580"/>
      <c r="B318" s="580" t="s">
        <v>131</v>
      </c>
      <c r="C318" s="581">
        <f t="shared" ref="C318:T318" si="229">IF(V318&gt;0,(V318/V319),0)</f>
        <v>8.3378874229057695E-2</v>
      </c>
      <c r="D318" s="582">
        <f t="shared" si="229"/>
        <v>0.10448069378484411</v>
      </c>
      <c r="E318" s="582">
        <f t="shared" si="229"/>
        <v>4.2574555678280952E-2</v>
      </c>
      <c r="F318" s="582">
        <f t="shared" si="229"/>
        <v>2.0618556701030927E-2</v>
      </c>
      <c r="G318" s="582">
        <f t="shared" si="229"/>
        <v>7.8038874383521903E-2</v>
      </c>
      <c r="H318" s="582">
        <f t="shared" si="229"/>
        <v>7.8235294117647056E-2</v>
      </c>
      <c r="I318" s="583">
        <f t="shared" si="229"/>
        <v>0</v>
      </c>
      <c r="J318" s="584">
        <f t="shared" si="229"/>
        <v>6.6418716859749205E-2</v>
      </c>
      <c r="K318" s="581">
        <f t="shared" si="229"/>
        <v>1.6055045871559634E-2</v>
      </c>
      <c r="L318" s="582">
        <f t="shared" si="229"/>
        <v>4.7317073170731708E-2</v>
      </c>
      <c r="M318" s="582">
        <f t="shared" si="229"/>
        <v>5.5736182071528098E-2</v>
      </c>
      <c r="N318" s="582">
        <f t="shared" si="229"/>
        <v>0.1045531197301855</v>
      </c>
      <c r="O318" s="583">
        <f t="shared" si="229"/>
        <v>0</v>
      </c>
      <c r="P318" s="581">
        <f t="shared" si="229"/>
        <v>5.3601694915254239E-2</v>
      </c>
      <c r="Q318" s="581">
        <f t="shared" si="229"/>
        <v>0</v>
      </c>
      <c r="R318" s="582">
        <f t="shared" si="229"/>
        <v>0</v>
      </c>
      <c r="S318" s="583">
        <f t="shared" si="229"/>
        <v>0</v>
      </c>
      <c r="T318" s="581">
        <f t="shared" si="229"/>
        <v>0</v>
      </c>
      <c r="U318" s="253"/>
      <c r="V318" s="585">
        <f t="shared" si="223"/>
        <v>1068</v>
      </c>
      <c r="W318" s="586">
        <f t="shared" si="224"/>
        <v>506</v>
      </c>
      <c r="X318" s="586">
        <f t="shared" si="224"/>
        <v>424</v>
      </c>
      <c r="Y318" s="586">
        <f t="shared" si="224"/>
        <v>110</v>
      </c>
      <c r="Z318" s="586">
        <f t="shared" si="224"/>
        <v>269</v>
      </c>
      <c r="AA318" s="586">
        <f t="shared" si="224"/>
        <v>266</v>
      </c>
      <c r="AB318" s="586">
        <f t="shared" si="224"/>
        <v>0</v>
      </c>
      <c r="AC318" s="587">
        <f t="shared" si="224"/>
        <v>2643</v>
      </c>
      <c r="AD318" s="585">
        <f t="shared" si="224"/>
        <v>7</v>
      </c>
      <c r="AE318" s="586">
        <f t="shared" si="224"/>
        <v>388</v>
      </c>
      <c r="AF318" s="586">
        <f t="shared" si="224"/>
        <v>240</v>
      </c>
      <c r="AG318" s="586">
        <f t="shared" si="224"/>
        <v>124</v>
      </c>
      <c r="AH318" s="588">
        <f t="shared" si="224"/>
        <v>0</v>
      </c>
      <c r="AI318" s="588">
        <f t="shared" si="224"/>
        <v>759</v>
      </c>
      <c r="AJ318" s="585">
        <f t="shared" si="224"/>
        <v>0</v>
      </c>
      <c r="AK318" s="586">
        <f t="shared" si="224"/>
        <v>0</v>
      </c>
      <c r="AL318" s="588">
        <f t="shared" si="224"/>
        <v>0</v>
      </c>
      <c r="AM318" s="585">
        <f t="shared" si="224"/>
        <v>0</v>
      </c>
    </row>
    <row r="319" spans="1:41" s="527" customFormat="1">
      <c r="A319" s="436" t="s">
        <v>86</v>
      </c>
      <c r="B319" s="436" t="s">
        <v>59</v>
      </c>
      <c r="C319" s="456">
        <f t="shared" ref="C319:T319" si="230">SUM(C314:C318)</f>
        <v>1</v>
      </c>
      <c r="D319" s="456">
        <f t="shared" si="230"/>
        <v>1</v>
      </c>
      <c r="E319" s="456">
        <f t="shared" si="230"/>
        <v>1</v>
      </c>
      <c r="F319" s="456">
        <f t="shared" si="230"/>
        <v>1</v>
      </c>
      <c r="G319" s="456">
        <f t="shared" si="230"/>
        <v>0.99999999999999989</v>
      </c>
      <c r="H319" s="456">
        <f t="shared" si="230"/>
        <v>1</v>
      </c>
      <c r="I319" s="456">
        <f t="shared" si="230"/>
        <v>0</v>
      </c>
      <c r="J319" s="576">
        <f t="shared" si="230"/>
        <v>1</v>
      </c>
      <c r="K319" s="577">
        <f t="shared" si="230"/>
        <v>1</v>
      </c>
      <c r="L319" s="578">
        <f t="shared" si="230"/>
        <v>1</v>
      </c>
      <c r="M319" s="578">
        <f t="shared" si="230"/>
        <v>1</v>
      </c>
      <c r="N319" s="578">
        <f t="shared" si="230"/>
        <v>1</v>
      </c>
      <c r="O319" s="579">
        <f t="shared" si="230"/>
        <v>1</v>
      </c>
      <c r="P319" s="577">
        <f t="shared" si="230"/>
        <v>1</v>
      </c>
      <c r="Q319" s="578">
        <f t="shared" si="230"/>
        <v>0</v>
      </c>
      <c r="R319" s="578">
        <f t="shared" si="230"/>
        <v>0</v>
      </c>
      <c r="S319" s="579">
        <f t="shared" si="230"/>
        <v>0</v>
      </c>
      <c r="T319" s="577">
        <f t="shared" si="230"/>
        <v>0</v>
      </c>
      <c r="U319" s="264"/>
      <c r="V319" s="598">
        <f t="shared" si="223"/>
        <v>12809</v>
      </c>
      <c r="W319" s="599">
        <f t="shared" si="224"/>
        <v>4843</v>
      </c>
      <c r="X319" s="599">
        <f t="shared" si="224"/>
        <v>9959</v>
      </c>
      <c r="Y319" s="599">
        <f t="shared" si="224"/>
        <v>5335</v>
      </c>
      <c r="Z319" s="599">
        <f t="shared" si="224"/>
        <v>3447</v>
      </c>
      <c r="AA319" s="599">
        <f t="shared" si="224"/>
        <v>3400</v>
      </c>
      <c r="AB319" s="599">
        <f t="shared" si="224"/>
        <v>0</v>
      </c>
      <c r="AC319" s="600">
        <f t="shared" si="224"/>
        <v>39793</v>
      </c>
      <c r="AD319" s="598">
        <f t="shared" si="224"/>
        <v>436</v>
      </c>
      <c r="AE319" s="599">
        <f t="shared" si="224"/>
        <v>8200</v>
      </c>
      <c r="AF319" s="599">
        <f t="shared" si="224"/>
        <v>4306</v>
      </c>
      <c r="AG319" s="599">
        <f t="shared" si="224"/>
        <v>1186</v>
      </c>
      <c r="AH319" s="601">
        <f t="shared" si="224"/>
        <v>32</v>
      </c>
      <c r="AI319" s="601">
        <f t="shared" si="224"/>
        <v>14160</v>
      </c>
      <c r="AJ319" s="598">
        <f t="shared" si="224"/>
        <v>0</v>
      </c>
      <c r="AK319" s="599">
        <f t="shared" si="224"/>
        <v>0</v>
      </c>
      <c r="AL319" s="601">
        <f t="shared" si="224"/>
        <v>0</v>
      </c>
      <c r="AM319" s="598">
        <f t="shared" si="224"/>
        <v>0</v>
      </c>
      <c r="AN319" s="270"/>
      <c r="AO319" s="270"/>
    </row>
    <row r="320" spans="1:41">
      <c r="A320" s="240" t="s">
        <v>140</v>
      </c>
      <c r="B320" s="240" t="s">
        <v>53</v>
      </c>
      <c r="C320" s="568">
        <f t="shared" ref="C320:T320" si="231">IF(V320&gt;0,(V320/V325),0)</f>
        <v>0.33950617283950618</v>
      </c>
      <c r="D320" s="568">
        <f t="shared" si="231"/>
        <v>0</v>
      </c>
      <c r="E320" s="568">
        <f t="shared" si="231"/>
        <v>0.39880952380952384</v>
      </c>
      <c r="F320" s="568">
        <f t="shared" si="231"/>
        <v>0.44495412844036697</v>
      </c>
      <c r="G320" s="568">
        <f t="shared" si="231"/>
        <v>0.34343434343434343</v>
      </c>
      <c r="H320" s="568">
        <f t="shared" si="231"/>
        <v>0</v>
      </c>
      <c r="I320" s="568">
        <f t="shared" si="231"/>
        <v>0</v>
      </c>
      <c r="J320" s="569">
        <f t="shared" si="231"/>
        <v>0.36833855799373039</v>
      </c>
      <c r="K320" s="570">
        <f t="shared" si="231"/>
        <v>0</v>
      </c>
      <c r="L320" s="568">
        <f t="shared" si="231"/>
        <v>0</v>
      </c>
      <c r="M320" s="568">
        <f t="shared" si="231"/>
        <v>0.4485294117647059</v>
      </c>
      <c r="N320" s="568">
        <f t="shared" si="231"/>
        <v>0.45535714285714285</v>
      </c>
      <c r="O320" s="571">
        <f t="shared" si="231"/>
        <v>0</v>
      </c>
      <c r="P320" s="570">
        <f t="shared" si="231"/>
        <v>0.4494949494949495</v>
      </c>
      <c r="Q320" s="568">
        <f t="shared" si="231"/>
        <v>0</v>
      </c>
      <c r="R320" s="568">
        <f t="shared" si="231"/>
        <v>0</v>
      </c>
      <c r="S320" s="571">
        <f t="shared" si="231"/>
        <v>0</v>
      </c>
      <c r="T320" s="570">
        <f t="shared" si="231"/>
        <v>0</v>
      </c>
      <c r="U320" s="253"/>
      <c r="V320" s="245">
        <v>440</v>
      </c>
      <c r="W320" s="246"/>
      <c r="X320" s="246">
        <v>335</v>
      </c>
      <c r="Y320" s="246">
        <v>97</v>
      </c>
      <c r="Z320" s="246">
        <v>68</v>
      </c>
      <c r="AA320" s="246"/>
      <c r="AB320" s="246"/>
      <c r="AC320" s="247">
        <v>940</v>
      </c>
      <c r="AD320" s="245"/>
      <c r="AE320" s="246"/>
      <c r="AF320" s="246">
        <v>305</v>
      </c>
      <c r="AG320" s="246">
        <v>51</v>
      </c>
      <c r="AH320" s="248"/>
      <c r="AI320" s="248">
        <v>356</v>
      </c>
      <c r="AJ320" s="245"/>
      <c r="AK320" s="246"/>
      <c r="AL320" s="248"/>
      <c r="AM320" s="245"/>
      <c r="AN320" s="563"/>
    </row>
    <row r="321" spans="1:40">
      <c r="A321" s="239"/>
      <c r="B321" s="239" t="s">
        <v>93</v>
      </c>
      <c r="C321" s="572">
        <f t="shared" ref="C321:T321" si="232">IF(V321&gt;0,(V321/V325),0)</f>
        <v>0.31327160493827161</v>
      </c>
      <c r="D321" s="572">
        <f t="shared" si="232"/>
        <v>0</v>
      </c>
      <c r="E321" s="572">
        <f t="shared" si="232"/>
        <v>0.29761904761904762</v>
      </c>
      <c r="F321" s="572">
        <f t="shared" si="232"/>
        <v>0.27064220183486237</v>
      </c>
      <c r="G321" s="572">
        <f t="shared" si="232"/>
        <v>0.35858585858585856</v>
      </c>
      <c r="H321" s="572">
        <f t="shared" si="232"/>
        <v>0</v>
      </c>
      <c r="I321" s="572">
        <f t="shared" si="232"/>
        <v>0</v>
      </c>
      <c r="J321" s="573">
        <f t="shared" si="232"/>
        <v>0.30799373040752354</v>
      </c>
      <c r="K321" s="574">
        <f t="shared" si="232"/>
        <v>0</v>
      </c>
      <c r="L321" s="572">
        <f t="shared" si="232"/>
        <v>0</v>
      </c>
      <c r="M321" s="572">
        <f t="shared" si="232"/>
        <v>0.20588235294117646</v>
      </c>
      <c r="N321" s="572">
        <f t="shared" si="232"/>
        <v>0.20535714285714285</v>
      </c>
      <c r="O321" s="575">
        <f t="shared" si="232"/>
        <v>0</v>
      </c>
      <c r="P321" s="574">
        <f t="shared" si="232"/>
        <v>0.2058080808080808</v>
      </c>
      <c r="Q321" s="572">
        <f t="shared" si="232"/>
        <v>0</v>
      </c>
      <c r="R321" s="572">
        <f t="shared" si="232"/>
        <v>0</v>
      </c>
      <c r="S321" s="575">
        <f t="shared" si="232"/>
        <v>0</v>
      </c>
      <c r="T321" s="574">
        <f t="shared" si="232"/>
        <v>0</v>
      </c>
      <c r="U321" s="253"/>
      <c r="V321" s="254">
        <v>406</v>
      </c>
      <c r="W321" s="255"/>
      <c r="X321" s="255">
        <v>250</v>
      </c>
      <c r="Y321" s="255">
        <v>59</v>
      </c>
      <c r="Z321" s="255">
        <v>71</v>
      </c>
      <c r="AA321" s="255"/>
      <c r="AB321" s="255"/>
      <c r="AC321" s="256">
        <v>786</v>
      </c>
      <c r="AD321" s="254"/>
      <c r="AE321" s="255"/>
      <c r="AF321" s="255">
        <v>140</v>
      </c>
      <c r="AG321" s="255">
        <v>23</v>
      </c>
      <c r="AH321" s="257"/>
      <c r="AI321" s="257">
        <v>163</v>
      </c>
      <c r="AJ321" s="254"/>
      <c r="AK321" s="255"/>
      <c r="AL321" s="257"/>
      <c r="AM321" s="254"/>
      <c r="AN321" s="563"/>
    </row>
    <row r="322" spans="1:40">
      <c r="A322" s="239"/>
      <c r="B322" s="239" t="s">
        <v>55</v>
      </c>
      <c r="C322" s="572">
        <f t="shared" ref="C322:T322" si="233">IF(V322&gt;0,(V322/V325),0)</f>
        <v>0.27777777777777779</v>
      </c>
      <c r="D322" s="572">
        <f t="shared" si="233"/>
        <v>0</v>
      </c>
      <c r="E322" s="572">
        <f t="shared" si="233"/>
        <v>0.25476190476190474</v>
      </c>
      <c r="F322" s="572">
        <f t="shared" si="233"/>
        <v>0.27981651376146788</v>
      </c>
      <c r="G322" s="572">
        <f t="shared" si="233"/>
        <v>0.2878787878787879</v>
      </c>
      <c r="H322" s="572">
        <f t="shared" si="233"/>
        <v>0</v>
      </c>
      <c r="I322" s="572">
        <f t="shared" si="233"/>
        <v>0</v>
      </c>
      <c r="J322" s="573">
        <f t="shared" si="233"/>
        <v>0.2711598746081505</v>
      </c>
      <c r="K322" s="574">
        <f t="shared" si="233"/>
        <v>0</v>
      </c>
      <c r="L322" s="572">
        <f t="shared" si="233"/>
        <v>0</v>
      </c>
      <c r="M322" s="572">
        <f t="shared" si="233"/>
        <v>0.18382352941176472</v>
      </c>
      <c r="N322" s="572">
        <f t="shared" si="233"/>
        <v>0.16964285714285715</v>
      </c>
      <c r="O322" s="575">
        <f t="shared" si="233"/>
        <v>0</v>
      </c>
      <c r="P322" s="574">
        <f t="shared" si="233"/>
        <v>0.18181818181818182</v>
      </c>
      <c r="Q322" s="572">
        <f t="shared" si="233"/>
        <v>0</v>
      </c>
      <c r="R322" s="572">
        <f t="shared" si="233"/>
        <v>0</v>
      </c>
      <c r="S322" s="575">
        <f t="shared" si="233"/>
        <v>0</v>
      </c>
      <c r="T322" s="574">
        <f t="shared" si="233"/>
        <v>0</v>
      </c>
      <c r="U322" s="253"/>
      <c r="V322" s="254">
        <v>360</v>
      </c>
      <c r="W322" s="255"/>
      <c r="X322" s="255">
        <v>214</v>
      </c>
      <c r="Y322" s="255">
        <v>61</v>
      </c>
      <c r="Z322" s="255">
        <v>57</v>
      </c>
      <c r="AA322" s="255"/>
      <c r="AB322" s="255"/>
      <c r="AC322" s="256">
        <v>692</v>
      </c>
      <c r="AD322" s="254"/>
      <c r="AE322" s="255"/>
      <c r="AF322" s="255">
        <v>125</v>
      </c>
      <c r="AG322" s="255">
        <v>19</v>
      </c>
      <c r="AH322" s="257"/>
      <c r="AI322" s="257">
        <v>144</v>
      </c>
      <c r="AJ322" s="254"/>
      <c r="AK322" s="255"/>
      <c r="AL322" s="257"/>
      <c r="AM322" s="254"/>
      <c r="AN322" s="563"/>
    </row>
    <row r="323" spans="1:40">
      <c r="A323" s="239"/>
      <c r="B323" s="239" t="s">
        <v>78</v>
      </c>
      <c r="C323" s="572">
        <f t="shared" ref="C323:T323" si="234">IF(V323&gt;0,(V323/V325),0)</f>
        <v>3.1635802469135804E-2</v>
      </c>
      <c r="D323" s="572">
        <f t="shared" si="234"/>
        <v>0</v>
      </c>
      <c r="E323" s="572">
        <f t="shared" si="234"/>
        <v>4.880952380952381E-2</v>
      </c>
      <c r="F323" s="572">
        <f t="shared" si="234"/>
        <v>4.5871559633027525E-3</v>
      </c>
      <c r="G323" s="572">
        <f t="shared" si="234"/>
        <v>1.0101010101010102E-2</v>
      </c>
      <c r="H323" s="572">
        <f t="shared" si="234"/>
        <v>0</v>
      </c>
      <c r="I323" s="572">
        <f t="shared" si="234"/>
        <v>0</v>
      </c>
      <c r="J323" s="573">
        <f t="shared" si="234"/>
        <v>3.3307210031347963E-2</v>
      </c>
      <c r="K323" s="574">
        <f t="shared" si="234"/>
        <v>0</v>
      </c>
      <c r="L323" s="572">
        <f t="shared" si="234"/>
        <v>0</v>
      </c>
      <c r="M323" s="572">
        <f t="shared" si="234"/>
        <v>7.0588235294117646E-2</v>
      </c>
      <c r="N323" s="572">
        <f t="shared" si="234"/>
        <v>0.125</v>
      </c>
      <c r="O323" s="575">
        <f t="shared" si="234"/>
        <v>0</v>
      </c>
      <c r="P323" s="574">
        <f t="shared" si="234"/>
        <v>7.8282828282828287E-2</v>
      </c>
      <c r="Q323" s="572">
        <f t="shared" si="234"/>
        <v>0</v>
      </c>
      <c r="R323" s="572">
        <f t="shared" si="234"/>
        <v>0</v>
      </c>
      <c r="S323" s="575">
        <f t="shared" si="234"/>
        <v>0</v>
      </c>
      <c r="T323" s="574">
        <f t="shared" si="234"/>
        <v>0</v>
      </c>
      <c r="U323" s="253"/>
      <c r="V323" s="254">
        <v>41</v>
      </c>
      <c r="W323" s="255"/>
      <c r="X323" s="255">
        <v>41</v>
      </c>
      <c r="Y323" s="255">
        <v>1</v>
      </c>
      <c r="Z323" s="255">
        <v>2</v>
      </c>
      <c r="AA323" s="255"/>
      <c r="AB323" s="255"/>
      <c r="AC323" s="256">
        <v>85</v>
      </c>
      <c r="AD323" s="254"/>
      <c r="AE323" s="255"/>
      <c r="AF323" s="255">
        <v>48</v>
      </c>
      <c r="AG323" s="255">
        <v>14</v>
      </c>
      <c r="AH323" s="257"/>
      <c r="AI323" s="257">
        <v>62</v>
      </c>
      <c r="AJ323" s="254"/>
      <c r="AK323" s="255"/>
      <c r="AL323" s="257"/>
      <c r="AM323" s="254"/>
      <c r="AN323" s="563"/>
    </row>
    <row r="324" spans="1:40">
      <c r="A324" s="580"/>
      <c r="B324" s="580" t="s">
        <v>131</v>
      </c>
      <c r="C324" s="581">
        <f t="shared" ref="C324:T324" si="235">IF(V324&gt;0,(V324/V325),0)</f>
        <v>3.7808641975308643E-2</v>
      </c>
      <c r="D324" s="582">
        <f t="shared" si="235"/>
        <v>0</v>
      </c>
      <c r="E324" s="582">
        <f t="shared" si="235"/>
        <v>0</v>
      </c>
      <c r="F324" s="582">
        <f t="shared" si="235"/>
        <v>0</v>
      </c>
      <c r="G324" s="582">
        <f t="shared" si="235"/>
        <v>0</v>
      </c>
      <c r="H324" s="582">
        <f t="shared" si="235"/>
        <v>0</v>
      </c>
      <c r="I324" s="583">
        <f t="shared" si="235"/>
        <v>0</v>
      </c>
      <c r="J324" s="584">
        <f t="shared" si="235"/>
        <v>1.9200626959247648E-2</v>
      </c>
      <c r="K324" s="581">
        <f t="shared" si="235"/>
        <v>0</v>
      </c>
      <c r="L324" s="582">
        <f t="shared" si="235"/>
        <v>0</v>
      </c>
      <c r="M324" s="582">
        <f t="shared" si="235"/>
        <v>9.1176470588235289E-2</v>
      </c>
      <c r="N324" s="582">
        <f t="shared" si="235"/>
        <v>4.4642857142857144E-2</v>
      </c>
      <c r="O324" s="583">
        <f t="shared" si="235"/>
        <v>0</v>
      </c>
      <c r="P324" s="581">
        <f t="shared" si="235"/>
        <v>8.4595959595959599E-2</v>
      </c>
      <c r="Q324" s="581">
        <f t="shared" si="235"/>
        <v>0</v>
      </c>
      <c r="R324" s="582">
        <f t="shared" si="235"/>
        <v>0</v>
      </c>
      <c r="S324" s="583">
        <f t="shared" si="235"/>
        <v>0</v>
      </c>
      <c r="T324" s="581">
        <f t="shared" si="235"/>
        <v>0</v>
      </c>
      <c r="U324" s="253"/>
      <c r="V324" s="585">
        <v>49</v>
      </c>
      <c r="W324" s="586"/>
      <c r="X324" s="586"/>
      <c r="Y324" s="586"/>
      <c r="Z324" s="586"/>
      <c r="AA324" s="586"/>
      <c r="AB324" s="586"/>
      <c r="AC324" s="587">
        <v>49</v>
      </c>
      <c r="AD324" s="585"/>
      <c r="AE324" s="586"/>
      <c r="AF324" s="586">
        <v>62</v>
      </c>
      <c r="AG324" s="586">
        <v>5</v>
      </c>
      <c r="AH324" s="588"/>
      <c r="AI324" s="588">
        <v>67</v>
      </c>
      <c r="AJ324" s="585"/>
      <c r="AK324" s="586"/>
      <c r="AL324" s="588"/>
      <c r="AM324" s="585"/>
    </row>
    <row r="325" spans="1:40">
      <c r="A325" s="436"/>
      <c r="B325" s="436" t="s">
        <v>59</v>
      </c>
      <c r="C325" s="456">
        <f t="shared" ref="C325:T325" si="236">SUM(C320:C324)</f>
        <v>1</v>
      </c>
      <c r="D325" s="456">
        <f t="shared" si="236"/>
        <v>0</v>
      </c>
      <c r="E325" s="456">
        <f t="shared" si="236"/>
        <v>1</v>
      </c>
      <c r="F325" s="456">
        <f t="shared" si="236"/>
        <v>0.99999999999999989</v>
      </c>
      <c r="G325" s="456">
        <f t="shared" si="236"/>
        <v>0.99999999999999989</v>
      </c>
      <c r="H325" s="456">
        <f t="shared" si="236"/>
        <v>0</v>
      </c>
      <c r="I325" s="456">
        <f t="shared" si="236"/>
        <v>0</v>
      </c>
      <c r="J325" s="576">
        <f t="shared" si="236"/>
        <v>1</v>
      </c>
      <c r="K325" s="577">
        <f t="shared" si="236"/>
        <v>0</v>
      </c>
      <c r="L325" s="578">
        <f t="shared" si="236"/>
        <v>0</v>
      </c>
      <c r="M325" s="578">
        <f t="shared" si="236"/>
        <v>1</v>
      </c>
      <c r="N325" s="578">
        <f t="shared" si="236"/>
        <v>0.99999999999999989</v>
      </c>
      <c r="O325" s="579">
        <f t="shared" si="236"/>
        <v>0</v>
      </c>
      <c r="P325" s="577">
        <f t="shared" si="236"/>
        <v>1</v>
      </c>
      <c r="Q325" s="578">
        <f t="shared" si="236"/>
        <v>0</v>
      </c>
      <c r="R325" s="578">
        <f t="shared" si="236"/>
        <v>0</v>
      </c>
      <c r="S325" s="579">
        <f t="shared" si="236"/>
        <v>0</v>
      </c>
      <c r="T325" s="577">
        <f t="shared" si="236"/>
        <v>0</v>
      </c>
      <c r="U325" s="253"/>
      <c r="V325" s="265">
        <v>1296</v>
      </c>
      <c r="W325" s="266"/>
      <c r="X325" s="266">
        <v>840</v>
      </c>
      <c r="Y325" s="266">
        <v>218</v>
      </c>
      <c r="Z325" s="266">
        <v>198</v>
      </c>
      <c r="AA325" s="266"/>
      <c r="AB325" s="266"/>
      <c r="AC325" s="267">
        <v>2552</v>
      </c>
      <c r="AD325" s="265"/>
      <c r="AE325" s="266"/>
      <c r="AF325" s="266">
        <v>680</v>
      </c>
      <c r="AG325" s="266">
        <v>112</v>
      </c>
      <c r="AH325" s="268"/>
      <c r="AI325" s="268">
        <v>792</v>
      </c>
      <c r="AJ325" s="265"/>
      <c r="AK325" s="266"/>
      <c r="AL325" s="268"/>
      <c r="AM325" s="265"/>
      <c r="AN325" s="563"/>
    </row>
    <row r="326" spans="1:40">
      <c r="A326" s="240" t="s">
        <v>148</v>
      </c>
      <c r="B326" s="240" t="s">
        <v>53</v>
      </c>
      <c r="C326" s="568">
        <f t="shared" ref="C326:T326" si="237">IF(V326&gt;0,(V326/V331),0)</f>
        <v>0</v>
      </c>
      <c r="D326" s="568">
        <f t="shared" si="237"/>
        <v>0.36544850498338871</v>
      </c>
      <c r="E326" s="568">
        <f t="shared" si="237"/>
        <v>0.3188405797101449</v>
      </c>
      <c r="F326" s="568">
        <f t="shared" si="237"/>
        <v>0</v>
      </c>
      <c r="G326" s="568">
        <f t="shared" si="237"/>
        <v>0</v>
      </c>
      <c r="H326" s="568">
        <f t="shared" si="237"/>
        <v>0.30383480825958703</v>
      </c>
      <c r="I326" s="568">
        <f t="shared" si="237"/>
        <v>0</v>
      </c>
      <c r="J326" s="569">
        <f t="shared" si="237"/>
        <v>0.33670295489891133</v>
      </c>
      <c r="K326" s="570">
        <f t="shared" si="237"/>
        <v>0</v>
      </c>
      <c r="L326" s="568">
        <f t="shared" si="237"/>
        <v>0</v>
      </c>
      <c r="M326" s="568">
        <f t="shared" si="237"/>
        <v>0</v>
      </c>
      <c r="N326" s="568">
        <f t="shared" si="237"/>
        <v>0</v>
      </c>
      <c r="O326" s="571">
        <f t="shared" si="237"/>
        <v>0</v>
      </c>
      <c r="P326" s="570">
        <f t="shared" si="237"/>
        <v>0</v>
      </c>
      <c r="Q326" s="568">
        <f t="shared" si="237"/>
        <v>0</v>
      </c>
      <c r="R326" s="568">
        <f t="shared" si="237"/>
        <v>0</v>
      </c>
      <c r="S326" s="571">
        <f t="shared" si="237"/>
        <v>0</v>
      </c>
      <c r="T326" s="570">
        <f t="shared" si="237"/>
        <v>0</v>
      </c>
      <c r="U326" s="253"/>
      <c r="V326" s="245"/>
      <c r="W326" s="246">
        <v>220</v>
      </c>
      <c r="X326" s="246">
        <v>110</v>
      </c>
      <c r="Y326" s="246"/>
      <c r="Z326" s="246"/>
      <c r="AA326" s="246">
        <v>103</v>
      </c>
      <c r="AB326" s="246"/>
      <c r="AC326" s="247">
        <v>433</v>
      </c>
      <c r="AD326" s="245"/>
      <c r="AE326" s="246"/>
      <c r="AF326" s="246"/>
      <c r="AG326" s="246"/>
      <c r="AH326" s="248"/>
      <c r="AI326" s="248"/>
      <c r="AJ326" s="245"/>
      <c r="AK326" s="246"/>
      <c r="AL326" s="248"/>
      <c r="AM326" s="245"/>
      <c r="AN326" s="563"/>
    </row>
    <row r="327" spans="1:40">
      <c r="A327" s="239"/>
      <c r="B327" s="239" t="s">
        <v>93</v>
      </c>
      <c r="C327" s="572">
        <f t="shared" ref="C327:T327" si="238">IF(V327&gt;0,(V327/V331),0)</f>
        <v>0</v>
      </c>
      <c r="D327" s="572">
        <f t="shared" si="238"/>
        <v>0.3272425249169435</v>
      </c>
      <c r="E327" s="572">
        <f t="shared" si="238"/>
        <v>0.47246376811594204</v>
      </c>
      <c r="F327" s="572">
        <f t="shared" si="238"/>
        <v>0</v>
      </c>
      <c r="G327" s="572">
        <f t="shared" si="238"/>
        <v>0</v>
      </c>
      <c r="H327" s="572">
        <f t="shared" si="238"/>
        <v>0.31268436578171094</v>
      </c>
      <c r="I327" s="572">
        <f t="shared" si="238"/>
        <v>0</v>
      </c>
      <c r="J327" s="573">
        <f t="shared" si="238"/>
        <v>0.36236391912908245</v>
      </c>
      <c r="K327" s="574">
        <f t="shared" si="238"/>
        <v>0</v>
      </c>
      <c r="L327" s="572">
        <f t="shared" si="238"/>
        <v>0</v>
      </c>
      <c r="M327" s="572">
        <f t="shared" si="238"/>
        <v>0</v>
      </c>
      <c r="N327" s="572">
        <f t="shared" si="238"/>
        <v>0</v>
      </c>
      <c r="O327" s="575">
        <f t="shared" si="238"/>
        <v>0</v>
      </c>
      <c r="P327" s="574">
        <f t="shared" si="238"/>
        <v>0</v>
      </c>
      <c r="Q327" s="572">
        <f t="shared" si="238"/>
        <v>0</v>
      </c>
      <c r="R327" s="572">
        <f t="shared" si="238"/>
        <v>0</v>
      </c>
      <c r="S327" s="575">
        <f t="shared" si="238"/>
        <v>0</v>
      </c>
      <c r="T327" s="574">
        <f t="shared" si="238"/>
        <v>0</v>
      </c>
      <c r="U327" s="253"/>
      <c r="V327" s="254"/>
      <c r="W327" s="255">
        <v>197</v>
      </c>
      <c r="X327" s="255">
        <v>163</v>
      </c>
      <c r="Y327" s="255"/>
      <c r="Z327" s="255"/>
      <c r="AA327" s="255">
        <v>106</v>
      </c>
      <c r="AB327" s="255"/>
      <c r="AC327" s="256">
        <v>466</v>
      </c>
      <c r="AD327" s="254"/>
      <c r="AE327" s="255"/>
      <c r="AF327" s="255"/>
      <c r="AG327" s="255"/>
      <c r="AH327" s="257"/>
      <c r="AI327" s="257"/>
      <c r="AJ327" s="254"/>
      <c r="AK327" s="255"/>
      <c r="AL327" s="257"/>
      <c r="AM327" s="254"/>
      <c r="AN327" s="563"/>
    </row>
    <row r="328" spans="1:40">
      <c r="A328" s="239"/>
      <c r="B328" s="239" t="s">
        <v>55</v>
      </c>
      <c r="C328" s="572">
        <f t="shared" ref="C328:T328" si="239">IF(V328&gt;0,(V328/V331),0)</f>
        <v>0</v>
      </c>
      <c r="D328" s="572">
        <f t="shared" si="239"/>
        <v>0.15116279069767441</v>
      </c>
      <c r="E328" s="572">
        <f t="shared" si="239"/>
        <v>0.11594202898550725</v>
      </c>
      <c r="F328" s="572">
        <f t="shared" si="239"/>
        <v>0</v>
      </c>
      <c r="G328" s="572">
        <f t="shared" si="239"/>
        <v>0</v>
      </c>
      <c r="H328" s="572">
        <f t="shared" si="239"/>
        <v>0.26548672566371684</v>
      </c>
      <c r="I328" s="572">
        <f t="shared" si="239"/>
        <v>0</v>
      </c>
      <c r="J328" s="573">
        <f t="shared" si="239"/>
        <v>0.17185069984447901</v>
      </c>
      <c r="K328" s="574">
        <f t="shared" si="239"/>
        <v>0</v>
      </c>
      <c r="L328" s="572">
        <f t="shared" si="239"/>
        <v>0</v>
      </c>
      <c r="M328" s="572">
        <f t="shared" si="239"/>
        <v>0</v>
      </c>
      <c r="N328" s="572">
        <f t="shared" si="239"/>
        <v>0</v>
      </c>
      <c r="O328" s="575">
        <f t="shared" si="239"/>
        <v>0</v>
      </c>
      <c r="P328" s="574">
        <f t="shared" si="239"/>
        <v>0</v>
      </c>
      <c r="Q328" s="572">
        <f t="shared" si="239"/>
        <v>0</v>
      </c>
      <c r="R328" s="572">
        <f t="shared" si="239"/>
        <v>0</v>
      </c>
      <c r="S328" s="575">
        <f t="shared" si="239"/>
        <v>0</v>
      </c>
      <c r="T328" s="574">
        <f t="shared" si="239"/>
        <v>0</v>
      </c>
      <c r="U328" s="253"/>
      <c r="V328" s="254"/>
      <c r="W328" s="255">
        <v>91</v>
      </c>
      <c r="X328" s="255">
        <v>40</v>
      </c>
      <c r="Y328" s="255"/>
      <c r="Z328" s="255"/>
      <c r="AA328" s="255">
        <v>90</v>
      </c>
      <c r="AB328" s="255"/>
      <c r="AC328" s="256">
        <v>221</v>
      </c>
      <c r="AD328" s="254"/>
      <c r="AE328" s="255"/>
      <c r="AF328" s="255"/>
      <c r="AG328" s="255"/>
      <c r="AH328" s="257"/>
      <c r="AI328" s="257"/>
      <c r="AJ328" s="254"/>
      <c r="AK328" s="255"/>
      <c r="AL328" s="257"/>
      <c r="AM328" s="254"/>
      <c r="AN328" s="563"/>
    </row>
    <row r="329" spans="1:40">
      <c r="A329" s="239"/>
      <c r="B329" s="239" t="s">
        <v>78</v>
      </c>
      <c r="C329" s="572">
        <f t="shared" ref="C329:T329" si="240">IF(V329&gt;0,(V329/V331),0)</f>
        <v>0</v>
      </c>
      <c r="D329" s="572">
        <f t="shared" si="240"/>
        <v>2.3255813953488372E-2</v>
      </c>
      <c r="E329" s="572">
        <f t="shared" si="240"/>
        <v>3.1884057971014491E-2</v>
      </c>
      <c r="F329" s="572">
        <f t="shared" si="240"/>
        <v>0</v>
      </c>
      <c r="G329" s="572">
        <f t="shared" si="240"/>
        <v>0</v>
      </c>
      <c r="H329" s="572">
        <f t="shared" si="240"/>
        <v>5.6047197640117993E-2</v>
      </c>
      <c r="I329" s="572">
        <f t="shared" si="240"/>
        <v>0</v>
      </c>
      <c r="J329" s="573">
        <f t="shared" si="240"/>
        <v>3.4214618973561428E-2</v>
      </c>
      <c r="K329" s="574">
        <f t="shared" si="240"/>
        <v>0</v>
      </c>
      <c r="L329" s="572">
        <f t="shared" si="240"/>
        <v>0</v>
      </c>
      <c r="M329" s="572">
        <f t="shared" si="240"/>
        <v>0</v>
      </c>
      <c r="N329" s="572">
        <f t="shared" si="240"/>
        <v>0.51282051282051277</v>
      </c>
      <c r="O329" s="575">
        <f t="shared" si="240"/>
        <v>0</v>
      </c>
      <c r="P329" s="574">
        <f t="shared" si="240"/>
        <v>0.35190615835777128</v>
      </c>
      <c r="Q329" s="572">
        <f t="shared" si="240"/>
        <v>0</v>
      </c>
      <c r="R329" s="572">
        <f t="shared" si="240"/>
        <v>0</v>
      </c>
      <c r="S329" s="575">
        <f t="shared" si="240"/>
        <v>0</v>
      </c>
      <c r="T329" s="574">
        <f t="shared" si="240"/>
        <v>0</v>
      </c>
      <c r="U329" s="253"/>
      <c r="V329" s="254"/>
      <c r="W329" s="255">
        <v>14</v>
      </c>
      <c r="X329" s="255">
        <v>11</v>
      </c>
      <c r="Y329" s="255"/>
      <c r="Z329" s="255"/>
      <c r="AA329" s="255">
        <v>19</v>
      </c>
      <c r="AB329" s="255"/>
      <c r="AC329" s="256">
        <v>44</v>
      </c>
      <c r="AD329" s="254"/>
      <c r="AE329" s="255"/>
      <c r="AF329" s="255"/>
      <c r="AG329" s="255">
        <v>120</v>
      </c>
      <c r="AH329" s="257"/>
      <c r="AI329" s="257">
        <v>120</v>
      </c>
      <c r="AJ329" s="254"/>
      <c r="AK329" s="255"/>
      <c r="AL329" s="257"/>
      <c r="AM329" s="254"/>
      <c r="AN329" s="563"/>
    </row>
    <row r="330" spans="1:40">
      <c r="A330" s="580"/>
      <c r="B330" s="580" t="s">
        <v>131</v>
      </c>
      <c r="C330" s="581">
        <f t="shared" ref="C330:T330" si="241">IF(V330&gt;0,(V330/V331),0)</f>
        <v>0</v>
      </c>
      <c r="D330" s="582">
        <f t="shared" si="241"/>
        <v>0.13289036544850499</v>
      </c>
      <c r="E330" s="582">
        <f t="shared" si="241"/>
        <v>6.0869565217391307E-2</v>
      </c>
      <c r="F330" s="582">
        <f t="shared" si="241"/>
        <v>0</v>
      </c>
      <c r="G330" s="582">
        <f t="shared" si="241"/>
        <v>0</v>
      </c>
      <c r="H330" s="582">
        <f t="shared" si="241"/>
        <v>6.1946902654867256E-2</v>
      </c>
      <c r="I330" s="583">
        <f t="shared" si="241"/>
        <v>0</v>
      </c>
      <c r="J330" s="584">
        <f t="shared" si="241"/>
        <v>9.4867807153965783E-2</v>
      </c>
      <c r="K330" s="581">
        <f t="shared" si="241"/>
        <v>0</v>
      </c>
      <c r="L330" s="582">
        <f t="shared" si="241"/>
        <v>0</v>
      </c>
      <c r="M330" s="582">
        <f t="shared" si="241"/>
        <v>1</v>
      </c>
      <c r="N330" s="582">
        <f t="shared" si="241"/>
        <v>0.48717948717948717</v>
      </c>
      <c r="O330" s="583">
        <f t="shared" si="241"/>
        <v>0</v>
      </c>
      <c r="P330" s="581">
        <f t="shared" si="241"/>
        <v>0.64809384164222872</v>
      </c>
      <c r="Q330" s="581">
        <f t="shared" si="241"/>
        <v>0</v>
      </c>
      <c r="R330" s="582">
        <f t="shared" si="241"/>
        <v>0</v>
      </c>
      <c r="S330" s="583">
        <f t="shared" si="241"/>
        <v>0</v>
      </c>
      <c r="T330" s="581">
        <f t="shared" si="241"/>
        <v>0</v>
      </c>
      <c r="U330" s="253"/>
      <c r="V330" s="585"/>
      <c r="W330" s="586">
        <v>80</v>
      </c>
      <c r="X330" s="586">
        <v>21</v>
      </c>
      <c r="Y330" s="586"/>
      <c r="Z330" s="586"/>
      <c r="AA330" s="586">
        <v>21</v>
      </c>
      <c r="AB330" s="586"/>
      <c r="AC330" s="587">
        <v>122</v>
      </c>
      <c r="AD330" s="585"/>
      <c r="AE330" s="586"/>
      <c r="AF330" s="586">
        <v>107</v>
      </c>
      <c r="AG330" s="586">
        <v>114</v>
      </c>
      <c r="AH330" s="588"/>
      <c r="AI330" s="588">
        <v>221</v>
      </c>
      <c r="AJ330" s="585"/>
      <c r="AK330" s="586"/>
      <c r="AL330" s="588"/>
      <c r="AM330" s="585"/>
    </row>
    <row r="331" spans="1:40">
      <c r="A331" s="436"/>
      <c r="B331" s="436" t="s">
        <v>59</v>
      </c>
      <c r="C331" s="456">
        <f t="shared" ref="C331:T331" si="242">SUM(C326:C330)</f>
        <v>0</v>
      </c>
      <c r="D331" s="456">
        <f t="shared" si="242"/>
        <v>1</v>
      </c>
      <c r="E331" s="456">
        <f t="shared" si="242"/>
        <v>0.99999999999999989</v>
      </c>
      <c r="F331" s="456">
        <f t="shared" si="242"/>
        <v>0</v>
      </c>
      <c r="G331" s="456">
        <f t="shared" si="242"/>
        <v>0</v>
      </c>
      <c r="H331" s="456">
        <f t="shared" si="242"/>
        <v>1.0000000000000002</v>
      </c>
      <c r="I331" s="456">
        <f t="shared" si="242"/>
        <v>0</v>
      </c>
      <c r="J331" s="576">
        <f t="shared" si="242"/>
        <v>0.99999999999999989</v>
      </c>
      <c r="K331" s="577">
        <f t="shared" si="242"/>
        <v>0</v>
      </c>
      <c r="L331" s="578">
        <f t="shared" si="242"/>
        <v>0</v>
      </c>
      <c r="M331" s="578">
        <f t="shared" si="242"/>
        <v>1</v>
      </c>
      <c r="N331" s="578">
        <f t="shared" si="242"/>
        <v>1</v>
      </c>
      <c r="O331" s="579">
        <f t="shared" si="242"/>
        <v>0</v>
      </c>
      <c r="P331" s="577">
        <f t="shared" si="242"/>
        <v>1</v>
      </c>
      <c r="Q331" s="578">
        <f t="shared" si="242"/>
        <v>0</v>
      </c>
      <c r="R331" s="578">
        <f t="shared" si="242"/>
        <v>0</v>
      </c>
      <c r="S331" s="579">
        <f t="shared" si="242"/>
        <v>0</v>
      </c>
      <c r="T331" s="577">
        <f t="shared" si="242"/>
        <v>0</v>
      </c>
      <c r="U331" s="253"/>
      <c r="V331" s="265"/>
      <c r="W331" s="266">
        <v>602</v>
      </c>
      <c r="X331" s="266">
        <v>345</v>
      </c>
      <c r="Y331" s="266"/>
      <c r="Z331" s="266"/>
      <c r="AA331" s="266">
        <v>339</v>
      </c>
      <c r="AB331" s="266"/>
      <c r="AC331" s="267">
        <v>1286</v>
      </c>
      <c r="AD331" s="265"/>
      <c r="AE331" s="266"/>
      <c r="AF331" s="266">
        <v>107</v>
      </c>
      <c r="AG331" s="266">
        <v>234</v>
      </c>
      <c r="AH331" s="268"/>
      <c r="AI331" s="268">
        <v>341</v>
      </c>
      <c r="AJ331" s="265"/>
      <c r="AK331" s="266"/>
      <c r="AL331" s="268"/>
      <c r="AM331" s="265"/>
      <c r="AN331" s="563"/>
    </row>
    <row r="332" spans="1:40">
      <c r="A332" s="240" t="s">
        <v>147</v>
      </c>
      <c r="B332" s="240" t="s">
        <v>53</v>
      </c>
      <c r="C332" s="568">
        <f t="shared" ref="C332:T332" si="243">IF(V332&gt;0,(V332/V337),0)</f>
        <v>0.37966101694915255</v>
      </c>
      <c r="D332" s="568">
        <f t="shared" si="243"/>
        <v>0.34850166481687017</v>
      </c>
      <c r="E332" s="568">
        <f t="shared" si="243"/>
        <v>0.34</v>
      </c>
      <c r="F332" s="568">
        <f t="shared" si="243"/>
        <v>0.32627526467757462</v>
      </c>
      <c r="G332" s="568">
        <f t="shared" si="243"/>
        <v>0.51190476190476186</v>
      </c>
      <c r="H332" s="568">
        <f t="shared" si="243"/>
        <v>0</v>
      </c>
      <c r="I332" s="568">
        <f t="shared" si="243"/>
        <v>0</v>
      </c>
      <c r="J332" s="569">
        <f t="shared" si="243"/>
        <v>0.35399590163934425</v>
      </c>
      <c r="K332" s="570">
        <f t="shared" si="243"/>
        <v>0</v>
      </c>
      <c r="L332" s="568">
        <f t="shared" si="243"/>
        <v>0.61455525606469008</v>
      </c>
      <c r="M332" s="568">
        <f t="shared" si="243"/>
        <v>0.58684985279685964</v>
      </c>
      <c r="N332" s="568">
        <f t="shared" si="243"/>
        <v>0.53125</v>
      </c>
      <c r="O332" s="571">
        <f t="shared" si="243"/>
        <v>0</v>
      </c>
      <c r="P332" s="570">
        <f t="shared" si="243"/>
        <v>0.58774193548387099</v>
      </c>
      <c r="Q332" s="568">
        <f t="shared" si="243"/>
        <v>0</v>
      </c>
      <c r="R332" s="568">
        <f t="shared" si="243"/>
        <v>0</v>
      </c>
      <c r="S332" s="571">
        <f t="shared" si="243"/>
        <v>0</v>
      </c>
      <c r="T332" s="570">
        <f t="shared" si="243"/>
        <v>0</v>
      </c>
      <c r="U332" s="253"/>
      <c r="V332" s="245">
        <v>448</v>
      </c>
      <c r="W332" s="246">
        <v>314</v>
      </c>
      <c r="X332" s="246">
        <v>238</v>
      </c>
      <c r="Y332" s="246">
        <v>339</v>
      </c>
      <c r="Z332" s="246">
        <v>43</v>
      </c>
      <c r="AA332" s="246"/>
      <c r="AB332" s="246"/>
      <c r="AC332" s="247">
        <v>1382</v>
      </c>
      <c r="AD332" s="245"/>
      <c r="AE332" s="246">
        <v>228</v>
      </c>
      <c r="AF332" s="246">
        <v>598</v>
      </c>
      <c r="AG332" s="246">
        <v>85</v>
      </c>
      <c r="AH332" s="248"/>
      <c r="AI332" s="248">
        <v>911</v>
      </c>
      <c r="AJ332" s="245"/>
      <c r="AK332" s="246"/>
      <c r="AL332" s="248"/>
      <c r="AM332" s="245"/>
      <c r="AN332" s="563"/>
    </row>
    <row r="333" spans="1:40">
      <c r="A333" s="239"/>
      <c r="B333" s="239" t="s">
        <v>93</v>
      </c>
      <c r="C333" s="572">
        <f t="shared" ref="C333:T333" si="244">IF(V333&gt;0,(V333/V337),0)</f>
        <v>0.23305084745762711</v>
      </c>
      <c r="D333" s="572">
        <f t="shared" si="244"/>
        <v>0.25305216426193117</v>
      </c>
      <c r="E333" s="572">
        <f t="shared" si="244"/>
        <v>0.26857142857142857</v>
      </c>
      <c r="F333" s="572">
        <f t="shared" si="244"/>
        <v>0.3089509143407122</v>
      </c>
      <c r="G333" s="572">
        <f t="shared" si="244"/>
        <v>0.17857142857142858</v>
      </c>
      <c r="H333" s="572">
        <f t="shared" si="244"/>
        <v>0</v>
      </c>
      <c r="I333" s="572">
        <f t="shared" si="244"/>
        <v>0</v>
      </c>
      <c r="J333" s="573">
        <f t="shared" si="244"/>
        <v>0.26306352459016391</v>
      </c>
      <c r="K333" s="574">
        <f t="shared" si="244"/>
        <v>0</v>
      </c>
      <c r="L333" s="572">
        <f t="shared" si="244"/>
        <v>0.18059299191374664</v>
      </c>
      <c r="M333" s="572">
        <f t="shared" si="244"/>
        <v>0.15996074582924436</v>
      </c>
      <c r="N333" s="572">
        <f t="shared" si="244"/>
        <v>0.22500000000000001</v>
      </c>
      <c r="O333" s="575">
        <f t="shared" si="244"/>
        <v>0</v>
      </c>
      <c r="P333" s="574">
        <f t="shared" si="244"/>
        <v>0.17161290322580644</v>
      </c>
      <c r="Q333" s="572">
        <f t="shared" si="244"/>
        <v>0</v>
      </c>
      <c r="R333" s="572">
        <f t="shared" si="244"/>
        <v>0</v>
      </c>
      <c r="S333" s="575">
        <f t="shared" si="244"/>
        <v>0</v>
      </c>
      <c r="T333" s="574">
        <f t="shared" si="244"/>
        <v>0</v>
      </c>
      <c r="U333" s="253"/>
      <c r="V333" s="254">
        <v>275</v>
      </c>
      <c r="W333" s="255">
        <v>228</v>
      </c>
      <c r="X333" s="255">
        <v>188</v>
      </c>
      <c r="Y333" s="255">
        <v>321</v>
      </c>
      <c r="Z333" s="255">
        <v>15</v>
      </c>
      <c r="AA333" s="255"/>
      <c r="AB333" s="255"/>
      <c r="AC333" s="256">
        <v>1027</v>
      </c>
      <c r="AD333" s="254"/>
      <c r="AE333" s="255">
        <v>67</v>
      </c>
      <c r="AF333" s="255">
        <v>163</v>
      </c>
      <c r="AG333" s="255">
        <v>36</v>
      </c>
      <c r="AH333" s="257"/>
      <c r="AI333" s="257">
        <v>266</v>
      </c>
      <c r="AJ333" s="254"/>
      <c r="AK333" s="255"/>
      <c r="AL333" s="257"/>
      <c r="AM333" s="254"/>
      <c r="AN333" s="563"/>
    </row>
    <row r="334" spans="1:40">
      <c r="A334" s="239"/>
      <c r="B334" s="239" t="s">
        <v>55</v>
      </c>
      <c r="C334" s="572">
        <f t="shared" ref="C334:T334" si="245">IF(V334&gt;0,(V334/V337),0)</f>
        <v>0.22796610169491524</v>
      </c>
      <c r="D334" s="572">
        <f t="shared" si="245"/>
        <v>0.27746947835738067</v>
      </c>
      <c r="E334" s="572">
        <f t="shared" si="245"/>
        <v>0.28142857142857142</v>
      </c>
      <c r="F334" s="572">
        <f t="shared" si="245"/>
        <v>0.33301251203079885</v>
      </c>
      <c r="G334" s="572">
        <f t="shared" si="245"/>
        <v>0.2857142857142857</v>
      </c>
      <c r="H334" s="572">
        <f t="shared" si="245"/>
        <v>0</v>
      </c>
      <c r="I334" s="572">
        <f t="shared" si="245"/>
        <v>0</v>
      </c>
      <c r="J334" s="573">
        <f t="shared" si="245"/>
        <v>0.2781762295081967</v>
      </c>
      <c r="K334" s="574">
        <f t="shared" si="245"/>
        <v>0</v>
      </c>
      <c r="L334" s="572">
        <f t="shared" si="245"/>
        <v>0.14285714285714285</v>
      </c>
      <c r="M334" s="572">
        <f t="shared" si="245"/>
        <v>0.155053974484789</v>
      </c>
      <c r="N334" s="572">
        <f t="shared" si="245"/>
        <v>0.19375000000000001</v>
      </c>
      <c r="O334" s="575">
        <f t="shared" si="245"/>
        <v>0</v>
      </c>
      <c r="P334" s="574">
        <f t="shared" si="245"/>
        <v>0.15612903225806452</v>
      </c>
      <c r="Q334" s="572">
        <f t="shared" si="245"/>
        <v>0</v>
      </c>
      <c r="R334" s="572">
        <f t="shared" si="245"/>
        <v>0</v>
      </c>
      <c r="S334" s="575">
        <f t="shared" si="245"/>
        <v>0</v>
      </c>
      <c r="T334" s="574">
        <f t="shared" si="245"/>
        <v>0</v>
      </c>
      <c r="U334" s="253"/>
      <c r="V334" s="254">
        <v>269</v>
      </c>
      <c r="W334" s="255">
        <v>250</v>
      </c>
      <c r="X334" s="255">
        <v>197</v>
      </c>
      <c r="Y334" s="255">
        <v>346</v>
      </c>
      <c r="Z334" s="255">
        <v>24</v>
      </c>
      <c r="AA334" s="255"/>
      <c r="AB334" s="255"/>
      <c r="AC334" s="256">
        <v>1086</v>
      </c>
      <c r="AD334" s="254"/>
      <c r="AE334" s="255">
        <v>53</v>
      </c>
      <c r="AF334" s="255">
        <v>158</v>
      </c>
      <c r="AG334" s="255">
        <v>31</v>
      </c>
      <c r="AH334" s="257"/>
      <c r="AI334" s="257">
        <v>242</v>
      </c>
      <c r="AJ334" s="254"/>
      <c r="AK334" s="255"/>
      <c r="AL334" s="257"/>
      <c r="AM334" s="254"/>
      <c r="AN334" s="563"/>
    </row>
    <row r="335" spans="1:40">
      <c r="A335" s="239"/>
      <c r="B335" s="239" t="s">
        <v>78</v>
      </c>
      <c r="C335" s="572">
        <f t="shared" ref="C335:T335" si="246">IF(V335&gt;0,(V335/V337),0)</f>
        <v>8.4745762711864404E-4</v>
      </c>
      <c r="D335" s="572">
        <f t="shared" si="246"/>
        <v>6.6592674805771362E-3</v>
      </c>
      <c r="E335" s="572">
        <f t="shared" si="246"/>
        <v>2.1428571428571429E-2</v>
      </c>
      <c r="F335" s="572">
        <f t="shared" si="246"/>
        <v>3.1761308950914342E-2</v>
      </c>
      <c r="G335" s="572">
        <f t="shared" si="246"/>
        <v>2.3809523809523808E-2</v>
      </c>
      <c r="H335" s="572">
        <f t="shared" si="246"/>
        <v>0</v>
      </c>
      <c r="I335" s="572">
        <f t="shared" si="246"/>
        <v>0</v>
      </c>
      <c r="J335" s="573">
        <f t="shared" si="246"/>
        <v>1.4600409836065574E-2</v>
      </c>
      <c r="K335" s="574">
        <f t="shared" si="246"/>
        <v>0</v>
      </c>
      <c r="L335" s="572">
        <f t="shared" si="246"/>
        <v>2.9649595687331536E-2</v>
      </c>
      <c r="M335" s="572">
        <f t="shared" si="246"/>
        <v>9.8135426889106966E-2</v>
      </c>
      <c r="N335" s="572">
        <f t="shared" si="246"/>
        <v>0.05</v>
      </c>
      <c r="O335" s="575">
        <f t="shared" si="246"/>
        <v>0</v>
      </c>
      <c r="P335" s="574">
        <f t="shared" si="246"/>
        <v>7.677419354838709E-2</v>
      </c>
      <c r="Q335" s="572">
        <f t="shared" si="246"/>
        <v>0</v>
      </c>
      <c r="R335" s="572">
        <f t="shared" si="246"/>
        <v>0</v>
      </c>
      <c r="S335" s="575">
        <f t="shared" si="246"/>
        <v>0</v>
      </c>
      <c r="T335" s="574">
        <f t="shared" si="246"/>
        <v>0</v>
      </c>
      <c r="U335" s="253"/>
      <c r="V335" s="254">
        <v>1</v>
      </c>
      <c r="W335" s="255">
        <v>6</v>
      </c>
      <c r="X335" s="255">
        <v>15</v>
      </c>
      <c r="Y335" s="255">
        <v>33</v>
      </c>
      <c r="Z335" s="255">
        <v>2</v>
      </c>
      <c r="AA335" s="255"/>
      <c r="AB335" s="255"/>
      <c r="AC335" s="256">
        <v>57</v>
      </c>
      <c r="AD335" s="254"/>
      <c r="AE335" s="255">
        <v>11</v>
      </c>
      <c r="AF335" s="255">
        <v>100</v>
      </c>
      <c r="AG335" s="255">
        <v>8</v>
      </c>
      <c r="AH335" s="257"/>
      <c r="AI335" s="257">
        <v>119</v>
      </c>
      <c r="AJ335" s="254"/>
      <c r="AK335" s="255"/>
      <c r="AL335" s="257"/>
      <c r="AM335" s="254"/>
      <c r="AN335" s="563"/>
    </row>
    <row r="336" spans="1:40">
      <c r="A336" s="580"/>
      <c r="B336" s="580" t="s">
        <v>131</v>
      </c>
      <c r="C336" s="581">
        <f t="shared" ref="C336:T336" si="247">IF(V336&gt;0,(V336/V337),0)</f>
        <v>0.15847457627118644</v>
      </c>
      <c r="D336" s="582">
        <f t="shared" si="247"/>
        <v>0.11431742508324085</v>
      </c>
      <c r="E336" s="582">
        <f t="shared" si="247"/>
        <v>8.8571428571428565E-2</v>
      </c>
      <c r="F336" s="582">
        <f t="shared" si="247"/>
        <v>0</v>
      </c>
      <c r="G336" s="582">
        <f t="shared" si="247"/>
        <v>0</v>
      </c>
      <c r="H336" s="582">
        <f t="shared" si="247"/>
        <v>0</v>
      </c>
      <c r="I336" s="583">
        <f t="shared" si="247"/>
        <v>0</v>
      </c>
      <c r="J336" s="584">
        <f t="shared" si="247"/>
        <v>9.0163934426229511E-2</v>
      </c>
      <c r="K336" s="581">
        <f t="shared" si="247"/>
        <v>0</v>
      </c>
      <c r="L336" s="582">
        <f t="shared" si="247"/>
        <v>3.2345013477088951E-2</v>
      </c>
      <c r="M336" s="582">
        <f t="shared" si="247"/>
        <v>0</v>
      </c>
      <c r="N336" s="582">
        <f t="shared" si="247"/>
        <v>0</v>
      </c>
      <c r="O336" s="583">
        <f t="shared" si="247"/>
        <v>0</v>
      </c>
      <c r="P336" s="581">
        <f t="shared" si="247"/>
        <v>7.7419354838709677E-3</v>
      </c>
      <c r="Q336" s="581">
        <f t="shared" si="247"/>
        <v>0</v>
      </c>
      <c r="R336" s="582">
        <f t="shared" si="247"/>
        <v>0</v>
      </c>
      <c r="S336" s="583">
        <f t="shared" si="247"/>
        <v>0</v>
      </c>
      <c r="T336" s="581">
        <f t="shared" si="247"/>
        <v>0</v>
      </c>
      <c r="U336" s="253"/>
      <c r="V336" s="585">
        <v>187</v>
      </c>
      <c r="W336" s="586">
        <v>103</v>
      </c>
      <c r="X336" s="586">
        <v>62</v>
      </c>
      <c r="Y336" s="586"/>
      <c r="Z336" s="586"/>
      <c r="AA336" s="586"/>
      <c r="AB336" s="586"/>
      <c r="AC336" s="587">
        <v>352</v>
      </c>
      <c r="AD336" s="585"/>
      <c r="AE336" s="586">
        <v>12</v>
      </c>
      <c r="AF336" s="586"/>
      <c r="AG336" s="586"/>
      <c r="AH336" s="588"/>
      <c r="AI336" s="588">
        <v>12</v>
      </c>
      <c r="AJ336" s="585"/>
      <c r="AK336" s="586"/>
      <c r="AL336" s="588"/>
      <c r="AM336" s="585"/>
    </row>
    <row r="337" spans="1:40">
      <c r="A337" s="436"/>
      <c r="B337" s="436" t="s">
        <v>59</v>
      </c>
      <c r="C337" s="456">
        <f t="shared" ref="C337:T337" si="248">SUM(C332:C336)</f>
        <v>1</v>
      </c>
      <c r="D337" s="456">
        <f t="shared" si="248"/>
        <v>1</v>
      </c>
      <c r="E337" s="456">
        <f t="shared" si="248"/>
        <v>0.99999999999999989</v>
      </c>
      <c r="F337" s="456">
        <f t="shared" si="248"/>
        <v>1</v>
      </c>
      <c r="G337" s="456">
        <f t="shared" si="248"/>
        <v>1</v>
      </c>
      <c r="H337" s="456">
        <f t="shared" si="248"/>
        <v>0</v>
      </c>
      <c r="I337" s="456">
        <f t="shared" si="248"/>
        <v>0</v>
      </c>
      <c r="J337" s="576">
        <f t="shared" si="248"/>
        <v>0.99999999999999989</v>
      </c>
      <c r="K337" s="577">
        <f t="shared" si="248"/>
        <v>0</v>
      </c>
      <c r="L337" s="578">
        <f t="shared" si="248"/>
        <v>1</v>
      </c>
      <c r="M337" s="578">
        <f t="shared" si="248"/>
        <v>0.99999999999999989</v>
      </c>
      <c r="N337" s="578">
        <f t="shared" si="248"/>
        <v>1</v>
      </c>
      <c r="O337" s="579">
        <f t="shared" si="248"/>
        <v>0</v>
      </c>
      <c r="P337" s="577">
        <f t="shared" si="248"/>
        <v>1</v>
      </c>
      <c r="Q337" s="578">
        <f t="shared" si="248"/>
        <v>0</v>
      </c>
      <c r="R337" s="578">
        <f t="shared" si="248"/>
        <v>0</v>
      </c>
      <c r="S337" s="579">
        <f t="shared" si="248"/>
        <v>0</v>
      </c>
      <c r="T337" s="577">
        <f t="shared" si="248"/>
        <v>0</v>
      </c>
      <c r="U337" s="253"/>
      <c r="V337" s="265">
        <v>1180</v>
      </c>
      <c r="W337" s="266">
        <v>901</v>
      </c>
      <c r="X337" s="266">
        <v>700</v>
      </c>
      <c r="Y337" s="266">
        <v>1039</v>
      </c>
      <c r="Z337" s="266">
        <v>84</v>
      </c>
      <c r="AA337" s="266"/>
      <c r="AB337" s="266"/>
      <c r="AC337" s="267">
        <v>3904</v>
      </c>
      <c r="AD337" s="265"/>
      <c r="AE337" s="266">
        <v>371</v>
      </c>
      <c r="AF337" s="266">
        <v>1019</v>
      </c>
      <c r="AG337" s="266">
        <v>160</v>
      </c>
      <c r="AH337" s="268"/>
      <c r="AI337" s="268">
        <v>1550</v>
      </c>
      <c r="AJ337" s="265"/>
      <c r="AK337" s="266"/>
      <c r="AL337" s="268"/>
      <c r="AM337" s="265"/>
      <c r="AN337" s="563"/>
    </row>
    <row r="338" spans="1:40">
      <c r="A338" s="240" t="s">
        <v>155</v>
      </c>
      <c r="B338" s="240" t="s">
        <v>53</v>
      </c>
      <c r="C338" s="568">
        <f t="shared" ref="C338:T338" si="249">IF(V338&gt;0,(V338/V343),0)</f>
        <v>0</v>
      </c>
      <c r="D338" s="568">
        <f t="shared" si="249"/>
        <v>0.36569579288025889</v>
      </c>
      <c r="E338" s="568">
        <f t="shared" si="249"/>
        <v>0</v>
      </c>
      <c r="F338" s="568">
        <f t="shared" si="249"/>
        <v>0</v>
      </c>
      <c r="G338" s="568">
        <f t="shared" si="249"/>
        <v>0.39153439153439151</v>
      </c>
      <c r="H338" s="568">
        <f t="shared" si="249"/>
        <v>0.2</v>
      </c>
      <c r="I338" s="568">
        <f t="shared" si="249"/>
        <v>0</v>
      </c>
      <c r="J338" s="569">
        <f t="shared" si="249"/>
        <v>0.37037037037037035</v>
      </c>
      <c r="K338" s="570">
        <f t="shared" si="249"/>
        <v>0</v>
      </c>
      <c r="L338" s="568">
        <f t="shared" si="249"/>
        <v>0</v>
      </c>
      <c r="M338" s="568">
        <f t="shared" si="249"/>
        <v>0.81081081081081086</v>
      </c>
      <c r="N338" s="568">
        <f t="shared" si="249"/>
        <v>0.72246696035242286</v>
      </c>
      <c r="O338" s="571">
        <f t="shared" si="249"/>
        <v>0</v>
      </c>
      <c r="P338" s="570">
        <f t="shared" si="249"/>
        <v>0.75147928994082835</v>
      </c>
      <c r="Q338" s="568">
        <f t="shared" si="249"/>
        <v>0</v>
      </c>
      <c r="R338" s="568">
        <f t="shared" si="249"/>
        <v>0</v>
      </c>
      <c r="S338" s="571">
        <f t="shared" si="249"/>
        <v>0</v>
      </c>
      <c r="T338" s="570">
        <f t="shared" si="249"/>
        <v>0</v>
      </c>
      <c r="U338" s="253"/>
      <c r="V338" s="245"/>
      <c r="W338" s="246">
        <v>226</v>
      </c>
      <c r="X338" s="246"/>
      <c r="Y338" s="246"/>
      <c r="Z338" s="246">
        <v>148</v>
      </c>
      <c r="AA338" s="246">
        <v>6</v>
      </c>
      <c r="AB338" s="246"/>
      <c r="AC338" s="247">
        <v>380</v>
      </c>
      <c r="AD338" s="245"/>
      <c r="AE338" s="246"/>
      <c r="AF338" s="246">
        <v>90</v>
      </c>
      <c r="AG338" s="246">
        <v>164</v>
      </c>
      <c r="AH338" s="248"/>
      <c r="AI338" s="248">
        <v>254</v>
      </c>
      <c r="AJ338" s="245"/>
      <c r="AK338" s="246"/>
      <c r="AL338" s="248"/>
      <c r="AM338" s="245"/>
      <c r="AN338" s="563"/>
    </row>
    <row r="339" spans="1:40">
      <c r="A339" s="239"/>
      <c r="B339" s="239" t="s">
        <v>93</v>
      </c>
      <c r="C339" s="572">
        <f t="shared" ref="C339:T339" si="250">IF(V339&gt;0,(V339/V343),0)</f>
        <v>0</v>
      </c>
      <c r="D339" s="572">
        <f t="shared" si="250"/>
        <v>0.40129449838187703</v>
      </c>
      <c r="E339" s="572">
        <f t="shared" si="250"/>
        <v>0</v>
      </c>
      <c r="F339" s="572">
        <f t="shared" si="250"/>
        <v>0</v>
      </c>
      <c r="G339" s="572">
        <f t="shared" si="250"/>
        <v>0.24074074074074073</v>
      </c>
      <c r="H339" s="572">
        <f t="shared" si="250"/>
        <v>0.6</v>
      </c>
      <c r="I339" s="572">
        <f t="shared" si="250"/>
        <v>0</v>
      </c>
      <c r="J339" s="573">
        <f t="shared" si="250"/>
        <v>0.34795321637426901</v>
      </c>
      <c r="K339" s="574">
        <f t="shared" si="250"/>
        <v>0</v>
      </c>
      <c r="L339" s="572">
        <f t="shared" si="250"/>
        <v>0</v>
      </c>
      <c r="M339" s="572">
        <f t="shared" si="250"/>
        <v>0.15315315315315314</v>
      </c>
      <c r="N339" s="572">
        <f t="shared" si="250"/>
        <v>0.1894273127753304</v>
      </c>
      <c r="O339" s="575">
        <f t="shared" si="250"/>
        <v>0</v>
      </c>
      <c r="P339" s="574">
        <f t="shared" si="250"/>
        <v>0.17751479289940827</v>
      </c>
      <c r="Q339" s="572">
        <f t="shared" si="250"/>
        <v>0</v>
      </c>
      <c r="R339" s="572">
        <f t="shared" si="250"/>
        <v>0</v>
      </c>
      <c r="S339" s="575">
        <f t="shared" si="250"/>
        <v>0</v>
      </c>
      <c r="T339" s="574">
        <f t="shared" si="250"/>
        <v>0</v>
      </c>
      <c r="U339" s="253"/>
      <c r="V339" s="254"/>
      <c r="W339" s="255">
        <v>248</v>
      </c>
      <c r="X339" s="255"/>
      <c r="Y339" s="255"/>
      <c r="Z339" s="255">
        <v>91</v>
      </c>
      <c r="AA339" s="255">
        <v>18</v>
      </c>
      <c r="AB339" s="255"/>
      <c r="AC339" s="256">
        <v>357</v>
      </c>
      <c r="AD339" s="254"/>
      <c r="AE339" s="255"/>
      <c r="AF339" s="255">
        <v>17</v>
      </c>
      <c r="AG339" s="255">
        <v>43</v>
      </c>
      <c r="AH339" s="257"/>
      <c r="AI339" s="257">
        <v>60</v>
      </c>
      <c r="AJ339" s="254"/>
      <c r="AK339" s="255"/>
      <c r="AL339" s="257"/>
      <c r="AM339" s="254"/>
      <c r="AN339" s="563"/>
    </row>
    <row r="340" spans="1:40">
      <c r="A340" s="239"/>
      <c r="B340" s="239" t="s">
        <v>55</v>
      </c>
      <c r="C340" s="572">
        <f t="shared" ref="C340:T340" si="251">IF(V340&gt;0,(V340/V343),0)</f>
        <v>0</v>
      </c>
      <c r="D340" s="572">
        <f t="shared" si="251"/>
        <v>0.22006472491909385</v>
      </c>
      <c r="E340" s="572">
        <f t="shared" si="251"/>
        <v>0</v>
      </c>
      <c r="F340" s="572">
        <f t="shared" si="251"/>
        <v>0</v>
      </c>
      <c r="G340" s="572">
        <f t="shared" si="251"/>
        <v>0.25132275132275134</v>
      </c>
      <c r="H340" s="572">
        <f t="shared" si="251"/>
        <v>0.1</v>
      </c>
      <c r="I340" s="572">
        <f t="shared" si="251"/>
        <v>0</v>
      </c>
      <c r="J340" s="573">
        <f t="shared" si="251"/>
        <v>0.22807017543859648</v>
      </c>
      <c r="K340" s="574">
        <f t="shared" si="251"/>
        <v>0</v>
      </c>
      <c r="L340" s="572">
        <f t="shared" si="251"/>
        <v>0</v>
      </c>
      <c r="M340" s="572">
        <f t="shared" si="251"/>
        <v>3.6036036036036036E-2</v>
      </c>
      <c r="N340" s="572">
        <f t="shared" si="251"/>
        <v>6.6079295154185022E-2</v>
      </c>
      <c r="O340" s="575">
        <f t="shared" si="251"/>
        <v>0</v>
      </c>
      <c r="P340" s="574">
        <f t="shared" si="251"/>
        <v>5.6213017751479293E-2</v>
      </c>
      <c r="Q340" s="572">
        <f t="shared" si="251"/>
        <v>0</v>
      </c>
      <c r="R340" s="572">
        <f t="shared" si="251"/>
        <v>0</v>
      </c>
      <c r="S340" s="575">
        <f t="shared" si="251"/>
        <v>0</v>
      </c>
      <c r="T340" s="574">
        <f t="shared" si="251"/>
        <v>0</v>
      </c>
      <c r="U340" s="253"/>
      <c r="V340" s="254"/>
      <c r="W340" s="255">
        <v>136</v>
      </c>
      <c r="X340" s="255"/>
      <c r="Y340" s="255"/>
      <c r="Z340" s="255">
        <v>95</v>
      </c>
      <c r="AA340" s="255">
        <v>3</v>
      </c>
      <c r="AB340" s="255"/>
      <c r="AC340" s="256">
        <v>234</v>
      </c>
      <c r="AD340" s="254"/>
      <c r="AE340" s="255"/>
      <c r="AF340" s="255">
        <v>4</v>
      </c>
      <c r="AG340" s="255">
        <v>15</v>
      </c>
      <c r="AH340" s="257"/>
      <c r="AI340" s="257">
        <v>19</v>
      </c>
      <c r="AJ340" s="254"/>
      <c r="AK340" s="255"/>
      <c r="AL340" s="257"/>
      <c r="AM340" s="254"/>
      <c r="AN340" s="563"/>
    </row>
    <row r="341" spans="1:40">
      <c r="A341" s="239"/>
      <c r="B341" s="239" t="s">
        <v>78</v>
      </c>
      <c r="C341" s="572">
        <f t="shared" ref="C341:T341" si="252">IF(V341&gt;0,(V341/V343),0)</f>
        <v>0</v>
      </c>
      <c r="D341" s="572">
        <f t="shared" si="252"/>
        <v>6.4724919093851136E-3</v>
      </c>
      <c r="E341" s="572">
        <f t="shared" si="252"/>
        <v>0</v>
      </c>
      <c r="F341" s="572">
        <f t="shared" si="252"/>
        <v>0</v>
      </c>
      <c r="G341" s="572">
        <f t="shared" si="252"/>
        <v>1.5873015873015872E-2</v>
      </c>
      <c r="H341" s="572">
        <f t="shared" si="252"/>
        <v>6.6666666666666666E-2</v>
      </c>
      <c r="I341" s="572">
        <f t="shared" si="252"/>
        <v>0</v>
      </c>
      <c r="J341" s="573">
        <f t="shared" si="252"/>
        <v>1.1695906432748537E-2</v>
      </c>
      <c r="K341" s="574">
        <f t="shared" si="252"/>
        <v>0</v>
      </c>
      <c r="L341" s="572">
        <f t="shared" si="252"/>
        <v>0</v>
      </c>
      <c r="M341" s="572">
        <f t="shared" si="252"/>
        <v>0</v>
      </c>
      <c r="N341" s="572">
        <f t="shared" si="252"/>
        <v>2.2026431718061675E-2</v>
      </c>
      <c r="O341" s="575">
        <f t="shared" si="252"/>
        <v>0</v>
      </c>
      <c r="P341" s="574">
        <f t="shared" si="252"/>
        <v>1.4792899408284023E-2</v>
      </c>
      <c r="Q341" s="572">
        <f t="shared" si="252"/>
        <v>0</v>
      </c>
      <c r="R341" s="572">
        <f t="shared" si="252"/>
        <v>0</v>
      </c>
      <c r="S341" s="575">
        <f t="shared" si="252"/>
        <v>0</v>
      </c>
      <c r="T341" s="574">
        <f t="shared" si="252"/>
        <v>0</v>
      </c>
      <c r="U341" s="253"/>
      <c r="V341" s="254"/>
      <c r="W341" s="255">
        <v>4</v>
      </c>
      <c r="X341" s="255"/>
      <c r="Y341" s="255"/>
      <c r="Z341" s="255">
        <v>6</v>
      </c>
      <c r="AA341" s="255">
        <v>2</v>
      </c>
      <c r="AB341" s="255"/>
      <c r="AC341" s="256">
        <v>12</v>
      </c>
      <c r="AD341" s="254"/>
      <c r="AE341" s="255"/>
      <c r="AF341" s="255"/>
      <c r="AG341" s="255">
        <v>5</v>
      </c>
      <c r="AH341" s="257"/>
      <c r="AI341" s="257">
        <v>5</v>
      </c>
      <c r="AJ341" s="254"/>
      <c r="AK341" s="255"/>
      <c r="AL341" s="257"/>
      <c r="AM341" s="254"/>
      <c r="AN341" s="563"/>
    </row>
    <row r="342" spans="1:40">
      <c r="A342" s="580"/>
      <c r="B342" s="580" t="s">
        <v>131</v>
      </c>
      <c r="C342" s="581">
        <f t="shared" ref="C342:T342" si="253">IF(V342&gt;0,(V342/V343),0)</f>
        <v>0</v>
      </c>
      <c r="D342" s="582">
        <f t="shared" si="253"/>
        <v>6.4724919093851136E-3</v>
      </c>
      <c r="E342" s="582">
        <f t="shared" si="253"/>
        <v>0</v>
      </c>
      <c r="F342" s="582">
        <f t="shared" si="253"/>
        <v>0</v>
      </c>
      <c r="G342" s="582">
        <f t="shared" si="253"/>
        <v>0.10052910052910052</v>
      </c>
      <c r="H342" s="582">
        <f t="shared" si="253"/>
        <v>3.3333333333333333E-2</v>
      </c>
      <c r="I342" s="583">
        <f t="shared" si="253"/>
        <v>0</v>
      </c>
      <c r="J342" s="584">
        <f t="shared" si="253"/>
        <v>4.1910331384015592E-2</v>
      </c>
      <c r="K342" s="581">
        <f t="shared" si="253"/>
        <v>0</v>
      </c>
      <c r="L342" s="582">
        <f t="shared" si="253"/>
        <v>0</v>
      </c>
      <c r="M342" s="582">
        <f t="shared" si="253"/>
        <v>0</v>
      </c>
      <c r="N342" s="582">
        <f t="shared" si="253"/>
        <v>0</v>
      </c>
      <c r="O342" s="583">
        <f t="shared" si="253"/>
        <v>0</v>
      </c>
      <c r="P342" s="581">
        <f t="shared" si="253"/>
        <v>0</v>
      </c>
      <c r="Q342" s="581">
        <f t="shared" si="253"/>
        <v>0</v>
      </c>
      <c r="R342" s="582">
        <f t="shared" si="253"/>
        <v>0</v>
      </c>
      <c r="S342" s="583">
        <f t="shared" si="253"/>
        <v>0</v>
      </c>
      <c r="T342" s="581">
        <f t="shared" si="253"/>
        <v>0</v>
      </c>
      <c r="U342" s="253"/>
      <c r="V342" s="585"/>
      <c r="W342" s="586">
        <v>4</v>
      </c>
      <c r="X342" s="586"/>
      <c r="Y342" s="586"/>
      <c r="Z342" s="586">
        <v>38</v>
      </c>
      <c r="AA342" s="586">
        <v>1</v>
      </c>
      <c r="AB342" s="586"/>
      <c r="AC342" s="587">
        <v>43</v>
      </c>
      <c r="AD342" s="585"/>
      <c r="AE342" s="586"/>
      <c r="AF342" s="586"/>
      <c r="AG342" s="586"/>
      <c r="AH342" s="588"/>
      <c r="AI342" s="588"/>
      <c r="AJ342" s="585"/>
      <c r="AK342" s="586"/>
      <c r="AL342" s="588"/>
      <c r="AM342" s="585"/>
    </row>
    <row r="343" spans="1:40">
      <c r="A343" s="436"/>
      <c r="B343" s="436" t="s">
        <v>59</v>
      </c>
      <c r="C343" s="456">
        <f t="shared" ref="C343:T343" si="254">SUM(C338:C342)</f>
        <v>0</v>
      </c>
      <c r="D343" s="456">
        <f t="shared" si="254"/>
        <v>1</v>
      </c>
      <c r="E343" s="456">
        <f t="shared" si="254"/>
        <v>0</v>
      </c>
      <c r="F343" s="456">
        <f t="shared" si="254"/>
        <v>0</v>
      </c>
      <c r="G343" s="456">
        <f t="shared" si="254"/>
        <v>0.99999999999999978</v>
      </c>
      <c r="H343" s="456">
        <f t="shared" si="254"/>
        <v>1</v>
      </c>
      <c r="I343" s="456">
        <f t="shared" si="254"/>
        <v>0</v>
      </c>
      <c r="J343" s="576">
        <f t="shared" si="254"/>
        <v>1</v>
      </c>
      <c r="K343" s="577">
        <f t="shared" si="254"/>
        <v>0</v>
      </c>
      <c r="L343" s="578">
        <f t="shared" si="254"/>
        <v>0</v>
      </c>
      <c r="M343" s="578">
        <f t="shared" si="254"/>
        <v>1</v>
      </c>
      <c r="N343" s="578">
        <f t="shared" si="254"/>
        <v>0.99999999999999989</v>
      </c>
      <c r="O343" s="579">
        <f t="shared" si="254"/>
        <v>0</v>
      </c>
      <c r="P343" s="577">
        <f t="shared" si="254"/>
        <v>0.99999999999999989</v>
      </c>
      <c r="Q343" s="578">
        <f t="shared" si="254"/>
        <v>0</v>
      </c>
      <c r="R343" s="578">
        <f t="shared" si="254"/>
        <v>0</v>
      </c>
      <c r="S343" s="579">
        <f t="shared" si="254"/>
        <v>0</v>
      </c>
      <c r="T343" s="577">
        <f t="shared" si="254"/>
        <v>0</v>
      </c>
      <c r="U343" s="253"/>
      <c r="V343" s="265"/>
      <c r="W343" s="266">
        <v>618</v>
      </c>
      <c r="X343" s="266"/>
      <c r="Y343" s="266"/>
      <c r="Z343" s="266">
        <v>378</v>
      </c>
      <c r="AA343" s="266">
        <v>30</v>
      </c>
      <c r="AB343" s="266"/>
      <c r="AC343" s="267">
        <v>1026</v>
      </c>
      <c r="AD343" s="265"/>
      <c r="AE343" s="266"/>
      <c r="AF343" s="266">
        <v>111</v>
      </c>
      <c r="AG343" s="266">
        <v>227</v>
      </c>
      <c r="AH343" s="268"/>
      <c r="AI343" s="268">
        <v>338</v>
      </c>
      <c r="AJ343" s="265"/>
      <c r="AK343" s="266"/>
      <c r="AL343" s="268"/>
      <c r="AM343" s="265"/>
      <c r="AN343" s="563"/>
    </row>
    <row r="344" spans="1:40">
      <c r="A344" s="240" t="s">
        <v>156</v>
      </c>
      <c r="B344" s="240" t="s">
        <v>53</v>
      </c>
      <c r="C344" s="568">
        <f t="shared" ref="C344:T344" si="255">IF(V344&gt;0,(V344/V349),0)</f>
        <v>0.44278903456495827</v>
      </c>
      <c r="D344" s="568">
        <f t="shared" si="255"/>
        <v>0.36694021101992969</v>
      </c>
      <c r="E344" s="568">
        <f t="shared" si="255"/>
        <v>0.3599476439790576</v>
      </c>
      <c r="F344" s="568">
        <f t="shared" si="255"/>
        <v>0.2967032967032967</v>
      </c>
      <c r="G344" s="568">
        <f t="shared" si="255"/>
        <v>0.26203208556149732</v>
      </c>
      <c r="H344" s="568">
        <f t="shared" si="255"/>
        <v>0</v>
      </c>
      <c r="I344" s="568">
        <f t="shared" si="255"/>
        <v>0</v>
      </c>
      <c r="J344" s="569">
        <f t="shared" si="255"/>
        <v>0.36582278481012659</v>
      </c>
      <c r="K344" s="570">
        <f t="shared" si="255"/>
        <v>0</v>
      </c>
      <c r="L344" s="568">
        <f t="shared" si="255"/>
        <v>0.27256208358570561</v>
      </c>
      <c r="M344" s="568">
        <f t="shared" si="255"/>
        <v>0.13374485596707819</v>
      </c>
      <c r="N344" s="568">
        <f t="shared" si="255"/>
        <v>0.19230769230769232</v>
      </c>
      <c r="O344" s="571">
        <f t="shared" si="255"/>
        <v>0</v>
      </c>
      <c r="P344" s="570">
        <f t="shared" si="255"/>
        <v>0.23983554134307902</v>
      </c>
      <c r="Q344" s="568">
        <f t="shared" si="255"/>
        <v>0</v>
      </c>
      <c r="R344" s="568">
        <f t="shared" si="255"/>
        <v>0</v>
      </c>
      <c r="S344" s="571">
        <f t="shared" si="255"/>
        <v>0</v>
      </c>
      <c r="T344" s="570">
        <f t="shared" si="255"/>
        <v>0</v>
      </c>
      <c r="U344" s="253"/>
      <c r="V344" s="245">
        <v>743</v>
      </c>
      <c r="W344" s="246">
        <v>313</v>
      </c>
      <c r="X344" s="246">
        <v>550</v>
      </c>
      <c r="Y344" s="246">
        <v>270</v>
      </c>
      <c r="Z344" s="246">
        <v>147</v>
      </c>
      <c r="AA344" s="246"/>
      <c r="AB344" s="246"/>
      <c r="AC344" s="247">
        <v>2023</v>
      </c>
      <c r="AD344" s="245"/>
      <c r="AE344" s="246">
        <v>450</v>
      </c>
      <c r="AF344" s="246">
        <v>65</v>
      </c>
      <c r="AG344" s="246">
        <v>10</v>
      </c>
      <c r="AH344" s="248"/>
      <c r="AI344" s="248">
        <v>525</v>
      </c>
      <c r="AJ344" s="245"/>
      <c r="AK344" s="246"/>
      <c r="AL344" s="248"/>
      <c r="AM344" s="245"/>
      <c r="AN344" s="563"/>
    </row>
    <row r="345" spans="1:40">
      <c r="A345" s="239"/>
      <c r="B345" s="239" t="s">
        <v>93</v>
      </c>
      <c r="C345" s="572">
        <f t="shared" ref="C345:T345" si="256">IF(V345&gt;0,(V345/V349),0)</f>
        <v>0.26638855780691301</v>
      </c>
      <c r="D345" s="572">
        <f t="shared" si="256"/>
        <v>0.24150058616647127</v>
      </c>
      <c r="E345" s="572">
        <f t="shared" si="256"/>
        <v>0.30366492146596857</v>
      </c>
      <c r="F345" s="572">
        <f t="shared" si="256"/>
        <v>0.35384615384615387</v>
      </c>
      <c r="G345" s="572">
        <f t="shared" si="256"/>
        <v>0.33511586452762926</v>
      </c>
      <c r="H345" s="572">
        <f t="shared" si="256"/>
        <v>0</v>
      </c>
      <c r="I345" s="572">
        <f t="shared" si="256"/>
        <v>0</v>
      </c>
      <c r="J345" s="573">
        <f t="shared" si="256"/>
        <v>0.2942133815551537</v>
      </c>
      <c r="K345" s="574">
        <f t="shared" si="256"/>
        <v>0</v>
      </c>
      <c r="L345" s="572">
        <f t="shared" si="256"/>
        <v>0.24106602059357965</v>
      </c>
      <c r="M345" s="572">
        <f t="shared" si="256"/>
        <v>0.19341563786008231</v>
      </c>
      <c r="N345" s="572">
        <f t="shared" si="256"/>
        <v>0.23076923076923078</v>
      </c>
      <c r="O345" s="575">
        <f t="shared" si="256"/>
        <v>0</v>
      </c>
      <c r="P345" s="574">
        <f t="shared" si="256"/>
        <v>0.23024211968935587</v>
      </c>
      <c r="Q345" s="572">
        <f t="shared" si="256"/>
        <v>0</v>
      </c>
      <c r="R345" s="572">
        <f t="shared" si="256"/>
        <v>0</v>
      </c>
      <c r="S345" s="575">
        <f t="shared" si="256"/>
        <v>0</v>
      </c>
      <c r="T345" s="574">
        <f t="shared" si="256"/>
        <v>0</v>
      </c>
      <c r="U345" s="253"/>
      <c r="V345" s="254">
        <v>447</v>
      </c>
      <c r="W345" s="255">
        <v>206</v>
      </c>
      <c r="X345" s="255">
        <v>464</v>
      </c>
      <c r="Y345" s="255">
        <v>322</v>
      </c>
      <c r="Z345" s="255">
        <v>188</v>
      </c>
      <c r="AA345" s="255"/>
      <c r="AB345" s="255"/>
      <c r="AC345" s="256">
        <v>1627</v>
      </c>
      <c r="AD345" s="254"/>
      <c r="AE345" s="255">
        <v>398</v>
      </c>
      <c r="AF345" s="255">
        <v>94</v>
      </c>
      <c r="AG345" s="255">
        <v>12</v>
      </c>
      <c r="AH345" s="257"/>
      <c r="AI345" s="257">
        <v>504</v>
      </c>
      <c r="AJ345" s="254"/>
      <c r="AK345" s="255"/>
      <c r="AL345" s="257"/>
      <c r="AM345" s="254"/>
      <c r="AN345" s="563"/>
    </row>
    <row r="346" spans="1:40">
      <c r="A346" s="239"/>
      <c r="B346" s="239" t="s">
        <v>55</v>
      </c>
      <c r="C346" s="572">
        <f t="shared" ref="C346:T346" si="257">IF(V346&gt;0,(V346/V349),0)</f>
        <v>0.17222884386174017</v>
      </c>
      <c r="D346" s="572">
        <f t="shared" si="257"/>
        <v>0.16529894490035171</v>
      </c>
      <c r="E346" s="572">
        <f t="shared" si="257"/>
        <v>0.29973821989528798</v>
      </c>
      <c r="F346" s="572">
        <f t="shared" si="257"/>
        <v>0.321978021978022</v>
      </c>
      <c r="G346" s="572">
        <f t="shared" si="257"/>
        <v>0.39037433155080214</v>
      </c>
      <c r="H346" s="572">
        <f t="shared" si="257"/>
        <v>0</v>
      </c>
      <c r="I346" s="572">
        <f t="shared" si="257"/>
        <v>0</v>
      </c>
      <c r="J346" s="573">
        <f t="shared" si="257"/>
        <v>0.25316455696202533</v>
      </c>
      <c r="K346" s="574">
        <f t="shared" si="257"/>
        <v>0</v>
      </c>
      <c r="L346" s="572">
        <f t="shared" si="257"/>
        <v>0.306480920654149</v>
      </c>
      <c r="M346" s="572">
        <f t="shared" si="257"/>
        <v>0.43004115226337447</v>
      </c>
      <c r="N346" s="572">
        <f t="shared" si="257"/>
        <v>0.38461538461538464</v>
      </c>
      <c r="O346" s="575">
        <f t="shared" si="257"/>
        <v>0</v>
      </c>
      <c r="P346" s="574">
        <f t="shared" si="257"/>
        <v>0.33576975788031066</v>
      </c>
      <c r="Q346" s="572">
        <f t="shared" si="257"/>
        <v>0</v>
      </c>
      <c r="R346" s="572">
        <f t="shared" si="257"/>
        <v>0</v>
      </c>
      <c r="S346" s="575">
        <f t="shared" si="257"/>
        <v>0</v>
      </c>
      <c r="T346" s="574">
        <f t="shared" si="257"/>
        <v>0</v>
      </c>
      <c r="U346" s="253"/>
      <c r="V346" s="254">
        <v>289</v>
      </c>
      <c r="W346" s="255">
        <v>141</v>
      </c>
      <c r="X346" s="255">
        <v>458</v>
      </c>
      <c r="Y346" s="255">
        <v>293</v>
      </c>
      <c r="Z346" s="255">
        <v>219</v>
      </c>
      <c r="AA346" s="255"/>
      <c r="AB346" s="255"/>
      <c r="AC346" s="256">
        <v>1400</v>
      </c>
      <c r="AD346" s="254"/>
      <c r="AE346" s="255">
        <v>506</v>
      </c>
      <c r="AF346" s="255">
        <v>209</v>
      </c>
      <c r="AG346" s="255">
        <v>20</v>
      </c>
      <c r="AH346" s="257"/>
      <c r="AI346" s="257">
        <v>735</v>
      </c>
      <c r="AJ346" s="254"/>
      <c r="AK346" s="255"/>
      <c r="AL346" s="257"/>
      <c r="AM346" s="254"/>
      <c r="AN346" s="563"/>
    </row>
    <row r="347" spans="1:40">
      <c r="A347" s="239"/>
      <c r="B347" s="239" t="s">
        <v>78</v>
      </c>
      <c r="C347" s="572">
        <f t="shared" ref="C347:T347" si="258">IF(V347&gt;0,(V347/V349),0)</f>
        <v>8.7008343265792612E-2</v>
      </c>
      <c r="D347" s="572">
        <f t="shared" si="258"/>
        <v>8.4407971864009376E-2</v>
      </c>
      <c r="E347" s="572">
        <f t="shared" si="258"/>
        <v>3.6649214659685861E-2</v>
      </c>
      <c r="F347" s="572">
        <f t="shared" si="258"/>
        <v>2.197802197802198E-2</v>
      </c>
      <c r="G347" s="572">
        <f t="shared" si="258"/>
        <v>1.2477718360071301E-2</v>
      </c>
      <c r="H347" s="572">
        <f t="shared" si="258"/>
        <v>0</v>
      </c>
      <c r="I347" s="572">
        <f t="shared" si="258"/>
        <v>0</v>
      </c>
      <c r="J347" s="573">
        <f t="shared" si="258"/>
        <v>5.4430379746835442E-2</v>
      </c>
      <c r="K347" s="574">
        <f t="shared" si="258"/>
        <v>0</v>
      </c>
      <c r="L347" s="572">
        <f t="shared" si="258"/>
        <v>0.15202907328891579</v>
      </c>
      <c r="M347" s="572">
        <f t="shared" si="258"/>
        <v>0.19958847736625515</v>
      </c>
      <c r="N347" s="572">
        <f t="shared" si="258"/>
        <v>0.11538461538461539</v>
      </c>
      <c r="O347" s="575">
        <f t="shared" si="258"/>
        <v>0</v>
      </c>
      <c r="P347" s="574">
        <f t="shared" si="258"/>
        <v>0.16171767930561901</v>
      </c>
      <c r="Q347" s="572">
        <f t="shared" si="258"/>
        <v>0</v>
      </c>
      <c r="R347" s="572">
        <f t="shared" si="258"/>
        <v>0</v>
      </c>
      <c r="S347" s="575">
        <f t="shared" si="258"/>
        <v>0</v>
      </c>
      <c r="T347" s="574">
        <f t="shared" si="258"/>
        <v>0</v>
      </c>
      <c r="U347" s="253"/>
      <c r="V347" s="254">
        <v>146</v>
      </c>
      <c r="W347" s="255">
        <v>72</v>
      </c>
      <c r="X347" s="255">
        <v>56</v>
      </c>
      <c r="Y347" s="255">
        <v>20</v>
      </c>
      <c r="Z347" s="255">
        <v>7</v>
      </c>
      <c r="AA347" s="255"/>
      <c r="AB347" s="255"/>
      <c r="AC347" s="256">
        <v>301</v>
      </c>
      <c r="AD347" s="254"/>
      <c r="AE347" s="255">
        <v>251</v>
      </c>
      <c r="AF347" s="255">
        <v>97</v>
      </c>
      <c r="AG347" s="255">
        <v>6</v>
      </c>
      <c r="AH347" s="257"/>
      <c r="AI347" s="257">
        <v>354</v>
      </c>
      <c r="AJ347" s="254"/>
      <c r="AK347" s="255"/>
      <c r="AL347" s="257"/>
      <c r="AM347" s="254"/>
      <c r="AN347" s="563"/>
    </row>
    <row r="348" spans="1:40">
      <c r="A348" s="580"/>
      <c r="B348" s="580" t="s">
        <v>131</v>
      </c>
      <c r="C348" s="581">
        <f t="shared" ref="C348:T348" si="259">IF(V348&gt;0,(V348/V349),0)</f>
        <v>3.1585220500595951E-2</v>
      </c>
      <c r="D348" s="582">
        <f t="shared" si="259"/>
        <v>0.141852286049238</v>
      </c>
      <c r="E348" s="582">
        <f t="shared" si="259"/>
        <v>0</v>
      </c>
      <c r="F348" s="582">
        <f t="shared" si="259"/>
        <v>5.4945054945054949E-3</v>
      </c>
      <c r="G348" s="582">
        <f t="shared" si="259"/>
        <v>0</v>
      </c>
      <c r="H348" s="582">
        <f t="shared" si="259"/>
        <v>0</v>
      </c>
      <c r="I348" s="583">
        <f t="shared" si="259"/>
        <v>0</v>
      </c>
      <c r="J348" s="584">
        <f t="shared" si="259"/>
        <v>3.2368896925858953E-2</v>
      </c>
      <c r="K348" s="581">
        <f t="shared" si="259"/>
        <v>0</v>
      </c>
      <c r="L348" s="582">
        <f t="shared" si="259"/>
        <v>2.7861901877649909E-2</v>
      </c>
      <c r="M348" s="582">
        <f t="shared" si="259"/>
        <v>4.3209876543209874E-2</v>
      </c>
      <c r="N348" s="582">
        <f t="shared" si="259"/>
        <v>7.6923076923076927E-2</v>
      </c>
      <c r="O348" s="583">
        <f t="shared" si="259"/>
        <v>0</v>
      </c>
      <c r="P348" s="581">
        <f t="shared" si="259"/>
        <v>3.2434901781635453E-2</v>
      </c>
      <c r="Q348" s="581">
        <f t="shared" si="259"/>
        <v>0</v>
      </c>
      <c r="R348" s="582">
        <f t="shared" si="259"/>
        <v>0</v>
      </c>
      <c r="S348" s="583">
        <f t="shared" si="259"/>
        <v>0</v>
      </c>
      <c r="T348" s="581">
        <f t="shared" si="259"/>
        <v>0</v>
      </c>
      <c r="U348" s="253"/>
      <c r="V348" s="585">
        <v>53</v>
      </c>
      <c r="W348" s="586">
        <v>121</v>
      </c>
      <c r="X348" s="586"/>
      <c r="Y348" s="586">
        <v>5</v>
      </c>
      <c r="Z348" s="586"/>
      <c r="AA348" s="586"/>
      <c r="AB348" s="586"/>
      <c r="AC348" s="587">
        <v>179</v>
      </c>
      <c r="AD348" s="585"/>
      <c r="AE348" s="586">
        <v>46</v>
      </c>
      <c r="AF348" s="586">
        <v>21</v>
      </c>
      <c r="AG348" s="586">
        <v>4</v>
      </c>
      <c r="AH348" s="588"/>
      <c r="AI348" s="588">
        <v>71</v>
      </c>
      <c r="AJ348" s="585"/>
      <c r="AK348" s="586"/>
      <c r="AL348" s="588"/>
      <c r="AM348" s="585"/>
    </row>
    <row r="349" spans="1:40">
      <c r="A349" s="436"/>
      <c r="B349" s="436" t="s">
        <v>59</v>
      </c>
      <c r="C349" s="456">
        <f t="shared" ref="C349:T349" si="260">SUM(C344:C348)</f>
        <v>1</v>
      </c>
      <c r="D349" s="456">
        <f t="shared" si="260"/>
        <v>1</v>
      </c>
      <c r="E349" s="456">
        <f t="shared" si="260"/>
        <v>1.0000000000000002</v>
      </c>
      <c r="F349" s="456">
        <f t="shared" si="260"/>
        <v>1.0000000000000002</v>
      </c>
      <c r="G349" s="456">
        <f t="shared" si="260"/>
        <v>1</v>
      </c>
      <c r="H349" s="456">
        <f t="shared" si="260"/>
        <v>0</v>
      </c>
      <c r="I349" s="456">
        <f t="shared" si="260"/>
        <v>0</v>
      </c>
      <c r="J349" s="576">
        <f t="shared" si="260"/>
        <v>1</v>
      </c>
      <c r="K349" s="577">
        <f t="shared" si="260"/>
        <v>0</v>
      </c>
      <c r="L349" s="578">
        <f t="shared" si="260"/>
        <v>1</v>
      </c>
      <c r="M349" s="578">
        <f t="shared" si="260"/>
        <v>1</v>
      </c>
      <c r="N349" s="578">
        <f t="shared" si="260"/>
        <v>1</v>
      </c>
      <c r="O349" s="579">
        <f t="shared" si="260"/>
        <v>0</v>
      </c>
      <c r="P349" s="577">
        <f t="shared" si="260"/>
        <v>1</v>
      </c>
      <c r="Q349" s="578">
        <f t="shared" si="260"/>
        <v>0</v>
      </c>
      <c r="R349" s="578">
        <f t="shared" si="260"/>
        <v>0</v>
      </c>
      <c r="S349" s="579">
        <f t="shared" si="260"/>
        <v>0</v>
      </c>
      <c r="T349" s="577">
        <f t="shared" si="260"/>
        <v>0</v>
      </c>
      <c r="U349" s="253"/>
      <c r="V349" s="265">
        <v>1678</v>
      </c>
      <c r="W349" s="266">
        <v>853</v>
      </c>
      <c r="X349" s="266">
        <v>1528</v>
      </c>
      <c r="Y349" s="266">
        <v>910</v>
      </c>
      <c r="Z349" s="266">
        <v>561</v>
      </c>
      <c r="AA349" s="266"/>
      <c r="AB349" s="266"/>
      <c r="AC349" s="267">
        <v>5530</v>
      </c>
      <c r="AD349" s="265"/>
      <c r="AE349" s="266">
        <v>1651</v>
      </c>
      <c r="AF349" s="266">
        <v>486</v>
      </c>
      <c r="AG349" s="266">
        <v>52</v>
      </c>
      <c r="AH349" s="268"/>
      <c r="AI349" s="268">
        <v>2189</v>
      </c>
      <c r="AJ349" s="265"/>
      <c r="AK349" s="266"/>
      <c r="AL349" s="268"/>
      <c r="AM349" s="265"/>
      <c r="AN349" s="563"/>
    </row>
    <row r="350" spans="1:40">
      <c r="A350" s="240" t="s">
        <v>159</v>
      </c>
      <c r="B350" s="240" t="s">
        <v>53</v>
      </c>
      <c r="C350" s="568">
        <f t="shared" ref="C350:T350" si="261">IF(V350&gt;0,(V350/V355),0)</f>
        <v>0.34666666666666668</v>
      </c>
      <c r="D350" s="568">
        <f t="shared" si="261"/>
        <v>0</v>
      </c>
      <c r="E350" s="568">
        <f t="shared" si="261"/>
        <v>0.30425326244562589</v>
      </c>
      <c r="F350" s="568">
        <f t="shared" si="261"/>
        <v>0.297244094488189</v>
      </c>
      <c r="G350" s="568">
        <f t="shared" si="261"/>
        <v>0.24587813620071686</v>
      </c>
      <c r="H350" s="568">
        <f t="shared" si="261"/>
        <v>0.21437740693196405</v>
      </c>
      <c r="I350" s="568">
        <f t="shared" si="261"/>
        <v>0</v>
      </c>
      <c r="J350" s="569">
        <f t="shared" si="261"/>
        <v>0.2958776030599235</v>
      </c>
      <c r="K350" s="570">
        <f t="shared" si="261"/>
        <v>0.17346938775510204</v>
      </c>
      <c r="L350" s="568">
        <f t="shared" si="261"/>
        <v>0.28718428437792332</v>
      </c>
      <c r="M350" s="568">
        <f t="shared" si="261"/>
        <v>0.30538513974096798</v>
      </c>
      <c r="N350" s="568">
        <f t="shared" si="261"/>
        <v>0.21544715447154472</v>
      </c>
      <c r="O350" s="571">
        <f t="shared" si="261"/>
        <v>0</v>
      </c>
      <c r="P350" s="570">
        <f t="shared" si="261"/>
        <v>0.28684080827994085</v>
      </c>
      <c r="Q350" s="568">
        <f t="shared" si="261"/>
        <v>0</v>
      </c>
      <c r="R350" s="568">
        <f t="shared" si="261"/>
        <v>0</v>
      </c>
      <c r="S350" s="571">
        <f t="shared" si="261"/>
        <v>0</v>
      </c>
      <c r="T350" s="570">
        <f t="shared" si="261"/>
        <v>0</v>
      </c>
      <c r="U350" s="253"/>
      <c r="V350" s="245">
        <v>1092</v>
      </c>
      <c r="W350" s="246"/>
      <c r="X350" s="246">
        <v>1259</v>
      </c>
      <c r="Y350" s="246">
        <v>453</v>
      </c>
      <c r="Z350" s="246">
        <v>343</v>
      </c>
      <c r="AA350" s="246">
        <v>334</v>
      </c>
      <c r="AB350" s="246"/>
      <c r="AC350" s="247">
        <v>3481</v>
      </c>
      <c r="AD350" s="245">
        <v>17</v>
      </c>
      <c r="AE350" s="246">
        <v>1228</v>
      </c>
      <c r="AF350" s="246">
        <v>448</v>
      </c>
      <c r="AG350" s="246">
        <v>53</v>
      </c>
      <c r="AH350" s="248"/>
      <c r="AI350" s="248">
        <v>1746</v>
      </c>
      <c r="AJ350" s="245"/>
      <c r="AK350" s="246"/>
      <c r="AL350" s="248"/>
      <c r="AM350" s="245"/>
      <c r="AN350" s="563"/>
    </row>
    <row r="351" spans="1:40">
      <c r="A351" s="239"/>
      <c r="B351" s="239" t="s">
        <v>93</v>
      </c>
      <c r="C351" s="572">
        <f t="shared" ref="C351:T351" si="262">IF(V351&gt;0,(V351/V355),0)</f>
        <v>0.30380952380952381</v>
      </c>
      <c r="D351" s="572">
        <f t="shared" si="262"/>
        <v>0</v>
      </c>
      <c r="E351" s="572">
        <f t="shared" si="262"/>
        <v>0.29289511841469307</v>
      </c>
      <c r="F351" s="572">
        <f t="shared" si="262"/>
        <v>0.33858267716535434</v>
      </c>
      <c r="G351" s="572">
        <f t="shared" si="262"/>
        <v>0.32616487455197135</v>
      </c>
      <c r="H351" s="572">
        <f t="shared" si="262"/>
        <v>0.23170731707317074</v>
      </c>
      <c r="I351" s="572">
        <f t="shared" si="262"/>
        <v>0</v>
      </c>
      <c r="J351" s="573">
        <f t="shared" si="262"/>
        <v>0.297577560560986</v>
      </c>
      <c r="K351" s="574">
        <f t="shared" si="262"/>
        <v>0.24489795918367346</v>
      </c>
      <c r="L351" s="572">
        <f t="shared" si="262"/>
        <v>0.19855004677268476</v>
      </c>
      <c r="M351" s="572">
        <f t="shared" si="262"/>
        <v>0.21881390593047034</v>
      </c>
      <c r="N351" s="572">
        <f t="shared" si="262"/>
        <v>0.27642276422764228</v>
      </c>
      <c r="O351" s="575">
        <f t="shared" si="262"/>
        <v>0</v>
      </c>
      <c r="P351" s="574">
        <f t="shared" si="262"/>
        <v>0.20732709052078199</v>
      </c>
      <c r="Q351" s="572">
        <f t="shared" si="262"/>
        <v>0</v>
      </c>
      <c r="R351" s="572">
        <f t="shared" si="262"/>
        <v>0</v>
      </c>
      <c r="S351" s="575">
        <f t="shared" si="262"/>
        <v>0</v>
      </c>
      <c r="T351" s="574">
        <f t="shared" si="262"/>
        <v>0</v>
      </c>
      <c r="U351" s="253"/>
      <c r="V351" s="254">
        <v>957</v>
      </c>
      <c r="W351" s="255"/>
      <c r="X351" s="255">
        <v>1212</v>
      </c>
      <c r="Y351" s="255">
        <v>516</v>
      </c>
      <c r="Z351" s="255">
        <v>455</v>
      </c>
      <c r="AA351" s="255">
        <v>361</v>
      </c>
      <c r="AB351" s="255"/>
      <c r="AC351" s="256">
        <v>3501</v>
      </c>
      <c r="AD351" s="254">
        <v>24</v>
      </c>
      <c r="AE351" s="255">
        <v>849</v>
      </c>
      <c r="AF351" s="255">
        <v>321</v>
      </c>
      <c r="AG351" s="255">
        <v>68</v>
      </c>
      <c r="AH351" s="257"/>
      <c r="AI351" s="257">
        <v>1262</v>
      </c>
      <c r="AJ351" s="254"/>
      <c r="AK351" s="255"/>
      <c r="AL351" s="257"/>
      <c r="AM351" s="254"/>
      <c r="AN351" s="563"/>
    </row>
    <row r="352" spans="1:40">
      <c r="A352" s="239"/>
      <c r="B352" s="239" t="s">
        <v>55</v>
      </c>
      <c r="C352" s="572">
        <f t="shared" ref="C352:T352" si="263">IF(V352&gt;0,(V352/V355),0)</f>
        <v>0.26063492063492061</v>
      </c>
      <c r="D352" s="572">
        <f t="shared" si="263"/>
        <v>0</v>
      </c>
      <c r="E352" s="572">
        <f t="shared" si="263"/>
        <v>0.30159497341710972</v>
      </c>
      <c r="F352" s="572">
        <f t="shared" si="263"/>
        <v>0.27493438320209973</v>
      </c>
      <c r="G352" s="572">
        <f t="shared" si="263"/>
        <v>0.31182795698924731</v>
      </c>
      <c r="H352" s="572">
        <f t="shared" si="263"/>
        <v>0.39858793324775355</v>
      </c>
      <c r="I352" s="572">
        <f t="shared" si="263"/>
        <v>0</v>
      </c>
      <c r="J352" s="573">
        <f t="shared" si="263"/>
        <v>0.30123246918827029</v>
      </c>
      <c r="K352" s="574">
        <f t="shared" si="263"/>
        <v>0.43877551020408162</v>
      </c>
      <c r="L352" s="572">
        <f t="shared" si="263"/>
        <v>0.29420018709073903</v>
      </c>
      <c r="M352" s="572">
        <f t="shared" si="263"/>
        <v>0.26653033401499659</v>
      </c>
      <c r="N352" s="572">
        <f t="shared" si="263"/>
        <v>0.30081300813008133</v>
      </c>
      <c r="O352" s="575">
        <f t="shared" si="263"/>
        <v>0</v>
      </c>
      <c r="P352" s="574">
        <f t="shared" si="263"/>
        <v>0.29012649909643501</v>
      </c>
      <c r="Q352" s="572">
        <f t="shared" si="263"/>
        <v>0</v>
      </c>
      <c r="R352" s="572">
        <f t="shared" si="263"/>
        <v>0</v>
      </c>
      <c r="S352" s="575">
        <f t="shared" si="263"/>
        <v>0</v>
      </c>
      <c r="T352" s="574">
        <f t="shared" si="263"/>
        <v>0</v>
      </c>
      <c r="U352" s="253"/>
      <c r="V352" s="254">
        <v>821</v>
      </c>
      <c r="W352" s="255"/>
      <c r="X352" s="255">
        <v>1248</v>
      </c>
      <c r="Y352" s="255">
        <v>419</v>
      </c>
      <c r="Z352" s="255">
        <v>435</v>
      </c>
      <c r="AA352" s="255">
        <v>621</v>
      </c>
      <c r="AB352" s="255"/>
      <c r="AC352" s="256">
        <v>3544</v>
      </c>
      <c r="AD352" s="254">
        <v>43</v>
      </c>
      <c r="AE352" s="255">
        <v>1258</v>
      </c>
      <c r="AF352" s="255">
        <v>391</v>
      </c>
      <c r="AG352" s="255">
        <v>74</v>
      </c>
      <c r="AH352" s="257"/>
      <c r="AI352" s="257">
        <v>1766</v>
      </c>
      <c r="AJ352" s="254"/>
      <c r="AK352" s="255"/>
      <c r="AL352" s="257"/>
      <c r="AM352" s="254"/>
      <c r="AN352" s="563"/>
    </row>
    <row r="353" spans="1:40">
      <c r="A353" s="239"/>
      <c r="B353" s="239" t="s">
        <v>78</v>
      </c>
      <c r="C353" s="572">
        <f t="shared" ref="C353:T353" si="264">IF(V353&gt;0,(V353/V355),0)</f>
        <v>1.3650793650793651E-2</v>
      </c>
      <c r="D353" s="572">
        <f t="shared" si="264"/>
        <v>0</v>
      </c>
      <c r="E353" s="572">
        <f t="shared" si="264"/>
        <v>1.8849685838569358E-2</v>
      </c>
      <c r="F353" s="572">
        <f t="shared" si="264"/>
        <v>2.0341207349081365E-2</v>
      </c>
      <c r="G353" s="572">
        <f t="shared" si="264"/>
        <v>1.0752688172043012E-2</v>
      </c>
      <c r="H353" s="572">
        <f t="shared" si="264"/>
        <v>5.2631578947368418E-2</v>
      </c>
      <c r="I353" s="572">
        <f t="shared" si="264"/>
        <v>0</v>
      </c>
      <c r="J353" s="573">
        <f t="shared" si="264"/>
        <v>2.1164470888227795E-2</v>
      </c>
      <c r="K353" s="574">
        <f t="shared" si="264"/>
        <v>0.14285714285714285</v>
      </c>
      <c r="L353" s="572">
        <f t="shared" si="264"/>
        <v>0.14405986903648269</v>
      </c>
      <c r="M353" s="572">
        <f t="shared" si="264"/>
        <v>0.17655078391274712</v>
      </c>
      <c r="N353" s="572">
        <f t="shared" si="264"/>
        <v>0.2032520325203252</v>
      </c>
      <c r="O353" s="575">
        <f t="shared" si="264"/>
        <v>0</v>
      </c>
      <c r="P353" s="574">
        <f t="shared" si="264"/>
        <v>0.15426318383440119</v>
      </c>
      <c r="Q353" s="572">
        <f t="shared" si="264"/>
        <v>0</v>
      </c>
      <c r="R353" s="572">
        <f t="shared" si="264"/>
        <v>0</v>
      </c>
      <c r="S353" s="575">
        <f t="shared" si="264"/>
        <v>0</v>
      </c>
      <c r="T353" s="574">
        <f t="shared" si="264"/>
        <v>0</v>
      </c>
      <c r="U353" s="253"/>
      <c r="V353" s="254">
        <v>43</v>
      </c>
      <c r="W353" s="255"/>
      <c r="X353" s="255">
        <v>78</v>
      </c>
      <c r="Y353" s="255">
        <v>31</v>
      </c>
      <c r="Z353" s="255">
        <v>15</v>
      </c>
      <c r="AA353" s="255">
        <v>82</v>
      </c>
      <c r="AB353" s="255"/>
      <c r="AC353" s="256">
        <v>249</v>
      </c>
      <c r="AD353" s="254">
        <v>14</v>
      </c>
      <c r="AE353" s="255">
        <v>616</v>
      </c>
      <c r="AF353" s="255">
        <v>259</v>
      </c>
      <c r="AG353" s="255">
        <v>50</v>
      </c>
      <c r="AH353" s="257"/>
      <c r="AI353" s="257">
        <v>939</v>
      </c>
      <c r="AJ353" s="254"/>
      <c r="AK353" s="255"/>
      <c r="AL353" s="257"/>
      <c r="AM353" s="254"/>
      <c r="AN353" s="563"/>
    </row>
    <row r="354" spans="1:40">
      <c r="A354" s="580"/>
      <c r="B354" s="580" t="s">
        <v>131</v>
      </c>
      <c r="C354" s="581">
        <f t="shared" ref="C354:T354" si="265">IF(V354&gt;0,(V354/V355),0)</f>
        <v>7.5238095238095243E-2</v>
      </c>
      <c r="D354" s="582">
        <f t="shared" si="265"/>
        <v>0</v>
      </c>
      <c r="E354" s="582">
        <f t="shared" si="265"/>
        <v>8.2406959884001929E-2</v>
      </c>
      <c r="F354" s="582">
        <f t="shared" si="265"/>
        <v>6.8897637795275593E-2</v>
      </c>
      <c r="G354" s="582">
        <f t="shared" si="265"/>
        <v>0.10537634408602151</v>
      </c>
      <c r="H354" s="582">
        <f t="shared" si="265"/>
        <v>0.10269576379974327</v>
      </c>
      <c r="I354" s="583">
        <f t="shared" si="265"/>
        <v>0</v>
      </c>
      <c r="J354" s="584">
        <f t="shared" si="265"/>
        <v>8.4147896302592437E-2</v>
      </c>
      <c r="K354" s="581">
        <f t="shared" si="265"/>
        <v>0</v>
      </c>
      <c r="L354" s="582">
        <f t="shared" si="265"/>
        <v>7.6005612722170254E-2</v>
      </c>
      <c r="M354" s="582">
        <f t="shared" si="265"/>
        <v>3.2719836400817999E-2</v>
      </c>
      <c r="N354" s="582">
        <f t="shared" si="265"/>
        <v>4.0650406504065045E-3</v>
      </c>
      <c r="O354" s="583">
        <f t="shared" si="265"/>
        <v>0</v>
      </c>
      <c r="P354" s="581">
        <f t="shared" si="265"/>
        <v>6.1442418268440942E-2</v>
      </c>
      <c r="Q354" s="581">
        <f t="shared" si="265"/>
        <v>0</v>
      </c>
      <c r="R354" s="582">
        <f t="shared" si="265"/>
        <v>0</v>
      </c>
      <c r="S354" s="583">
        <f t="shared" si="265"/>
        <v>0</v>
      </c>
      <c r="T354" s="581">
        <f t="shared" si="265"/>
        <v>0</v>
      </c>
      <c r="U354" s="253"/>
      <c r="V354" s="585">
        <v>237</v>
      </c>
      <c r="W354" s="586"/>
      <c r="X354" s="586">
        <v>341</v>
      </c>
      <c r="Y354" s="586">
        <v>105</v>
      </c>
      <c r="Z354" s="586">
        <v>147</v>
      </c>
      <c r="AA354" s="586">
        <v>160</v>
      </c>
      <c r="AB354" s="586"/>
      <c r="AC354" s="587">
        <v>990</v>
      </c>
      <c r="AD354" s="585"/>
      <c r="AE354" s="586">
        <v>325</v>
      </c>
      <c r="AF354" s="586">
        <v>48</v>
      </c>
      <c r="AG354" s="586">
        <v>1</v>
      </c>
      <c r="AH354" s="588"/>
      <c r="AI354" s="588">
        <v>374</v>
      </c>
      <c r="AJ354" s="585"/>
      <c r="AK354" s="586"/>
      <c r="AL354" s="588"/>
      <c r="AM354" s="585"/>
    </row>
    <row r="355" spans="1:40">
      <c r="A355" s="436"/>
      <c r="B355" s="436" t="s">
        <v>59</v>
      </c>
      <c r="C355" s="456">
        <f t="shared" ref="C355:T355" si="266">SUM(C350:C354)</f>
        <v>0.99999999999999989</v>
      </c>
      <c r="D355" s="456">
        <f t="shared" si="266"/>
        <v>0</v>
      </c>
      <c r="E355" s="456">
        <f t="shared" si="266"/>
        <v>1</v>
      </c>
      <c r="F355" s="456">
        <f t="shared" si="266"/>
        <v>1</v>
      </c>
      <c r="G355" s="456">
        <f t="shared" si="266"/>
        <v>0.99999999999999989</v>
      </c>
      <c r="H355" s="456">
        <f t="shared" si="266"/>
        <v>1</v>
      </c>
      <c r="I355" s="456">
        <f t="shared" si="266"/>
        <v>0</v>
      </c>
      <c r="J355" s="576">
        <f t="shared" si="266"/>
        <v>1</v>
      </c>
      <c r="K355" s="577">
        <f t="shared" si="266"/>
        <v>1</v>
      </c>
      <c r="L355" s="578">
        <f t="shared" si="266"/>
        <v>1</v>
      </c>
      <c r="M355" s="578">
        <f t="shared" si="266"/>
        <v>1</v>
      </c>
      <c r="N355" s="578">
        <f t="shared" si="266"/>
        <v>1</v>
      </c>
      <c r="O355" s="579">
        <f t="shared" si="266"/>
        <v>0</v>
      </c>
      <c r="P355" s="577">
        <f t="shared" si="266"/>
        <v>1</v>
      </c>
      <c r="Q355" s="578">
        <f t="shared" si="266"/>
        <v>0</v>
      </c>
      <c r="R355" s="578">
        <f t="shared" si="266"/>
        <v>0</v>
      </c>
      <c r="S355" s="579">
        <f t="shared" si="266"/>
        <v>0</v>
      </c>
      <c r="T355" s="577">
        <f t="shared" si="266"/>
        <v>0</v>
      </c>
      <c r="U355" s="253"/>
      <c r="V355" s="265">
        <v>3150</v>
      </c>
      <c r="W355" s="266"/>
      <c r="X355" s="266">
        <v>4138</v>
      </c>
      <c r="Y355" s="266">
        <v>1524</v>
      </c>
      <c r="Z355" s="266">
        <v>1395</v>
      </c>
      <c r="AA355" s="266">
        <v>1558</v>
      </c>
      <c r="AB355" s="266"/>
      <c r="AC355" s="267">
        <v>11765</v>
      </c>
      <c r="AD355" s="265">
        <v>98</v>
      </c>
      <c r="AE355" s="266">
        <v>4276</v>
      </c>
      <c r="AF355" s="266">
        <v>1467</v>
      </c>
      <c r="AG355" s="266">
        <v>246</v>
      </c>
      <c r="AH355" s="268"/>
      <c r="AI355" s="268">
        <v>6087</v>
      </c>
      <c r="AJ355" s="265"/>
      <c r="AK355" s="266"/>
      <c r="AL355" s="268"/>
      <c r="AM355" s="265"/>
      <c r="AN355" s="563"/>
    </row>
    <row r="356" spans="1:40">
      <c r="A356" s="240" t="s">
        <v>162</v>
      </c>
      <c r="B356" s="240" t="s">
        <v>53</v>
      </c>
      <c r="C356" s="568">
        <f t="shared" ref="C356:T356" si="267">IF(V356&gt;0,(V356/V361),0)</f>
        <v>0.29336966394187103</v>
      </c>
      <c r="D356" s="568">
        <f t="shared" si="267"/>
        <v>0.32401315789473684</v>
      </c>
      <c r="E356" s="568">
        <f t="shared" si="267"/>
        <v>0.26457831325301207</v>
      </c>
      <c r="F356" s="568">
        <f t="shared" si="267"/>
        <v>0.3035279805352798</v>
      </c>
      <c r="G356" s="568">
        <f t="shared" si="267"/>
        <v>0.21852387843704776</v>
      </c>
      <c r="H356" s="568">
        <f t="shared" si="267"/>
        <v>8.0565371024734989E-2</v>
      </c>
      <c r="I356" s="568">
        <f t="shared" si="267"/>
        <v>0</v>
      </c>
      <c r="J356" s="569">
        <f t="shared" si="267"/>
        <v>0.26176914055955769</v>
      </c>
      <c r="K356" s="570">
        <f t="shared" si="267"/>
        <v>6.7460317460317457E-2</v>
      </c>
      <c r="L356" s="568">
        <f t="shared" si="267"/>
        <v>0.31135066582117943</v>
      </c>
      <c r="M356" s="568">
        <f t="shared" si="267"/>
        <v>0.25917431192660551</v>
      </c>
      <c r="N356" s="568">
        <f t="shared" si="267"/>
        <v>0.29032258064516131</v>
      </c>
      <c r="O356" s="571">
        <f t="shared" si="267"/>
        <v>6.25E-2</v>
      </c>
      <c r="P356" s="570">
        <f t="shared" si="267"/>
        <v>0.27243066884176181</v>
      </c>
      <c r="Q356" s="568">
        <f t="shared" si="267"/>
        <v>0</v>
      </c>
      <c r="R356" s="568">
        <f t="shared" si="267"/>
        <v>0</v>
      </c>
      <c r="S356" s="571">
        <f t="shared" si="267"/>
        <v>0</v>
      </c>
      <c r="T356" s="570">
        <f t="shared" si="267"/>
        <v>0</v>
      </c>
      <c r="U356" s="253"/>
      <c r="V356" s="245">
        <v>1615</v>
      </c>
      <c r="W356" s="246">
        <v>197</v>
      </c>
      <c r="X356" s="246">
        <v>549</v>
      </c>
      <c r="Y356" s="246">
        <v>499</v>
      </c>
      <c r="Z356" s="246">
        <v>151</v>
      </c>
      <c r="AA356" s="246">
        <v>114</v>
      </c>
      <c r="AB356" s="246"/>
      <c r="AC356" s="247">
        <v>3125</v>
      </c>
      <c r="AD356" s="245">
        <v>17</v>
      </c>
      <c r="AE356" s="246">
        <v>491</v>
      </c>
      <c r="AF356" s="246">
        <v>113</v>
      </c>
      <c r="AG356" s="246">
        <v>45</v>
      </c>
      <c r="AH356" s="248">
        <v>2</v>
      </c>
      <c r="AI356" s="248">
        <v>668</v>
      </c>
      <c r="AJ356" s="245"/>
      <c r="AK356" s="246"/>
      <c r="AL356" s="248"/>
      <c r="AM356" s="245"/>
      <c r="AN356" s="563"/>
    </row>
    <row r="357" spans="1:40">
      <c r="A357" s="239"/>
      <c r="B357" s="239" t="s">
        <v>93</v>
      </c>
      <c r="C357" s="572">
        <f t="shared" ref="C357:T357" si="268">IF(V357&gt;0,(V357/V361),0)</f>
        <v>0.244141689373297</v>
      </c>
      <c r="D357" s="572">
        <f t="shared" si="268"/>
        <v>0.30263157894736842</v>
      </c>
      <c r="E357" s="572">
        <f t="shared" si="268"/>
        <v>0.2857831325301205</v>
      </c>
      <c r="F357" s="572">
        <f t="shared" si="268"/>
        <v>0.25851581508515814</v>
      </c>
      <c r="G357" s="572">
        <f t="shared" si="268"/>
        <v>0.29956584659913171</v>
      </c>
      <c r="H357" s="572">
        <f t="shared" si="268"/>
        <v>0.30176678445229682</v>
      </c>
      <c r="I357" s="572">
        <f t="shared" si="268"/>
        <v>0</v>
      </c>
      <c r="J357" s="573">
        <f t="shared" si="268"/>
        <v>0.26637627743340592</v>
      </c>
      <c r="K357" s="574">
        <f t="shared" si="268"/>
        <v>0.20634920634920634</v>
      </c>
      <c r="L357" s="572">
        <f t="shared" si="268"/>
        <v>0.23145212428662015</v>
      </c>
      <c r="M357" s="572">
        <f t="shared" si="268"/>
        <v>0.21559633027522937</v>
      </c>
      <c r="N357" s="572">
        <f t="shared" si="268"/>
        <v>0.2129032258064516</v>
      </c>
      <c r="O357" s="575">
        <f t="shared" si="268"/>
        <v>9.375E-2</v>
      </c>
      <c r="P357" s="574">
        <f t="shared" si="268"/>
        <v>0.2230831973898858</v>
      </c>
      <c r="Q357" s="572">
        <f t="shared" si="268"/>
        <v>0</v>
      </c>
      <c r="R357" s="572">
        <f t="shared" si="268"/>
        <v>0</v>
      </c>
      <c r="S357" s="575">
        <f t="shared" si="268"/>
        <v>0</v>
      </c>
      <c r="T357" s="574">
        <f t="shared" si="268"/>
        <v>0</v>
      </c>
      <c r="U357" s="253"/>
      <c r="V357" s="254">
        <v>1344</v>
      </c>
      <c r="W357" s="255">
        <v>184</v>
      </c>
      <c r="X357" s="255">
        <v>593</v>
      </c>
      <c r="Y357" s="255">
        <v>425</v>
      </c>
      <c r="Z357" s="255">
        <v>207</v>
      </c>
      <c r="AA357" s="255">
        <v>427</v>
      </c>
      <c r="AB357" s="255"/>
      <c r="AC357" s="256">
        <v>3180</v>
      </c>
      <c r="AD357" s="254">
        <v>52</v>
      </c>
      <c r="AE357" s="255">
        <v>365</v>
      </c>
      <c r="AF357" s="255">
        <v>94</v>
      </c>
      <c r="AG357" s="255">
        <v>33</v>
      </c>
      <c r="AH357" s="257">
        <v>3</v>
      </c>
      <c r="AI357" s="257">
        <v>547</v>
      </c>
      <c r="AJ357" s="254"/>
      <c r="AK357" s="255"/>
      <c r="AL357" s="257"/>
      <c r="AM357" s="254"/>
      <c r="AN357" s="563"/>
    </row>
    <row r="358" spans="1:40">
      <c r="A358" s="239"/>
      <c r="B358" s="239" t="s">
        <v>55</v>
      </c>
      <c r="C358" s="572">
        <f t="shared" ref="C358:T358" si="269">IF(V358&gt;0,(V358/V361),0)</f>
        <v>0.28029064486830152</v>
      </c>
      <c r="D358" s="572">
        <f t="shared" si="269"/>
        <v>0.28782894736842107</v>
      </c>
      <c r="E358" s="572">
        <f t="shared" si="269"/>
        <v>0.35132530120481925</v>
      </c>
      <c r="F358" s="572">
        <f t="shared" si="269"/>
        <v>0.32360097323600973</v>
      </c>
      <c r="G358" s="572">
        <f t="shared" si="269"/>
        <v>0.27785817655571637</v>
      </c>
      <c r="H358" s="572">
        <f t="shared" si="269"/>
        <v>0.28833922261484096</v>
      </c>
      <c r="I358" s="572">
        <f t="shared" si="269"/>
        <v>0</v>
      </c>
      <c r="J358" s="573">
        <f t="shared" si="269"/>
        <v>0.29979896130005024</v>
      </c>
      <c r="K358" s="574">
        <f t="shared" si="269"/>
        <v>0.21031746031746032</v>
      </c>
      <c r="L358" s="572">
        <f t="shared" si="269"/>
        <v>0.31515535827520608</v>
      </c>
      <c r="M358" s="572">
        <f t="shared" si="269"/>
        <v>0.32798165137614677</v>
      </c>
      <c r="N358" s="572">
        <f t="shared" si="269"/>
        <v>0.23870967741935484</v>
      </c>
      <c r="O358" s="575">
        <f t="shared" si="269"/>
        <v>0.25</v>
      </c>
      <c r="P358" s="574">
        <f t="shared" si="269"/>
        <v>0.30097879282218598</v>
      </c>
      <c r="Q358" s="572">
        <f t="shared" si="269"/>
        <v>0</v>
      </c>
      <c r="R358" s="572">
        <f t="shared" si="269"/>
        <v>0</v>
      </c>
      <c r="S358" s="575">
        <f t="shared" si="269"/>
        <v>0</v>
      </c>
      <c r="T358" s="574">
        <f t="shared" si="269"/>
        <v>0</v>
      </c>
      <c r="U358" s="253"/>
      <c r="V358" s="254">
        <v>1543</v>
      </c>
      <c r="W358" s="255">
        <v>175</v>
      </c>
      <c r="X358" s="255">
        <v>729</v>
      </c>
      <c r="Y358" s="255">
        <v>532</v>
      </c>
      <c r="Z358" s="255">
        <v>192</v>
      </c>
      <c r="AA358" s="255">
        <v>408</v>
      </c>
      <c r="AB358" s="255"/>
      <c r="AC358" s="256">
        <v>3579</v>
      </c>
      <c r="AD358" s="254">
        <v>53</v>
      </c>
      <c r="AE358" s="255">
        <v>497</v>
      </c>
      <c r="AF358" s="255">
        <v>143</v>
      </c>
      <c r="AG358" s="255">
        <v>37</v>
      </c>
      <c r="AH358" s="257">
        <v>8</v>
      </c>
      <c r="AI358" s="257">
        <v>738</v>
      </c>
      <c r="AJ358" s="254"/>
      <c r="AK358" s="255"/>
      <c r="AL358" s="257"/>
      <c r="AM358" s="254"/>
      <c r="AN358" s="563"/>
    </row>
    <row r="359" spans="1:40">
      <c r="A359" s="239"/>
      <c r="B359" s="239" t="s">
        <v>78</v>
      </c>
      <c r="C359" s="572">
        <f t="shared" ref="C359:T359" si="270">IF(V359&gt;0,(V359/V361),0)</f>
        <v>8.3742052679382381E-2</v>
      </c>
      <c r="D359" s="572">
        <f t="shared" si="270"/>
        <v>8.5526315789473686E-2</v>
      </c>
      <c r="E359" s="572">
        <f t="shared" si="270"/>
        <v>9.8313253012048199E-2</v>
      </c>
      <c r="F359" s="572">
        <f t="shared" si="270"/>
        <v>0.11435523114355231</v>
      </c>
      <c r="G359" s="572">
        <f t="shared" si="270"/>
        <v>8.2489146164978294E-2</v>
      </c>
      <c r="H359" s="572">
        <f t="shared" si="270"/>
        <v>0.26996466431095406</v>
      </c>
      <c r="I359" s="572">
        <f t="shared" si="270"/>
        <v>0</v>
      </c>
      <c r="J359" s="573">
        <f t="shared" si="270"/>
        <v>0.11258167197185458</v>
      </c>
      <c r="K359" s="574">
        <f t="shared" si="270"/>
        <v>0.48809523809523808</v>
      </c>
      <c r="L359" s="572">
        <f t="shared" si="270"/>
        <v>0.1388712745719721</v>
      </c>
      <c r="M359" s="572">
        <f t="shared" si="270"/>
        <v>0.19266055045871561</v>
      </c>
      <c r="N359" s="572">
        <f t="shared" si="270"/>
        <v>0.25806451612903225</v>
      </c>
      <c r="O359" s="575">
        <f t="shared" si="270"/>
        <v>0.59375</v>
      </c>
      <c r="P359" s="574">
        <f t="shared" si="270"/>
        <v>0.19779771615008157</v>
      </c>
      <c r="Q359" s="572">
        <f t="shared" si="270"/>
        <v>0</v>
      </c>
      <c r="R359" s="572">
        <f t="shared" si="270"/>
        <v>0</v>
      </c>
      <c r="S359" s="575">
        <f t="shared" si="270"/>
        <v>0</v>
      </c>
      <c r="T359" s="574">
        <f t="shared" si="270"/>
        <v>0</v>
      </c>
      <c r="U359" s="253"/>
      <c r="V359" s="254">
        <v>461</v>
      </c>
      <c r="W359" s="255">
        <v>52</v>
      </c>
      <c r="X359" s="255">
        <v>204</v>
      </c>
      <c r="Y359" s="255">
        <v>188</v>
      </c>
      <c r="Z359" s="255">
        <v>57</v>
      </c>
      <c r="AA359" s="255">
        <v>382</v>
      </c>
      <c r="AB359" s="255"/>
      <c r="AC359" s="256">
        <v>1344</v>
      </c>
      <c r="AD359" s="254">
        <v>123</v>
      </c>
      <c r="AE359" s="255">
        <v>219</v>
      </c>
      <c r="AF359" s="255">
        <v>84</v>
      </c>
      <c r="AG359" s="255">
        <v>40</v>
      </c>
      <c r="AH359" s="257">
        <v>19</v>
      </c>
      <c r="AI359" s="257">
        <v>485</v>
      </c>
      <c r="AJ359" s="254"/>
      <c r="AK359" s="255"/>
      <c r="AL359" s="257"/>
      <c r="AM359" s="254"/>
      <c r="AN359" s="563"/>
    </row>
    <row r="360" spans="1:40">
      <c r="A360" s="580"/>
      <c r="B360" s="580" t="s">
        <v>131</v>
      </c>
      <c r="C360" s="581">
        <f t="shared" ref="C360:T360" si="271">IF(V360&gt;0,(V360/V361),0)</f>
        <v>9.8455949137148044E-2</v>
      </c>
      <c r="D360" s="582">
        <f t="shared" si="271"/>
        <v>0</v>
      </c>
      <c r="E360" s="582">
        <f t="shared" si="271"/>
        <v>0</v>
      </c>
      <c r="F360" s="582">
        <f t="shared" si="271"/>
        <v>0</v>
      </c>
      <c r="G360" s="582">
        <f t="shared" si="271"/>
        <v>0.12156295224312591</v>
      </c>
      <c r="H360" s="582">
        <f t="shared" si="271"/>
        <v>5.9363957597173146E-2</v>
      </c>
      <c r="I360" s="583">
        <f t="shared" si="271"/>
        <v>0</v>
      </c>
      <c r="J360" s="584">
        <f t="shared" si="271"/>
        <v>5.947394873513151E-2</v>
      </c>
      <c r="K360" s="581">
        <f t="shared" si="271"/>
        <v>2.7777777777777776E-2</v>
      </c>
      <c r="L360" s="582">
        <f t="shared" si="271"/>
        <v>3.1705770450221942E-3</v>
      </c>
      <c r="M360" s="582">
        <f t="shared" si="271"/>
        <v>4.5871559633027525E-3</v>
      </c>
      <c r="N360" s="582">
        <f t="shared" si="271"/>
        <v>0</v>
      </c>
      <c r="O360" s="583">
        <f t="shared" si="271"/>
        <v>0</v>
      </c>
      <c r="P360" s="581">
        <f t="shared" si="271"/>
        <v>5.7096247960848291E-3</v>
      </c>
      <c r="Q360" s="581">
        <f t="shared" si="271"/>
        <v>0</v>
      </c>
      <c r="R360" s="582">
        <f t="shared" si="271"/>
        <v>0</v>
      </c>
      <c r="S360" s="583">
        <f t="shared" si="271"/>
        <v>0</v>
      </c>
      <c r="T360" s="581">
        <f t="shared" si="271"/>
        <v>0</v>
      </c>
      <c r="U360" s="253"/>
      <c r="V360" s="585">
        <v>542</v>
      </c>
      <c r="W360" s="586"/>
      <c r="X360" s="586"/>
      <c r="Y360" s="586"/>
      <c r="Z360" s="586">
        <v>84</v>
      </c>
      <c r="AA360" s="586">
        <v>84</v>
      </c>
      <c r="AB360" s="586"/>
      <c r="AC360" s="587">
        <v>710</v>
      </c>
      <c r="AD360" s="585">
        <v>7</v>
      </c>
      <c r="AE360" s="586">
        <v>5</v>
      </c>
      <c r="AF360" s="586">
        <v>2</v>
      </c>
      <c r="AG360" s="586"/>
      <c r="AH360" s="588"/>
      <c r="AI360" s="588">
        <v>14</v>
      </c>
      <c r="AJ360" s="585"/>
      <c r="AK360" s="586"/>
      <c r="AL360" s="588"/>
      <c r="AM360" s="585"/>
    </row>
    <row r="361" spans="1:40">
      <c r="A361" s="436"/>
      <c r="B361" s="436" t="s">
        <v>59</v>
      </c>
      <c r="C361" s="456">
        <f t="shared" ref="C361:T361" si="272">SUM(C356:C360)</f>
        <v>1</v>
      </c>
      <c r="D361" s="456">
        <f t="shared" si="272"/>
        <v>1</v>
      </c>
      <c r="E361" s="456">
        <f t="shared" si="272"/>
        <v>0.99999999999999989</v>
      </c>
      <c r="F361" s="456">
        <f t="shared" si="272"/>
        <v>1</v>
      </c>
      <c r="G361" s="456">
        <f t="shared" si="272"/>
        <v>1</v>
      </c>
      <c r="H361" s="456">
        <f t="shared" si="272"/>
        <v>1</v>
      </c>
      <c r="I361" s="456">
        <f t="shared" si="272"/>
        <v>0</v>
      </c>
      <c r="J361" s="576">
        <f t="shared" si="272"/>
        <v>1</v>
      </c>
      <c r="K361" s="577">
        <f t="shared" si="272"/>
        <v>0.99999999999999989</v>
      </c>
      <c r="L361" s="578">
        <f t="shared" si="272"/>
        <v>1</v>
      </c>
      <c r="M361" s="578">
        <f t="shared" si="272"/>
        <v>0.99999999999999989</v>
      </c>
      <c r="N361" s="578">
        <f t="shared" si="272"/>
        <v>1</v>
      </c>
      <c r="O361" s="579">
        <f t="shared" si="272"/>
        <v>1</v>
      </c>
      <c r="P361" s="577">
        <f t="shared" si="272"/>
        <v>1</v>
      </c>
      <c r="Q361" s="578">
        <f t="shared" si="272"/>
        <v>0</v>
      </c>
      <c r="R361" s="578">
        <f t="shared" si="272"/>
        <v>0</v>
      </c>
      <c r="S361" s="579">
        <f t="shared" si="272"/>
        <v>0</v>
      </c>
      <c r="T361" s="577">
        <f t="shared" si="272"/>
        <v>0</v>
      </c>
      <c r="U361" s="253"/>
      <c r="V361" s="265">
        <v>5505</v>
      </c>
      <c r="W361" s="266">
        <v>608</v>
      </c>
      <c r="X361" s="266">
        <v>2075</v>
      </c>
      <c r="Y361" s="266">
        <v>1644</v>
      </c>
      <c r="Z361" s="266">
        <v>691</v>
      </c>
      <c r="AA361" s="266">
        <v>1415</v>
      </c>
      <c r="AB361" s="266"/>
      <c r="AC361" s="267">
        <v>11938</v>
      </c>
      <c r="AD361" s="265">
        <v>252</v>
      </c>
      <c r="AE361" s="266">
        <v>1577</v>
      </c>
      <c r="AF361" s="266">
        <v>436</v>
      </c>
      <c r="AG361" s="266">
        <v>155</v>
      </c>
      <c r="AH361" s="268">
        <v>32</v>
      </c>
      <c r="AI361" s="268">
        <v>2452</v>
      </c>
      <c r="AJ361" s="265"/>
      <c r="AK361" s="266"/>
      <c r="AL361" s="268"/>
      <c r="AM361" s="265"/>
      <c r="AN361" s="563"/>
    </row>
    <row r="362" spans="1:40">
      <c r="A362" s="240" t="s">
        <v>163</v>
      </c>
      <c r="B362" s="240" t="s">
        <v>53</v>
      </c>
      <c r="C362" s="568">
        <f t="shared" ref="C362:T362" si="273">IF(V362&gt;0,(V362/V367),0)</f>
        <v>0</v>
      </c>
      <c r="D362" s="568">
        <f t="shared" si="273"/>
        <v>0.46525679758308158</v>
      </c>
      <c r="E362" s="568">
        <f t="shared" si="273"/>
        <v>0.35135135135135137</v>
      </c>
      <c r="F362" s="568">
        <f t="shared" si="273"/>
        <v>0</v>
      </c>
      <c r="G362" s="568">
        <f t="shared" si="273"/>
        <v>0</v>
      </c>
      <c r="H362" s="568">
        <f t="shared" si="273"/>
        <v>0</v>
      </c>
      <c r="I362" s="568">
        <f t="shared" si="273"/>
        <v>0</v>
      </c>
      <c r="J362" s="569">
        <f t="shared" si="273"/>
        <v>0.42713567839195982</v>
      </c>
      <c r="K362" s="570">
        <f t="shared" si="273"/>
        <v>0</v>
      </c>
      <c r="L362" s="568">
        <f t="shared" si="273"/>
        <v>0.40923076923076923</v>
      </c>
      <c r="M362" s="568">
        <f t="shared" si="273"/>
        <v>0</v>
      </c>
      <c r="N362" s="568">
        <f t="shared" si="273"/>
        <v>0</v>
      </c>
      <c r="O362" s="571">
        <f t="shared" si="273"/>
        <v>0</v>
      </c>
      <c r="P362" s="570">
        <f t="shared" si="273"/>
        <v>0.40923076923076923</v>
      </c>
      <c r="Q362" s="568">
        <f t="shared" si="273"/>
        <v>0</v>
      </c>
      <c r="R362" s="568">
        <f t="shared" si="273"/>
        <v>0</v>
      </c>
      <c r="S362" s="571">
        <f t="shared" si="273"/>
        <v>0</v>
      </c>
      <c r="T362" s="570">
        <f t="shared" si="273"/>
        <v>0</v>
      </c>
      <c r="U362" s="253"/>
      <c r="V362" s="245"/>
      <c r="W362" s="246">
        <v>308</v>
      </c>
      <c r="X362" s="246">
        <v>117</v>
      </c>
      <c r="Y362" s="246"/>
      <c r="Z362" s="246"/>
      <c r="AA362" s="246"/>
      <c r="AB362" s="246"/>
      <c r="AC362" s="247">
        <v>425</v>
      </c>
      <c r="AD362" s="245"/>
      <c r="AE362" s="246">
        <v>133</v>
      </c>
      <c r="AF362" s="246"/>
      <c r="AG362" s="246"/>
      <c r="AH362" s="248"/>
      <c r="AI362" s="248">
        <v>133</v>
      </c>
      <c r="AJ362" s="245"/>
      <c r="AK362" s="246"/>
      <c r="AL362" s="248"/>
      <c r="AM362" s="245"/>
      <c r="AN362" s="563"/>
    </row>
    <row r="363" spans="1:40">
      <c r="A363" s="239"/>
      <c r="B363" s="239" t="s">
        <v>93</v>
      </c>
      <c r="C363" s="572">
        <f t="shared" ref="C363:T363" si="274">IF(V363&gt;0,(V363/V367),0)</f>
        <v>0</v>
      </c>
      <c r="D363" s="572">
        <f t="shared" si="274"/>
        <v>0.22658610271903323</v>
      </c>
      <c r="E363" s="572">
        <f t="shared" si="274"/>
        <v>0.27627627627627627</v>
      </c>
      <c r="F363" s="572">
        <f t="shared" si="274"/>
        <v>0</v>
      </c>
      <c r="G363" s="572">
        <f t="shared" si="274"/>
        <v>0</v>
      </c>
      <c r="H363" s="572">
        <f t="shared" si="274"/>
        <v>0</v>
      </c>
      <c r="I363" s="572">
        <f t="shared" si="274"/>
        <v>0</v>
      </c>
      <c r="J363" s="573">
        <f t="shared" si="274"/>
        <v>0.24321608040201004</v>
      </c>
      <c r="K363" s="574">
        <f t="shared" si="274"/>
        <v>0</v>
      </c>
      <c r="L363" s="572">
        <f t="shared" si="274"/>
        <v>0.16923076923076924</v>
      </c>
      <c r="M363" s="572">
        <f t="shared" si="274"/>
        <v>0</v>
      </c>
      <c r="N363" s="572">
        <f t="shared" si="274"/>
        <v>0</v>
      </c>
      <c r="O363" s="575">
        <f t="shared" si="274"/>
        <v>0</v>
      </c>
      <c r="P363" s="574">
        <f t="shared" si="274"/>
        <v>0.16923076923076924</v>
      </c>
      <c r="Q363" s="572">
        <f t="shared" si="274"/>
        <v>0</v>
      </c>
      <c r="R363" s="572">
        <f t="shared" si="274"/>
        <v>0</v>
      </c>
      <c r="S363" s="575">
        <f t="shared" si="274"/>
        <v>0</v>
      </c>
      <c r="T363" s="574">
        <f t="shared" si="274"/>
        <v>0</v>
      </c>
      <c r="U363" s="253"/>
      <c r="V363" s="254"/>
      <c r="W363" s="255">
        <v>150</v>
      </c>
      <c r="X363" s="255">
        <v>92</v>
      </c>
      <c r="Y363" s="255"/>
      <c r="Z363" s="255"/>
      <c r="AA363" s="255"/>
      <c r="AB363" s="255"/>
      <c r="AC363" s="256">
        <v>242</v>
      </c>
      <c r="AD363" s="254"/>
      <c r="AE363" s="255">
        <v>55</v>
      </c>
      <c r="AF363" s="255"/>
      <c r="AG363" s="255"/>
      <c r="AH363" s="257"/>
      <c r="AI363" s="257">
        <v>55</v>
      </c>
      <c r="AJ363" s="254"/>
      <c r="AK363" s="255"/>
      <c r="AL363" s="257"/>
      <c r="AM363" s="254"/>
      <c r="AN363" s="563"/>
    </row>
    <row r="364" spans="1:40">
      <c r="A364" s="239"/>
      <c r="B364" s="239" t="s">
        <v>55</v>
      </c>
      <c r="C364" s="572">
        <f t="shared" ref="C364:T364" si="275">IF(V364&gt;0,(V364/V367),0)</f>
        <v>0</v>
      </c>
      <c r="D364" s="572">
        <f t="shared" si="275"/>
        <v>0.19637462235649547</v>
      </c>
      <c r="E364" s="572">
        <f t="shared" si="275"/>
        <v>0.33633633633633636</v>
      </c>
      <c r="F364" s="572">
        <f t="shared" si="275"/>
        <v>0</v>
      </c>
      <c r="G364" s="572">
        <f t="shared" si="275"/>
        <v>0</v>
      </c>
      <c r="H364" s="572">
        <f t="shared" si="275"/>
        <v>0</v>
      </c>
      <c r="I364" s="572">
        <f t="shared" si="275"/>
        <v>0</v>
      </c>
      <c r="J364" s="573">
        <f t="shared" si="275"/>
        <v>0.24321608040201004</v>
      </c>
      <c r="K364" s="574">
        <f t="shared" si="275"/>
        <v>0</v>
      </c>
      <c r="L364" s="572">
        <f t="shared" si="275"/>
        <v>0.42153846153846153</v>
      </c>
      <c r="M364" s="572">
        <f t="shared" si="275"/>
        <v>0</v>
      </c>
      <c r="N364" s="572">
        <f t="shared" si="275"/>
        <v>0</v>
      </c>
      <c r="O364" s="575">
        <f t="shared" si="275"/>
        <v>0</v>
      </c>
      <c r="P364" s="574">
        <f t="shared" si="275"/>
        <v>0.42153846153846153</v>
      </c>
      <c r="Q364" s="572">
        <f t="shared" si="275"/>
        <v>0</v>
      </c>
      <c r="R364" s="572">
        <f t="shared" si="275"/>
        <v>0</v>
      </c>
      <c r="S364" s="575">
        <f t="shared" si="275"/>
        <v>0</v>
      </c>
      <c r="T364" s="574">
        <f t="shared" si="275"/>
        <v>0</v>
      </c>
      <c r="U364" s="253"/>
      <c r="V364" s="254"/>
      <c r="W364" s="255">
        <v>130</v>
      </c>
      <c r="X364" s="255">
        <v>112</v>
      </c>
      <c r="Y364" s="255"/>
      <c r="Z364" s="255"/>
      <c r="AA364" s="255"/>
      <c r="AB364" s="255"/>
      <c r="AC364" s="256">
        <v>242</v>
      </c>
      <c r="AD364" s="254"/>
      <c r="AE364" s="255">
        <v>137</v>
      </c>
      <c r="AF364" s="255"/>
      <c r="AG364" s="255"/>
      <c r="AH364" s="257"/>
      <c r="AI364" s="257">
        <v>137</v>
      </c>
      <c r="AJ364" s="254"/>
      <c r="AK364" s="255"/>
      <c r="AL364" s="257"/>
      <c r="AM364" s="254"/>
      <c r="AN364" s="563"/>
    </row>
    <row r="365" spans="1:40">
      <c r="A365" s="239"/>
      <c r="B365" s="239" t="s">
        <v>78</v>
      </c>
      <c r="C365" s="572">
        <f t="shared" ref="C365:T365" si="276">IF(V365&gt;0,(V365/V367),0)</f>
        <v>0</v>
      </c>
      <c r="D365" s="572">
        <f t="shared" si="276"/>
        <v>1.0574018126888218E-2</v>
      </c>
      <c r="E365" s="572">
        <f t="shared" si="276"/>
        <v>3.6036036036036036E-2</v>
      </c>
      <c r="F365" s="572">
        <f t="shared" si="276"/>
        <v>0</v>
      </c>
      <c r="G365" s="572">
        <f t="shared" si="276"/>
        <v>0</v>
      </c>
      <c r="H365" s="572">
        <f t="shared" si="276"/>
        <v>0</v>
      </c>
      <c r="I365" s="572">
        <f t="shared" si="276"/>
        <v>0</v>
      </c>
      <c r="J365" s="573">
        <f t="shared" si="276"/>
        <v>1.9095477386934675E-2</v>
      </c>
      <c r="K365" s="574">
        <f t="shared" si="276"/>
        <v>0</v>
      </c>
      <c r="L365" s="572">
        <f t="shared" si="276"/>
        <v>0</v>
      </c>
      <c r="M365" s="572">
        <f t="shared" si="276"/>
        <v>0</v>
      </c>
      <c r="N365" s="572">
        <f t="shared" si="276"/>
        <v>0</v>
      </c>
      <c r="O365" s="575">
        <f t="shared" si="276"/>
        <v>0</v>
      </c>
      <c r="P365" s="574">
        <f t="shared" si="276"/>
        <v>0</v>
      </c>
      <c r="Q365" s="572">
        <f t="shared" si="276"/>
        <v>0</v>
      </c>
      <c r="R365" s="572">
        <f t="shared" si="276"/>
        <v>0</v>
      </c>
      <c r="S365" s="575">
        <f t="shared" si="276"/>
        <v>0</v>
      </c>
      <c r="T365" s="574">
        <f t="shared" si="276"/>
        <v>0</v>
      </c>
      <c r="U365" s="253"/>
      <c r="V365" s="254"/>
      <c r="W365" s="255">
        <v>7</v>
      </c>
      <c r="X365" s="255">
        <v>12</v>
      </c>
      <c r="Y365" s="255"/>
      <c r="Z365" s="255"/>
      <c r="AA365" s="255"/>
      <c r="AB365" s="255"/>
      <c r="AC365" s="256">
        <v>19</v>
      </c>
      <c r="AD365" s="254"/>
      <c r="AE365" s="255"/>
      <c r="AF365" s="255"/>
      <c r="AG365" s="255"/>
      <c r="AH365" s="257"/>
      <c r="AI365" s="257"/>
      <c r="AJ365" s="254"/>
      <c r="AK365" s="255"/>
      <c r="AL365" s="257"/>
      <c r="AM365" s="254"/>
      <c r="AN365" s="563"/>
    </row>
    <row r="366" spans="1:40">
      <c r="A366" s="580"/>
      <c r="B366" s="580" t="s">
        <v>131</v>
      </c>
      <c r="C366" s="581">
        <f t="shared" ref="C366:T366" si="277">IF(V366&gt;0,(V366/V367),0)</f>
        <v>0</v>
      </c>
      <c r="D366" s="582">
        <f t="shared" si="277"/>
        <v>0.10120845921450151</v>
      </c>
      <c r="E366" s="582">
        <f t="shared" si="277"/>
        <v>0</v>
      </c>
      <c r="F366" s="582">
        <f t="shared" si="277"/>
        <v>0</v>
      </c>
      <c r="G366" s="582">
        <f t="shared" si="277"/>
        <v>0</v>
      </c>
      <c r="H366" s="582">
        <f t="shared" si="277"/>
        <v>0</v>
      </c>
      <c r="I366" s="583">
        <f t="shared" si="277"/>
        <v>0</v>
      </c>
      <c r="J366" s="584">
        <f t="shared" si="277"/>
        <v>6.733668341708543E-2</v>
      </c>
      <c r="K366" s="581">
        <f t="shared" si="277"/>
        <v>0</v>
      </c>
      <c r="L366" s="582">
        <f t="shared" si="277"/>
        <v>0</v>
      </c>
      <c r="M366" s="582">
        <f t="shared" si="277"/>
        <v>0</v>
      </c>
      <c r="N366" s="582">
        <f t="shared" si="277"/>
        <v>0</v>
      </c>
      <c r="O366" s="583">
        <f t="shared" si="277"/>
        <v>0</v>
      </c>
      <c r="P366" s="581">
        <f t="shared" si="277"/>
        <v>0</v>
      </c>
      <c r="Q366" s="581">
        <f t="shared" si="277"/>
        <v>0</v>
      </c>
      <c r="R366" s="582">
        <f t="shared" si="277"/>
        <v>0</v>
      </c>
      <c r="S366" s="583">
        <f t="shared" si="277"/>
        <v>0</v>
      </c>
      <c r="T366" s="581">
        <f t="shared" si="277"/>
        <v>0</v>
      </c>
      <c r="U366" s="253"/>
      <c r="V366" s="585"/>
      <c r="W366" s="586">
        <v>67</v>
      </c>
      <c r="X366" s="586"/>
      <c r="Y366" s="586"/>
      <c r="Z366" s="586"/>
      <c r="AA366" s="586"/>
      <c r="AB366" s="586"/>
      <c r="AC366" s="587">
        <v>67</v>
      </c>
      <c r="AD366" s="585"/>
      <c r="AE366" s="586"/>
      <c r="AF366" s="586"/>
      <c r="AG366" s="586"/>
      <c r="AH366" s="588"/>
      <c r="AI366" s="588"/>
      <c r="AJ366" s="585"/>
      <c r="AK366" s="586"/>
      <c r="AL366" s="588"/>
      <c r="AM366" s="585"/>
    </row>
    <row r="367" spans="1:40">
      <c r="A367" s="436"/>
      <c r="B367" s="436" t="s">
        <v>59</v>
      </c>
      <c r="C367" s="456">
        <f t="shared" ref="C367:T367" si="278">SUM(C362:C366)</f>
        <v>0</v>
      </c>
      <c r="D367" s="456">
        <f t="shared" si="278"/>
        <v>1</v>
      </c>
      <c r="E367" s="456">
        <f t="shared" si="278"/>
        <v>0.99999999999999989</v>
      </c>
      <c r="F367" s="456">
        <f t="shared" si="278"/>
        <v>0</v>
      </c>
      <c r="G367" s="456">
        <f t="shared" si="278"/>
        <v>0</v>
      </c>
      <c r="H367" s="456">
        <f t="shared" si="278"/>
        <v>0</v>
      </c>
      <c r="I367" s="456">
        <f t="shared" si="278"/>
        <v>0</v>
      </c>
      <c r="J367" s="576">
        <f t="shared" si="278"/>
        <v>0.99999999999999989</v>
      </c>
      <c r="K367" s="577">
        <f t="shared" si="278"/>
        <v>0</v>
      </c>
      <c r="L367" s="578">
        <f t="shared" si="278"/>
        <v>1</v>
      </c>
      <c r="M367" s="578">
        <f t="shared" si="278"/>
        <v>0</v>
      </c>
      <c r="N367" s="578">
        <f t="shared" si="278"/>
        <v>0</v>
      </c>
      <c r="O367" s="579">
        <f t="shared" si="278"/>
        <v>0</v>
      </c>
      <c r="P367" s="577">
        <f t="shared" si="278"/>
        <v>1</v>
      </c>
      <c r="Q367" s="578">
        <f t="shared" si="278"/>
        <v>0</v>
      </c>
      <c r="R367" s="578">
        <f t="shared" si="278"/>
        <v>0</v>
      </c>
      <c r="S367" s="579">
        <f t="shared" si="278"/>
        <v>0</v>
      </c>
      <c r="T367" s="577">
        <f t="shared" si="278"/>
        <v>0</v>
      </c>
      <c r="U367" s="253"/>
      <c r="V367" s="265"/>
      <c r="W367" s="266">
        <v>662</v>
      </c>
      <c r="X367" s="266">
        <v>333</v>
      </c>
      <c r="Y367" s="266"/>
      <c r="Z367" s="266"/>
      <c r="AA367" s="266"/>
      <c r="AB367" s="266"/>
      <c r="AC367" s="267">
        <v>995</v>
      </c>
      <c r="AD367" s="265"/>
      <c r="AE367" s="266">
        <v>325</v>
      </c>
      <c r="AF367" s="266"/>
      <c r="AG367" s="266"/>
      <c r="AH367" s="268"/>
      <c r="AI367" s="268">
        <v>325</v>
      </c>
      <c r="AJ367" s="265"/>
      <c r="AK367" s="266"/>
      <c r="AL367" s="268"/>
      <c r="AM367" s="265"/>
      <c r="AN367" s="563"/>
    </row>
    <row r="368" spans="1:40">
      <c r="A368" s="240" t="s">
        <v>166</v>
      </c>
      <c r="B368" s="240" t="s">
        <v>53</v>
      </c>
      <c r="C368" s="568">
        <f t="shared" ref="C368:T368" si="279">IF(V368&gt;0,(V368/V373),0)</f>
        <v>0</v>
      </c>
      <c r="D368" s="568">
        <f t="shared" si="279"/>
        <v>0.23372287145242071</v>
      </c>
      <c r="E368" s="568">
        <f t="shared" si="279"/>
        <v>0</v>
      </c>
      <c r="F368" s="568">
        <f t="shared" si="279"/>
        <v>0</v>
      </c>
      <c r="G368" s="568">
        <f t="shared" si="279"/>
        <v>0.52857142857142858</v>
      </c>
      <c r="H368" s="568">
        <f t="shared" si="279"/>
        <v>0.36206896551724138</v>
      </c>
      <c r="I368" s="568">
        <f t="shared" si="279"/>
        <v>0</v>
      </c>
      <c r="J368" s="569">
        <f t="shared" si="279"/>
        <v>0.29485570890840651</v>
      </c>
      <c r="K368" s="570">
        <f t="shared" si="279"/>
        <v>0.39534883720930231</v>
      </c>
      <c r="L368" s="568">
        <f t="shared" si="279"/>
        <v>0</v>
      </c>
      <c r="M368" s="568">
        <f t="shared" si="279"/>
        <v>0</v>
      </c>
      <c r="N368" s="568">
        <f t="shared" si="279"/>
        <v>0</v>
      </c>
      <c r="O368" s="571">
        <f t="shared" si="279"/>
        <v>0</v>
      </c>
      <c r="P368" s="570">
        <f t="shared" si="279"/>
        <v>0.39534883720930231</v>
      </c>
      <c r="Q368" s="568">
        <f t="shared" si="279"/>
        <v>0</v>
      </c>
      <c r="R368" s="568">
        <f t="shared" si="279"/>
        <v>0</v>
      </c>
      <c r="S368" s="571">
        <f t="shared" si="279"/>
        <v>0</v>
      </c>
      <c r="T368" s="570">
        <f t="shared" si="279"/>
        <v>0</v>
      </c>
      <c r="U368" s="253"/>
      <c r="V368" s="245"/>
      <c r="W368" s="246">
        <v>140</v>
      </c>
      <c r="X368" s="246"/>
      <c r="Y368" s="246"/>
      <c r="Z368" s="246">
        <v>74</v>
      </c>
      <c r="AA368" s="246">
        <v>21</v>
      </c>
      <c r="AB368" s="246"/>
      <c r="AC368" s="247">
        <v>235</v>
      </c>
      <c r="AD368" s="245">
        <v>34</v>
      </c>
      <c r="AE368" s="246"/>
      <c r="AF368" s="246"/>
      <c r="AG368" s="246"/>
      <c r="AH368" s="248"/>
      <c r="AI368" s="248">
        <v>34</v>
      </c>
      <c r="AJ368" s="245"/>
      <c r="AK368" s="246"/>
      <c r="AL368" s="248"/>
      <c r="AM368" s="245"/>
      <c r="AN368" s="563"/>
    </row>
    <row r="369" spans="1:40">
      <c r="A369" s="239"/>
      <c r="B369" s="239" t="s">
        <v>93</v>
      </c>
      <c r="C369" s="572">
        <f t="shared" ref="C369:T369" si="280">IF(V369&gt;0,(V369/V373),0)</f>
        <v>0</v>
      </c>
      <c r="D369" s="572">
        <f t="shared" si="280"/>
        <v>0.328881469115192</v>
      </c>
      <c r="E369" s="572">
        <f t="shared" si="280"/>
        <v>0</v>
      </c>
      <c r="F369" s="572">
        <f t="shared" si="280"/>
        <v>0</v>
      </c>
      <c r="G369" s="572">
        <f t="shared" si="280"/>
        <v>0.15</v>
      </c>
      <c r="H369" s="572">
        <f t="shared" si="280"/>
        <v>0.18965517241379309</v>
      </c>
      <c r="I369" s="572">
        <f t="shared" si="280"/>
        <v>0</v>
      </c>
      <c r="J369" s="573">
        <f t="shared" si="280"/>
        <v>0.28732747804265996</v>
      </c>
      <c r="K369" s="574">
        <f t="shared" si="280"/>
        <v>0.13953488372093023</v>
      </c>
      <c r="L369" s="572">
        <f t="shared" si="280"/>
        <v>0</v>
      </c>
      <c r="M369" s="572">
        <f t="shared" si="280"/>
        <v>0</v>
      </c>
      <c r="N369" s="572">
        <f t="shared" si="280"/>
        <v>0</v>
      </c>
      <c r="O369" s="575">
        <f t="shared" si="280"/>
        <v>0</v>
      </c>
      <c r="P369" s="574">
        <f t="shared" si="280"/>
        <v>0.13953488372093023</v>
      </c>
      <c r="Q369" s="572">
        <f t="shared" si="280"/>
        <v>0</v>
      </c>
      <c r="R369" s="572">
        <f t="shared" si="280"/>
        <v>0</v>
      </c>
      <c r="S369" s="575">
        <f t="shared" si="280"/>
        <v>0</v>
      </c>
      <c r="T369" s="574">
        <f t="shared" si="280"/>
        <v>0</v>
      </c>
      <c r="U369" s="253"/>
      <c r="V369" s="254"/>
      <c r="W369" s="255">
        <v>197</v>
      </c>
      <c r="X369" s="255"/>
      <c r="Y369" s="255"/>
      <c r="Z369" s="255">
        <v>21</v>
      </c>
      <c r="AA369" s="255">
        <v>11</v>
      </c>
      <c r="AB369" s="255"/>
      <c r="AC369" s="256">
        <v>229</v>
      </c>
      <c r="AD369" s="254">
        <v>12</v>
      </c>
      <c r="AE369" s="255"/>
      <c r="AF369" s="255"/>
      <c r="AG369" s="255"/>
      <c r="AH369" s="257"/>
      <c r="AI369" s="257">
        <v>12</v>
      </c>
      <c r="AJ369" s="254"/>
      <c r="AK369" s="255"/>
      <c r="AL369" s="257"/>
      <c r="AM369" s="254"/>
      <c r="AN369" s="563"/>
    </row>
    <row r="370" spans="1:40">
      <c r="A370" s="239"/>
      <c r="B370" s="239" t="s">
        <v>55</v>
      </c>
      <c r="C370" s="572">
        <f t="shared" ref="C370:T370" si="281">IF(V370&gt;0,(V370/V373),0)</f>
        <v>0</v>
      </c>
      <c r="D370" s="572">
        <f t="shared" si="281"/>
        <v>0.21702838063439064</v>
      </c>
      <c r="E370" s="572">
        <f t="shared" si="281"/>
        <v>0</v>
      </c>
      <c r="F370" s="572">
        <f t="shared" si="281"/>
        <v>0</v>
      </c>
      <c r="G370" s="572">
        <f t="shared" si="281"/>
        <v>0.32142857142857145</v>
      </c>
      <c r="H370" s="572">
        <f t="shared" si="281"/>
        <v>0.41379310344827586</v>
      </c>
      <c r="I370" s="572">
        <f t="shared" si="281"/>
        <v>0</v>
      </c>
      <c r="J370" s="573">
        <f t="shared" si="281"/>
        <v>0.24968632371392724</v>
      </c>
      <c r="K370" s="574">
        <f t="shared" si="281"/>
        <v>0.46511627906976744</v>
      </c>
      <c r="L370" s="572">
        <f t="shared" si="281"/>
        <v>0</v>
      </c>
      <c r="M370" s="572">
        <f t="shared" si="281"/>
        <v>0</v>
      </c>
      <c r="N370" s="572">
        <f t="shared" si="281"/>
        <v>0</v>
      </c>
      <c r="O370" s="575">
        <f t="shared" si="281"/>
        <v>0</v>
      </c>
      <c r="P370" s="574">
        <f t="shared" si="281"/>
        <v>0.46511627906976744</v>
      </c>
      <c r="Q370" s="572">
        <f t="shared" si="281"/>
        <v>0</v>
      </c>
      <c r="R370" s="572">
        <f t="shared" si="281"/>
        <v>0</v>
      </c>
      <c r="S370" s="575">
        <f t="shared" si="281"/>
        <v>0</v>
      </c>
      <c r="T370" s="574">
        <f t="shared" si="281"/>
        <v>0</v>
      </c>
      <c r="U370" s="253"/>
      <c r="V370" s="254"/>
      <c r="W370" s="255">
        <v>130</v>
      </c>
      <c r="X370" s="255"/>
      <c r="Y370" s="255"/>
      <c r="Z370" s="255">
        <v>45</v>
      </c>
      <c r="AA370" s="255">
        <v>24</v>
      </c>
      <c r="AB370" s="255"/>
      <c r="AC370" s="256">
        <v>199</v>
      </c>
      <c r="AD370" s="254">
        <v>40</v>
      </c>
      <c r="AE370" s="255"/>
      <c r="AF370" s="255"/>
      <c r="AG370" s="255"/>
      <c r="AH370" s="257"/>
      <c r="AI370" s="257">
        <v>40</v>
      </c>
      <c r="AJ370" s="254"/>
      <c r="AK370" s="255"/>
      <c r="AL370" s="257"/>
      <c r="AM370" s="254"/>
      <c r="AN370" s="563"/>
    </row>
    <row r="371" spans="1:40">
      <c r="A371" s="239"/>
      <c r="B371" s="239" t="s">
        <v>78</v>
      </c>
      <c r="C371" s="572">
        <f t="shared" ref="C371:T371" si="282">IF(V371&gt;0,(V371/V373),0)</f>
        <v>0</v>
      </c>
      <c r="D371" s="572">
        <f t="shared" si="282"/>
        <v>1.6694490818030051E-3</v>
      </c>
      <c r="E371" s="572">
        <f t="shared" si="282"/>
        <v>0</v>
      </c>
      <c r="F371" s="572">
        <f t="shared" si="282"/>
        <v>0</v>
      </c>
      <c r="G371" s="572">
        <f t="shared" si="282"/>
        <v>0</v>
      </c>
      <c r="H371" s="572">
        <f t="shared" si="282"/>
        <v>3.4482758620689655E-2</v>
      </c>
      <c r="I371" s="572">
        <f t="shared" si="282"/>
        <v>0</v>
      </c>
      <c r="J371" s="573">
        <f t="shared" si="282"/>
        <v>3.7641154328732747E-3</v>
      </c>
      <c r="K371" s="574">
        <f t="shared" si="282"/>
        <v>0</v>
      </c>
      <c r="L371" s="572">
        <f t="shared" si="282"/>
        <v>0</v>
      </c>
      <c r="M371" s="572">
        <f t="shared" si="282"/>
        <v>0</v>
      </c>
      <c r="N371" s="572">
        <f t="shared" si="282"/>
        <v>0</v>
      </c>
      <c r="O371" s="575">
        <f t="shared" si="282"/>
        <v>0</v>
      </c>
      <c r="P371" s="574">
        <f t="shared" si="282"/>
        <v>0</v>
      </c>
      <c r="Q371" s="572">
        <f t="shared" si="282"/>
        <v>0</v>
      </c>
      <c r="R371" s="572">
        <f t="shared" si="282"/>
        <v>0</v>
      </c>
      <c r="S371" s="575">
        <f t="shared" si="282"/>
        <v>0</v>
      </c>
      <c r="T371" s="574">
        <f t="shared" si="282"/>
        <v>0</v>
      </c>
      <c r="U371" s="253"/>
      <c r="V371" s="254"/>
      <c r="W371" s="255">
        <v>1</v>
      </c>
      <c r="X371" s="255"/>
      <c r="Y371" s="255"/>
      <c r="Z371" s="255"/>
      <c r="AA371" s="255">
        <v>2</v>
      </c>
      <c r="AB371" s="255"/>
      <c r="AC371" s="256">
        <v>3</v>
      </c>
      <c r="AD371" s="254"/>
      <c r="AE371" s="255"/>
      <c r="AF371" s="255"/>
      <c r="AG371" s="255"/>
      <c r="AH371" s="257"/>
      <c r="AI371" s="257"/>
      <c r="AJ371" s="254"/>
      <c r="AK371" s="255"/>
      <c r="AL371" s="257"/>
      <c r="AM371" s="254"/>
      <c r="AN371" s="563"/>
    </row>
    <row r="372" spans="1:40">
      <c r="A372" s="580"/>
      <c r="B372" s="580" t="s">
        <v>131</v>
      </c>
      <c r="C372" s="581">
        <f t="shared" ref="C372:T372" si="283">IF(V372&gt;0,(V372/V373),0)</f>
        <v>0</v>
      </c>
      <c r="D372" s="582">
        <f t="shared" si="283"/>
        <v>0.21869782971619364</v>
      </c>
      <c r="E372" s="582">
        <f t="shared" si="283"/>
        <v>0</v>
      </c>
      <c r="F372" s="582">
        <f t="shared" si="283"/>
        <v>0</v>
      </c>
      <c r="G372" s="582">
        <f t="shared" si="283"/>
        <v>0</v>
      </c>
      <c r="H372" s="582">
        <f t="shared" si="283"/>
        <v>0</v>
      </c>
      <c r="I372" s="583">
        <f t="shared" si="283"/>
        <v>0</v>
      </c>
      <c r="J372" s="584">
        <f t="shared" si="283"/>
        <v>0.16436637390213299</v>
      </c>
      <c r="K372" s="581">
        <f t="shared" si="283"/>
        <v>0</v>
      </c>
      <c r="L372" s="582">
        <f t="shared" si="283"/>
        <v>0</v>
      </c>
      <c r="M372" s="582">
        <f t="shared" si="283"/>
        <v>0</v>
      </c>
      <c r="N372" s="582">
        <f t="shared" si="283"/>
        <v>0</v>
      </c>
      <c r="O372" s="583">
        <f t="shared" si="283"/>
        <v>0</v>
      </c>
      <c r="P372" s="581">
        <f t="shared" si="283"/>
        <v>0</v>
      </c>
      <c r="Q372" s="581">
        <f t="shared" si="283"/>
        <v>0</v>
      </c>
      <c r="R372" s="582">
        <f t="shared" si="283"/>
        <v>0</v>
      </c>
      <c r="S372" s="583">
        <f t="shared" si="283"/>
        <v>0</v>
      </c>
      <c r="T372" s="581">
        <f t="shared" si="283"/>
        <v>0</v>
      </c>
      <c r="U372" s="253"/>
      <c r="V372" s="585"/>
      <c r="W372" s="586">
        <v>131</v>
      </c>
      <c r="X372" s="586"/>
      <c r="Y372" s="586"/>
      <c r="Z372" s="586"/>
      <c r="AA372" s="586"/>
      <c r="AB372" s="586"/>
      <c r="AC372" s="587">
        <v>131</v>
      </c>
      <c r="AD372" s="585"/>
      <c r="AE372" s="586"/>
      <c r="AF372" s="586"/>
      <c r="AG372" s="586"/>
      <c r="AH372" s="588"/>
      <c r="AI372" s="588"/>
      <c r="AJ372" s="585"/>
      <c r="AK372" s="586"/>
      <c r="AL372" s="588"/>
      <c r="AM372" s="585"/>
    </row>
    <row r="373" spans="1:40">
      <c r="A373" s="436"/>
      <c r="B373" s="436" t="s">
        <v>59</v>
      </c>
      <c r="C373" s="456">
        <f t="shared" ref="C373:T373" si="284">SUM(C368:C372)</f>
        <v>0</v>
      </c>
      <c r="D373" s="456">
        <f t="shared" si="284"/>
        <v>1</v>
      </c>
      <c r="E373" s="456">
        <f t="shared" si="284"/>
        <v>0</v>
      </c>
      <c r="F373" s="456">
        <f t="shared" si="284"/>
        <v>0</v>
      </c>
      <c r="G373" s="456">
        <f t="shared" si="284"/>
        <v>1</v>
      </c>
      <c r="H373" s="456">
        <f t="shared" si="284"/>
        <v>0.99999999999999989</v>
      </c>
      <c r="I373" s="456">
        <f t="shared" si="284"/>
        <v>0</v>
      </c>
      <c r="J373" s="576">
        <f t="shared" si="284"/>
        <v>1</v>
      </c>
      <c r="K373" s="577">
        <f t="shared" si="284"/>
        <v>1</v>
      </c>
      <c r="L373" s="578">
        <f t="shared" si="284"/>
        <v>0</v>
      </c>
      <c r="M373" s="578">
        <f t="shared" si="284"/>
        <v>0</v>
      </c>
      <c r="N373" s="578">
        <f t="shared" si="284"/>
        <v>0</v>
      </c>
      <c r="O373" s="579">
        <f t="shared" si="284"/>
        <v>0</v>
      </c>
      <c r="P373" s="577">
        <f t="shared" si="284"/>
        <v>1</v>
      </c>
      <c r="Q373" s="578">
        <f t="shared" si="284"/>
        <v>0</v>
      </c>
      <c r="R373" s="578">
        <f t="shared" si="284"/>
        <v>0</v>
      </c>
      <c r="S373" s="579">
        <f t="shared" si="284"/>
        <v>0</v>
      </c>
      <c r="T373" s="577">
        <f t="shared" si="284"/>
        <v>0</v>
      </c>
      <c r="U373" s="253"/>
      <c r="V373" s="265"/>
      <c r="W373" s="266">
        <v>599</v>
      </c>
      <c r="X373" s="266"/>
      <c r="Y373" s="266"/>
      <c r="Z373" s="266">
        <v>140</v>
      </c>
      <c r="AA373" s="266">
        <v>58</v>
      </c>
      <c r="AB373" s="266"/>
      <c r="AC373" s="267">
        <v>797</v>
      </c>
      <c r="AD373" s="265">
        <v>86</v>
      </c>
      <c r="AE373" s="266"/>
      <c r="AF373" s="266"/>
      <c r="AG373" s="266"/>
      <c r="AH373" s="268"/>
      <c r="AI373" s="268">
        <v>86</v>
      </c>
      <c r="AJ373" s="265"/>
      <c r="AK373" s="266"/>
      <c r="AL373" s="268"/>
      <c r="AM373" s="265"/>
      <c r="AN373" s="563"/>
    </row>
    <row r="374" spans="1:40">
      <c r="A374" s="240" t="s">
        <v>170</v>
      </c>
      <c r="B374" s="240" t="s">
        <v>53</v>
      </c>
      <c r="C374" s="568">
        <f t="shared" ref="C374:T374" si="285">IF(V374&gt;0,(V374/V379),0)</f>
        <v>0</v>
      </c>
      <c r="D374" s="568">
        <f t="shared" si="285"/>
        <v>0</v>
      </c>
      <c r="E374" s="568">
        <f t="shared" si="285"/>
        <v>0</v>
      </c>
      <c r="F374" s="568">
        <f t="shared" si="285"/>
        <v>0.36099585062240663</v>
      </c>
      <c r="G374" s="568">
        <f t="shared" si="285"/>
        <v>0</v>
      </c>
      <c r="H374" s="568">
        <f t="shared" si="285"/>
        <v>0</v>
      </c>
      <c r="I374" s="568">
        <f t="shared" si="285"/>
        <v>0</v>
      </c>
      <c r="J374" s="569">
        <f t="shared" si="285"/>
        <v>0.36099585062240663</v>
      </c>
      <c r="K374" s="570">
        <f t="shared" si="285"/>
        <v>0</v>
      </c>
      <c r="L374" s="568">
        <f t="shared" si="285"/>
        <v>0</v>
      </c>
      <c r="M374" s="568">
        <f t="shared" si="285"/>
        <v>0</v>
      </c>
      <c r="N374" s="568">
        <f t="shared" si="285"/>
        <v>0</v>
      </c>
      <c r="O374" s="571">
        <f t="shared" si="285"/>
        <v>0</v>
      </c>
      <c r="P374" s="570">
        <f t="shared" si="285"/>
        <v>0</v>
      </c>
      <c r="Q374" s="568">
        <f t="shared" si="285"/>
        <v>0</v>
      </c>
      <c r="R374" s="568">
        <f t="shared" si="285"/>
        <v>0</v>
      </c>
      <c r="S374" s="571">
        <f t="shared" si="285"/>
        <v>0</v>
      </c>
      <c r="T374" s="570">
        <f t="shared" si="285"/>
        <v>0</v>
      </c>
      <c r="U374" s="253"/>
      <c r="V374" s="245"/>
      <c r="W374" s="246"/>
      <c r="X374" s="246"/>
      <c r="Y374" s="246">
        <v>87</v>
      </c>
      <c r="Z374" s="246"/>
      <c r="AA374" s="246"/>
      <c r="AB374" s="246"/>
      <c r="AC374" s="247">
        <v>87</v>
      </c>
      <c r="AD374" s="245"/>
      <c r="AE374" s="246"/>
      <c r="AF374" s="246"/>
      <c r="AG374" s="246"/>
      <c r="AH374" s="248"/>
      <c r="AI374" s="248"/>
      <c r="AJ374" s="245"/>
      <c r="AK374" s="246"/>
      <c r="AL374" s="248"/>
      <c r="AM374" s="245"/>
      <c r="AN374" s="563"/>
    </row>
    <row r="375" spans="1:40">
      <c r="A375" s="239"/>
      <c r="B375" s="239" t="s">
        <v>93</v>
      </c>
      <c r="C375" s="572">
        <f t="shared" ref="C375:T375" si="286">IF(V375&gt;0,(V375/V379),0)</f>
        <v>0</v>
      </c>
      <c r="D375" s="572">
        <f t="shared" si="286"/>
        <v>0</v>
      </c>
      <c r="E375" s="572">
        <f t="shared" si="286"/>
        <v>0</v>
      </c>
      <c r="F375" s="572">
        <f t="shared" si="286"/>
        <v>0.36929460580912865</v>
      </c>
      <c r="G375" s="572">
        <f t="shared" si="286"/>
        <v>0</v>
      </c>
      <c r="H375" s="572">
        <f t="shared" si="286"/>
        <v>0</v>
      </c>
      <c r="I375" s="572">
        <f t="shared" si="286"/>
        <v>0</v>
      </c>
      <c r="J375" s="573">
        <f t="shared" si="286"/>
        <v>0.36929460580912865</v>
      </c>
      <c r="K375" s="574">
        <f t="shared" si="286"/>
        <v>0</v>
      </c>
      <c r="L375" s="572">
        <f t="shared" si="286"/>
        <v>0</v>
      </c>
      <c r="M375" s="572">
        <f t="shared" si="286"/>
        <v>0</v>
      </c>
      <c r="N375" s="572">
        <f t="shared" si="286"/>
        <v>0</v>
      </c>
      <c r="O375" s="575">
        <f t="shared" si="286"/>
        <v>0</v>
      </c>
      <c r="P375" s="574">
        <f t="shared" si="286"/>
        <v>0</v>
      </c>
      <c r="Q375" s="572">
        <f t="shared" si="286"/>
        <v>0</v>
      </c>
      <c r="R375" s="572">
        <f t="shared" si="286"/>
        <v>0</v>
      </c>
      <c r="S375" s="575">
        <f t="shared" si="286"/>
        <v>0</v>
      </c>
      <c r="T375" s="574">
        <f t="shared" si="286"/>
        <v>0</v>
      </c>
      <c r="U375" s="253"/>
      <c r="V375" s="254"/>
      <c r="W375" s="255"/>
      <c r="X375" s="255"/>
      <c r="Y375" s="255">
        <v>89</v>
      </c>
      <c r="Z375" s="255"/>
      <c r="AA375" s="255"/>
      <c r="AB375" s="255"/>
      <c r="AC375" s="256">
        <v>89</v>
      </c>
      <c r="AD375" s="254"/>
      <c r="AE375" s="255"/>
      <c r="AF375" s="255"/>
      <c r="AG375" s="255"/>
      <c r="AH375" s="257"/>
      <c r="AI375" s="257"/>
      <c r="AJ375" s="254"/>
      <c r="AK375" s="255"/>
      <c r="AL375" s="257"/>
      <c r="AM375" s="254"/>
      <c r="AN375" s="563"/>
    </row>
    <row r="376" spans="1:40">
      <c r="A376" s="239"/>
      <c r="B376" s="239" t="s">
        <v>55</v>
      </c>
      <c r="C376" s="572">
        <f t="shared" ref="C376:T376" si="287">IF(V376&gt;0,(V376/V379),0)</f>
        <v>0</v>
      </c>
      <c r="D376" s="572">
        <f t="shared" si="287"/>
        <v>0</v>
      </c>
      <c r="E376" s="572">
        <f t="shared" si="287"/>
        <v>0</v>
      </c>
      <c r="F376" s="572">
        <f t="shared" si="287"/>
        <v>0.22821576763485477</v>
      </c>
      <c r="G376" s="572">
        <f t="shared" si="287"/>
        <v>0</v>
      </c>
      <c r="H376" s="572">
        <f t="shared" si="287"/>
        <v>0</v>
      </c>
      <c r="I376" s="572">
        <f t="shared" si="287"/>
        <v>0</v>
      </c>
      <c r="J376" s="573">
        <f t="shared" si="287"/>
        <v>0.22821576763485477</v>
      </c>
      <c r="K376" s="574">
        <f t="shared" si="287"/>
        <v>0</v>
      </c>
      <c r="L376" s="572">
        <f t="shared" si="287"/>
        <v>0</v>
      </c>
      <c r="M376" s="572">
        <f t="shared" si="287"/>
        <v>0</v>
      </c>
      <c r="N376" s="572">
        <f t="shared" si="287"/>
        <v>0</v>
      </c>
      <c r="O376" s="575">
        <f t="shared" si="287"/>
        <v>0</v>
      </c>
      <c r="P376" s="574">
        <f t="shared" si="287"/>
        <v>0</v>
      </c>
      <c r="Q376" s="572">
        <f t="shared" si="287"/>
        <v>0</v>
      </c>
      <c r="R376" s="572">
        <f t="shared" si="287"/>
        <v>0</v>
      </c>
      <c r="S376" s="575">
        <f t="shared" si="287"/>
        <v>0</v>
      </c>
      <c r="T376" s="574">
        <f t="shared" si="287"/>
        <v>0</v>
      </c>
      <c r="U376" s="253"/>
      <c r="V376" s="254"/>
      <c r="W376" s="255"/>
      <c r="X376" s="255"/>
      <c r="Y376" s="255">
        <v>55</v>
      </c>
      <c r="Z376" s="255"/>
      <c r="AA376" s="255"/>
      <c r="AB376" s="255"/>
      <c r="AC376" s="256">
        <v>55</v>
      </c>
      <c r="AD376" s="254"/>
      <c r="AE376" s="255"/>
      <c r="AF376" s="255"/>
      <c r="AG376" s="255"/>
      <c r="AH376" s="257"/>
      <c r="AI376" s="257"/>
      <c r="AJ376" s="254"/>
      <c r="AK376" s="255"/>
      <c r="AL376" s="257"/>
      <c r="AM376" s="254"/>
      <c r="AN376" s="563"/>
    </row>
    <row r="377" spans="1:40">
      <c r="A377" s="239"/>
      <c r="B377" s="239" t="s">
        <v>78</v>
      </c>
      <c r="C377" s="572">
        <f t="shared" ref="C377:T377" si="288">IF(V377&gt;0,(V377/V379),0)</f>
        <v>0</v>
      </c>
      <c r="D377" s="572">
        <f t="shared" si="288"/>
        <v>0</v>
      </c>
      <c r="E377" s="572">
        <f t="shared" si="288"/>
        <v>0</v>
      </c>
      <c r="F377" s="572">
        <f t="shared" si="288"/>
        <v>4.1493775933609957E-2</v>
      </c>
      <c r="G377" s="572">
        <f t="shared" si="288"/>
        <v>0</v>
      </c>
      <c r="H377" s="572">
        <f t="shared" si="288"/>
        <v>0</v>
      </c>
      <c r="I377" s="572">
        <f t="shared" si="288"/>
        <v>0</v>
      </c>
      <c r="J377" s="573">
        <f t="shared" si="288"/>
        <v>4.1493775933609957E-2</v>
      </c>
      <c r="K377" s="574">
        <f t="shared" si="288"/>
        <v>0</v>
      </c>
      <c r="L377" s="572">
        <f t="shared" si="288"/>
        <v>0</v>
      </c>
      <c r="M377" s="572">
        <f t="shared" si="288"/>
        <v>0</v>
      </c>
      <c r="N377" s="572">
        <f t="shared" si="288"/>
        <v>0</v>
      </c>
      <c r="O377" s="575">
        <f t="shared" si="288"/>
        <v>0</v>
      </c>
      <c r="P377" s="574">
        <f t="shared" si="288"/>
        <v>0</v>
      </c>
      <c r="Q377" s="572">
        <f t="shared" si="288"/>
        <v>0</v>
      </c>
      <c r="R377" s="572">
        <f t="shared" si="288"/>
        <v>0</v>
      </c>
      <c r="S377" s="575">
        <f t="shared" si="288"/>
        <v>0</v>
      </c>
      <c r="T377" s="574">
        <f t="shared" si="288"/>
        <v>0</v>
      </c>
      <c r="U377" s="253"/>
      <c r="V377" s="254"/>
      <c r="W377" s="255"/>
      <c r="X377" s="255"/>
      <c r="Y377" s="255">
        <v>10</v>
      </c>
      <c r="Z377" s="255"/>
      <c r="AA377" s="255"/>
      <c r="AB377" s="255"/>
      <c r="AC377" s="256">
        <v>10</v>
      </c>
      <c r="AD377" s="254"/>
      <c r="AE377" s="255"/>
      <c r="AF377" s="255"/>
      <c r="AG377" s="255"/>
      <c r="AH377" s="257"/>
      <c r="AI377" s="257"/>
      <c r="AJ377" s="254"/>
      <c r="AK377" s="255"/>
      <c r="AL377" s="257"/>
      <c r="AM377" s="254"/>
      <c r="AN377" s="563"/>
    </row>
    <row r="378" spans="1:40">
      <c r="A378" s="580"/>
      <c r="B378" s="580" t="s">
        <v>131</v>
      </c>
      <c r="C378" s="581">
        <f t="shared" ref="C378:T378" si="289">IF(V378&gt;0,(V378/V379),0)</f>
        <v>0</v>
      </c>
      <c r="D378" s="582">
        <f t="shared" si="289"/>
        <v>0</v>
      </c>
      <c r="E378" s="582">
        <f t="shared" si="289"/>
        <v>0</v>
      </c>
      <c r="F378" s="582">
        <f t="shared" si="289"/>
        <v>0</v>
      </c>
      <c r="G378" s="582">
        <f t="shared" si="289"/>
        <v>0</v>
      </c>
      <c r="H378" s="582">
        <f t="shared" si="289"/>
        <v>0</v>
      </c>
      <c r="I378" s="583">
        <f t="shared" si="289"/>
        <v>0</v>
      </c>
      <c r="J378" s="584">
        <f t="shared" si="289"/>
        <v>0</v>
      </c>
      <c r="K378" s="581">
        <f t="shared" si="289"/>
        <v>0</v>
      </c>
      <c r="L378" s="582">
        <f t="shared" si="289"/>
        <v>0</v>
      </c>
      <c r="M378" s="582">
        <f t="shared" si="289"/>
        <v>0</v>
      </c>
      <c r="N378" s="582">
        <f t="shared" si="289"/>
        <v>0</v>
      </c>
      <c r="O378" s="583">
        <f t="shared" si="289"/>
        <v>0</v>
      </c>
      <c r="P378" s="581">
        <f t="shared" si="289"/>
        <v>0</v>
      </c>
      <c r="Q378" s="581">
        <f t="shared" si="289"/>
        <v>0</v>
      </c>
      <c r="R378" s="582">
        <f t="shared" si="289"/>
        <v>0</v>
      </c>
      <c r="S378" s="583">
        <f t="shared" si="289"/>
        <v>0</v>
      </c>
      <c r="T378" s="581">
        <f t="shared" si="289"/>
        <v>0</v>
      </c>
      <c r="U378" s="253"/>
      <c r="V378" s="585"/>
      <c r="W378" s="586"/>
      <c r="X378" s="586"/>
      <c r="Y378" s="586"/>
      <c r="Z378" s="586"/>
      <c r="AA378" s="586"/>
      <c r="AB378" s="586"/>
      <c r="AC378" s="587"/>
      <c r="AD378" s="585"/>
      <c r="AE378" s="586"/>
      <c r="AF378" s="586"/>
      <c r="AG378" s="586"/>
      <c r="AH378" s="588"/>
      <c r="AI378" s="588"/>
      <c r="AJ378" s="585"/>
      <c r="AK378" s="586"/>
      <c r="AL378" s="588"/>
      <c r="AM378" s="585"/>
    </row>
    <row r="379" spans="1:40">
      <c r="A379" s="436"/>
      <c r="B379" s="436" t="s">
        <v>59</v>
      </c>
      <c r="C379" s="456">
        <f t="shared" ref="C379:T379" si="290">SUM(C374:C378)</f>
        <v>0</v>
      </c>
      <c r="D379" s="456">
        <f t="shared" si="290"/>
        <v>0</v>
      </c>
      <c r="E379" s="456">
        <f t="shared" si="290"/>
        <v>0</v>
      </c>
      <c r="F379" s="456">
        <f t="shared" si="290"/>
        <v>1</v>
      </c>
      <c r="G379" s="456">
        <f t="shared" si="290"/>
        <v>0</v>
      </c>
      <c r="H379" s="456">
        <f t="shared" si="290"/>
        <v>0</v>
      </c>
      <c r="I379" s="456">
        <f t="shared" si="290"/>
        <v>0</v>
      </c>
      <c r="J379" s="576">
        <f t="shared" si="290"/>
        <v>1</v>
      </c>
      <c r="K379" s="577">
        <f t="shared" si="290"/>
        <v>0</v>
      </c>
      <c r="L379" s="578">
        <f t="shared" si="290"/>
        <v>0</v>
      </c>
      <c r="M379" s="578">
        <f t="shared" si="290"/>
        <v>0</v>
      </c>
      <c r="N379" s="578">
        <f t="shared" si="290"/>
        <v>0</v>
      </c>
      <c r="O379" s="579">
        <f t="shared" si="290"/>
        <v>0</v>
      </c>
      <c r="P379" s="577">
        <f t="shared" si="290"/>
        <v>0</v>
      </c>
      <c r="Q379" s="578">
        <f t="shared" si="290"/>
        <v>0</v>
      </c>
      <c r="R379" s="578">
        <f t="shared" si="290"/>
        <v>0</v>
      </c>
      <c r="S379" s="579">
        <f t="shared" si="290"/>
        <v>0</v>
      </c>
      <c r="T379" s="577">
        <f t="shared" si="290"/>
        <v>0</v>
      </c>
      <c r="U379" s="253"/>
      <c r="V379" s="265"/>
      <c r="W379" s="266"/>
      <c r="X379" s="266"/>
      <c r="Y379" s="266">
        <v>241</v>
      </c>
      <c r="Z379" s="266"/>
      <c r="AA379" s="266"/>
      <c r="AB379" s="266"/>
      <c r="AC379" s="267">
        <v>241</v>
      </c>
      <c r="AD379" s="265"/>
      <c r="AE379" s="266"/>
      <c r="AF379" s="266"/>
      <c r="AG379" s="266"/>
      <c r="AH379" s="268"/>
      <c r="AI379" s="268"/>
      <c r="AJ379" s="265"/>
      <c r="AK379" s="266"/>
      <c r="AL379" s="268"/>
      <c r="AM379" s="265"/>
      <c r="AN379" s="563"/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362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G351" sqref="AG351:AG356"/>
    </sheetView>
  </sheetViews>
  <sheetFormatPr defaultColWidth="7.88671875" defaultRowHeight="15"/>
  <cols>
    <col min="1" max="1" width="5" style="500" customWidth="1"/>
    <col min="2" max="2" width="13.88671875" style="506" customWidth="1"/>
    <col min="3" max="3" width="5.5546875" style="500" bestFit="1" customWidth="1"/>
    <col min="4" max="4" width="5.21875" style="500" customWidth="1"/>
    <col min="5" max="5" width="5.109375" style="500" customWidth="1"/>
    <col min="6" max="6" width="4.6640625" style="500" customWidth="1"/>
    <col min="7" max="7" width="5.109375" style="500" customWidth="1"/>
    <col min="8" max="8" width="4.88671875" style="500" customWidth="1"/>
    <col min="9" max="9" width="6.21875" style="500" customWidth="1"/>
    <col min="10" max="10" width="5.21875" style="500" customWidth="1"/>
    <col min="11" max="13" width="4.33203125" style="500" customWidth="1"/>
    <col min="14" max="14" width="5.109375" style="500" customWidth="1"/>
    <col min="15" max="15" width="5.21875" style="500" customWidth="1"/>
    <col min="16" max="17" width="4.33203125" style="500" customWidth="1"/>
    <col min="18" max="18" width="5" style="500" customWidth="1"/>
    <col min="19" max="19" width="4.88671875" style="506" bestFit="1" customWidth="1"/>
    <col min="20" max="20" width="3.21875" style="507" customWidth="1"/>
    <col min="21" max="21" width="7.109375" style="209" customWidth="1"/>
    <col min="22" max="23" width="6" style="209" customWidth="1"/>
    <col min="24" max="24" width="6.44140625" style="209" customWidth="1"/>
    <col min="25" max="25" width="6.33203125" style="209" customWidth="1"/>
    <col min="26" max="26" width="7" style="209" customWidth="1"/>
    <col min="27" max="27" width="7.33203125" style="209" customWidth="1"/>
    <col min="28" max="28" width="5.6640625" style="209" customWidth="1"/>
    <col min="29" max="29" width="6.77734375" style="209" customWidth="1"/>
    <col min="30" max="30" width="6.109375" style="209" customWidth="1"/>
    <col min="31" max="31" width="7.109375" style="209" customWidth="1"/>
    <col min="32" max="32" width="5.33203125" style="209" customWidth="1"/>
    <col min="33" max="33" width="7.5546875" style="209" customWidth="1"/>
    <col min="34" max="34" width="6" style="209" customWidth="1"/>
    <col min="35" max="35" width="5.5546875" style="209" customWidth="1"/>
    <col min="36" max="36" width="5.6640625" style="209" customWidth="1"/>
    <col min="37" max="37" width="5.6640625" style="214" customWidth="1"/>
    <col min="38" max="38" width="4.77734375" style="209" customWidth="1"/>
    <col min="39" max="39" width="7.88671875" style="209" customWidth="1"/>
    <col min="40" max="16384" width="7.88671875" style="500"/>
  </cols>
  <sheetData>
    <row r="1" spans="1:39" ht="18">
      <c r="A1" s="203" t="s">
        <v>132</v>
      </c>
      <c r="B1" s="497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7"/>
      <c r="T1" s="499" t="s">
        <v>86</v>
      </c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8"/>
    </row>
    <row r="2" spans="1:39" ht="18">
      <c r="A2" s="203" t="s">
        <v>133</v>
      </c>
      <c r="B2" s="497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7"/>
      <c r="T2" s="499" t="s">
        <v>86</v>
      </c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  <c r="AK2" s="208"/>
    </row>
    <row r="3" spans="1:39" s="504" customFormat="1" ht="18.75" customHeight="1">
      <c r="A3" s="143" t="s">
        <v>92</v>
      </c>
      <c r="B3" s="501"/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  <c r="N3" s="502"/>
      <c r="O3" s="502"/>
      <c r="P3" s="502"/>
      <c r="Q3" s="502"/>
      <c r="R3" s="502"/>
      <c r="S3" s="501"/>
      <c r="T3" s="503" t="s">
        <v>86</v>
      </c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2"/>
      <c r="AL3" s="64"/>
      <c r="AM3" s="64"/>
    </row>
    <row r="4" spans="1:39" s="504" customFormat="1" ht="15.75" customHeight="1">
      <c r="A4" s="81"/>
      <c r="B4" s="501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1"/>
      <c r="T4" s="503" t="s">
        <v>86</v>
      </c>
      <c r="U4" s="432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2"/>
      <c r="AL4" s="64"/>
      <c r="AM4" s="64"/>
    </row>
    <row r="5" spans="1:39" ht="15.75" customHeight="1">
      <c r="A5" s="505"/>
      <c r="T5" s="507" t="s">
        <v>86</v>
      </c>
    </row>
    <row r="6" spans="1:39">
      <c r="A6" s="508"/>
      <c r="B6" s="509"/>
      <c r="C6" s="87" t="s">
        <v>95</v>
      </c>
      <c r="D6" s="510"/>
      <c r="E6" s="510"/>
      <c r="F6" s="510"/>
      <c r="G6" s="510"/>
      <c r="H6" s="510"/>
      <c r="I6" s="510"/>
      <c r="J6" s="510"/>
      <c r="K6" s="510"/>
      <c r="L6" s="510"/>
      <c r="M6" s="510"/>
      <c r="N6" s="510"/>
      <c r="O6" s="510"/>
      <c r="P6" s="510"/>
      <c r="Q6" s="510"/>
      <c r="R6" s="510"/>
      <c r="S6" s="510"/>
      <c r="T6" s="511"/>
      <c r="U6" s="87" t="s">
        <v>52</v>
      </c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</row>
    <row r="7" spans="1:39">
      <c r="A7" s="512"/>
      <c r="B7" s="513"/>
      <c r="C7" s="90" t="s">
        <v>96</v>
      </c>
      <c r="D7" s="514"/>
      <c r="E7" s="514"/>
      <c r="F7" s="514"/>
      <c r="G7" s="514"/>
      <c r="H7" s="514"/>
      <c r="I7" s="514"/>
      <c r="J7" s="515" t="s">
        <v>97</v>
      </c>
      <c r="K7" s="516"/>
      <c r="L7" s="516"/>
      <c r="M7" s="516"/>
      <c r="N7" s="517"/>
      <c r="O7" s="518"/>
      <c r="P7" s="515" t="s">
        <v>110</v>
      </c>
      <c r="Q7" s="516"/>
      <c r="R7" s="516"/>
      <c r="S7" s="514"/>
      <c r="U7" s="90" t="s">
        <v>96</v>
      </c>
      <c r="V7" s="223"/>
      <c r="W7" s="223"/>
      <c r="X7" s="223"/>
      <c r="Y7" s="223"/>
      <c r="Z7" s="223"/>
      <c r="AA7" s="223"/>
      <c r="AB7" s="224" t="s">
        <v>97</v>
      </c>
      <c r="AC7" s="225"/>
      <c r="AD7" s="225"/>
      <c r="AE7" s="225"/>
      <c r="AF7" s="226"/>
      <c r="AG7" s="227"/>
      <c r="AH7" s="224" t="s">
        <v>110</v>
      </c>
      <c r="AI7" s="225"/>
      <c r="AJ7" s="225"/>
      <c r="AK7" s="223"/>
    </row>
    <row r="8" spans="1:39" ht="41.25" customHeight="1">
      <c r="A8" s="519"/>
      <c r="B8" s="520"/>
      <c r="C8" s="521">
        <v>1</v>
      </c>
      <c r="D8" s="522">
        <v>2</v>
      </c>
      <c r="E8" s="522">
        <v>3</v>
      </c>
      <c r="F8" s="522">
        <v>4</v>
      </c>
      <c r="G8" s="522">
        <v>5</v>
      </c>
      <c r="H8" s="522">
        <v>6</v>
      </c>
      <c r="I8" s="528" t="s">
        <v>119</v>
      </c>
      <c r="J8" s="524" t="s">
        <v>111</v>
      </c>
      <c r="K8" s="522">
        <v>1</v>
      </c>
      <c r="L8" s="522">
        <v>2</v>
      </c>
      <c r="M8" s="522">
        <v>3</v>
      </c>
      <c r="N8" s="524" t="s">
        <v>120</v>
      </c>
      <c r="O8" s="523" t="s">
        <v>121</v>
      </c>
      <c r="P8" s="524">
        <v>1</v>
      </c>
      <c r="Q8" s="524">
        <v>2</v>
      </c>
      <c r="R8" s="524" t="s">
        <v>120</v>
      </c>
      <c r="S8" s="525" t="s">
        <v>113</v>
      </c>
      <c r="T8" s="526"/>
      <c r="U8" s="235">
        <v>1</v>
      </c>
      <c r="V8" s="236">
        <v>2</v>
      </c>
      <c r="W8" s="236">
        <v>3</v>
      </c>
      <c r="X8" s="236">
        <v>4</v>
      </c>
      <c r="Y8" s="236">
        <v>5</v>
      </c>
      <c r="Z8" s="236">
        <v>6</v>
      </c>
      <c r="AA8" s="341" t="s">
        <v>98</v>
      </c>
      <c r="AB8" s="237" t="s">
        <v>111</v>
      </c>
      <c r="AC8" s="236">
        <v>1</v>
      </c>
      <c r="AD8" s="236">
        <v>2</v>
      </c>
      <c r="AE8" s="236">
        <v>3</v>
      </c>
      <c r="AF8" s="237" t="s">
        <v>114</v>
      </c>
      <c r="AG8" s="341" t="s">
        <v>113</v>
      </c>
      <c r="AH8" s="237">
        <v>1</v>
      </c>
      <c r="AI8" s="237">
        <v>2</v>
      </c>
      <c r="AJ8" s="237" t="s">
        <v>114</v>
      </c>
      <c r="AK8" s="238" t="s">
        <v>113</v>
      </c>
    </row>
    <row r="9" spans="1:39">
      <c r="A9" s="239" t="s">
        <v>128</v>
      </c>
      <c r="B9" s="240" t="s">
        <v>53</v>
      </c>
      <c r="C9" s="449">
        <f>+U9/U$15</f>
        <v>0.34864363347176813</v>
      </c>
      <c r="D9" s="449">
        <f t="shared" ref="D9:O15" si="0">+V9/V$15</f>
        <v>0.28045094355036354</v>
      </c>
      <c r="E9" s="449">
        <f t="shared" si="0"/>
        <v>0.27782920438677688</v>
      </c>
      <c r="F9" s="449">
        <f t="shared" si="0"/>
        <v>0.25961578016372538</v>
      </c>
      <c r="G9" s="449">
        <f t="shared" si="0"/>
        <v>0.24444265463917525</v>
      </c>
      <c r="H9" s="449">
        <f t="shared" si="0"/>
        <v>0.20119327073552426</v>
      </c>
      <c r="I9" s="459">
        <f t="shared" si="0"/>
        <v>0.30265677587219231</v>
      </c>
      <c r="J9" s="450">
        <f t="shared" si="0"/>
        <v>0.33024118738404451</v>
      </c>
      <c r="K9" s="449">
        <f t="shared" si="0"/>
        <v>0.14084460519579184</v>
      </c>
      <c r="L9" s="449">
        <f t="shared" si="0"/>
        <v>0.12897544804723921</v>
      </c>
      <c r="M9" s="449">
        <f t="shared" si="0"/>
        <v>0.11210096510764662</v>
      </c>
      <c r="N9" s="451">
        <f t="shared" si="0"/>
        <v>9.1603053435114504E-2</v>
      </c>
      <c r="O9" s="450">
        <f t="shared" si="0"/>
        <v>0.13878064760853823</v>
      </c>
      <c r="P9" s="494">
        <f>+AH9/$AH$15</f>
        <v>3.4949759720401923E-3</v>
      </c>
      <c r="Q9" s="449">
        <f>+AI9/$AI$15</f>
        <v>0</v>
      </c>
      <c r="R9" s="451">
        <f>+AJ9/$AJ$15</f>
        <v>0</v>
      </c>
      <c r="S9" s="450">
        <f>+AK9/$AK$15</f>
        <v>2.5157232704402514E-3</v>
      </c>
      <c r="T9" s="244"/>
      <c r="U9" s="534">
        <v>39456</v>
      </c>
      <c r="V9" s="246">
        <v>10299</v>
      </c>
      <c r="W9" s="246">
        <v>17708</v>
      </c>
      <c r="X9" s="246">
        <v>6311</v>
      </c>
      <c r="Y9" s="246">
        <v>3035</v>
      </c>
      <c r="Z9" s="246">
        <v>2057</v>
      </c>
      <c r="AA9" s="535">
        <f>SUM(U9:Z9)</f>
        <v>78866</v>
      </c>
      <c r="AB9" s="245">
        <v>1068</v>
      </c>
      <c r="AC9" s="246">
        <v>8528</v>
      </c>
      <c r="AD9" s="246">
        <v>4980</v>
      </c>
      <c r="AE9" s="246">
        <v>1510</v>
      </c>
      <c r="AF9" s="248">
        <v>12</v>
      </c>
      <c r="AG9" s="538">
        <f>SUM(AB9:AF9)</f>
        <v>16098</v>
      </c>
      <c r="AH9" s="245">
        <v>8</v>
      </c>
      <c r="AI9" s="246"/>
      <c r="AJ9" s="248"/>
      <c r="AK9" s="541">
        <f>SUM(AH9:AJ9)</f>
        <v>8</v>
      </c>
    </row>
    <row r="10" spans="1:39">
      <c r="A10" s="249"/>
      <c r="B10" s="239" t="s">
        <v>93</v>
      </c>
      <c r="C10" s="452">
        <f t="shared" ref="C10:C15" si="1">+U10/U$15</f>
        <v>0.25465229301051517</v>
      </c>
      <c r="D10" s="452">
        <f t="shared" si="0"/>
        <v>0.27696538953789179</v>
      </c>
      <c r="E10" s="452">
        <f t="shared" si="0"/>
        <v>0.25037262500588353</v>
      </c>
      <c r="F10" s="452">
        <f t="shared" si="0"/>
        <v>0.26422312723682589</v>
      </c>
      <c r="G10" s="452">
        <f t="shared" si="0"/>
        <v>0.25056378865979384</v>
      </c>
      <c r="H10" s="452">
        <f t="shared" si="0"/>
        <v>0.25264084507042256</v>
      </c>
      <c r="I10" s="460">
        <f t="shared" si="0"/>
        <v>0.25736916635646001</v>
      </c>
      <c r="J10" s="453">
        <f t="shared" si="0"/>
        <v>0.20624613481756338</v>
      </c>
      <c r="K10" s="452">
        <f t="shared" si="0"/>
        <v>9.5030471188624094E-2</v>
      </c>
      <c r="L10" s="452">
        <f t="shared" si="0"/>
        <v>9.4193514969439548E-2</v>
      </c>
      <c r="M10" s="452">
        <f t="shared" si="0"/>
        <v>9.1017074981440238E-2</v>
      </c>
      <c r="N10" s="454">
        <f t="shared" si="0"/>
        <v>0.16030534351145037</v>
      </c>
      <c r="O10" s="453">
        <f t="shared" si="0"/>
        <v>9.746025725025001E-2</v>
      </c>
      <c r="P10" s="452">
        <f t="shared" ref="P10:P15" si="2">+AH10/$AH$15</f>
        <v>1.4416775884665793E-2</v>
      </c>
      <c r="Q10" s="452">
        <f t="shared" ref="Q10:Q15" si="3">+AI10/$AI$15</f>
        <v>2.6392961876832845E-2</v>
      </c>
      <c r="R10" s="454">
        <f t="shared" ref="R10:R15" si="4">+AJ10/$AJ$15</f>
        <v>0</v>
      </c>
      <c r="S10" s="453">
        <f t="shared" ref="S10:S15" si="5">+AK10/$AK$15</f>
        <v>1.3207547169811321E-2</v>
      </c>
      <c r="T10" s="253"/>
      <c r="U10" s="254">
        <v>28819</v>
      </c>
      <c r="V10" s="255">
        <v>10171</v>
      </c>
      <c r="W10" s="255">
        <v>15958</v>
      </c>
      <c r="X10" s="255">
        <v>6423</v>
      </c>
      <c r="Y10" s="255">
        <v>3111</v>
      </c>
      <c r="Z10" s="255">
        <v>2583</v>
      </c>
      <c r="AA10" s="536">
        <f t="shared" ref="AA10:AA15" si="6">SUM(U10:Z10)</f>
        <v>67065</v>
      </c>
      <c r="AB10" s="254">
        <v>667</v>
      </c>
      <c r="AC10" s="255">
        <v>5754</v>
      </c>
      <c r="AD10" s="255">
        <v>3637</v>
      </c>
      <c r="AE10" s="255">
        <v>1226</v>
      </c>
      <c r="AF10" s="257">
        <v>21</v>
      </c>
      <c r="AG10" s="539">
        <f t="shared" ref="AG10:AG15" si="7">SUM(AB10:AF10)</f>
        <v>11305</v>
      </c>
      <c r="AH10" s="254">
        <v>33</v>
      </c>
      <c r="AI10" s="255">
        <v>9</v>
      </c>
      <c r="AJ10" s="257"/>
      <c r="AK10" s="542">
        <f t="shared" ref="AK10:AK15" si="8">SUM(AH10:AJ10)</f>
        <v>42</v>
      </c>
    </row>
    <row r="11" spans="1:39">
      <c r="A11" s="249"/>
      <c r="B11" s="239" t="s">
        <v>55</v>
      </c>
      <c r="C11" s="452">
        <f t="shared" si="1"/>
        <v>0.24385437836882565</v>
      </c>
      <c r="D11" s="452">
        <f t="shared" si="0"/>
        <v>0.25940146502192085</v>
      </c>
      <c r="E11" s="452">
        <f t="shared" si="0"/>
        <v>0.28994147826223388</v>
      </c>
      <c r="F11" s="452">
        <f t="shared" si="0"/>
        <v>0.31264140853181949</v>
      </c>
      <c r="G11" s="452">
        <f t="shared" si="0"/>
        <v>0.32683634020618557</v>
      </c>
      <c r="H11" s="452">
        <f t="shared" si="0"/>
        <v>0.35250391236306727</v>
      </c>
      <c r="I11" s="460">
        <f t="shared" si="0"/>
        <v>0.27195207595393334</v>
      </c>
      <c r="J11" s="453">
        <f t="shared" si="0"/>
        <v>0.22016079158936303</v>
      </c>
      <c r="K11" s="452">
        <f t="shared" si="0"/>
        <v>0.11240482914664156</v>
      </c>
      <c r="L11" s="452">
        <f t="shared" si="0"/>
        <v>0.10898166373148244</v>
      </c>
      <c r="M11" s="452">
        <f t="shared" si="0"/>
        <v>0.1008166295471418</v>
      </c>
      <c r="N11" s="454">
        <f t="shared" si="0"/>
        <v>0.29770992366412213</v>
      </c>
      <c r="O11" s="453">
        <f t="shared" si="0"/>
        <v>0.11313321149005139</v>
      </c>
      <c r="P11" s="452">
        <f t="shared" si="2"/>
        <v>1.7038007863695939E-2</v>
      </c>
      <c r="Q11" s="452">
        <f t="shared" si="3"/>
        <v>4.1055718475073312E-2</v>
      </c>
      <c r="R11" s="454">
        <f t="shared" si="4"/>
        <v>0</v>
      </c>
      <c r="S11" s="453">
        <f t="shared" si="5"/>
        <v>1.6666666666666666E-2</v>
      </c>
      <c r="T11" s="253"/>
      <c r="U11" s="254">
        <v>27597</v>
      </c>
      <c r="V11" s="255">
        <v>9526</v>
      </c>
      <c r="W11" s="255">
        <v>18480</v>
      </c>
      <c r="X11" s="255">
        <v>7600</v>
      </c>
      <c r="Y11" s="255">
        <v>4058</v>
      </c>
      <c r="Z11" s="255">
        <v>3604</v>
      </c>
      <c r="AA11" s="536">
        <f t="shared" si="6"/>
        <v>70865</v>
      </c>
      <c r="AB11" s="254">
        <v>712</v>
      </c>
      <c r="AC11" s="255">
        <v>6806</v>
      </c>
      <c r="AD11" s="255">
        <v>4208</v>
      </c>
      <c r="AE11" s="255">
        <v>1358</v>
      </c>
      <c r="AF11" s="257">
        <v>39</v>
      </c>
      <c r="AG11" s="539">
        <f t="shared" si="7"/>
        <v>13123</v>
      </c>
      <c r="AH11" s="254">
        <v>39</v>
      </c>
      <c r="AI11" s="255">
        <v>14</v>
      </c>
      <c r="AJ11" s="257"/>
      <c r="AK11" s="542">
        <f t="shared" si="8"/>
        <v>53</v>
      </c>
    </row>
    <row r="12" spans="1:39">
      <c r="A12" s="249"/>
      <c r="B12" s="239" t="s">
        <v>78</v>
      </c>
      <c r="C12" s="452">
        <f t="shared" si="1"/>
        <v>4.9562604930635329E-2</v>
      </c>
      <c r="D12" s="452">
        <f t="shared" si="0"/>
        <v>8.7656237235519976E-2</v>
      </c>
      <c r="E12" s="452">
        <f t="shared" si="0"/>
        <v>8.8880869824434786E-2</v>
      </c>
      <c r="F12" s="452">
        <f t="shared" si="0"/>
        <v>7.717306347443334E-2</v>
      </c>
      <c r="G12" s="452">
        <f t="shared" si="0"/>
        <v>8.4971005154639179E-2</v>
      </c>
      <c r="H12" s="452">
        <f t="shared" si="0"/>
        <v>0.1225547730829421</v>
      </c>
      <c r="I12" s="460">
        <f t="shared" si="0"/>
        <v>7.1675000671581363E-2</v>
      </c>
      <c r="J12" s="453">
        <f t="shared" si="0"/>
        <v>0.17501546072974644</v>
      </c>
      <c r="K12" s="452">
        <f t="shared" si="0"/>
        <v>0.45100662273530528</v>
      </c>
      <c r="L12" s="452">
        <f t="shared" si="0"/>
        <v>0.34054180047653582</v>
      </c>
      <c r="M12" s="452">
        <f t="shared" si="0"/>
        <v>0.43066072754268747</v>
      </c>
      <c r="N12" s="454">
        <f t="shared" si="0"/>
        <v>0.45038167938931295</v>
      </c>
      <c r="O12" s="453">
        <f t="shared" si="0"/>
        <v>0.4041777302665609</v>
      </c>
      <c r="P12" s="452">
        <f t="shared" si="2"/>
        <v>7.8636959370904327E-2</v>
      </c>
      <c r="Q12" s="452">
        <f t="shared" si="3"/>
        <v>0.17595307917888564</v>
      </c>
      <c r="R12" s="454">
        <f t="shared" si="4"/>
        <v>0.98909090909090913</v>
      </c>
      <c r="S12" s="453">
        <f t="shared" si="5"/>
        <v>0.24654088050314465</v>
      </c>
      <c r="T12" s="253"/>
      <c r="U12" s="254">
        <v>5609</v>
      </c>
      <c r="V12" s="255">
        <v>3219</v>
      </c>
      <c r="W12" s="255">
        <v>5665</v>
      </c>
      <c r="X12" s="255">
        <v>1876</v>
      </c>
      <c r="Y12" s="255">
        <v>1055</v>
      </c>
      <c r="Z12" s="255">
        <v>1253</v>
      </c>
      <c r="AA12" s="536">
        <f t="shared" si="6"/>
        <v>18677</v>
      </c>
      <c r="AB12" s="254">
        <v>566</v>
      </c>
      <c r="AC12" s="255">
        <v>27308</v>
      </c>
      <c r="AD12" s="255">
        <v>13149</v>
      </c>
      <c r="AE12" s="255">
        <v>5801</v>
      </c>
      <c r="AF12" s="257">
        <v>59</v>
      </c>
      <c r="AG12" s="539">
        <f t="shared" si="7"/>
        <v>46883</v>
      </c>
      <c r="AH12" s="254">
        <v>180</v>
      </c>
      <c r="AI12" s="255">
        <v>60</v>
      </c>
      <c r="AJ12" s="257">
        <v>544</v>
      </c>
      <c r="AK12" s="542">
        <f t="shared" si="8"/>
        <v>784</v>
      </c>
    </row>
    <row r="13" spans="1:39">
      <c r="A13" s="249"/>
      <c r="B13" s="239" t="s">
        <v>131</v>
      </c>
      <c r="C13" s="452">
        <f t="shared" si="1"/>
        <v>0.10328709021825572</v>
      </c>
      <c r="D13" s="452">
        <f t="shared" si="0"/>
        <v>9.5525964654303838E-2</v>
      </c>
      <c r="E13" s="452">
        <f t="shared" si="0"/>
        <v>9.2975822520670881E-2</v>
      </c>
      <c r="F13" s="452">
        <f t="shared" si="0"/>
        <v>8.6346620593195936E-2</v>
      </c>
      <c r="G13" s="452">
        <f t="shared" si="0"/>
        <v>9.3186211340206188E-2</v>
      </c>
      <c r="H13" s="452">
        <f t="shared" si="0"/>
        <v>7.1107198748043818E-2</v>
      </c>
      <c r="I13" s="460">
        <f t="shared" si="0"/>
        <v>9.6346981145832927E-2</v>
      </c>
      <c r="J13" s="453">
        <f t="shared" si="0"/>
        <v>6.833642547928262E-2</v>
      </c>
      <c r="K13" s="452">
        <f t="shared" si="0"/>
        <v>0.20071347173363721</v>
      </c>
      <c r="L13" s="452">
        <f t="shared" si="0"/>
        <v>0.32730757277530304</v>
      </c>
      <c r="M13" s="452">
        <f t="shared" si="0"/>
        <v>0.26540460282108391</v>
      </c>
      <c r="N13" s="455">
        <f t="shared" si="0"/>
        <v>0</v>
      </c>
      <c r="O13" s="453">
        <f t="shared" si="0"/>
        <v>0.24644815338459947</v>
      </c>
      <c r="P13" s="452">
        <f t="shared" si="2"/>
        <v>0.88641328090869376</v>
      </c>
      <c r="Q13" s="452">
        <f t="shared" si="3"/>
        <v>0.75659824046920821</v>
      </c>
      <c r="R13" s="455">
        <f t="shared" si="4"/>
        <v>1.090909090909091E-2</v>
      </c>
      <c r="S13" s="453">
        <f t="shared" si="5"/>
        <v>0.72106918238993711</v>
      </c>
      <c r="T13" s="253"/>
      <c r="U13" s="534">
        <v>11689</v>
      </c>
      <c r="V13" s="255">
        <v>3508</v>
      </c>
      <c r="W13" s="255">
        <v>5926</v>
      </c>
      <c r="X13" s="255">
        <v>2099</v>
      </c>
      <c r="Y13" s="255">
        <v>1157</v>
      </c>
      <c r="Z13" s="255">
        <v>727</v>
      </c>
      <c r="AA13" s="536">
        <f t="shared" si="6"/>
        <v>25106</v>
      </c>
      <c r="AB13" s="254">
        <v>221</v>
      </c>
      <c r="AC13" s="255">
        <v>12153</v>
      </c>
      <c r="AD13" s="255">
        <v>12638</v>
      </c>
      <c r="AE13" s="255">
        <v>3575</v>
      </c>
      <c r="AF13" s="257">
        <v>0</v>
      </c>
      <c r="AG13" s="539">
        <f t="shared" si="7"/>
        <v>28587</v>
      </c>
      <c r="AH13" s="254">
        <v>2029</v>
      </c>
      <c r="AI13" s="255">
        <v>258</v>
      </c>
      <c r="AJ13" s="257">
        <v>6</v>
      </c>
      <c r="AK13" s="542">
        <f t="shared" si="8"/>
        <v>2293</v>
      </c>
    </row>
    <row r="14" spans="1:39">
      <c r="A14" s="249"/>
      <c r="B14" s="239" t="s">
        <v>58</v>
      </c>
      <c r="C14" s="452">
        <f t="shared" si="1"/>
        <v>0</v>
      </c>
      <c r="D14" s="452">
        <f t="shared" si="0"/>
        <v>0</v>
      </c>
      <c r="E14" s="452">
        <f t="shared" si="0"/>
        <v>0</v>
      </c>
      <c r="F14" s="452">
        <f t="shared" si="0"/>
        <v>0</v>
      </c>
      <c r="G14" s="452">
        <f t="shared" si="0"/>
        <v>0</v>
      </c>
      <c r="H14" s="452">
        <f t="shared" si="0"/>
        <v>0</v>
      </c>
      <c r="I14" s="481">
        <f t="shared" si="0"/>
        <v>0</v>
      </c>
      <c r="J14" s="453">
        <f t="shared" si="0"/>
        <v>0</v>
      </c>
      <c r="K14" s="452">
        <f t="shared" si="0"/>
        <v>0</v>
      </c>
      <c r="L14" s="452">
        <f t="shared" si="0"/>
        <v>0</v>
      </c>
      <c r="M14" s="452">
        <f t="shared" si="0"/>
        <v>0</v>
      </c>
      <c r="N14" s="454">
        <f t="shared" si="0"/>
        <v>0</v>
      </c>
      <c r="O14" s="453">
        <f t="shared" si="0"/>
        <v>0</v>
      </c>
      <c r="P14" s="452">
        <f t="shared" si="2"/>
        <v>0</v>
      </c>
      <c r="Q14" s="452">
        <f t="shared" si="3"/>
        <v>0</v>
      </c>
      <c r="R14" s="454">
        <f t="shared" si="4"/>
        <v>0</v>
      </c>
      <c r="S14" s="453">
        <f t="shared" si="5"/>
        <v>0</v>
      </c>
      <c r="T14" s="253"/>
      <c r="U14" s="254"/>
      <c r="V14" s="255"/>
      <c r="W14" s="255"/>
      <c r="X14" s="255"/>
      <c r="Y14" s="255"/>
      <c r="Z14" s="255"/>
      <c r="AA14" s="536"/>
      <c r="AB14" s="254"/>
      <c r="AC14" s="255"/>
      <c r="AD14" s="255"/>
      <c r="AE14" s="255"/>
      <c r="AF14" s="257"/>
      <c r="AG14" s="539">
        <f t="shared" si="7"/>
        <v>0</v>
      </c>
      <c r="AH14" s="254"/>
      <c r="AI14" s="255"/>
      <c r="AJ14" s="257"/>
      <c r="AK14" s="542">
        <f t="shared" si="8"/>
        <v>0</v>
      </c>
    </row>
    <row r="15" spans="1:39" s="527" customFormat="1">
      <c r="A15" s="435" t="s">
        <v>86</v>
      </c>
      <c r="B15" s="436" t="s">
        <v>59</v>
      </c>
      <c r="C15" s="456">
        <f t="shared" si="1"/>
        <v>1</v>
      </c>
      <c r="D15" s="456">
        <f t="shared" si="0"/>
        <v>1</v>
      </c>
      <c r="E15" s="456">
        <f t="shared" si="0"/>
        <v>1</v>
      </c>
      <c r="F15" s="456">
        <f t="shared" si="0"/>
        <v>1</v>
      </c>
      <c r="G15" s="456">
        <f t="shared" si="0"/>
        <v>1</v>
      </c>
      <c r="H15" s="456">
        <f t="shared" si="0"/>
        <v>1</v>
      </c>
      <c r="I15" s="461">
        <f t="shared" si="0"/>
        <v>1</v>
      </c>
      <c r="J15" s="457">
        <f t="shared" si="0"/>
        <v>1</v>
      </c>
      <c r="K15" s="456">
        <f t="shared" si="0"/>
        <v>1</v>
      </c>
      <c r="L15" s="456">
        <f t="shared" si="0"/>
        <v>1</v>
      </c>
      <c r="M15" s="456">
        <f t="shared" si="0"/>
        <v>1</v>
      </c>
      <c r="N15" s="458">
        <f t="shared" si="0"/>
        <v>1</v>
      </c>
      <c r="O15" s="457">
        <f t="shared" si="0"/>
        <v>1</v>
      </c>
      <c r="P15" s="456">
        <f t="shared" si="2"/>
        <v>1</v>
      </c>
      <c r="Q15" s="456">
        <f t="shared" si="3"/>
        <v>1</v>
      </c>
      <c r="R15" s="458">
        <f t="shared" si="4"/>
        <v>1</v>
      </c>
      <c r="S15" s="457">
        <f t="shared" si="5"/>
        <v>1</v>
      </c>
      <c r="T15" s="264"/>
      <c r="U15" s="265">
        <v>113170</v>
      </c>
      <c r="V15" s="266">
        <v>36723</v>
      </c>
      <c r="W15" s="266">
        <v>63737</v>
      </c>
      <c r="X15" s="266">
        <v>24309</v>
      </c>
      <c r="Y15" s="266">
        <v>12416</v>
      </c>
      <c r="Z15" s="266">
        <v>10224</v>
      </c>
      <c r="AA15" s="537">
        <f t="shared" si="6"/>
        <v>260579</v>
      </c>
      <c r="AB15" s="265">
        <v>3234</v>
      </c>
      <c r="AC15" s="266">
        <v>60549</v>
      </c>
      <c r="AD15" s="266">
        <v>38612</v>
      </c>
      <c r="AE15" s="266">
        <v>13470</v>
      </c>
      <c r="AF15" s="268">
        <v>131</v>
      </c>
      <c r="AG15" s="540">
        <f t="shared" si="7"/>
        <v>115996</v>
      </c>
      <c r="AH15" s="265">
        <v>2289</v>
      </c>
      <c r="AI15" s="266">
        <v>341</v>
      </c>
      <c r="AJ15" s="268">
        <v>550</v>
      </c>
      <c r="AK15" s="543">
        <f t="shared" si="8"/>
        <v>3180</v>
      </c>
      <c r="AL15" s="270"/>
      <c r="AM15" s="270"/>
    </row>
    <row r="16" spans="1:39">
      <c r="A16" s="239" t="s">
        <v>3</v>
      </c>
      <c r="B16" s="240" t="s">
        <v>53</v>
      </c>
      <c r="C16" s="241">
        <v>0.3311619749108245</v>
      </c>
      <c r="D16" s="242">
        <v>0.2536887584576506</v>
      </c>
      <c r="E16" s="242">
        <v>0.23403377898191216</v>
      </c>
      <c r="F16" s="242">
        <v>0.21593699720465764</v>
      </c>
      <c r="G16" s="242">
        <v>0.19796378882757404</v>
      </c>
      <c r="H16" s="243">
        <v>0.20238095185428309</v>
      </c>
      <c r="I16" s="546">
        <v>0.27390453176898066</v>
      </c>
      <c r="J16" s="241">
        <v>4.8426150121065374E-2</v>
      </c>
      <c r="K16" s="242">
        <v>0.12524976850723721</v>
      </c>
      <c r="L16" s="242">
        <v>9.8772762652547558E-2</v>
      </c>
      <c r="M16" s="242">
        <v>6.8067225190333799E-2</v>
      </c>
      <c r="N16" s="243">
        <v>0.19889502762430938</v>
      </c>
      <c r="O16" s="241">
        <v>0.11087105488899961</v>
      </c>
      <c r="P16" s="342">
        <v>3.1821797931583136E-3</v>
      </c>
      <c r="Q16" s="433">
        <v>0</v>
      </c>
      <c r="R16" s="243">
        <v>0</v>
      </c>
      <c r="S16" s="342">
        <v>1.8948365703458077E-3</v>
      </c>
      <c r="T16" s="244"/>
      <c r="U16" s="245">
        <v>14438</v>
      </c>
      <c r="V16" s="246">
        <v>3112</v>
      </c>
      <c r="W16" s="246">
        <v>6237</v>
      </c>
      <c r="X16" s="246">
        <v>2111</v>
      </c>
      <c r="Y16" s="246">
        <v>1050</v>
      </c>
      <c r="Z16" s="246">
        <v>612</v>
      </c>
      <c r="AA16" s="247">
        <v>27560</v>
      </c>
      <c r="AB16" s="245">
        <v>80</v>
      </c>
      <c r="AC16" s="246">
        <v>2570</v>
      </c>
      <c r="AD16" s="246">
        <v>1464</v>
      </c>
      <c r="AE16" s="246">
        <v>324</v>
      </c>
      <c r="AF16" s="248">
        <v>432</v>
      </c>
      <c r="AG16" s="248">
        <v>4870</v>
      </c>
      <c r="AH16" s="245">
        <v>8</v>
      </c>
      <c r="AI16" s="246">
        <v>0</v>
      </c>
      <c r="AJ16" s="248">
        <v>0</v>
      </c>
      <c r="AK16" s="245">
        <v>8</v>
      </c>
    </row>
    <row r="17" spans="1:39">
      <c r="A17" s="249"/>
      <c r="B17" s="239" t="s">
        <v>93</v>
      </c>
      <c r="C17" s="250">
        <v>0.26088352283112048</v>
      </c>
      <c r="D17" s="251">
        <v>0.26974810467106874</v>
      </c>
      <c r="E17" s="251">
        <v>0.24097561786465285</v>
      </c>
      <c r="F17" s="251">
        <v>0.24590835683562148</v>
      </c>
      <c r="G17" s="251">
        <v>0.23642532494264559</v>
      </c>
      <c r="H17" s="252">
        <v>0.24140211577389978</v>
      </c>
      <c r="I17" s="547">
        <v>0.25336169188630708</v>
      </c>
      <c r="J17" s="250">
        <v>6.4164648910411626E-2</v>
      </c>
      <c r="K17" s="251">
        <v>9.7129489741215463E-2</v>
      </c>
      <c r="L17" s="251">
        <v>9.1351311906796032E-2</v>
      </c>
      <c r="M17" s="251">
        <v>8.0252098835517011E-2</v>
      </c>
      <c r="N17" s="252">
        <v>0.29281767955801102</v>
      </c>
      <c r="O17" s="250">
        <v>0.10178736887242654</v>
      </c>
      <c r="P17" s="250">
        <v>1.3126491646778043E-2</v>
      </c>
      <c r="Q17" s="251">
        <v>0</v>
      </c>
      <c r="R17" s="252">
        <v>0</v>
      </c>
      <c r="S17" s="250">
        <v>7.8162008526764561E-3</v>
      </c>
      <c r="T17" s="253"/>
      <c r="U17" s="254">
        <v>11374</v>
      </c>
      <c r="V17" s="255">
        <v>3309</v>
      </c>
      <c r="W17" s="255">
        <v>6422</v>
      </c>
      <c r="X17" s="255">
        <v>2404</v>
      </c>
      <c r="Y17" s="255">
        <v>1254</v>
      </c>
      <c r="Z17" s="255">
        <v>730</v>
      </c>
      <c r="AA17" s="256">
        <v>25493</v>
      </c>
      <c r="AB17" s="254">
        <v>106</v>
      </c>
      <c r="AC17" s="255">
        <v>1993</v>
      </c>
      <c r="AD17" s="255">
        <v>1354</v>
      </c>
      <c r="AE17" s="255">
        <v>382</v>
      </c>
      <c r="AF17" s="257">
        <v>636</v>
      </c>
      <c r="AG17" s="257">
        <v>4471</v>
      </c>
      <c r="AH17" s="254">
        <v>33</v>
      </c>
      <c r="AI17" s="255">
        <v>0</v>
      </c>
      <c r="AJ17" s="257">
        <v>0</v>
      </c>
      <c r="AK17" s="254">
        <v>33</v>
      </c>
    </row>
    <row r="18" spans="1:39">
      <c r="A18" s="249"/>
      <c r="B18" s="239" t="s">
        <v>55</v>
      </c>
      <c r="C18" s="250">
        <v>0.25024084804785762</v>
      </c>
      <c r="D18" s="251">
        <v>0.27341648324773782</v>
      </c>
      <c r="E18" s="251">
        <v>0.30348965761387631</v>
      </c>
      <c r="F18" s="251">
        <v>0.35055234710925087</v>
      </c>
      <c r="G18" s="251">
        <v>0.36727002351872517</v>
      </c>
      <c r="H18" s="252">
        <v>0.35515873183684304</v>
      </c>
      <c r="I18" s="547">
        <v>0.28623818350563673</v>
      </c>
      <c r="J18" s="250">
        <v>7.5665859564164648E-2</v>
      </c>
      <c r="K18" s="251">
        <v>8.1193040596520299E-2</v>
      </c>
      <c r="L18" s="251">
        <v>8.9327272535640947E-2</v>
      </c>
      <c r="M18" s="251">
        <v>8.8865568980007262E-2</v>
      </c>
      <c r="N18" s="252">
        <v>0.31767955801104975</v>
      </c>
      <c r="O18" s="250">
        <v>9.6255199420302112E-2</v>
      </c>
      <c r="P18" s="250">
        <v>1.5513126491646777E-2</v>
      </c>
      <c r="Q18" s="251">
        <v>0</v>
      </c>
      <c r="R18" s="252">
        <v>0</v>
      </c>
      <c r="S18" s="250">
        <v>9.237328280435813E-3</v>
      </c>
      <c r="T18" s="253"/>
      <c r="U18" s="254">
        <v>10910.000657798568</v>
      </c>
      <c r="V18" s="255">
        <v>3354</v>
      </c>
      <c r="W18" s="255">
        <v>8087.9991032578291</v>
      </c>
      <c r="X18" s="255">
        <v>3426.9996078822332</v>
      </c>
      <c r="Y18" s="255">
        <v>1948.0003235871952</v>
      </c>
      <c r="Z18" s="255">
        <v>1074.0000078695543</v>
      </c>
      <c r="AA18" s="256">
        <v>28800.999700395379</v>
      </c>
      <c r="AB18" s="254">
        <v>125</v>
      </c>
      <c r="AC18" s="255">
        <v>1666</v>
      </c>
      <c r="AD18" s="255">
        <v>1323.9998910651648</v>
      </c>
      <c r="AE18" s="255">
        <v>423.00011891201876</v>
      </c>
      <c r="AF18" s="257">
        <v>690</v>
      </c>
      <c r="AG18" s="257">
        <v>4228.0000099771842</v>
      </c>
      <c r="AH18" s="254">
        <v>39</v>
      </c>
      <c r="AI18" s="255">
        <v>0</v>
      </c>
      <c r="AJ18" s="257">
        <v>0</v>
      </c>
      <c r="AK18" s="254">
        <v>39</v>
      </c>
    </row>
    <row r="19" spans="1:39">
      <c r="A19" s="249"/>
      <c r="B19" s="239" t="s">
        <v>78</v>
      </c>
      <c r="C19" s="250">
        <v>6.3993760216179557E-2</v>
      </c>
      <c r="D19" s="251">
        <v>0.1082579277737018</v>
      </c>
      <c r="E19" s="251">
        <v>0.10840525693101559</v>
      </c>
      <c r="F19" s="251">
        <v>0.11129296682078044</v>
      </c>
      <c r="G19" s="251">
        <v>0.13027902674271777</v>
      </c>
      <c r="H19" s="252">
        <v>0.14153439116606728</v>
      </c>
      <c r="I19" s="547">
        <v>9.1573162399106955E-2</v>
      </c>
      <c r="J19" s="250">
        <v>4.8426150121065374E-2</v>
      </c>
      <c r="K19" s="251">
        <v>0.16565134753155611</v>
      </c>
      <c r="L19" s="251">
        <v>0.14667485382967102</v>
      </c>
      <c r="M19" s="251">
        <v>0.19495797832293135</v>
      </c>
      <c r="N19" s="252">
        <v>0.19060773480662985</v>
      </c>
      <c r="O19" s="250">
        <v>0.15924908191962059</v>
      </c>
      <c r="P19" s="250">
        <v>5.0119331742243436E-2</v>
      </c>
      <c r="Q19" s="251">
        <v>3.6974789915966387E-2</v>
      </c>
      <c r="R19" s="252">
        <v>0</v>
      </c>
      <c r="S19" s="250">
        <v>4.0265277119848411E-2</v>
      </c>
      <c r="T19" s="253"/>
      <c r="U19" s="254">
        <v>2790</v>
      </c>
      <c r="V19" s="255">
        <v>1328</v>
      </c>
      <c r="W19" s="255">
        <v>2889</v>
      </c>
      <c r="X19" s="255">
        <v>1088</v>
      </c>
      <c r="Y19" s="255">
        <v>691</v>
      </c>
      <c r="Z19" s="255">
        <v>428</v>
      </c>
      <c r="AA19" s="256">
        <v>9214</v>
      </c>
      <c r="AB19" s="254">
        <v>80</v>
      </c>
      <c r="AC19" s="255">
        <v>3399</v>
      </c>
      <c r="AD19" s="255">
        <v>2174</v>
      </c>
      <c r="AE19" s="255">
        <v>928</v>
      </c>
      <c r="AF19" s="257">
        <v>414</v>
      </c>
      <c r="AG19" s="257">
        <v>6995</v>
      </c>
      <c r="AH19" s="254">
        <v>126</v>
      </c>
      <c r="AI19" s="255">
        <v>44</v>
      </c>
      <c r="AJ19" s="257">
        <v>0</v>
      </c>
      <c r="AK19" s="254">
        <v>170</v>
      </c>
    </row>
    <row r="20" spans="1:39">
      <c r="A20" s="249"/>
      <c r="B20" s="239" t="s">
        <v>32</v>
      </c>
      <c r="C20" s="250">
        <v>9.3719893994017797E-2</v>
      </c>
      <c r="D20" s="251">
        <v>9.4888725849841038E-2</v>
      </c>
      <c r="E20" s="251">
        <v>0.11309568860854309</v>
      </c>
      <c r="F20" s="251">
        <v>7.6309332029689536E-2</v>
      </c>
      <c r="G20" s="251">
        <v>6.806183596833737E-2</v>
      </c>
      <c r="H20" s="252">
        <v>5.9523809368906798E-2</v>
      </c>
      <c r="I20" s="547">
        <v>9.4922430439968591E-2</v>
      </c>
      <c r="J20" s="250">
        <v>0</v>
      </c>
      <c r="K20" s="251">
        <v>5.994444173692675E-2</v>
      </c>
      <c r="L20" s="251">
        <v>6.348713774320168E-2</v>
      </c>
      <c r="M20" s="251">
        <v>0.11176470309030116</v>
      </c>
      <c r="N20" s="434">
        <v>0</v>
      </c>
      <c r="O20" s="250">
        <v>6.1536850382949884E-2</v>
      </c>
      <c r="P20" s="250">
        <v>0</v>
      </c>
      <c r="Q20" s="273">
        <v>8.4033613445378156E-4</v>
      </c>
      <c r="R20" s="252">
        <v>0</v>
      </c>
      <c r="S20" s="420">
        <v>2.3685457129322596E-4</v>
      </c>
      <c r="T20" s="253"/>
      <c r="U20" s="254">
        <v>4086</v>
      </c>
      <c r="V20" s="255">
        <v>1164</v>
      </c>
      <c r="W20" s="255">
        <v>3014</v>
      </c>
      <c r="X20" s="255">
        <v>746</v>
      </c>
      <c r="Y20" s="255">
        <v>361</v>
      </c>
      <c r="Z20" s="255">
        <v>180</v>
      </c>
      <c r="AA20" s="256">
        <v>9551</v>
      </c>
      <c r="AB20" s="254">
        <v>0</v>
      </c>
      <c r="AC20" s="255">
        <v>1230</v>
      </c>
      <c r="AD20" s="255">
        <v>941</v>
      </c>
      <c r="AE20" s="255">
        <v>532</v>
      </c>
      <c r="AF20" s="257">
        <v>0</v>
      </c>
      <c r="AG20" s="257">
        <v>2703</v>
      </c>
      <c r="AH20" s="254">
        <v>0</v>
      </c>
      <c r="AI20" s="255">
        <v>1</v>
      </c>
      <c r="AJ20" s="257">
        <v>0</v>
      </c>
      <c r="AK20" s="254">
        <v>1</v>
      </c>
    </row>
    <row r="21" spans="1:39">
      <c r="A21" s="249"/>
      <c r="B21" s="239" t="s">
        <v>58</v>
      </c>
      <c r="C21" s="250">
        <v>0</v>
      </c>
      <c r="D21" s="273">
        <v>0</v>
      </c>
      <c r="E21" s="251">
        <v>0</v>
      </c>
      <c r="F21" s="273">
        <v>0</v>
      </c>
      <c r="G21" s="273">
        <v>0</v>
      </c>
      <c r="H21" s="252">
        <v>0</v>
      </c>
      <c r="I21" s="547">
        <v>0</v>
      </c>
      <c r="J21" s="250">
        <v>0.76331719128329301</v>
      </c>
      <c r="K21" s="251">
        <v>0.47083191188654416</v>
      </c>
      <c r="L21" s="251">
        <v>0.51038666133214272</v>
      </c>
      <c r="M21" s="251">
        <v>0.45609242558090946</v>
      </c>
      <c r="N21" s="252">
        <v>0</v>
      </c>
      <c r="O21" s="250">
        <v>0.47030044451570124</v>
      </c>
      <c r="P21" s="250">
        <v>0.91805887032617339</v>
      </c>
      <c r="Q21" s="251">
        <v>0.96218487394957986</v>
      </c>
      <c r="R21" s="252">
        <v>1</v>
      </c>
      <c r="S21" s="250">
        <v>0.94054950260540027</v>
      </c>
      <c r="T21" s="253"/>
      <c r="U21" s="254"/>
      <c r="V21" s="255"/>
      <c r="W21" s="255"/>
      <c r="X21" s="255"/>
      <c r="Y21" s="255"/>
      <c r="Z21" s="255"/>
      <c r="AA21" s="256"/>
      <c r="AB21" s="254">
        <v>1261</v>
      </c>
      <c r="AC21" s="255">
        <v>9661</v>
      </c>
      <c r="AD21" s="255">
        <v>7564.9</v>
      </c>
      <c r="AE21" s="255">
        <v>2171</v>
      </c>
      <c r="AF21" s="257">
        <v>0</v>
      </c>
      <c r="AG21" s="257">
        <v>20657.900000000001</v>
      </c>
      <c r="AH21" s="254">
        <v>2308</v>
      </c>
      <c r="AI21" s="255">
        <v>1145</v>
      </c>
      <c r="AJ21" s="257">
        <v>518</v>
      </c>
      <c r="AK21" s="254">
        <v>3971</v>
      </c>
    </row>
    <row r="22" spans="1:39" s="527" customFormat="1">
      <c r="A22" s="435" t="s">
        <v>86</v>
      </c>
      <c r="B22" s="436" t="s">
        <v>59</v>
      </c>
      <c r="C22" s="261">
        <v>1</v>
      </c>
      <c r="D22" s="262">
        <v>1</v>
      </c>
      <c r="E22" s="262">
        <v>1</v>
      </c>
      <c r="F22" s="262">
        <v>1</v>
      </c>
      <c r="G22" s="262">
        <v>1</v>
      </c>
      <c r="H22" s="263">
        <v>1</v>
      </c>
      <c r="I22" s="548">
        <v>1</v>
      </c>
      <c r="J22" s="261">
        <v>1</v>
      </c>
      <c r="K22" s="262">
        <v>1</v>
      </c>
      <c r="L22" s="262">
        <v>1</v>
      </c>
      <c r="M22" s="262">
        <v>1</v>
      </c>
      <c r="N22" s="263">
        <v>1</v>
      </c>
      <c r="O22" s="261">
        <v>1</v>
      </c>
      <c r="P22" s="261">
        <v>1</v>
      </c>
      <c r="Q22" s="262">
        <v>1</v>
      </c>
      <c r="R22" s="263">
        <v>1</v>
      </c>
      <c r="S22" s="261">
        <v>1</v>
      </c>
      <c r="T22" s="264"/>
      <c r="U22" s="265">
        <v>43598.00065779857</v>
      </c>
      <c r="V22" s="266">
        <v>12267</v>
      </c>
      <c r="W22" s="266">
        <v>26649.999103257829</v>
      </c>
      <c r="X22" s="266">
        <v>9775.9996078822332</v>
      </c>
      <c r="Y22" s="266">
        <v>5304.0003235871955</v>
      </c>
      <c r="Z22" s="266">
        <v>3024.0000078695543</v>
      </c>
      <c r="AA22" s="267">
        <v>100618.99970039538</v>
      </c>
      <c r="AB22" s="265">
        <v>1652</v>
      </c>
      <c r="AC22" s="266">
        <v>20519</v>
      </c>
      <c r="AD22" s="266">
        <v>14821.899891065164</v>
      </c>
      <c r="AE22" s="266">
        <v>4760.0001189120185</v>
      </c>
      <c r="AF22" s="268">
        <v>2172</v>
      </c>
      <c r="AG22" s="268">
        <v>43924.900009977187</v>
      </c>
      <c r="AH22" s="265">
        <v>2514</v>
      </c>
      <c r="AI22" s="266">
        <v>1190</v>
      </c>
      <c r="AJ22" s="268">
        <v>518</v>
      </c>
      <c r="AK22" s="265">
        <v>4222</v>
      </c>
      <c r="AL22" s="270"/>
      <c r="AM22" s="270"/>
    </row>
    <row r="23" spans="1:39">
      <c r="A23" s="239" t="s">
        <v>4</v>
      </c>
      <c r="B23" s="240" t="s">
        <v>53</v>
      </c>
      <c r="C23" s="241">
        <v>0.32664941785252266</v>
      </c>
      <c r="D23" s="242">
        <v>0.24834437086092714</v>
      </c>
      <c r="E23" s="242">
        <v>0.21357943309162822</v>
      </c>
      <c r="F23" s="242">
        <v>0.27080181543116488</v>
      </c>
      <c r="G23" s="242">
        <v>0.2033195020746888</v>
      </c>
      <c r="H23" s="243">
        <v>0.25301204819277107</v>
      </c>
      <c r="I23" s="529">
        <v>0.2812075983717775</v>
      </c>
      <c r="J23" s="241">
        <v>0</v>
      </c>
      <c r="K23" s="242">
        <v>0</v>
      </c>
      <c r="L23" s="242">
        <v>0</v>
      </c>
      <c r="M23" s="242">
        <v>0</v>
      </c>
      <c r="N23" s="243">
        <v>0</v>
      </c>
      <c r="O23" s="241">
        <v>0</v>
      </c>
      <c r="P23" s="342">
        <v>0</v>
      </c>
      <c r="Q23" s="242">
        <v>0</v>
      </c>
      <c r="R23" s="243">
        <v>0</v>
      </c>
      <c r="S23" s="342">
        <v>0</v>
      </c>
      <c r="T23" s="244"/>
      <c r="U23" s="245">
        <v>1010</v>
      </c>
      <c r="V23" s="246">
        <v>75</v>
      </c>
      <c r="W23" s="246">
        <v>324</v>
      </c>
      <c r="X23" s="246">
        <v>179</v>
      </c>
      <c r="Y23" s="246">
        <v>49</v>
      </c>
      <c r="Z23" s="246">
        <v>21</v>
      </c>
      <c r="AA23" s="247">
        <v>1658</v>
      </c>
      <c r="AB23" s="245">
        <v>0</v>
      </c>
      <c r="AC23" s="246">
        <v>0</v>
      </c>
      <c r="AD23" s="246">
        <v>0</v>
      </c>
      <c r="AE23" s="246">
        <v>0</v>
      </c>
      <c r="AF23" s="248">
        <v>0</v>
      </c>
      <c r="AG23" s="248">
        <v>0</v>
      </c>
      <c r="AH23" s="245">
        <v>0</v>
      </c>
      <c r="AI23" s="246">
        <v>0</v>
      </c>
      <c r="AJ23" s="248">
        <v>0</v>
      </c>
      <c r="AK23" s="245">
        <v>0</v>
      </c>
    </row>
    <row r="24" spans="1:39">
      <c r="A24" s="249"/>
      <c r="B24" s="239" t="s">
        <v>93</v>
      </c>
      <c r="C24" s="250">
        <v>0.28007761966364814</v>
      </c>
      <c r="D24" s="251">
        <v>0.30463576158940397</v>
      </c>
      <c r="E24" s="251">
        <v>0.22478576137112721</v>
      </c>
      <c r="F24" s="251">
        <v>0.25416036308623297</v>
      </c>
      <c r="G24" s="251">
        <v>0.24481327800829875</v>
      </c>
      <c r="H24" s="252">
        <v>0.24096385542168675</v>
      </c>
      <c r="I24" s="530">
        <v>0.26221166892808684</v>
      </c>
      <c r="J24" s="250">
        <v>0</v>
      </c>
      <c r="K24" s="251">
        <v>0</v>
      </c>
      <c r="L24" s="251">
        <v>0</v>
      </c>
      <c r="M24" s="251">
        <v>0</v>
      </c>
      <c r="N24" s="252">
        <v>0</v>
      </c>
      <c r="O24" s="250">
        <v>0</v>
      </c>
      <c r="P24" s="250">
        <v>0</v>
      </c>
      <c r="Q24" s="251">
        <v>0</v>
      </c>
      <c r="R24" s="252">
        <v>0</v>
      </c>
      <c r="S24" s="250">
        <v>0</v>
      </c>
      <c r="T24" s="253"/>
      <c r="U24" s="254">
        <v>866</v>
      </c>
      <c r="V24" s="255">
        <v>92</v>
      </c>
      <c r="W24" s="255">
        <v>341</v>
      </c>
      <c r="X24" s="255">
        <v>168</v>
      </c>
      <c r="Y24" s="255">
        <v>59</v>
      </c>
      <c r="Z24" s="255">
        <v>20</v>
      </c>
      <c r="AA24" s="256">
        <v>1546</v>
      </c>
      <c r="AB24" s="254">
        <v>0</v>
      </c>
      <c r="AC24" s="255">
        <v>0</v>
      </c>
      <c r="AD24" s="255">
        <v>0</v>
      </c>
      <c r="AE24" s="255">
        <v>0</v>
      </c>
      <c r="AF24" s="257">
        <v>0</v>
      </c>
      <c r="AG24" s="257">
        <v>0</v>
      </c>
      <c r="AH24" s="254">
        <v>0</v>
      </c>
      <c r="AI24" s="255">
        <v>0</v>
      </c>
      <c r="AJ24" s="257">
        <v>0</v>
      </c>
      <c r="AK24" s="254">
        <v>0</v>
      </c>
    </row>
    <row r="25" spans="1:39">
      <c r="A25" s="249"/>
      <c r="B25" s="239" t="s">
        <v>55</v>
      </c>
      <c r="C25" s="250">
        <v>0.27231565329883572</v>
      </c>
      <c r="D25" s="251">
        <v>0.29139072847682118</v>
      </c>
      <c r="E25" s="251">
        <v>0.34212261041529335</v>
      </c>
      <c r="F25" s="251">
        <v>0.31164901664145234</v>
      </c>
      <c r="G25" s="251">
        <v>0.38174273858921159</v>
      </c>
      <c r="H25" s="252">
        <v>0.43373493975903615</v>
      </c>
      <c r="I25" s="530">
        <v>0.30240841248303935</v>
      </c>
      <c r="J25" s="250">
        <v>0</v>
      </c>
      <c r="K25" s="251">
        <v>0</v>
      </c>
      <c r="L25" s="251">
        <v>0</v>
      </c>
      <c r="M25" s="251">
        <v>0</v>
      </c>
      <c r="N25" s="252">
        <v>0</v>
      </c>
      <c r="O25" s="250">
        <v>0</v>
      </c>
      <c r="P25" s="250">
        <v>0</v>
      </c>
      <c r="Q25" s="251">
        <v>0</v>
      </c>
      <c r="R25" s="252">
        <v>0</v>
      </c>
      <c r="S25" s="250">
        <v>0</v>
      </c>
      <c r="T25" s="253"/>
      <c r="U25" s="254">
        <v>842</v>
      </c>
      <c r="V25" s="255">
        <v>88</v>
      </c>
      <c r="W25" s="255">
        <v>519</v>
      </c>
      <c r="X25" s="255">
        <v>206</v>
      </c>
      <c r="Y25" s="255">
        <v>92</v>
      </c>
      <c r="Z25" s="255">
        <v>36</v>
      </c>
      <c r="AA25" s="256">
        <v>1783</v>
      </c>
      <c r="AB25" s="254">
        <v>0</v>
      </c>
      <c r="AC25" s="255">
        <v>0</v>
      </c>
      <c r="AD25" s="255">
        <v>0</v>
      </c>
      <c r="AE25" s="255">
        <v>0</v>
      </c>
      <c r="AF25" s="257">
        <v>0</v>
      </c>
      <c r="AG25" s="257">
        <v>0</v>
      </c>
      <c r="AH25" s="254">
        <v>0</v>
      </c>
      <c r="AI25" s="255">
        <v>0</v>
      </c>
      <c r="AJ25" s="257">
        <v>0</v>
      </c>
      <c r="AK25" s="254">
        <v>0</v>
      </c>
    </row>
    <row r="26" spans="1:39">
      <c r="A26" s="249"/>
      <c r="B26" s="239" t="s">
        <v>78</v>
      </c>
      <c r="C26" s="250">
        <v>0.11157826649417853</v>
      </c>
      <c r="D26" s="251">
        <v>2.3178807947019868E-2</v>
      </c>
      <c r="E26" s="251">
        <v>0.19578114700065918</v>
      </c>
      <c r="F26" s="251">
        <v>0.15885022692889561</v>
      </c>
      <c r="G26" s="251">
        <v>0.11618257261410789</v>
      </c>
      <c r="H26" s="252">
        <v>3.614457831325301E-2</v>
      </c>
      <c r="I26" s="530">
        <v>0.13314111261872455</v>
      </c>
      <c r="J26" s="250">
        <v>0</v>
      </c>
      <c r="K26" s="251">
        <v>0</v>
      </c>
      <c r="L26" s="251">
        <v>0</v>
      </c>
      <c r="M26" s="251">
        <v>0</v>
      </c>
      <c r="N26" s="252">
        <v>0</v>
      </c>
      <c r="O26" s="250">
        <v>0</v>
      </c>
      <c r="P26" s="250">
        <v>0</v>
      </c>
      <c r="Q26" s="251">
        <v>0</v>
      </c>
      <c r="R26" s="252">
        <v>0</v>
      </c>
      <c r="S26" s="250">
        <v>0</v>
      </c>
      <c r="T26" s="253"/>
      <c r="U26" s="254">
        <v>345</v>
      </c>
      <c r="V26" s="255">
        <v>7</v>
      </c>
      <c r="W26" s="255">
        <v>297</v>
      </c>
      <c r="X26" s="255">
        <v>105</v>
      </c>
      <c r="Y26" s="255">
        <v>28</v>
      </c>
      <c r="Z26" s="255">
        <v>3</v>
      </c>
      <c r="AA26" s="256">
        <v>785</v>
      </c>
      <c r="AB26" s="254">
        <v>0</v>
      </c>
      <c r="AC26" s="255">
        <v>0</v>
      </c>
      <c r="AD26" s="255">
        <v>0</v>
      </c>
      <c r="AE26" s="255">
        <v>0</v>
      </c>
      <c r="AF26" s="257">
        <v>0</v>
      </c>
      <c r="AG26" s="257">
        <v>0</v>
      </c>
      <c r="AH26" s="254">
        <v>0</v>
      </c>
      <c r="AI26" s="255">
        <v>0</v>
      </c>
      <c r="AJ26" s="257">
        <v>0</v>
      </c>
      <c r="AK26" s="254">
        <v>0</v>
      </c>
    </row>
    <row r="27" spans="1:39">
      <c r="A27" s="249"/>
      <c r="B27" s="239" t="s">
        <v>32</v>
      </c>
      <c r="C27" s="250">
        <v>9.3790426908150065E-3</v>
      </c>
      <c r="D27" s="251">
        <v>0.13245033112582782</v>
      </c>
      <c r="E27" s="251">
        <v>2.3731048121292023E-2</v>
      </c>
      <c r="F27" s="273">
        <v>4.5385779122541605E-3</v>
      </c>
      <c r="G27" s="251">
        <v>5.3941908713692949E-2</v>
      </c>
      <c r="H27" s="252">
        <v>3.614457831325301E-2</v>
      </c>
      <c r="I27" s="530">
        <v>2.1031207598371779E-2</v>
      </c>
      <c r="J27" s="250">
        <v>0</v>
      </c>
      <c r="K27" s="251">
        <v>0</v>
      </c>
      <c r="L27" s="251">
        <v>0</v>
      </c>
      <c r="M27" s="251">
        <v>0</v>
      </c>
      <c r="N27" s="258">
        <v>0</v>
      </c>
      <c r="O27" s="250">
        <v>0</v>
      </c>
      <c r="P27" s="250">
        <v>0</v>
      </c>
      <c r="Q27" s="251">
        <v>0</v>
      </c>
      <c r="R27" s="252">
        <v>0</v>
      </c>
      <c r="S27" s="250">
        <v>0</v>
      </c>
      <c r="T27" s="253"/>
      <c r="U27" s="254">
        <v>29</v>
      </c>
      <c r="V27" s="255">
        <v>40</v>
      </c>
      <c r="W27" s="255">
        <v>36</v>
      </c>
      <c r="X27" s="255">
        <v>3</v>
      </c>
      <c r="Y27" s="255">
        <v>13</v>
      </c>
      <c r="Z27" s="255">
        <v>3</v>
      </c>
      <c r="AA27" s="256">
        <v>124</v>
      </c>
      <c r="AB27" s="254">
        <v>0</v>
      </c>
      <c r="AC27" s="255">
        <v>0</v>
      </c>
      <c r="AD27" s="255">
        <v>0</v>
      </c>
      <c r="AE27" s="255">
        <v>0</v>
      </c>
      <c r="AF27" s="257">
        <v>0</v>
      </c>
      <c r="AG27" s="257">
        <v>0</v>
      </c>
      <c r="AH27" s="254">
        <v>0</v>
      </c>
      <c r="AI27" s="255">
        <v>0</v>
      </c>
      <c r="AJ27" s="257">
        <v>0</v>
      </c>
      <c r="AK27" s="254">
        <v>0</v>
      </c>
    </row>
    <row r="28" spans="1:39">
      <c r="A28" s="249"/>
      <c r="B28" s="239" t="s">
        <v>58</v>
      </c>
      <c r="C28" s="250">
        <v>0</v>
      </c>
      <c r="D28" s="251">
        <v>0</v>
      </c>
      <c r="E28" s="419">
        <v>0</v>
      </c>
      <c r="F28" s="251">
        <v>0</v>
      </c>
      <c r="G28" s="273">
        <v>0</v>
      </c>
      <c r="H28" s="252">
        <v>0</v>
      </c>
      <c r="I28" s="532">
        <v>0</v>
      </c>
      <c r="J28" s="250">
        <v>0</v>
      </c>
      <c r="K28" s="251">
        <v>1</v>
      </c>
      <c r="L28" s="251">
        <v>1</v>
      </c>
      <c r="M28" s="251">
        <v>1</v>
      </c>
      <c r="N28" s="252">
        <v>0</v>
      </c>
      <c r="O28" s="250">
        <v>1</v>
      </c>
      <c r="P28" s="250">
        <v>1</v>
      </c>
      <c r="Q28" s="251">
        <v>1</v>
      </c>
      <c r="R28" s="252">
        <v>0</v>
      </c>
      <c r="S28" s="250">
        <v>1</v>
      </c>
      <c r="T28" s="253"/>
      <c r="U28" s="254">
        <v>0</v>
      </c>
      <c r="V28" s="255">
        <v>0</v>
      </c>
      <c r="W28" s="255">
        <v>0</v>
      </c>
      <c r="X28" s="255">
        <v>0</v>
      </c>
      <c r="Y28" s="255">
        <v>0</v>
      </c>
      <c r="Z28" s="255">
        <v>0</v>
      </c>
      <c r="AA28" s="256">
        <v>0</v>
      </c>
      <c r="AB28" s="254">
        <v>0</v>
      </c>
      <c r="AC28" s="255">
        <v>292</v>
      </c>
      <c r="AD28" s="255">
        <v>1044</v>
      </c>
      <c r="AE28" s="255">
        <v>426</v>
      </c>
      <c r="AF28" s="257">
        <v>0</v>
      </c>
      <c r="AG28" s="257">
        <v>1762</v>
      </c>
      <c r="AH28" s="254">
        <v>66</v>
      </c>
      <c r="AI28" s="255">
        <v>89</v>
      </c>
      <c r="AJ28" s="257">
        <v>0</v>
      </c>
      <c r="AK28" s="254">
        <v>155</v>
      </c>
    </row>
    <row r="29" spans="1:39" s="527" customFormat="1">
      <c r="A29" s="435"/>
      <c r="B29" s="436" t="s">
        <v>59</v>
      </c>
      <c r="C29" s="261">
        <v>1</v>
      </c>
      <c r="D29" s="262">
        <v>1</v>
      </c>
      <c r="E29" s="262">
        <v>1</v>
      </c>
      <c r="F29" s="262">
        <v>1</v>
      </c>
      <c r="G29" s="262">
        <v>1</v>
      </c>
      <c r="H29" s="263">
        <v>1</v>
      </c>
      <c r="I29" s="531">
        <v>1</v>
      </c>
      <c r="J29" s="261">
        <v>0</v>
      </c>
      <c r="K29" s="262">
        <v>1</v>
      </c>
      <c r="L29" s="262">
        <v>1</v>
      </c>
      <c r="M29" s="262">
        <v>1</v>
      </c>
      <c r="N29" s="263">
        <v>0</v>
      </c>
      <c r="O29" s="261">
        <v>1</v>
      </c>
      <c r="P29" s="261">
        <v>1</v>
      </c>
      <c r="Q29" s="262">
        <v>1</v>
      </c>
      <c r="R29" s="263">
        <v>0</v>
      </c>
      <c r="S29" s="261">
        <v>1</v>
      </c>
      <c r="T29" s="264"/>
      <c r="U29" s="265">
        <v>3092</v>
      </c>
      <c r="V29" s="266">
        <v>302</v>
      </c>
      <c r="W29" s="266">
        <v>1517</v>
      </c>
      <c r="X29" s="266">
        <v>661</v>
      </c>
      <c r="Y29" s="266">
        <v>241</v>
      </c>
      <c r="Z29" s="266">
        <v>83</v>
      </c>
      <c r="AA29" s="267">
        <v>5896</v>
      </c>
      <c r="AB29" s="265">
        <v>0</v>
      </c>
      <c r="AC29" s="266">
        <v>292</v>
      </c>
      <c r="AD29" s="266">
        <v>1044</v>
      </c>
      <c r="AE29" s="266">
        <v>426</v>
      </c>
      <c r="AF29" s="268">
        <v>0</v>
      </c>
      <c r="AG29" s="268">
        <v>1762</v>
      </c>
      <c r="AH29" s="265">
        <v>66</v>
      </c>
      <c r="AI29" s="266">
        <v>89</v>
      </c>
      <c r="AJ29" s="268">
        <v>0</v>
      </c>
      <c r="AK29" s="265">
        <v>155</v>
      </c>
      <c r="AL29" s="270"/>
      <c r="AM29" s="270"/>
    </row>
    <row r="30" spans="1:39">
      <c r="A30" s="239" t="s">
        <v>5</v>
      </c>
      <c r="B30" s="240" t="s">
        <v>53</v>
      </c>
      <c r="C30" s="241">
        <v>0.4134272415172589</v>
      </c>
      <c r="D30" s="242">
        <v>0</v>
      </c>
      <c r="E30" s="242">
        <v>0.23241393683819189</v>
      </c>
      <c r="F30" s="242">
        <v>0.2248910222352955</v>
      </c>
      <c r="G30" s="242">
        <v>0.14238395339859561</v>
      </c>
      <c r="H30" s="243">
        <v>0.10994764171403421</v>
      </c>
      <c r="I30" s="529">
        <v>0.25457717996875889</v>
      </c>
      <c r="J30" s="241">
        <v>0</v>
      </c>
      <c r="K30" s="242">
        <v>0</v>
      </c>
      <c r="L30" s="242">
        <v>1.9762854359143406E-2</v>
      </c>
      <c r="M30" s="242">
        <v>0</v>
      </c>
      <c r="N30" s="243">
        <v>0</v>
      </c>
      <c r="O30" s="342">
        <v>3.625815782323836E-3</v>
      </c>
      <c r="P30" s="342">
        <v>0</v>
      </c>
      <c r="Q30" s="242">
        <v>0</v>
      </c>
      <c r="R30" s="243">
        <v>0</v>
      </c>
      <c r="S30" s="342">
        <v>0</v>
      </c>
      <c r="T30" s="244"/>
      <c r="U30" s="245">
        <v>351</v>
      </c>
      <c r="V30" s="246">
        <v>0</v>
      </c>
      <c r="W30" s="246">
        <v>337</v>
      </c>
      <c r="X30" s="246">
        <v>103</v>
      </c>
      <c r="Y30" s="246">
        <v>43</v>
      </c>
      <c r="Z30" s="246">
        <v>42</v>
      </c>
      <c r="AA30" s="247">
        <v>876</v>
      </c>
      <c r="AB30" s="245">
        <v>0</v>
      </c>
      <c r="AC30" s="246">
        <v>0</v>
      </c>
      <c r="AD30" s="246">
        <v>5</v>
      </c>
      <c r="AE30" s="246">
        <v>0</v>
      </c>
      <c r="AF30" s="248">
        <v>0</v>
      </c>
      <c r="AG30" s="248">
        <v>5</v>
      </c>
      <c r="AH30" s="245">
        <v>0</v>
      </c>
      <c r="AI30" s="246">
        <v>0</v>
      </c>
      <c r="AJ30" s="248">
        <v>0</v>
      </c>
      <c r="AK30" s="245">
        <v>0</v>
      </c>
    </row>
    <row r="31" spans="1:39">
      <c r="A31" s="249"/>
      <c r="B31" s="239" t="s">
        <v>93</v>
      </c>
      <c r="C31" s="250">
        <v>0.25795033017743502</v>
      </c>
      <c r="D31" s="251">
        <v>0</v>
      </c>
      <c r="E31" s="251">
        <v>0.22689669204678081</v>
      </c>
      <c r="F31" s="251">
        <v>0.22925783820102938</v>
      </c>
      <c r="G31" s="251">
        <v>0.20198653854219378</v>
      </c>
      <c r="H31" s="252">
        <v>0.18848167150977291</v>
      </c>
      <c r="I31" s="530">
        <v>0.2284219902459412</v>
      </c>
      <c r="J31" s="250">
        <v>0</v>
      </c>
      <c r="K31" s="251">
        <v>0</v>
      </c>
      <c r="L31" s="251">
        <v>4.3478279590115493E-2</v>
      </c>
      <c r="M31" s="251">
        <v>0</v>
      </c>
      <c r="N31" s="252">
        <v>0</v>
      </c>
      <c r="O31" s="250">
        <v>7.9767947211124395E-3</v>
      </c>
      <c r="P31" s="250">
        <v>0</v>
      </c>
      <c r="Q31" s="251">
        <v>0</v>
      </c>
      <c r="R31" s="252">
        <v>0</v>
      </c>
      <c r="S31" s="250">
        <v>0</v>
      </c>
      <c r="T31" s="253"/>
      <c r="U31" s="254">
        <v>219</v>
      </c>
      <c r="V31" s="255">
        <v>0</v>
      </c>
      <c r="W31" s="255">
        <v>329</v>
      </c>
      <c r="X31" s="255">
        <v>105</v>
      </c>
      <c r="Y31" s="255">
        <v>61</v>
      </c>
      <c r="Z31" s="255">
        <v>72</v>
      </c>
      <c r="AA31" s="256">
        <v>786</v>
      </c>
      <c r="AB31" s="254">
        <v>0</v>
      </c>
      <c r="AC31" s="255">
        <v>0</v>
      </c>
      <c r="AD31" s="255">
        <v>11</v>
      </c>
      <c r="AE31" s="255">
        <v>0</v>
      </c>
      <c r="AF31" s="257">
        <v>0</v>
      </c>
      <c r="AG31" s="257">
        <v>11</v>
      </c>
      <c r="AH31" s="254">
        <v>0</v>
      </c>
      <c r="AI31" s="255">
        <v>0</v>
      </c>
      <c r="AJ31" s="257">
        <v>0</v>
      </c>
      <c r="AK31" s="254">
        <v>0</v>
      </c>
    </row>
    <row r="32" spans="1:39">
      <c r="A32" s="249"/>
      <c r="B32" s="239" t="s">
        <v>55</v>
      </c>
      <c r="C32" s="250">
        <v>0.19316905857742928</v>
      </c>
      <c r="D32" s="251">
        <v>0</v>
      </c>
      <c r="E32" s="251">
        <v>0.29793060029293966</v>
      </c>
      <c r="F32" s="251">
        <v>0.3253269332941135</v>
      </c>
      <c r="G32" s="251">
        <v>0.32781528976942065</v>
      </c>
      <c r="H32" s="252">
        <v>0.38481676660004671</v>
      </c>
      <c r="I32" s="530">
        <v>0.28799761310107391</v>
      </c>
      <c r="J32" s="250">
        <v>0</v>
      </c>
      <c r="K32" s="251">
        <v>0</v>
      </c>
      <c r="L32" s="251">
        <v>0.1383395499413474</v>
      </c>
      <c r="M32" s="251">
        <v>3.384627167927208E-2</v>
      </c>
      <c r="N32" s="252">
        <v>0</v>
      </c>
      <c r="O32" s="250">
        <v>4.9311101874690115E-2</v>
      </c>
      <c r="P32" s="250">
        <v>0</v>
      </c>
      <c r="Q32" s="251">
        <v>0</v>
      </c>
      <c r="R32" s="252">
        <v>0</v>
      </c>
      <c r="S32" s="250">
        <v>0</v>
      </c>
      <c r="T32" s="253"/>
      <c r="U32" s="254">
        <v>164.00065779856746</v>
      </c>
      <c r="V32" s="255">
        <v>0</v>
      </c>
      <c r="W32" s="255">
        <v>431.99910325782923</v>
      </c>
      <c r="X32" s="255">
        <v>148.99960788223353</v>
      </c>
      <c r="Y32" s="255">
        <v>99.000323587195197</v>
      </c>
      <c r="Z32" s="255">
        <v>147.00000786955428</v>
      </c>
      <c r="AA32" s="256">
        <v>990.9997003953797</v>
      </c>
      <c r="AB32" s="254">
        <v>0</v>
      </c>
      <c r="AC32" s="255">
        <v>0</v>
      </c>
      <c r="AD32" s="255">
        <v>34.999891065164817</v>
      </c>
      <c r="AE32" s="255">
        <v>33.00011891201877</v>
      </c>
      <c r="AF32" s="257">
        <v>0</v>
      </c>
      <c r="AG32" s="257">
        <v>68.000009977183595</v>
      </c>
      <c r="AH32" s="254">
        <v>0</v>
      </c>
      <c r="AI32" s="255">
        <v>0</v>
      </c>
      <c r="AJ32" s="257">
        <v>0</v>
      </c>
      <c r="AK32" s="254">
        <v>0</v>
      </c>
    </row>
    <row r="33" spans="1:39">
      <c r="A33" s="249"/>
      <c r="B33" s="239" t="s">
        <v>78</v>
      </c>
      <c r="C33" s="250">
        <v>0.13545336972787683</v>
      </c>
      <c r="D33" s="251">
        <v>0</v>
      </c>
      <c r="E33" s="251">
        <v>0.23586221483282382</v>
      </c>
      <c r="F33" s="251">
        <v>0.14192151888635152</v>
      </c>
      <c r="G33" s="251">
        <v>0.23841034057439264</v>
      </c>
      <c r="H33" s="252">
        <v>0.28795810925104198</v>
      </c>
      <c r="I33" s="530">
        <v>0.20459170627626286</v>
      </c>
      <c r="J33" s="250">
        <v>0</v>
      </c>
      <c r="K33" s="251">
        <v>0</v>
      </c>
      <c r="L33" s="251">
        <v>0.27667996102800768</v>
      </c>
      <c r="M33" s="251">
        <v>8.4102553845328762E-2</v>
      </c>
      <c r="N33" s="252">
        <v>0</v>
      </c>
      <c r="O33" s="250">
        <v>0.11022479978264461</v>
      </c>
      <c r="P33" s="250">
        <v>0</v>
      </c>
      <c r="Q33" s="251">
        <v>0</v>
      </c>
      <c r="R33" s="252">
        <v>0</v>
      </c>
      <c r="S33" s="250">
        <v>0</v>
      </c>
      <c r="T33" s="253"/>
      <c r="U33" s="254">
        <v>115</v>
      </c>
      <c r="V33" s="255">
        <v>0</v>
      </c>
      <c r="W33" s="255">
        <v>342</v>
      </c>
      <c r="X33" s="255">
        <v>65</v>
      </c>
      <c r="Y33" s="255">
        <v>72</v>
      </c>
      <c r="Z33" s="255">
        <v>110</v>
      </c>
      <c r="AA33" s="256">
        <v>704</v>
      </c>
      <c r="AB33" s="254">
        <v>0</v>
      </c>
      <c r="AC33" s="255">
        <v>0</v>
      </c>
      <c r="AD33" s="255">
        <v>70</v>
      </c>
      <c r="AE33" s="255">
        <v>82</v>
      </c>
      <c r="AF33" s="257">
        <v>0</v>
      </c>
      <c r="AG33" s="257">
        <v>152</v>
      </c>
      <c r="AH33" s="254">
        <v>0</v>
      </c>
      <c r="AI33" s="255">
        <v>0</v>
      </c>
      <c r="AJ33" s="257">
        <v>0</v>
      </c>
      <c r="AK33" s="254">
        <v>0</v>
      </c>
    </row>
    <row r="34" spans="1:39">
      <c r="A34" s="249"/>
      <c r="B34" s="239" t="s">
        <v>32</v>
      </c>
      <c r="C34" s="250">
        <v>0</v>
      </c>
      <c r="D34" s="251">
        <v>0</v>
      </c>
      <c r="E34" s="251">
        <v>6.8965559892638544E-3</v>
      </c>
      <c r="F34" s="251">
        <v>7.8602687383210079E-2</v>
      </c>
      <c r="G34" s="251">
        <v>8.9403877715397248E-2</v>
      </c>
      <c r="H34" s="252">
        <v>2.8795810925104196E-2</v>
      </c>
      <c r="I34" s="530">
        <v>2.4411510407963181E-2</v>
      </c>
      <c r="J34" s="250">
        <v>0</v>
      </c>
      <c r="K34" s="251">
        <v>0</v>
      </c>
      <c r="L34" s="251">
        <v>0</v>
      </c>
      <c r="M34" s="251">
        <v>0.37846149230397941</v>
      </c>
      <c r="N34" s="258">
        <v>0</v>
      </c>
      <c r="O34" s="250">
        <v>0.26758520473549907</v>
      </c>
      <c r="P34" s="250">
        <v>0</v>
      </c>
      <c r="Q34" s="251">
        <v>0</v>
      </c>
      <c r="R34" s="252">
        <v>0</v>
      </c>
      <c r="S34" s="250">
        <v>0</v>
      </c>
      <c r="T34" s="253"/>
      <c r="U34" s="254">
        <v>0</v>
      </c>
      <c r="V34" s="255">
        <v>0</v>
      </c>
      <c r="W34" s="255">
        <v>10</v>
      </c>
      <c r="X34" s="255">
        <v>36</v>
      </c>
      <c r="Y34" s="255">
        <v>27</v>
      </c>
      <c r="Z34" s="255">
        <v>11</v>
      </c>
      <c r="AA34" s="256">
        <v>84</v>
      </c>
      <c r="AB34" s="254">
        <v>0</v>
      </c>
      <c r="AC34" s="255">
        <v>0</v>
      </c>
      <c r="AD34" s="255">
        <v>0</v>
      </c>
      <c r="AE34" s="255">
        <v>369</v>
      </c>
      <c r="AF34" s="257">
        <v>0</v>
      </c>
      <c r="AG34" s="257">
        <v>369</v>
      </c>
      <c r="AH34" s="254">
        <v>0</v>
      </c>
      <c r="AI34" s="255">
        <v>0</v>
      </c>
      <c r="AJ34" s="257">
        <v>0</v>
      </c>
      <c r="AK34" s="254">
        <v>0</v>
      </c>
    </row>
    <row r="35" spans="1:39">
      <c r="A35" s="249"/>
      <c r="B35" s="239" t="s">
        <v>58</v>
      </c>
      <c r="C35" s="250">
        <v>0</v>
      </c>
      <c r="D35" s="251">
        <v>0</v>
      </c>
      <c r="E35" s="419">
        <v>0</v>
      </c>
      <c r="F35" s="251">
        <v>0</v>
      </c>
      <c r="G35" s="419">
        <v>0</v>
      </c>
      <c r="H35" s="252">
        <v>0</v>
      </c>
      <c r="I35" s="532">
        <v>0</v>
      </c>
      <c r="J35" s="250">
        <v>0</v>
      </c>
      <c r="K35" s="251">
        <v>1</v>
      </c>
      <c r="L35" s="251">
        <v>0.52173935508138591</v>
      </c>
      <c r="M35" s="251">
        <v>0.50358968217141975</v>
      </c>
      <c r="N35" s="252">
        <v>0</v>
      </c>
      <c r="O35" s="250">
        <v>0.56127628310372979</v>
      </c>
      <c r="P35" s="250">
        <v>0</v>
      </c>
      <c r="Q35" s="251">
        <v>0</v>
      </c>
      <c r="R35" s="252">
        <v>0</v>
      </c>
      <c r="S35" s="250">
        <v>0</v>
      </c>
      <c r="T35" s="253"/>
      <c r="U35" s="254">
        <v>0</v>
      </c>
      <c r="V35" s="255">
        <v>0</v>
      </c>
      <c r="W35" s="255">
        <v>0</v>
      </c>
      <c r="X35" s="255">
        <v>0</v>
      </c>
      <c r="Y35" s="255">
        <v>0</v>
      </c>
      <c r="Z35" s="255">
        <v>0</v>
      </c>
      <c r="AA35" s="256">
        <v>0</v>
      </c>
      <c r="AB35" s="254">
        <v>0</v>
      </c>
      <c r="AC35" s="255">
        <v>151</v>
      </c>
      <c r="AD35" s="255">
        <v>132</v>
      </c>
      <c r="AE35" s="255">
        <v>491</v>
      </c>
      <c r="AF35" s="257">
        <v>0</v>
      </c>
      <c r="AG35" s="257">
        <v>774</v>
      </c>
      <c r="AH35" s="254">
        <v>0</v>
      </c>
      <c r="AI35" s="255">
        <v>0</v>
      </c>
      <c r="AJ35" s="257">
        <v>0</v>
      </c>
      <c r="AK35" s="254">
        <v>0</v>
      </c>
    </row>
    <row r="36" spans="1:39" s="527" customFormat="1">
      <c r="A36" s="435"/>
      <c r="B36" s="436" t="s">
        <v>59</v>
      </c>
      <c r="C36" s="261">
        <v>1</v>
      </c>
      <c r="D36" s="262">
        <v>0</v>
      </c>
      <c r="E36" s="262">
        <v>1</v>
      </c>
      <c r="F36" s="262">
        <v>1</v>
      </c>
      <c r="G36" s="262">
        <v>1</v>
      </c>
      <c r="H36" s="263">
        <v>1</v>
      </c>
      <c r="I36" s="531">
        <v>1</v>
      </c>
      <c r="J36" s="261">
        <v>0</v>
      </c>
      <c r="K36" s="262">
        <v>1</v>
      </c>
      <c r="L36" s="262">
        <v>1</v>
      </c>
      <c r="M36" s="262">
        <v>1</v>
      </c>
      <c r="N36" s="263">
        <v>0</v>
      </c>
      <c r="O36" s="261">
        <v>1</v>
      </c>
      <c r="P36" s="261">
        <v>0</v>
      </c>
      <c r="Q36" s="262">
        <v>0</v>
      </c>
      <c r="R36" s="263">
        <v>0</v>
      </c>
      <c r="S36" s="261">
        <v>0</v>
      </c>
      <c r="T36" s="264"/>
      <c r="U36" s="265">
        <v>849.00065779856743</v>
      </c>
      <c r="V36" s="266">
        <v>0</v>
      </c>
      <c r="W36" s="266">
        <v>1449.9991032578291</v>
      </c>
      <c r="X36" s="266">
        <v>457.99960788223353</v>
      </c>
      <c r="Y36" s="266">
        <v>302.00032358719523</v>
      </c>
      <c r="Z36" s="266">
        <v>382.00000786955428</v>
      </c>
      <c r="AA36" s="267">
        <v>3440.9997003953795</v>
      </c>
      <c r="AB36" s="265">
        <v>0</v>
      </c>
      <c r="AC36" s="266">
        <v>151</v>
      </c>
      <c r="AD36" s="266">
        <v>252.99989106516483</v>
      </c>
      <c r="AE36" s="266">
        <v>975.00011891201871</v>
      </c>
      <c r="AF36" s="268">
        <v>0</v>
      </c>
      <c r="AG36" s="268">
        <v>1379.0000099771837</v>
      </c>
      <c r="AH36" s="265">
        <v>0</v>
      </c>
      <c r="AI36" s="266">
        <v>0</v>
      </c>
      <c r="AJ36" s="268">
        <v>0</v>
      </c>
      <c r="AK36" s="265">
        <v>0</v>
      </c>
      <c r="AL36" s="270"/>
      <c r="AM36" s="270"/>
    </row>
    <row r="37" spans="1:39">
      <c r="A37" s="239" t="s">
        <v>82</v>
      </c>
      <c r="B37" s="240" t="s">
        <v>53</v>
      </c>
      <c r="C37" s="241">
        <v>0.34198746642793199</v>
      </c>
      <c r="D37" s="242">
        <v>0</v>
      </c>
      <c r="E37" s="242">
        <v>0</v>
      </c>
      <c r="F37" s="242">
        <v>0.20207253886010362</v>
      </c>
      <c r="G37" s="242">
        <v>0</v>
      </c>
      <c r="H37" s="243">
        <v>0</v>
      </c>
      <c r="I37" s="529">
        <v>0.32137404580152673</v>
      </c>
      <c r="J37" s="241">
        <v>0</v>
      </c>
      <c r="K37" s="242">
        <v>0</v>
      </c>
      <c r="L37" s="242">
        <v>0</v>
      </c>
      <c r="M37" s="242">
        <v>0</v>
      </c>
      <c r="N37" s="243">
        <v>0</v>
      </c>
      <c r="O37" s="241">
        <v>0</v>
      </c>
      <c r="P37" s="342">
        <v>0</v>
      </c>
      <c r="Q37" s="242">
        <v>0</v>
      </c>
      <c r="R37" s="243">
        <v>0</v>
      </c>
      <c r="S37" s="342">
        <v>0</v>
      </c>
      <c r="T37" s="244"/>
      <c r="U37" s="245">
        <v>382</v>
      </c>
      <c r="V37" s="246">
        <v>0</v>
      </c>
      <c r="W37" s="246">
        <v>0</v>
      </c>
      <c r="X37" s="246">
        <v>39</v>
      </c>
      <c r="Y37" s="246">
        <v>0</v>
      </c>
      <c r="Z37" s="246">
        <v>0</v>
      </c>
      <c r="AA37" s="247">
        <v>421</v>
      </c>
      <c r="AB37" s="245">
        <v>0</v>
      </c>
      <c r="AC37" s="246">
        <v>0</v>
      </c>
      <c r="AD37" s="246">
        <v>0</v>
      </c>
      <c r="AE37" s="246">
        <v>0</v>
      </c>
      <c r="AF37" s="248">
        <v>0</v>
      </c>
      <c r="AG37" s="248">
        <v>0</v>
      </c>
      <c r="AH37" s="245">
        <v>0</v>
      </c>
      <c r="AI37" s="246">
        <v>0</v>
      </c>
      <c r="AJ37" s="248">
        <v>0</v>
      </c>
      <c r="AK37" s="245">
        <v>0</v>
      </c>
    </row>
    <row r="38" spans="1:39">
      <c r="A38" s="249"/>
      <c r="B38" s="239" t="s">
        <v>93</v>
      </c>
      <c r="C38" s="250">
        <v>0.29364368845120858</v>
      </c>
      <c r="D38" s="251">
        <v>0</v>
      </c>
      <c r="E38" s="251">
        <v>0</v>
      </c>
      <c r="F38" s="251">
        <v>0.44041450777202074</v>
      </c>
      <c r="G38" s="251">
        <v>0</v>
      </c>
      <c r="H38" s="252">
        <v>0</v>
      </c>
      <c r="I38" s="530">
        <v>0.3152671755725191</v>
      </c>
      <c r="J38" s="250">
        <v>0</v>
      </c>
      <c r="K38" s="251">
        <v>0</v>
      </c>
      <c r="L38" s="251">
        <v>0</v>
      </c>
      <c r="M38" s="251">
        <v>0</v>
      </c>
      <c r="N38" s="252">
        <v>0</v>
      </c>
      <c r="O38" s="250">
        <v>0</v>
      </c>
      <c r="P38" s="250">
        <v>0</v>
      </c>
      <c r="Q38" s="251">
        <v>0</v>
      </c>
      <c r="R38" s="252">
        <v>0</v>
      </c>
      <c r="S38" s="250">
        <v>0</v>
      </c>
      <c r="T38" s="253"/>
      <c r="U38" s="254">
        <v>328</v>
      </c>
      <c r="V38" s="255">
        <v>0</v>
      </c>
      <c r="W38" s="255">
        <v>0</v>
      </c>
      <c r="X38" s="255">
        <v>85</v>
      </c>
      <c r="Y38" s="255">
        <v>0</v>
      </c>
      <c r="Z38" s="255">
        <v>0</v>
      </c>
      <c r="AA38" s="256">
        <v>413</v>
      </c>
      <c r="AB38" s="254">
        <v>0</v>
      </c>
      <c r="AC38" s="255">
        <v>0</v>
      </c>
      <c r="AD38" s="255">
        <v>0</v>
      </c>
      <c r="AE38" s="255">
        <v>0</v>
      </c>
      <c r="AF38" s="257">
        <v>0</v>
      </c>
      <c r="AG38" s="257">
        <v>0</v>
      </c>
      <c r="AH38" s="254">
        <v>0</v>
      </c>
      <c r="AI38" s="255">
        <v>0</v>
      </c>
      <c r="AJ38" s="257">
        <v>0</v>
      </c>
      <c r="AK38" s="254">
        <v>0</v>
      </c>
    </row>
    <row r="39" spans="1:39">
      <c r="A39" s="249"/>
      <c r="B39" s="239" t="s">
        <v>55</v>
      </c>
      <c r="C39" s="250">
        <v>0.27036705461056398</v>
      </c>
      <c r="D39" s="251">
        <v>0</v>
      </c>
      <c r="E39" s="251">
        <v>0</v>
      </c>
      <c r="F39" s="251">
        <v>0.31606217616580312</v>
      </c>
      <c r="G39" s="251">
        <v>0</v>
      </c>
      <c r="H39" s="252">
        <v>0</v>
      </c>
      <c r="I39" s="530">
        <v>0.27709923664122138</v>
      </c>
      <c r="J39" s="250">
        <v>0</v>
      </c>
      <c r="K39" s="251">
        <v>0</v>
      </c>
      <c r="L39" s="251">
        <v>0</v>
      </c>
      <c r="M39" s="251">
        <v>0</v>
      </c>
      <c r="N39" s="252">
        <v>0</v>
      </c>
      <c r="O39" s="250">
        <v>0</v>
      </c>
      <c r="P39" s="250">
        <v>0</v>
      </c>
      <c r="Q39" s="251">
        <v>0</v>
      </c>
      <c r="R39" s="252">
        <v>0</v>
      </c>
      <c r="S39" s="250">
        <v>0</v>
      </c>
      <c r="T39" s="253"/>
      <c r="U39" s="254">
        <v>302</v>
      </c>
      <c r="V39" s="255">
        <v>0</v>
      </c>
      <c r="W39" s="255">
        <v>0</v>
      </c>
      <c r="X39" s="255">
        <v>61</v>
      </c>
      <c r="Y39" s="255">
        <v>0</v>
      </c>
      <c r="Z39" s="255">
        <v>0</v>
      </c>
      <c r="AA39" s="256">
        <v>363</v>
      </c>
      <c r="AB39" s="254">
        <v>0</v>
      </c>
      <c r="AC39" s="255">
        <v>0</v>
      </c>
      <c r="AD39" s="255">
        <v>0</v>
      </c>
      <c r="AE39" s="255">
        <v>0</v>
      </c>
      <c r="AF39" s="257">
        <v>0</v>
      </c>
      <c r="AG39" s="257">
        <v>0</v>
      </c>
      <c r="AH39" s="254">
        <v>0</v>
      </c>
      <c r="AI39" s="255">
        <v>0</v>
      </c>
      <c r="AJ39" s="257">
        <v>0</v>
      </c>
      <c r="AK39" s="254">
        <v>0</v>
      </c>
    </row>
    <row r="40" spans="1:39">
      <c r="A40" s="249"/>
      <c r="B40" s="239" t="s">
        <v>78</v>
      </c>
      <c r="C40" s="250">
        <v>9.4001790510295433E-2</v>
      </c>
      <c r="D40" s="251">
        <v>0</v>
      </c>
      <c r="E40" s="251">
        <v>0</v>
      </c>
      <c r="F40" s="251">
        <v>3.6269430051813469E-2</v>
      </c>
      <c r="G40" s="251">
        <v>0</v>
      </c>
      <c r="H40" s="252">
        <v>0</v>
      </c>
      <c r="I40" s="530">
        <v>8.5496183206106871E-2</v>
      </c>
      <c r="J40" s="250">
        <v>0</v>
      </c>
      <c r="K40" s="251">
        <v>0</v>
      </c>
      <c r="L40" s="251">
        <v>0</v>
      </c>
      <c r="M40" s="251">
        <v>0</v>
      </c>
      <c r="N40" s="252">
        <v>0</v>
      </c>
      <c r="O40" s="250">
        <v>0</v>
      </c>
      <c r="P40" s="250">
        <v>0</v>
      </c>
      <c r="Q40" s="251">
        <v>0</v>
      </c>
      <c r="R40" s="252">
        <v>0</v>
      </c>
      <c r="S40" s="250">
        <v>0</v>
      </c>
      <c r="T40" s="253"/>
      <c r="U40" s="254">
        <v>105</v>
      </c>
      <c r="V40" s="255">
        <v>0</v>
      </c>
      <c r="W40" s="255">
        <v>0</v>
      </c>
      <c r="X40" s="255">
        <v>7</v>
      </c>
      <c r="Y40" s="255">
        <v>0</v>
      </c>
      <c r="Z40" s="255">
        <v>0</v>
      </c>
      <c r="AA40" s="256">
        <v>112</v>
      </c>
      <c r="AB40" s="254">
        <v>0</v>
      </c>
      <c r="AC40" s="255">
        <v>0</v>
      </c>
      <c r="AD40" s="255">
        <v>0</v>
      </c>
      <c r="AE40" s="255">
        <v>0</v>
      </c>
      <c r="AF40" s="257">
        <v>0</v>
      </c>
      <c r="AG40" s="257">
        <v>0</v>
      </c>
      <c r="AH40" s="254">
        <v>0</v>
      </c>
      <c r="AI40" s="255">
        <v>0</v>
      </c>
      <c r="AJ40" s="257">
        <v>0</v>
      </c>
      <c r="AK40" s="254">
        <v>0</v>
      </c>
    </row>
    <row r="41" spans="1:39">
      <c r="A41" s="249"/>
      <c r="B41" s="239" t="s">
        <v>32</v>
      </c>
      <c r="C41" s="272">
        <v>0</v>
      </c>
      <c r="D41" s="251">
        <v>0</v>
      </c>
      <c r="E41" s="251">
        <v>0</v>
      </c>
      <c r="F41" s="251">
        <v>5.1813471502590676E-3</v>
      </c>
      <c r="G41" s="251">
        <v>0</v>
      </c>
      <c r="H41" s="252">
        <v>0</v>
      </c>
      <c r="I41" s="533">
        <v>7.6335877862595419E-4</v>
      </c>
      <c r="J41" s="250">
        <v>0</v>
      </c>
      <c r="K41" s="251">
        <v>0</v>
      </c>
      <c r="L41" s="251">
        <v>0</v>
      </c>
      <c r="M41" s="251">
        <v>0</v>
      </c>
      <c r="N41" s="258">
        <v>0</v>
      </c>
      <c r="O41" s="250">
        <v>0</v>
      </c>
      <c r="P41" s="250">
        <v>0</v>
      </c>
      <c r="Q41" s="251">
        <v>0</v>
      </c>
      <c r="R41" s="252">
        <v>0</v>
      </c>
      <c r="S41" s="250">
        <v>0</v>
      </c>
      <c r="T41" s="253"/>
      <c r="U41" s="254">
        <v>0</v>
      </c>
      <c r="V41" s="255">
        <v>0</v>
      </c>
      <c r="W41" s="255">
        <v>0</v>
      </c>
      <c r="X41" s="255">
        <v>1</v>
      </c>
      <c r="Y41" s="255">
        <v>0</v>
      </c>
      <c r="Z41" s="255">
        <v>0</v>
      </c>
      <c r="AA41" s="256">
        <v>1</v>
      </c>
      <c r="AB41" s="254">
        <v>0</v>
      </c>
      <c r="AC41" s="255">
        <v>0</v>
      </c>
      <c r="AD41" s="255">
        <v>0</v>
      </c>
      <c r="AE41" s="255">
        <v>0</v>
      </c>
      <c r="AF41" s="257">
        <v>0</v>
      </c>
      <c r="AG41" s="257">
        <v>0</v>
      </c>
      <c r="AH41" s="254">
        <v>0</v>
      </c>
      <c r="AI41" s="255">
        <v>0</v>
      </c>
      <c r="AJ41" s="257">
        <v>0</v>
      </c>
      <c r="AK41" s="254">
        <v>0</v>
      </c>
    </row>
    <row r="42" spans="1:39">
      <c r="A42" s="249"/>
      <c r="B42" s="239" t="s">
        <v>58</v>
      </c>
      <c r="C42" s="250">
        <v>0</v>
      </c>
      <c r="D42" s="251">
        <v>0</v>
      </c>
      <c r="E42" s="419">
        <v>0</v>
      </c>
      <c r="F42" s="251">
        <v>0</v>
      </c>
      <c r="G42" s="419">
        <v>0</v>
      </c>
      <c r="H42" s="252">
        <v>0</v>
      </c>
      <c r="I42" s="532">
        <v>0</v>
      </c>
      <c r="J42" s="250">
        <v>0</v>
      </c>
      <c r="K42" s="251">
        <v>0</v>
      </c>
      <c r="L42" s="251">
        <v>1</v>
      </c>
      <c r="M42" s="251">
        <v>1</v>
      </c>
      <c r="N42" s="252">
        <v>0</v>
      </c>
      <c r="O42" s="250">
        <v>1</v>
      </c>
      <c r="P42" s="250">
        <v>0</v>
      </c>
      <c r="Q42" s="251">
        <v>0</v>
      </c>
      <c r="R42" s="252">
        <v>0</v>
      </c>
      <c r="S42" s="250">
        <v>0</v>
      </c>
      <c r="T42" s="253"/>
      <c r="U42" s="254">
        <v>0</v>
      </c>
      <c r="V42" s="255">
        <v>0</v>
      </c>
      <c r="W42" s="255">
        <v>0</v>
      </c>
      <c r="X42" s="255">
        <v>0</v>
      </c>
      <c r="Y42" s="255">
        <v>0</v>
      </c>
      <c r="Z42" s="255">
        <v>0</v>
      </c>
      <c r="AA42" s="256">
        <v>0</v>
      </c>
      <c r="AB42" s="254">
        <v>0</v>
      </c>
      <c r="AC42" s="255">
        <v>0</v>
      </c>
      <c r="AD42" s="255">
        <v>292</v>
      </c>
      <c r="AE42" s="255">
        <v>81</v>
      </c>
      <c r="AF42" s="257">
        <v>0</v>
      </c>
      <c r="AG42" s="257">
        <v>373</v>
      </c>
      <c r="AH42" s="254">
        <v>0</v>
      </c>
      <c r="AI42" s="255">
        <v>0</v>
      </c>
      <c r="AJ42" s="257">
        <v>0</v>
      </c>
      <c r="AK42" s="254">
        <v>0</v>
      </c>
    </row>
    <row r="43" spans="1:39" s="527" customFormat="1">
      <c r="A43" s="435"/>
      <c r="B43" s="436" t="s">
        <v>59</v>
      </c>
      <c r="C43" s="261">
        <v>1</v>
      </c>
      <c r="D43" s="262">
        <v>0</v>
      </c>
      <c r="E43" s="262">
        <v>0</v>
      </c>
      <c r="F43" s="262">
        <v>1</v>
      </c>
      <c r="G43" s="262">
        <v>0</v>
      </c>
      <c r="H43" s="263">
        <v>0</v>
      </c>
      <c r="I43" s="531">
        <v>1</v>
      </c>
      <c r="J43" s="261">
        <v>0</v>
      </c>
      <c r="K43" s="262">
        <v>0</v>
      </c>
      <c r="L43" s="262">
        <v>1</v>
      </c>
      <c r="M43" s="262">
        <v>1</v>
      </c>
      <c r="N43" s="263">
        <v>0</v>
      </c>
      <c r="O43" s="261">
        <v>1</v>
      </c>
      <c r="P43" s="261">
        <v>0</v>
      </c>
      <c r="Q43" s="262">
        <v>0</v>
      </c>
      <c r="R43" s="263">
        <v>0</v>
      </c>
      <c r="S43" s="261">
        <v>0</v>
      </c>
      <c r="T43" s="264"/>
      <c r="U43" s="265">
        <v>1117</v>
      </c>
      <c r="V43" s="266">
        <v>0</v>
      </c>
      <c r="W43" s="266">
        <v>0</v>
      </c>
      <c r="X43" s="266">
        <v>193</v>
      </c>
      <c r="Y43" s="266">
        <v>0</v>
      </c>
      <c r="Z43" s="266">
        <v>0</v>
      </c>
      <c r="AA43" s="267">
        <v>1310</v>
      </c>
      <c r="AB43" s="265">
        <v>0</v>
      </c>
      <c r="AC43" s="266">
        <v>0</v>
      </c>
      <c r="AD43" s="266">
        <v>292</v>
      </c>
      <c r="AE43" s="266">
        <v>81</v>
      </c>
      <c r="AF43" s="268">
        <v>0</v>
      </c>
      <c r="AG43" s="268">
        <v>373</v>
      </c>
      <c r="AH43" s="265">
        <v>0</v>
      </c>
      <c r="AI43" s="266">
        <v>0</v>
      </c>
      <c r="AJ43" s="268">
        <v>0</v>
      </c>
      <c r="AK43" s="265">
        <v>0</v>
      </c>
      <c r="AL43" s="270"/>
      <c r="AM43" s="270"/>
    </row>
    <row r="44" spans="1:39">
      <c r="A44" s="239" t="s">
        <v>6</v>
      </c>
      <c r="B44" s="240" t="s">
        <v>53</v>
      </c>
      <c r="C44" s="241">
        <v>0.30317544793329787</v>
      </c>
      <c r="D44" s="242">
        <v>0.23007915567282322</v>
      </c>
      <c r="E44" s="242">
        <v>0.20775969962453067</v>
      </c>
      <c r="F44" s="242">
        <v>0.17437722419928825</v>
      </c>
      <c r="G44" s="242">
        <v>0</v>
      </c>
      <c r="H44" s="243">
        <v>0.26027397260273971</v>
      </c>
      <c r="I44" s="529">
        <v>0.26834668916069171</v>
      </c>
      <c r="J44" s="241">
        <v>0</v>
      </c>
      <c r="K44" s="242">
        <v>0</v>
      </c>
      <c r="L44" s="242">
        <v>0</v>
      </c>
      <c r="M44" s="242">
        <v>0</v>
      </c>
      <c r="N44" s="243">
        <v>0</v>
      </c>
      <c r="O44" s="241">
        <v>0</v>
      </c>
      <c r="P44" s="342">
        <v>0</v>
      </c>
      <c r="Q44" s="242">
        <v>0</v>
      </c>
      <c r="R44" s="243">
        <v>0</v>
      </c>
      <c r="S44" s="342">
        <v>0</v>
      </c>
      <c r="T44" s="244"/>
      <c r="U44" s="245">
        <v>1709</v>
      </c>
      <c r="V44" s="246">
        <v>436</v>
      </c>
      <c r="W44" s="246">
        <v>332</v>
      </c>
      <c r="X44" s="246">
        <v>49</v>
      </c>
      <c r="Y44" s="246">
        <v>0</v>
      </c>
      <c r="Z44" s="246">
        <v>19</v>
      </c>
      <c r="AA44" s="247">
        <v>2545</v>
      </c>
      <c r="AB44" s="245">
        <v>0</v>
      </c>
      <c r="AC44" s="246">
        <v>0</v>
      </c>
      <c r="AD44" s="246">
        <v>0</v>
      </c>
      <c r="AE44" s="246">
        <v>0</v>
      </c>
      <c r="AF44" s="248">
        <v>0</v>
      </c>
      <c r="AG44" s="248">
        <v>0</v>
      </c>
      <c r="AH44" s="245">
        <v>0</v>
      </c>
      <c r="AI44" s="246">
        <v>0</v>
      </c>
      <c r="AJ44" s="248">
        <v>0</v>
      </c>
      <c r="AK44" s="245">
        <v>0</v>
      </c>
    </row>
    <row r="45" spans="1:39">
      <c r="A45" s="249"/>
      <c r="B45" s="239" t="s">
        <v>93</v>
      </c>
      <c r="C45" s="250">
        <v>0.27603335107326593</v>
      </c>
      <c r="D45" s="251">
        <v>0.28707124010554091</v>
      </c>
      <c r="E45" s="251">
        <v>0.28848560700876097</v>
      </c>
      <c r="F45" s="251">
        <v>0.28113879003558717</v>
      </c>
      <c r="G45" s="251">
        <v>0</v>
      </c>
      <c r="H45" s="252">
        <v>0.38356164383561642</v>
      </c>
      <c r="I45" s="530">
        <v>0.28131590046393928</v>
      </c>
      <c r="J45" s="250">
        <v>0</v>
      </c>
      <c r="K45" s="251">
        <v>0</v>
      </c>
      <c r="L45" s="251">
        <v>0</v>
      </c>
      <c r="M45" s="251">
        <v>0</v>
      </c>
      <c r="N45" s="252">
        <v>0</v>
      </c>
      <c r="O45" s="250">
        <v>0</v>
      </c>
      <c r="P45" s="250">
        <v>0</v>
      </c>
      <c r="Q45" s="251">
        <v>0</v>
      </c>
      <c r="R45" s="252">
        <v>0</v>
      </c>
      <c r="S45" s="250">
        <v>0</v>
      </c>
      <c r="T45" s="253"/>
      <c r="U45" s="254">
        <v>1556</v>
      </c>
      <c r="V45" s="255">
        <v>544</v>
      </c>
      <c r="W45" s="255">
        <v>461</v>
      </c>
      <c r="X45" s="255">
        <v>79</v>
      </c>
      <c r="Y45" s="255">
        <v>0</v>
      </c>
      <c r="Z45" s="255">
        <v>28</v>
      </c>
      <c r="AA45" s="256">
        <v>2668</v>
      </c>
      <c r="AB45" s="254">
        <v>0</v>
      </c>
      <c r="AC45" s="255">
        <v>0</v>
      </c>
      <c r="AD45" s="255">
        <v>0</v>
      </c>
      <c r="AE45" s="255">
        <v>0</v>
      </c>
      <c r="AF45" s="257">
        <v>0</v>
      </c>
      <c r="AG45" s="257">
        <v>0</v>
      </c>
      <c r="AH45" s="254">
        <v>0</v>
      </c>
      <c r="AI45" s="255">
        <v>0</v>
      </c>
      <c r="AJ45" s="257">
        <v>0</v>
      </c>
      <c r="AK45" s="254">
        <v>0</v>
      </c>
    </row>
    <row r="46" spans="1:39">
      <c r="A46" s="249"/>
      <c r="B46" s="239" t="s">
        <v>55</v>
      </c>
      <c r="C46" s="250">
        <v>0.25687422387794928</v>
      </c>
      <c r="D46" s="251">
        <v>0.27229551451187334</v>
      </c>
      <c r="E46" s="251">
        <v>0.31289111389236546</v>
      </c>
      <c r="F46" s="251">
        <v>0.33451957295373663</v>
      </c>
      <c r="G46" s="251">
        <v>0</v>
      </c>
      <c r="H46" s="252">
        <v>0.34246575342465752</v>
      </c>
      <c r="I46" s="530">
        <v>0.27235343736819906</v>
      </c>
      <c r="J46" s="250">
        <v>0</v>
      </c>
      <c r="K46" s="251">
        <v>0</v>
      </c>
      <c r="L46" s="251">
        <v>0</v>
      </c>
      <c r="M46" s="251">
        <v>0</v>
      </c>
      <c r="N46" s="252">
        <v>0</v>
      </c>
      <c r="O46" s="250">
        <v>0</v>
      </c>
      <c r="P46" s="250">
        <v>0</v>
      </c>
      <c r="Q46" s="251">
        <v>0</v>
      </c>
      <c r="R46" s="252">
        <v>0</v>
      </c>
      <c r="S46" s="250">
        <v>0</v>
      </c>
      <c r="T46" s="253"/>
      <c r="U46" s="254">
        <v>1448</v>
      </c>
      <c r="V46" s="255">
        <v>516</v>
      </c>
      <c r="W46" s="255">
        <v>500</v>
      </c>
      <c r="X46" s="255">
        <v>94</v>
      </c>
      <c r="Y46" s="255">
        <v>0</v>
      </c>
      <c r="Z46" s="255">
        <v>25</v>
      </c>
      <c r="AA46" s="256">
        <v>2583</v>
      </c>
      <c r="AB46" s="254">
        <v>0</v>
      </c>
      <c r="AC46" s="255">
        <v>0</v>
      </c>
      <c r="AD46" s="255">
        <v>0</v>
      </c>
      <c r="AE46" s="255">
        <v>0</v>
      </c>
      <c r="AF46" s="257">
        <v>0</v>
      </c>
      <c r="AG46" s="257">
        <v>0</v>
      </c>
      <c r="AH46" s="254">
        <v>0</v>
      </c>
      <c r="AI46" s="255">
        <v>0</v>
      </c>
      <c r="AJ46" s="257">
        <v>0</v>
      </c>
      <c r="AK46" s="254">
        <v>0</v>
      </c>
    </row>
    <row r="47" spans="1:39">
      <c r="A47" s="249"/>
      <c r="B47" s="239" t="s">
        <v>78</v>
      </c>
      <c r="C47" s="250">
        <v>8.5861273727159834E-2</v>
      </c>
      <c r="D47" s="251">
        <v>0.18047493403693932</v>
      </c>
      <c r="E47" s="251">
        <v>0.15081351689612016</v>
      </c>
      <c r="F47" s="251">
        <v>0.20996441281138789</v>
      </c>
      <c r="G47" s="251">
        <v>0</v>
      </c>
      <c r="H47" s="252">
        <v>1.3698630136986301E-2</v>
      </c>
      <c r="I47" s="530">
        <v>0.11883171657528468</v>
      </c>
      <c r="J47" s="250">
        <v>0</v>
      </c>
      <c r="K47" s="251">
        <v>0</v>
      </c>
      <c r="L47" s="251">
        <v>0</v>
      </c>
      <c r="M47" s="251">
        <v>0</v>
      </c>
      <c r="N47" s="252">
        <v>0</v>
      </c>
      <c r="O47" s="250">
        <v>0</v>
      </c>
      <c r="P47" s="250">
        <v>0</v>
      </c>
      <c r="Q47" s="251">
        <v>0</v>
      </c>
      <c r="R47" s="252">
        <v>0</v>
      </c>
      <c r="S47" s="250">
        <v>0</v>
      </c>
      <c r="T47" s="253"/>
      <c r="U47" s="254">
        <v>484</v>
      </c>
      <c r="V47" s="255">
        <v>342</v>
      </c>
      <c r="W47" s="255">
        <v>241</v>
      </c>
      <c r="X47" s="255">
        <v>59</v>
      </c>
      <c r="Y47" s="255">
        <v>0</v>
      </c>
      <c r="Z47" s="255">
        <v>1</v>
      </c>
      <c r="AA47" s="256">
        <v>1127</v>
      </c>
      <c r="AB47" s="254">
        <v>0</v>
      </c>
      <c r="AC47" s="255">
        <v>0</v>
      </c>
      <c r="AD47" s="255">
        <v>0</v>
      </c>
      <c r="AE47" s="255">
        <v>0</v>
      </c>
      <c r="AF47" s="257">
        <v>0</v>
      </c>
      <c r="AG47" s="257">
        <v>0</v>
      </c>
      <c r="AH47" s="254">
        <v>0</v>
      </c>
      <c r="AI47" s="255">
        <v>0</v>
      </c>
      <c r="AJ47" s="257">
        <v>0</v>
      </c>
      <c r="AK47" s="254">
        <v>0</v>
      </c>
    </row>
    <row r="48" spans="1:39">
      <c r="A48" s="249"/>
      <c r="B48" s="239" t="s">
        <v>32</v>
      </c>
      <c r="C48" s="250">
        <v>7.8055703388327125E-2</v>
      </c>
      <c r="D48" s="251">
        <v>3.0079155672823221E-2</v>
      </c>
      <c r="E48" s="251">
        <v>4.005006257822278E-2</v>
      </c>
      <c r="F48" s="251">
        <v>0</v>
      </c>
      <c r="G48" s="273">
        <v>0</v>
      </c>
      <c r="H48" s="252">
        <v>0</v>
      </c>
      <c r="I48" s="530">
        <v>5.9152256431885278E-2</v>
      </c>
      <c r="J48" s="250">
        <v>0</v>
      </c>
      <c r="K48" s="251">
        <v>0</v>
      </c>
      <c r="L48" s="251">
        <v>0</v>
      </c>
      <c r="M48" s="251">
        <v>0</v>
      </c>
      <c r="N48" s="258">
        <v>0</v>
      </c>
      <c r="O48" s="250">
        <v>0</v>
      </c>
      <c r="P48" s="250">
        <v>0</v>
      </c>
      <c r="Q48" s="251">
        <v>0</v>
      </c>
      <c r="R48" s="252">
        <v>0</v>
      </c>
      <c r="S48" s="250">
        <v>0</v>
      </c>
      <c r="T48" s="253"/>
      <c r="U48" s="254">
        <v>440</v>
      </c>
      <c r="V48" s="255">
        <v>57</v>
      </c>
      <c r="W48" s="255">
        <v>64</v>
      </c>
      <c r="X48" s="255">
        <v>0</v>
      </c>
      <c r="Y48" s="255">
        <v>0</v>
      </c>
      <c r="Z48" s="255">
        <v>0</v>
      </c>
      <c r="AA48" s="256">
        <v>561</v>
      </c>
      <c r="AB48" s="254">
        <v>0</v>
      </c>
      <c r="AC48" s="255">
        <v>0</v>
      </c>
      <c r="AD48" s="255">
        <v>0</v>
      </c>
      <c r="AE48" s="255">
        <v>0</v>
      </c>
      <c r="AF48" s="257">
        <v>0</v>
      </c>
      <c r="AG48" s="257">
        <v>0</v>
      </c>
      <c r="AH48" s="254">
        <v>0</v>
      </c>
      <c r="AI48" s="255">
        <v>0</v>
      </c>
      <c r="AJ48" s="257">
        <v>0</v>
      </c>
      <c r="AK48" s="254">
        <v>0</v>
      </c>
    </row>
    <row r="49" spans="1:39">
      <c r="A49" s="249"/>
      <c r="B49" s="239" t="s">
        <v>58</v>
      </c>
      <c r="C49" s="250">
        <v>0</v>
      </c>
      <c r="D49" s="251">
        <v>0</v>
      </c>
      <c r="E49" s="419">
        <v>0</v>
      </c>
      <c r="F49" s="251">
        <v>0</v>
      </c>
      <c r="G49" s="419">
        <v>0</v>
      </c>
      <c r="H49" s="252">
        <v>0</v>
      </c>
      <c r="I49" s="532">
        <v>0</v>
      </c>
      <c r="J49" s="250">
        <v>1</v>
      </c>
      <c r="K49" s="251">
        <v>1</v>
      </c>
      <c r="L49" s="251">
        <v>1</v>
      </c>
      <c r="M49" s="251">
        <v>1</v>
      </c>
      <c r="N49" s="252">
        <v>0</v>
      </c>
      <c r="O49" s="250">
        <v>1</v>
      </c>
      <c r="P49" s="250">
        <v>0</v>
      </c>
      <c r="Q49" s="251">
        <v>0</v>
      </c>
      <c r="R49" s="252">
        <v>0</v>
      </c>
      <c r="S49" s="250">
        <v>0</v>
      </c>
      <c r="T49" s="253"/>
      <c r="U49" s="254">
        <v>0</v>
      </c>
      <c r="V49" s="255">
        <v>0</v>
      </c>
      <c r="W49" s="255">
        <v>0</v>
      </c>
      <c r="X49" s="255">
        <v>0</v>
      </c>
      <c r="Y49" s="255">
        <v>0</v>
      </c>
      <c r="Z49" s="255">
        <v>0</v>
      </c>
      <c r="AA49" s="256">
        <v>0</v>
      </c>
      <c r="AB49" s="254">
        <v>1137</v>
      </c>
      <c r="AC49" s="255">
        <v>3479</v>
      </c>
      <c r="AD49" s="255">
        <v>656</v>
      </c>
      <c r="AE49" s="255">
        <v>56</v>
      </c>
      <c r="AF49" s="257">
        <v>0</v>
      </c>
      <c r="AG49" s="257">
        <v>5328</v>
      </c>
      <c r="AH49" s="254">
        <v>0</v>
      </c>
      <c r="AI49" s="255">
        <v>0</v>
      </c>
      <c r="AJ49" s="257">
        <v>0</v>
      </c>
      <c r="AK49" s="254">
        <v>0</v>
      </c>
    </row>
    <row r="50" spans="1:39" s="527" customFormat="1">
      <c r="A50" s="435"/>
      <c r="B50" s="436" t="s">
        <v>59</v>
      </c>
      <c r="C50" s="261">
        <v>1</v>
      </c>
      <c r="D50" s="262">
        <v>1</v>
      </c>
      <c r="E50" s="262">
        <v>1</v>
      </c>
      <c r="F50" s="262">
        <v>1</v>
      </c>
      <c r="G50" s="262">
        <v>0</v>
      </c>
      <c r="H50" s="263">
        <v>1</v>
      </c>
      <c r="I50" s="531">
        <v>1</v>
      </c>
      <c r="J50" s="261">
        <v>1</v>
      </c>
      <c r="K50" s="262">
        <v>1</v>
      </c>
      <c r="L50" s="262">
        <v>1</v>
      </c>
      <c r="M50" s="262">
        <v>1</v>
      </c>
      <c r="N50" s="263">
        <v>0</v>
      </c>
      <c r="O50" s="261">
        <v>1</v>
      </c>
      <c r="P50" s="261">
        <v>0</v>
      </c>
      <c r="Q50" s="262">
        <v>0</v>
      </c>
      <c r="R50" s="263">
        <v>0</v>
      </c>
      <c r="S50" s="261">
        <v>0</v>
      </c>
      <c r="T50" s="264"/>
      <c r="U50" s="265">
        <v>5637</v>
      </c>
      <c r="V50" s="266">
        <v>1895</v>
      </c>
      <c r="W50" s="266">
        <v>1598</v>
      </c>
      <c r="X50" s="266">
        <v>281</v>
      </c>
      <c r="Y50" s="266">
        <v>0</v>
      </c>
      <c r="Z50" s="266">
        <v>73</v>
      </c>
      <c r="AA50" s="267">
        <v>9484</v>
      </c>
      <c r="AB50" s="265">
        <v>1137</v>
      </c>
      <c r="AC50" s="266">
        <v>3479</v>
      </c>
      <c r="AD50" s="266">
        <v>656</v>
      </c>
      <c r="AE50" s="266">
        <v>56</v>
      </c>
      <c r="AF50" s="268">
        <v>0</v>
      </c>
      <c r="AG50" s="268">
        <v>5328</v>
      </c>
      <c r="AH50" s="265">
        <v>0</v>
      </c>
      <c r="AI50" s="266">
        <v>0</v>
      </c>
      <c r="AJ50" s="268">
        <v>0</v>
      </c>
      <c r="AK50" s="265">
        <v>0</v>
      </c>
      <c r="AL50" s="270"/>
      <c r="AM50" s="270"/>
    </row>
    <row r="51" spans="1:39">
      <c r="A51" s="239" t="s">
        <v>7</v>
      </c>
      <c r="B51" s="240" t="s">
        <v>53</v>
      </c>
      <c r="C51" s="241">
        <v>0.33239337328163554</v>
      </c>
      <c r="D51" s="242">
        <v>0.44962080173347779</v>
      </c>
      <c r="E51" s="242">
        <v>0.22761664564943254</v>
      </c>
      <c r="F51" s="242">
        <v>0.21941747572815534</v>
      </c>
      <c r="G51" s="242">
        <v>0.19873417721518988</v>
      </c>
      <c r="H51" s="243">
        <v>0.1256544502617801</v>
      </c>
      <c r="I51" s="529">
        <v>0.28066476497581544</v>
      </c>
      <c r="J51" s="241">
        <v>0.12142857142857143</v>
      </c>
      <c r="K51" s="242">
        <v>8.3333333333333329E-2</v>
      </c>
      <c r="L51" s="242">
        <v>0.14652014652014653</v>
      </c>
      <c r="M51" s="242">
        <v>0.10909090909090909</v>
      </c>
      <c r="N51" s="243">
        <v>0</v>
      </c>
      <c r="O51" s="241">
        <v>0.121571072319202</v>
      </c>
      <c r="P51" s="342">
        <v>0</v>
      </c>
      <c r="Q51" s="242">
        <v>0</v>
      </c>
      <c r="R51" s="243">
        <v>0</v>
      </c>
      <c r="S51" s="342">
        <v>0</v>
      </c>
      <c r="T51" s="244"/>
      <c r="U51" s="245">
        <v>943</v>
      </c>
      <c r="V51" s="246">
        <v>415</v>
      </c>
      <c r="W51" s="246">
        <v>361</v>
      </c>
      <c r="X51" s="246">
        <v>339</v>
      </c>
      <c r="Y51" s="246">
        <v>157</v>
      </c>
      <c r="Z51" s="246">
        <v>48</v>
      </c>
      <c r="AA51" s="247">
        <v>2263</v>
      </c>
      <c r="AB51" s="245">
        <v>17</v>
      </c>
      <c r="AC51" s="246">
        <v>40</v>
      </c>
      <c r="AD51" s="246">
        <v>120</v>
      </c>
      <c r="AE51" s="246">
        <v>18</v>
      </c>
      <c r="AF51" s="248">
        <v>0</v>
      </c>
      <c r="AG51" s="248">
        <v>195</v>
      </c>
      <c r="AH51" s="245">
        <v>0</v>
      </c>
      <c r="AI51" s="246">
        <v>0</v>
      </c>
      <c r="AJ51" s="248">
        <v>0</v>
      </c>
      <c r="AK51" s="245">
        <v>0</v>
      </c>
    </row>
    <row r="52" spans="1:39">
      <c r="A52" s="249"/>
      <c r="B52" s="239" t="s">
        <v>93</v>
      </c>
      <c r="C52" s="250">
        <v>0.29432499118787453</v>
      </c>
      <c r="D52" s="251">
        <v>0.26327193932827736</v>
      </c>
      <c r="E52" s="251">
        <v>0.24148802017654478</v>
      </c>
      <c r="F52" s="251">
        <v>0.25113268608414241</v>
      </c>
      <c r="G52" s="251">
        <v>0.24683544303797469</v>
      </c>
      <c r="H52" s="252">
        <v>0.25916230366492149</v>
      </c>
      <c r="I52" s="530">
        <v>0.26578196700979784</v>
      </c>
      <c r="J52" s="250">
        <v>0.36428571428571427</v>
      </c>
      <c r="K52" s="251">
        <v>0.29583333333333334</v>
      </c>
      <c r="L52" s="251">
        <v>0.21855921855921856</v>
      </c>
      <c r="M52" s="251">
        <v>0.25454545454545452</v>
      </c>
      <c r="N52" s="252">
        <v>0</v>
      </c>
      <c r="O52" s="250">
        <v>0.25810473815461349</v>
      </c>
      <c r="P52" s="250">
        <v>0</v>
      </c>
      <c r="Q52" s="251">
        <v>0</v>
      </c>
      <c r="R52" s="252">
        <v>0</v>
      </c>
      <c r="S52" s="250">
        <v>0</v>
      </c>
      <c r="T52" s="253"/>
      <c r="U52" s="254">
        <v>835</v>
      </c>
      <c r="V52" s="255">
        <v>243</v>
      </c>
      <c r="W52" s="255">
        <v>383</v>
      </c>
      <c r="X52" s="255">
        <v>388</v>
      </c>
      <c r="Y52" s="255">
        <v>195</v>
      </c>
      <c r="Z52" s="255">
        <v>99</v>
      </c>
      <c r="AA52" s="256">
        <v>2143</v>
      </c>
      <c r="AB52" s="254">
        <v>51</v>
      </c>
      <c r="AC52" s="255">
        <v>142</v>
      </c>
      <c r="AD52" s="255">
        <v>179</v>
      </c>
      <c r="AE52" s="255">
        <v>42</v>
      </c>
      <c r="AF52" s="257">
        <v>0</v>
      </c>
      <c r="AG52" s="257">
        <v>414</v>
      </c>
      <c r="AH52" s="254">
        <v>0</v>
      </c>
      <c r="AI52" s="255">
        <v>0</v>
      </c>
      <c r="AJ52" s="257">
        <v>0</v>
      </c>
      <c r="AK52" s="254">
        <v>0</v>
      </c>
    </row>
    <row r="53" spans="1:39">
      <c r="A53" s="249"/>
      <c r="B53" s="239" t="s">
        <v>55</v>
      </c>
      <c r="C53" s="250">
        <v>0.25555163905534017</v>
      </c>
      <c r="D53" s="251">
        <v>0.26218851570964247</v>
      </c>
      <c r="E53" s="251">
        <v>0.34237074401008827</v>
      </c>
      <c r="F53" s="251">
        <v>0.41423948220064727</v>
      </c>
      <c r="G53" s="251">
        <v>0.41645569620253164</v>
      </c>
      <c r="H53" s="252">
        <v>0.53403141361256545</v>
      </c>
      <c r="I53" s="530">
        <v>0.33275455785687708</v>
      </c>
      <c r="J53" s="250">
        <v>0.37142857142857144</v>
      </c>
      <c r="K53" s="251">
        <v>0.22708333333333333</v>
      </c>
      <c r="L53" s="251">
        <v>0.40170940170940173</v>
      </c>
      <c r="M53" s="251">
        <v>0.33939393939393941</v>
      </c>
      <c r="N53" s="252">
        <v>0</v>
      </c>
      <c r="O53" s="250">
        <v>0.34039900249376559</v>
      </c>
      <c r="P53" s="250">
        <v>0</v>
      </c>
      <c r="Q53" s="251">
        <v>0</v>
      </c>
      <c r="R53" s="252">
        <v>0</v>
      </c>
      <c r="S53" s="250">
        <v>0</v>
      </c>
      <c r="T53" s="253"/>
      <c r="U53" s="254">
        <v>725</v>
      </c>
      <c r="V53" s="255">
        <v>242</v>
      </c>
      <c r="W53" s="255">
        <v>543</v>
      </c>
      <c r="X53" s="255">
        <v>640</v>
      </c>
      <c r="Y53" s="255">
        <v>329</v>
      </c>
      <c r="Z53" s="255">
        <v>204</v>
      </c>
      <c r="AA53" s="256">
        <v>2683</v>
      </c>
      <c r="AB53" s="254">
        <v>52</v>
      </c>
      <c r="AC53" s="255">
        <v>109</v>
      </c>
      <c r="AD53" s="255">
        <v>329</v>
      </c>
      <c r="AE53" s="255">
        <v>56</v>
      </c>
      <c r="AF53" s="257">
        <v>0</v>
      </c>
      <c r="AG53" s="257">
        <v>546</v>
      </c>
      <c r="AH53" s="254">
        <v>0</v>
      </c>
      <c r="AI53" s="255">
        <v>0</v>
      </c>
      <c r="AJ53" s="257">
        <v>0</v>
      </c>
      <c r="AK53" s="254">
        <v>0</v>
      </c>
    </row>
    <row r="54" spans="1:39">
      <c r="A54" s="249"/>
      <c r="B54" s="239" t="s">
        <v>78</v>
      </c>
      <c r="C54" s="250">
        <v>4.0183292210081073E-2</v>
      </c>
      <c r="D54" s="251">
        <v>1.5167930660888408E-2</v>
      </c>
      <c r="E54" s="251">
        <v>0.15447667087011349</v>
      </c>
      <c r="F54" s="251">
        <v>5.372168284789644E-2</v>
      </c>
      <c r="G54" s="251">
        <v>0.11392405063291139</v>
      </c>
      <c r="H54" s="252">
        <v>6.5445026178010471E-2</v>
      </c>
      <c r="I54" s="530">
        <v>7.0817313654967129E-2</v>
      </c>
      <c r="J54" s="250">
        <v>0.14285714285714285</v>
      </c>
      <c r="K54" s="251">
        <v>0.39374999999999999</v>
      </c>
      <c r="L54" s="251">
        <v>0.23321123321123322</v>
      </c>
      <c r="M54" s="251">
        <v>0.29696969696969699</v>
      </c>
      <c r="N54" s="252">
        <v>0</v>
      </c>
      <c r="O54" s="250">
        <v>0.27992518703241898</v>
      </c>
      <c r="P54" s="250">
        <v>0</v>
      </c>
      <c r="Q54" s="251">
        <v>0</v>
      </c>
      <c r="R54" s="252">
        <v>0</v>
      </c>
      <c r="S54" s="250">
        <v>0</v>
      </c>
      <c r="T54" s="253"/>
      <c r="U54" s="254">
        <v>114</v>
      </c>
      <c r="V54" s="255">
        <v>14</v>
      </c>
      <c r="W54" s="255">
        <v>245</v>
      </c>
      <c r="X54" s="255">
        <v>83</v>
      </c>
      <c r="Y54" s="255">
        <v>90</v>
      </c>
      <c r="Z54" s="255">
        <v>25</v>
      </c>
      <c r="AA54" s="256">
        <v>571</v>
      </c>
      <c r="AB54" s="254">
        <v>20</v>
      </c>
      <c r="AC54" s="255">
        <v>189</v>
      </c>
      <c r="AD54" s="255">
        <v>191</v>
      </c>
      <c r="AE54" s="255">
        <v>49</v>
      </c>
      <c r="AF54" s="257">
        <v>0</v>
      </c>
      <c r="AG54" s="257">
        <v>449</v>
      </c>
      <c r="AH54" s="254">
        <v>0</v>
      </c>
      <c r="AI54" s="255">
        <v>0</v>
      </c>
      <c r="AJ54" s="257">
        <v>0</v>
      </c>
      <c r="AK54" s="254">
        <v>0</v>
      </c>
    </row>
    <row r="55" spans="1:39">
      <c r="A55" s="249"/>
      <c r="B55" s="239" t="s">
        <v>32</v>
      </c>
      <c r="C55" s="250">
        <v>7.7546704265068739E-2</v>
      </c>
      <c r="D55" s="251">
        <v>9.7508125677139759E-3</v>
      </c>
      <c r="E55" s="273">
        <v>3.4047919293820936E-2</v>
      </c>
      <c r="F55" s="251">
        <v>6.1488673139158574E-2</v>
      </c>
      <c r="G55" s="251">
        <v>2.4050632911392405E-2</v>
      </c>
      <c r="H55" s="258">
        <v>1.5706806282722512E-2</v>
      </c>
      <c r="I55" s="530">
        <v>4.9981396502542477E-2</v>
      </c>
      <c r="J55" s="250">
        <v>0</v>
      </c>
      <c r="K55" s="251">
        <v>0</v>
      </c>
      <c r="L55" s="251">
        <v>0</v>
      </c>
      <c r="M55" s="251">
        <v>0</v>
      </c>
      <c r="N55" s="258">
        <v>0</v>
      </c>
      <c r="O55" s="250">
        <v>0</v>
      </c>
      <c r="P55" s="250">
        <v>0</v>
      </c>
      <c r="Q55" s="251">
        <v>0</v>
      </c>
      <c r="R55" s="252">
        <v>0</v>
      </c>
      <c r="S55" s="250">
        <v>0</v>
      </c>
      <c r="T55" s="253"/>
      <c r="U55" s="254">
        <v>220</v>
      </c>
      <c r="V55" s="255">
        <v>9</v>
      </c>
      <c r="W55" s="255">
        <v>54</v>
      </c>
      <c r="X55" s="255">
        <v>95</v>
      </c>
      <c r="Y55" s="255">
        <v>19</v>
      </c>
      <c r="Z55" s="255">
        <v>6</v>
      </c>
      <c r="AA55" s="256">
        <v>403</v>
      </c>
      <c r="AB55" s="254">
        <v>0</v>
      </c>
      <c r="AC55" s="255">
        <v>0</v>
      </c>
      <c r="AD55" s="255">
        <v>0</v>
      </c>
      <c r="AE55" s="255">
        <v>0</v>
      </c>
      <c r="AF55" s="257">
        <v>0</v>
      </c>
      <c r="AG55" s="257">
        <v>0</v>
      </c>
      <c r="AH55" s="254">
        <v>0</v>
      </c>
      <c r="AI55" s="255">
        <v>0</v>
      </c>
      <c r="AJ55" s="257">
        <v>0</v>
      </c>
      <c r="AK55" s="254">
        <v>0</v>
      </c>
    </row>
    <row r="56" spans="1:39">
      <c r="A56" s="249"/>
      <c r="B56" s="239" t="s">
        <v>58</v>
      </c>
      <c r="C56" s="250">
        <v>0</v>
      </c>
      <c r="D56" s="251">
        <v>0</v>
      </c>
      <c r="E56" s="419">
        <v>0</v>
      </c>
      <c r="F56" s="251">
        <v>0</v>
      </c>
      <c r="G56" s="419">
        <v>0</v>
      </c>
      <c r="H56" s="252">
        <v>0</v>
      </c>
      <c r="I56" s="532">
        <v>0</v>
      </c>
      <c r="J56" s="250">
        <v>0</v>
      </c>
      <c r="K56" s="251">
        <v>0</v>
      </c>
      <c r="L56" s="251">
        <v>0</v>
      </c>
      <c r="M56" s="251">
        <v>0</v>
      </c>
      <c r="N56" s="252">
        <v>0</v>
      </c>
      <c r="O56" s="250">
        <v>0</v>
      </c>
      <c r="P56" s="250">
        <v>1</v>
      </c>
      <c r="Q56" s="251">
        <v>1</v>
      </c>
      <c r="R56" s="252">
        <v>0</v>
      </c>
      <c r="S56" s="250">
        <v>1</v>
      </c>
      <c r="T56" s="253"/>
      <c r="U56" s="254">
        <v>0</v>
      </c>
      <c r="V56" s="255">
        <v>0</v>
      </c>
      <c r="W56" s="255">
        <v>0</v>
      </c>
      <c r="X56" s="255">
        <v>0</v>
      </c>
      <c r="Y56" s="255">
        <v>0</v>
      </c>
      <c r="Z56" s="255">
        <v>0</v>
      </c>
      <c r="AA56" s="256">
        <v>0</v>
      </c>
      <c r="AB56" s="254">
        <v>0</v>
      </c>
      <c r="AC56" s="255">
        <v>0</v>
      </c>
      <c r="AD56" s="255">
        <v>0</v>
      </c>
      <c r="AE56" s="255">
        <v>0</v>
      </c>
      <c r="AF56" s="257">
        <v>0</v>
      </c>
      <c r="AG56" s="257">
        <v>0</v>
      </c>
      <c r="AH56" s="254">
        <v>2017</v>
      </c>
      <c r="AI56" s="255">
        <v>207</v>
      </c>
      <c r="AJ56" s="257">
        <v>0</v>
      </c>
      <c r="AK56" s="254">
        <v>2224</v>
      </c>
    </row>
    <row r="57" spans="1:39" s="527" customFormat="1">
      <c r="A57" s="435"/>
      <c r="B57" s="436" t="s">
        <v>59</v>
      </c>
      <c r="C57" s="261">
        <v>1</v>
      </c>
      <c r="D57" s="262">
        <v>1</v>
      </c>
      <c r="E57" s="262">
        <v>1</v>
      </c>
      <c r="F57" s="262">
        <v>1</v>
      </c>
      <c r="G57" s="262">
        <v>1</v>
      </c>
      <c r="H57" s="263">
        <v>1</v>
      </c>
      <c r="I57" s="531">
        <v>1</v>
      </c>
      <c r="J57" s="261">
        <v>1</v>
      </c>
      <c r="K57" s="262">
        <v>1</v>
      </c>
      <c r="L57" s="262">
        <v>1</v>
      </c>
      <c r="M57" s="262">
        <v>1</v>
      </c>
      <c r="N57" s="263">
        <v>0</v>
      </c>
      <c r="O57" s="261">
        <v>1</v>
      </c>
      <c r="P57" s="261">
        <v>1</v>
      </c>
      <c r="Q57" s="262">
        <v>1</v>
      </c>
      <c r="R57" s="263">
        <v>0</v>
      </c>
      <c r="S57" s="261">
        <v>1</v>
      </c>
      <c r="T57" s="264"/>
      <c r="U57" s="265">
        <v>2837</v>
      </c>
      <c r="V57" s="266">
        <v>923</v>
      </c>
      <c r="W57" s="266">
        <v>1586</v>
      </c>
      <c r="X57" s="266">
        <v>1545</v>
      </c>
      <c r="Y57" s="266">
        <v>790</v>
      </c>
      <c r="Z57" s="266">
        <v>382</v>
      </c>
      <c r="AA57" s="267">
        <v>8063</v>
      </c>
      <c r="AB57" s="265">
        <v>140</v>
      </c>
      <c r="AC57" s="266">
        <v>480</v>
      </c>
      <c r="AD57" s="266">
        <v>819</v>
      </c>
      <c r="AE57" s="266">
        <v>165</v>
      </c>
      <c r="AF57" s="268">
        <v>0</v>
      </c>
      <c r="AG57" s="268">
        <v>1604</v>
      </c>
      <c r="AH57" s="265">
        <v>2017</v>
      </c>
      <c r="AI57" s="266">
        <v>207</v>
      </c>
      <c r="AJ57" s="268">
        <v>0</v>
      </c>
      <c r="AK57" s="265">
        <v>2224</v>
      </c>
      <c r="AL57" s="270"/>
      <c r="AM57" s="270"/>
    </row>
    <row r="58" spans="1:39">
      <c r="A58" s="239" t="s">
        <v>8</v>
      </c>
      <c r="B58" s="240" t="s">
        <v>53</v>
      </c>
      <c r="C58" s="241">
        <v>0.34978642619838635</v>
      </c>
      <c r="D58" s="242">
        <v>0</v>
      </c>
      <c r="E58" s="242">
        <v>0.20947488584474885</v>
      </c>
      <c r="F58" s="242">
        <v>0.16924778761061948</v>
      </c>
      <c r="G58" s="242">
        <v>0.19083969465648856</v>
      </c>
      <c r="H58" s="243">
        <v>0</v>
      </c>
      <c r="I58" s="529">
        <v>0.26195341234164282</v>
      </c>
      <c r="J58" s="241">
        <v>0</v>
      </c>
      <c r="K58" s="242">
        <v>0.2691588785046729</v>
      </c>
      <c r="L58" s="242">
        <v>0.35335335335335333</v>
      </c>
      <c r="M58" s="242">
        <v>0.40277777777777779</v>
      </c>
      <c r="N58" s="243">
        <v>0</v>
      </c>
      <c r="O58" s="241">
        <v>0.33371428571428574</v>
      </c>
      <c r="P58" s="241">
        <v>5.9259259259259262E-2</v>
      </c>
      <c r="Q58" s="242">
        <v>0</v>
      </c>
      <c r="R58" s="243">
        <v>0</v>
      </c>
      <c r="S58" s="241">
        <v>5.9259259259259262E-2</v>
      </c>
      <c r="T58" s="244"/>
      <c r="U58" s="245">
        <v>737</v>
      </c>
      <c r="V58" s="246">
        <v>0</v>
      </c>
      <c r="W58" s="246">
        <v>367</v>
      </c>
      <c r="X58" s="246">
        <v>153</v>
      </c>
      <c r="Y58" s="246">
        <v>25</v>
      </c>
      <c r="Z58" s="246">
        <v>0</v>
      </c>
      <c r="AA58" s="247">
        <v>1282</v>
      </c>
      <c r="AB58" s="245">
        <v>0</v>
      </c>
      <c r="AC58" s="246">
        <v>144</v>
      </c>
      <c r="AD58" s="246">
        <v>353</v>
      </c>
      <c r="AE58" s="246">
        <v>87</v>
      </c>
      <c r="AF58" s="248">
        <v>0</v>
      </c>
      <c r="AG58" s="248">
        <v>584</v>
      </c>
      <c r="AH58" s="245">
        <v>8</v>
      </c>
      <c r="AI58" s="246">
        <v>0</v>
      </c>
      <c r="AJ58" s="248">
        <v>0</v>
      </c>
      <c r="AK58" s="245">
        <v>8</v>
      </c>
    </row>
    <row r="59" spans="1:39">
      <c r="A59" s="249"/>
      <c r="B59" s="239" t="s">
        <v>93</v>
      </c>
      <c r="C59" s="250">
        <v>0.30232558139534882</v>
      </c>
      <c r="D59" s="251">
        <v>0</v>
      </c>
      <c r="E59" s="251">
        <v>0.23515981735159816</v>
      </c>
      <c r="F59" s="251">
        <v>0.2831858407079646</v>
      </c>
      <c r="G59" s="251">
        <v>0.29007633587786258</v>
      </c>
      <c r="H59" s="252">
        <v>0</v>
      </c>
      <c r="I59" s="530">
        <v>0.27441765427053533</v>
      </c>
      <c r="J59" s="250">
        <v>0</v>
      </c>
      <c r="K59" s="251">
        <v>0.40186915887850466</v>
      </c>
      <c r="L59" s="251">
        <v>0.29629629629629628</v>
      </c>
      <c r="M59" s="251">
        <v>0.34259259259259262</v>
      </c>
      <c r="N59" s="252">
        <v>0</v>
      </c>
      <c r="O59" s="250">
        <v>0.3342857142857143</v>
      </c>
      <c r="P59" s="250">
        <v>0.24444444444444444</v>
      </c>
      <c r="Q59" s="251">
        <v>0</v>
      </c>
      <c r="R59" s="252">
        <v>0</v>
      </c>
      <c r="S59" s="250">
        <v>0.24444444444444444</v>
      </c>
      <c r="T59" s="253"/>
      <c r="U59" s="254">
        <v>637</v>
      </c>
      <c r="V59" s="255">
        <v>0</v>
      </c>
      <c r="W59" s="255">
        <v>412</v>
      </c>
      <c r="X59" s="255">
        <v>256</v>
      </c>
      <c r="Y59" s="255">
        <v>38</v>
      </c>
      <c r="Z59" s="255">
        <v>0</v>
      </c>
      <c r="AA59" s="256">
        <v>1343</v>
      </c>
      <c r="AB59" s="254">
        <v>0</v>
      </c>
      <c r="AC59" s="255">
        <v>215</v>
      </c>
      <c r="AD59" s="255">
        <v>296</v>
      </c>
      <c r="AE59" s="255">
        <v>74</v>
      </c>
      <c r="AF59" s="257">
        <v>0</v>
      </c>
      <c r="AG59" s="257">
        <v>585</v>
      </c>
      <c r="AH59" s="254">
        <v>33</v>
      </c>
      <c r="AI59" s="255">
        <v>0</v>
      </c>
      <c r="AJ59" s="257">
        <v>0</v>
      </c>
      <c r="AK59" s="254">
        <v>33</v>
      </c>
    </row>
    <row r="60" spans="1:39">
      <c r="A60" s="249"/>
      <c r="B60" s="239" t="s">
        <v>55</v>
      </c>
      <c r="C60" s="250">
        <v>0.25296630280018984</v>
      </c>
      <c r="D60" s="251">
        <v>0</v>
      </c>
      <c r="E60" s="251">
        <v>0.2910958904109589</v>
      </c>
      <c r="F60" s="251">
        <v>0.27654867256637167</v>
      </c>
      <c r="G60" s="251">
        <v>0.39694656488549618</v>
      </c>
      <c r="H60" s="252">
        <v>0</v>
      </c>
      <c r="I60" s="530">
        <v>0.27482631794033513</v>
      </c>
      <c r="J60" s="250">
        <v>0</v>
      </c>
      <c r="K60" s="251">
        <v>0.20747663551401868</v>
      </c>
      <c r="L60" s="251">
        <v>0.16516516516516516</v>
      </c>
      <c r="M60" s="251">
        <v>0.10185185185185185</v>
      </c>
      <c r="N60" s="252">
        <v>0</v>
      </c>
      <c r="O60" s="250">
        <v>0.17028571428571429</v>
      </c>
      <c r="P60" s="250">
        <v>0.28888888888888886</v>
      </c>
      <c r="Q60" s="251">
        <v>0</v>
      </c>
      <c r="R60" s="252">
        <v>0</v>
      </c>
      <c r="S60" s="250">
        <v>0.28888888888888886</v>
      </c>
      <c r="T60" s="253"/>
      <c r="U60" s="254">
        <v>533</v>
      </c>
      <c r="V60" s="255">
        <v>0</v>
      </c>
      <c r="W60" s="255">
        <v>510</v>
      </c>
      <c r="X60" s="255">
        <v>250</v>
      </c>
      <c r="Y60" s="255">
        <v>52</v>
      </c>
      <c r="Z60" s="255">
        <v>0</v>
      </c>
      <c r="AA60" s="256">
        <v>1345</v>
      </c>
      <c r="AB60" s="254">
        <v>0</v>
      </c>
      <c r="AC60" s="255">
        <v>111</v>
      </c>
      <c r="AD60" s="255">
        <v>165</v>
      </c>
      <c r="AE60" s="255">
        <v>22</v>
      </c>
      <c r="AF60" s="257">
        <v>0</v>
      </c>
      <c r="AG60" s="257">
        <v>298</v>
      </c>
      <c r="AH60" s="254">
        <v>39</v>
      </c>
      <c r="AI60" s="255">
        <v>0</v>
      </c>
      <c r="AJ60" s="257">
        <v>0</v>
      </c>
      <c r="AK60" s="254">
        <v>39</v>
      </c>
    </row>
    <row r="61" spans="1:39">
      <c r="A61" s="249"/>
      <c r="B61" s="239" t="s">
        <v>78</v>
      </c>
      <c r="C61" s="272">
        <v>4.4138585666824867E-2</v>
      </c>
      <c r="D61" s="251">
        <v>0</v>
      </c>
      <c r="E61" s="251">
        <v>0.11757990867579908</v>
      </c>
      <c r="F61" s="251">
        <v>7.9646017699115043E-2</v>
      </c>
      <c r="G61" s="251">
        <v>0.12213740458015267</v>
      </c>
      <c r="H61" s="252">
        <v>0</v>
      </c>
      <c r="I61" s="530">
        <v>7.9076420106252557E-2</v>
      </c>
      <c r="J61" s="250">
        <v>0</v>
      </c>
      <c r="K61" s="251">
        <v>0.12149532710280374</v>
      </c>
      <c r="L61" s="251">
        <v>0.18518518518518517</v>
      </c>
      <c r="M61" s="251">
        <v>0.15277777777777779</v>
      </c>
      <c r="N61" s="252">
        <v>0</v>
      </c>
      <c r="O61" s="250">
        <v>0.16171428571428573</v>
      </c>
      <c r="P61" s="250">
        <v>0.40740740740740738</v>
      </c>
      <c r="Q61" s="251">
        <v>0</v>
      </c>
      <c r="R61" s="252">
        <v>0</v>
      </c>
      <c r="S61" s="250">
        <v>0.40740740740740738</v>
      </c>
      <c r="T61" s="253"/>
      <c r="U61" s="254">
        <v>93</v>
      </c>
      <c r="V61" s="255">
        <v>0</v>
      </c>
      <c r="W61" s="255">
        <v>206</v>
      </c>
      <c r="X61" s="255">
        <v>72</v>
      </c>
      <c r="Y61" s="255">
        <v>16</v>
      </c>
      <c r="Z61" s="255">
        <v>0</v>
      </c>
      <c r="AA61" s="256">
        <v>387</v>
      </c>
      <c r="AB61" s="254">
        <v>0</v>
      </c>
      <c r="AC61" s="255">
        <v>65</v>
      </c>
      <c r="AD61" s="255">
        <v>185</v>
      </c>
      <c r="AE61" s="255">
        <v>33</v>
      </c>
      <c r="AF61" s="257">
        <v>0</v>
      </c>
      <c r="AG61" s="257">
        <v>283</v>
      </c>
      <c r="AH61" s="254">
        <v>55</v>
      </c>
      <c r="AI61" s="255">
        <v>0</v>
      </c>
      <c r="AJ61" s="257">
        <v>0</v>
      </c>
      <c r="AK61" s="254">
        <v>55</v>
      </c>
    </row>
    <row r="62" spans="1:39">
      <c r="A62" s="249"/>
      <c r="B62" s="239" t="s">
        <v>32</v>
      </c>
      <c r="C62" s="250">
        <v>5.0783103939250118E-2</v>
      </c>
      <c r="D62" s="273">
        <v>0</v>
      </c>
      <c r="E62" s="251">
        <v>0.14668949771689499</v>
      </c>
      <c r="F62" s="251">
        <v>0.1913716814159292</v>
      </c>
      <c r="G62" s="251">
        <v>0</v>
      </c>
      <c r="H62" s="252">
        <v>0</v>
      </c>
      <c r="I62" s="530">
        <v>0.10972619534123416</v>
      </c>
      <c r="J62" s="250">
        <v>0</v>
      </c>
      <c r="K62" s="251">
        <v>0</v>
      </c>
      <c r="L62" s="251">
        <v>0</v>
      </c>
      <c r="M62" s="251">
        <v>0</v>
      </c>
      <c r="N62" s="258">
        <v>0</v>
      </c>
      <c r="O62" s="250">
        <v>0</v>
      </c>
      <c r="P62" s="250">
        <v>0</v>
      </c>
      <c r="Q62" s="251">
        <v>0</v>
      </c>
      <c r="R62" s="252">
        <v>0</v>
      </c>
      <c r="S62" s="250">
        <v>0</v>
      </c>
      <c r="T62" s="253"/>
      <c r="U62" s="254">
        <v>107</v>
      </c>
      <c r="V62" s="255">
        <v>0</v>
      </c>
      <c r="W62" s="255">
        <v>257</v>
      </c>
      <c r="X62" s="255">
        <v>173</v>
      </c>
      <c r="Y62" s="255">
        <v>0</v>
      </c>
      <c r="Z62" s="255">
        <v>0</v>
      </c>
      <c r="AA62" s="256">
        <v>537</v>
      </c>
      <c r="AB62" s="254">
        <v>0</v>
      </c>
      <c r="AC62" s="255">
        <v>0</v>
      </c>
      <c r="AD62" s="255">
        <v>0</v>
      </c>
      <c r="AE62" s="255">
        <v>0</v>
      </c>
      <c r="AF62" s="257">
        <v>0</v>
      </c>
      <c r="AG62" s="257">
        <v>0</v>
      </c>
      <c r="AH62" s="254">
        <v>0</v>
      </c>
      <c r="AI62" s="255">
        <v>0</v>
      </c>
      <c r="AJ62" s="257">
        <v>0</v>
      </c>
      <c r="AK62" s="254">
        <v>0</v>
      </c>
    </row>
    <row r="63" spans="1:39">
      <c r="A63" s="249"/>
      <c r="B63" s="239" t="s">
        <v>58</v>
      </c>
      <c r="C63" s="250">
        <v>0</v>
      </c>
      <c r="D63" s="251">
        <v>0</v>
      </c>
      <c r="E63" s="419">
        <v>0</v>
      </c>
      <c r="F63" s="251">
        <v>0</v>
      </c>
      <c r="G63" s="419">
        <v>0</v>
      </c>
      <c r="H63" s="252">
        <v>0</v>
      </c>
      <c r="I63" s="532">
        <v>0</v>
      </c>
      <c r="J63" s="250">
        <v>0</v>
      </c>
      <c r="K63" s="251">
        <v>0</v>
      </c>
      <c r="L63" s="251">
        <v>0</v>
      </c>
      <c r="M63" s="251">
        <v>0</v>
      </c>
      <c r="N63" s="252">
        <v>0</v>
      </c>
      <c r="O63" s="250">
        <v>0</v>
      </c>
      <c r="P63" s="250">
        <v>0</v>
      </c>
      <c r="Q63" s="251">
        <v>0</v>
      </c>
      <c r="R63" s="252">
        <v>0</v>
      </c>
      <c r="S63" s="250">
        <v>0</v>
      </c>
      <c r="T63" s="253"/>
      <c r="U63" s="254">
        <v>0</v>
      </c>
      <c r="V63" s="255">
        <v>0</v>
      </c>
      <c r="W63" s="255">
        <v>0</v>
      </c>
      <c r="X63" s="255">
        <v>0</v>
      </c>
      <c r="Y63" s="255">
        <v>0</v>
      </c>
      <c r="Z63" s="255">
        <v>0</v>
      </c>
      <c r="AA63" s="256">
        <v>0</v>
      </c>
      <c r="AB63" s="254">
        <v>0</v>
      </c>
      <c r="AC63" s="255">
        <v>0</v>
      </c>
      <c r="AD63" s="255">
        <v>0</v>
      </c>
      <c r="AE63" s="255">
        <v>0</v>
      </c>
      <c r="AF63" s="257">
        <v>0</v>
      </c>
      <c r="AG63" s="257">
        <v>0</v>
      </c>
      <c r="AH63" s="254">
        <v>0</v>
      </c>
      <c r="AI63" s="255">
        <v>0</v>
      </c>
      <c r="AJ63" s="257">
        <v>0</v>
      </c>
      <c r="AK63" s="254">
        <v>0</v>
      </c>
    </row>
    <row r="64" spans="1:39" s="527" customFormat="1">
      <c r="A64" s="435"/>
      <c r="B64" s="436" t="s">
        <v>59</v>
      </c>
      <c r="C64" s="261">
        <v>1</v>
      </c>
      <c r="D64" s="262">
        <v>0</v>
      </c>
      <c r="E64" s="262">
        <v>1</v>
      </c>
      <c r="F64" s="262">
        <v>1</v>
      </c>
      <c r="G64" s="262">
        <v>1</v>
      </c>
      <c r="H64" s="263">
        <v>0</v>
      </c>
      <c r="I64" s="531">
        <v>1</v>
      </c>
      <c r="J64" s="261">
        <v>0</v>
      </c>
      <c r="K64" s="262">
        <v>1</v>
      </c>
      <c r="L64" s="262">
        <v>1</v>
      </c>
      <c r="M64" s="262">
        <v>1</v>
      </c>
      <c r="N64" s="263">
        <v>0</v>
      </c>
      <c r="O64" s="261">
        <v>1</v>
      </c>
      <c r="P64" s="261">
        <v>1</v>
      </c>
      <c r="Q64" s="262">
        <v>0</v>
      </c>
      <c r="R64" s="263">
        <v>0</v>
      </c>
      <c r="S64" s="261">
        <v>1</v>
      </c>
      <c r="T64" s="264"/>
      <c r="U64" s="265">
        <v>2107</v>
      </c>
      <c r="V64" s="266">
        <v>0</v>
      </c>
      <c r="W64" s="266">
        <v>1752</v>
      </c>
      <c r="X64" s="266">
        <v>904</v>
      </c>
      <c r="Y64" s="266">
        <v>131</v>
      </c>
      <c r="Z64" s="266">
        <v>0</v>
      </c>
      <c r="AA64" s="267">
        <v>4894</v>
      </c>
      <c r="AB64" s="265">
        <v>0</v>
      </c>
      <c r="AC64" s="266">
        <v>535</v>
      </c>
      <c r="AD64" s="266">
        <v>999</v>
      </c>
      <c r="AE64" s="266">
        <v>216</v>
      </c>
      <c r="AF64" s="268">
        <v>0</v>
      </c>
      <c r="AG64" s="268">
        <v>1750</v>
      </c>
      <c r="AH64" s="265">
        <v>135</v>
      </c>
      <c r="AI64" s="266">
        <v>0</v>
      </c>
      <c r="AJ64" s="268">
        <v>0</v>
      </c>
      <c r="AK64" s="265">
        <v>135</v>
      </c>
      <c r="AL64" s="270"/>
      <c r="AM64" s="270"/>
    </row>
    <row r="65" spans="1:39">
      <c r="A65" s="239" t="s">
        <v>9</v>
      </c>
      <c r="B65" s="240" t="s">
        <v>53</v>
      </c>
      <c r="C65" s="241">
        <v>0.33055344958301741</v>
      </c>
      <c r="D65" s="242">
        <v>0.24258760107816713</v>
      </c>
      <c r="E65" s="242">
        <v>0.19785714285714287</v>
      </c>
      <c r="F65" s="242">
        <v>0.18745387453874537</v>
      </c>
      <c r="G65" s="242">
        <v>0.13131313131313133</v>
      </c>
      <c r="H65" s="243">
        <v>0</v>
      </c>
      <c r="I65" s="529">
        <v>0.23687466855223616</v>
      </c>
      <c r="J65" s="241">
        <v>0.2072072072072072</v>
      </c>
      <c r="K65" s="242">
        <v>0.16176470588235295</v>
      </c>
      <c r="L65" s="242">
        <v>9.5238095238095233E-2</v>
      </c>
      <c r="M65" s="242">
        <v>1.5151515151515152E-2</v>
      </c>
      <c r="N65" s="243">
        <v>0</v>
      </c>
      <c r="O65" s="241">
        <v>0.12090909090909091</v>
      </c>
      <c r="P65" s="342">
        <v>0</v>
      </c>
      <c r="Q65" s="242">
        <v>0</v>
      </c>
      <c r="R65" s="243">
        <v>0</v>
      </c>
      <c r="S65" s="342">
        <v>0</v>
      </c>
      <c r="T65" s="244"/>
      <c r="U65" s="245">
        <v>436</v>
      </c>
      <c r="V65" s="246">
        <v>360</v>
      </c>
      <c r="W65" s="246">
        <v>277</v>
      </c>
      <c r="X65" s="246">
        <v>254</v>
      </c>
      <c r="Y65" s="246">
        <v>13</v>
      </c>
      <c r="Z65" s="246">
        <v>0</v>
      </c>
      <c r="AA65" s="247">
        <v>1340</v>
      </c>
      <c r="AB65" s="245">
        <v>23</v>
      </c>
      <c r="AC65" s="246">
        <v>77</v>
      </c>
      <c r="AD65" s="246">
        <v>30</v>
      </c>
      <c r="AE65" s="246">
        <v>3</v>
      </c>
      <c r="AF65" s="248">
        <v>0</v>
      </c>
      <c r="AG65" s="248">
        <v>133</v>
      </c>
      <c r="AH65" s="245">
        <v>0</v>
      </c>
      <c r="AI65" s="246">
        <v>0</v>
      </c>
      <c r="AJ65" s="248">
        <v>0</v>
      </c>
      <c r="AK65" s="245">
        <v>0</v>
      </c>
    </row>
    <row r="66" spans="1:39">
      <c r="A66" s="249"/>
      <c r="B66" s="239" t="s">
        <v>93</v>
      </c>
      <c r="C66" s="250">
        <v>0.21834723275208492</v>
      </c>
      <c r="D66" s="251">
        <v>0.21428571428571427</v>
      </c>
      <c r="E66" s="251">
        <v>0.19714285714285715</v>
      </c>
      <c r="F66" s="251">
        <v>0.19926199261992619</v>
      </c>
      <c r="G66" s="251">
        <v>0.29292929292929293</v>
      </c>
      <c r="H66" s="252">
        <v>0</v>
      </c>
      <c r="I66" s="530">
        <v>0.20876789817924696</v>
      </c>
      <c r="J66" s="250">
        <v>0.22522522522522523</v>
      </c>
      <c r="K66" s="251">
        <v>0.11134453781512606</v>
      </c>
      <c r="L66" s="251">
        <v>0.27619047619047621</v>
      </c>
      <c r="M66" s="251">
        <v>0.15151515151515152</v>
      </c>
      <c r="N66" s="252">
        <v>0</v>
      </c>
      <c r="O66" s="250">
        <v>0.17727272727272728</v>
      </c>
      <c r="P66" s="250">
        <v>0</v>
      </c>
      <c r="Q66" s="251">
        <v>0</v>
      </c>
      <c r="R66" s="252">
        <v>0</v>
      </c>
      <c r="S66" s="250">
        <v>0</v>
      </c>
      <c r="T66" s="253"/>
      <c r="U66" s="254">
        <v>288</v>
      </c>
      <c r="V66" s="255">
        <v>318</v>
      </c>
      <c r="W66" s="255">
        <v>276</v>
      </c>
      <c r="X66" s="255">
        <v>270</v>
      </c>
      <c r="Y66" s="255">
        <v>29</v>
      </c>
      <c r="Z66" s="255">
        <v>0</v>
      </c>
      <c r="AA66" s="256">
        <v>1181</v>
      </c>
      <c r="AB66" s="254">
        <v>25</v>
      </c>
      <c r="AC66" s="255">
        <v>53</v>
      </c>
      <c r="AD66" s="255">
        <v>87</v>
      </c>
      <c r="AE66" s="255">
        <v>30</v>
      </c>
      <c r="AF66" s="257">
        <v>0</v>
      </c>
      <c r="AG66" s="257">
        <v>195</v>
      </c>
      <c r="AH66" s="254">
        <v>0</v>
      </c>
      <c r="AI66" s="255">
        <v>0</v>
      </c>
      <c r="AJ66" s="257">
        <v>0</v>
      </c>
      <c r="AK66" s="254">
        <v>0</v>
      </c>
    </row>
    <row r="67" spans="1:39">
      <c r="A67" s="249"/>
      <c r="B67" s="239" t="s">
        <v>55</v>
      </c>
      <c r="C67" s="250">
        <v>0.24791508718726307</v>
      </c>
      <c r="D67" s="251">
        <v>0.27964959568733155</v>
      </c>
      <c r="E67" s="251">
        <v>0.315</v>
      </c>
      <c r="F67" s="251">
        <v>0.39778597785977859</v>
      </c>
      <c r="G67" s="251">
        <v>0.53535353535353536</v>
      </c>
      <c r="H67" s="252">
        <v>0</v>
      </c>
      <c r="I67" s="530">
        <v>0.3137705497613576</v>
      </c>
      <c r="J67" s="250">
        <v>0.4144144144144144</v>
      </c>
      <c r="K67" s="251">
        <v>0.17857142857142858</v>
      </c>
      <c r="L67" s="251">
        <v>0.23174603174603176</v>
      </c>
      <c r="M67" s="251">
        <v>0.27272727272727271</v>
      </c>
      <c r="N67" s="252">
        <v>0</v>
      </c>
      <c r="O67" s="250">
        <v>0.23454545454545456</v>
      </c>
      <c r="P67" s="250">
        <v>0</v>
      </c>
      <c r="Q67" s="251">
        <v>0</v>
      </c>
      <c r="R67" s="252">
        <v>0</v>
      </c>
      <c r="S67" s="250">
        <v>0</v>
      </c>
      <c r="T67" s="253"/>
      <c r="U67" s="254">
        <v>327</v>
      </c>
      <c r="V67" s="255">
        <v>415</v>
      </c>
      <c r="W67" s="255">
        <v>441</v>
      </c>
      <c r="X67" s="255">
        <v>539</v>
      </c>
      <c r="Y67" s="255">
        <v>53</v>
      </c>
      <c r="Z67" s="255">
        <v>0</v>
      </c>
      <c r="AA67" s="256">
        <v>1775</v>
      </c>
      <c r="AB67" s="254">
        <v>46</v>
      </c>
      <c r="AC67" s="255">
        <v>85</v>
      </c>
      <c r="AD67" s="255">
        <v>73</v>
      </c>
      <c r="AE67" s="255">
        <v>54</v>
      </c>
      <c r="AF67" s="257">
        <v>0</v>
      </c>
      <c r="AG67" s="257">
        <v>258</v>
      </c>
      <c r="AH67" s="254">
        <v>0</v>
      </c>
      <c r="AI67" s="255">
        <v>0</v>
      </c>
      <c r="AJ67" s="257">
        <v>0</v>
      </c>
      <c r="AK67" s="254">
        <v>0</v>
      </c>
    </row>
    <row r="68" spans="1:39">
      <c r="A68" s="249"/>
      <c r="B68" s="239" t="s">
        <v>78</v>
      </c>
      <c r="C68" s="250">
        <v>0.18726307808946172</v>
      </c>
      <c r="D68" s="251">
        <v>0.23180592991913745</v>
      </c>
      <c r="E68" s="251">
        <v>0.26928571428571429</v>
      </c>
      <c r="F68" s="251">
        <v>0.2</v>
      </c>
      <c r="G68" s="251">
        <v>4.0404040404040407E-2</v>
      </c>
      <c r="H68" s="252">
        <v>0</v>
      </c>
      <c r="I68" s="530">
        <v>0.21972777090330564</v>
      </c>
      <c r="J68" s="250">
        <v>0.15315315315315314</v>
      </c>
      <c r="K68" s="251">
        <v>0.29201680672268909</v>
      </c>
      <c r="L68" s="251">
        <v>0.3968253968253968</v>
      </c>
      <c r="M68" s="251">
        <v>0.54545454545454541</v>
      </c>
      <c r="N68" s="252">
        <v>0</v>
      </c>
      <c r="O68" s="250">
        <v>0.35363636363636364</v>
      </c>
      <c r="P68" s="250">
        <v>1</v>
      </c>
      <c r="Q68" s="251">
        <v>0.97777777777777775</v>
      </c>
      <c r="R68" s="252">
        <v>0</v>
      </c>
      <c r="S68" s="250">
        <v>0.18138801261829654</v>
      </c>
      <c r="T68" s="253"/>
      <c r="U68" s="254">
        <v>247</v>
      </c>
      <c r="V68" s="255">
        <v>344</v>
      </c>
      <c r="W68" s="255">
        <v>377</v>
      </c>
      <c r="X68" s="255">
        <v>271</v>
      </c>
      <c r="Y68" s="255">
        <v>4</v>
      </c>
      <c r="Z68" s="255">
        <v>0</v>
      </c>
      <c r="AA68" s="256">
        <v>1243</v>
      </c>
      <c r="AB68" s="254">
        <v>17</v>
      </c>
      <c r="AC68" s="255">
        <v>139</v>
      </c>
      <c r="AD68" s="255">
        <v>125</v>
      </c>
      <c r="AE68" s="255">
        <v>108</v>
      </c>
      <c r="AF68" s="257">
        <v>0</v>
      </c>
      <c r="AG68" s="257">
        <v>389</v>
      </c>
      <c r="AH68" s="254">
        <v>71</v>
      </c>
      <c r="AI68" s="255">
        <v>44</v>
      </c>
      <c r="AJ68" s="257">
        <v>0</v>
      </c>
      <c r="AK68" s="254">
        <v>115</v>
      </c>
    </row>
    <row r="69" spans="1:39">
      <c r="A69" s="249"/>
      <c r="B69" s="239" t="s">
        <v>32</v>
      </c>
      <c r="C69" s="250">
        <v>1.5921152388172859E-2</v>
      </c>
      <c r="D69" s="251">
        <v>3.1671159029649593E-2</v>
      </c>
      <c r="E69" s="251">
        <v>2.0714285714285713E-2</v>
      </c>
      <c r="F69" s="273">
        <v>1.5498154981549815E-2</v>
      </c>
      <c r="G69" s="251">
        <v>0</v>
      </c>
      <c r="H69" s="252">
        <v>0</v>
      </c>
      <c r="I69" s="530">
        <v>2.0859112603853633E-2</v>
      </c>
      <c r="J69" s="250">
        <v>0</v>
      </c>
      <c r="K69" s="251">
        <v>0.25630252100840334</v>
      </c>
      <c r="L69" s="251">
        <v>0</v>
      </c>
      <c r="M69" s="251">
        <v>1.5151515151515152E-2</v>
      </c>
      <c r="N69" s="258">
        <v>0</v>
      </c>
      <c r="O69" s="250">
        <v>0.11363636363636363</v>
      </c>
      <c r="P69" s="250">
        <v>0</v>
      </c>
      <c r="Q69" s="251">
        <v>2.2222222222222223E-2</v>
      </c>
      <c r="R69" s="252">
        <v>0</v>
      </c>
      <c r="S69" s="272">
        <v>1.5772870662460567E-3</v>
      </c>
      <c r="T69" s="253"/>
      <c r="U69" s="254">
        <v>21</v>
      </c>
      <c r="V69" s="255">
        <v>47</v>
      </c>
      <c r="W69" s="255">
        <v>29</v>
      </c>
      <c r="X69" s="255">
        <v>21</v>
      </c>
      <c r="Y69" s="255">
        <v>0</v>
      </c>
      <c r="Z69" s="255">
        <v>0</v>
      </c>
      <c r="AA69" s="256">
        <v>118</v>
      </c>
      <c r="AB69" s="254">
        <v>0</v>
      </c>
      <c r="AC69" s="255">
        <v>122</v>
      </c>
      <c r="AD69" s="255">
        <v>0</v>
      </c>
      <c r="AE69" s="255">
        <v>3</v>
      </c>
      <c r="AF69" s="257">
        <v>0</v>
      </c>
      <c r="AG69" s="257">
        <v>125</v>
      </c>
      <c r="AH69" s="254">
        <v>0</v>
      </c>
      <c r="AI69" s="255">
        <v>1</v>
      </c>
      <c r="AJ69" s="257">
        <v>0</v>
      </c>
      <c r="AK69" s="254">
        <v>1</v>
      </c>
    </row>
    <row r="70" spans="1:39">
      <c r="A70" s="249"/>
      <c r="B70" s="239" t="s">
        <v>58</v>
      </c>
      <c r="C70" s="250">
        <v>0</v>
      </c>
      <c r="D70" s="251">
        <v>0</v>
      </c>
      <c r="E70" s="251">
        <v>0</v>
      </c>
      <c r="F70" s="273">
        <v>0</v>
      </c>
      <c r="G70" s="419">
        <v>0</v>
      </c>
      <c r="H70" s="252">
        <v>0</v>
      </c>
      <c r="I70" s="530">
        <v>0</v>
      </c>
      <c r="J70" s="250">
        <v>0</v>
      </c>
      <c r="K70" s="251">
        <v>0</v>
      </c>
      <c r="L70" s="251">
        <v>0</v>
      </c>
      <c r="M70" s="251">
        <v>0</v>
      </c>
      <c r="N70" s="252">
        <v>0</v>
      </c>
      <c r="O70" s="250">
        <v>0</v>
      </c>
      <c r="P70" s="250">
        <v>0</v>
      </c>
      <c r="Q70" s="251">
        <v>0</v>
      </c>
      <c r="R70" s="252">
        <v>1</v>
      </c>
      <c r="S70" s="250">
        <v>0.81703470031545744</v>
      </c>
      <c r="T70" s="253"/>
      <c r="U70" s="254">
        <v>0</v>
      </c>
      <c r="V70" s="255">
        <v>0</v>
      </c>
      <c r="W70" s="255">
        <v>0</v>
      </c>
      <c r="X70" s="255">
        <v>0</v>
      </c>
      <c r="Y70" s="255">
        <v>0</v>
      </c>
      <c r="Z70" s="255">
        <v>0</v>
      </c>
      <c r="AA70" s="256">
        <v>0</v>
      </c>
      <c r="AB70" s="254">
        <v>0</v>
      </c>
      <c r="AC70" s="255">
        <v>0</v>
      </c>
      <c r="AD70" s="255">
        <v>0</v>
      </c>
      <c r="AE70" s="255">
        <v>0</v>
      </c>
      <c r="AF70" s="257">
        <v>0</v>
      </c>
      <c r="AG70" s="257">
        <v>0</v>
      </c>
      <c r="AH70" s="254">
        <v>0</v>
      </c>
      <c r="AI70" s="255">
        <v>0</v>
      </c>
      <c r="AJ70" s="257">
        <v>518</v>
      </c>
      <c r="AK70" s="254">
        <v>518</v>
      </c>
    </row>
    <row r="71" spans="1:39" s="527" customFormat="1">
      <c r="A71" s="435"/>
      <c r="B71" s="436" t="s">
        <v>59</v>
      </c>
      <c r="C71" s="261">
        <v>1</v>
      </c>
      <c r="D71" s="262">
        <v>1</v>
      </c>
      <c r="E71" s="262">
        <v>1</v>
      </c>
      <c r="F71" s="262">
        <v>1</v>
      </c>
      <c r="G71" s="262">
        <v>1</v>
      </c>
      <c r="H71" s="263">
        <v>0</v>
      </c>
      <c r="I71" s="531">
        <v>1</v>
      </c>
      <c r="J71" s="261">
        <v>1</v>
      </c>
      <c r="K71" s="262">
        <v>1</v>
      </c>
      <c r="L71" s="262">
        <v>1</v>
      </c>
      <c r="M71" s="262">
        <v>1</v>
      </c>
      <c r="N71" s="263">
        <v>0</v>
      </c>
      <c r="O71" s="261">
        <v>1</v>
      </c>
      <c r="P71" s="261">
        <v>1</v>
      </c>
      <c r="Q71" s="262">
        <v>1</v>
      </c>
      <c r="R71" s="263">
        <v>1</v>
      </c>
      <c r="S71" s="261">
        <v>1</v>
      </c>
      <c r="T71" s="264"/>
      <c r="U71" s="265">
        <v>1319</v>
      </c>
      <c r="V71" s="266">
        <v>1484</v>
      </c>
      <c r="W71" s="266">
        <v>1400</v>
      </c>
      <c r="X71" s="266">
        <v>1355</v>
      </c>
      <c r="Y71" s="266">
        <v>99</v>
      </c>
      <c r="Z71" s="266">
        <v>0</v>
      </c>
      <c r="AA71" s="267">
        <v>5657</v>
      </c>
      <c r="AB71" s="265">
        <v>111</v>
      </c>
      <c r="AC71" s="266">
        <v>476</v>
      </c>
      <c r="AD71" s="266">
        <v>315</v>
      </c>
      <c r="AE71" s="266">
        <v>198</v>
      </c>
      <c r="AF71" s="268">
        <v>0</v>
      </c>
      <c r="AG71" s="268">
        <v>1100</v>
      </c>
      <c r="AH71" s="265">
        <v>71</v>
      </c>
      <c r="AI71" s="266">
        <v>45</v>
      </c>
      <c r="AJ71" s="268">
        <v>518</v>
      </c>
      <c r="AK71" s="265">
        <v>634</v>
      </c>
      <c r="AL71" s="270"/>
      <c r="AM71" s="270"/>
    </row>
    <row r="72" spans="1:39">
      <c r="A72" s="239" t="s">
        <v>10</v>
      </c>
      <c r="B72" s="240" t="s">
        <v>53</v>
      </c>
      <c r="C72" s="241">
        <v>0.39220462850182702</v>
      </c>
      <c r="D72" s="242">
        <v>0.2857142857142857</v>
      </c>
      <c r="E72" s="242">
        <v>0.184640522875817</v>
      </c>
      <c r="F72" s="242">
        <v>0.22007434944237919</v>
      </c>
      <c r="G72" s="242">
        <v>0</v>
      </c>
      <c r="H72" s="243">
        <v>0.26623376623376621</v>
      </c>
      <c r="I72" s="529">
        <v>0.27743399339933994</v>
      </c>
      <c r="J72" s="241">
        <v>0</v>
      </c>
      <c r="K72" s="242">
        <v>0.36173285198555954</v>
      </c>
      <c r="L72" s="242">
        <v>0.33695652173913043</v>
      </c>
      <c r="M72" s="242">
        <v>0.22440944881889763</v>
      </c>
      <c r="N72" s="243">
        <v>0</v>
      </c>
      <c r="O72" s="241">
        <v>0.3393684210526316</v>
      </c>
      <c r="P72" s="342">
        <v>0</v>
      </c>
      <c r="Q72" s="242">
        <v>0</v>
      </c>
      <c r="R72" s="243">
        <v>0</v>
      </c>
      <c r="S72" s="342">
        <v>0</v>
      </c>
      <c r="T72" s="244"/>
      <c r="U72" s="245">
        <v>644</v>
      </c>
      <c r="V72" s="246">
        <v>138</v>
      </c>
      <c r="W72" s="246">
        <v>226</v>
      </c>
      <c r="X72" s="246">
        <v>296</v>
      </c>
      <c r="Y72" s="246">
        <v>0</v>
      </c>
      <c r="Z72" s="246">
        <v>41</v>
      </c>
      <c r="AA72" s="247">
        <v>1345</v>
      </c>
      <c r="AB72" s="245">
        <v>0</v>
      </c>
      <c r="AC72" s="246">
        <v>501</v>
      </c>
      <c r="AD72" s="246">
        <v>248</v>
      </c>
      <c r="AE72" s="246">
        <v>57</v>
      </c>
      <c r="AF72" s="248">
        <v>0</v>
      </c>
      <c r="AG72" s="248">
        <v>806</v>
      </c>
      <c r="AH72" s="245">
        <v>0</v>
      </c>
      <c r="AI72" s="246">
        <v>0</v>
      </c>
      <c r="AJ72" s="248">
        <v>0</v>
      </c>
      <c r="AK72" s="245">
        <v>0</v>
      </c>
    </row>
    <row r="73" spans="1:39">
      <c r="A73" s="249"/>
      <c r="B73" s="239" t="s">
        <v>93</v>
      </c>
      <c r="C73" s="250">
        <v>0.25761266747868455</v>
      </c>
      <c r="D73" s="251">
        <v>0.3188405797101449</v>
      </c>
      <c r="E73" s="251">
        <v>0.22058823529411764</v>
      </c>
      <c r="F73" s="251">
        <v>0.23494423791821561</v>
      </c>
      <c r="G73" s="251">
        <v>0</v>
      </c>
      <c r="H73" s="252">
        <v>0.2792207792207792</v>
      </c>
      <c r="I73" s="530">
        <v>0.24876237623762376</v>
      </c>
      <c r="J73" s="250">
        <v>0</v>
      </c>
      <c r="K73" s="251">
        <v>0.29819494584837547</v>
      </c>
      <c r="L73" s="251">
        <v>0.21195652173913043</v>
      </c>
      <c r="M73" s="251">
        <v>0.24803149606299213</v>
      </c>
      <c r="N73" s="252">
        <v>0</v>
      </c>
      <c r="O73" s="250">
        <v>0.26610526315789473</v>
      </c>
      <c r="P73" s="250">
        <v>0</v>
      </c>
      <c r="Q73" s="251">
        <v>0</v>
      </c>
      <c r="R73" s="252">
        <v>0</v>
      </c>
      <c r="S73" s="250">
        <v>0</v>
      </c>
      <c r="T73" s="253"/>
      <c r="U73" s="254">
        <v>423</v>
      </c>
      <c r="V73" s="255">
        <v>154</v>
      </c>
      <c r="W73" s="255">
        <v>270</v>
      </c>
      <c r="X73" s="255">
        <v>316</v>
      </c>
      <c r="Y73" s="255">
        <v>0</v>
      </c>
      <c r="Z73" s="255">
        <v>43</v>
      </c>
      <c r="AA73" s="256">
        <v>1206</v>
      </c>
      <c r="AB73" s="254">
        <v>0</v>
      </c>
      <c r="AC73" s="255">
        <v>413</v>
      </c>
      <c r="AD73" s="255">
        <v>156</v>
      </c>
      <c r="AE73" s="255">
        <v>63</v>
      </c>
      <c r="AF73" s="257">
        <v>0</v>
      </c>
      <c r="AG73" s="257">
        <v>632</v>
      </c>
      <c r="AH73" s="254">
        <v>0</v>
      </c>
      <c r="AI73" s="255">
        <v>0</v>
      </c>
      <c r="AJ73" s="257">
        <v>0</v>
      </c>
      <c r="AK73" s="254">
        <v>0</v>
      </c>
    </row>
    <row r="74" spans="1:39">
      <c r="A74" s="249"/>
      <c r="B74" s="239" t="s">
        <v>55</v>
      </c>
      <c r="C74" s="250">
        <v>0.19123020706455543</v>
      </c>
      <c r="D74" s="251">
        <v>0.22153209109730848</v>
      </c>
      <c r="E74" s="251">
        <v>0.31372549019607843</v>
      </c>
      <c r="F74" s="251">
        <v>0.32936802973977697</v>
      </c>
      <c r="G74" s="251">
        <v>0</v>
      </c>
      <c r="H74" s="252">
        <v>0.39610389610389612</v>
      </c>
      <c r="I74" s="530">
        <v>0.27000825082508251</v>
      </c>
      <c r="J74" s="250">
        <v>0</v>
      </c>
      <c r="K74" s="251">
        <v>0.2851985559566787</v>
      </c>
      <c r="L74" s="251">
        <v>0.3546195652173913</v>
      </c>
      <c r="M74" s="251">
        <v>0.31496062992125984</v>
      </c>
      <c r="N74" s="252">
        <v>0</v>
      </c>
      <c r="O74" s="250">
        <v>0.30989473684210528</v>
      </c>
      <c r="P74" s="250">
        <v>0</v>
      </c>
      <c r="Q74" s="251">
        <v>0</v>
      </c>
      <c r="R74" s="252">
        <v>0</v>
      </c>
      <c r="S74" s="250">
        <v>0</v>
      </c>
      <c r="T74" s="253"/>
      <c r="U74" s="254">
        <v>314</v>
      </c>
      <c r="V74" s="255">
        <v>107</v>
      </c>
      <c r="W74" s="255">
        <v>384</v>
      </c>
      <c r="X74" s="255">
        <v>443</v>
      </c>
      <c r="Y74" s="255">
        <v>0</v>
      </c>
      <c r="Z74" s="255">
        <v>61</v>
      </c>
      <c r="AA74" s="256">
        <v>1309</v>
      </c>
      <c r="AB74" s="254">
        <v>0</v>
      </c>
      <c r="AC74" s="255">
        <v>395</v>
      </c>
      <c r="AD74" s="255">
        <v>261</v>
      </c>
      <c r="AE74" s="255">
        <v>80</v>
      </c>
      <c r="AF74" s="257">
        <v>0</v>
      </c>
      <c r="AG74" s="257">
        <v>736</v>
      </c>
      <c r="AH74" s="254">
        <v>0</v>
      </c>
      <c r="AI74" s="255">
        <v>0</v>
      </c>
      <c r="AJ74" s="257">
        <v>0</v>
      </c>
      <c r="AK74" s="254">
        <v>0</v>
      </c>
    </row>
    <row r="75" spans="1:39">
      <c r="A75" s="249"/>
      <c r="B75" s="239" t="s">
        <v>78</v>
      </c>
      <c r="C75" s="250">
        <v>1.3398294762484775E-2</v>
      </c>
      <c r="D75" s="251">
        <v>2.4844720496894408E-2</v>
      </c>
      <c r="E75" s="251">
        <v>2.2058823529411766E-2</v>
      </c>
      <c r="F75" s="251">
        <v>2.6765799256505577E-2</v>
      </c>
      <c r="G75" s="251">
        <v>0</v>
      </c>
      <c r="H75" s="252">
        <v>5.844155844155844E-2</v>
      </c>
      <c r="I75" s="530">
        <v>2.1864686468646866E-2</v>
      </c>
      <c r="J75" s="250">
        <v>0</v>
      </c>
      <c r="K75" s="251">
        <v>5.4873646209386284E-2</v>
      </c>
      <c r="L75" s="251">
        <v>9.1032608695652176E-2</v>
      </c>
      <c r="M75" s="251">
        <v>0.20866141732283464</v>
      </c>
      <c r="N75" s="252">
        <v>0</v>
      </c>
      <c r="O75" s="250">
        <v>8.2526315789473684E-2</v>
      </c>
      <c r="P75" s="250">
        <v>0</v>
      </c>
      <c r="Q75" s="251">
        <v>0</v>
      </c>
      <c r="R75" s="252">
        <v>0</v>
      </c>
      <c r="S75" s="250">
        <v>0</v>
      </c>
      <c r="T75" s="253"/>
      <c r="U75" s="254">
        <v>22</v>
      </c>
      <c r="V75" s="255">
        <v>12</v>
      </c>
      <c r="W75" s="255">
        <v>27</v>
      </c>
      <c r="X75" s="255">
        <v>36</v>
      </c>
      <c r="Y75" s="255">
        <v>0</v>
      </c>
      <c r="Z75" s="255">
        <v>9</v>
      </c>
      <c r="AA75" s="256">
        <v>106</v>
      </c>
      <c r="AB75" s="254">
        <v>0</v>
      </c>
      <c r="AC75" s="255">
        <v>76</v>
      </c>
      <c r="AD75" s="255">
        <v>67</v>
      </c>
      <c r="AE75" s="255">
        <v>53</v>
      </c>
      <c r="AF75" s="257">
        <v>0</v>
      </c>
      <c r="AG75" s="257">
        <v>196</v>
      </c>
      <c r="AH75" s="254">
        <v>0</v>
      </c>
      <c r="AI75" s="255">
        <v>0</v>
      </c>
      <c r="AJ75" s="257">
        <v>0</v>
      </c>
      <c r="AK75" s="254">
        <v>0</v>
      </c>
    </row>
    <row r="76" spans="1:39">
      <c r="A76" s="249"/>
      <c r="B76" s="239" t="s">
        <v>32</v>
      </c>
      <c r="C76" s="250">
        <v>0.14555420219244825</v>
      </c>
      <c r="D76" s="251">
        <v>0.14906832298136646</v>
      </c>
      <c r="E76" s="251">
        <v>0.25898692810457519</v>
      </c>
      <c r="F76" s="251">
        <v>0.18884758364312268</v>
      </c>
      <c r="G76" s="251">
        <v>0</v>
      </c>
      <c r="H76" s="252">
        <v>0</v>
      </c>
      <c r="I76" s="530">
        <v>0.18193069306930693</v>
      </c>
      <c r="J76" s="250">
        <v>0</v>
      </c>
      <c r="K76" s="251">
        <v>0</v>
      </c>
      <c r="L76" s="251">
        <v>5.434782608695652E-3</v>
      </c>
      <c r="M76" s="273">
        <v>3.937007874015748E-3</v>
      </c>
      <c r="N76" s="258">
        <v>0</v>
      </c>
      <c r="O76" s="272">
        <v>2.1052631578947368E-3</v>
      </c>
      <c r="P76" s="250">
        <v>0</v>
      </c>
      <c r="Q76" s="251">
        <v>0</v>
      </c>
      <c r="R76" s="252">
        <v>0</v>
      </c>
      <c r="S76" s="250">
        <v>0</v>
      </c>
      <c r="T76" s="253"/>
      <c r="U76" s="254">
        <v>239</v>
      </c>
      <c r="V76" s="255">
        <v>72</v>
      </c>
      <c r="W76" s="255">
        <v>317</v>
      </c>
      <c r="X76" s="255">
        <v>254</v>
      </c>
      <c r="Y76" s="255">
        <v>0</v>
      </c>
      <c r="Z76" s="255">
        <v>0</v>
      </c>
      <c r="AA76" s="256">
        <v>882</v>
      </c>
      <c r="AB76" s="254">
        <v>0</v>
      </c>
      <c r="AC76" s="255">
        <v>0</v>
      </c>
      <c r="AD76" s="255">
        <v>4</v>
      </c>
      <c r="AE76" s="255">
        <v>1</v>
      </c>
      <c r="AF76" s="257">
        <v>0</v>
      </c>
      <c r="AG76" s="257">
        <v>5</v>
      </c>
      <c r="AH76" s="254">
        <v>0</v>
      </c>
      <c r="AI76" s="255">
        <v>0</v>
      </c>
      <c r="AJ76" s="257">
        <v>0</v>
      </c>
      <c r="AK76" s="254">
        <v>0</v>
      </c>
    </row>
    <row r="77" spans="1:39">
      <c r="A77" s="249"/>
      <c r="B77" s="239" t="s">
        <v>58</v>
      </c>
      <c r="C77" s="250">
        <v>0</v>
      </c>
      <c r="D77" s="251">
        <v>0</v>
      </c>
      <c r="E77" s="419">
        <v>0</v>
      </c>
      <c r="F77" s="251">
        <v>0</v>
      </c>
      <c r="G77" s="419">
        <v>0</v>
      </c>
      <c r="H77" s="252">
        <v>0</v>
      </c>
      <c r="I77" s="532">
        <v>0</v>
      </c>
      <c r="J77" s="250">
        <v>0</v>
      </c>
      <c r="K77" s="251">
        <v>0</v>
      </c>
      <c r="L77" s="251">
        <v>0</v>
      </c>
      <c r="M77" s="251">
        <v>0</v>
      </c>
      <c r="N77" s="252">
        <v>0</v>
      </c>
      <c r="O77" s="250">
        <v>0</v>
      </c>
      <c r="P77" s="250">
        <v>0</v>
      </c>
      <c r="Q77" s="251">
        <v>0</v>
      </c>
      <c r="R77" s="252">
        <v>0</v>
      </c>
      <c r="S77" s="250">
        <v>0</v>
      </c>
      <c r="T77" s="253"/>
      <c r="U77" s="254">
        <v>0</v>
      </c>
      <c r="V77" s="255">
        <v>0</v>
      </c>
      <c r="W77" s="255">
        <v>0</v>
      </c>
      <c r="X77" s="255">
        <v>0</v>
      </c>
      <c r="Y77" s="255">
        <v>0</v>
      </c>
      <c r="Z77" s="255">
        <v>0</v>
      </c>
      <c r="AA77" s="256">
        <v>0</v>
      </c>
      <c r="AB77" s="254">
        <v>0</v>
      </c>
      <c r="AC77" s="255">
        <v>0</v>
      </c>
      <c r="AD77" s="255">
        <v>0</v>
      </c>
      <c r="AE77" s="255">
        <v>0</v>
      </c>
      <c r="AF77" s="257">
        <v>0</v>
      </c>
      <c r="AG77" s="257">
        <v>0</v>
      </c>
      <c r="AH77" s="254">
        <v>0</v>
      </c>
      <c r="AI77" s="255">
        <v>0</v>
      </c>
      <c r="AJ77" s="257">
        <v>0</v>
      </c>
      <c r="AK77" s="254">
        <v>0</v>
      </c>
    </row>
    <row r="78" spans="1:39" s="527" customFormat="1">
      <c r="A78" s="435"/>
      <c r="B78" s="436" t="s">
        <v>59</v>
      </c>
      <c r="C78" s="261">
        <v>1</v>
      </c>
      <c r="D78" s="262">
        <v>1</v>
      </c>
      <c r="E78" s="262">
        <v>1</v>
      </c>
      <c r="F78" s="262">
        <v>1</v>
      </c>
      <c r="G78" s="262">
        <v>0</v>
      </c>
      <c r="H78" s="263">
        <v>1</v>
      </c>
      <c r="I78" s="531">
        <v>1</v>
      </c>
      <c r="J78" s="261">
        <v>0</v>
      </c>
      <c r="K78" s="262">
        <v>1</v>
      </c>
      <c r="L78" s="262">
        <v>1</v>
      </c>
      <c r="M78" s="262">
        <v>1</v>
      </c>
      <c r="N78" s="263">
        <v>0</v>
      </c>
      <c r="O78" s="261">
        <v>1</v>
      </c>
      <c r="P78" s="261">
        <v>0</v>
      </c>
      <c r="Q78" s="262">
        <v>0</v>
      </c>
      <c r="R78" s="263">
        <v>0</v>
      </c>
      <c r="S78" s="261">
        <v>0</v>
      </c>
      <c r="T78" s="264"/>
      <c r="U78" s="265">
        <v>1642</v>
      </c>
      <c r="V78" s="266">
        <v>483</v>
      </c>
      <c r="W78" s="266">
        <v>1224</v>
      </c>
      <c r="X78" s="266">
        <v>1345</v>
      </c>
      <c r="Y78" s="266">
        <v>0</v>
      </c>
      <c r="Z78" s="266">
        <v>154</v>
      </c>
      <c r="AA78" s="267">
        <v>4848</v>
      </c>
      <c r="AB78" s="265">
        <v>0</v>
      </c>
      <c r="AC78" s="266">
        <v>1385</v>
      </c>
      <c r="AD78" s="266">
        <v>736</v>
      </c>
      <c r="AE78" s="266">
        <v>254</v>
      </c>
      <c r="AF78" s="268">
        <v>0</v>
      </c>
      <c r="AG78" s="268">
        <v>2375</v>
      </c>
      <c r="AH78" s="265">
        <v>0</v>
      </c>
      <c r="AI78" s="266">
        <v>0</v>
      </c>
      <c r="AJ78" s="268">
        <v>0</v>
      </c>
      <c r="AK78" s="265">
        <v>0</v>
      </c>
      <c r="AL78" s="270"/>
      <c r="AM78" s="270"/>
    </row>
    <row r="79" spans="1:39">
      <c r="A79" s="239" t="s">
        <v>11</v>
      </c>
      <c r="B79" s="240" t="s">
        <v>53</v>
      </c>
      <c r="C79" s="241">
        <v>0.24483406386975579</v>
      </c>
      <c r="D79" s="242">
        <v>0.20554493307839389</v>
      </c>
      <c r="E79" s="242">
        <v>0</v>
      </c>
      <c r="F79" s="242">
        <v>0.20708446866485014</v>
      </c>
      <c r="G79" s="242">
        <v>0.17216117216117216</v>
      </c>
      <c r="H79" s="243">
        <v>0</v>
      </c>
      <c r="I79" s="529">
        <v>0.22205300030459946</v>
      </c>
      <c r="J79" s="241">
        <v>0</v>
      </c>
      <c r="K79" s="242">
        <v>0</v>
      </c>
      <c r="L79" s="242">
        <v>0</v>
      </c>
      <c r="M79" s="242">
        <v>0</v>
      </c>
      <c r="N79" s="243">
        <v>0</v>
      </c>
      <c r="O79" s="241">
        <v>0</v>
      </c>
      <c r="P79" s="342">
        <v>0</v>
      </c>
      <c r="Q79" s="242">
        <v>0</v>
      </c>
      <c r="R79" s="243">
        <v>0</v>
      </c>
      <c r="S79" s="342">
        <v>0</v>
      </c>
      <c r="T79" s="244"/>
      <c r="U79" s="245">
        <v>391</v>
      </c>
      <c r="V79" s="246">
        <v>215</v>
      </c>
      <c r="W79" s="246">
        <v>0</v>
      </c>
      <c r="X79" s="246">
        <v>76</v>
      </c>
      <c r="Y79" s="246">
        <v>47</v>
      </c>
      <c r="Z79" s="246">
        <v>0</v>
      </c>
      <c r="AA79" s="247">
        <v>729</v>
      </c>
      <c r="AB79" s="245">
        <v>0</v>
      </c>
      <c r="AC79" s="246">
        <v>0</v>
      </c>
      <c r="AD79" s="246">
        <v>0</v>
      </c>
      <c r="AE79" s="246">
        <v>0</v>
      </c>
      <c r="AF79" s="248">
        <v>0</v>
      </c>
      <c r="AG79" s="248">
        <v>0</v>
      </c>
      <c r="AH79" s="245">
        <v>0</v>
      </c>
      <c r="AI79" s="246">
        <v>0</v>
      </c>
      <c r="AJ79" s="248">
        <v>0</v>
      </c>
      <c r="AK79" s="245">
        <v>0</v>
      </c>
    </row>
    <row r="80" spans="1:39">
      <c r="A80" s="249"/>
      <c r="B80" s="239" t="s">
        <v>93</v>
      </c>
      <c r="C80" s="250">
        <v>0.21665623043206012</v>
      </c>
      <c r="D80" s="251">
        <v>0.26864244741873805</v>
      </c>
      <c r="E80" s="251">
        <v>0</v>
      </c>
      <c r="F80" s="251">
        <v>0.18256130790190736</v>
      </c>
      <c r="G80" s="251">
        <v>0.1391941391941392</v>
      </c>
      <c r="H80" s="252">
        <v>0</v>
      </c>
      <c r="I80" s="530">
        <v>0.22296679865976241</v>
      </c>
      <c r="J80" s="250">
        <v>0</v>
      </c>
      <c r="K80" s="251">
        <v>0</v>
      </c>
      <c r="L80" s="251">
        <v>0</v>
      </c>
      <c r="M80" s="251">
        <v>0</v>
      </c>
      <c r="N80" s="252">
        <v>0</v>
      </c>
      <c r="O80" s="250">
        <v>0</v>
      </c>
      <c r="P80" s="250">
        <v>0</v>
      </c>
      <c r="Q80" s="251">
        <v>0</v>
      </c>
      <c r="R80" s="252">
        <v>0</v>
      </c>
      <c r="S80" s="250">
        <v>0</v>
      </c>
      <c r="T80" s="253"/>
      <c r="U80" s="254">
        <v>346</v>
      </c>
      <c r="V80" s="255">
        <v>281</v>
      </c>
      <c r="W80" s="255">
        <v>0</v>
      </c>
      <c r="X80" s="255">
        <v>67</v>
      </c>
      <c r="Y80" s="255">
        <v>38</v>
      </c>
      <c r="Z80" s="255">
        <v>0</v>
      </c>
      <c r="AA80" s="256">
        <v>732</v>
      </c>
      <c r="AB80" s="254">
        <v>0</v>
      </c>
      <c r="AC80" s="255">
        <v>0</v>
      </c>
      <c r="AD80" s="255">
        <v>0</v>
      </c>
      <c r="AE80" s="255">
        <v>0</v>
      </c>
      <c r="AF80" s="257">
        <v>0</v>
      </c>
      <c r="AG80" s="257">
        <v>0</v>
      </c>
      <c r="AH80" s="254">
        <v>0</v>
      </c>
      <c r="AI80" s="255">
        <v>0</v>
      </c>
      <c r="AJ80" s="257">
        <v>0</v>
      </c>
      <c r="AK80" s="254">
        <v>0</v>
      </c>
    </row>
    <row r="81" spans="1:39">
      <c r="A81" s="249"/>
      <c r="B81" s="239" t="s">
        <v>55</v>
      </c>
      <c r="C81" s="250">
        <v>0.33813400125234816</v>
      </c>
      <c r="D81" s="251">
        <v>0.35564053537284895</v>
      </c>
      <c r="E81" s="251">
        <v>0</v>
      </c>
      <c r="F81" s="251">
        <v>0.34877384196185285</v>
      </c>
      <c r="G81" s="251">
        <v>0.39926739926739929</v>
      </c>
      <c r="H81" s="252">
        <v>0</v>
      </c>
      <c r="I81" s="530">
        <v>0.34998477002741396</v>
      </c>
      <c r="J81" s="250">
        <v>0</v>
      </c>
      <c r="K81" s="251">
        <v>0</v>
      </c>
      <c r="L81" s="251">
        <v>0</v>
      </c>
      <c r="M81" s="251">
        <v>0</v>
      </c>
      <c r="N81" s="252">
        <v>0</v>
      </c>
      <c r="O81" s="250">
        <v>0</v>
      </c>
      <c r="P81" s="250">
        <v>0</v>
      </c>
      <c r="Q81" s="251">
        <v>0</v>
      </c>
      <c r="R81" s="252">
        <v>0</v>
      </c>
      <c r="S81" s="250">
        <v>0</v>
      </c>
      <c r="T81" s="253"/>
      <c r="U81" s="254">
        <v>540</v>
      </c>
      <c r="V81" s="255">
        <v>372</v>
      </c>
      <c r="W81" s="255">
        <v>0</v>
      </c>
      <c r="X81" s="255">
        <v>128</v>
      </c>
      <c r="Y81" s="255">
        <v>109</v>
      </c>
      <c r="Z81" s="255">
        <v>0</v>
      </c>
      <c r="AA81" s="256">
        <v>1149</v>
      </c>
      <c r="AB81" s="254">
        <v>0</v>
      </c>
      <c r="AC81" s="255">
        <v>0</v>
      </c>
      <c r="AD81" s="255">
        <v>0</v>
      </c>
      <c r="AE81" s="255">
        <v>0</v>
      </c>
      <c r="AF81" s="257">
        <v>0</v>
      </c>
      <c r="AG81" s="257">
        <v>0</v>
      </c>
      <c r="AH81" s="254">
        <v>0</v>
      </c>
      <c r="AI81" s="255">
        <v>0</v>
      </c>
      <c r="AJ81" s="257">
        <v>0</v>
      </c>
      <c r="AK81" s="254">
        <v>0</v>
      </c>
    </row>
    <row r="82" spans="1:39">
      <c r="A82" s="249"/>
      <c r="B82" s="239" t="s">
        <v>78</v>
      </c>
      <c r="C82" s="250">
        <v>0.16969317470256731</v>
      </c>
      <c r="D82" s="251">
        <v>0.16061185468451242</v>
      </c>
      <c r="E82" s="251">
        <v>0</v>
      </c>
      <c r="F82" s="251">
        <v>0.26158038147138962</v>
      </c>
      <c r="G82" s="251">
        <v>0.2893772893772894</v>
      </c>
      <c r="H82" s="252">
        <v>0</v>
      </c>
      <c r="I82" s="530">
        <v>0.18702406335668595</v>
      </c>
      <c r="J82" s="250">
        <v>0</v>
      </c>
      <c r="K82" s="251">
        <v>0</v>
      </c>
      <c r="L82" s="251">
        <v>0</v>
      </c>
      <c r="M82" s="251">
        <v>0</v>
      </c>
      <c r="N82" s="252">
        <v>0</v>
      </c>
      <c r="O82" s="250">
        <v>0</v>
      </c>
      <c r="P82" s="250">
        <v>0</v>
      </c>
      <c r="Q82" s="251">
        <v>0</v>
      </c>
      <c r="R82" s="252">
        <v>0</v>
      </c>
      <c r="S82" s="250">
        <v>0</v>
      </c>
      <c r="T82" s="253"/>
      <c r="U82" s="254">
        <v>271</v>
      </c>
      <c r="V82" s="255">
        <v>168</v>
      </c>
      <c r="W82" s="255">
        <v>0</v>
      </c>
      <c r="X82" s="255">
        <v>96</v>
      </c>
      <c r="Y82" s="255">
        <v>79</v>
      </c>
      <c r="Z82" s="255">
        <v>0</v>
      </c>
      <c r="AA82" s="256">
        <v>614</v>
      </c>
      <c r="AB82" s="254">
        <v>0</v>
      </c>
      <c r="AC82" s="255">
        <v>0</v>
      </c>
      <c r="AD82" s="255">
        <v>0</v>
      </c>
      <c r="AE82" s="255">
        <v>0</v>
      </c>
      <c r="AF82" s="257">
        <v>0</v>
      </c>
      <c r="AG82" s="257">
        <v>0</v>
      </c>
      <c r="AH82" s="254">
        <v>0</v>
      </c>
      <c r="AI82" s="255">
        <v>0</v>
      </c>
      <c r="AJ82" s="257">
        <v>0</v>
      </c>
      <c r="AK82" s="254">
        <v>0</v>
      </c>
    </row>
    <row r="83" spans="1:39">
      <c r="A83" s="249"/>
      <c r="B83" s="239" t="s">
        <v>32</v>
      </c>
      <c r="C83" s="250">
        <v>3.0682529743268627E-2</v>
      </c>
      <c r="D83" s="251">
        <v>9.5602294455066923E-3</v>
      </c>
      <c r="E83" s="251">
        <v>0</v>
      </c>
      <c r="F83" s="251">
        <v>0</v>
      </c>
      <c r="G83" s="251">
        <v>0</v>
      </c>
      <c r="H83" s="252">
        <v>0</v>
      </c>
      <c r="I83" s="530">
        <v>1.7971367651538228E-2</v>
      </c>
      <c r="J83" s="250">
        <v>0</v>
      </c>
      <c r="K83" s="251">
        <v>0</v>
      </c>
      <c r="L83" s="251">
        <v>0</v>
      </c>
      <c r="M83" s="251">
        <v>0</v>
      </c>
      <c r="N83" s="258">
        <v>0</v>
      </c>
      <c r="O83" s="250">
        <v>0</v>
      </c>
      <c r="P83" s="250">
        <v>0</v>
      </c>
      <c r="Q83" s="251">
        <v>0</v>
      </c>
      <c r="R83" s="252">
        <v>0</v>
      </c>
      <c r="S83" s="250">
        <v>0</v>
      </c>
      <c r="T83" s="253"/>
      <c r="U83" s="254">
        <v>49</v>
      </c>
      <c r="V83" s="255">
        <v>10</v>
      </c>
      <c r="W83" s="255">
        <v>0</v>
      </c>
      <c r="X83" s="255">
        <v>0</v>
      </c>
      <c r="Y83" s="255">
        <v>0</v>
      </c>
      <c r="Z83" s="255">
        <v>0</v>
      </c>
      <c r="AA83" s="256">
        <v>59</v>
      </c>
      <c r="AB83" s="254">
        <v>0</v>
      </c>
      <c r="AC83" s="255">
        <v>0</v>
      </c>
      <c r="AD83" s="255">
        <v>0</v>
      </c>
      <c r="AE83" s="255">
        <v>0</v>
      </c>
      <c r="AF83" s="257">
        <v>0</v>
      </c>
      <c r="AG83" s="257">
        <v>0</v>
      </c>
      <c r="AH83" s="254">
        <v>0</v>
      </c>
      <c r="AI83" s="255">
        <v>0</v>
      </c>
      <c r="AJ83" s="257">
        <v>0</v>
      </c>
      <c r="AK83" s="254">
        <v>0</v>
      </c>
    </row>
    <row r="84" spans="1:39">
      <c r="A84" s="249"/>
      <c r="B84" s="239" t="s">
        <v>58</v>
      </c>
      <c r="C84" s="250">
        <v>0</v>
      </c>
      <c r="D84" s="251">
        <v>0</v>
      </c>
      <c r="E84" s="419">
        <v>0</v>
      </c>
      <c r="F84" s="251">
        <v>0</v>
      </c>
      <c r="G84" s="419">
        <v>0</v>
      </c>
      <c r="H84" s="252">
        <v>0</v>
      </c>
      <c r="I84" s="532">
        <v>0</v>
      </c>
      <c r="J84" s="250">
        <v>0</v>
      </c>
      <c r="K84" s="251">
        <v>1</v>
      </c>
      <c r="L84" s="251">
        <v>1</v>
      </c>
      <c r="M84" s="251">
        <v>1</v>
      </c>
      <c r="N84" s="252">
        <v>0</v>
      </c>
      <c r="O84" s="250">
        <v>1</v>
      </c>
      <c r="P84" s="250">
        <v>0</v>
      </c>
      <c r="Q84" s="251">
        <v>0</v>
      </c>
      <c r="R84" s="252">
        <v>0</v>
      </c>
      <c r="S84" s="250">
        <v>0</v>
      </c>
      <c r="T84" s="253"/>
      <c r="U84" s="254">
        <v>0</v>
      </c>
      <c r="V84" s="255">
        <v>0</v>
      </c>
      <c r="W84" s="255">
        <v>0</v>
      </c>
      <c r="X84" s="255">
        <v>0</v>
      </c>
      <c r="Y84" s="255">
        <v>0</v>
      </c>
      <c r="Z84" s="255">
        <v>0</v>
      </c>
      <c r="AA84" s="256">
        <v>0</v>
      </c>
      <c r="AB84" s="254">
        <v>0</v>
      </c>
      <c r="AC84" s="255">
        <v>1025</v>
      </c>
      <c r="AD84" s="255">
        <v>1394.9</v>
      </c>
      <c r="AE84" s="255">
        <v>152</v>
      </c>
      <c r="AF84" s="257">
        <v>0</v>
      </c>
      <c r="AG84" s="257">
        <v>2571.9</v>
      </c>
      <c r="AH84" s="254">
        <v>0</v>
      </c>
      <c r="AI84" s="255">
        <v>0</v>
      </c>
      <c r="AJ84" s="257">
        <v>0</v>
      </c>
      <c r="AK84" s="254">
        <v>0</v>
      </c>
    </row>
    <row r="85" spans="1:39" s="527" customFormat="1">
      <c r="A85" s="435"/>
      <c r="B85" s="436" t="s">
        <v>59</v>
      </c>
      <c r="C85" s="261">
        <v>1</v>
      </c>
      <c r="D85" s="262">
        <v>1</v>
      </c>
      <c r="E85" s="262">
        <v>0</v>
      </c>
      <c r="F85" s="262">
        <v>1</v>
      </c>
      <c r="G85" s="262">
        <v>1</v>
      </c>
      <c r="H85" s="263">
        <v>0</v>
      </c>
      <c r="I85" s="531">
        <v>1</v>
      </c>
      <c r="J85" s="261">
        <v>0</v>
      </c>
      <c r="K85" s="262">
        <v>1</v>
      </c>
      <c r="L85" s="262">
        <v>1</v>
      </c>
      <c r="M85" s="262">
        <v>1</v>
      </c>
      <c r="N85" s="263">
        <v>0</v>
      </c>
      <c r="O85" s="261">
        <v>1</v>
      </c>
      <c r="P85" s="261">
        <v>0</v>
      </c>
      <c r="Q85" s="262">
        <v>0</v>
      </c>
      <c r="R85" s="263">
        <v>0</v>
      </c>
      <c r="S85" s="261">
        <v>0</v>
      </c>
      <c r="T85" s="264"/>
      <c r="U85" s="265">
        <v>1597</v>
      </c>
      <c r="V85" s="266">
        <v>1046</v>
      </c>
      <c r="W85" s="266">
        <v>0</v>
      </c>
      <c r="X85" s="266">
        <v>367</v>
      </c>
      <c r="Y85" s="266">
        <v>273</v>
      </c>
      <c r="Z85" s="266">
        <v>0</v>
      </c>
      <c r="AA85" s="267">
        <v>3283</v>
      </c>
      <c r="AB85" s="265">
        <v>0</v>
      </c>
      <c r="AC85" s="266">
        <v>1025</v>
      </c>
      <c r="AD85" s="266">
        <v>1394.9</v>
      </c>
      <c r="AE85" s="266">
        <v>152</v>
      </c>
      <c r="AF85" s="268">
        <v>0</v>
      </c>
      <c r="AG85" s="268">
        <v>2571.9</v>
      </c>
      <c r="AH85" s="265">
        <v>0</v>
      </c>
      <c r="AI85" s="266">
        <v>0</v>
      </c>
      <c r="AJ85" s="268">
        <v>0</v>
      </c>
      <c r="AK85" s="265">
        <v>0</v>
      </c>
      <c r="AL85" s="270"/>
      <c r="AM85" s="270"/>
    </row>
    <row r="86" spans="1:39">
      <c r="A86" s="239" t="s">
        <v>12</v>
      </c>
      <c r="B86" s="240" t="s">
        <v>53</v>
      </c>
      <c r="C86" s="241">
        <v>0.37173396674584325</v>
      </c>
      <c r="D86" s="242">
        <v>0.21618562535370683</v>
      </c>
      <c r="E86" s="242">
        <v>0.22056216763737654</v>
      </c>
      <c r="F86" s="242">
        <v>0.13071895424836602</v>
      </c>
      <c r="G86" s="242">
        <v>0.13990461049284578</v>
      </c>
      <c r="H86" s="243">
        <v>0.25</v>
      </c>
      <c r="I86" s="529">
        <v>0.26234716472513719</v>
      </c>
      <c r="J86" s="241">
        <v>0</v>
      </c>
      <c r="K86" s="242">
        <v>0</v>
      </c>
      <c r="L86" s="242">
        <v>0</v>
      </c>
      <c r="M86" s="242">
        <v>0</v>
      </c>
      <c r="N86" s="243">
        <v>0</v>
      </c>
      <c r="O86" s="241">
        <v>0</v>
      </c>
      <c r="P86" s="342">
        <v>0</v>
      </c>
      <c r="Q86" s="242">
        <v>0</v>
      </c>
      <c r="R86" s="243">
        <v>0</v>
      </c>
      <c r="S86" s="342">
        <v>0</v>
      </c>
      <c r="T86" s="244"/>
      <c r="U86" s="245">
        <v>1252</v>
      </c>
      <c r="V86" s="246">
        <v>382</v>
      </c>
      <c r="W86" s="246">
        <v>871</v>
      </c>
      <c r="X86" s="246">
        <v>40</v>
      </c>
      <c r="Y86" s="246">
        <v>88</v>
      </c>
      <c r="Z86" s="246">
        <v>92</v>
      </c>
      <c r="AA86" s="247">
        <v>2725</v>
      </c>
      <c r="AB86" s="245">
        <v>0</v>
      </c>
      <c r="AC86" s="246">
        <v>0</v>
      </c>
      <c r="AD86" s="246">
        <v>0</v>
      </c>
      <c r="AE86" s="246">
        <v>0</v>
      </c>
      <c r="AF86" s="248">
        <v>0</v>
      </c>
      <c r="AG86" s="248">
        <v>0</v>
      </c>
      <c r="AH86" s="245">
        <v>0</v>
      </c>
      <c r="AI86" s="246">
        <v>0</v>
      </c>
      <c r="AJ86" s="248">
        <v>0</v>
      </c>
      <c r="AK86" s="245">
        <v>0</v>
      </c>
    </row>
    <row r="87" spans="1:39">
      <c r="A87" s="249"/>
      <c r="B87" s="239" t="s">
        <v>93</v>
      </c>
      <c r="C87" s="250">
        <v>0.23218527315914489</v>
      </c>
      <c r="D87" s="251">
        <v>0.26825127334465193</v>
      </c>
      <c r="E87" s="251">
        <v>0.264117498100785</v>
      </c>
      <c r="F87" s="251">
        <v>0.19607843137254902</v>
      </c>
      <c r="G87" s="251">
        <v>0.28139904610492844</v>
      </c>
      <c r="H87" s="252">
        <v>0.25543478260869568</v>
      </c>
      <c r="I87" s="530">
        <v>0.25320111678059115</v>
      </c>
      <c r="J87" s="250">
        <v>0</v>
      </c>
      <c r="K87" s="251">
        <v>0</v>
      </c>
      <c r="L87" s="251">
        <v>0</v>
      </c>
      <c r="M87" s="251">
        <v>0</v>
      </c>
      <c r="N87" s="252">
        <v>0</v>
      </c>
      <c r="O87" s="250">
        <v>0</v>
      </c>
      <c r="P87" s="250">
        <v>0</v>
      </c>
      <c r="Q87" s="251">
        <v>0</v>
      </c>
      <c r="R87" s="252">
        <v>0</v>
      </c>
      <c r="S87" s="250">
        <v>0</v>
      </c>
      <c r="T87" s="253"/>
      <c r="U87" s="254">
        <v>782</v>
      </c>
      <c r="V87" s="255">
        <v>474</v>
      </c>
      <c r="W87" s="255">
        <v>1043</v>
      </c>
      <c r="X87" s="255">
        <v>60</v>
      </c>
      <c r="Y87" s="255">
        <v>177</v>
      </c>
      <c r="Z87" s="255">
        <v>94</v>
      </c>
      <c r="AA87" s="256">
        <v>2630</v>
      </c>
      <c r="AB87" s="254">
        <v>0</v>
      </c>
      <c r="AC87" s="255">
        <v>0</v>
      </c>
      <c r="AD87" s="255">
        <v>0</v>
      </c>
      <c r="AE87" s="255">
        <v>0</v>
      </c>
      <c r="AF87" s="257">
        <v>0</v>
      </c>
      <c r="AG87" s="257">
        <v>0</v>
      </c>
      <c r="AH87" s="254">
        <v>0</v>
      </c>
      <c r="AI87" s="255">
        <v>0</v>
      </c>
      <c r="AJ87" s="257">
        <v>0</v>
      </c>
      <c r="AK87" s="254">
        <v>0</v>
      </c>
    </row>
    <row r="88" spans="1:39">
      <c r="A88" s="249"/>
      <c r="B88" s="239" t="s">
        <v>55</v>
      </c>
      <c r="C88" s="250">
        <v>0.20694774346793349</v>
      </c>
      <c r="D88" s="251">
        <v>0.23825693265421619</v>
      </c>
      <c r="E88" s="251">
        <v>0.28893390731830842</v>
      </c>
      <c r="F88" s="251">
        <v>0.47385620915032678</v>
      </c>
      <c r="G88" s="251">
        <v>0.3656597774244833</v>
      </c>
      <c r="H88" s="252">
        <v>0.24728260869565216</v>
      </c>
      <c r="I88" s="530">
        <v>0.26234716472513719</v>
      </c>
      <c r="J88" s="250">
        <v>0</v>
      </c>
      <c r="K88" s="251">
        <v>0</v>
      </c>
      <c r="L88" s="251">
        <v>0</v>
      </c>
      <c r="M88" s="251">
        <v>0</v>
      </c>
      <c r="N88" s="252">
        <v>0</v>
      </c>
      <c r="O88" s="250">
        <v>0</v>
      </c>
      <c r="P88" s="250">
        <v>0</v>
      </c>
      <c r="Q88" s="251">
        <v>0</v>
      </c>
      <c r="R88" s="252">
        <v>0</v>
      </c>
      <c r="S88" s="250">
        <v>0</v>
      </c>
      <c r="T88" s="253"/>
      <c r="U88" s="254">
        <v>697</v>
      </c>
      <c r="V88" s="255">
        <v>421</v>
      </c>
      <c r="W88" s="255">
        <v>1141</v>
      </c>
      <c r="X88" s="255">
        <v>145</v>
      </c>
      <c r="Y88" s="255">
        <v>230</v>
      </c>
      <c r="Z88" s="255">
        <v>91</v>
      </c>
      <c r="AA88" s="256">
        <v>2725</v>
      </c>
      <c r="AB88" s="254">
        <v>0</v>
      </c>
      <c r="AC88" s="255">
        <v>0</v>
      </c>
      <c r="AD88" s="255">
        <v>0</v>
      </c>
      <c r="AE88" s="255">
        <v>0</v>
      </c>
      <c r="AF88" s="257">
        <v>0</v>
      </c>
      <c r="AG88" s="257">
        <v>0</v>
      </c>
      <c r="AH88" s="254">
        <v>0</v>
      </c>
      <c r="AI88" s="255">
        <v>0</v>
      </c>
      <c r="AJ88" s="257">
        <v>0</v>
      </c>
      <c r="AK88" s="254">
        <v>0</v>
      </c>
    </row>
    <row r="89" spans="1:39">
      <c r="A89" s="249"/>
      <c r="B89" s="239" t="s">
        <v>78</v>
      </c>
      <c r="C89" s="250">
        <v>6.8289786223277912E-3</v>
      </c>
      <c r="D89" s="273">
        <v>3.1692133559705717E-2</v>
      </c>
      <c r="E89" s="251">
        <v>1.1901747277791846E-2</v>
      </c>
      <c r="F89" s="251">
        <v>2.6143790849673203E-2</v>
      </c>
      <c r="G89" s="251">
        <v>5.7233704292527825E-2</v>
      </c>
      <c r="H89" s="252">
        <v>1.0869565217391304E-2</v>
      </c>
      <c r="I89" s="530">
        <v>1.6751708866852798E-2</v>
      </c>
      <c r="J89" s="250">
        <v>0</v>
      </c>
      <c r="K89" s="251">
        <v>0</v>
      </c>
      <c r="L89" s="251">
        <v>0</v>
      </c>
      <c r="M89" s="251">
        <v>0</v>
      </c>
      <c r="N89" s="252">
        <v>0</v>
      </c>
      <c r="O89" s="250">
        <v>0</v>
      </c>
      <c r="P89" s="250">
        <v>0</v>
      </c>
      <c r="Q89" s="251">
        <v>0</v>
      </c>
      <c r="R89" s="252">
        <v>0</v>
      </c>
      <c r="S89" s="250">
        <v>0</v>
      </c>
      <c r="T89" s="253"/>
      <c r="U89" s="254">
        <v>23</v>
      </c>
      <c r="V89" s="255">
        <v>56</v>
      </c>
      <c r="W89" s="255">
        <v>47</v>
      </c>
      <c r="X89" s="255">
        <v>8</v>
      </c>
      <c r="Y89" s="255">
        <v>36</v>
      </c>
      <c r="Z89" s="255">
        <v>4</v>
      </c>
      <c r="AA89" s="256">
        <v>174</v>
      </c>
      <c r="AB89" s="254">
        <v>0</v>
      </c>
      <c r="AC89" s="255">
        <v>0</v>
      </c>
      <c r="AD89" s="255">
        <v>0</v>
      </c>
      <c r="AE89" s="255">
        <v>0</v>
      </c>
      <c r="AF89" s="257">
        <v>0</v>
      </c>
      <c r="AG89" s="257">
        <v>0</v>
      </c>
      <c r="AH89" s="254">
        <v>0</v>
      </c>
      <c r="AI89" s="255">
        <v>0</v>
      </c>
      <c r="AJ89" s="257">
        <v>0</v>
      </c>
      <c r="AK89" s="254">
        <v>0</v>
      </c>
    </row>
    <row r="90" spans="1:39">
      <c r="A90" s="249"/>
      <c r="B90" s="239" t="s">
        <v>32</v>
      </c>
      <c r="C90" s="250">
        <v>0.18230403800475059</v>
      </c>
      <c r="D90" s="251">
        <v>0.24561403508771928</v>
      </c>
      <c r="E90" s="251">
        <v>0.21448467966573817</v>
      </c>
      <c r="F90" s="251">
        <v>0.17320261437908496</v>
      </c>
      <c r="G90" s="251">
        <v>0.15580286168521462</v>
      </c>
      <c r="H90" s="252">
        <v>0.23641304347826086</v>
      </c>
      <c r="I90" s="530">
        <v>0.2053528449022817</v>
      </c>
      <c r="J90" s="250">
        <v>0</v>
      </c>
      <c r="K90" s="251">
        <v>0</v>
      </c>
      <c r="L90" s="251">
        <v>0</v>
      </c>
      <c r="M90" s="251">
        <v>0</v>
      </c>
      <c r="N90" s="258">
        <v>0</v>
      </c>
      <c r="O90" s="250">
        <v>0</v>
      </c>
      <c r="P90" s="250">
        <v>0</v>
      </c>
      <c r="Q90" s="251">
        <v>0</v>
      </c>
      <c r="R90" s="252">
        <v>0</v>
      </c>
      <c r="S90" s="250">
        <v>0</v>
      </c>
      <c r="T90" s="253"/>
      <c r="U90" s="254">
        <v>614</v>
      </c>
      <c r="V90" s="255">
        <v>434</v>
      </c>
      <c r="W90" s="255">
        <v>847</v>
      </c>
      <c r="X90" s="255">
        <v>53</v>
      </c>
      <c r="Y90" s="255">
        <v>98</v>
      </c>
      <c r="Z90" s="255">
        <v>87</v>
      </c>
      <c r="AA90" s="256">
        <v>2133</v>
      </c>
      <c r="AB90" s="254">
        <v>0</v>
      </c>
      <c r="AC90" s="255">
        <v>0</v>
      </c>
      <c r="AD90" s="255">
        <v>0</v>
      </c>
      <c r="AE90" s="255">
        <v>0</v>
      </c>
      <c r="AF90" s="257">
        <v>0</v>
      </c>
      <c r="AG90" s="257">
        <v>0</v>
      </c>
      <c r="AH90" s="254">
        <v>0</v>
      </c>
      <c r="AI90" s="255">
        <v>0</v>
      </c>
      <c r="AJ90" s="257">
        <v>0</v>
      </c>
      <c r="AK90" s="254">
        <v>0</v>
      </c>
    </row>
    <row r="91" spans="1:39">
      <c r="A91" s="249"/>
      <c r="B91" s="239" t="s">
        <v>58</v>
      </c>
      <c r="C91" s="250">
        <v>0</v>
      </c>
      <c r="D91" s="251">
        <v>0</v>
      </c>
      <c r="E91" s="419">
        <v>0</v>
      </c>
      <c r="F91" s="251">
        <v>0</v>
      </c>
      <c r="G91" s="419">
        <v>0</v>
      </c>
      <c r="H91" s="252">
        <v>0</v>
      </c>
      <c r="I91" s="532">
        <v>0</v>
      </c>
      <c r="J91" s="250">
        <v>0</v>
      </c>
      <c r="K91" s="251">
        <v>1</v>
      </c>
      <c r="L91" s="251">
        <v>1</v>
      </c>
      <c r="M91" s="251">
        <v>1</v>
      </c>
      <c r="N91" s="252">
        <v>0</v>
      </c>
      <c r="O91" s="250">
        <v>1</v>
      </c>
      <c r="P91" s="250">
        <v>0</v>
      </c>
      <c r="Q91" s="251">
        <v>0</v>
      </c>
      <c r="R91" s="252">
        <v>0</v>
      </c>
      <c r="S91" s="250">
        <v>0</v>
      </c>
      <c r="T91" s="253"/>
      <c r="U91" s="254">
        <v>0</v>
      </c>
      <c r="V91" s="255">
        <v>0</v>
      </c>
      <c r="W91" s="255">
        <v>0</v>
      </c>
      <c r="X91" s="255">
        <v>0</v>
      </c>
      <c r="Y91" s="255">
        <v>0</v>
      </c>
      <c r="Z91" s="255">
        <v>0</v>
      </c>
      <c r="AA91" s="256">
        <v>0</v>
      </c>
      <c r="AB91" s="254">
        <v>0</v>
      </c>
      <c r="AC91" s="255">
        <v>2533</v>
      </c>
      <c r="AD91" s="255">
        <v>2732</v>
      </c>
      <c r="AE91" s="255">
        <v>555</v>
      </c>
      <c r="AF91" s="257">
        <v>0</v>
      </c>
      <c r="AG91" s="257">
        <v>5820</v>
      </c>
      <c r="AH91" s="254">
        <v>0</v>
      </c>
      <c r="AI91" s="255">
        <v>0</v>
      </c>
      <c r="AJ91" s="257">
        <v>0</v>
      </c>
      <c r="AK91" s="254">
        <v>0</v>
      </c>
    </row>
    <row r="92" spans="1:39" s="527" customFormat="1">
      <c r="A92" s="435"/>
      <c r="B92" s="436" t="s">
        <v>59</v>
      </c>
      <c r="C92" s="261">
        <v>1</v>
      </c>
      <c r="D92" s="262">
        <v>1</v>
      </c>
      <c r="E92" s="262">
        <v>1</v>
      </c>
      <c r="F92" s="262">
        <v>1</v>
      </c>
      <c r="G92" s="262">
        <v>1</v>
      </c>
      <c r="H92" s="263">
        <v>1</v>
      </c>
      <c r="I92" s="531">
        <v>1</v>
      </c>
      <c r="J92" s="261">
        <v>0</v>
      </c>
      <c r="K92" s="262">
        <v>1</v>
      </c>
      <c r="L92" s="262">
        <v>1</v>
      </c>
      <c r="M92" s="262">
        <v>1</v>
      </c>
      <c r="N92" s="263">
        <v>0</v>
      </c>
      <c r="O92" s="261">
        <v>1</v>
      </c>
      <c r="P92" s="261">
        <v>0</v>
      </c>
      <c r="Q92" s="262">
        <v>0</v>
      </c>
      <c r="R92" s="263">
        <v>0</v>
      </c>
      <c r="S92" s="261">
        <v>0</v>
      </c>
      <c r="T92" s="264"/>
      <c r="U92" s="265">
        <v>3368</v>
      </c>
      <c r="V92" s="266">
        <v>1767</v>
      </c>
      <c r="W92" s="266">
        <v>3949</v>
      </c>
      <c r="X92" s="266">
        <v>306</v>
      </c>
      <c r="Y92" s="266">
        <v>629</v>
      </c>
      <c r="Z92" s="266">
        <v>368</v>
      </c>
      <c r="AA92" s="267">
        <v>10387</v>
      </c>
      <c r="AB92" s="265">
        <v>0</v>
      </c>
      <c r="AC92" s="266">
        <v>2533</v>
      </c>
      <c r="AD92" s="266">
        <v>2732</v>
      </c>
      <c r="AE92" s="266">
        <v>555</v>
      </c>
      <c r="AF92" s="268">
        <v>0</v>
      </c>
      <c r="AG92" s="268">
        <v>5820</v>
      </c>
      <c r="AH92" s="265">
        <v>0</v>
      </c>
      <c r="AI92" s="266">
        <v>0</v>
      </c>
      <c r="AJ92" s="268">
        <v>0</v>
      </c>
      <c r="AK92" s="265">
        <v>0</v>
      </c>
      <c r="AL92" s="270"/>
      <c r="AM92" s="270"/>
    </row>
    <row r="93" spans="1:39">
      <c r="A93" s="239" t="s">
        <v>13</v>
      </c>
      <c r="B93" s="240" t="s">
        <v>53</v>
      </c>
      <c r="C93" s="241">
        <v>0.3346456692913386</v>
      </c>
      <c r="D93" s="242">
        <v>0</v>
      </c>
      <c r="E93" s="242">
        <v>0.29736842105263156</v>
      </c>
      <c r="F93" s="242">
        <v>0</v>
      </c>
      <c r="G93" s="242">
        <v>0.23284589426321708</v>
      </c>
      <c r="H93" s="243">
        <v>0.1641025641025641</v>
      </c>
      <c r="I93" s="529">
        <v>0.29540763673890608</v>
      </c>
      <c r="J93" s="241">
        <v>0</v>
      </c>
      <c r="K93" s="242">
        <v>0</v>
      </c>
      <c r="L93" s="242">
        <v>0</v>
      </c>
      <c r="M93" s="242">
        <v>0</v>
      </c>
      <c r="N93" s="243">
        <v>0</v>
      </c>
      <c r="O93" s="241">
        <v>0</v>
      </c>
      <c r="P93" s="342">
        <v>0</v>
      </c>
      <c r="Q93" s="242">
        <v>0</v>
      </c>
      <c r="R93" s="243">
        <v>0</v>
      </c>
      <c r="S93" s="342">
        <v>0</v>
      </c>
      <c r="T93" s="244"/>
      <c r="U93" s="245">
        <v>680</v>
      </c>
      <c r="V93" s="246">
        <v>0</v>
      </c>
      <c r="W93" s="246">
        <v>226</v>
      </c>
      <c r="X93" s="246">
        <v>0</v>
      </c>
      <c r="Y93" s="246">
        <v>207</v>
      </c>
      <c r="Z93" s="246">
        <v>32</v>
      </c>
      <c r="AA93" s="247">
        <v>1145</v>
      </c>
      <c r="AB93" s="245">
        <v>0</v>
      </c>
      <c r="AC93" s="246">
        <v>0</v>
      </c>
      <c r="AD93" s="246">
        <v>0</v>
      </c>
      <c r="AE93" s="246">
        <v>0</v>
      </c>
      <c r="AF93" s="248">
        <v>0</v>
      </c>
      <c r="AG93" s="248">
        <v>0</v>
      </c>
      <c r="AH93" s="245">
        <v>0</v>
      </c>
      <c r="AI93" s="246">
        <v>0</v>
      </c>
      <c r="AJ93" s="248">
        <v>0</v>
      </c>
      <c r="AK93" s="245">
        <v>0</v>
      </c>
    </row>
    <row r="94" spans="1:39">
      <c r="A94" s="249"/>
      <c r="B94" s="239" t="s">
        <v>93</v>
      </c>
      <c r="C94" s="250">
        <v>0.27559055118110237</v>
      </c>
      <c r="D94" s="251">
        <v>0</v>
      </c>
      <c r="E94" s="251">
        <v>0.16315789473684211</v>
      </c>
      <c r="F94" s="251">
        <v>0</v>
      </c>
      <c r="G94" s="251">
        <v>0.18785151856017998</v>
      </c>
      <c r="H94" s="252">
        <v>0.22564102564102564</v>
      </c>
      <c r="I94" s="530">
        <v>0.23090815273477813</v>
      </c>
      <c r="J94" s="250">
        <v>0</v>
      </c>
      <c r="K94" s="251">
        <v>0</v>
      </c>
      <c r="L94" s="251">
        <v>0</v>
      </c>
      <c r="M94" s="251">
        <v>0</v>
      </c>
      <c r="N94" s="252">
        <v>0</v>
      </c>
      <c r="O94" s="272">
        <v>0</v>
      </c>
      <c r="P94" s="250">
        <v>0</v>
      </c>
      <c r="Q94" s="251">
        <v>0</v>
      </c>
      <c r="R94" s="252">
        <v>0</v>
      </c>
      <c r="S94" s="250">
        <v>0</v>
      </c>
      <c r="T94" s="253"/>
      <c r="U94" s="254">
        <v>560</v>
      </c>
      <c r="V94" s="255">
        <v>0</v>
      </c>
      <c r="W94" s="255">
        <v>124</v>
      </c>
      <c r="X94" s="255">
        <v>0</v>
      </c>
      <c r="Y94" s="255">
        <v>167</v>
      </c>
      <c r="Z94" s="255">
        <v>44</v>
      </c>
      <c r="AA94" s="256">
        <v>895</v>
      </c>
      <c r="AB94" s="254">
        <v>0</v>
      </c>
      <c r="AC94" s="255">
        <v>0</v>
      </c>
      <c r="AD94" s="255">
        <v>0</v>
      </c>
      <c r="AE94" s="255">
        <v>0</v>
      </c>
      <c r="AF94" s="257">
        <v>0</v>
      </c>
      <c r="AG94" s="257">
        <v>0</v>
      </c>
      <c r="AH94" s="254">
        <v>0</v>
      </c>
      <c r="AI94" s="255">
        <v>0</v>
      </c>
      <c r="AJ94" s="257">
        <v>0</v>
      </c>
      <c r="AK94" s="254">
        <v>0</v>
      </c>
    </row>
    <row r="95" spans="1:39">
      <c r="A95" s="249"/>
      <c r="B95" s="239" t="s">
        <v>55</v>
      </c>
      <c r="C95" s="250">
        <v>0.2514763779527559</v>
      </c>
      <c r="D95" s="251">
        <v>0</v>
      </c>
      <c r="E95" s="251">
        <v>0.29078947368421054</v>
      </c>
      <c r="F95" s="251">
        <v>0</v>
      </c>
      <c r="G95" s="251">
        <v>0.31496062992125984</v>
      </c>
      <c r="H95" s="252">
        <v>0.3487179487179487</v>
      </c>
      <c r="I95" s="530">
        <v>0.27863777089783281</v>
      </c>
      <c r="J95" s="250">
        <v>0</v>
      </c>
      <c r="K95" s="251">
        <v>0</v>
      </c>
      <c r="L95" s="251">
        <v>0</v>
      </c>
      <c r="M95" s="251">
        <v>0</v>
      </c>
      <c r="N95" s="252">
        <v>0</v>
      </c>
      <c r="O95" s="250">
        <v>0</v>
      </c>
      <c r="P95" s="250">
        <v>0</v>
      </c>
      <c r="Q95" s="251">
        <v>0</v>
      </c>
      <c r="R95" s="252">
        <v>0</v>
      </c>
      <c r="S95" s="250">
        <v>0</v>
      </c>
      <c r="T95" s="253"/>
      <c r="U95" s="254">
        <v>511</v>
      </c>
      <c r="V95" s="255">
        <v>0</v>
      </c>
      <c r="W95" s="255">
        <v>221</v>
      </c>
      <c r="X95" s="255">
        <v>0</v>
      </c>
      <c r="Y95" s="255">
        <v>280</v>
      </c>
      <c r="Z95" s="255">
        <v>68</v>
      </c>
      <c r="AA95" s="256">
        <v>1080</v>
      </c>
      <c r="AB95" s="254">
        <v>0</v>
      </c>
      <c r="AC95" s="255">
        <v>0</v>
      </c>
      <c r="AD95" s="255">
        <v>0</v>
      </c>
      <c r="AE95" s="255">
        <v>0</v>
      </c>
      <c r="AF95" s="257">
        <v>0</v>
      </c>
      <c r="AG95" s="257">
        <v>0</v>
      </c>
      <c r="AH95" s="254">
        <v>0</v>
      </c>
      <c r="AI95" s="255">
        <v>0</v>
      </c>
      <c r="AJ95" s="257">
        <v>0</v>
      </c>
      <c r="AK95" s="254">
        <v>0</v>
      </c>
    </row>
    <row r="96" spans="1:39">
      <c r="A96" s="249"/>
      <c r="B96" s="239" t="s">
        <v>78</v>
      </c>
      <c r="C96" s="250">
        <v>0.13828740157480315</v>
      </c>
      <c r="D96" s="251">
        <v>0</v>
      </c>
      <c r="E96" s="251">
        <v>0.24868421052631579</v>
      </c>
      <c r="F96" s="251">
        <v>0</v>
      </c>
      <c r="G96" s="251">
        <v>0.2643419572553431</v>
      </c>
      <c r="H96" s="252">
        <v>0.26153846153846155</v>
      </c>
      <c r="I96" s="530">
        <v>0.19504643962848298</v>
      </c>
      <c r="J96" s="250">
        <v>0</v>
      </c>
      <c r="K96" s="251">
        <v>0</v>
      </c>
      <c r="L96" s="251">
        <v>0</v>
      </c>
      <c r="M96" s="251">
        <v>0</v>
      </c>
      <c r="N96" s="252">
        <v>0</v>
      </c>
      <c r="O96" s="250">
        <v>0</v>
      </c>
      <c r="P96" s="250">
        <v>0</v>
      </c>
      <c r="Q96" s="251">
        <v>0</v>
      </c>
      <c r="R96" s="252">
        <v>0</v>
      </c>
      <c r="S96" s="250">
        <v>0</v>
      </c>
      <c r="T96" s="253"/>
      <c r="U96" s="254">
        <v>281</v>
      </c>
      <c r="V96" s="255">
        <v>0</v>
      </c>
      <c r="W96" s="255">
        <v>189</v>
      </c>
      <c r="X96" s="255">
        <v>0</v>
      </c>
      <c r="Y96" s="255">
        <v>235</v>
      </c>
      <c r="Z96" s="255">
        <v>51</v>
      </c>
      <c r="AA96" s="256">
        <v>756</v>
      </c>
      <c r="AB96" s="254">
        <v>0</v>
      </c>
      <c r="AC96" s="255">
        <v>0</v>
      </c>
      <c r="AD96" s="255">
        <v>0</v>
      </c>
      <c r="AE96" s="255">
        <v>0</v>
      </c>
      <c r="AF96" s="257">
        <v>0</v>
      </c>
      <c r="AG96" s="257">
        <v>0</v>
      </c>
      <c r="AH96" s="254">
        <v>0</v>
      </c>
      <c r="AI96" s="255">
        <v>0</v>
      </c>
      <c r="AJ96" s="257">
        <v>0</v>
      </c>
      <c r="AK96" s="254">
        <v>0</v>
      </c>
    </row>
    <row r="97" spans="1:39">
      <c r="A97" s="249"/>
      <c r="B97" s="239" t="s">
        <v>32</v>
      </c>
      <c r="C97" s="250">
        <v>0</v>
      </c>
      <c r="D97" s="251">
        <v>0</v>
      </c>
      <c r="E97" s="251">
        <v>0</v>
      </c>
      <c r="F97" s="251">
        <v>0</v>
      </c>
      <c r="G97" s="251">
        <v>0</v>
      </c>
      <c r="H97" s="252">
        <v>0</v>
      </c>
      <c r="I97" s="530">
        <v>0</v>
      </c>
      <c r="J97" s="250">
        <v>0</v>
      </c>
      <c r="K97" s="251">
        <v>0</v>
      </c>
      <c r="L97" s="251">
        <v>0</v>
      </c>
      <c r="M97" s="251">
        <v>0</v>
      </c>
      <c r="N97" s="258">
        <v>0</v>
      </c>
      <c r="O97" s="250">
        <v>0</v>
      </c>
      <c r="P97" s="250">
        <v>0</v>
      </c>
      <c r="Q97" s="251">
        <v>0</v>
      </c>
      <c r="R97" s="252">
        <v>0</v>
      </c>
      <c r="S97" s="250">
        <v>0</v>
      </c>
      <c r="T97" s="253"/>
      <c r="U97" s="254">
        <v>0</v>
      </c>
      <c r="V97" s="255">
        <v>0</v>
      </c>
      <c r="W97" s="255">
        <v>0</v>
      </c>
      <c r="X97" s="255">
        <v>0</v>
      </c>
      <c r="Y97" s="255">
        <v>0</v>
      </c>
      <c r="Z97" s="255">
        <v>0</v>
      </c>
      <c r="AA97" s="256">
        <v>0</v>
      </c>
      <c r="AB97" s="254">
        <v>0</v>
      </c>
      <c r="AC97" s="255">
        <v>0</v>
      </c>
      <c r="AD97" s="255">
        <v>0</v>
      </c>
      <c r="AE97" s="255">
        <v>0</v>
      </c>
      <c r="AF97" s="257">
        <v>0</v>
      </c>
      <c r="AG97" s="257">
        <v>0</v>
      </c>
      <c r="AH97" s="254">
        <v>0</v>
      </c>
      <c r="AI97" s="255">
        <v>0</v>
      </c>
      <c r="AJ97" s="257">
        <v>0</v>
      </c>
      <c r="AK97" s="254">
        <v>0</v>
      </c>
    </row>
    <row r="98" spans="1:39">
      <c r="A98" s="249"/>
      <c r="B98" s="239" t="s">
        <v>58</v>
      </c>
      <c r="C98" s="250">
        <v>0</v>
      </c>
      <c r="D98" s="251">
        <v>0</v>
      </c>
      <c r="E98" s="419">
        <v>0</v>
      </c>
      <c r="F98" s="251">
        <v>0</v>
      </c>
      <c r="G98" s="419">
        <v>0</v>
      </c>
      <c r="H98" s="252">
        <v>0</v>
      </c>
      <c r="I98" s="532">
        <v>0</v>
      </c>
      <c r="J98" s="250">
        <v>1</v>
      </c>
      <c r="K98" s="251">
        <v>1</v>
      </c>
      <c r="L98" s="251">
        <v>1</v>
      </c>
      <c r="M98" s="251">
        <v>1</v>
      </c>
      <c r="N98" s="252">
        <v>0</v>
      </c>
      <c r="O98" s="250">
        <v>1</v>
      </c>
      <c r="P98" s="250">
        <v>1</v>
      </c>
      <c r="Q98" s="251">
        <v>1</v>
      </c>
      <c r="R98" s="252">
        <v>0</v>
      </c>
      <c r="S98" s="250">
        <v>1</v>
      </c>
      <c r="T98" s="253"/>
      <c r="U98" s="254">
        <v>0</v>
      </c>
      <c r="V98" s="255">
        <v>0</v>
      </c>
      <c r="W98" s="255">
        <v>0</v>
      </c>
      <c r="X98" s="255">
        <v>0</v>
      </c>
      <c r="Y98" s="255">
        <v>0</v>
      </c>
      <c r="Z98" s="255">
        <v>0</v>
      </c>
      <c r="AA98" s="256">
        <v>0</v>
      </c>
      <c r="AB98" s="254">
        <v>124</v>
      </c>
      <c r="AC98" s="255">
        <v>444</v>
      </c>
      <c r="AD98" s="255">
        <v>270</v>
      </c>
      <c r="AE98" s="255">
        <v>403</v>
      </c>
      <c r="AF98" s="257">
        <v>0</v>
      </c>
      <c r="AG98" s="257">
        <v>1241</v>
      </c>
      <c r="AH98" s="254">
        <v>225</v>
      </c>
      <c r="AI98" s="255">
        <v>849</v>
      </c>
      <c r="AJ98" s="257">
        <v>0</v>
      </c>
      <c r="AK98" s="254">
        <v>1074</v>
      </c>
    </row>
    <row r="99" spans="1:39" s="527" customFormat="1">
      <c r="A99" s="435"/>
      <c r="B99" s="436" t="s">
        <v>59</v>
      </c>
      <c r="C99" s="261">
        <v>1</v>
      </c>
      <c r="D99" s="262">
        <v>0</v>
      </c>
      <c r="E99" s="262">
        <v>1</v>
      </c>
      <c r="F99" s="262">
        <v>0</v>
      </c>
      <c r="G99" s="262">
        <v>1</v>
      </c>
      <c r="H99" s="263">
        <v>1</v>
      </c>
      <c r="I99" s="531">
        <v>1</v>
      </c>
      <c r="J99" s="261">
        <v>1</v>
      </c>
      <c r="K99" s="262">
        <v>1</v>
      </c>
      <c r="L99" s="262">
        <v>1</v>
      </c>
      <c r="M99" s="262">
        <v>1</v>
      </c>
      <c r="N99" s="263">
        <v>0</v>
      </c>
      <c r="O99" s="261">
        <v>1</v>
      </c>
      <c r="P99" s="261">
        <v>1</v>
      </c>
      <c r="Q99" s="262">
        <v>1</v>
      </c>
      <c r="R99" s="263">
        <v>0</v>
      </c>
      <c r="S99" s="261">
        <v>1</v>
      </c>
      <c r="T99" s="264"/>
      <c r="U99" s="265">
        <v>2032</v>
      </c>
      <c r="V99" s="266">
        <v>0</v>
      </c>
      <c r="W99" s="266">
        <v>760</v>
      </c>
      <c r="X99" s="266">
        <v>0</v>
      </c>
      <c r="Y99" s="266">
        <v>889</v>
      </c>
      <c r="Z99" s="266">
        <v>195</v>
      </c>
      <c r="AA99" s="267">
        <v>3876</v>
      </c>
      <c r="AB99" s="265">
        <v>124</v>
      </c>
      <c r="AC99" s="266">
        <v>444</v>
      </c>
      <c r="AD99" s="266">
        <v>270</v>
      </c>
      <c r="AE99" s="266">
        <v>403</v>
      </c>
      <c r="AF99" s="268">
        <v>0</v>
      </c>
      <c r="AG99" s="268">
        <v>1241</v>
      </c>
      <c r="AH99" s="265">
        <v>225</v>
      </c>
      <c r="AI99" s="266">
        <v>849</v>
      </c>
      <c r="AJ99" s="268">
        <v>0</v>
      </c>
      <c r="AK99" s="265">
        <v>1074</v>
      </c>
      <c r="AL99" s="270"/>
      <c r="AM99" s="270"/>
    </row>
    <row r="100" spans="1:39">
      <c r="A100" s="239" t="s">
        <v>14</v>
      </c>
      <c r="B100" s="240" t="s">
        <v>53</v>
      </c>
      <c r="C100" s="241">
        <v>0.28888888888888886</v>
      </c>
      <c r="D100" s="242">
        <v>0</v>
      </c>
      <c r="E100" s="242">
        <v>0.23404255319148937</v>
      </c>
      <c r="F100" s="242">
        <v>0.34104046242774566</v>
      </c>
      <c r="G100" s="242">
        <v>0.20210280373831777</v>
      </c>
      <c r="H100" s="243">
        <v>0.18630136986301371</v>
      </c>
      <c r="I100" s="529">
        <v>0.25623885918003564</v>
      </c>
      <c r="J100" s="241">
        <v>0.16981132075471697</v>
      </c>
      <c r="K100" s="242">
        <v>0</v>
      </c>
      <c r="L100" s="242">
        <v>0</v>
      </c>
      <c r="M100" s="242">
        <v>5.7034220532319393E-2</v>
      </c>
      <c r="N100" s="243">
        <v>0</v>
      </c>
      <c r="O100" s="241">
        <v>1.1439466158245948E-2</v>
      </c>
      <c r="P100" s="342">
        <v>0</v>
      </c>
      <c r="Q100" s="242">
        <v>0</v>
      </c>
      <c r="R100" s="243">
        <v>0</v>
      </c>
      <c r="S100" s="342">
        <v>0</v>
      </c>
      <c r="T100" s="244"/>
      <c r="U100" s="245">
        <v>663</v>
      </c>
      <c r="V100" s="246">
        <v>0</v>
      </c>
      <c r="W100" s="246">
        <v>187</v>
      </c>
      <c r="X100" s="246">
        <v>59</v>
      </c>
      <c r="Y100" s="246">
        <v>173</v>
      </c>
      <c r="Z100" s="246">
        <v>68</v>
      </c>
      <c r="AA100" s="247">
        <v>1150</v>
      </c>
      <c r="AB100" s="245">
        <v>9</v>
      </c>
      <c r="AC100" s="246">
        <v>0</v>
      </c>
      <c r="AD100" s="246">
        <v>0</v>
      </c>
      <c r="AE100" s="246">
        <v>15</v>
      </c>
      <c r="AF100" s="248">
        <v>0</v>
      </c>
      <c r="AG100" s="248">
        <v>24</v>
      </c>
      <c r="AH100" s="245">
        <v>0</v>
      </c>
      <c r="AI100" s="246">
        <v>0</v>
      </c>
      <c r="AJ100" s="248">
        <v>0</v>
      </c>
      <c r="AK100" s="245">
        <v>0</v>
      </c>
    </row>
    <row r="101" spans="1:39">
      <c r="A101" s="249"/>
      <c r="B101" s="239" t="s">
        <v>93</v>
      </c>
      <c r="C101" s="250">
        <v>0.24444444444444444</v>
      </c>
      <c r="D101" s="251">
        <v>0</v>
      </c>
      <c r="E101" s="251">
        <v>0.31289111389236546</v>
      </c>
      <c r="F101" s="251">
        <v>0.30057803468208094</v>
      </c>
      <c r="G101" s="251">
        <v>0.22429906542056074</v>
      </c>
      <c r="H101" s="252">
        <v>0.20547945205479451</v>
      </c>
      <c r="I101" s="530">
        <v>0.25178253119429589</v>
      </c>
      <c r="J101" s="250">
        <v>0.28301886792452829</v>
      </c>
      <c r="K101" s="251">
        <v>0</v>
      </c>
      <c r="L101" s="251">
        <v>0</v>
      </c>
      <c r="M101" s="251">
        <v>9.5057034220532313E-2</v>
      </c>
      <c r="N101" s="252">
        <v>0</v>
      </c>
      <c r="O101" s="250">
        <v>1.9065776930409915E-2</v>
      </c>
      <c r="P101" s="250">
        <v>0</v>
      </c>
      <c r="Q101" s="251">
        <v>0</v>
      </c>
      <c r="R101" s="252">
        <v>0</v>
      </c>
      <c r="S101" s="250">
        <v>0</v>
      </c>
      <c r="T101" s="253"/>
      <c r="U101" s="254">
        <v>561</v>
      </c>
      <c r="V101" s="255">
        <v>0</v>
      </c>
      <c r="W101" s="255">
        <v>250</v>
      </c>
      <c r="X101" s="255">
        <v>52</v>
      </c>
      <c r="Y101" s="255">
        <v>192</v>
      </c>
      <c r="Z101" s="255">
        <v>75</v>
      </c>
      <c r="AA101" s="256">
        <v>1130</v>
      </c>
      <c r="AB101" s="254">
        <v>15</v>
      </c>
      <c r="AC101" s="255">
        <v>0</v>
      </c>
      <c r="AD101" s="255">
        <v>0</v>
      </c>
      <c r="AE101" s="255">
        <v>25</v>
      </c>
      <c r="AF101" s="257">
        <v>0</v>
      </c>
      <c r="AG101" s="257">
        <v>40</v>
      </c>
      <c r="AH101" s="254">
        <v>0</v>
      </c>
      <c r="AI101" s="255">
        <v>0</v>
      </c>
      <c r="AJ101" s="257">
        <v>0</v>
      </c>
      <c r="AK101" s="254">
        <v>0</v>
      </c>
    </row>
    <row r="102" spans="1:39">
      <c r="A102" s="249"/>
      <c r="B102" s="239" t="s">
        <v>55</v>
      </c>
      <c r="C102" s="250">
        <v>0.29891067538126359</v>
      </c>
      <c r="D102" s="251">
        <v>0</v>
      </c>
      <c r="E102" s="251">
        <v>0.3091364205256571</v>
      </c>
      <c r="F102" s="251">
        <v>0.3583815028901734</v>
      </c>
      <c r="G102" s="251">
        <v>0.40070093457943923</v>
      </c>
      <c r="H102" s="252">
        <v>0.29589041095890412</v>
      </c>
      <c r="I102" s="530">
        <v>0.32219251336898397</v>
      </c>
      <c r="J102" s="250">
        <v>0.26415094339622641</v>
      </c>
      <c r="K102" s="251">
        <v>0</v>
      </c>
      <c r="L102" s="251">
        <v>0</v>
      </c>
      <c r="M102" s="251">
        <v>0.15209125475285171</v>
      </c>
      <c r="N102" s="252">
        <v>0</v>
      </c>
      <c r="O102" s="250">
        <v>2.5738798856053385E-2</v>
      </c>
      <c r="P102" s="250">
        <v>0</v>
      </c>
      <c r="Q102" s="251">
        <v>0</v>
      </c>
      <c r="R102" s="252">
        <v>0</v>
      </c>
      <c r="S102" s="250">
        <v>0</v>
      </c>
      <c r="T102" s="253"/>
      <c r="U102" s="254">
        <v>686</v>
      </c>
      <c r="V102" s="255">
        <v>0</v>
      </c>
      <c r="W102" s="255">
        <v>247</v>
      </c>
      <c r="X102" s="255">
        <v>62</v>
      </c>
      <c r="Y102" s="255">
        <v>343</v>
      </c>
      <c r="Z102" s="255">
        <v>108</v>
      </c>
      <c r="AA102" s="256">
        <v>1446</v>
      </c>
      <c r="AB102" s="254">
        <v>14</v>
      </c>
      <c r="AC102" s="255">
        <v>0</v>
      </c>
      <c r="AD102" s="255">
        <v>0</v>
      </c>
      <c r="AE102" s="255">
        <v>40</v>
      </c>
      <c r="AF102" s="257">
        <v>0</v>
      </c>
      <c r="AG102" s="257">
        <v>54</v>
      </c>
      <c r="AH102" s="254">
        <v>0</v>
      </c>
      <c r="AI102" s="255">
        <v>0</v>
      </c>
      <c r="AJ102" s="257">
        <v>0</v>
      </c>
      <c r="AK102" s="254">
        <v>0</v>
      </c>
    </row>
    <row r="103" spans="1:39">
      <c r="A103" s="249"/>
      <c r="B103" s="239" t="s">
        <v>78</v>
      </c>
      <c r="C103" s="250">
        <v>6.7973856209150321E-2</v>
      </c>
      <c r="D103" s="251">
        <v>0</v>
      </c>
      <c r="E103" s="251">
        <v>0.13642052565707133</v>
      </c>
      <c r="F103" s="251">
        <v>0</v>
      </c>
      <c r="G103" s="251">
        <v>0.10514018691588785</v>
      </c>
      <c r="H103" s="252">
        <v>0.31232876712328766</v>
      </c>
      <c r="I103" s="530">
        <v>0.10450089126559715</v>
      </c>
      <c r="J103" s="250">
        <v>0.28301886792452829</v>
      </c>
      <c r="K103" s="251">
        <v>0</v>
      </c>
      <c r="L103" s="251">
        <v>0</v>
      </c>
      <c r="M103" s="251">
        <v>0.17490494296577946</v>
      </c>
      <c r="N103" s="252">
        <v>0</v>
      </c>
      <c r="O103" s="250">
        <v>2.9075309818875118E-2</v>
      </c>
      <c r="P103" s="250">
        <v>0</v>
      </c>
      <c r="Q103" s="251">
        <v>0</v>
      </c>
      <c r="R103" s="252">
        <v>0</v>
      </c>
      <c r="S103" s="250">
        <v>0</v>
      </c>
      <c r="T103" s="253"/>
      <c r="U103" s="254">
        <v>156</v>
      </c>
      <c r="V103" s="255">
        <v>0</v>
      </c>
      <c r="W103" s="255">
        <v>109</v>
      </c>
      <c r="X103" s="255">
        <v>0</v>
      </c>
      <c r="Y103" s="255">
        <v>90</v>
      </c>
      <c r="Z103" s="255">
        <v>114</v>
      </c>
      <c r="AA103" s="256">
        <v>469</v>
      </c>
      <c r="AB103" s="254">
        <v>15</v>
      </c>
      <c r="AC103" s="255">
        <v>0</v>
      </c>
      <c r="AD103" s="255">
        <v>0</v>
      </c>
      <c r="AE103" s="255">
        <v>46</v>
      </c>
      <c r="AF103" s="257">
        <v>0</v>
      </c>
      <c r="AG103" s="257">
        <v>61</v>
      </c>
      <c r="AH103" s="254">
        <v>0</v>
      </c>
      <c r="AI103" s="255">
        <v>0</v>
      </c>
      <c r="AJ103" s="257">
        <v>0</v>
      </c>
      <c r="AK103" s="254">
        <v>0</v>
      </c>
    </row>
    <row r="104" spans="1:39">
      <c r="A104" s="249"/>
      <c r="B104" s="239" t="s">
        <v>32</v>
      </c>
      <c r="C104" s="250">
        <v>9.978213507625272E-2</v>
      </c>
      <c r="D104" s="251">
        <v>0</v>
      </c>
      <c r="E104" s="251">
        <v>7.5093867334167707E-3</v>
      </c>
      <c r="F104" s="251">
        <v>0</v>
      </c>
      <c r="G104" s="251">
        <v>6.7757009345794386E-2</v>
      </c>
      <c r="H104" s="252">
        <v>0</v>
      </c>
      <c r="I104" s="530">
        <v>6.5285204991087351E-2</v>
      </c>
      <c r="J104" s="250">
        <v>0</v>
      </c>
      <c r="K104" s="251">
        <v>1</v>
      </c>
      <c r="L104" s="251">
        <v>1</v>
      </c>
      <c r="M104" s="251">
        <v>0.52091254752851712</v>
      </c>
      <c r="N104" s="258">
        <v>0</v>
      </c>
      <c r="O104" s="250">
        <v>0.91468064823641559</v>
      </c>
      <c r="P104" s="250">
        <v>0</v>
      </c>
      <c r="Q104" s="251">
        <v>0</v>
      </c>
      <c r="R104" s="252">
        <v>0</v>
      </c>
      <c r="S104" s="250">
        <v>0</v>
      </c>
      <c r="T104" s="253"/>
      <c r="U104" s="254">
        <v>229</v>
      </c>
      <c r="V104" s="255">
        <v>0</v>
      </c>
      <c r="W104" s="255">
        <v>6</v>
      </c>
      <c r="X104" s="255">
        <v>0</v>
      </c>
      <c r="Y104" s="255">
        <v>58</v>
      </c>
      <c r="Z104" s="255">
        <v>0</v>
      </c>
      <c r="AA104" s="256">
        <v>293</v>
      </c>
      <c r="AB104" s="254">
        <v>0</v>
      </c>
      <c r="AC104" s="255">
        <v>851</v>
      </c>
      <c r="AD104" s="255">
        <v>931</v>
      </c>
      <c r="AE104" s="255">
        <v>137</v>
      </c>
      <c r="AF104" s="257">
        <v>0</v>
      </c>
      <c r="AG104" s="257">
        <v>1919</v>
      </c>
      <c r="AH104" s="254">
        <v>0</v>
      </c>
      <c r="AI104" s="255">
        <v>0</v>
      </c>
      <c r="AJ104" s="257">
        <v>0</v>
      </c>
      <c r="AK104" s="254">
        <v>0</v>
      </c>
    </row>
    <row r="105" spans="1:39">
      <c r="A105" s="249"/>
      <c r="B105" s="239" t="s">
        <v>58</v>
      </c>
      <c r="C105" s="250">
        <v>0</v>
      </c>
      <c r="D105" s="251">
        <v>0</v>
      </c>
      <c r="E105" s="419">
        <v>0</v>
      </c>
      <c r="F105" s="251">
        <v>0</v>
      </c>
      <c r="G105" s="419">
        <v>0</v>
      </c>
      <c r="H105" s="252">
        <v>0</v>
      </c>
      <c r="I105" s="532">
        <v>0</v>
      </c>
      <c r="J105" s="250">
        <v>0</v>
      </c>
      <c r="K105" s="251">
        <v>0</v>
      </c>
      <c r="L105" s="251">
        <v>0</v>
      </c>
      <c r="M105" s="251">
        <v>0</v>
      </c>
      <c r="N105" s="252">
        <v>0</v>
      </c>
      <c r="O105" s="250">
        <v>0</v>
      </c>
      <c r="P105" s="250">
        <v>0</v>
      </c>
      <c r="Q105" s="251">
        <v>0</v>
      </c>
      <c r="R105" s="252">
        <v>0</v>
      </c>
      <c r="S105" s="250">
        <v>0</v>
      </c>
      <c r="T105" s="253"/>
      <c r="U105" s="254">
        <v>0</v>
      </c>
      <c r="V105" s="255">
        <v>0</v>
      </c>
      <c r="W105" s="255">
        <v>0</v>
      </c>
      <c r="X105" s="255">
        <v>0</v>
      </c>
      <c r="Y105" s="255">
        <v>0</v>
      </c>
      <c r="Z105" s="255">
        <v>0</v>
      </c>
      <c r="AA105" s="256">
        <v>0</v>
      </c>
      <c r="AB105" s="254">
        <v>0</v>
      </c>
      <c r="AC105" s="255">
        <v>0</v>
      </c>
      <c r="AD105" s="255">
        <v>0</v>
      </c>
      <c r="AE105" s="255">
        <v>0</v>
      </c>
      <c r="AF105" s="257">
        <v>0</v>
      </c>
      <c r="AG105" s="257">
        <v>0</v>
      </c>
      <c r="AH105" s="254">
        <v>0</v>
      </c>
      <c r="AI105" s="255">
        <v>0</v>
      </c>
      <c r="AJ105" s="257">
        <v>0</v>
      </c>
      <c r="AK105" s="254">
        <v>0</v>
      </c>
    </row>
    <row r="106" spans="1:39" s="527" customFormat="1">
      <c r="A106" s="435"/>
      <c r="B106" s="436" t="s">
        <v>59</v>
      </c>
      <c r="C106" s="261">
        <v>1</v>
      </c>
      <c r="D106" s="262">
        <v>0</v>
      </c>
      <c r="E106" s="262">
        <v>1</v>
      </c>
      <c r="F106" s="262">
        <v>1</v>
      </c>
      <c r="G106" s="262">
        <v>1</v>
      </c>
      <c r="H106" s="263">
        <v>1</v>
      </c>
      <c r="I106" s="531">
        <v>1</v>
      </c>
      <c r="J106" s="261">
        <v>1</v>
      </c>
      <c r="K106" s="262">
        <v>1</v>
      </c>
      <c r="L106" s="262">
        <v>1</v>
      </c>
      <c r="M106" s="262">
        <v>1</v>
      </c>
      <c r="N106" s="263">
        <v>0</v>
      </c>
      <c r="O106" s="261">
        <v>1</v>
      </c>
      <c r="P106" s="261">
        <v>0</v>
      </c>
      <c r="Q106" s="262">
        <v>0</v>
      </c>
      <c r="R106" s="263">
        <v>0</v>
      </c>
      <c r="S106" s="261">
        <v>0</v>
      </c>
      <c r="T106" s="264"/>
      <c r="U106" s="265">
        <v>2295</v>
      </c>
      <c r="V106" s="266">
        <v>0</v>
      </c>
      <c r="W106" s="266">
        <v>799</v>
      </c>
      <c r="X106" s="266">
        <v>173</v>
      </c>
      <c r="Y106" s="266">
        <v>856</v>
      </c>
      <c r="Z106" s="266">
        <v>365</v>
      </c>
      <c r="AA106" s="267">
        <v>4488</v>
      </c>
      <c r="AB106" s="265">
        <v>53</v>
      </c>
      <c r="AC106" s="266">
        <v>851</v>
      </c>
      <c r="AD106" s="266">
        <v>931</v>
      </c>
      <c r="AE106" s="266">
        <v>263</v>
      </c>
      <c r="AF106" s="268">
        <v>0</v>
      </c>
      <c r="AG106" s="268">
        <v>2098</v>
      </c>
      <c r="AH106" s="265">
        <v>0</v>
      </c>
      <c r="AI106" s="266">
        <v>0</v>
      </c>
      <c r="AJ106" s="268">
        <v>0</v>
      </c>
      <c r="AK106" s="265">
        <v>0</v>
      </c>
      <c r="AL106" s="270"/>
      <c r="AM106" s="270"/>
    </row>
    <row r="107" spans="1:39">
      <c r="A107" s="239" t="s">
        <v>15</v>
      </c>
      <c r="B107" s="240" t="s">
        <v>53</v>
      </c>
      <c r="C107" s="241">
        <v>0.33481012658227849</v>
      </c>
      <c r="D107" s="242">
        <v>0.29237770193401591</v>
      </c>
      <c r="E107" s="242">
        <v>0.30357142857142855</v>
      </c>
      <c r="F107" s="242">
        <v>0.37014925373134328</v>
      </c>
      <c r="G107" s="242">
        <v>0.27611940298507465</v>
      </c>
      <c r="H107" s="243">
        <v>0</v>
      </c>
      <c r="I107" s="529">
        <v>0.31732664397061461</v>
      </c>
      <c r="J107" s="241">
        <v>0</v>
      </c>
      <c r="K107" s="242">
        <v>0.14174454828660435</v>
      </c>
      <c r="L107" s="242">
        <v>0.10940499040307101</v>
      </c>
      <c r="M107" s="242">
        <v>0.19642857142857142</v>
      </c>
      <c r="N107" s="243">
        <v>0</v>
      </c>
      <c r="O107" s="241">
        <v>0.12413793103448276</v>
      </c>
      <c r="P107" s="342">
        <v>0</v>
      </c>
      <c r="Q107" s="242">
        <v>0</v>
      </c>
      <c r="R107" s="243">
        <v>0</v>
      </c>
      <c r="S107" s="342">
        <v>0</v>
      </c>
      <c r="T107" s="244"/>
      <c r="U107" s="245">
        <v>529</v>
      </c>
      <c r="V107" s="246">
        <v>257</v>
      </c>
      <c r="W107" s="246">
        <v>663</v>
      </c>
      <c r="X107" s="246">
        <v>248</v>
      </c>
      <c r="Y107" s="246">
        <v>74</v>
      </c>
      <c r="Z107" s="246">
        <v>0</v>
      </c>
      <c r="AA107" s="247">
        <v>1771</v>
      </c>
      <c r="AB107" s="245">
        <v>0</v>
      </c>
      <c r="AC107" s="246">
        <v>91</v>
      </c>
      <c r="AD107" s="246">
        <v>114</v>
      </c>
      <c r="AE107" s="246">
        <v>11</v>
      </c>
      <c r="AF107" s="248">
        <v>0</v>
      </c>
      <c r="AG107" s="248">
        <v>216</v>
      </c>
      <c r="AH107" s="245">
        <v>0</v>
      </c>
      <c r="AI107" s="246">
        <v>0</v>
      </c>
      <c r="AJ107" s="248">
        <v>0</v>
      </c>
      <c r="AK107" s="245">
        <v>0</v>
      </c>
    </row>
    <row r="108" spans="1:39">
      <c r="A108" s="249"/>
      <c r="B108" s="239" t="s">
        <v>93</v>
      </c>
      <c r="C108" s="250">
        <v>0.2537974683544304</v>
      </c>
      <c r="D108" s="251">
        <v>0.2844141069397042</v>
      </c>
      <c r="E108" s="251">
        <v>0.26694139194139194</v>
      </c>
      <c r="F108" s="251">
        <v>0.22686567164179106</v>
      </c>
      <c r="G108" s="251">
        <v>0.1455223880597015</v>
      </c>
      <c r="H108" s="252">
        <v>0</v>
      </c>
      <c r="I108" s="530">
        <v>0.25533058591650243</v>
      </c>
      <c r="J108" s="250">
        <v>0</v>
      </c>
      <c r="K108" s="251">
        <v>0.50311526479750779</v>
      </c>
      <c r="L108" s="251">
        <v>0.42322456813819576</v>
      </c>
      <c r="M108" s="251">
        <v>0.42857142857142855</v>
      </c>
      <c r="N108" s="252">
        <v>0</v>
      </c>
      <c r="O108" s="250">
        <v>0.45287356321839078</v>
      </c>
      <c r="P108" s="250">
        <v>0</v>
      </c>
      <c r="Q108" s="251">
        <v>0</v>
      </c>
      <c r="R108" s="252">
        <v>0</v>
      </c>
      <c r="S108" s="250">
        <v>0</v>
      </c>
      <c r="T108" s="253"/>
      <c r="U108" s="254">
        <v>401</v>
      </c>
      <c r="V108" s="255">
        <v>250</v>
      </c>
      <c r="W108" s="255">
        <v>583</v>
      </c>
      <c r="X108" s="255">
        <v>152</v>
      </c>
      <c r="Y108" s="255">
        <v>39</v>
      </c>
      <c r="Z108" s="255">
        <v>0</v>
      </c>
      <c r="AA108" s="256">
        <v>1425</v>
      </c>
      <c r="AB108" s="254">
        <v>0</v>
      </c>
      <c r="AC108" s="255">
        <v>323</v>
      </c>
      <c r="AD108" s="255">
        <v>441</v>
      </c>
      <c r="AE108" s="255">
        <v>24</v>
      </c>
      <c r="AF108" s="257">
        <v>0</v>
      </c>
      <c r="AG108" s="257">
        <v>788</v>
      </c>
      <c r="AH108" s="254">
        <v>0</v>
      </c>
      <c r="AI108" s="255">
        <v>0</v>
      </c>
      <c r="AJ108" s="257">
        <v>0</v>
      </c>
      <c r="AK108" s="254">
        <v>0</v>
      </c>
    </row>
    <row r="109" spans="1:39">
      <c r="A109" s="249"/>
      <c r="B109" s="239" t="s">
        <v>55</v>
      </c>
      <c r="C109" s="250">
        <v>0.24620253164556963</v>
      </c>
      <c r="D109" s="251">
        <v>0.27531285551763368</v>
      </c>
      <c r="E109" s="251">
        <v>0.30586080586080588</v>
      </c>
      <c r="F109" s="251">
        <v>0.29552238805970149</v>
      </c>
      <c r="G109" s="251">
        <v>0.32462686567164178</v>
      </c>
      <c r="H109" s="252">
        <v>0</v>
      </c>
      <c r="I109" s="530">
        <v>0.28382010392402796</v>
      </c>
      <c r="J109" s="250">
        <v>0</v>
      </c>
      <c r="K109" s="251">
        <v>0.17445482866043613</v>
      </c>
      <c r="L109" s="251">
        <v>0.23608445297504799</v>
      </c>
      <c r="M109" s="251">
        <v>0.125</v>
      </c>
      <c r="N109" s="252">
        <v>0</v>
      </c>
      <c r="O109" s="250">
        <v>0.20977011494252873</v>
      </c>
      <c r="P109" s="250">
        <v>0</v>
      </c>
      <c r="Q109" s="251">
        <v>0</v>
      </c>
      <c r="R109" s="252">
        <v>0</v>
      </c>
      <c r="S109" s="250">
        <v>0</v>
      </c>
      <c r="T109" s="253"/>
      <c r="U109" s="254">
        <v>389</v>
      </c>
      <c r="V109" s="255">
        <v>242</v>
      </c>
      <c r="W109" s="255">
        <v>668</v>
      </c>
      <c r="X109" s="255">
        <v>198</v>
      </c>
      <c r="Y109" s="255">
        <v>87</v>
      </c>
      <c r="Z109" s="255">
        <v>0</v>
      </c>
      <c r="AA109" s="256">
        <v>1584</v>
      </c>
      <c r="AB109" s="254">
        <v>0</v>
      </c>
      <c r="AC109" s="255">
        <v>112</v>
      </c>
      <c r="AD109" s="255">
        <v>246</v>
      </c>
      <c r="AE109" s="255">
        <v>7</v>
      </c>
      <c r="AF109" s="257">
        <v>0</v>
      </c>
      <c r="AG109" s="257">
        <v>365</v>
      </c>
      <c r="AH109" s="254">
        <v>0</v>
      </c>
      <c r="AI109" s="255">
        <v>0</v>
      </c>
      <c r="AJ109" s="257">
        <v>0</v>
      </c>
      <c r="AK109" s="254">
        <v>0</v>
      </c>
    </row>
    <row r="110" spans="1:39">
      <c r="A110" s="249"/>
      <c r="B110" s="239" t="s">
        <v>78</v>
      </c>
      <c r="C110" s="250">
        <v>2.4050632911392405E-2</v>
      </c>
      <c r="D110" s="251">
        <v>0.11604095563139932</v>
      </c>
      <c r="E110" s="251">
        <v>7.4175824175824176E-2</v>
      </c>
      <c r="F110" s="251">
        <v>0.1</v>
      </c>
      <c r="G110" s="251">
        <v>8.9552238805970144E-2</v>
      </c>
      <c r="H110" s="252">
        <v>0</v>
      </c>
      <c r="I110" s="530">
        <v>7.0417487905393303E-2</v>
      </c>
      <c r="J110" s="250">
        <v>0</v>
      </c>
      <c r="K110" s="251">
        <v>0.17912772585669781</v>
      </c>
      <c r="L110" s="251">
        <v>0.23128598848368523</v>
      </c>
      <c r="M110" s="251">
        <v>0.25</v>
      </c>
      <c r="N110" s="252">
        <v>0</v>
      </c>
      <c r="O110" s="250">
        <v>0.21264367816091953</v>
      </c>
      <c r="P110" s="250">
        <v>0</v>
      </c>
      <c r="Q110" s="251">
        <v>0</v>
      </c>
      <c r="R110" s="252">
        <v>0</v>
      </c>
      <c r="S110" s="250">
        <v>0</v>
      </c>
      <c r="T110" s="253"/>
      <c r="U110" s="254">
        <v>38</v>
      </c>
      <c r="V110" s="255">
        <v>102</v>
      </c>
      <c r="W110" s="255">
        <v>162</v>
      </c>
      <c r="X110" s="255">
        <v>67</v>
      </c>
      <c r="Y110" s="255">
        <v>24</v>
      </c>
      <c r="Z110" s="255">
        <v>0</v>
      </c>
      <c r="AA110" s="256">
        <v>393</v>
      </c>
      <c r="AB110" s="254">
        <v>0</v>
      </c>
      <c r="AC110" s="255">
        <v>115</v>
      </c>
      <c r="AD110" s="255">
        <v>241</v>
      </c>
      <c r="AE110" s="255">
        <v>14</v>
      </c>
      <c r="AF110" s="257">
        <v>0</v>
      </c>
      <c r="AG110" s="257">
        <v>370</v>
      </c>
      <c r="AH110" s="254">
        <v>0</v>
      </c>
      <c r="AI110" s="255">
        <v>0</v>
      </c>
      <c r="AJ110" s="257">
        <v>0</v>
      </c>
      <c r="AK110" s="254">
        <v>0</v>
      </c>
    </row>
    <row r="111" spans="1:39">
      <c r="A111" s="249"/>
      <c r="B111" s="239" t="s">
        <v>32</v>
      </c>
      <c r="C111" s="250">
        <v>0.14113924050632912</v>
      </c>
      <c r="D111" s="251">
        <v>3.1854379977246869E-2</v>
      </c>
      <c r="E111" s="251">
        <v>4.9450549450549448E-2</v>
      </c>
      <c r="F111" s="251">
        <v>7.462686567164179E-3</v>
      </c>
      <c r="G111" s="251">
        <v>0.16417910447761194</v>
      </c>
      <c r="H111" s="252">
        <v>0</v>
      </c>
      <c r="I111" s="530">
        <v>7.3105178283461747E-2</v>
      </c>
      <c r="J111" s="250">
        <v>0</v>
      </c>
      <c r="K111" s="273">
        <v>1.557632398753894E-3</v>
      </c>
      <c r="L111" s="251">
        <v>0</v>
      </c>
      <c r="M111" s="251">
        <v>0</v>
      </c>
      <c r="N111" s="258">
        <v>0</v>
      </c>
      <c r="O111" s="272">
        <v>5.7471264367816091E-4</v>
      </c>
      <c r="P111" s="250">
        <v>0</v>
      </c>
      <c r="Q111" s="251">
        <v>0</v>
      </c>
      <c r="R111" s="252">
        <v>0</v>
      </c>
      <c r="S111" s="250">
        <v>0</v>
      </c>
      <c r="T111" s="253"/>
      <c r="U111" s="254">
        <v>223</v>
      </c>
      <c r="V111" s="255">
        <v>28</v>
      </c>
      <c r="W111" s="255">
        <v>108</v>
      </c>
      <c r="X111" s="255">
        <v>5</v>
      </c>
      <c r="Y111" s="255">
        <v>44</v>
      </c>
      <c r="Z111" s="255">
        <v>0</v>
      </c>
      <c r="AA111" s="256">
        <v>408</v>
      </c>
      <c r="AB111" s="254">
        <v>0</v>
      </c>
      <c r="AC111" s="255">
        <v>1</v>
      </c>
      <c r="AD111" s="255">
        <v>0</v>
      </c>
      <c r="AE111" s="255">
        <v>0</v>
      </c>
      <c r="AF111" s="257">
        <v>0</v>
      </c>
      <c r="AG111" s="257">
        <v>1</v>
      </c>
      <c r="AH111" s="254">
        <v>0</v>
      </c>
      <c r="AI111" s="255">
        <v>0</v>
      </c>
      <c r="AJ111" s="257">
        <v>0</v>
      </c>
      <c r="AK111" s="254">
        <v>0</v>
      </c>
    </row>
    <row r="112" spans="1:39">
      <c r="A112" s="249"/>
      <c r="B112" s="239" t="s">
        <v>58</v>
      </c>
      <c r="C112" s="250">
        <v>0</v>
      </c>
      <c r="D112" s="251">
        <v>0</v>
      </c>
      <c r="E112" s="419">
        <v>0</v>
      </c>
      <c r="F112" s="251">
        <v>0</v>
      </c>
      <c r="G112" s="419">
        <v>0</v>
      </c>
      <c r="H112" s="252">
        <v>0</v>
      </c>
      <c r="I112" s="532">
        <v>0</v>
      </c>
      <c r="J112" s="250">
        <v>0</v>
      </c>
      <c r="K112" s="251">
        <v>0</v>
      </c>
      <c r="L112" s="251">
        <v>0</v>
      </c>
      <c r="M112" s="251">
        <v>0</v>
      </c>
      <c r="N112" s="252">
        <v>0</v>
      </c>
      <c r="O112" s="250">
        <v>0</v>
      </c>
      <c r="P112" s="250">
        <v>0</v>
      </c>
      <c r="Q112" s="251">
        <v>0</v>
      </c>
      <c r="R112" s="252">
        <v>0</v>
      </c>
      <c r="S112" s="250">
        <v>0</v>
      </c>
      <c r="T112" s="253"/>
      <c r="U112" s="254">
        <v>0</v>
      </c>
      <c r="V112" s="255">
        <v>0</v>
      </c>
      <c r="W112" s="255">
        <v>0</v>
      </c>
      <c r="X112" s="255">
        <v>0</v>
      </c>
      <c r="Y112" s="255">
        <v>0</v>
      </c>
      <c r="Z112" s="255">
        <v>0</v>
      </c>
      <c r="AA112" s="256">
        <v>0</v>
      </c>
      <c r="AB112" s="254">
        <v>0</v>
      </c>
      <c r="AC112" s="255">
        <v>0</v>
      </c>
      <c r="AD112" s="255">
        <v>0</v>
      </c>
      <c r="AE112" s="255">
        <v>0</v>
      </c>
      <c r="AF112" s="257">
        <v>0</v>
      </c>
      <c r="AG112" s="257">
        <v>0</v>
      </c>
      <c r="AH112" s="254">
        <v>0</v>
      </c>
      <c r="AI112" s="255">
        <v>0</v>
      </c>
      <c r="AJ112" s="257">
        <v>0</v>
      </c>
      <c r="AK112" s="254">
        <v>0</v>
      </c>
    </row>
    <row r="113" spans="1:39" s="527" customFormat="1">
      <c r="A113" s="435"/>
      <c r="B113" s="436" t="s">
        <v>59</v>
      </c>
      <c r="C113" s="261">
        <v>1</v>
      </c>
      <c r="D113" s="262">
        <v>1</v>
      </c>
      <c r="E113" s="262">
        <v>1</v>
      </c>
      <c r="F113" s="262">
        <v>1</v>
      </c>
      <c r="G113" s="262">
        <v>1</v>
      </c>
      <c r="H113" s="263">
        <v>0</v>
      </c>
      <c r="I113" s="531">
        <v>1</v>
      </c>
      <c r="J113" s="261">
        <v>0</v>
      </c>
      <c r="K113" s="262">
        <v>1</v>
      </c>
      <c r="L113" s="262">
        <v>1</v>
      </c>
      <c r="M113" s="262">
        <v>1</v>
      </c>
      <c r="N113" s="263">
        <v>0</v>
      </c>
      <c r="O113" s="261">
        <v>1</v>
      </c>
      <c r="P113" s="261">
        <v>0</v>
      </c>
      <c r="Q113" s="262">
        <v>0</v>
      </c>
      <c r="R113" s="263">
        <v>0</v>
      </c>
      <c r="S113" s="261">
        <v>0</v>
      </c>
      <c r="T113" s="264"/>
      <c r="U113" s="265">
        <v>1580</v>
      </c>
      <c r="V113" s="266">
        <v>879</v>
      </c>
      <c r="W113" s="266">
        <v>2184</v>
      </c>
      <c r="X113" s="266">
        <v>670</v>
      </c>
      <c r="Y113" s="266">
        <v>268</v>
      </c>
      <c r="Z113" s="266">
        <v>0</v>
      </c>
      <c r="AA113" s="267">
        <v>5581</v>
      </c>
      <c r="AB113" s="265">
        <v>0</v>
      </c>
      <c r="AC113" s="266">
        <v>642</v>
      </c>
      <c r="AD113" s="266">
        <v>1042</v>
      </c>
      <c r="AE113" s="266">
        <v>56</v>
      </c>
      <c r="AF113" s="268">
        <v>0</v>
      </c>
      <c r="AG113" s="268">
        <v>1740</v>
      </c>
      <c r="AH113" s="265">
        <v>0</v>
      </c>
      <c r="AI113" s="266">
        <v>0</v>
      </c>
      <c r="AJ113" s="268">
        <v>0</v>
      </c>
      <c r="AK113" s="265">
        <v>0</v>
      </c>
      <c r="AL113" s="270"/>
      <c r="AM113" s="270"/>
    </row>
    <row r="114" spans="1:39">
      <c r="A114" s="239" t="s">
        <v>16</v>
      </c>
      <c r="B114" s="240" t="s">
        <v>53</v>
      </c>
      <c r="C114" s="241">
        <v>0.32738906954788627</v>
      </c>
      <c r="D114" s="242">
        <v>0.1933395004625347</v>
      </c>
      <c r="E114" s="242">
        <v>0.2204736211031175</v>
      </c>
      <c r="F114" s="242">
        <v>0.14342629482071714</v>
      </c>
      <c r="G114" s="242">
        <v>0.17344173441734417</v>
      </c>
      <c r="H114" s="243">
        <v>0.24731182795698925</v>
      </c>
      <c r="I114" s="529">
        <v>0.27003945732663098</v>
      </c>
      <c r="J114" s="241">
        <v>0</v>
      </c>
      <c r="K114" s="242">
        <v>0.20872842207634329</v>
      </c>
      <c r="L114" s="242">
        <v>0.17846247712019525</v>
      </c>
      <c r="M114" s="242">
        <v>7.4866310160427801E-2</v>
      </c>
      <c r="N114" s="243">
        <v>0</v>
      </c>
      <c r="O114" s="241">
        <v>0.19428097803564029</v>
      </c>
      <c r="P114" s="342">
        <v>0</v>
      </c>
      <c r="Q114" s="242">
        <v>0</v>
      </c>
      <c r="R114" s="243">
        <v>0</v>
      </c>
      <c r="S114" s="342">
        <v>0</v>
      </c>
      <c r="T114" s="244"/>
      <c r="U114" s="245">
        <v>3121</v>
      </c>
      <c r="V114" s="246">
        <v>209</v>
      </c>
      <c r="W114" s="246">
        <v>1471</v>
      </c>
      <c r="X114" s="246">
        <v>108</v>
      </c>
      <c r="Y114" s="246">
        <v>64</v>
      </c>
      <c r="Z114" s="246">
        <v>23</v>
      </c>
      <c r="AA114" s="247">
        <v>4996</v>
      </c>
      <c r="AB114" s="245">
        <v>0</v>
      </c>
      <c r="AC114" s="246">
        <v>1717</v>
      </c>
      <c r="AD114" s="246">
        <v>585</v>
      </c>
      <c r="AE114" s="246">
        <v>42</v>
      </c>
      <c r="AF114" s="248">
        <v>0</v>
      </c>
      <c r="AG114" s="248">
        <v>2344</v>
      </c>
      <c r="AH114" s="245">
        <v>0</v>
      </c>
      <c r="AI114" s="246">
        <v>0</v>
      </c>
      <c r="AJ114" s="248">
        <v>0</v>
      </c>
      <c r="AK114" s="245">
        <v>0</v>
      </c>
    </row>
    <row r="115" spans="1:39">
      <c r="A115" s="249"/>
      <c r="B115" s="239" t="s">
        <v>93</v>
      </c>
      <c r="C115" s="250">
        <v>0.23644183363054652</v>
      </c>
      <c r="D115" s="251">
        <v>0.23496762257169287</v>
      </c>
      <c r="E115" s="251">
        <v>0.23006594724220625</v>
      </c>
      <c r="F115" s="251">
        <v>0.24966799468791501</v>
      </c>
      <c r="G115" s="251">
        <v>0.31978319783197834</v>
      </c>
      <c r="H115" s="252">
        <v>0.16129032258064516</v>
      </c>
      <c r="I115" s="530">
        <v>0.23587914166801793</v>
      </c>
      <c r="J115" s="250">
        <v>0</v>
      </c>
      <c r="K115" s="251">
        <v>0.10296620471675176</v>
      </c>
      <c r="L115" s="251">
        <v>5.4606467358145214E-2</v>
      </c>
      <c r="M115" s="251">
        <v>9.6256684491978606E-2</v>
      </c>
      <c r="N115" s="252">
        <v>0</v>
      </c>
      <c r="O115" s="250">
        <v>8.9515126398673844E-2</v>
      </c>
      <c r="P115" s="250">
        <v>0</v>
      </c>
      <c r="Q115" s="251">
        <v>0</v>
      </c>
      <c r="R115" s="252">
        <v>0</v>
      </c>
      <c r="S115" s="250">
        <v>0</v>
      </c>
      <c r="T115" s="253"/>
      <c r="U115" s="254">
        <v>2254</v>
      </c>
      <c r="V115" s="255">
        <v>254</v>
      </c>
      <c r="W115" s="255">
        <v>1535</v>
      </c>
      <c r="X115" s="255">
        <v>188</v>
      </c>
      <c r="Y115" s="255">
        <v>118</v>
      </c>
      <c r="Z115" s="255">
        <v>15</v>
      </c>
      <c r="AA115" s="256">
        <v>4364</v>
      </c>
      <c r="AB115" s="254">
        <v>0</v>
      </c>
      <c r="AC115" s="255">
        <v>847</v>
      </c>
      <c r="AD115" s="255">
        <v>179</v>
      </c>
      <c r="AE115" s="255">
        <v>54</v>
      </c>
      <c r="AF115" s="257">
        <v>0</v>
      </c>
      <c r="AG115" s="257">
        <v>1080</v>
      </c>
      <c r="AH115" s="254">
        <v>0</v>
      </c>
      <c r="AI115" s="255">
        <v>0</v>
      </c>
      <c r="AJ115" s="257">
        <v>0</v>
      </c>
      <c r="AK115" s="254">
        <v>0</v>
      </c>
    </row>
    <row r="116" spans="1:39">
      <c r="A116" s="249"/>
      <c r="B116" s="239" t="s">
        <v>55</v>
      </c>
      <c r="C116" s="250">
        <v>0.22647645022553237</v>
      </c>
      <c r="D116" s="251">
        <v>0.25161887141535616</v>
      </c>
      <c r="E116" s="251">
        <v>0.29211630695443647</v>
      </c>
      <c r="F116" s="251">
        <v>0.32005312084993359</v>
      </c>
      <c r="G116" s="251">
        <v>0.33333333333333331</v>
      </c>
      <c r="H116" s="252">
        <v>0.13978494623655913</v>
      </c>
      <c r="I116" s="530">
        <v>0.25712123668990866</v>
      </c>
      <c r="J116" s="250">
        <v>0</v>
      </c>
      <c r="K116" s="251">
        <v>0.1038171650863117</v>
      </c>
      <c r="L116" s="251">
        <v>5.643685173886516E-2</v>
      </c>
      <c r="M116" s="251">
        <v>9.2691622103386814E-2</v>
      </c>
      <c r="N116" s="252">
        <v>0</v>
      </c>
      <c r="O116" s="250">
        <v>9.0426854537919599E-2</v>
      </c>
      <c r="P116" s="250">
        <v>0</v>
      </c>
      <c r="Q116" s="251">
        <v>0</v>
      </c>
      <c r="R116" s="252">
        <v>0</v>
      </c>
      <c r="S116" s="250">
        <v>0</v>
      </c>
      <c r="T116" s="253"/>
      <c r="U116" s="254">
        <v>2159</v>
      </c>
      <c r="V116" s="255">
        <v>272</v>
      </c>
      <c r="W116" s="255">
        <v>1949</v>
      </c>
      <c r="X116" s="255">
        <v>241</v>
      </c>
      <c r="Y116" s="255">
        <v>123</v>
      </c>
      <c r="Z116" s="255">
        <v>13</v>
      </c>
      <c r="AA116" s="256">
        <v>4757</v>
      </c>
      <c r="AB116" s="254">
        <v>0</v>
      </c>
      <c r="AC116" s="255">
        <v>854</v>
      </c>
      <c r="AD116" s="255">
        <v>185</v>
      </c>
      <c r="AE116" s="255">
        <v>52</v>
      </c>
      <c r="AF116" s="257">
        <v>0</v>
      </c>
      <c r="AG116" s="257">
        <v>1091</v>
      </c>
      <c r="AH116" s="254">
        <v>0</v>
      </c>
      <c r="AI116" s="255">
        <v>0</v>
      </c>
      <c r="AJ116" s="257">
        <v>0</v>
      </c>
      <c r="AK116" s="254">
        <v>0</v>
      </c>
    </row>
    <row r="117" spans="1:39">
      <c r="A117" s="249"/>
      <c r="B117" s="239" t="s">
        <v>78</v>
      </c>
      <c r="C117" s="250">
        <v>2.1294450854924998E-2</v>
      </c>
      <c r="D117" s="251">
        <v>9.2506938020351526E-3</v>
      </c>
      <c r="E117" s="251">
        <v>6.459832134292566E-2</v>
      </c>
      <c r="F117" s="251">
        <v>0.14741035856573706</v>
      </c>
      <c r="G117" s="251">
        <v>1.6260162601626018E-2</v>
      </c>
      <c r="H117" s="252">
        <v>0</v>
      </c>
      <c r="I117" s="530">
        <v>4.1132911734500836E-2</v>
      </c>
      <c r="J117" s="250">
        <v>0</v>
      </c>
      <c r="K117" s="251">
        <v>0.34220763433017265</v>
      </c>
      <c r="L117" s="251">
        <v>0.39200732153752288</v>
      </c>
      <c r="M117" s="251">
        <v>0.72370766488413552</v>
      </c>
      <c r="N117" s="252">
        <v>0</v>
      </c>
      <c r="O117" s="250">
        <v>0.37347699958557812</v>
      </c>
      <c r="P117" s="250">
        <v>0</v>
      </c>
      <c r="Q117" s="251">
        <v>0</v>
      </c>
      <c r="R117" s="252">
        <v>0</v>
      </c>
      <c r="S117" s="250">
        <v>0</v>
      </c>
      <c r="T117" s="253"/>
      <c r="U117" s="254">
        <v>203</v>
      </c>
      <c r="V117" s="255">
        <v>10</v>
      </c>
      <c r="W117" s="255">
        <v>431</v>
      </c>
      <c r="X117" s="255">
        <v>111</v>
      </c>
      <c r="Y117" s="255">
        <v>6</v>
      </c>
      <c r="Z117" s="255">
        <v>0</v>
      </c>
      <c r="AA117" s="256">
        <v>761</v>
      </c>
      <c r="AB117" s="254">
        <v>0</v>
      </c>
      <c r="AC117" s="255">
        <v>2815</v>
      </c>
      <c r="AD117" s="255">
        <v>1285</v>
      </c>
      <c r="AE117" s="255">
        <v>406</v>
      </c>
      <c r="AF117" s="257">
        <v>0</v>
      </c>
      <c r="AG117" s="257">
        <v>4506</v>
      </c>
      <c r="AH117" s="254">
        <v>0</v>
      </c>
      <c r="AI117" s="255">
        <v>0</v>
      </c>
      <c r="AJ117" s="257">
        <v>0</v>
      </c>
      <c r="AK117" s="254">
        <v>0</v>
      </c>
    </row>
    <row r="118" spans="1:39">
      <c r="A118" s="249"/>
      <c r="B118" s="239" t="s">
        <v>32</v>
      </c>
      <c r="C118" s="250">
        <v>0.18839819574110983</v>
      </c>
      <c r="D118" s="251">
        <v>0.31082331174838113</v>
      </c>
      <c r="E118" s="251">
        <v>0.19274580335731414</v>
      </c>
      <c r="F118" s="251">
        <v>0.1394422310756972</v>
      </c>
      <c r="G118" s="251">
        <v>0.15718157181571815</v>
      </c>
      <c r="H118" s="252">
        <v>0.45161290322580644</v>
      </c>
      <c r="I118" s="530">
        <v>0.19582725258094158</v>
      </c>
      <c r="J118" s="250">
        <v>0</v>
      </c>
      <c r="K118" s="251">
        <v>3.112083637247751E-2</v>
      </c>
      <c r="L118" s="273">
        <v>0</v>
      </c>
      <c r="M118" s="273">
        <v>0</v>
      </c>
      <c r="N118" s="258">
        <v>0</v>
      </c>
      <c r="O118" s="250">
        <v>2.1218400331537504E-2</v>
      </c>
      <c r="P118" s="250">
        <v>0</v>
      </c>
      <c r="Q118" s="251">
        <v>0</v>
      </c>
      <c r="R118" s="252">
        <v>0</v>
      </c>
      <c r="S118" s="250">
        <v>0</v>
      </c>
      <c r="T118" s="253"/>
      <c r="U118" s="254">
        <v>1796</v>
      </c>
      <c r="V118" s="255">
        <v>336</v>
      </c>
      <c r="W118" s="255">
        <v>1286</v>
      </c>
      <c r="X118" s="255">
        <v>105</v>
      </c>
      <c r="Y118" s="255">
        <v>58</v>
      </c>
      <c r="Z118" s="255">
        <v>42</v>
      </c>
      <c r="AA118" s="256">
        <v>3623</v>
      </c>
      <c r="AB118" s="254">
        <v>0</v>
      </c>
      <c r="AC118" s="255">
        <v>256</v>
      </c>
      <c r="AD118" s="255">
        <v>0</v>
      </c>
      <c r="AE118" s="255">
        <v>0</v>
      </c>
      <c r="AF118" s="257">
        <v>0</v>
      </c>
      <c r="AG118" s="257">
        <v>256</v>
      </c>
      <c r="AH118" s="254">
        <v>0</v>
      </c>
      <c r="AI118" s="255">
        <v>0</v>
      </c>
      <c r="AJ118" s="257">
        <v>0</v>
      </c>
      <c r="AK118" s="254">
        <v>0</v>
      </c>
    </row>
    <row r="119" spans="1:39">
      <c r="A119" s="249"/>
      <c r="B119" s="239" t="s">
        <v>58</v>
      </c>
      <c r="C119" s="250">
        <v>0</v>
      </c>
      <c r="D119" s="251">
        <v>0</v>
      </c>
      <c r="E119" s="251">
        <v>0</v>
      </c>
      <c r="F119" s="251">
        <v>0</v>
      </c>
      <c r="G119" s="251">
        <v>0</v>
      </c>
      <c r="H119" s="252">
        <v>0</v>
      </c>
      <c r="I119" s="530">
        <v>0</v>
      </c>
      <c r="J119" s="250">
        <v>0</v>
      </c>
      <c r="K119" s="251">
        <v>0.21115973741794311</v>
      </c>
      <c r="L119" s="251">
        <v>0.3184868822452715</v>
      </c>
      <c r="M119" s="251">
        <v>1.2477718360071301E-2</v>
      </c>
      <c r="N119" s="252">
        <v>0</v>
      </c>
      <c r="O119" s="250">
        <v>0.23108164111065063</v>
      </c>
      <c r="P119" s="250">
        <v>0</v>
      </c>
      <c r="Q119" s="251">
        <v>0</v>
      </c>
      <c r="R119" s="252">
        <v>0</v>
      </c>
      <c r="S119" s="250">
        <v>0</v>
      </c>
      <c r="T119" s="253"/>
      <c r="U119" s="254"/>
      <c r="V119" s="255"/>
      <c r="W119" s="255"/>
      <c r="X119" s="255"/>
      <c r="Y119" s="255"/>
      <c r="Z119" s="255"/>
      <c r="AA119" s="256"/>
      <c r="AB119" s="254">
        <v>0</v>
      </c>
      <c r="AC119" s="255">
        <v>1737</v>
      </c>
      <c r="AD119" s="255">
        <v>1044</v>
      </c>
      <c r="AE119" s="255">
        <v>7</v>
      </c>
      <c r="AF119" s="257">
        <v>0</v>
      </c>
      <c r="AG119" s="257">
        <v>2788</v>
      </c>
      <c r="AH119" s="254">
        <v>0</v>
      </c>
      <c r="AI119" s="255">
        <v>0</v>
      </c>
      <c r="AJ119" s="257">
        <v>0</v>
      </c>
      <c r="AK119" s="254">
        <v>0</v>
      </c>
    </row>
    <row r="120" spans="1:39" s="527" customFormat="1">
      <c r="A120" s="435"/>
      <c r="B120" s="436" t="s">
        <v>59</v>
      </c>
      <c r="C120" s="261">
        <v>1</v>
      </c>
      <c r="D120" s="262">
        <v>1</v>
      </c>
      <c r="E120" s="262">
        <v>1</v>
      </c>
      <c r="F120" s="262">
        <v>1</v>
      </c>
      <c r="G120" s="262">
        <v>1</v>
      </c>
      <c r="H120" s="263">
        <v>1</v>
      </c>
      <c r="I120" s="531">
        <v>1</v>
      </c>
      <c r="J120" s="261">
        <v>0</v>
      </c>
      <c r="K120" s="262">
        <v>1</v>
      </c>
      <c r="L120" s="262">
        <v>1</v>
      </c>
      <c r="M120" s="262">
        <v>1</v>
      </c>
      <c r="N120" s="263">
        <v>0</v>
      </c>
      <c r="O120" s="261">
        <v>1</v>
      </c>
      <c r="P120" s="261">
        <v>0</v>
      </c>
      <c r="Q120" s="262">
        <v>0</v>
      </c>
      <c r="R120" s="263">
        <v>0</v>
      </c>
      <c r="S120" s="261">
        <v>0</v>
      </c>
      <c r="T120" s="264"/>
      <c r="U120" s="265">
        <v>9533</v>
      </c>
      <c r="V120" s="266">
        <v>1081</v>
      </c>
      <c r="W120" s="266">
        <v>6672</v>
      </c>
      <c r="X120" s="266">
        <v>753</v>
      </c>
      <c r="Y120" s="266">
        <v>369</v>
      </c>
      <c r="Z120" s="266">
        <v>93</v>
      </c>
      <c r="AA120" s="267">
        <v>18501</v>
      </c>
      <c r="AB120" s="265">
        <v>0</v>
      </c>
      <c r="AC120" s="266">
        <v>8226</v>
      </c>
      <c r="AD120" s="266">
        <v>3278</v>
      </c>
      <c r="AE120" s="266">
        <v>561</v>
      </c>
      <c r="AF120" s="268">
        <v>0</v>
      </c>
      <c r="AG120" s="268">
        <v>12065</v>
      </c>
      <c r="AH120" s="265">
        <v>0</v>
      </c>
      <c r="AI120" s="266">
        <v>0</v>
      </c>
      <c r="AJ120" s="268">
        <v>0</v>
      </c>
      <c r="AK120" s="265">
        <v>0</v>
      </c>
      <c r="AL120" s="270"/>
      <c r="AM120" s="270"/>
    </row>
    <row r="121" spans="1:39">
      <c r="A121" s="239" t="s">
        <v>17</v>
      </c>
      <c r="B121" s="240" t="s">
        <v>53</v>
      </c>
      <c r="C121" s="241">
        <v>0.35225736685590703</v>
      </c>
      <c r="D121" s="242">
        <v>0.25965932696302452</v>
      </c>
      <c r="E121" s="242">
        <v>0.30531996915959908</v>
      </c>
      <c r="F121" s="242">
        <v>0.2196078431372549</v>
      </c>
      <c r="G121" s="242">
        <v>0.24070021881838075</v>
      </c>
      <c r="H121" s="243">
        <v>0.19148936170212766</v>
      </c>
      <c r="I121" s="529">
        <v>0.30049317582291546</v>
      </c>
      <c r="J121" s="241">
        <v>0</v>
      </c>
      <c r="K121" s="242">
        <v>0</v>
      </c>
      <c r="L121" s="242">
        <v>0</v>
      </c>
      <c r="M121" s="242">
        <v>0.24242424242424243</v>
      </c>
      <c r="N121" s="243">
        <v>0.19889502762430938</v>
      </c>
      <c r="O121" s="241">
        <v>0.19954648526077098</v>
      </c>
      <c r="P121" s="342">
        <v>0</v>
      </c>
      <c r="Q121" s="242">
        <v>0</v>
      </c>
      <c r="R121" s="243">
        <v>0</v>
      </c>
      <c r="S121" s="342">
        <v>0</v>
      </c>
      <c r="T121" s="244"/>
      <c r="U121" s="245">
        <v>1303</v>
      </c>
      <c r="V121" s="246">
        <v>625</v>
      </c>
      <c r="W121" s="246">
        <v>396</v>
      </c>
      <c r="X121" s="246">
        <v>168</v>
      </c>
      <c r="Y121" s="246">
        <v>110</v>
      </c>
      <c r="Z121" s="246">
        <v>18</v>
      </c>
      <c r="AA121" s="247">
        <v>2620</v>
      </c>
      <c r="AB121" s="245">
        <v>0</v>
      </c>
      <c r="AC121" s="246">
        <v>0</v>
      </c>
      <c r="AD121" s="246">
        <v>0</v>
      </c>
      <c r="AE121" s="246">
        <v>8</v>
      </c>
      <c r="AF121" s="248">
        <v>432</v>
      </c>
      <c r="AG121" s="248">
        <v>440</v>
      </c>
      <c r="AH121" s="245">
        <v>0</v>
      </c>
      <c r="AI121" s="246">
        <v>0</v>
      </c>
      <c r="AJ121" s="248">
        <v>0</v>
      </c>
      <c r="AK121" s="245">
        <v>0</v>
      </c>
    </row>
    <row r="122" spans="1:39">
      <c r="A122" s="249"/>
      <c r="B122" s="239" t="s">
        <v>93</v>
      </c>
      <c r="C122" s="250">
        <v>0.2930521762638551</v>
      </c>
      <c r="D122" s="251">
        <v>0.29040299127544661</v>
      </c>
      <c r="E122" s="251">
        <v>0.2313030069390902</v>
      </c>
      <c r="F122" s="251">
        <v>0.2849673202614379</v>
      </c>
      <c r="G122" s="251">
        <v>0.30853391684901532</v>
      </c>
      <c r="H122" s="252">
        <v>0.26595744680851063</v>
      </c>
      <c r="I122" s="530">
        <v>0.28294529189127193</v>
      </c>
      <c r="J122" s="250">
        <v>0</v>
      </c>
      <c r="K122" s="251">
        <v>0</v>
      </c>
      <c r="L122" s="251">
        <v>0</v>
      </c>
      <c r="M122" s="251">
        <v>0.5757575757575758</v>
      </c>
      <c r="N122" s="252">
        <v>0.29281767955801102</v>
      </c>
      <c r="O122" s="250">
        <v>0.29705215419501135</v>
      </c>
      <c r="P122" s="250">
        <v>0</v>
      </c>
      <c r="Q122" s="251">
        <v>0</v>
      </c>
      <c r="R122" s="252">
        <v>0</v>
      </c>
      <c r="S122" s="250">
        <v>0</v>
      </c>
      <c r="T122" s="253"/>
      <c r="U122" s="254">
        <v>1084</v>
      </c>
      <c r="V122" s="255">
        <v>699</v>
      </c>
      <c r="W122" s="255">
        <v>300</v>
      </c>
      <c r="X122" s="255">
        <v>218</v>
      </c>
      <c r="Y122" s="255">
        <v>141</v>
      </c>
      <c r="Z122" s="255">
        <v>25</v>
      </c>
      <c r="AA122" s="256">
        <v>2467</v>
      </c>
      <c r="AB122" s="254">
        <v>0</v>
      </c>
      <c r="AC122" s="255">
        <v>0</v>
      </c>
      <c r="AD122" s="255">
        <v>0</v>
      </c>
      <c r="AE122" s="255">
        <v>19</v>
      </c>
      <c r="AF122" s="257">
        <v>636</v>
      </c>
      <c r="AG122" s="257">
        <v>655</v>
      </c>
      <c r="AH122" s="254">
        <v>0</v>
      </c>
      <c r="AI122" s="255">
        <v>0</v>
      </c>
      <c r="AJ122" s="257">
        <v>0</v>
      </c>
      <c r="AK122" s="254">
        <v>0</v>
      </c>
    </row>
    <row r="123" spans="1:39">
      <c r="A123" s="249"/>
      <c r="B123" s="239" t="s">
        <v>55</v>
      </c>
      <c r="C123" s="250">
        <v>0.26088131927547986</v>
      </c>
      <c r="D123" s="251">
        <v>0.28209389281262981</v>
      </c>
      <c r="E123" s="251">
        <v>0.31842713955281421</v>
      </c>
      <c r="F123" s="251">
        <v>0.35424836601307191</v>
      </c>
      <c r="G123" s="251">
        <v>0.33041575492341357</v>
      </c>
      <c r="H123" s="252">
        <v>0.28723404255319152</v>
      </c>
      <c r="I123" s="530">
        <v>0.2874182819130634</v>
      </c>
      <c r="J123" s="250">
        <v>0</v>
      </c>
      <c r="K123" s="251">
        <v>0</v>
      </c>
      <c r="L123" s="251">
        <v>0</v>
      </c>
      <c r="M123" s="251">
        <v>0.18181818181818182</v>
      </c>
      <c r="N123" s="252">
        <v>0.31767955801104975</v>
      </c>
      <c r="O123" s="250">
        <v>0.31564625850340133</v>
      </c>
      <c r="P123" s="250">
        <v>0</v>
      </c>
      <c r="Q123" s="251">
        <v>0</v>
      </c>
      <c r="R123" s="252">
        <v>0</v>
      </c>
      <c r="S123" s="250">
        <v>0</v>
      </c>
      <c r="T123" s="253"/>
      <c r="U123" s="254">
        <v>965</v>
      </c>
      <c r="V123" s="255">
        <v>679</v>
      </c>
      <c r="W123" s="255">
        <v>413</v>
      </c>
      <c r="X123" s="255">
        <v>271</v>
      </c>
      <c r="Y123" s="255">
        <v>151</v>
      </c>
      <c r="Z123" s="255">
        <v>27</v>
      </c>
      <c r="AA123" s="256">
        <v>2506</v>
      </c>
      <c r="AB123" s="254">
        <v>0</v>
      </c>
      <c r="AC123" s="255">
        <v>0</v>
      </c>
      <c r="AD123" s="255">
        <v>0</v>
      </c>
      <c r="AE123" s="255">
        <v>6</v>
      </c>
      <c r="AF123" s="257">
        <v>690</v>
      </c>
      <c r="AG123" s="257">
        <v>696</v>
      </c>
      <c r="AH123" s="254">
        <v>0</v>
      </c>
      <c r="AI123" s="255">
        <v>0</v>
      </c>
      <c r="AJ123" s="257">
        <v>0</v>
      </c>
      <c r="AK123" s="254">
        <v>0</v>
      </c>
    </row>
    <row r="124" spans="1:39">
      <c r="A124" s="249"/>
      <c r="B124" s="239" t="s">
        <v>78</v>
      </c>
      <c r="C124" s="250">
        <v>6.7856177345228447E-2</v>
      </c>
      <c r="D124" s="251">
        <v>0.11341919401744911</v>
      </c>
      <c r="E124" s="251">
        <v>0.14494988434849654</v>
      </c>
      <c r="F124" s="251">
        <v>0.14117647058823529</v>
      </c>
      <c r="G124" s="251">
        <v>2.4070021881838075E-2</v>
      </c>
      <c r="H124" s="252">
        <v>0.24468085106382978</v>
      </c>
      <c r="I124" s="530">
        <v>9.794701227204955E-2</v>
      </c>
      <c r="J124" s="250">
        <v>0</v>
      </c>
      <c r="K124" s="251">
        <v>0</v>
      </c>
      <c r="L124" s="251">
        <v>0</v>
      </c>
      <c r="M124" s="251">
        <v>0</v>
      </c>
      <c r="N124" s="252">
        <v>0.19060773480662985</v>
      </c>
      <c r="O124" s="250">
        <v>0.18775510204081633</v>
      </c>
      <c r="P124" s="250">
        <v>0</v>
      </c>
      <c r="Q124" s="251">
        <v>0</v>
      </c>
      <c r="R124" s="252">
        <v>0</v>
      </c>
      <c r="S124" s="250">
        <v>0</v>
      </c>
      <c r="T124" s="253"/>
      <c r="U124" s="254">
        <v>251</v>
      </c>
      <c r="V124" s="255">
        <v>273</v>
      </c>
      <c r="W124" s="255">
        <v>188</v>
      </c>
      <c r="X124" s="255">
        <v>108</v>
      </c>
      <c r="Y124" s="255">
        <v>11</v>
      </c>
      <c r="Z124" s="255">
        <v>23</v>
      </c>
      <c r="AA124" s="256">
        <v>854</v>
      </c>
      <c r="AB124" s="254">
        <v>0</v>
      </c>
      <c r="AC124" s="255">
        <v>0</v>
      </c>
      <c r="AD124" s="255">
        <v>0</v>
      </c>
      <c r="AE124" s="255">
        <v>0</v>
      </c>
      <c r="AF124" s="257">
        <v>414</v>
      </c>
      <c r="AG124" s="257">
        <v>414</v>
      </c>
      <c r="AH124" s="254">
        <v>0</v>
      </c>
      <c r="AI124" s="255">
        <v>0</v>
      </c>
      <c r="AJ124" s="257">
        <v>0</v>
      </c>
      <c r="AK124" s="254">
        <v>0</v>
      </c>
    </row>
    <row r="125" spans="1:39">
      <c r="A125" s="249"/>
      <c r="B125" s="239" t="s">
        <v>32</v>
      </c>
      <c r="C125" s="250">
        <v>2.5952960259529603E-2</v>
      </c>
      <c r="D125" s="251">
        <v>5.4424594931449938E-2</v>
      </c>
      <c r="E125" s="251">
        <v>0</v>
      </c>
      <c r="F125" s="251">
        <v>0</v>
      </c>
      <c r="G125" s="251">
        <v>9.6280087527352301E-2</v>
      </c>
      <c r="H125" s="252">
        <v>1.0638297872340425E-2</v>
      </c>
      <c r="I125" s="530">
        <v>3.119623810069962E-2</v>
      </c>
      <c r="J125" s="250">
        <v>0</v>
      </c>
      <c r="K125" s="251">
        <v>0</v>
      </c>
      <c r="L125" s="251">
        <v>0</v>
      </c>
      <c r="M125" s="251">
        <v>0</v>
      </c>
      <c r="N125" s="434">
        <v>0</v>
      </c>
      <c r="O125" s="420">
        <v>0</v>
      </c>
      <c r="P125" s="250">
        <v>0</v>
      </c>
      <c r="Q125" s="251">
        <v>0</v>
      </c>
      <c r="R125" s="252">
        <v>0</v>
      </c>
      <c r="S125" s="250">
        <v>0</v>
      </c>
      <c r="T125" s="253"/>
      <c r="U125" s="254">
        <v>96</v>
      </c>
      <c r="V125" s="255">
        <v>131</v>
      </c>
      <c r="W125" s="255">
        <v>0</v>
      </c>
      <c r="X125" s="255">
        <v>0</v>
      </c>
      <c r="Y125" s="255">
        <v>44</v>
      </c>
      <c r="Z125" s="255">
        <v>1</v>
      </c>
      <c r="AA125" s="256">
        <v>272</v>
      </c>
      <c r="AB125" s="254">
        <v>0</v>
      </c>
      <c r="AC125" s="255">
        <v>0</v>
      </c>
      <c r="AD125" s="255">
        <v>0</v>
      </c>
      <c r="AE125" s="255">
        <v>0</v>
      </c>
      <c r="AF125" s="257">
        <v>0</v>
      </c>
      <c r="AG125" s="257">
        <v>0</v>
      </c>
      <c r="AH125" s="254">
        <v>0</v>
      </c>
      <c r="AI125" s="255">
        <v>0</v>
      </c>
      <c r="AJ125" s="257">
        <v>0</v>
      </c>
      <c r="AK125" s="254">
        <v>0</v>
      </c>
    </row>
    <row r="126" spans="1:39">
      <c r="A126" s="249"/>
      <c r="B126" s="239" t="s">
        <v>58</v>
      </c>
      <c r="C126" s="250">
        <v>0</v>
      </c>
      <c r="D126" s="251">
        <v>0</v>
      </c>
      <c r="E126" s="419">
        <v>0</v>
      </c>
      <c r="F126" s="251">
        <v>0</v>
      </c>
      <c r="G126" s="419">
        <v>0</v>
      </c>
      <c r="H126" s="252">
        <v>0</v>
      </c>
      <c r="I126" s="532">
        <v>0</v>
      </c>
      <c r="J126" s="250">
        <v>0</v>
      </c>
      <c r="K126" s="251">
        <v>0</v>
      </c>
      <c r="L126" s="251">
        <v>0</v>
      </c>
      <c r="M126" s="251">
        <v>0</v>
      </c>
      <c r="N126" s="252">
        <v>0</v>
      </c>
      <c r="O126" s="250">
        <v>0</v>
      </c>
      <c r="P126" s="250">
        <v>0</v>
      </c>
      <c r="Q126" s="251">
        <v>0</v>
      </c>
      <c r="R126" s="252">
        <v>0</v>
      </c>
      <c r="S126" s="250">
        <v>0</v>
      </c>
      <c r="T126" s="253"/>
      <c r="U126" s="254">
        <v>0</v>
      </c>
      <c r="V126" s="255">
        <v>0</v>
      </c>
      <c r="W126" s="255">
        <v>0</v>
      </c>
      <c r="X126" s="255">
        <v>0</v>
      </c>
      <c r="Y126" s="255">
        <v>0</v>
      </c>
      <c r="Z126" s="255">
        <v>0</v>
      </c>
      <c r="AA126" s="256">
        <v>0</v>
      </c>
      <c r="AB126" s="254">
        <v>0</v>
      </c>
      <c r="AC126" s="255">
        <v>0</v>
      </c>
      <c r="AD126" s="255">
        <v>0</v>
      </c>
      <c r="AE126" s="255">
        <v>0</v>
      </c>
      <c r="AF126" s="257">
        <v>0</v>
      </c>
      <c r="AG126" s="257">
        <v>0</v>
      </c>
      <c r="AH126" s="254">
        <v>0</v>
      </c>
      <c r="AI126" s="255">
        <v>0</v>
      </c>
      <c r="AJ126" s="257">
        <v>0</v>
      </c>
      <c r="AK126" s="254">
        <v>0</v>
      </c>
    </row>
    <row r="127" spans="1:39" s="527" customFormat="1">
      <c r="A127" s="435"/>
      <c r="B127" s="436" t="s">
        <v>59</v>
      </c>
      <c r="C127" s="261">
        <v>1</v>
      </c>
      <c r="D127" s="262">
        <v>1</v>
      </c>
      <c r="E127" s="262">
        <v>1</v>
      </c>
      <c r="F127" s="262">
        <v>1</v>
      </c>
      <c r="G127" s="262">
        <v>1</v>
      </c>
      <c r="H127" s="263">
        <v>1</v>
      </c>
      <c r="I127" s="531">
        <v>1</v>
      </c>
      <c r="J127" s="261">
        <v>0</v>
      </c>
      <c r="K127" s="262">
        <v>0</v>
      </c>
      <c r="L127" s="262">
        <v>0</v>
      </c>
      <c r="M127" s="262">
        <v>1</v>
      </c>
      <c r="N127" s="263">
        <v>1</v>
      </c>
      <c r="O127" s="261">
        <v>1</v>
      </c>
      <c r="P127" s="261">
        <v>0</v>
      </c>
      <c r="Q127" s="262">
        <v>0</v>
      </c>
      <c r="R127" s="263">
        <v>0</v>
      </c>
      <c r="S127" s="261">
        <v>0</v>
      </c>
      <c r="T127" s="264"/>
      <c r="U127" s="265">
        <v>3699</v>
      </c>
      <c r="V127" s="266">
        <v>2407</v>
      </c>
      <c r="W127" s="266">
        <v>1297</v>
      </c>
      <c r="X127" s="266">
        <v>765</v>
      </c>
      <c r="Y127" s="266">
        <v>457</v>
      </c>
      <c r="Z127" s="266">
        <v>94</v>
      </c>
      <c r="AA127" s="267">
        <v>8719</v>
      </c>
      <c r="AB127" s="265">
        <v>0</v>
      </c>
      <c r="AC127" s="266">
        <v>0</v>
      </c>
      <c r="AD127" s="266">
        <v>0</v>
      </c>
      <c r="AE127" s="266">
        <v>33</v>
      </c>
      <c r="AF127" s="268">
        <v>2172</v>
      </c>
      <c r="AG127" s="268">
        <v>2205</v>
      </c>
      <c r="AH127" s="265">
        <v>0</v>
      </c>
      <c r="AI127" s="266">
        <v>0</v>
      </c>
      <c r="AJ127" s="268">
        <v>0</v>
      </c>
      <c r="AK127" s="265">
        <v>0</v>
      </c>
      <c r="AL127" s="270"/>
      <c r="AM127" s="270"/>
    </row>
    <row r="128" spans="1:39">
      <c r="A128" s="239" t="s">
        <v>18</v>
      </c>
      <c r="B128" s="240" t="s">
        <v>53</v>
      </c>
      <c r="C128" s="241">
        <v>0.32102908277404923</v>
      </c>
      <c r="D128" s="242">
        <v>0</v>
      </c>
      <c r="E128" s="242">
        <v>0.43073593073593075</v>
      </c>
      <c r="F128" s="242">
        <v>0</v>
      </c>
      <c r="G128" s="242">
        <v>0</v>
      </c>
      <c r="H128" s="243">
        <v>0.24910179640718563</v>
      </c>
      <c r="I128" s="529">
        <v>0.31675034230944776</v>
      </c>
      <c r="J128" s="241">
        <v>0.35632183908045978</v>
      </c>
      <c r="K128" s="242">
        <v>0</v>
      </c>
      <c r="L128" s="242">
        <v>0.15</v>
      </c>
      <c r="M128" s="242">
        <v>0.22677595628415301</v>
      </c>
      <c r="N128" s="243">
        <v>0</v>
      </c>
      <c r="O128" s="241">
        <v>0.23976608187134502</v>
      </c>
      <c r="P128" s="342">
        <v>0</v>
      </c>
      <c r="Q128" s="242">
        <v>0</v>
      </c>
      <c r="R128" s="243">
        <v>0</v>
      </c>
      <c r="S128" s="342">
        <v>0</v>
      </c>
      <c r="T128" s="244"/>
      <c r="U128" s="245">
        <v>287</v>
      </c>
      <c r="V128" s="246">
        <v>0</v>
      </c>
      <c r="W128" s="246">
        <v>199</v>
      </c>
      <c r="X128" s="246">
        <v>0</v>
      </c>
      <c r="Y128" s="246">
        <v>0</v>
      </c>
      <c r="Z128" s="246">
        <v>208</v>
      </c>
      <c r="AA128" s="247">
        <v>694</v>
      </c>
      <c r="AB128" s="245">
        <v>31</v>
      </c>
      <c r="AC128" s="246">
        <v>0</v>
      </c>
      <c r="AD128" s="246">
        <v>9</v>
      </c>
      <c r="AE128" s="246">
        <v>83</v>
      </c>
      <c r="AF128" s="248">
        <v>0</v>
      </c>
      <c r="AG128" s="248">
        <v>123</v>
      </c>
      <c r="AH128" s="245">
        <v>0</v>
      </c>
      <c r="AI128" s="246">
        <v>0</v>
      </c>
      <c r="AJ128" s="248">
        <v>0</v>
      </c>
      <c r="AK128" s="245">
        <v>0</v>
      </c>
    </row>
    <row r="129" spans="1:39">
      <c r="A129" s="249"/>
      <c r="B129" s="239" t="s">
        <v>93</v>
      </c>
      <c r="C129" s="250">
        <v>0.26174496644295303</v>
      </c>
      <c r="D129" s="251">
        <v>0</v>
      </c>
      <c r="E129" s="251">
        <v>0.24891774891774893</v>
      </c>
      <c r="F129" s="251">
        <v>0</v>
      </c>
      <c r="G129" s="251">
        <v>0</v>
      </c>
      <c r="H129" s="252">
        <v>0.25748502994011974</v>
      </c>
      <c r="I129" s="530">
        <v>0.25741670470104977</v>
      </c>
      <c r="J129" s="250">
        <v>0.17241379310344829</v>
      </c>
      <c r="K129" s="251">
        <v>0</v>
      </c>
      <c r="L129" s="251">
        <v>8.3333333333333329E-2</v>
      </c>
      <c r="M129" s="251">
        <v>0.13934426229508196</v>
      </c>
      <c r="N129" s="252">
        <v>0</v>
      </c>
      <c r="O129" s="250">
        <v>0.13840155945419103</v>
      </c>
      <c r="P129" s="250">
        <v>0</v>
      </c>
      <c r="Q129" s="251">
        <v>0</v>
      </c>
      <c r="R129" s="252">
        <v>0</v>
      </c>
      <c r="S129" s="250">
        <v>0</v>
      </c>
      <c r="T129" s="253"/>
      <c r="U129" s="254">
        <v>234</v>
      </c>
      <c r="V129" s="255">
        <v>0</v>
      </c>
      <c r="W129" s="255">
        <v>115</v>
      </c>
      <c r="X129" s="255">
        <v>0</v>
      </c>
      <c r="Y129" s="255">
        <v>0</v>
      </c>
      <c r="Z129" s="255">
        <v>215</v>
      </c>
      <c r="AA129" s="256">
        <v>564</v>
      </c>
      <c r="AB129" s="254">
        <v>15</v>
      </c>
      <c r="AC129" s="255">
        <v>0</v>
      </c>
      <c r="AD129" s="255">
        <v>5</v>
      </c>
      <c r="AE129" s="255">
        <v>51</v>
      </c>
      <c r="AF129" s="257">
        <v>0</v>
      </c>
      <c r="AG129" s="257">
        <v>71</v>
      </c>
      <c r="AH129" s="254">
        <v>0</v>
      </c>
      <c r="AI129" s="255">
        <v>0</v>
      </c>
      <c r="AJ129" s="257">
        <v>0</v>
      </c>
      <c r="AK129" s="254">
        <v>0</v>
      </c>
    </row>
    <row r="130" spans="1:39">
      <c r="A130" s="249"/>
      <c r="B130" s="239" t="s">
        <v>55</v>
      </c>
      <c r="C130" s="250">
        <v>0.34451901565995524</v>
      </c>
      <c r="D130" s="251">
        <v>0</v>
      </c>
      <c r="E130" s="251">
        <v>0.25974025974025972</v>
      </c>
      <c r="F130" s="251">
        <v>0</v>
      </c>
      <c r="G130" s="251">
        <v>0</v>
      </c>
      <c r="H130" s="252">
        <v>0.35209580838323351</v>
      </c>
      <c r="I130" s="530">
        <v>0.32952989502510271</v>
      </c>
      <c r="J130" s="250">
        <v>0.14942528735632185</v>
      </c>
      <c r="K130" s="251">
        <v>0</v>
      </c>
      <c r="L130" s="251">
        <v>0.5</v>
      </c>
      <c r="M130" s="251">
        <v>0.19945355191256831</v>
      </c>
      <c r="N130" s="252">
        <v>0</v>
      </c>
      <c r="O130" s="250">
        <v>0.22612085769980506</v>
      </c>
      <c r="P130" s="250">
        <v>0</v>
      </c>
      <c r="Q130" s="251">
        <v>0</v>
      </c>
      <c r="R130" s="252">
        <v>0</v>
      </c>
      <c r="S130" s="250">
        <v>0</v>
      </c>
      <c r="T130" s="253"/>
      <c r="U130" s="254">
        <v>308</v>
      </c>
      <c r="V130" s="255">
        <v>0</v>
      </c>
      <c r="W130" s="255">
        <v>120</v>
      </c>
      <c r="X130" s="255">
        <v>0</v>
      </c>
      <c r="Y130" s="255">
        <v>0</v>
      </c>
      <c r="Z130" s="255">
        <v>294</v>
      </c>
      <c r="AA130" s="256">
        <v>722</v>
      </c>
      <c r="AB130" s="254">
        <v>13</v>
      </c>
      <c r="AC130" s="255">
        <v>0</v>
      </c>
      <c r="AD130" s="255">
        <v>30</v>
      </c>
      <c r="AE130" s="255">
        <v>73</v>
      </c>
      <c r="AF130" s="257">
        <v>0</v>
      </c>
      <c r="AG130" s="257">
        <v>116</v>
      </c>
      <c r="AH130" s="254">
        <v>0</v>
      </c>
      <c r="AI130" s="255">
        <v>0</v>
      </c>
      <c r="AJ130" s="257">
        <v>0</v>
      </c>
      <c r="AK130" s="254">
        <v>0</v>
      </c>
    </row>
    <row r="131" spans="1:39">
      <c r="A131" s="249"/>
      <c r="B131" s="239" t="s">
        <v>78</v>
      </c>
      <c r="C131" s="250">
        <v>4.6979865771812082E-2</v>
      </c>
      <c r="D131" s="251">
        <v>0</v>
      </c>
      <c r="E131" s="251">
        <v>6.0606060606060608E-2</v>
      </c>
      <c r="F131" s="251">
        <v>0</v>
      </c>
      <c r="G131" s="251">
        <v>0</v>
      </c>
      <c r="H131" s="252">
        <v>0.10538922155688622</v>
      </c>
      <c r="I131" s="530">
        <v>7.2113190324052945E-2</v>
      </c>
      <c r="J131" s="250">
        <v>0.32183908045977011</v>
      </c>
      <c r="K131" s="251">
        <v>0</v>
      </c>
      <c r="L131" s="251">
        <v>0.16666666666666666</v>
      </c>
      <c r="M131" s="251">
        <v>0.37431693989071041</v>
      </c>
      <c r="N131" s="252">
        <v>0</v>
      </c>
      <c r="O131" s="250">
        <v>0.34113060428849901</v>
      </c>
      <c r="P131" s="250">
        <v>0</v>
      </c>
      <c r="Q131" s="251">
        <v>0</v>
      </c>
      <c r="R131" s="252">
        <v>0</v>
      </c>
      <c r="S131" s="250">
        <v>0</v>
      </c>
      <c r="T131" s="253"/>
      <c r="U131" s="254">
        <v>42</v>
      </c>
      <c r="V131" s="255">
        <v>0</v>
      </c>
      <c r="W131" s="255">
        <v>28</v>
      </c>
      <c r="X131" s="255">
        <v>0</v>
      </c>
      <c r="Y131" s="255">
        <v>0</v>
      </c>
      <c r="Z131" s="255">
        <v>88</v>
      </c>
      <c r="AA131" s="256">
        <v>158</v>
      </c>
      <c r="AB131" s="254">
        <v>28</v>
      </c>
      <c r="AC131" s="255">
        <v>0</v>
      </c>
      <c r="AD131" s="255">
        <v>10</v>
      </c>
      <c r="AE131" s="255">
        <v>137</v>
      </c>
      <c r="AF131" s="257">
        <v>0</v>
      </c>
      <c r="AG131" s="257">
        <v>175</v>
      </c>
      <c r="AH131" s="254">
        <v>0</v>
      </c>
      <c r="AI131" s="255">
        <v>0</v>
      </c>
      <c r="AJ131" s="257">
        <v>0</v>
      </c>
      <c r="AK131" s="254">
        <v>0</v>
      </c>
    </row>
    <row r="132" spans="1:39">
      <c r="A132" s="249"/>
      <c r="B132" s="239" t="s">
        <v>32</v>
      </c>
      <c r="C132" s="250">
        <v>2.5727069351230425E-2</v>
      </c>
      <c r="D132" s="251">
        <v>0</v>
      </c>
      <c r="E132" s="251">
        <v>0</v>
      </c>
      <c r="F132" s="251">
        <v>0</v>
      </c>
      <c r="G132" s="251">
        <v>0</v>
      </c>
      <c r="H132" s="252">
        <v>3.5928143712574849E-2</v>
      </c>
      <c r="I132" s="530">
        <v>2.4189867640346873E-2</v>
      </c>
      <c r="J132" s="250">
        <v>0</v>
      </c>
      <c r="K132" s="251">
        <v>0</v>
      </c>
      <c r="L132" s="251">
        <v>0.1</v>
      </c>
      <c r="M132" s="251">
        <v>6.0109289617486336E-2</v>
      </c>
      <c r="N132" s="258">
        <v>0</v>
      </c>
      <c r="O132" s="250">
        <v>5.4580896686159841E-2</v>
      </c>
      <c r="P132" s="250">
        <v>0</v>
      </c>
      <c r="Q132" s="251">
        <v>0</v>
      </c>
      <c r="R132" s="252">
        <v>0</v>
      </c>
      <c r="S132" s="250">
        <v>0</v>
      </c>
      <c r="T132" s="253"/>
      <c r="U132" s="254">
        <v>23</v>
      </c>
      <c r="V132" s="255">
        <v>0</v>
      </c>
      <c r="W132" s="255">
        <v>0</v>
      </c>
      <c r="X132" s="255">
        <v>0</v>
      </c>
      <c r="Y132" s="255">
        <v>0</v>
      </c>
      <c r="Z132" s="255">
        <v>30</v>
      </c>
      <c r="AA132" s="256">
        <v>53</v>
      </c>
      <c r="AB132" s="254">
        <v>0</v>
      </c>
      <c r="AC132" s="255">
        <v>0</v>
      </c>
      <c r="AD132" s="255">
        <v>6</v>
      </c>
      <c r="AE132" s="255">
        <v>22</v>
      </c>
      <c r="AF132" s="257">
        <v>0</v>
      </c>
      <c r="AG132" s="257">
        <v>28</v>
      </c>
      <c r="AH132" s="254">
        <v>0</v>
      </c>
      <c r="AI132" s="255">
        <v>0</v>
      </c>
      <c r="AJ132" s="257">
        <v>0</v>
      </c>
      <c r="AK132" s="254">
        <v>0</v>
      </c>
    </row>
    <row r="133" spans="1:39">
      <c r="A133" s="249"/>
      <c r="B133" s="239" t="s">
        <v>58</v>
      </c>
      <c r="C133" s="250">
        <v>0</v>
      </c>
      <c r="D133" s="251">
        <v>0</v>
      </c>
      <c r="E133" s="419">
        <v>0</v>
      </c>
      <c r="F133" s="251">
        <v>0</v>
      </c>
      <c r="G133" s="419">
        <v>0</v>
      </c>
      <c r="H133" s="252">
        <v>0</v>
      </c>
      <c r="I133" s="532">
        <v>0</v>
      </c>
      <c r="J133" s="250">
        <v>0</v>
      </c>
      <c r="K133" s="251">
        <v>0</v>
      </c>
      <c r="L133" s="251">
        <v>0</v>
      </c>
      <c r="M133" s="251">
        <v>0</v>
      </c>
      <c r="N133" s="252">
        <v>0</v>
      </c>
      <c r="O133" s="250">
        <v>0</v>
      </c>
      <c r="P133" s="250">
        <v>0</v>
      </c>
      <c r="Q133" s="251">
        <v>0</v>
      </c>
      <c r="R133" s="252">
        <v>0</v>
      </c>
      <c r="S133" s="250">
        <v>0</v>
      </c>
      <c r="T133" s="253"/>
      <c r="U133" s="254">
        <v>0</v>
      </c>
      <c r="V133" s="255">
        <v>0</v>
      </c>
      <c r="W133" s="255">
        <v>0</v>
      </c>
      <c r="X133" s="255">
        <v>0</v>
      </c>
      <c r="Y133" s="255">
        <v>0</v>
      </c>
      <c r="Z133" s="255">
        <v>0</v>
      </c>
      <c r="AA133" s="256">
        <v>0</v>
      </c>
      <c r="AB133" s="254">
        <v>0</v>
      </c>
      <c r="AC133" s="255">
        <v>0</v>
      </c>
      <c r="AD133" s="255">
        <v>0</v>
      </c>
      <c r="AE133" s="255">
        <v>0</v>
      </c>
      <c r="AF133" s="257">
        <v>0</v>
      </c>
      <c r="AG133" s="257">
        <v>0</v>
      </c>
      <c r="AH133" s="254">
        <v>0</v>
      </c>
      <c r="AI133" s="255">
        <v>0</v>
      </c>
      <c r="AJ133" s="257">
        <v>0</v>
      </c>
      <c r="AK133" s="254">
        <v>0</v>
      </c>
    </row>
    <row r="134" spans="1:39" s="527" customFormat="1">
      <c r="A134" s="435"/>
      <c r="B134" s="436" t="s">
        <v>59</v>
      </c>
      <c r="C134" s="261">
        <v>1</v>
      </c>
      <c r="D134" s="262">
        <v>0</v>
      </c>
      <c r="E134" s="262">
        <v>1</v>
      </c>
      <c r="F134" s="262">
        <v>0</v>
      </c>
      <c r="G134" s="262">
        <v>0</v>
      </c>
      <c r="H134" s="263">
        <v>1</v>
      </c>
      <c r="I134" s="531">
        <v>1</v>
      </c>
      <c r="J134" s="261">
        <v>1</v>
      </c>
      <c r="K134" s="262">
        <v>0</v>
      </c>
      <c r="L134" s="262">
        <v>1</v>
      </c>
      <c r="M134" s="262">
        <v>1</v>
      </c>
      <c r="N134" s="263">
        <v>0</v>
      </c>
      <c r="O134" s="261">
        <v>1</v>
      </c>
      <c r="P134" s="261">
        <v>0</v>
      </c>
      <c r="Q134" s="262">
        <v>0</v>
      </c>
      <c r="R134" s="263">
        <v>0</v>
      </c>
      <c r="S134" s="261">
        <v>0</v>
      </c>
      <c r="T134" s="264"/>
      <c r="U134" s="265">
        <v>894</v>
      </c>
      <c r="V134" s="266">
        <v>0</v>
      </c>
      <c r="W134" s="266">
        <v>462</v>
      </c>
      <c r="X134" s="266">
        <v>0</v>
      </c>
      <c r="Y134" s="266">
        <v>0</v>
      </c>
      <c r="Z134" s="266">
        <v>835</v>
      </c>
      <c r="AA134" s="267">
        <v>2191</v>
      </c>
      <c r="AB134" s="265">
        <v>87</v>
      </c>
      <c r="AC134" s="266">
        <v>0</v>
      </c>
      <c r="AD134" s="266">
        <v>60</v>
      </c>
      <c r="AE134" s="266">
        <v>366</v>
      </c>
      <c r="AF134" s="268">
        <v>0</v>
      </c>
      <c r="AG134" s="268">
        <v>513</v>
      </c>
      <c r="AH134" s="265">
        <v>0</v>
      </c>
      <c r="AI134" s="266">
        <v>0</v>
      </c>
      <c r="AJ134" s="268">
        <v>0</v>
      </c>
      <c r="AK134" s="265">
        <v>0</v>
      </c>
      <c r="AL134" s="270"/>
      <c r="AM134" s="270"/>
    </row>
    <row r="135" spans="1:39" s="80" customFormat="1">
      <c r="A135" s="240" t="s">
        <v>171</v>
      </c>
      <c r="B135" s="240" t="s">
        <v>53</v>
      </c>
      <c r="C135" s="821">
        <f>IF(U140&gt;0,(U135/U140),0)</f>
        <v>0.40496220694367341</v>
      </c>
      <c r="D135" s="822">
        <f t="shared" ref="D135:S135" si="9">IF(V140&gt;0,(V135/V140),0)</f>
        <v>0.30409963674104828</v>
      </c>
      <c r="E135" s="822">
        <f t="shared" si="9"/>
        <v>0.34278728606356967</v>
      </c>
      <c r="F135" s="822">
        <f t="shared" si="9"/>
        <v>0.2815036309269543</v>
      </c>
      <c r="G135" s="822">
        <f t="shared" si="9"/>
        <v>0.22113821138211381</v>
      </c>
      <c r="H135" s="822">
        <f t="shared" si="9"/>
        <v>0.24320827943078913</v>
      </c>
      <c r="I135" s="821">
        <f t="shared" si="9"/>
        <v>0.35370616261813637</v>
      </c>
      <c r="J135" s="821">
        <f t="shared" si="9"/>
        <v>0</v>
      </c>
      <c r="K135" s="822">
        <f t="shared" si="9"/>
        <v>2.7159855147439214E-2</v>
      </c>
      <c r="L135" s="822">
        <f t="shared" si="9"/>
        <v>6.6790736145574861E-2</v>
      </c>
      <c r="M135" s="822">
        <f t="shared" si="9"/>
        <v>8.6267605633802813E-2</v>
      </c>
      <c r="N135" s="822">
        <f t="shared" si="9"/>
        <v>0</v>
      </c>
      <c r="O135" s="821">
        <f t="shared" si="9"/>
        <v>5.0782330699947739E-2</v>
      </c>
      <c r="P135" s="821">
        <f t="shared" si="9"/>
        <v>0</v>
      </c>
      <c r="Q135" s="822">
        <f t="shared" si="9"/>
        <v>0</v>
      </c>
      <c r="R135" s="823">
        <f t="shared" si="9"/>
        <v>0</v>
      </c>
      <c r="S135" s="821">
        <f t="shared" si="9"/>
        <v>0</v>
      </c>
      <c r="T135" s="213"/>
      <c r="U135" s="796">
        <f>U141+U147+U153+U159+U165+U171+U177+U183+U189+U195+U201+U207+U213</f>
        <v>9483</v>
      </c>
      <c r="V135" s="796">
        <f t="shared" ref="V135:AK140" si="10">V141+V147+V153+V159+V165+V171+V177+V183+V189+V195+V201+V207+V213</f>
        <v>2930</v>
      </c>
      <c r="W135" s="796">
        <f t="shared" si="10"/>
        <v>4206</v>
      </c>
      <c r="X135" s="796">
        <f t="shared" si="10"/>
        <v>659</v>
      </c>
      <c r="Y135" s="796">
        <f t="shared" si="10"/>
        <v>272</v>
      </c>
      <c r="Z135" s="796">
        <f t="shared" si="10"/>
        <v>564</v>
      </c>
      <c r="AA135" s="801">
        <f t="shared" si="10"/>
        <v>18114</v>
      </c>
      <c r="AB135" s="801">
        <f t="shared" si="10"/>
        <v>0</v>
      </c>
      <c r="AC135" s="796">
        <f t="shared" si="10"/>
        <v>525</v>
      </c>
      <c r="AD135" s="796">
        <f t="shared" si="10"/>
        <v>646</v>
      </c>
      <c r="AE135" s="796">
        <f t="shared" si="10"/>
        <v>245</v>
      </c>
      <c r="AF135" s="796">
        <f t="shared" si="10"/>
        <v>0</v>
      </c>
      <c r="AG135" s="801">
        <f t="shared" si="10"/>
        <v>1652</v>
      </c>
      <c r="AH135" s="801">
        <f t="shared" si="10"/>
        <v>0</v>
      </c>
      <c r="AI135" s="796">
        <f t="shared" si="10"/>
        <v>0</v>
      </c>
      <c r="AJ135" s="818">
        <f t="shared" si="10"/>
        <v>0</v>
      </c>
      <c r="AK135" s="801">
        <f t="shared" si="10"/>
        <v>0</v>
      </c>
      <c r="AL135" s="209"/>
      <c r="AM135" s="209"/>
    </row>
    <row r="136" spans="1:39" s="80" customFormat="1">
      <c r="A136" s="239"/>
      <c r="B136" s="239" t="s">
        <v>93</v>
      </c>
      <c r="C136" s="824">
        <f>IF(U140&gt;0,(U136/U140),0)</f>
        <v>0.22180467181961822</v>
      </c>
      <c r="D136" s="822">
        <f t="shared" ref="D136:S136" si="11">IF(V140&gt;0,(V136/V140),0)</f>
        <v>0.26466009340944474</v>
      </c>
      <c r="E136" s="822">
        <f t="shared" si="11"/>
        <v>0.23512632436837816</v>
      </c>
      <c r="F136" s="822">
        <f t="shared" si="11"/>
        <v>0.26142674070909866</v>
      </c>
      <c r="G136" s="822">
        <f t="shared" si="11"/>
        <v>0.17967479674796749</v>
      </c>
      <c r="H136" s="822">
        <f t="shared" si="11"/>
        <v>0.22639068564036222</v>
      </c>
      <c r="I136" s="824">
        <f t="shared" si="11"/>
        <v>0.23406623447629463</v>
      </c>
      <c r="J136" s="824">
        <f t="shared" si="11"/>
        <v>0</v>
      </c>
      <c r="K136" s="822">
        <f t="shared" si="11"/>
        <v>4.7594412829798241E-3</v>
      </c>
      <c r="L136" s="822">
        <f t="shared" si="11"/>
        <v>2.8019023986765923E-2</v>
      </c>
      <c r="M136" s="822">
        <f t="shared" si="11"/>
        <v>4.788732394366197E-2</v>
      </c>
      <c r="N136" s="822">
        <f t="shared" si="11"/>
        <v>0</v>
      </c>
      <c r="O136" s="824">
        <f t="shared" si="11"/>
        <v>1.859764532292275E-2</v>
      </c>
      <c r="P136" s="824">
        <f t="shared" si="11"/>
        <v>0</v>
      </c>
      <c r="Q136" s="822">
        <f t="shared" si="11"/>
        <v>0</v>
      </c>
      <c r="R136" s="825">
        <f t="shared" si="11"/>
        <v>0</v>
      </c>
      <c r="S136" s="824">
        <f t="shared" si="11"/>
        <v>0</v>
      </c>
      <c r="T136" s="213"/>
      <c r="U136" s="796">
        <f t="shared" ref="U136:AJ140" si="12">U142+U148+U154+U160+U166+U172+U178+U184+U190+U196+U202+U208+U214</f>
        <v>5194</v>
      </c>
      <c r="V136" s="796">
        <f t="shared" si="12"/>
        <v>2550</v>
      </c>
      <c r="W136" s="796">
        <f t="shared" si="12"/>
        <v>2885</v>
      </c>
      <c r="X136" s="796">
        <f t="shared" si="12"/>
        <v>612</v>
      </c>
      <c r="Y136" s="796">
        <f t="shared" si="12"/>
        <v>221</v>
      </c>
      <c r="Z136" s="796">
        <f t="shared" si="12"/>
        <v>525</v>
      </c>
      <c r="AA136" s="802">
        <f t="shared" si="12"/>
        <v>11987</v>
      </c>
      <c r="AB136" s="802">
        <f t="shared" si="12"/>
        <v>0</v>
      </c>
      <c r="AC136" s="796">
        <f t="shared" si="12"/>
        <v>92</v>
      </c>
      <c r="AD136" s="796">
        <f t="shared" si="12"/>
        <v>271</v>
      </c>
      <c r="AE136" s="796">
        <f t="shared" si="12"/>
        <v>136</v>
      </c>
      <c r="AF136" s="796">
        <f t="shared" si="12"/>
        <v>0</v>
      </c>
      <c r="AG136" s="802">
        <f t="shared" si="12"/>
        <v>605</v>
      </c>
      <c r="AH136" s="802">
        <f t="shared" si="12"/>
        <v>0</v>
      </c>
      <c r="AI136" s="796">
        <f t="shared" si="12"/>
        <v>0</v>
      </c>
      <c r="AJ136" s="819">
        <f t="shared" si="12"/>
        <v>0</v>
      </c>
      <c r="AK136" s="802">
        <f t="shared" si="10"/>
        <v>0</v>
      </c>
      <c r="AL136" s="209"/>
      <c r="AM136" s="209"/>
    </row>
    <row r="137" spans="1:39" s="80" customFormat="1">
      <c r="A137" s="239"/>
      <c r="B137" s="239" t="s">
        <v>55</v>
      </c>
      <c r="C137" s="824">
        <f>IF(U140&gt;0,(U137/U140),0)</f>
        <v>0.21373361233292051</v>
      </c>
      <c r="D137" s="822">
        <f t="shared" ref="D137:S137" si="13">IF(V140&gt;0,(V137/V140),0)</f>
        <v>0.25573430202387132</v>
      </c>
      <c r="E137" s="822">
        <f t="shared" si="13"/>
        <v>0.26373268133659333</v>
      </c>
      <c r="F137" s="822">
        <f t="shared" si="13"/>
        <v>0.28235796668090557</v>
      </c>
      <c r="G137" s="822">
        <f t="shared" si="13"/>
        <v>0.27886178861788619</v>
      </c>
      <c r="H137" s="822">
        <f t="shared" si="13"/>
        <v>0.36438119879258302</v>
      </c>
      <c r="I137" s="824">
        <f t="shared" si="13"/>
        <v>0.24513785831445756</v>
      </c>
      <c r="J137" s="824">
        <f t="shared" si="13"/>
        <v>0</v>
      </c>
      <c r="K137" s="822">
        <f t="shared" si="13"/>
        <v>6.414899120538024E-3</v>
      </c>
      <c r="L137" s="822">
        <f t="shared" si="13"/>
        <v>4.3320926385442514E-2</v>
      </c>
      <c r="M137" s="822">
        <f t="shared" si="13"/>
        <v>7.3943661971830985E-2</v>
      </c>
      <c r="N137" s="822">
        <f t="shared" si="13"/>
        <v>0</v>
      </c>
      <c r="O137" s="824">
        <f t="shared" si="13"/>
        <v>2.397712950723925E-2</v>
      </c>
      <c r="P137" s="824">
        <f t="shared" si="13"/>
        <v>0</v>
      </c>
      <c r="Q137" s="822">
        <f t="shared" si="13"/>
        <v>0</v>
      </c>
      <c r="R137" s="825">
        <f t="shared" si="13"/>
        <v>0</v>
      </c>
      <c r="S137" s="824">
        <f t="shared" si="13"/>
        <v>0</v>
      </c>
      <c r="T137" s="213"/>
      <c r="U137" s="796">
        <f t="shared" si="12"/>
        <v>5005</v>
      </c>
      <c r="V137" s="796">
        <f t="shared" si="10"/>
        <v>2464</v>
      </c>
      <c r="W137" s="796">
        <f t="shared" si="10"/>
        <v>3236</v>
      </c>
      <c r="X137" s="796">
        <f t="shared" si="10"/>
        <v>661</v>
      </c>
      <c r="Y137" s="796">
        <f t="shared" si="10"/>
        <v>343</v>
      </c>
      <c r="Z137" s="796">
        <f t="shared" si="10"/>
        <v>845</v>
      </c>
      <c r="AA137" s="802">
        <f t="shared" si="10"/>
        <v>12554</v>
      </c>
      <c r="AB137" s="802">
        <f t="shared" si="10"/>
        <v>0</v>
      </c>
      <c r="AC137" s="796">
        <f t="shared" si="10"/>
        <v>124</v>
      </c>
      <c r="AD137" s="796">
        <f t="shared" si="10"/>
        <v>419</v>
      </c>
      <c r="AE137" s="796">
        <f t="shared" si="10"/>
        <v>210</v>
      </c>
      <c r="AF137" s="796">
        <f t="shared" si="10"/>
        <v>0</v>
      </c>
      <c r="AG137" s="802">
        <f t="shared" si="10"/>
        <v>780</v>
      </c>
      <c r="AH137" s="802">
        <f t="shared" si="10"/>
        <v>0</v>
      </c>
      <c r="AI137" s="796">
        <f t="shared" si="10"/>
        <v>0</v>
      </c>
      <c r="AJ137" s="819">
        <f t="shared" si="10"/>
        <v>0</v>
      </c>
      <c r="AK137" s="802">
        <f t="shared" si="10"/>
        <v>0</v>
      </c>
      <c r="AL137" s="209"/>
      <c r="AM137" s="209"/>
    </row>
    <row r="138" spans="1:39" s="80" customFormat="1">
      <c r="A138" s="239"/>
      <c r="B138" s="239" t="s">
        <v>78</v>
      </c>
      <c r="C138" s="824">
        <f>IF(U140&gt;0,(U138/U140),0)</f>
        <v>5.1074006063970619E-2</v>
      </c>
      <c r="D138" s="822">
        <f t="shared" ref="D138:S138" si="14">IF(V140&gt;0,(V138/V140),0)</f>
        <v>7.9916969382459777E-2</v>
      </c>
      <c r="E138" s="822">
        <f t="shared" si="14"/>
        <v>2.5509372453137735E-2</v>
      </c>
      <c r="F138" s="822">
        <f t="shared" si="14"/>
        <v>7.1337035454933792E-2</v>
      </c>
      <c r="G138" s="822">
        <f t="shared" si="14"/>
        <v>8.6178861788617889E-2</v>
      </c>
      <c r="H138" s="822">
        <f t="shared" si="14"/>
        <v>6.2095730918499355E-2</v>
      </c>
      <c r="I138" s="824">
        <f t="shared" si="14"/>
        <v>5.264391158322268E-2</v>
      </c>
      <c r="J138" s="824">
        <f t="shared" si="14"/>
        <v>0</v>
      </c>
      <c r="K138" s="822">
        <f t="shared" si="14"/>
        <v>0.83978272115882047</v>
      </c>
      <c r="L138" s="822">
        <f t="shared" si="14"/>
        <v>0.52357320099255578</v>
      </c>
      <c r="M138" s="822">
        <f t="shared" si="14"/>
        <v>0.58028169014084507</v>
      </c>
      <c r="N138" s="822">
        <f t="shared" si="14"/>
        <v>1</v>
      </c>
      <c r="O138" s="824">
        <f t="shared" si="14"/>
        <v>0.71335034274999232</v>
      </c>
      <c r="P138" s="824">
        <f t="shared" si="14"/>
        <v>0</v>
      </c>
      <c r="Q138" s="822">
        <f t="shared" si="14"/>
        <v>0</v>
      </c>
      <c r="R138" s="825">
        <f t="shared" si="14"/>
        <v>0</v>
      </c>
      <c r="S138" s="824">
        <f t="shared" si="14"/>
        <v>0</v>
      </c>
      <c r="T138" s="213"/>
      <c r="U138" s="796">
        <f t="shared" si="12"/>
        <v>1196</v>
      </c>
      <c r="V138" s="796">
        <f t="shared" si="10"/>
        <v>770</v>
      </c>
      <c r="W138" s="796">
        <f t="shared" si="10"/>
        <v>313</v>
      </c>
      <c r="X138" s="796">
        <f t="shared" si="10"/>
        <v>167</v>
      </c>
      <c r="Y138" s="796">
        <f t="shared" si="10"/>
        <v>106</v>
      </c>
      <c r="Z138" s="796">
        <f t="shared" si="10"/>
        <v>144</v>
      </c>
      <c r="AA138" s="802">
        <f t="shared" si="10"/>
        <v>2696</v>
      </c>
      <c r="AB138" s="802">
        <f t="shared" si="10"/>
        <v>0</v>
      </c>
      <c r="AC138" s="796">
        <f t="shared" si="10"/>
        <v>16233</v>
      </c>
      <c r="AD138" s="796">
        <f t="shared" si="10"/>
        <v>5064</v>
      </c>
      <c r="AE138" s="796">
        <f t="shared" si="10"/>
        <v>1648</v>
      </c>
      <c r="AF138" s="796">
        <f t="shared" si="10"/>
        <v>85</v>
      </c>
      <c r="AG138" s="802">
        <f t="shared" si="10"/>
        <v>23206</v>
      </c>
      <c r="AH138" s="802">
        <f t="shared" si="10"/>
        <v>0</v>
      </c>
      <c r="AI138" s="796">
        <f t="shared" si="10"/>
        <v>0</v>
      </c>
      <c r="AJ138" s="819">
        <f t="shared" si="10"/>
        <v>0</v>
      </c>
      <c r="AK138" s="802">
        <f t="shared" si="10"/>
        <v>0</v>
      </c>
      <c r="AL138" s="209"/>
      <c r="AM138" s="209"/>
    </row>
    <row r="139" spans="1:39" s="80" customFormat="1">
      <c r="A139" s="580"/>
      <c r="B139" s="580" t="s">
        <v>131</v>
      </c>
      <c r="C139" s="824">
        <f>IF(U140&gt;0,(U139/U140),0)</f>
        <v>0.10842550283981722</v>
      </c>
      <c r="D139" s="822">
        <f t="shared" ref="D139:S139" si="15">IF(V140&gt;0,(V139/V140),0)</f>
        <v>9.5588998443175921E-2</v>
      </c>
      <c r="E139" s="822">
        <f t="shared" si="15"/>
        <v>0.13284433577832111</v>
      </c>
      <c r="F139" s="822">
        <f t="shared" si="15"/>
        <v>0.10337462622810764</v>
      </c>
      <c r="G139" s="822">
        <f t="shared" si="15"/>
        <v>0.23414634146341465</v>
      </c>
      <c r="H139" s="822">
        <f t="shared" si="15"/>
        <v>0.10392410521776628</v>
      </c>
      <c r="I139" s="824">
        <f t="shared" si="15"/>
        <v>0.11444583300788877</v>
      </c>
      <c r="J139" s="824">
        <f t="shared" si="15"/>
        <v>0</v>
      </c>
      <c r="K139" s="822">
        <f t="shared" si="15"/>
        <v>0.12188308329022245</v>
      </c>
      <c r="L139" s="822">
        <f t="shared" si="15"/>
        <v>0.33829611248966085</v>
      </c>
      <c r="M139" s="822">
        <f t="shared" si="15"/>
        <v>0.21161971830985915</v>
      </c>
      <c r="N139" s="822">
        <f t="shared" si="15"/>
        <v>0</v>
      </c>
      <c r="O139" s="824">
        <f t="shared" si="15"/>
        <v>0.19329255171989795</v>
      </c>
      <c r="P139" s="824">
        <f t="shared" si="15"/>
        <v>0</v>
      </c>
      <c r="Q139" s="822">
        <f t="shared" si="15"/>
        <v>0</v>
      </c>
      <c r="R139" s="825">
        <f t="shared" si="15"/>
        <v>0</v>
      </c>
      <c r="S139" s="824">
        <f t="shared" si="15"/>
        <v>0</v>
      </c>
      <c r="T139" s="213"/>
      <c r="U139" s="796">
        <f t="shared" si="12"/>
        <v>2539</v>
      </c>
      <c r="V139" s="796">
        <f t="shared" si="10"/>
        <v>921</v>
      </c>
      <c r="W139" s="796">
        <f t="shared" si="10"/>
        <v>1630</v>
      </c>
      <c r="X139" s="796">
        <f t="shared" si="10"/>
        <v>242</v>
      </c>
      <c r="Y139" s="796">
        <f t="shared" si="10"/>
        <v>288</v>
      </c>
      <c r="Z139" s="796">
        <f t="shared" si="10"/>
        <v>241</v>
      </c>
      <c r="AA139" s="802">
        <f t="shared" si="10"/>
        <v>5861</v>
      </c>
      <c r="AB139" s="802">
        <f t="shared" si="10"/>
        <v>0</v>
      </c>
      <c r="AC139" s="796">
        <f t="shared" si="10"/>
        <v>2356</v>
      </c>
      <c r="AD139" s="796">
        <f t="shared" si="10"/>
        <v>3272</v>
      </c>
      <c r="AE139" s="796">
        <f t="shared" si="10"/>
        <v>601</v>
      </c>
      <c r="AF139" s="796">
        <f t="shared" si="10"/>
        <v>0</v>
      </c>
      <c r="AG139" s="802">
        <f t="shared" si="10"/>
        <v>6288</v>
      </c>
      <c r="AH139" s="802">
        <f t="shared" si="10"/>
        <v>0</v>
      </c>
      <c r="AI139" s="796">
        <f t="shared" si="10"/>
        <v>0</v>
      </c>
      <c r="AJ139" s="819">
        <f t="shared" si="10"/>
        <v>0</v>
      </c>
      <c r="AK139" s="802">
        <f t="shared" si="10"/>
        <v>0</v>
      </c>
      <c r="AL139" s="209"/>
      <c r="AM139" s="209"/>
    </row>
    <row r="140" spans="1:39" s="80" customFormat="1">
      <c r="A140" s="436" t="s">
        <v>86</v>
      </c>
      <c r="B140" s="435" t="s">
        <v>59</v>
      </c>
      <c r="C140" s="826">
        <f>IF(U140&gt;0,(U140/U140),0)</f>
        <v>1</v>
      </c>
      <c r="D140" s="827">
        <f t="shared" ref="D140:S140" si="16">IF(V140&gt;0,(V140/V140),0)</f>
        <v>1</v>
      </c>
      <c r="E140" s="827">
        <f t="shared" si="16"/>
        <v>1</v>
      </c>
      <c r="F140" s="827">
        <f t="shared" si="16"/>
        <v>1</v>
      </c>
      <c r="G140" s="827">
        <f t="shared" si="16"/>
        <v>1</v>
      </c>
      <c r="H140" s="827">
        <f t="shared" si="16"/>
        <v>1</v>
      </c>
      <c r="I140" s="826">
        <f t="shared" si="16"/>
        <v>1</v>
      </c>
      <c r="J140" s="826">
        <f t="shared" si="16"/>
        <v>0</v>
      </c>
      <c r="K140" s="827">
        <f t="shared" si="16"/>
        <v>1</v>
      </c>
      <c r="L140" s="827">
        <f t="shared" si="16"/>
        <v>1</v>
      </c>
      <c r="M140" s="827">
        <f t="shared" si="16"/>
        <v>1</v>
      </c>
      <c r="N140" s="827">
        <f t="shared" si="16"/>
        <v>1</v>
      </c>
      <c r="O140" s="826">
        <f t="shared" si="16"/>
        <v>1</v>
      </c>
      <c r="P140" s="826">
        <f t="shared" si="16"/>
        <v>0</v>
      </c>
      <c r="Q140" s="827">
        <f t="shared" si="16"/>
        <v>0</v>
      </c>
      <c r="R140" s="828">
        <f t="shared" si="16"/>
        <v>0</v>
      </c>
      <c r="S140" s="826">
        <f t="shared" si="16"/>
        <v>0</v>
      </c>
      <c r="T140" s="213"/>
      <c r="U140" s="814">
        <f t="shared" si="12"/>
        <v>23417</v>
      </c>
      <c r="V140" s="814">
        <f t="shared" si="10"/>
        <v>9635</v>
      </c>
      <c r="W140" s="814">
        <f t="shared" si="10"/>
        <v>12270</v>
      </c>
      <c r="X140" s="814">
        <f t="shared" si="10"/>
        <v>2341</v>
      </c>
      <c r="Y140" s="814">
        <f t="shared" si="10"/>
        <v>1230</v>
      </c>
      <c r="Z140" s="814">
        <f t="shared" si="10"/>
        <v>2319</v>
      </c>
      <c r="AA140" s="815">
        <f t="shared" si="10"/>
        <v>51212</v>
      </c>
      <c r="AB140" s="815">
        <f t="shared" si="10"/>
        <v>0</v>
      </c>
      <c r="AC140" s="814">
        <f t="shared" si="10"/>
        <v>19330</v>
      </c>
      <c r="AD140" s="814">
        <f t="shared" si="10"/>
        <v>9672</v>
      </c>
      <c r="AE140" s="814">
        <f t="shared" si="10"/>
        <v>2840</v>
      </c>
      <c r="AF140" s="814">
        <f t="shared" si="10"/>
        <v>85</v>
      </c>
      <c r="AG140" s="815">
        <f t="shared" si="10"/>
        <v>32531</v>
      </c>
      <c r="AH140" s="815">
        <f t="shared" si="10"/>
        <v>0</v>
      </c>
      <c r="AI140" s="814">
        <f t="shared" si="10"/>
        <v>0</v>
      </c>
      <c r="AJ140" s="820">
        <f t="shared" si="10"/>
        <v>0</v>
      </c>
      <c r="AK140" s="815">
        <f t="shared" si="10"/>
        <v>0</v>
      </c>
      <c r="AL140" s="209"/>
      <c r="AM140" s="209"/>
    </row>
    <row r="141" spans="1:39" s="80" customFormat="1">
      <c r="A141" s="240" t="s">
        <v>136</v>
      </c>
      <c r="B141" s="240" t="s">
        <v>53</v>
      </c>
      <c r="C141" s="821">
        <f>IF(U146&gt;0,(U141/U146),0)</f>
        <v>0</v>
      </c>
      <c r="D141" s="822">
        <f t="shared" ref="D141:S141" si="17">IF(V146&gt;0,(V141/V146),0)</f>
        <v>0</v>
      </c>
      <c r="E141" s="822">
        <f t="shared" si="17"/>
        <v>0.21970554926387317</v>
      </c>
      <c r="F141" s="822">
        <f t="shared" si="17"/>
        <v>0</v>
      </c>
      <c r="G141" s="822">
        <f t="shared" si="17"/>
        <v>9.375E-2</v>
      </c>
      <c r="H141" s="822">
        <f t="shared" si="17"/>
        <v>0</v>
      </c>
      <c r="I141" s="821">
        <f t="shared" si="17"/>
        <v>0.20735444330949948</v>
      </c>
      <c r="J141" s="821">
        <f t="shared" si="17"/>
        <v>0</v>
      </c>
      <c r="K141" s="822">
        <f t="shared" si="17"/>
        <v>0</v>
      </c>
      <c r="L141" s="822">
        <f t="shared" si="17"/>
        <v>0</v>
      </c>
      <c r="M141" s="822">
        <f t="shared" si="17"/>
        <v>0.26315789473684209</v>
      </c>
      <c r="N141" s="822">
        <f t="shared" si="17"/>
        <v>0</v>
      </c>
      <c r="O141" s="821">
        <f t="shared" si="17"/>
        <v>0.2</v>
      </c>
      <c r="P141" s="821">
        <f t="shared" si="17"/>
        <v>0</v>
      </c>
      <c r="Q141" s="822">
        <f t="shared" si="17"/>
        <v>0</v>
      </c>
      <c r="R141" s="823">
        <f t="shared" si="17"/>
        <v>0</v>
      </c>
      <c r="S141" s="821">
        <f t="shared" si="17"/>
        <v>0</v>
      </c>
      <c r="T141" s="213"/>
      <c r="U141" s="349"/>
      <c r="V141" s="349"/>
      <c r="W141" s="349">
        <v>194</v>
      </c>
      <c r="X141" s="349"/>
      <c r="Y141" s="349">
        <v>9</v>
      </c>
      <c r="Z141" s="349"/>
      <c r="AA141" s="803">
        <v>203</v>
      </c>
      <c r="AB141" s="803"/>
      <c r="AC141" s="349"/>
      <c r="AD141" s="349"/>
      <c r="AE141" s="349">
        <v>5</v>
      </c>
      <c r="AF141" s="349"/>
      <c r="AG141" s="803">
        <v>4</v>
      </c>
      <c r="AH141" s="803"/>
      <c r="AI141" s="349"/>
      <c r="AJ141" s="812"/>
      <c r="AK141" s="803"/>
      <c r="AL141" s="209"/>
      <c r="AM141" s="209"/>
    </row>
    <row r="142" spans="1:39" s="80" customFormat="1">
      <c r="A142" s="239"/>
      <c r="B142" s="239" t="s">
        <v>93</v>
      </c>
      <c r="C142" s="824">
        <f>IF(U146&gt;0,(U142/U146),0)</f>
        <v>0</v>
      </c>
      <c r="D142" s="822">
        <f t="shared" ref="D142:S142" si="18">IF(V146&gt;0,(V142/V146),0)</f>
        <v>0</v>
      </c>
      <c r="E142" s="822">
        <f t="shared" si="18"/>
        <v>0.27406568516421292</v>
      </c>
      <c r="F142" s="822">
        <f t="shared" si="18"/>
        <v>0</v>
      </c>
      <c r="G142" s="822">
        <f t="shared" si="18"/>
        <v>0.23958333333333334</v>
      </c>
      <c r="H142" s="822">
        <f t="shared" si="18"/>
        <v>0</v>
      </c>
      <c r="I142" s="824">
        <f t="shared" si="18"/>
        <v>0.27068437180796734</v>
      </c>
      <c r="J142" s="824">
        <f t="shared" si="18"/>
        <v>0</v>
      </c>
      <c r="K142" s="822">
        <f t="shared" si="18"/>
        <v>0</v>
      </c>
      <c r="L142" s="822">
        <f t="shared" si="18"/>
        <v>0</v>
      </c>
      <c r="M142" s="822">
        <f t="shared" si="18"/>
        <v>0.15789473684210525</v>
      </c>
      <c r="N142" s="822">
        <f t="shared" si="18"/>
        <v>0</v>
      </c>
      <c r="O142" s="824">
        <f t="shared" si="18"/>
        <v>0.1</v>
      </c>
      <c r="P142" s="824">
        <f t="shared" si="18"/>
        <v>0</v>
      </c>
      <c r="Q142" s="822">
        <f t="shared" si="18"/>
        <v>0</v>
      </c>
      <c r="R142" s="825">
        <f t="shared" si="18"/>
        <v>0</v>
      </c>
      <c r="S142" s="824">
        <f t="shared" si="18"/>
        <v>0</v>
      </c>
      <c r="T142" s="213"/>
      <c r="U142" s="349"/>
      <c r="V142" s="349"/>
      <c r="W142" s="349">
        <v>242</v>
      </c>
      <c r="X142" s="349"/>
      <c r="Y142" s="349">
        <v>23</v>
      </c>
      <c r="Z142" s="349"/>
      <c r="AA142" s="804">
        <v>265</v>
      </c>
      <c r="AB142" s="804"/>
      <c r="AC142" s="349"/>
      <c r="AD142" s="349"/>
      <c r="AE142" s="349">
        <v>3</v>
      </c>
      <c r="AF142" s="349"/>
      <c r="AG142" s="804">
        <v>2</v>
      </c>
      <c r="AH142" s="804"/>
      <c r="AI142" s="349"/>
      <c r="AJ142" s="813"/>
      <c r="AK142" s="804"/>
      <c r="AL142" s="209"/>
      <c r="AM142" s="209"/>
    </row>
    <row r="143" spans="1:39" s="80" customFormat="1">
      <c r="A143" s="239"/>
      <c r="B143" s="239" t="s">
        <v>55</v>
      </c>
      <c r="C143" s="824">
        <f>IF(U146&gt;0,(U143/U146),0)</f>
        <v>0</v>
      </c>
      <c r="D143" s="822">
        <f t="shared" ref="D143:S143" si="19">IF(V146&gt;0,(V143/V146),0)</f>
        <v>0</v>
      </c>
      <c r="E143" s="822">
        <f t="shared" si="19"/>
        <v>0.41336353340883353</v>
      </c>
      <c r="F143" s="822">
        <f t="shared" si="19"/>
        <v>0</v>
      </c>
      <c r="G143" s="822">
        <f t="shared" si="19"/>
        <v>0.66666666666666663</v>
      </c>
      <c r="H143" s="822">
        <f t="shared" si="19"/>
        <v>0</v>
      </c>
      <c r="I143" s="824">
        <f t="shared" si="19"/>
        <v>0.43820224719101125</v>
      </c>
      <c r="J143" s="824">
        <f t="shared" si="19"/>
        <v>0</v>
      </c>
      <c r="K143" s="822">
        <f t="shared" si="19"/>
        <v>0</v>
      </c>
      <c r="L143" s="822">
        <f t="shared" si="19"/>
        <v>0</v>
      </c>
      <c r="M143" s="822">
        <f t="shared" si="19"/>
        <v>0.36842105263157893</v>
      </c>
      <c r="N143" s="822">
        <f t="shared" si="19"/>
        <v>0</v>
      </c>
      <c r="O143" s="824">
        <f t="shared" si="19"/>
        <v>0.55000000000000004</v>
      </c>
      <c r="P143" s="824">
        <f t="shared" si="19"/>
        <v>0</v>
      </c>
      <c r="Q143" s="822">
        <f t="shared" si="19"/>
        <v>0</v>
      </c>
      <c r="R143" s="825">
        <f t="shared" si="19"/>
        <v>0</v>
      </c>
      <c r="S143" s="824">
        <f t="shared" si="19"/>
        <v>0</v>
      </c>
      <c r="T143" s="213"/>
      <c r="U143" s="349"/>
      <c r="V143" s="349"/>
      <c r="W143" s="349">
        <v>365</v>
      </c>
      <c r="X143" s="349"/>
      <c r="Y143" s="349">
        <v>64</v>
      </c>
      <c r="Z143" s="349"/>
      <c r="AA143" s="804">
        <v>429</v>
      </c>
      <c r="AB143" s="804"/>
      <c r="AC143" s="349"/>
      <c r="AD143" s="349"/>
      <c r="AE143" s="349">
        <v>7</v>
      </c>
      <c r="AF143" s="349"/>
      <c r="AG143" s="804">
        <v>11</v>
      </c>
      <c r="AH143" s="804"/>
      <c r="AI143" s="349"/>
      <c r="AJ143" s="813"/>
      <c r="AK143" s="804"/>
      <c r="AL143" s="209"/>
      <c r="AM143" s="209"/>
    </row>
    <row r="144" spans="1:39" s="80" customFormat="1">
      <c r="A144" s="239"/>
      <c r="B144" s="239" t="s">
        <v>78</v>
      </c>
      <c r="C144" s="824">
        <f>IF(U146&gt;0,(U144/U146),0)</f>
        <v>0</v>
      </c>
      <c r="D144" s="822">
        <f t="shared" ref="D144:S144" si="20">IF(V146&gt;0,(V144/V146),0)</f>
        <v>0</v>
      </c>
      <c r="E144" s="822">
        <f t="shared" si="20"/>
        <v>8.4937712344280866E-2</v>
      </c>
      <c r="F144" s="822">
        <f t="shared" si="20"/>
        <v>0</v>
      </c>
      <c r="G144" s="822">
        <f t="shared" si="20"/>
        <v>0</v>
      </c>
      <c r="H144" s="822">
        <f t="shared" si="20"/>
        <v>0</v>
      </c>
      <c r="I144" s="824">
        <f t="shared" si="20"/>
        <v>7.6608784473953015E-2</v>
      </c>
      <c r="J144" s="824">
        <f t="shared" si="20"/>
        <v>0</v>
      </c>
      <c r="K144" s="822">
        <f t="shared" si="20"/>
        <v>0</v>
      </c>
      <c r="L144" s="822">
        <f t="shared" si="20"/>
        <v>0</v>
      </c>
      <c r="M144" s="822">
        <f t="shared" si="20"/>
        <v>0.21052631578947367</v>
      </c>
      <c r="N144" s="822">
        <f t="shared" si="20"/>
        <v>0</v>
      </c>
      <c r="O144" s="824">
        <f t="shared" si="20"/>
        <v>0.15</v>
      </c>
      <c r="P144" s="824">
        <f t="shared" si="20"/>
        <v>0</v>
      </c>
      <c r="Q144" s="822">
        <f t="shared" si="20"/>
        <v>0</v>
      </c>
      <c r="R144" s="825">
        <f t="shared" si="20"/>
        <v>0</v>
      </c>
      <c r="S144" s="824">
        <f t="shared" si="20"/>
        <v>0</v>
      </c>
      <c r="T144" s="213"/>
      <c r="U144" s="349"/>
      <c r="V144" s="349"/>
      <c r="W144" s="349">
        <v>75</v>
      </c>
      <c r="X144" s="349"/>
      <c r="Y144" s="349"/>
      <c r="Z144" s="349"/>
      <c r="AA144" s="804">
        <v>75</v>
      </c>
      <c r="AB144" s="804"/>
      <c r="AC144" s="349"/>
      <c r="AD144" s="349"/>
      <c r="AE144" s="349">
        <v>4</v>
      </c>
      <c r="AF144" s="349"/>
      <c r="AG144" s="804">
        <v>3</v>
      </c>
      <c r="AH144" s="804"/>
      <c r="AI144" s="349"/>
      <c r="AJ144" s="813"/>
      <c r="AK144" s="804"/>
      <c r="AL144" s="209"/>
      <c r="AM144" s="209"/>
    </row>
    <row r="145" spans="1:39" s="80" customFormat="1">
      <c r="A145" s="580"/>
      <c r="B145" s="580" t="s">
        <v>131</v>
      </c>
      <c r="C145" s="824">
        <f>IF(U146&gt;0,(U145/U146),0)</f>
        <v>0</v>
      </c>
      <c r="D145" s="822">
        <f t="shared" ref="D145:S145" si="21">IF(V146&gt;0,(V145/V146),0)</f>
        <v>0</v>
      </c>
      <c r="E145" s="822">
        <f t="shared" si="21"/>
        <v>7.9275198187995465E-3</v>
      </c>
      <c r="F145" s="822">
        <f t="shared" si="21"/>
        <v>0</v>
      </c>
      <c r="G145" s="822">
        <f t="shared" si="21"/>
        <v>0</v>
      </c>
      <c r="H145" s="822">
        <f t="shared" si="21"/>
        <v>0</v>
      </c>
      <c r="I145" s="824">
        <f t="shared" si="21"/>
        <v>7.1501532175689483E-3</v>
      </c>
      <c r="J145" s="824">
        <f t="shared" si="21"/>
        <v>0</v>
      </c>
      <c r="K145" s="822">
        <f t="shared" si="21"/>
        <v>0</v>
      </c>
      <c r="L145" s="822">
        <f t="shared" si="21"/>
        <v>0</v>
      </c>
      <c r="M145" s="822">
        <f t="shared" si="21"/>
        <v>0</v>
      </c>
      <c r="N145" s="822">
        <f t="shared" si="21"/>
        <v>0</v>
      </c>
      <c r="O145" s="824">
        <f t="shared" si="21"/>
        <v>0</v>
      </c>
      <c r="P145" s="824">
        <f t="shared" si="21"/>
        <v>0</v>
      </c>
      <c r="Q145" s="822">
        <f t="shared" si="21"/>
        <v>0</v>
      </c>
      <c r="R145" s="825">
        <f t="shared" si="21"/>
        <v>0</v>
      </c>
      <c r="S145" s="824">
        <f t="shared" si="21"/>
        <v>0</v>
      </c>
      <c r="T145" s="213"/>
      <c r="U145" s="349"/>
      <c r="V145" s="349"/>
      <c r="W145" s="349">
        <v>7</v>
      </c>
      <c r="X145" s="349"/>
      <c r="Y145" s="349"/>
      <c r="Z145" s="349"/>
      <c r="AA145" s="804">
        <v>7</v>
      </c>
      <c r="AB145" s="804"/>
      <c r="AC145" s="349"/>
      <c r="AD145" s="349"/>
      <c r="AE145" s="349"/>
      <c r="AF145" s="349"/>
      <c r="AG145" s="804"/>
      <c r="AH145" s="804"/>
      <c r="AI145" s="349"/>
      <c r="AJ145" s="813"/>
      <c r="AK145" s="804"/>
      <c r="AL145" s="209"/>
      <c r="AM145" s="209"/>
    </row>
    <row r="146" spans="1:39" s="80" customFormat="1">
      <c r="A146" s="436"/>
      <c r="B146" s="435" t="s">
        <v>59</v>
      </c>
      <c r="C146" s="826">
        <f>IF(U146&gt;0,(U146/U146),0)</f>
        <v>0</v>
      </c>
      <c r="D146" s="827">
        <f t="shared" ref="D146:S146" si="22">IF(V146&gt;0,(V146/V146),0)</f>
        <v>0</v>
      </c>
      <c r="E146" s="827">
        <f t="shared" si="22"/>
        <v>1</v>
      </c>
      <c r="F146" s="827">
        <f t="shared" si="22"/>
        <v>0</v>
      </c>
      <c r="G146" s="827">
        <f t="shared" si="22"/>
        <v>1</v>
      </c>
      <c r="H146" s="827">
        <f t="shared" si="22"/>
        <v>0</v>
      </c>
      <c r="I146" s="826">
        <f t="shared" si="22"/>
        <v>1</v>
      </c>
      <c r="J146" s="826">
        <f t="shared" si="22"/>
        <v>0</v>
      </c>
      <c r="K146" s="827">
        <f t="shared" si="22"/>
        <v>0</v>
      </c>
      <c r="L146" s="827">
        <f t="shared" si="22"/>
        <v>0</v>
      </c>
      <c r="M146" s="827">
        <f t="shared" si="22"/>
        <v>1</v>
      </c>
      <c r="N146" s="827">
        <f t="shared" si="22"/>
        <v>0</v>
      </c>
      <c r="O146" s="826">
        <f t="shared" si="22"/>
        <v>1</v>
      </c>
      <c r="P146" s="826">
        <f t="shared" si="22"/>
        <v>0</v>
      </c>
      <c r="Q146" s="827">
        <f t="shared" si="22"/>
        <v>0</v>
      </c>
      <c r="R146" s="828">
        <f t="shared" si="22"/>
        <v>0</v>
      </c>
      <c r="S146" s="826">
        <f t="shared" si="22"/>
        <v>0</v>
      </c>
      <c r="T146" s="213"/>
      <c r="U146" s="816"/>
      <c r="V146" s="816"/>
      <c r="W146" s="816">
        <v>883</v>
      </c>
      <c r="X146" s="816"/>
      <c r="Y146" s="816">
        <v>96</v>
      </c>
      <c r="Z146" s="816"/>
      <c r="AA146" s="805">
        <v>979</v>
      </c>
      <c r="AB146" s="805"/>
      <c r="AC146" s="816"/>
      <c r="AD146" s="816"/>
      <c r="AE146" s="816">
        <v>19</v>
      </c>
      <c r="AF146" s="816"/>
      <c r="AG146" s="805">
        <v>20</v>
      </c>
      <c r="AH146" s="805"/>
      <c r="AI146" s="816"/>
      <c r="AJ146" s="817"/>
      <c r="AK146" s="805"/>
      <c r="AL146" s="209"/>
      <c r="AM146" s="209"/>
    </row>
    <row r="147" spans="1:39" s="80" customFormat="1">
      <c r="A147" s="240" t="s">
        <v>137</v>
      </c>
      <c r="B147" s="240" t="s">
        <v>53</v>
      </c>
      <c r="C147" s="829">
        <f>IF(U152&gt;0,(U147/U152),0)</f>
        <v>0.3545796737766625</v>
      </c>
      <c r="D147" s="830">
        <f t="shared" ref="D147:S147" si="23">IF(V152&gt;0,(V147/V152),0)</f>
        <v>0.31421446384039903</v>
      </c>
      <c r="E147" s="830">
        <f t="shared" si="23"/>
        <v>0</v>
      </c>
      <c r="F147" s="830">
        <f t="shared" si="23"/>
        <v>0</v>
      </c>
      <c r="G147" s="830">
        <f t="shared" si="23"/>
        <v>0</v>
      </c>
      <c r="H147" s="830">
        <f t="shared" si="23"/>
        <v>0</v>
      </c>
      <c r="I147" s="829">
        <f t="shared" si="23"/>
        <v>0.34781700438688112</v>
      </c>
      <c r="J147" s="829">
        <f t="shared" si="23"/>
        <v>0</v>
      </c>
      <c r="K147" s="830">
        <f t="shared" si="23"/>
        <v>0</v>
      </c>
      <c r="L147" s="830">
        <f t="shared" si="23"/>
        <v>0.10526315789473684</v>
      </c>
      <c r="M147" s="830">
        <f t="shared" si="23"/>
        <v>0</v>
      </c>
      <c r="N147" s="830">
        <f t="shared" si="23"/>
        <v>0</v>
      </c>
      <c r="O147" s="829">
        <f t="shared" si="23"/>
        <v>4.3495452748121791E-2</v>
      </c>
      <c r="P147" s="829">
        <f t="shared" si="23"/>
        <v>0</v>
      </c>
      <c r="Q147" s="830">
        <f t="shared" si="23"/>
        <v>0</v>
      </c>
      <c r="R147" s="831">
        <f t="shared" si="23"/>
        <v>0</v>
      </c>
      <c r="S147" s="829">
        <f t="shared" si="23"/>
        <v>0</v>
      </c>
      <c r="T147" s="213"/>
      <c r="U147" s="349">
        <v>1413</v>
      </c>
      <c r="V147" s="349">
        <v>252</v>
      </c>
      <c r="W147" s="349"/>
      <c r="X147" s="349"/>
      <c r="Y147" s="349"/>
      <c r="Z147" s="349"/>
      <c r="AA147" s="803">
        <v>1665</v>
      </c>
      <c r="AB147" s="803"/>
      <c r="AC147" s="349"/>
      <c r="AD147" s="349">
        <v>114</v>
      </c>
      <c r="AE147" s="349"/>
      <c r="AF147" s="349"/>
      <c r="AG147" s="803">
        <v>110</v>
      </c>
      <c r="AH147" s="803"/>
      <c r="AI147" s="349"/>
      <c r="AJ147" s="812"/>
      <c r="AK147" s="803"/>
      <c r="AL147" s="209"/>
      <c r="AM147" s="209"/>
    </row>
    <row r="148" spans="1:39" s="80" customFormat="1">
      <c r="A148" s="239"/>
      <c r="B148" s="239" t="s">
        <v>93</v>
      </c>
      <c r="C148" s="832">
        <f>IF(U152&gt;0,(U148/U152),0)</f>
        <v>0.24692597239648684</v>
      </c>
      <c r="D148" s="830">
        <f t="shared" ref="D148:S148" si="24">IF(V152&gt;0,(V148/V152),0)</f>
        <v>0.24064837905236908</v>
      </c>
      <c r="E148" s="830">
        <f t="shared" si="24"/>
        <v>0</v>
      </c>
      <c r="F148" s="830">
        <f t="shared" si="24"/>
        <v>0</v>
      </c>
      <c r="G148" s="830">
        <f t="shared" si="24"/>
        <v>0</v>
      </c>
      <c r="H148" s="830">
        <f t="shared" si="24"/>
        <v>0</v>
      </c>
      <c r="I148" s="832">
        <f t="shared" si="24"/>
        <v>0.24587424274075623</v>
      </c>
      <c r="J148" s="832">
        <f t="shared" si="24"/>
        <v>0</v>
      </c>
      <c r="K148" s="830">
        <f t="shared" si="24"/>
        <v>0</v>
      </c>
      <c r="L148" s="830">
        <f t="shared" si="24"/>
        <v>0</v>
      </c>
      <c r="M148" s="830">
        <f t="shared" si="24"/>
        <v>9.0909090909090905E-3</v>
      </c>
      <c r="N148" s="830">
        <f t="shared" si="24"/>
        <v>0</v>
      </c>
      <c r="O148" s="832">
        <f t="shared" si="24"/>
        <v>0</v>
      </c>
      <c r="P148" s="832">
        <f t="shared" si="24"/>
        <v>0</v>
      </c>
      <c r="Q148" s="830">
        <f t="shared" si="24"/>
        <v>0</v>
      </c>
      <c r="R148" s="833">
        <f t="shared" si="24"/>
        <v>0</v>
      </c>
      <c r="S148" s="832">
        <f t="shared" si="24"/>
        <v>0</v>
      </c>
      <c r="T148" s="213"/>
      <c r="U148" s="349">
        <v>984</v>
      </c>
      <c r="V148" s="349">
        <v>193</v>
      </c>
      <c r="W148" s="349"/>
      <c r="X148" s="349"/>
      <c r="Y148" s="349"/>
      <c r="Z148" s="349"/>
      <c r="AA148" s="804">
        <v>1177</v>
      </c>
      <c r="AB148" s="804"/>
      <c r="AC148" s="349"/>
      <c r="AD148" s="349"/>
      <c r="AE148" s="349">
        <v>1</v>
      </c>
      <c r="AF148" s="349"/>
      <c r="AG148" s="804"/>
      <c r="AH148" s="804"/>
      <c r="AI148" s="349"/>
      <c r="AJ148" s="813"/>
      <c r="AK148" s="804"/>
      <c r="AL148" s="209"/>
      <c r="AM148" s="209"/>
    </row>
    <row r="149" spans="1:39" s="80" customFormat="1">
      <c r="A149" s="239"/>
      <c r="B149" s="239" t="s">
        <v>55</v>
      </c>
      <c r="C149" s="832">
        <f>IF(U152&gt;0,(U149/U152),0)</f>
        <v>0.22233375156838142</v>
      </c>
      <c r="D149" s="830">
        <f t="shared" ref="D149:S149" si="25">IF(V152&gt;0,(V149/V152),0)</f>
        <v>0.27431421446384041</v>
      </c>
      <c r="E149" s="830">
        <f t="shared" si="25"/>
        <v>0</v>
      </c>
      <c r="F149" s="830">
        <f t="shared" si="25"/>
        <v>0</v>
      </c>
      <c r="G149" s="830">
        <f t="shared" si="25"/>
        <v>0</v>
      </c>
      <c r="H149" s="830">
        <f t="shared" si="25"/>
        <v>0</v>
      </c>
      <c r="I149" s="832">
        <f t="shared" si="25"/>
        <v>0.23104240651765198</v>
      </c>
      <c r="J149" s="832">
        <f t="shared" si="25"/>
        <v>0</v>
      </c>
      <c r="K149" s="830">
        <f t="shared" si="25"/>
        <v>0</v>
      </c>
      <c r="L149" s="830">
        <f t="shared" si="25"/>
        <v>0</v>
      </c>
      <c r="M149" s="830">
        <f t="shared" si="25"/>
        <v>0</v>
      </c>
      <c r="N149" s="830">
        <f t="shared" si="25"/>
        <v>0</v>
      </c>
      <c r="O149" s="832">
        <f t="shared" si="25"/>
        <v>0</v>
      </c>
      <c r="P149" s="832">
        <f t="shared" si="25"/>
        <v>0</v>
      </c>
      <c r="Q149" s="830">
        <f t="shared" si="25"/>
        <v>0</v>
      </c>
      <c r="R149" s="833">
        <f t="shared" si="25"/>
        <v>0</v>
      </c>
      <c r="S149" s="832">
        <f t="shared" si="25"/>
        <v>0</v>
      </c>
      <c r="T149" s="213"/>
      <c r="U149" s="349">
        <v>886</v>
      </c>
      <c r="V149" s="349">
        <v>220</v>
      </c>
      <c r="W149" s="349"/>
      <c r="X149" s="349"/>
      <c r="Y149" s="349"/>
      <c r="Z149" s="349"/>
      <c r="AA149" s="804">
        <v>1106</v>
      </c>
      <c r="AB149" s="804"/>
      <c r="AC149" s="349"/>
      <c r="AD149" s="349"/>
      <c r="AE149" s="349"/>
      <c r="AF149" s="349"/>
      <c r="AG149" s="804"/>
      <c r="AH149" s="804"/>
      <c r="AI149" s="349"/>
      <c r="AJ149" s="813"/>
      <c r="AK149" s="804"/>
      <c r="AL149" s="209"/>
      <c r="AM149" s="209"/>
    </row>
    <row r="150" spans="1:39" s="80" customFormat="1">
      <c r="A150" s="239"/>
      <c r="B150" s="239" t="s">
        <v>78</v>
      </c>
      <c r="C150" s="832">
        <f>IF(U152&gt;0,(U150/U152),0)</f>
        <v>4.4165621079046424E-2</v>
      </c>
      <c r="D150" s="830">
        <f t="shared" ref="D150:S150" si="26">IF(V152&gt;0,(V150/V152),0)</f>
        <v>4.738154613466334E-2</v>
      </c>
      <c r="E150" s="830">
        <f t="shared" si="26"/>
        <v>0</v>
      </c>
      <c r="F150" s="830">
        <f t="shared" si="26"/>
        <v>0</v>
      </c>
      <c r="G150" s="830">
        <f t="shared" si="26"/>
        <v>0</v>
      </c>
      <c r="H150" s="830">
        <f t="shared" si="26"/>
        <v>0</v>
      </c>
      <c r="I150" s="832">
        <f t="shared" si="26"/>
        <v>4.4704407771046582E-2</v>
      </c>
      <c r="J150" s="832">
        <f t="shared" si="26"/>
        <v>0</v>
      </c>
      <c r="K150" s="830">
        <f t="shared" si="26"/>
        <v>0</v>
      </c>
      <c r="L150" s="830">
        <f t="shared" si="26"/>
        <v>0.23084025854108955</v>
      </c>
      <c r="M150" s="830">
        <f t="shared" si="26"/>
        <v>0.95454545454545459</v>
      </c>
      <c r="N150" s="830">
        <f t="shared" si="26"/>
        <v>1</v>
      </c>
      <c r="O150" s="832">
        <f t="shared" si="26"/>
        <v>0.14986160537761961</v>
      </c>
      <c r="P150" s="832">
        <f t="shared" si="26"/>
        <v>0</v>
      </c>
      <c r="Q150" s="830">
        <f t="shared" si="26"/>
        <v>0</v>
      </c>
      <c r="R150" s="833">
        <f t="shared" si="26"/>
        <v>0</v>
      </c>
      <c r="S150" s="832">
        <f t="shared" si="26"/>
        <v>0</v>
      </c>
      <c r="T150" s="213"/>
      <c r="U150" s="349">
        <v>176</v>
      </c>
      <c r="V150" s="349">
        <v>38</v>
      </c>
      <c r="W150" s="349"/>
      <c r="X150" s="349"/>
      <c r="Y150" s="349"/>
      <c r="Z150" s="349"/>
      <c r="AA150" s="804">
        <v>214</v>
      </c>
      <c r="AB150" s="804"/>
      <c r="AC150" s="349"/>
      <c r="AD150" s="349">
        <v>250</v>
      </c>
      <c r="AE150" s="349">
        <v>105</v>
      </c>
      <c r="AF150" s="349">
        <v>14</v>
      </c>
      <c r="AG150" s="804">
        <v>379</v>
      </c>
      <c r="AH150" s="804"/>
      <c r="AI150" s="349"/>
      <c r="AJ150" s="813"/>
      <c r="AK150" s="804"/>
      <c r="AL150" s="209"/>
      <c r="AM150" s="209"/>
    </row>
    <row r="151" spans="1:39" s="80" customFormat="1">
      <c r="A151" s="580"/>
      <c r="B151" s="580" t="s">
        <v>131</v>
      </c>
      <c r="C151" s="832">
        <f>IF(U152&gt;0,(U151/U152),0)</f>
        <v>0.13199498117942285</v>
      </c>
      <c r="D151" s="830">
        <f t="shared" ref="D151:S151" si="27">IF(V152&gt;0,(V151/V152),0)</f>
        <v>0.12344139650872818</v>
      </c>
      <c r="E151" s="830">
        <f t="shared" si="27"/>
        <v>0</v>
      </c>
      <c r="F151" s="830">
        <f t="shared" si="27"/>
        <v>0</v>
      </c>
      <c r="G151" s="830">
        <f t="shared" si="27"/>
        <v>0</v>
      </c>
      <c r="H151" s="830">
        <f t="shared" si="27"/>
        <v>0</v>
      </c>
      <c r="I151" s="832">
        <f t="shared" si="27"/>
        <v>0.13056193858366408</v>
      </c>
      <c r="J151" s="832">
        <f t="shared" si="27"/>
        <v>0</v>
      </c>
      <c r="K151" s="830">
        <f t="shared" si="27"/>
        <v>1</v>
      </c>
      <c r="L151" s="830">
        <f t="shared" si="27"/>
        <v>0.66389658356417358</v>
      </c>
      <c r="M151" s="830">
        <f t="shared" si="27"/>
        <v>3.6363636363636362E-2</v>
      </c>
      <c r="N151" s="830">
        <f t="shared" si="27"/>
        <v>0</v>
      </c>
      <c r="O151" s="832">
        <f t="shared" si="27"/>
        <v>0.80664294187425856</v>
      </c>
      <c r="P151" s="832">
        <f t="shared" si="27"/>
        <v>0</v>
      </c>
      <c r="Q151" s="830">
        <f t="shared" si="27"/>
        <v>0</v>
      </c>
      <c r="R151" s="833">
        <f t="shared" si="27"/>
        <v>0</v>
      </c>
      <c r="S151" s="832">
        <f t="shared" si="27"/>
        <v>0</v>
      </c>
      <c r="T151" s="213"/>
      <c r="U151" s="349">
        <v>526</v>
      </c>
      <c r="V151" s="349">
        <v>99</v>
      </c>
      <c r="W151" s="349"/>
      <c r="X151" s="349"/>
      <c r="Y151" s="349"/>
      <c r="Z151" s="349"/>
      <c r="AA151" s="804">
        <v>625</v>
      </c>
      <c r="AB151" s="804"/>
      <c r="AC151" s="349">
        <v>1323</v>
      </c>
      <c r="AD151" s="349">
        <v>719</v>
      </c>
      <c r="AE151" s="349">
        <v>4</v>
      </c>
      <c r="AF151" s="349"/>
      <c r="AG151" s="804">
        <v>2040</v>
      </c>
      <c r="AH151" s="804"/>
      <c r="AI151" s="349"/>
      <c r="AJ151" s="813"/>
      <c r="AK151" s="804"/>
      <c r="AL151" s="209"/>
      <c r="AM151" s="209"/>
    </row>
    <row r="152" spans="1:39" s="80" customFormat="1">
      <c r="A152" s="436"/>
      <c r="B152" s="435" t="s">
        <v>59</v>
      </c>
      <c r="C152" s="834">
        <f>IF(U152&gt;0,(U152/U152),0)</f>
        <v>1</v>
      </c>
      <c r="D152" s="835">
        <f t="shared" ref="D152:S152" si="28">IF(V152&gt;0,(V152/V152),0)</f>
        <v>1</v>
      </c>
      <c r="E152" s="835">
        <f t="shared" si="28"/>
        <v>0</v>
      </c>
      <c r="F152" s="835">
        <f t="shared" si="28"/>
        <v>0</v>
      </c>
      <c r="G152" s="835">
        <f t="shared" si="28"/>
        <v>0</v>
      </c>
      <c r="H152" s="835">
        <f t="shared" si="28"/>
        <v>0</v>
      </c>
      <c r="I152" s="834">
        <f t="shared" si="28"/>
        <v>1</v>
      </c>
      <c r="J152" s="834">
        <f t="shared" si="28"/>
        <v>0</v>
      </c>
      <c r="K152" s="835">
        <f t="shared" si="28"/>
        <v>1</v>
      </c>
      <c r="L152" s="835">
        <f t="shared" si="28"/>
        <v>1</v>
      </c>
      <c r="M152" s="835">
        <f t="shared" si="28"/>
        <v>1</v>
      </c>
      <c r="N152" s="835">
        <f t="shared" si="28"/>
        <v>1</v>
      </c>
      <c r="O152" s="834">
        <f t="shared" si="28"/>
        <v>1</v>
      </c>
      <c r="P152" s="834">
        <f t="shared" si="28"/>
        <v>0</v>
      </c>
      <c r="Q152" s="835">
        <f t="shared" si="28"/>
        <v>0</v>
      </c>
      <c r="R152" s="836">
        <f t="shared" si="28"/>
        <v>0</v>
      </c>
      <c r="S152" s="834">
        <f t="shared" si="28"/>
        <v>0</v>
      </c>
      <c r="T152" s="213"/>
      <c r="U152" s="816">
        <v>3985</v>
      </c>
      <c r="V152" s="816">
        <v>802</v>
      </c>
      <c r="W152" s="816"/>
      <c r="X152" s="816"/>
      <c r="Y152" s="816"/>
      <c r="Z152" s="816"/>
      <c r="AA152" s="805">
        <v>4787</v>
      </c>
      <c r="AB152" s="805"/>
      <c r="AC152" s="816">
        <v>1323</v>
      </c>
      <c r="AD152" s="816">
        <v>1083</v>
      </c>
      <c r="AE152" s="816">
        <v>110</v>
      </c>
      <c r="AF152" s="816">
        <v>14</v>
      </c>
      <c r="AG152" s="805">
        <v>2529</v>
      </c>
      <c r="AH152" s="805"/>
      <c r="AI152" s="816"/>
      <c r="AJ152" s="817"/>
      <c r="AK152" s="805"/>
      <c r="AL152" s="209"/>
      <c r="AM152" s="209"/>
    </row>
    <row r="153" spans="1:39" s="80" customFormat="1">
      <c r="A153" s="240" t="s">
        <v>138</v>
      </c>
      <c r="B153" s="240" t="s">
        <v>53</v>
      </c>
      <c r="C153" s="829">
        <f>IF(U158&gt;0,(U153/U158),0)</f>
        <v>0.50854462191444205</v>
      </c>
      <c r="D153" s="830">
        <f t="shared" ref="D153:S153" si="29">IF(V158&gt;0,(V153/V158),0)</f>
        <v>0.36645962732919257</v>
      </c>
      <c r="E153" s="830">
        <f t="shared" si="29"/>
        <v>0.37317947568899845</v>
      </c>
      <c r="F153" s="830">
        <f t="shared" si="29"/>
        <v>0.31173594132029342</v>
      </c>
      <c r="G153" s="830">
        <f t="shared" si="29"/>
        <v>0</v>
      </c>
      <c r="H153" s="830">
        <f t="shared" si="29"/>
        <v>0.1657142857142857</v>
      </c>
      <c r="I153" s="829">
        <f t="shared" si="29"/>
        <v>0.42957959471720941</v>
      </c>
      <c r="J153" s="829">
        <f t="shared" si="29"/>
        <v>0</v>
      </c>
      <c r="K153" s="830">
        <f t="shared" si="29"/>
        <v>4.1976980365605954E-3</v>
      </c>
      <c r="L153" s="830">
        <f t="shared" si="29"/>
        <v>1.0492567764500145E-2</v>
      </c>
      <c r="M153" s="830">
        <f t="shared" si="29"/>
        <v>0</v>
      </c>
      <c r="N153" s="830">
        <f t="shared" si="29"/>
        <v>0</v>
      </c>
      <c r="O153" s="829">
        <f t="shared" si="29"/>
        <v>5.6164891644147723E-3</v>
      </c>
      <c r="P153" s="829">
        <f t="shared" si="29"/>
        <v>0</v>
      </c>
      <c r="Q153" s="830">
        <f t="shared" si="29"/>
        <v>0</v>
      </c>
      <c r="R153" s="831">
        <f t="shared" si="29"/>
        <v>0</v>
      </c>
      <c r="S153" s="829">
        <f t="shared" si="29"/>
        <v>0</v>
      </c>
      <c r="T153" s="213"/>
      <c r="U153" s="349">
        <v>4553</v>
      </c>
      <c r="V153" s="349">
        <v>354</v>
      </c>
      <c r="W153" s="349">
        <v>3331</v>
      </c>
      <c r="X153" s="349">
        <v>255</v>
      </c>
      <c r="Y153" s="349"/>
      <c r="Z153" s="349">
        <v>29</v>
      </c>
      <c r="AA153" s="803">
        <v>8522</v>
      </c>
      <c r="AB153" s="803"/>
      <c r="AC153" s="349">
        <v>62</v>
      </c>
      <c r="AD153" s="349">
        <v>36</v>
      </c>
      <c r="AE153" s="349"/>
      <c r="AF153" s="349"/>
      <c r="AG153" s="803">
        <v>106</v>
      </c>
      <c r="AH153" s="803"/>
      <c r="AI153" s="349"/>
      <c r="AJ153" s="812"/>
      <c r="AK153" s="803"/>
      <c r="AL153" s="209"/>
      <c r="AM153" s="209"/>
    </row>
    <row r="154" spans="1:39" s="80" customFormat="1">
      <c r="A154" s="239"/>
      <c r="B154" s="239" t="s">
        <v>93</v>
      </c>
      <c r="C154" s="832">
        <f>IF(U158&gt;0,(U154/U158),0)</f>
        <v>0.18005137942589075</v>
      </c>
      <c r="D154" s="830">
        <f t="shared" ref="D154:S154" si="30">IF(V158&gt;0,(V154/V158),0)</f>
        <v>0.24637681159420291</v>
      </c>
      <c r="E154" s="830">
        <f t="shared" si="30"/>
        <v>0.22540891776831729</v>
      </c>
      <c r="F154" s="830">
        <f t="shared" si="30"/>
        <v>0.25794621026894865</v>
      </c>
      <c r="G154" s="830">
        <f t="shared" si="30"/>
        <v>0</v>
      </c>
      <c r="H154" s="830">
        <f t="shared" si="30"/>
        <v>7.4285714285714288E-2</v>
      </c>
      <c r="I154" s="832">
        <f t="shared" si="30"/>
        <v>0.20596834358302249</v>
      </c>
      <c r="J154" s="832">
        <f t="shared" si="30"/>
        <v>0</v>
      </c>
      <c r="K154" s="830">
        <f t="shared" si="30"/>
        <v>5.4163845633039946E-4</v>
      </c>
      <c r="L154" s="830">
        <f t="shared" si="30"/>
        <v>6.7035849606528709E-3</v>
      </c>
      <c r="M154" s="830">
        <f t="shared" si="30"/>
        <v>0</v>
      </c>
      <c r="N154" s="830">
        <f t="shared" si="30"/>
        <v>0</v>
      </c>
      <c r="O154" s="832">
        <f t="shared" si="30"/>
        <v>3.0731733163778942E-3</v>
      </c>
      <c r="P154" s="832">
        <f t="shared" si="30"/>
        <v>0</v>
      </c>
      <c r="Q154" s="830">
        <f t="shared" si="30"/>
        <v>0</v>
      </c>
      <c r="R154" s="833">
        <f t="shared" si="30"/>
        <v>0</v>
      </c>
      <c r="S154" s="832">
        <f t="shared" si="30"/>
        <v>0</v>
      </c>
      <c r="T154" s="213"/>
      <c r="U154" s="349">
        <v>1612</v>
      </c>
      <c r="V154" s="349">
        <v>238</v>
      </c>
      <c r="W154" s="349">
        <v>2012</v>
      </c>
      <c r="X154" s="349">
        <v>211</v>
      </c>
      <c r="Y154" s="349"/>
      <c r="Z154" s="349">
        <v>13</v>
      </c>
      <c r="AA154" s="804">
        <v>4086</v>
      </c>
      <c r="AB154" s="804"/>
      <c r="AC154" s="349">
        <v>8</v>
      </c>
      <c r="AD154" s="349">
        <v>23</v>
      </c>
      <c r="AE154" s="349"/>
      <c r="AF154" s="349"/>
      <c r="AG154" s="804">
        <v>58</v>
      </c>
      <c r="AH154" s="804"/>
      <c r="AI154" s="349"/>
      <c r="AJ154" s="813"/>
      <c r="AK154" s="804"/>
      <c r="AL154" s="209"/>
      <c r="AM154" s="209"/>
    </row>
    <row r="155" spans="1:39" s="80" customFormat="1">
      <c r="A155" s="239"/>
      <c r="B155" s="239" t="s">
        <v>55</v>
      </c>
      <c r="C155" s="832">
        <f>IF(U158&gt;0,(U155/U158),0)</f>
        <v>0.19323131911091254</v>
      </c>
      <c r="D155" s="830">
        <f t="shared" ref="D155:S155" si="31">IF(V158&gt;0,(V155/V158),0)</f>
        <v>0.18944099378881987</v>
      </c>
      <c r="E155" s="830">
        <f t="shared" si="31"/>
        <v>0.25106430652027784</v>
      </c>
      <c r="F155" s="830">
        <f t="shared" si="31"/>
        <v>0.23960880195599021</v>
      </c>
      <c r="G155" s="830">
        <f t="shared" si="31"/>
        <v>0</v>
      </c>
      <c r="H155" s="830">
        <f t="shared" si="31"/>
        <v>0.38285714285714284</v>
      </c>
      <c r="I155" s="832">
        <f t="shared" si="31"/>
        <v>0.22265349329569514</v>
      </c>
      <c r="J155" s="832">
        <f t="shared" si="31"/>
        <v>0</v>
      </c>
      <c r="K155" s="830">
        <f t="shared" si="31"/>
        <v>9.4786729857819908E-4</v>
      </c>
      <c r="L155" s="830">
        <f t="shared" si="31"/>
        <v>6.1206645292917515E-3</v>
      </c>
      <c r="M155" s="830">
        <f t="shared" si="31"/>
        <v>0</v>
      </c>
      <c r="N155" s="830">
        <f t="shared" si="31"/>
        <v>0</v>
      </c>
      <c r="O155" s="832">
        <f t="shared" si="31"/>
        <v>1.4306151645207439E-3</v>
      </c>
      <c r="P155" s="832">
        <f t="shared" si="31"/>
        <v>0</v>
      </c>
      <c r="Q155" s="830">
        <f t="shared" si="31"/>
        <v>0</v>
      </c>
      <c r="R155" s="833">
        <f t="shared" si="31"/>
        <v>0</v>
      </c>
      <c r="S155" s="832">
        <f t="shared" si="31"/>
        <v>0</v>
      </c>
      <c r="T155" s="213"/>
      <c r="U155" s="349">
        <v>1730</v>
      </c>
      <c r="V155" s="349">
        <v>183</v>
      </c>
      <c r="W155" s="349">
        <v>2241</v>
      </c>
      <c r="X155" s="349">
        <v>196</v>
      </c>
      <c r="Y155" s="349"/>
      <c r="Z155" s="349">
        <v>67</v>
      </c>
      <c r="AA155" s="804">
        <v>4417</v>
      </c>
      <c r="AB155" s="804"/>
      <c r="AC155" s="349">
        <v>14</v>
      </c>
      <c r="AD155" s="349">
        <v>21</v>
      </c>
      <c r="AE155" s="349"/>
      <c r="AF155" s="349"/>
      <c r="AG155" s="804">
        <v>27</v>
      </c>
      <c r="AH155" s="804"/>
      <c r="AI155" s="349"/>
      <c r="AJ155" s="813"/>
      <c r="AK155" s="804"/>
      <c r="AL155" s="209"/>
      <c r="AM155" s="209"/>
    </row>
    <row r="156" spans="1:39" s="80" customFormat="1">
      <c r="A156" s="239"/>
      <c r="B156" s="239" t="s">
        <v>78</v>
      </c>
      <c r="C156" s="832">
        <f>IF(U158&gt;0,(U156/U158),0)</f>
        <v>3.350832123310622E-4</v>
      </c>
      <c r="D156" s="830">
        <f t="shared" ref="D156:S156" si="32">IF(V158&gt;0,(V156/V158),0)</f>
        <v>0</v>
      </c>
      <c r="E156" s="830">
        <f t="shared" si="32"/>
        <v>3.3609679587721263E-4</v>
      </c>
      <c r="F156" s="830">
        <f t="shared" si="32"/>
        <v>0</v>
      </c>
      <c r="G156" s="830">
        <f t="shared" si="32"/>
        <v>0</v>
      </c>
      <c r="H156" s="830">
        <f t="shared" si="32"/>
        <v>0</v>
      </c>
      <c r="I156" s="832">
        <f t="shared" si="32"/>
        <v>3.0244984373424739E-4</v>
      </c>
      <c r="J156" s="832">
        <f t="shared" si="32"/>
        <v>0</v>
      </c>
      <c r="K156" s="830">
        <f t="shared" si="32"/>
        <v>0.98612051455653349</v>
      </c>
      <c r="L156" s="830">
        <f t="shared" si="32"/>
        <v>0.96968813756922179</v>
      </c>
      <c r="M156" s="830">
        <f t="shared" si="32"/>
        <v>1</v>
      </c>
      <c r="N156" s="830">
        <f t="shared" si="32"/>
        <v>1</v>
      </c>
      <c r="O156" s="832">
        <f t="shared" si="32"/>
        <v>0.98850209293699998</v>
      </c>
      <c r="P156" s="832">
        <f t="shared" si="32"/>
        <v>0</v>
      </c>
      <c r="Q156" s="830">
        <f t="shared" si="32"/>
        <v>0</v>
      </c>
      <c r="R156" s="833">
        <f t="shared" si="32"/>
        <v>0</v>
      </c>
      <c r="S156" s="832">
        <f t="shared" si="32"/>
        <v>0</v>
      </c>
      <c r="T156" s="213"/>
      <c r="U156" s="349">
        <v>3</v>
      </c>
      <c r="V156" s="349"/>
      <c r="W156" s="349">
        <v>3</v>
      </c>
      <c r="X156" s="349"/>
      <c r="Y156" s="349"/>
      <c r="Z156" s="349"/>
      <c r="AA156" s="804">
        <v>6</v>
      </c>
      <c r="AB156" s="804"/>
      <c r="AC156" s="349">
        <v>14565</v>
      </c>
      <c r="AD156" s="349">
        <v>3327</v>
      </c>
      <c r="AE156" s="349">
        <v>368</v>
      </c>
      <c r="AF156" s="349">
        <v>42</v>
      </c>
      <c r="AG156" s="804">
        <v>18656</v>
      </c>
      <c r="AH156" s="804"/>
      <c r="AI156" s="349"/>
      <c r="AJ156" s="813"/>
      <c r="AK156" s="804"/>
      <c r="AL156" s="209"/>
      <c r="AM156" s="209"/>
    </row>
    <row r="157" spans="1:39" s="80" customFormat="1">
      <c r="A157" s="580"/>
      <c r="B157" s="580" t="s">
        <v>131</v>
      </c>
      <c r="C157" s="832">
        <f>IF(U158&gt;0,(U157/U158),0)</f>
        <v>0.11783759633642354</v>
      </c>
      <c r="D157" s="830">
        <f t="shared" ref="D157:S157" si="33">IF(V158&gt;0,(V157/V158),0)</f>
        <v>0.19772256728778467</v>
      </c>
      <c r="E157" s="830">
        <f t="shared" si="33"/>
        <v>0.15001120322652925</v>
      </c>
      <c r="F157" s="830">
        <f t="shared" si="33"/>
        <v>0.19070904645476772</v>
      </c>
      <c r="G157" s="830">
        <f t="shared" si="33"/>
        <v>0</v>
      </c>
      <c r="H157" s="830">
        <f t="shared" si="33"/>
        <v>0.37714285714285717</v>
      </c>
      <c r="I157" s="832">
        <f t="shared" si="33"/>
        <v>0.14149611856033875</v>
      </c>
      <c r="J157" s="832">
        <f t="shared" si="33"/>
        <v>0</v>
      </c>
      <c r="K157" s="830">
        <f t="shared" si="33"/>
        <v>8.1922816519972921E-3</v>
      </c>
      <c r="L157" s="830">
        <f t="shared" si="33"/>
        <v>6.9950451763334306E-3</v>
      </c>
      <c r="M157" s="830">
        <f t="shared" si="33"/>
        <v>0</v>
      </c>
      <c r="N157" s="830">
        <f t="shared" si="33"/>
        <v>0</v>
      </c>
      <c r="O157" s="832">
        <f t="shared" si="33"/>
        <v>1.3776294176866422E-3</v>
      </c>
      <c r="P157" s="832">
        <f t="shared" si="33"/>
        <v>0</v>
      </c>
      <c r="Q157" s="830">
        <f t="shared" si="33"/>
        <v>0</v>
      </c>
      <c r="R157" s="833">
        <f t="shared" si="33"/>
        <v>0</v>
      </c>
      <c r="S157" s="832">
        <f t="shared" si="33"/>
        <v>0</v>
      </c>
      <c r="T157" s="213"/>
      <c r="U157" s="349">
        <v>1055</v>
      </c>
      <c r="V157" s="349">
        <v>191</v>
      </c>
      <c r="W157" s="349">
        <v>1339</v>
      </c>
      <c r="X157" s="349">
        <v>156</v>
      </c>
      <c r="Y157" s="349"/>
      <c r="Z157" s="349">
        <v>66</v>
      </c>
      <c r="AA157" s="804">
        <v>2807</v>
      </c>
      <c r="AB157" s="804"/>
      <c r="AC157" s="349">
        <v>121</v>
      </c>
      <c r="AD157" s="349">
        <v>24</v>
      </c>
      <c r="AE157" s="349"/>
      <c r="AF157" s="349"/>
      <c r="AG157" s="804">
        <v>26</v>
      </c>
      <c r="AH157" s="804"/>
      <c r="AI157" s="349"/>
      <c r="AJ157" s="813"/>
      <c r="AK157" s="804"/>
      <c r="AL157" s="209"/>
      <c r="AM157" s="209"/>
    </row>
    <row r="158" spans="1:39" s="80" customFormat="1">
      <c r="A158" s="436"/>
      <c r="B158" s="436" t="s">
        <v>59</v>
      </c>
      <c r="C158" s="834">
        <f>IF(U158&gt;0,(U158/U158),0)</f>
        <v>1</v>
      </c>
      <c r="D158" s="835">
        <f t="shared" ref="D158:S158" si="34">IF(V158&gt;0,(V158/V158),0)</f>
        <v>1</v>
      </c>
      <c r="E158" s="835">
        <f t="shared" si="34"/>
        <v>1</v>
      </c>
      <c r="F158" s="835">
        <f t="shared" si="34"/>
        <v>1</v>
      </c>
      <c r="G158" s="835">
        <f t="shared" si="34"/>
        <v>0</v>
      </c>
      <c r="H158" s="835">
        <f t="shared" si="34"/>
        <v>1</v>
      </c>
      <c r="I158" s="834">
        <f t="shared" si="34"/>
        <v>1</v>
      </c>
      <c r="J158" s="834">
        <f t="shared" si="34"/>
        <v>0</v>
      </c>
      <c r="K158" s="835">
        <f t="shared" si="34"/>
        <v>1</v>
      </c>
      <c r="L158" s="835">
        <f t="shared" si="34"/>
        <v>1</v>
      </c>
      <c r="M158" s="835">
        <f t="shared" si="34"/>
        <v>1</v>
      </c>
      <c r="N158" s="835">
        <f t="shared" si="34"/>
        <v>1</v>
      </c>
      <c r="O158" s="834">
        <f t="shared" si="34"/>
        <v>1</v>
      </c>
      <c r="P158" s="834">
        <f t="shared" si="34"/>
        <v>0</v>
      </c>
      <c r="Q158" s="835">
        <f t="shared" si="34"/>
        <v>0</v>
      </c>
      <c r="R158" s="836">
        <f t="shared" si="34"/>
        <v>0</v>
      </c>
      <c r="S158" s="834">
        <f t="shared" si="34"/>
        <v>0</v>
      </c>
      <c r="T158" s="213"/>
      <c r="U158" s="816">
        <v>8953</v>
      </c>
      <c r="V158" s="816">
        <v>966</v>
      </c>
      <c r="W158" s="816">
        <v>8926</v>
      </c>
      <c r="X158" s="816">
        <v>818</v>
      </c>
      <c r="Y158" s="816"/>
      <c r="Z158" s="816">
        <v>175</v>
      </c>
      <c r="AA158" s="805">
        <v>19838</v>
      </c>
      <c r="AB158" s="805"/>
      <c r="AC158" s="816">
        <v>14770</v>
      </c>
      <c r="AD158" s="816">
        <v>3431</v>
      </c>
      <c r="AE158" s="816">
        <v>368</v>
      </c>
      <c r="AF158" s="816">
        <v>42</v>
      </c>
      <c r="AG158" s="805">
        <v>18873</v>
      </c>
      <c r="AH158" s="805"/>
      <c r="AI158" s="816"/>
      <c r="AJ158" s="817"/>
      <c r="AK158" s="805"/>
      <c r="AL158" s="209"/>
      <c r="AM158" s="209"/>
    </row>
    <row r="159" spans="1:39" s="80" customFormat="1">
      <c r="A159" s="240" t="s">
        <v>139</v>
      </c>
      <c r="B159" s="240" t="s">
        <v>53</v>
      </c>
      <c r="C159" s="829">
        <f>IF(U164&gt;0,(U159/U164),0)</f>
        <v>0.32014106583072099</v>
      </c>
      <c r="D159" s="830">
        <f t="shared" ref="D159:S159" si="35">IF(V164&gt;0,(V159/V164),0)</f>
        <v>0.24161650902837489</v>
      </c>
      <c r="E159" s="830">
        <f t="shared" si="35"/>
        <v>0.24590163934426229</v>
      </c>
      <c r="F159" s="830">
        <f t="shared" si="35"/>
        <v>0</v>
      </c>
      <c r="G159" s="830">
        <f t="shared" si="35"/>
        <v>0.29158512720156554</v>
      </c>
      <c r="H159" s="830">
        <f t="shared" si="35"/>
        <v>0.26022304832713755</v>
      </c>
      <c r="I159" s="829">
        <f t="shared" si="35"/>
        <v>0.28699887598351442</v>
      </c>
      <c r="J159" s="829">
        <f t="shared" si="35"/>
        <v>0</v>
      </c>
      <c r="K159" s="830">
        <f t="shared" si="35"/>
        <v>0</v>
      </c>
      <c r="L159" s="830">
        <f t="shared" si="35"/>
        <v>0.20077972709551656</v>
      </c>
      <c r="M159" s="830">
        <f t="shared" si="35"/>
        <v>2.7149321266968326E-2</v>
      </c>
      <c r="N159" s="830">
        <f t="shared" si="35"/>
        <v>0</v>
      </c>
      <c r="O159" s="829">
        <f t="shared" si="35"/>
        <v>0.28359511343804539</v>
      </c>
      <c r="P159" s="829">
        <f t="shared" si="35"/>
        <v>0</v>
      </c>
      <c r="Q159" s="830">
        <f t="shared" si="35"/>
        <v>0</v>
      </c>
      <c r="R159" s="831">
        <f t="shared" si="35"/>
        <v>0</v>
      </c>
      <c r="S159" s="829">
        <f t="shared" si="35"/>
        <v>0</v>
      </c>
      <c r="T159" s="213"/>
      <c r="U159" s="349">
        <v>817</v>
      </c>
      <c r="V159" s="349">
        <v>281</v>
      </c>
      <c r="W159" s="349">
        <v>75</v>
      </c>
      <c r="X159" s="349"/>
      <c r="Y159" s="349">
        <v>149</v>
      </c>
      <c r="Z159" s="349">
        <v>210</v>
      </c>
      <c r="AA159" s="803">
        <v>1532</v>
      </c>
      <c r="AB159" s="803"/>
      <c r="AC159" s="349"/>
      <c r="AD159" s="349">
        <v>103</v>
      </c>
      <c r="AE159" s="349">
        <v>6</v>
      </c>
      <c r="AF159" s="349"/>
      <c r="AG159" s="803">
        <v>325</v>
      </c>
      <c r="AH159" s="803"/>
      <c r="AI159" s="349"/>
      <c r="AJ159" s="812"/>
      <c r="AK159" s="803"/>
      <c r="AL159" s="209"/>
      <c r="AM159" s="209"/>
    </row>
    <row r="160" spans="1:39" s="80" customFormat="1">
      <c r="A160" s="239"/>
      <c r="B160" s="239" t="s">
        <v>93</v>
      </c>
      <c r="C160" s="832">
        <f>IF(U164&gt;0,(U160/U164),0)</f>
        <v>0.24960815047021945</v>
      </c>
      <c r="D160" s="830">
        <f t="shared" ref="D160:S160" si="36">IF(V164&gt;0,(V160/V164),0)</f>
        <v>0.23301805674978504</v>
      </c>
      <c r="E160" s="830">
        <f t="shared" si="36"/>
        <v>0.1901639344262295</v>
      </c>
      <c r="F160" s="830">
        <f t="shared" si="36"/>
        <v>0</v>
      </c>
      <c r="G160" s="830">
        <f t="shared" si="36"/>
        <v>0.18786692759295498</v>
      </c>
      <c r="H160" s="830">
        <f t="shared" si="36"/>
        <v>0.17596034696406443</v>
      </c>
      <c r="I160" s="832">
        <f t="shared" si="36"/>
        <v>0.2255526414387411</v>
      </c>
      <c r="J160" s="832">
        <f t="shared" si="36"/>
        <v>0</v>
      </c>
      <c r="K160" s="830">
        <f t="shared" si="36"/>
        <v>0</v>
      </c>
      <c r="L160" s="830">
        <f t="shared" si="36"/>
        <v>0.1189083820662768</v>
      </c>
      <c r="M160" s="830">
        <f t="shared" si="36"/>
        <v>4.072398190045249E-2</v>
      </c>
      <c r="N160" s="830">
        <f t="shared" si="36"/>
        <v>0</v>
      </c>
      <c r="O160" s="832">
        <f t="shared" si="36"/>
        <v>7.5916230366492143E-2</v>
      </c>
      <c r="P160" s="832">
        <f t="shared" si="36"/>
        <v>0</v>
      </c>
      <c r="Q160" s="830">
        <f t="shared" si="36"/>
        <v>0</v>
      </c>
      <c r="R160" s="833">
        <f t="shared" si="36"/>
        <v>0</v>
      </c>
      <c r="S160" s="832">
        <f t="shared" si="36"/>
        <v>0</v>
      </c>
      <c r="T160" s="213"/>
      <c r="U160" s="349">
        <v>637</v>
      </c>
      <c r="V160" s="349">
        <v>271</v>
      </c>
      <c r="W160" s="349">
        <v>58</v>
      </c>
      <c r="X160" s="349"/>
      <c r="Y160" s="349">
        <v>96</v>
      </c>
      <c r="Z160" s="349">
        <v>142</v>
      </c>
      <c r="AA160" s="804">
        <v>1204</v>
      </c>
      <c r="AB160" s="804"/>
      <c r="AC160" s="349"/>
      <c r="AD160" s="349">
        <v>61</v>
      </c>
      <c r="AE160" s="349">
        <v>9</v>
      </c>
      <c r="AF160" s="349"/>
      <c r="AG160" s="804">
        <v>87</v>
      </c>
      <c r="AH160" s="804"/>
      <c r="AI160" s="349"/>
      <c r="AJ160" s="813"/>
      <c r="AK160" s="804"/>
      <c r="AL160" s="209"/>
      <c r="AM160" s="209"/>
    </row>
    <row r="161" spans="1:39" s="80" customFormat="1">
      <c r="A161" s="239"/>
      <c r="B161" s="239" t="s">
        <v>55</v>
      </c>
      <c r="C161" s="832">
        <f>IF(U164&gt;0,(U161/U164),0)</f>
        <v>0.26175548589341691</v>
      </c>
      <c r="D161" s="830">
        <f t="shared" ref="D161:S161" si="37">IF(V164&gt;0,(V161/V164),0)</f>
        <v>0.2467755803955288</v>
      </c>
      <c r="E161" s="830">
        <f t="shared" si="37"/>
        <v>0.24918032786885247</v>
      </c>
      <c r="F161" s="830">
        <f t="shared" si="37"/>
        <v>0</v>
      </c>
      <c r="G161" s="830">
        <f t="shared" si="37"/>
        <v>0.27592954990215263</v>
      </c>
      <c r="H161" s="830">
        <f t="shared" si="37"/>
        <v>0.43122676579925651</v>
      </c>
      <c r="I161" s="832">
        <f t="shared" si="37"/>
        <v>0.2847508430123642</v>
      </c>
      <c r="J161" s="832">
        <f t="shared" si="37"/>
        <v>0</v>
      </c>
      <c r="K161" s="830">
        <f t="shared" si="37"/>
        <v>0</v>
      </c>
      <c r="L161" s="830">
        <f t="shared" si="37"/>
        <v>0.23196881091617932</v>
      </c>
      <c r="M161" s="830">
        <f t="shared" si="37"/>
        <v>9.9547511312217188E-2</v>
      </c>
      <c r="N161" s="830">
        <f t="shared" si="37"/>
        <v>0</v>
      </c>
      <c r="O161" s="832">
        <f t="shared" si="37"/>
        <v>8.8132635253054106E-2</v>
      </c>
      <c r="P161" s="832">
        <f t="shared" si="37"/>
        <v>0</v>
      </c>
      <c r="Q161" s="830">
        <f t="shared" si="37"/>
        <v>0</v>
      </c>
      <c r="R161" s="833">
        <f t="shared" si="37"/>
        <v>0</v>
      </c>
      <c r="S161" s="832">
        <f t="shared" si="37"/>
        <v>0</v>
      </c>
      <c r="T161" s="213"/>
      <c r="U161" s="349">
        <v>668</v>
      </c>
      <c r="V161" s="349">
        <v>287</v>
      </c>
      <c r="W161" s="349">
        <v>76</v>
      </c>
      <c r="X161" s="349"/>
      <c r="Y161" s="349">
        <v>141</v>
      </c>
      <c r="Z161" s="349">
        <v>348</v>
      </c>
      <c r="AA161" s="804">
        <v>1520</v>
      </c>
      <c r="AB161" s="804"/>
      <c r="AC161" s="349"/>
      <c r="AD161" s="349">
        <v>119</v>
      </c>
      <c r="AE161" s="349">
        <v>22</v>
      </c>
      <c r="AF161" s="349"/>
      <c r="AG161" s="804">
        <v>101</v>
      </c>
      <c r="AH161" s="804"/>
      <c r="AI161" s="349"/>
      <c r="AJ161" s="813"/>
      <c r="AK161" s="804"/>
      <c r="AL161" s="209"/>
      <c r="AM161" s="209"/>
    </row>
    <row r="162" spans="1:39" s="80" customFormat="1">
      <c r="A162" s="239"/>
      <c r="B162" s="239" t="s">
        <v>78</v>
      </c>
      <c r="C162" s="832">
        <f>IF(U164&gt;0,(U162/U164),0)</f>
        <v>0.16849529780564262</v>
      </c>
      <c r="D162" s="830">
        <f t="shared" ref="D162:S162" si="38">IF(V164&gt;0,(V162/V164),0)</f>
        <v>0.19174548581255374</v>
      </c>
      <c r="E162" s="830">
        <f t="shared" si="38"/>
        <v>0.30491803278688523</v>
      </c>
      <c r="F162" s="830">
        <f t="shared" si="38"/>
        <v>0</v>
      </c>
      <c r="G162" s="830">
        <f t="shared" si="38"/>
        <v>0.14677103718199608</v>
      </c>
      <c r="H162" s="830">
        <f t="shared" si="38"/>
        <v>4.3370508054522923E-2</v>
      </c>
      <c r="I162" s="832">
        <f t="shared" si="38"/>
        <v>0.16035968527538405</v>
      </c>
      <c r="J162" s="832">
        <f t="shared" si="38"/>
        <v>0</v>
      </c>
      <c r="K162" s="830">
        <f t="shared" si="38"/>
        <v>0.55492957746478877</v>
      </c>
      <c r="L162" s="830">
        <f t="shared" si="38"/>
        <v>0.24756335282651071</v>
      </c>
      <c r="M162" s="830">
        <f t="shared" si="38"/>
        <v>0.25791855203619912</v>
      </c>
      <c r="N162" s="830">
        <f t="shared" si="38"/>
        <v>0</v>
      </c>
      <c r="O162" s="832">
        <f t="shared" si="38"/>
        <v>0.20069808027923211</v>
      </c>
      <c r="P162" s="832">
        <f t="shared" si="38"/>
        <v>0</v>
      </c>
      <c r="Q162" s="830">
        <f t="shared" si="38"/>
        <v>0</v>
      </c>
      <c r="R162" s="833">
        <f t="shared" si="38"/>
        <v>0</v>
      </c>
      <c r="S162" s="832">
        <f t="shared" si="38"/>
        <v>0</v>
      </c>
      <c r="T162" s="213"/>
      <c r="U162" s="349">
        <v>430</v>
      </c>
      <c r="V162" s="349">
        <v>223</v>
      </c>
      <c r="W162" s="349">
        <v>93</v>
      </c>
      <c r="X162" s="349"/>
      <c r="Y162" s="349">
        <v>75</v>
      </c>
      <c r="Z162" s="349">
        <v>35</v>
      </c>
      <c r="AA162" s="804">
        <v>856</v>
      </c>
      <c r="AB162" s="804"/>
      <c r="AC162" s="349">
        <v>197</v>
      </c>
      <c r="AD162" s="349">
        <v>127</v>
      </c>
      <c r="AE162" s="349">
        <v>57</v>
      </c>
      <c r="AF162" s="349"/>
      <c r="AG162" s="804">
        <v>230</v>
      </c>
      <c r="AH162" s="804"/>
      <c r="AI162" s="349"/>
      <c r="AJ162" s="813"/>
      <c r="AK162" s="804"/>
      <c r="AL162" s="209"/>
      <c r="AM162" s="209"/>
    </row>
    <row r="163" spans="1:39" s="80" customFormat="1">
      <c r="A163" s="580"/>
      <c r="B163" s="580" t="s">
        <v>131</v>
      </c>
      <c r="C163" s="832">
        <f>IF(U164&gt;0,(U163/U164),0)</f>
        <v>0</v>
      </c>
      <c r="D163" s="830">
        <f t="shared" ref="D163:S163" si="39">IF(V164&gt;0,(V163/V164),0)</f>
        <v>8.6844368013757528E-2</v>
      </c>
      <c r="E163" s="830">
        <f t="shared" si="39"/>
        <v>9.8360655737704927E-3</v>
      </c>
      <c r="F163" s="830">
        <f t="shared" si="39"/>
        <v>0</v>
      </c>
      <c r="G163" s="830">
        <f t="shared" si="39"/>
        <v>9.7847358121330719E-2</v>
      </c>
      <c r="H163" s="830">
        <f t="shared" si="39"/>
        <v>8.9219330855018583E-2</v>
      </c>
      <c r="I163" s="832">
        <f t="shared" si="39"/>
        <v>4.2337954289996253E-2</v>
      </c>
      <c r="J163" s="832">
        <f t="shared" si="39"/>
        <v>0</v>
      </c>
      <c r="K163" s="830">
        <f t="shared" si="39"/>
        <v>0.44507042253521129</v>
      </c>
      <c r="L163" s="830">
        <f t="shared" si="39"/>
        <v>0.20077972709551656</v>
      </c>
      <c r="M163" s="830">
        <f t="shared" si="39"/>
        <v>0.57466063348416285</v>
      </c>
      <c r="N163" s="830">
        <f t="shared" si="39"/>
        <v>0</v>
      </c>
      <c r="O163" s="832">
        <f t="shared" si="39"/>
        <v>0.35165794066317624</v>
      </c>
      <c r="P163" s="832">
        <f t="shared" si="39"/>
        <v>0</v>
      </c>
      <c r="Q163" s="830">
        <f t="shared" si="39"/>
        <v>0</v>
      </c>
      <c r="R163" s="833">
        <f t="shared" si="39"/>
        <v>0</v>
      </c>
      <c r="S163" s="832">
        <f t="shared" si="39"/>
        <v>0</v>
      </c>
      <c r="T163" s="213"/>
      <c r="U163" s="349"/>
      <c r="V163" s="349">
        <v>101</v>
      </c>
      <c r="W163" s="349">
        <v>3</v>
      </c>
      <c r="X163" s="349"/>
      <c r="Y163" s="349">
        <v>50</v>
      </c>
      <c r="Z163" s="349">
        <v>72</v>
      </c>
      <c r="AA163" s="804">
        <v>226</v>
      </c>
      <c r="AB163" s="804"/>
      <c r="AC163" s="349">
        <v>158</v>
      </c>
      <c r="AD163" s="349">
        <v>103</v>
      </c>
      <c r="AE163" s="349">
        <v>127</v>
      </c>
      <c r="AF163" s="349"/>
      <c r="AG163" s="804">
        <v>403</v>
      </c>
      <c r="AH163" s="804"/>
      <c r="AI163" s="349"/>
      <c r="AJ163" s="813"/>
      <c r="AK163" s="804"/>
      <c r="AL163" s="209"/>
      <c r="AM163" s="209"/>
    </row>
    <row r="164" spans="1:39" s="80" customFormat="1">
      <c r="A164" s="436"/>
      <c r="B164" s="436" t="s">
        <v>59</v>
      </c>
      <c r="C164" s="834">
        <f>IF(U164&gt;0,(U164/U164),0)</f>
        <v>1</v>
      </c>
      <c r="D164" s="835">
        <f t="shared" ref="D164:S164" si="40">IF(V164&gt;0,(V164/V164),0)</f>
        <v>1</v>
      </c>
      <c r="E164" s="835">
        <f t="shared" si="40"/>
        <v>1</v>
      </c>
      <c r="F164" s="835">
        <f t="shared" si="40"/>
        <v>0</v>
      </c>
      <c r="G164" s="835">
        <f t="shared" si="40"/>
        <v>1</v>
      </c>
      <c r="H164" s="835">
        <f t="shared" si="40"/>
        <v>1</v>
      </c>
      <c r="I164" s="834">
        <f t="shared" si="40"/>
        <v>1</v>
      </c>
      <c r="J164" s="834">
        <f t="shared" si="40"/>
        <v>0</v>
      </c>
      <c r="K164" s="835">
        <f t="shared" si="40"/>
        <v>1</v>
      </c>
      <c r="L164" s="835">
        <f t="shared" si="40"/>
        <v>1</v>
      </c>
      <c r="M164" s="835">
        <f t="shared" si="40"/>
        <v>1</v>
      </c>
      <c r="N164" s="835">
        <f t="shared" si="40"/>
        <v>0</v>
      </c>
      <c r="O164" s="834">
        <f t="shared" si="40"/>
        <v>1</v>
      </c>
      <c r="P164" s="834">
        <f t="shared" si="40"/>
        <v>0</v>
      </c>
      <c r="Q164" s="835">
        <f t="shared" si="40"/>
        <v>0</v>
      </c>
      <c r="R164" s="836">
        <f t="shared" si="40"/>
        <v>0</v>
      </c>
      <c r="S164" s="834">
        <f t="shared" si="40"/>
        <v>0</v>
      </c>
      <c r="T164" s="213"/>
      <c r="U164" s="816">
        <v>2552</v>
      </c>
      <c r="V164" s="816">
        <v>1163</v>
      </c>
      <c r="W164" s="816">
        <v>305</v>
      </c>
      <c r="X164" s="816"/>
      <c r="Y164" s="816">
        <v>511</v>
      </c>
      <c r="Z164" s="816">
        <v>807</v>
      </c>
      <c r="AA164" s="805">
        <v>5338</v>
      </c>
      <c r="AB164" s="805"/>
      <c r="AC164" s="816">
        <v>355</v>
      </c>
      <c r="AD164" s="816">
        <v>513</v>
      </c>
      <c r="AE164" s="816">
        <v>221</v>
      </c>
      <c r="AF164" s="816"/>
      <c r="AG164" s="805">
        <v>1146</v>
      </c>
      <c r="AH164" s="805"/>
      <c r="AI164" s="816"/>
      <c r="AJ164" s="817"/>
      <c r="AK164" s="805"/>
      <c r="AL164" s="209"/>
      <c r="AM164" s="209"/>
    </row>
    <row r="165" spans="1:39" s="80" customFormat="1">
      <c r="A165" s="240" t="s">
        <v>141</v>
      </c>
      <c r="B165" s="240" t="s">
        <v>53</v>
      </c>
      <c r="C165" s="829">
        <f>IF(U170&gt;0,(U165/U170),0)</f>
        <v>0.4041272570937231</v>
      </c>
      <c r="D165" s="830">
        <f t="shared" ref="D165:S165" si="41">IF(V170&gt;0,(V165/V170),0)</f>
        <v>0</v>
      </c>
      <c r="E165" s="830">
        <f t="shared" si="41"/>
        <v>0</v>
      </c>
      <c r="F165" s="830">
        <f t="shared" si="41"/>
        <v>0</v>
      </c>
      <c r="G165" s="830">
        <f t="shared" si="41"/>
        <v>0</v>
      </c>
      <c r="H165" s="830">
        <f t="shared" si="41"/>
        <v>0.29230769230769232</v>
      </c>
      <c r="I165" s="829">
        <f t="shared" si="41"/>
        <v>0.38369641602248772</v>
      </c>
      <c r="J165" s="829">
        <f t="shared" si="41"/>
        <v>0</v>
      </c>
      <c r="K165" s="830">
        <f t="shared" si="41"/>
        <v>0</v>
      </c>
      <c r="L165" s="830">
        <f t="shared" si="41"/>
        <v>0.32222222222222224</v>
      </c>
      <c r="M165" s="830">
        <f t="shared" si="41"/>
        <v>0.27106227106227104</v>
      </c>
      <c r="N165" s="830">
        <f t="shared" si="41"/>
        <v>0</v>
      </c>
      <c r="O165" s="829">
        <f t="shared" si="41"/>
        <v>0.28020565552699228</v>
      </c>
      <c r="P165" s="829">
        <f t="shared" si="41"/>
        <v>0</v>
      </c>
      <c r="Q165" s="830">
        <f t="shared" si="41"/>
        <v>0</v>
      </c>
      <c r="R165" s="831">
        <f t="shared" si="41"/>
        <v>0</v>
      </c>
      <c r="S165" s="829">
        <f t="shared" si="41"/>
        <v>0</v>
      </c>
      <c r="T165" s="213"/>
      <c r="U165" s="349">
        <v>470</v>
      </c>
      <c r="V165" s="349"/>
      <c r="W165" s="349"/>
      <c r="X165" s="349"/>
      <c r="Y165" s="349"/>
      <c r="Z165" s="349">
        <v>76</v>
      </c>
      <c r="AA165" s="803">
        <v>546</v>
      </c>
      <c r="AB165" s="803"/>
      <c r="AC165" s="349"/>
      <c r="AD165" s="349">
        <v>145</v>
      </c>
      <c r="AE165" s="349">
        <v>74</v>
      </c>
      <c r="AF165" s="349"/>
      <c r="AG165" s="803">
        <v>218</v>
      </c>
      <c r="AH165" s="803"/>
      <c r="AI165" s="349"/>
      <c r="AJ165" s="812"/>
      <c r="AK165" s="803"/>
      <c r="AL165" s="209"/>
      <c r="AM165" s="209"/>
    </row>
    <row r="166" spans="1:39" s="80" customFormat="1">
      <c r="A166" s="239"/>
      <c r="B166" s="239" t="s">
        <v>93</v>
      </c>
      <c r="C166" s="832">
        <f>IF(U170&gt;0,(U166/U170),0)</f>
        <v>0.2545141874462597</v>
      </c>
      <c r="D166" s="830">
        <f t="shared" ref="D166:S166" si="42">IF(V170&gt;0,(V166/V170),0)</f>
        <v>0</v>
      </c>
      <c r="E166" s="830">
        <f t="shared" si="42"/>
        <v>0</v>
      </c>
      <c r="F166" s="830">
        <f t="shared" si="42"/>
        <v>0</v>
      </c>
      <c r="G166" s="830">
        <f t="shared" si="42"/>
        <v>0</v>
      </c>
      <c r="H166" s="830">
        <f t="shared" si="42"/>
        <v>0.2076923076923077</v>
      </c>
      <c r="I166" s="832">
        <f t="shared" si="42"/>
        <v>0.24595924104005623</v>
      </c>
      <c r="J166" s="832">
        <f t="shared" si="42"/>
        <v>0</v>
      </c>
      <c r="K166" s="830">
        <f t="shared" si="42"/>
        <v>0</v>
      </c>
      <c r="L166" s="830">
        <f t="shared" si="42"/>
        <v>0.16</v>
      </c>
      <c r="M166" s="830">
        <f t="shared" si="42"/>
        <v>0.15384615384615385</v>
      </c>
      <c r="N166" s="830">
        <f t="shared" si="42"/>
        <v>0</v>
      </c>
      <c r="O166" s="832">
        <f t="shared" si="42"/>
        <v>0.15809768637532134</v>
      </c>
      <c r="P166" s="832">
        <f t="shared" si="42"/>
        <v>0</v>
      </c>
      <c r="Q166" s="830">
        <f t="shared" si="42"/>
        <v>0</v>
      </c>
      <c r="R166" s="833">
        <f t="shared" si="42"/>
        <v>0</v>
      </c>
      <c r="S166" s="832">
        <f t="shared" si="42"/>
        <v>0</v>
      </c>
      <c r="T166" s="213"/>
      <c r="U166" s="349">
        <v>296</v>
      </c>
      <c r="V166" s="349"/>
      <c r="W166" s="349"/>
      <c r="X166" s="349"/>
      <c r="Y166" s="349"/>
      <c r="Z166" s="349">
        <v>54</v>
      </c>
      <c r="AA166" s="804">
        <v>350</v>
      </c>
      <c r="AB166" s="804"/>
      <c r="AC166" s="349"/>
      <c r="AD166" s="349">
        <v>72</v>
      </c>
      <c r="AE166" s="349">
        <v>42</v>
      </c>
      <c r="AF166" s="349"/>
      <c r="AG166" s="804">
        <v>123</v>
      </c>
      <c r="AH166" s="804"/>
      <c r="AI166" s="349"/>
      <c r="AJ166" s="813"/>
      <c r="AK166" s="804"/>
      <c r="AL166" s="209"/>
      <c r="AM166" s="209"/>
    </row>
    <row r="167" spans="1:39" s="80" customFormat="1">
      <c r="A167" s="239"/>
      <c r="B167" s="239" t="s">
        <v>55</v>
      </c>
      <c r="C167" s="832">
        <f>IF(U170&gt;0,(U167/U170),0)</f>
        <v>0.2519346517626827</v>
      </c>
      <c r="D167" s="830">
        <f t="shared" ref="D167:S167" si="43">IF(V170&gt;0,(V167/V170),0)</f>
        <v>0</v>
      </c>
      <c r="E167" s="830">
        <f t="shared" si="43"/>
        <v>0</v>
      </c>
      <c r="F167" s="830">
        <f t="shared" si="43"/>
        <v>0</v>
      </c>
      <c r="G167" s="830">
        <f t="shared" si="43"/>
        <v>0</v>
      </c>
      <c r="H167" s="830">
        <f t="shared" si="43"/>
        <v>0.37692307692307692</v>
      </c>
      <c r="I167" s="832">
        <f t="shared" si="43"/>
        <v>0.27477160927617711</v>
      </c>
      <c r="J167" s="832">
        <f t="shared" si="43"/>
        <v>0</v>
      </c>
      <c r="K167" s="830">
        <f t="shared" si="43"/>
        <v>0</v>
      </c>
      <c r="L167" s="830">
        <f t="shared" si="43"/>
        <v>0.22</v>
      </c>
      <c r="M167" s="830">
        <f t="shared" si="43"/>
        <v>0.27106227106227104</v>
      </c>
      <c r="N167" s="830">
        <f t="shared" si="43"/>
        <v>0</v>
      </c>
      <c r="O167" s="832">
        <f t="shared" si="43"/>
        <v>0.2236503856041131</v>
      </c>
      <c r="P167" s="832">
        <f t="shared" si="43"/>
        <v>0</v>
      </c>
      <c r="Q167" s="830">
        <f t="shared" si="43"/>
        <v>0</v>
      </c>
      <c r="R167" s="833">
        <f t="shared" si="43"/>
        <v>0</v>
      </c>
      <c r="S167" s="832">
        <f t="shared" si="43"/>
        <v>0</v>
      </c>
      <c r="T167" s="213"/>
      <c r="U167" s="349">
        <v>293</v>
      </c>
      <c r="V167" s="349"/>
      <c r="W167" s="349"/>
      <c r="X167" s="349"/>
      <c r="Y167" s="349"/>
      <c r="Z167" s="349">
        <v>98</v>
      </c>
      <c r="AA167" s="804">
        <v>391</v>
      </c>
      <c r="AB167" s="804"/>
      <c r="AC167" s="349"/>
      <c r="AD167" s="349">
        <v>99</v>
      </c>
      <c r="AE167" s="349">
        <v>74</v>
      </c>
      <c r="AF167" s="349"/>
      <c r="AG167" s="804">
        <v>174</v>
      </c>
      <c r="AH167" s="804"/>
      <c r="AI167" s="349"/>
      <c r="AJ167" s="813"/>
      <c r="AK167" s="804"/>
      <c r="AL167" s="209"/>
      <c r="AM167" s="209"/>
    </row>
    <row r="168" spans="1:39" s="80" customFormat="1">
      <c r="A168" s="239"/>
      <c r="B168" s="239" t="s">
        <v>78</v>
      </c>
      <c r="C168" s="832">
        <f>IF(U170&gt;0,(U168/U170),0)</f>
        <v>8.9423903697334481E-2</v>
      </c>
      <c r="D168" s="830">
        <f t="shared" ref="D168:S168" si="44">IF(V170&gt;0,(V168/V170),0)</f>
        <v>0</v>
      </c>
      <c r="E168" s="830">
        <f t="shared" si="44"/>
        <v>0</v>
      </c>
      <c r="F168" s="830">
        <f t="shared" si="44"/>
        <v>0</v>
      </c>
      <c r="G168" s="830">
        <f t="shared" si="44"/>
        <v>0</v>
      </c>
      <c r="H168" s="830">
        <f t="shared" si="44"/>
        <v>0.12307692307692308</v>
      </c>
      <c r="I168" s="832">
        <f t="shared" si="44"/>
        <v>9.5572733661278983E-2</v>
      </c>
      <c r="J168" s="832">
        <f t="shared" si="44"/>
        <v>0</v>
      </c>
      <c r="K168" s="830">
        <f t="shared" si="44"/>
        <v>0</v>
      </c>
      <c r="L168" s="830">
        <f t="shared" si="44"/>
        <v>0.29777777777777775</v>
      </c>
      <c r="M168" s="830">
        <f t="shared" si="44"/>
        <v>0.304029304029304</v>
      </c>
      <c r="N168" s="830">
        <f t="shared" si="44"/>
        <v>0</v>
      </c>
      <c r="O168" s="832">
        <f t="shared" si="44"/>
        <v>0.33804627249357327</v>
      </c>
      <c r="P168" s="832">
        <f t="shared" si="44"/>
        <v>0</v>
      </c>
      <c r="Q168" s="830">
        <f t="shared" si="44"/>
        <v>0</v>
      </c>
      <c r="R168" s="833">
        <f t="shared" si="44"/>
        <v>0</v>
      </c>
      <c r="S168" s="832">
        <f t="shared" si="44"/>
        <v>0</v>
      </c>
      <c r="T168" s="213"/>
      <c r="U168" s="349">
        <v>104</v>
      </c>
      <c r="V168" s="349"/>
      <c r="W168" s="349"/>
      <c r="X168" s="349"/>
      <c r="Y168" s="349"/>
      <c r="Z168" s="349">
        <v>32</v>
      </c>
      <c r="AA168" s="804">
        <v>136</v>
      </c>
      <c r="AB168" s="804"/>
      <c r="AC168" s="349"/>
      <c r="AD168" s="349">
        <v>134</v>
      </c>
      <c r="AE168" s="349">
        <v>83</v>
      </c>
      <c r="AF168" s="349"/>
      <c r="AG168" s="804">
        <v>263</v>
      </c>
      <c r="AH168" s="804"/>
      <c r="AI168" s="349"/>
      <c r="AJ168" s="813"/>
      <c r="AK168" s="804"/>
      <c r="AL168" s="209"/>
      <c r="AM168" s="209"/>
    </row>
    <row r="169" spans="1:39" s="80" customFormat="1">
      <c r="A169" s="580"/>
      <c r="B169" s="580" t="s">
        <v>131</v>
      </c>
      <c r="C169" s="832">
        <f>IF(U170&gt;0,(U169/U170),0)</f>
        <v>0</v>
      </c>
      <c r="D169" s="830">
        <f t="shared" ref="D169:S169" si="45">IF(V170&gt;0,(V169/V170),0)</f>
        <v>0</v>
      </c>
      <c r="E169" s="830">
        <f t="shared" si="45"/>
        <v>0</v>
      </c>
      <c r="F169" s="830">
        <f t="shared" si="45"/>
        <v>0</v>
      </c>
      <c r="G169" s="830">
        <f t="shared" si="45"/>
        <v>0</v>
      </c>
      <c r="H169" s="830">
        <f t="shared" si="45"/>
        <v>0</v>
      </c>
      <c r="I169" s="832">
        <f t="shared" si="45"/>
        <v>0</v>
      </c>
      <c r="J169" s="832">
        <f t="shared" si="45"/>
        <v>0</v>
      </c>
      <c r="K169" s="830">
        <f t="shared" si="45"/>
        <v>0</v>
      </c>
      <c r="L169" s="830">
        <f t="shared" si="45"/>
        <v>0</v>
      </c>
      <c r="M169" s="830">
        <f t="shared" si="45"/>
        <v>0</v>
      </c>
      <c r="N169" s="830">
        <f t="shared" si="45"/>
        <v>0</v>
      </c>
      <c r="O169" s="832">
        <f t="shared" si="45"/>
        <v>0</v>
      </c>
      <c r="P169" s="832">
        <f t="shared" si="45"/>
        <v>0</v>
      </c>
      <c r="Q169" s="830">
        <f t="shared" si="45"/>
        <v>0</v>
      </c>
      <c r="R169" s="833">
        <f t="shared" si="45"/>
        <v>0</v>
      </c>
      <c r="S169" s="832">
        <f t="shared" si="45"/>
        <v>0</v>
      </c>
      <c r="T169" s="213"/>
      <c r="U169" s="349"/>
      <c r="V169" s="349"/>
      <c r="W169" s="349"/>
      <c r="X169" s="349"/>
      <c r="Y169" s="349"/>
      <c r="Z169" s="349"/>
      <c r="AA169" s="804"/>
      <c r="AB169" s="804"/>
      <c r="AC169" s="349"/>
      <c r="AD169" s="349"/>
      <c r="AE169" s="349"/>
      <c r="AF169" s="349"/>
      <c r="AG169" s="804"/>
      <c r="AH169" s="804"/>
      <c r="AI169" s="349"/>
      <c r="AJ169" s="813"/>
      <c r="AK169" s="804"/>
      <c r="AL169" s="209"/>
      <c r="AM169" s="209"/>
    </row>
    <row r="170" spans="1:39" s="80" customFormat="1">
      <c r="A170" s="436"/>
      <c r="B170" s="436" t="s">
        <v>59</v>
      </c>
      <c r="C170" s="834">
        <f>IF(U170&gt;0,(U170/U170),0)</f>
        <v>1</v>
      </c>
      <c r="D170" s="835">
        <f t="shared" ref="D170:S170" si="46">IF(V170&gt;0,(V170/V170),0)</f>
        <v>0</v>
      </c>
      <c r="E170" s="835">
        <f t="shared" si="46"/>
        <v>0</v>
      </c>
      <c r="F170" s="835">
        <f t="shared" si="46"/>
        <v>0</v>
      </c>
      <c r="G170" s="835">
        <f t="shared" si="46"/>
        <v>0</v>
      </c>
      <c r="H170" s="835">
        <f t="shared" si="46"/>
        <v>1</v>
      </c>
      <c r="I170" s="834">
        <f t="shared" si="46"/>
        <v>1</v>
      </c>
      <c r="J170" s="834">
        <f t="shared" si="46"/>
        <v>0</v>
      </c>
      <c r="K170" s="835">
        <f t="shared" si="46"/>
        <v>0</v>
      </c>
      <c r="L170" s="835">
        <f t="shared" si="46"/>
        <v>1</v>
      </c>
      <c r="M170" s="835">
        <f t="shared" si="46"/>
        <v>1</v>
      </c>
      <c r="N170" s="835">
        <f t="shared" si="46"/>
        <v>0</v>
      </c>
      <c r="O170" s="834">
        <f t="shared" si="46"/>
        <v>1</v>
      </c>
      <c r="P170" s="834">
        <f t="shared" si="46"/>
        <v>0</v>
      </c>
      <c r="Q170" s="835">
        <f t="shared" si="46"/>
        <v>0</v>
      </c>
      <c r="R170" s="836">
        <f t="shared" si="46"/>
        <v>0</v>
      </c>
      <c r="S170" s="834">
        <f t="shared" si="46"/>
        <v>0</v>
      </c>
      <c r="T170" s="213"/>
      <c r="U170" s="816">
        <v>1163</v>
      </c>
      <c r="V170" s="816"/>
      <c r="W170" s="816"/>
      <c r="X170" s="816"/>
      <c r="Y170" s="816"/>
      <c r="Z170" s="816">
        <v>260</v>
      </c>
      <c r="AA170" s="805">
        <v>1423</v>
      </c>
      <c r="AB170" s="805"/>
      <c r="AC170" s="816"/>
      <c r="AD170" s="816">
        <v>450</v>
      </c>
      <c r="AE170" s="816">
        <v>273</v>
      </c>
      <c r="AF170" s="816"/>
      <c r="AG170" s="805">
        <v>778</v>
      </c>
      <c r="AH170" s="805"/>
      <c r="AI170" s="816"/>
      <c r="AJ170" s="817"/>
      <c r="AK170" s="805"/>
      <c r="AL170" s="209"/>
      <c r="AM170" s="209"/>
    </row>
    <row r="171" spans="1:39" s="80" customFormat="1">
      <c r="A171" s="240" t="s">
        <v>143</v>
      </c>
      <c r="B171" s="240" t="s">
        <v>53</v>
      </c>
      <c r="C171" s="829">
        <f>IF(U176&gt;0,(U171/U176),0)</f>
        <v>0</v>
      </c>
      <c r="D171" s="830">
        <f t="shared" ref="D171:S171" si="47">IF(V176&gt;0,(V171/V176),0)</f>
        <v>0.29032258064516131</v>
      </c>
      <c r="E171" s="830">
        <f t="shared" si="47"/>
        <v>0.21717990275526741</v>
      </c>
      <c r="F171" s="830">
        <f t="shared" si="47"/>
        <v>0</v>
      </c>
      <c r="G171" s="830">
        <f t="shared" si="47"/>
        <v>0</v>
      </c>
      <c r="H171" s="830">
        <f t="shared" si="47"/>
        <v>0.34246575342465752</v>
      </c>
      <c r="I171" s="829">
        <f t="shared" si="47"/>
        <v>0.27129817444219068</v>
      </c>
      <c r="J171" s="829">
        <f t="shared" si="47"/>
        <v>0</v>
      </c>
      <c r="K171" s="830">
        <f t="shared" si="47"/>
        <v>0</v>
      </c>
      <c r="L171" s="830">
        <f t="shared" si="47"/>
        <v>0.1672473867595819</v>
      </c>
      <c r="M171" s="830">
        <f t="shared" si="47"/>
        <v>0</v>
      </c>
      <c r="N171" s="830">
        <f t="shared" si="47"/>
        <v>0</v>
      </c>
      <c r="O171" s="829">
        <f t="shared" si="47"/>
        <v>0.12290502793296089</v>
      </c>
      <c r="P171" s="829">
        <f t="shared" si="47"/>
        <v>0</v>
      </c>
      <c r="Q171" s="830">
        <f t="shared" si="47"/>
        <v>0</v>
      </c>
      <c r="R171" s="831">
        <f t="shared" si="47"/>
        <v>0</v>
      </c>
      <c r="S171" s="829">
        <f t="shared" si="47"/>
        <v>0</v>
      </c>
      <c r="T171" s="213"/>
      <c r="U171" s="349"/>
      <c r="V171" s="349">
        <v>351</v>
      </c>
      <c r="W171" s="349">
        <v>134</v>
      </c>
      <c r="X171" s="349"/>
      <c r="Y171" s="349"/>
      <c r="Z171" s="349">
        <v>50</v>
      </c>
      <c r="AA171" s="803">
        <v>535</v>
      </c>
      <c r="AB171" s="803"/>
      <c r="AC171" s="349"/>
      <c r="AD171" s="349">
        <v>48</v>
      </c>
      <c r="AE171" s="349"/>
      <c r="AF171" s="349"/>
      <c r="AG171" s="803">
        <v>44</v>
      </c>
      <c r="AH171" s="803"/>
      <c r="AI171" s="349"/>
      <c r="AJ171" s="812"/>
      <c r="AK171" s="803"/>
      <c r="AL171" s="209"/>
      <c r="AM171" s="209"/>
    </row>
    <row r="172" spans="1:39" s="80" customFormat="1">
      <c r="A172" s="239"/>
      <c r="B172" s="239" t="s">
        <v>93</v>
      </c>
      <c r="C172" s="832">
        <f>IF(U176&gt;0,(U172/U176),0)</f>
        <v>0</v>
      </c>
      <c r="D172" s="830">
        <f t="shared" ref="D172:S172" si="48">IF(V176&gt;0,(V172/V176),0)</f>
        <v>0.21918941273779982</v>
      </c>
      <c r="E172" s="830">
        <f t="shared" si="48"/>
        <v>0.28849270664505672</v>
      </c>
      <c r="F172" s="830">
        <f t="shared" si="48"/>
        <v>0</v>
      </c>
      <c r="G172" s="830">
        <f t="shared" si="48"/>
        <v>0</v>
      </c>
      <c r="H172" s="830">
        <f t="shared" si="48"/>
        <v>0.28767123287671231</v>
      </c>
      <c r="I172" s="832">
        <f t="shared" si="48"/>
        <v>0.24594320486815416</v>
      </c>
      <c r="J172" s="832">
        <f t="shared" si="48"/>
        <v>0</v>
      </c>
      <c r="K172" s="830">
        <f t="shared" si="48"/>
        <v>0</v>
      </c>
      <c r="L172" s="830">
        <f t="shared" si="48"/>
        <v>9.0592334494773524E-2</v>
      </c>
      <c r="M172" s="830">
        <f t="shared" si="48"/>
        <v>0</v>
      </c>
      <c r="N172" s="830">
        <f t="shared" si="48"/>
        <v>0</v>
      </c>
      <c r="O172" s="832">
        <f t="shared" si="48"/>
        <v>0.10335195530726257</v>
      </c>
      <c r="P172" s="832">
        <f t="shared" si="48"/>
        <v>0</v>
      </c>
      <c r="Q172" s="830">
        <f t="shared" si="48"/>
        <v>0</v>
      </c>
      <c r="R172" s="833">
        <f t="shared" si="48"/>
        <v>0</v>
      </c>
      <c r="S172" s="832">
        <f t="shared" si="48"/>
        <v>0</v>
      </c>
      <c r="T172" s="213"/>
      <c r="U172" s="349"/>
      <c r="V172" s="349">
        <v>265</v>
      </c>
      <c r="W172" s="349">
        <v>178</v>
      </c>
      <c r="X172" s="349"/>
      <c r="Y172" s="349"/>
      <c r="Z172" s="349">
        <v>42</v>
      </c>
      <c r="AA172" s="804">
        <v>485</v>
      </c>
      <c r="AB172" s="804"/>
      <c r="AC172" s="349"/>
      <c r="AD172" s="349">
        <v>26</v>
      </c>
      <c r="AE172" s="349"/>
      <c r="AF172" s="349"/>
      <c r="AG172" s="804">
        <v>37</v>
      </c>
      <c r="AH172" s="804"/>
      <c r="AI172" s="349"/>
      <c r="AJ172" s="813"/>
      <c r="AK172" s="804"/>
      <c r="AL172" s="209"/>
      <c r="AM172" s="209"/>
    </row>
    <row r="173" spans="1:39" s="80" customFormat="1">
      <c r="A173" s="239"/>
      <c r="B173" s="239" t="s">
        <v>55</v>
      </c>
      <c r="C173" s="832">
        <f>IF(U176&gt;0,(U173/U176),0)</f>
        <v>0</v>
      </c>
      <c r="D173" s="830">
        <f t="shared" ref="D173:S173" si="49">IF(V176&gt;0,(V173/V176),0)</f>
        <v>0.23159636062861869</v>
      </c>
      <c r="E173" s="830">
        <f t="shared" si="49"/>
        <v>0.23662884927066449</v>
      </c>
      <c r="F173" s="830">
        <f t="shared" si="49"/>
        <v>0</v>
      </c>
      <c r="G173" s="830">
        <f t="shared" si="49"/>
        <v>0</v>
      </c>
      <c r="H173" s="830">
        <f t="shared" si="49"/>
        <v>0.24657534246575341</v>
      </c>
      <c r="I173" s="832">
        <f t="shared" si="49"/>
        <v>0.23427991886409735</v>
      </c>
      <c r="J173" s="832">
        <f t="shared" si="49"/>
        <v>0</v>
      </c>
      <c r="K173" s="830">
        <f t="shared" si="49"/>
        <v>0</v>
      </c>
      <c r="L173" s="830">
        <f t="shared" si="49"/>
        <v>0.16027874564459929</v>
      </c>
      <c r="M173" s="830">
        <f t="shared" si="49"/>
        <v>0</v>
      </c>
      <c r="N173" s="830">
        <f t="shared" si="49"/>
        <v>0</v>
      </c>
      <c r="O173" s="832">
        <f t="shared" si="49"/>
        <v>0.10614525139664804</v>
      </c>
      <c r="P173" s="832">
        <f t="shared" si="49"/>
        <v>0</v>
      </c>
      <c r="Q173" s="830">
        <f t="shared" si="49"/>
        <v>0</v>
      </c>
      <c r="R173" s="833">
        <f t="shared" si="49"/>
        <v>0</v>
      </c>
      <c r="S173" s="832">
        <f t="shared" si="49"/>
        <v>0</v>
      </c>
      <c r="T173" s="213"/>
      <c r="U173" s="349"/>
      <c r="V173" s="349">
        <v>280</v>
      </c>
      <c r="W173" s="349">
        <v>146</v>
      </c>
      <c r="X173" s="349"/>
      <c r="Y173" s="349"/>
      <c r="Z173" s="349">
        <v>36</v>
      </c>
      <c r="AA173" s="804">
        <v>462</v>
      </c>
      <c r="AB173" s="804"/>
      <c r="AC173" s="349"/>
      <c r="AD173" s="349">
        <v>46</v>
      </c>
      <c r="AE173" s="349"/>
      <c r="AF173" s="349"/>
      <c r="AG173" s="804">
        <v>38</v>
      </c>
      <c r="AH173" s="804"/>
      <c r="AI173" s="349"/>
      <c r="AJ173" s="813"/>
      <c r="AK173" s="804"/>
      <c r="AL173" s="209"/>
      <c r="AM173" s="209"/>
    </row>
    <row r="174" spans="1:39" s="80" customFormat="1">
      <c r="A174" s="239"/>
      <c r="B174" s="239" t="s">
        <v>78</v>
      </c>
      <c r="C174" s="832">
        <f>IF(U176&gt;0,(U174/U176),0)</f>
        <v>0</v>
      </c>
      <c r="D174" s="830">
        <f t="shared" ref="D174:S174" si="50">IF(V176&gt;0,(V174/V176),0)</f>
        <v>0.11000827129859388</v>
      </c>
      <c r="E174" s="830">
        <f t="shared" si="50"/>
        <v>0.12317666126418152</v>
      </c>
      <c r="F174" s="830">
        <f t="shared" si="50"/>
        <v>0</v>
      </c>
      <c r="G174" s="830">
        <f t="shared" si="50"/>
        <v>0</v>
      </c>
      <c r="H174" s="830">
        <f t="shared" si="50"/>
        <v>6.8493150684931503E-3</v>
      </c>
      <c r="I174" s="832">
        <f t="shared" si="50"/>
        <v>0.10649087221095335</v>
      </c>
      <c r="J174" s="832">
        <f t="shared" si="50"/>
        <v>0</v>
      </c>
      <c r="K174" s="830">
        <f t="shared" si="50"/>
        <v>0</v>
      </c>
      <c r="L174" s="830">
        <f t="shared" si="50"/>
        <v>0.58188153310104529</v>
      </c>
      <c r="M174" s="830">
        <f t="shared" si="50"/>
        <v>1</v>
      </c>
      <c r="N174" s="830">
        <f t="shared" si="50"/>
        <v>0</v>
      </c>
      <c r="O174" s="832">
        <f t="shared" si="50"/>
        <v>0.66759776536312854</v>
      </c>
      <c r="P174" s="832">
        <f t="shared" si="50"/>
        <v>0</v>
      </c>
      <c r="Q174" s="830">
        <f t="shared" si="50"/>
        <v>0</v>
      </c>
      <c r="R174" s="833">
        <f t="shared" si="50"/>
        <v>0</v>
      </c>
      <c r="S174" s="832">
        <f t="shared" si="50"/>
        <v>0</v>
      </c>
      <c r="T174" s="213"/>
      <c r="U174" s="349"/>
      <c r="V174" s="349">
        <v>133</v>
      </c>
      <c r="W174" s="349">
        <v>76</v>
      </c>
      <c r="X174" s="349"/>
      <c r="Y174" s="349"/>
      <c r="Z174" s="349">
        <v>1</v>
      </c>
      <c r="AA174" s="804">
        <v>210</v>
      </c>
      <c r="AB174" s="804"/>
      <c r="AC174" s="349"/>
      <c r="AD174" s="349">
        <v>167</v>
      </c>
      <c r="AE174" s="349">
        <v>41</v>
      </c>
      <c r="AF174" s="349"/>
      <c r="AG174" s="804">
        <v>239</v>
      </c>
      <c r="AH174" s="804"/>
      <c r="AI174" s="349"/>
      <c r="AJ174" s="813"/>
      <c r="AK174" s="804"/>
      <c r="AL174" s="209"/>
      <c r="AM174" s="209"/>
    </row>
    <row r="175" spans="1:39" s="80" customFormat="1">
      <c r="A175" s="580"/>
      <c r="B175" s="580" t="s">
        <v>131</v>
      </c>
      <c r="C175" s="832">
        <f>IF(U176&gt;0,(U175/U176),0)</f>
        <v>0</v>
      </c>
      <c r="D175" s="830">
        <f t="shared" ref="D175:S175" si="51">IF(V176&gt;0,(V175/V176),0)</f>
        <v>0.14888337468982629</v>
      </c>
      <c r="E175" s="830">
        <f t="shared" si="51"/>
        <v>0.13452188006482982</v>
      </c>
      <c r="F175" s="830">
        <f t="shared" si="51"/>
        <v>0</v>
      </c>
      <c r="G175" s="830">
        <f t="shared" si="51"/>
        <v>0</v>
      </c>
      <c r="H175" s="830">
        <f t="shared" si="51"/>
        <v>0.11643835616438356</v>
      </c>
      <c r="I175" s="832">
        <f t="shared" si="51"/>
        <v>0.14198782961460446</v>
      </c>
      <c r="J175" s="832">
        <f t="shared" si="51"/>
        <v>0</v>
      </c>
      <c r="K175" s="830">
        <f t="shared" si="51"/>
        <v>0</v>
      </c>
      <c r="L175" s="830">
        <f t="shared" si="51"/>
        <v>0</v>
      </c>
      <c r="M175" s="830">
        <f t="shared" si="51"/>
        <v>0</v>
      </c>
      <c r="N175" s="830">
        <f t="shared" si="51"/>
        <v>0</v>
      </c>
      <c r="O175" s="832">
        <f t="shared" si="51"/>
        <v>0</v>
      </c>
      <c r="P175" s="832">
        <f t="shared" si="51"/>
        <v>0</v>
      </c>
      <c r="Q175" s="830">
        <f t="shared" si="51"/>
        <v>0</v>
      </c>
      <c r="R175" s="833">
        <f t="shared" si="51"/>
        <v>0</v>
      </c>
      <c r="S175" s="832">
        <f t="shared" si="51"/>
        <v>0</v>
      </c>
      <c r="T175" s="213"/>
      <c r="U175" s="349"/>
      <c r="V175" s="349">
        <v>180</v>
      </c>
      <c r="W175" s="349">
        <v>83</v>
      </c>
      <c r="X175" s="349"/>
      <c r="Y175" s="349"/>
      <c r="Z175" s="349">
        <v>17</v>
      </c>
      <c r="AA175" s="804">
        <v>280</v>
      </c>
      <c r="AB175" s="804"/>
      <c r="AC175" s="349"/>
      <c r="AD175" s="349"/>
      <c r="AE175" s="349"/>
      <c r="AF175" s="349"/>
      <c r="AG175" s="804"/>
      <c r="AH175" s="804"/>
      <c r="AI175" s="349"/>
      <c r="AJ175" s="813"/>
      <c r="AK175" s="804"/>
      <c r="AL175" s="209"/>
      <c r="AM175" s="209"/>
    </row>
    <row r="176" spans="1:39" s="80" customFormat="1">
      <c r="A176" s="436"/>
      <c r="B176" s="436" t="s">
        <v>59</v>
      </c>
      <c r="C176" s="834">
        <f>IF(U176&gt;0,(U176/U176),0)</f>
        <v>0</v>
      </c>
      <c r="D176" s="835">
        <f t="shared" ref="D176:S176" si="52">IF(V176&gt;0,(V176/V176),0)</f>
        <v>1</v>
      </c>
      <c r="E176" s="835">
        <f t="shared" si="52"/>
        <v>1</v>
      </c>
      <c r="F176" s="835">
        <f t="shared" si="52"/>
        <v>0</v>
      </c>
      <c r="G176" s="835">
        <f t="shared" si="52"/>
        <v>0</v>
      </c>
      <c r="H176" s="835">
        <f t="shared" si="52"/>
        <v>1</v>
      </c>
      <c r="I176" s="834">
        <f t="shared" si="52"/>
        <v>1</v>
      </c>
      <c r="J176" s="834">
        <f t="shared" si="52"/>
        <v>0</v>
      </c>
      <c r="K176" s="835">
        <f t="shared" si="52"/>
        <v>0</v>
      </c>
      <c r="L176" s="835">
        <f t="shared" si="52"/>
        <v>1</v>
      </c>
      <c r="M176" s="835">
        <f t="shared" si="52"/>
        <v>1</v>
      </c>
      <c r="N176" s="835">
        <f t="shared" si="52"/>
        <v>0</v>
      </c>
      <c r="O176" s="834">
        <f t="shared" si="52"/>
        <v>1</v>
      </c>
      <c r="P176" s="834">
        <f t="shared" si="52"/>
        <v>0</v>
      </c>
      <c r="Q176" s="835">
        <f t="shared" si="52"/>
        <v>0</v>
      </c>
      <c r="R176" s="836">
        <f t="shared" si="52"/>
        <v>0</v>
      </c>
      <c r="S176" s="834">
        <f t="shared" si="52"/>
        <v>0</v>
      </c>
      <c r="T176" s="213"/>
      <c r="U176" s="816"/>
      <c r="V176" s="816">
        <v>1209</v>
      </c>
      <c r="W176" s="816">
        <v>617</v>
      </c>
      <c r="X176" s="816"/>
      <c r="Y176" s="816"/>
      <c r="Z176" s="816">
        <v>146</v>
      </c>
      <c r="AA176" s="805">
        <v>1972</v>
      </c>
      <c r="AB176" s="805"/>
      <c r="AC176" s="816"/>
      <c r="AD176" s="816">
        <v>287</v>
      </c>
      <c r="AE176" s="816">
        <v>41</v>
      </c>
      <c r="AF176" s="816"/>
      <c r="AG176" s="805">
        <v>358</v>
      </c>
      <c r="AH176" s="805"/>
      <c r="AI176" s="816"/>
      <c r="AJ176" s="817"/>
      <c r="AK176" s="805"/>
      <c r="AL176" s="209"/>
      <c r="AM176" s="209"/>
    </row>
    <row r="177" spans="1:39" s="80" customFormat="1">
      <c r="A177" s="240" t="s">
        <v>152</v>
      </c>
      <c r="B177" s="240" t="s">
        <v>53</v>
      </c>
      <c r="C177" s="829">
        <f>IF(U182&gt;0,(U177/U182),0)</f>
        <v>0</v>
      </c>
      <c r="D177" s="830">
        <f t="shared" ref="D177:S177" si="53">IF(V182&gt;0,(V177/V182),0)</f>
        <v>0.33242009132420092</v>
      </c>
      <c r="E177" s="830">
        <f t="shared" si="53"/>
        <v>0</v>
      </c>
      <c r="F177" s="830">
        <f t="shared" si="53"/>
        <v>0.25974025974025972</v>
      </c>
      <c r="G177" s="830">
        <f t="shared" si="53"/>
        <v>0.21301775147928995</v>
      </c>
      <c r="H177" s="830">
        <f t="shared" si="53"/>
        <v>0.28455284552845528</v>
      </c>
      <c r="I177" s="829">
        <f t="shared" si="53"/>
        <v>0.30824140168721609</v>
      </c>
      <c r="J177" s="829">
        <f t="shared" si="53"/>
        <v>0</v>
      </c>
      <c r="K177" s="830">
        <f t="shared" si="53"/>
        <v>0</v>
      </c>
      <c r="L177" s="830">
        <f t="shared" si="53"/>
        <v>0</v>
      </c>
      <c r="M177" s="830">
        <f t="shared" si="53"/>
        <v>4.5662100456621002E-3</v>
      </c>
      <c r="N177" s="830">
        <f t="shared" si="53"/>
        <v>0</v>
      </c>
      <c r="O177" s="829">
        <f t="shared" si="53"/>
        <v>0</v>
      </c>
      <c r="P177" s="829">
        <f t="shared" si="53"/>
        <v>0</v>
      </c>
      <c r="Q177" s="830">
        <f t="shared" si="53"/>
        <v>0</v>
      </c>
      <c r="R177" s="831">
        <f t="shared" si="53"/>
        <v>0</v>
      </c>
      <c r="S177" s="829">
        <f t="shared" si="53"/>
        <v>0</v>
      </c>
      <c r="T177" s="213"/>
      <c r="U177" s="349"/>
      <c r="V177" s="349">
        <v>364</v>
      </c>
      <c r="W177" s="349"/>
      <c r="X177" s="349">
        <v>40</v>
      </c>
      <c r="Y177" s="349">
        <v>36</v>
      </c>
      <c r="Z177" s="349">
        <v>35</v>
      </c>
      <c r="AA177" s="803">
        <v>475</v>
      </c>
      <c r="AB177" s="803"/>
      <c r="AC177" s="349"/>
      <c r="AD177" s="349"/>
      <c r="AE177" s="349">
        <v>1</v>
      </c>
      <c r="AF177" s="349"/>
      <c r="AG177" s="803"/>
      <c r="AH177" s="803"/>
      <c r="AI177" s="349"/>
      <c r="AJ177" s="812"/>
      <c r="AK177" s="803"/>
      <c r="AL177" s="209"/>
      <c r="AM177" s="209"/>
    </row>
    <row r="178" spans="1:39" s="80" customFormat="1">
      <c r="A178" s="239"/>
      <c r="B178" s="239" t="s">
        <v>93</v>
      </c>
      <c r="C178" s="832">
        <f>IF(U182&gt;0,(U178/U182),0)</f>
        <v>0</v>
      </c>
      <c r="D178" s="830">
        <f t="shared" ref="D178:S178" si="54">IF(V182&gt;0,(V178/V182),0)</f>
        <v>0.24200913242009131</v>
      </c>
      <c r="E178" s="830">
        <f t="shared" si="54"/>
        <v>0</v>
      </c>
      <c r="F178" s="830">
        <f t="shared" si="54"/>
        <v>0.15584415584415584</v>
      </c>
      <c r="G178" s="830">
        <f t="shared" si="54"/>
        <v>0.1242603550295858</v>
      </c>
      <c r="H178" s="830">
        <f t="shared" si="54"/>
        <v>0.2032520325203252</v>
      </c>
      <c r="I178" s="832">
        <f t="shared" si="54"/>
        <v>0.21739130434782608</v>
      </c>
      <c r="J178" s="832">
        <f t="shared" si="54"/>
        <v>0</v>
      </c>
      <c r="K178" s="830">
        <f t="shared" si="54"/>
        <v>0</v>
      </c>
      <c r="L178" s="830">
        <f t="shared" si="54"/>
        <v>0</v>
      </c>
      <c r="M178" s="830">
        <f t="shared" si="54"/>
        <v>0</v>
      </c>
      <c r="N178" s="830">
        <f t="shared" si="54"/>
        <v>0</v>
      </c>
      <c r="O178" s="832">
        <f t="shared" si="54"/>
        <v>0</v>
      </c>
      <c r="P178" s="832">
        <f t="shared" si="54"/>
        <v>0</v>
      </c>
      <c r="Q178" s="830">
        <f t="shared" si="54"/>
        <v>0</v>
      </c>
      <c r="R178" s="833">
        <f t="shared" si="54"/>
        <v>0</v>
      </c>
      <c r="S178" s="832">
        <f t="shared" si="54"/>
        <v>0</v>
      </c>
      <c r="T178" s="213"/>
      <c r="U178" s="349"/>
      <c r="V178" s="349">
        <v>265</v>
      </c>
      <c r="W178" s="349"/>
      <c r="X178" s="349">
        <v>24</v>
      </c>
      <c r="Y178" s="349">
        <v>21</v>
      </c>
      <c r="Z178" s="349">
        <v>25</v>
      </c>
      <c r="AA178" s="804">
        <v>335</v>
      </c>
      <c r="AB178" s="804"/>
      <c r="AC178" s="349"/>
      <c r="AD178" s="349"/>
      <c r="AE178" s="349"/>
      <c r="AF178" s="349"/>
      <c r="AG178" s="804"/>
      <c r="AH178" s="804"/>
      <c r="AI178" s="349"/>
      <c r="AJ178" s="813"/>
      <c r="AK178" s="804"/>
      <c r="AL178" s="209"/>
      <c r="AM178" s="209"/>
    </row>
    <row r="179" spans="1:39" s="80" customFormat="1">
      <c r="A179" s="239"/>
      <c r="B179" s="239" t="s">
        <v>55</v>
      </c>
      <c r="C179" s="832">
        <f>IF(U182&gt;0,(U179/U182),0)</f>
        <v>0</v>
      </c>
      <c r="D179" s="830">
        <f t="shared" ref="D179:S179" si="55">IF(V182&gt;0,(V179/V182),0)</f>
        <v>0.28036529680365296</v>
      </c>
      <c r="E179" s="830">
        <f t="shared" si="55"/>
        <v>0</v>
      </c>
      <c r="F179" s="830">
        <f t="shared" si="55"/>
        <v>0.24675324675324675</v>
      </c>
      <c r="G179" s="830">
        <f t="shared" si="55"/>
        <v>0.25443786982248523</v>
      </c>
      <c r="H179" s="830">
        <f t="shared" si="55"/>
        <v>0.30081300813008133</v>
      </c>
      <c r="I179" s="832">
        <f t="shared" si="55"/>
        <v>0.27579493835171964</v>
      </c>
      <c r="J179" s="832">
        <f t="shared" si="55"/>
        <v>0</v>
      </c>
      <c r="K179" s="830">
        <f t="shared" si="55"/>
        <v>0</v>
      </c>
      <c r="L179" s="830">
        <f t="shared" si="55"/>
        <v>0</v>
      </c>
      <c r="M179" s="830">
        <f t="shared" si="55"/>
        <v>0</v>
      </c>
      <c r="N179" s="830">
        <f t="shared" si="55"/>
        <v>0</v>
      </c>
      <c r="O179" s="832">
        <f t="shared" si="55"/>
        <v>0</v>
      </c>
      <c r="P179" s="832">
        <f t="shared" si="55"/>
        <v>0</v>
      </c>
      <c r="Q179" s="830">
        <f t="shared" si="55"/>
        <v>0</v>
      </c>
      <c r="R179" s="833">
        <f t="shared" si="55"/>
        <v>0</v>
      </c>
      <c r="S179" s="832">
        <f t="shared" si="55"/>
        <v>0</v>
      </c>
      <c r="T179" s="213"/>
      <c r="U179" s="349"/>
      <c r="V179" s="349">
        <v>307</v>
      </c>
      <c r="W179" s="349"/>
      <c r="X179" s="349">
        <v>38</v>
      </c>
      <c r="Y179" s="349">
        <v>43</v>
      </c>
      <c r="Z179" s="349">
        <v>37</v>
      </c>
      <c r="AA179" s="804">
        <v>425</v>
      </c>
      <c r="AB179" s="804"/>
      <c r="AC179" s="349"/>
      <c r="AD179" s="349"/>
      <c r="AE179" s="349"/>
      <c r="AF179" s="349"/>
      <c r="AG179" s="804"/>
      <c r="AH179" s="804"/>
      <c r="AI179" s="349"/>
      <c r="AJ179" s="813"/>
      <c r="AK179" s="804"/>
      <c r="AL179" s="209"/>
      <c r="AM179" s="209"/>
    </row>
    <row r="180" spans="1:39" s="80" customFormat="1">
      <c r="A180" s="239"/>
      <c r="B180" s="239" t="s">
        <v>78</v>
      </c>
      <c r="C180" s="832">
        <f>IF(U182&gt;0,(U180/U182),0)</f>
        <v>0</v>
      </c>
      <c r="D180" s="830">
        <f t="shared" ref="D180:S180" si="56">IF(V182&gt;0,(V180/V182),0)</f>
        <v>0.13059360730593608</v>
      </c>
      <c r="E180" s="830">
        <f t="shared" si="56"/>
        <v>0</v>
      </c>
      <c r="F180" s="830">
        <f t="shared" si="56"/>
        <v>0.20779220779220781</v>
      </c>
      <c r="G180" s="830">
        <f t="shared" si="56"/>
        <v>0.1242603550295858</v>
      </c>
      <c r="H180" s="830">
        <f t="shared" si="56"/>
        <v>0.21138211382113822</v>
      </c>
      <c r="I180" s="832">
        <f t="shared" si="56"/>
        <v>0.14406229720960415</v>
      </c>
      <c r="J180" s="832">
        <f t="shared" si="56"/>
        <v>0</v>
      </c>
      <c r="K180" s="830">
        <f t="shared" si="56"/>
        <v>0</v>
      </c>
      <c r="L180" s="830">
        <f t="shared" si="56"/>
        <v>0</v>
      </c>
      <c r="M180" s="830">
        <f t="shared" si="56"/>
        <v>0.70776255707762559</v>
      </c>
      <c r="N180" s="830">
        <f t="shared" si="56"/>
        <v>0</v>
      </c>
      <c r="O180" s="832">
        <f t="shared" si="56"/>
        <v>0.71689497716894979</v>
      </c>
      <c r="P180" s="832">
        <f t="shared" si="56"/>
        <v>0</v>
      </c>
      <c r="Q180" s="830">
        <f t="shared" si="56"/>
        <v>0</v>
      </c>
      <c r="R180" s="833">
        <f t="shared" si="56"/>
        <v>0</v>
      </c>
      <c r="S180" s="832">
        <f t="shared" si="56"/>
        <v>0</v>
      </c>
      <c r="T180" s="213"/>
      <c r="U180" s="349"/>
      <c r="V180" s="349">
        <v>143</v>
      </c>
      <c r="W180" s="349"/>
      <c r="X180" s="349">
        <v>32</v>
      </c>
      <c r="Y180" s="349">
        <v>21</v>
      </c>
      <c r="Z180" s="349">
        <v>26</v>
      </c>
      <c r="AA180" s="804">
        <v>222</v>
      </c>
      <c r="AB180" s="804"/>
      <c r="AC180" s="349"/>
      <c r="AD180" s="349"/>
      <c r="AE180" s="349">
        <v>155</v>
      </c>
      <c r="AF180" s="349"/>
      <c r="AG180" s="804">
        <v>157</v>
      </c>
      <c r="AH180" s="804"/>
      <c r="AI180" s="349"/>
      <c r="AJ180" s="813"/>
      <c r="AK180" s="804"/>
      <c r="AL180" s="209"/>
      <c r="AM180" s="209"/>
    </row>
    <row r="181" spans="1:39" s="80" customFormat="1">
      <c r="A181" s="580"/>
      <c r="B181" s="580" t="s">
        <v>131</v>
      </c>
      <c r="C181" s="832">
        <f>IF(U182&gt;0,(U181/U182),0)</f>
        <v>0</v>
      </c>
      <c r="D181" s="830">
        <f t="shared" ref="D181:S181" si="57">IF(V182&gt;0,(V181/V182),0)</f>
        <v>1.4611872146118721E-2</v>
      </c>
      <c r="E181" s="830">
        <f t="shared" si="57"/>
        <v>0</v>
      </c>
      <c r="F181" s="830">
        <f t="shared" si="57"/>
        <v>0.12987012987012986</v>
      </c>
      <c r="G181" s="830">
        <f t="shared" si="57"/>
        <v>0.28402366863905326</v>
      </c>
      <c r="H181" s="830">
        <f t="shared" si="57"/>
        <v>0</v>
      </c>
      <c r="I181" s="832">
        <f t="shared" si="57"/>
        <v>5.4510058403634001E-2</v>
      </c>
      <c r="J181" s="832">
        <f t="shared" si="57"/>
        <v>0</v>
      </c>
      <c r="K181" s="830">
        <f t="shared" si="57"/>
        <v>0</v>
      </c>
      <c r="L181" s="830">
        <f t="shared" si="57"/>
        <v>0</v>
      </c>
      <c r="M181" s="830">
        <f t="shared" si="57"/>
        <v>0.28767123287671231</v>
      </c>
      <c r="N181" s="830">
        <f t="shared" si="57"/>
        <v>0</v>
      </c>
      <c r="O181" s="832">
        <f t="shared" si="57"/>
        <v>0.28310502283105021</v>
      </c>
      <c r="P181" s="832">
        <f t="shared" si="57"/>
        <v>0</v>
      </c>
      <c r="Q181" s="830">
        <f t="shared" si="57"/>
        <v>0</v>
      </c>
      <c r="R181" s="833">
        <f t="shared" si="57"/>
        <v>0</v>
      </c>
      <c r="S181" s="832">
        <f t="shared" si="57"/>
        <v>0</v>
      </c>
      <c r="T181" s="213"/>
      <c r="U181" s="349"/>
      <c r="V181" s="349">
        <v>16</v>
      </c>
      <c r="W181" s="349"/>
      <c r="X181" s="349">
        <v>20</v>
      </c>
      <c r="Y181" s="349">
        <v>48</v>
      </c>
      <c r="Z181" s="349"/>
      <c r="AA181" s="804">
        <v>84</v>
      </c>
      <c r="AB181" s="804"/>
      <c r="AC181" s="349"/>
      <c r="AD181" s="349"/>
      <c r="AE181" s="349">
        <v>63</v>
      </c>
      <c r="AF181" s="349"/>
      <c r="AG181" s="804">
        <v>62</v>
      </c>
      <c r="AH181" s="804"/>
      <c r="AI181" s="349"/>
      <c r="AJ181" s="813"/>
      <c r="AK181" s="804"/>
      <c r="AL181" s="209"/>
      <c r="AM181" s="209"/>
    </row>
    <row r="182" spans="1:39" s="80" customFormat="1">
      <c r="A182" s="436"/>
      <c r="B182" s="436" t="s">
        <v>59</v>
      </c>
      <c r="C182" s="834">
        <f>IF(U182&gt;0,(U182/U182),0)</f>
        <v>0</v>
      </c>
      <c r="D182" s="835">
        <f t="shared" ref="D182:S182" si="58">IF(V182&gt;0,(V182/V182),0)</f>
        <v>1</v>
      </c>
      <c r="E182" s="835">
        <f t="shared" si="58"/>
        <v>0</v>
      </c>
      <c r="F182" s="835">
        <f t="shared" si="58"/>
        <v>1</v>
      </c>
      <c r="G182" s="835">
        <f t="shared" si="58"/>
        <v>1</v>
      </c>
      <c r="H182" s="835">
        <f t="shared" si="58"/>
        <v>1</v>
      </c>
      <c r="I182" s="834">
        <f t="shared" si="58"/>
        <v>1</v>
      </c>
      <c r="J182" s="834">
        <f t="shared" si="58"/>
        <v>0</v>
      </c>
      <c r="K182" s="835">
        <f t="shared" si="58"/>
        <v>0</v>
      </c>
      <c r="L182" s="835">
        <f t="shared" si="58"/>
        <v>0</v>
      </c>
      <c r="M182" s="835">
        <f t="shared" si="58"/>
        <v>1</v>
      </c>
      <c r="N182" s="835">
        <f t="shared" si="58"/>
        <v>0</v>
      </c>
      <c r="O182" s="834">
        <f t="shared" si="58"/>
        <v>1</v>
      </c>
      <c r="P182" s="834">
        <f t="shared" si="58"/>
        <v>0</v>
      </c>
      <c r="Q182" s="835">
        <f t="shared" si="58"/>
        <v>0</v>
      </c>
      <c r="R182" s="836">
        <f t="shared" si="58"/>
        <v>0</v>
      </c>
      <c r="S182" s="834">
        <f t="shared" si="58"/>
        <v>0</v>
      </c>
      <c r="T182" s="213"/>
      <c r="U182" s="816"/>
      <c r="V182" s="816">
        <v>1095</v>
      </c>
      <c r="W182" s="816"/>
      <c r="X182" s="816">
        <v>154</v>
      </c>
      <c r="Y182" s="816">
        <v>169</v>
      </c>
      <c r="Z182" s="816">
        <v>123</v>
      </c>
      <c r="AA182" s="805">
        <v>1541</v>
      </c>
      <c r="AB182" s="805"/>
      <c r="AC182" s="816"/>
      <c r="AD182" s="816"/>
      <c r="AE182" s="816">
        <v>219</v>
      </c>
      <c r="AF182" s="816"/>
      <c r="AG182" s="805">
        <v>219</v>
      </c>
      <c r="AH182" s="805"/>
      <c r="AI182" s="816"/>
      <c r="AJ182" s="817"/>
      <c r="AK182" s="805"/>
      <c r="AL182" s="209"/>
      <c r="AM182" s="209"/>
    </row>
    <row r="183" spans="1:39" s="80" customFormat="1">
      <c r="A183" s="240" t="s">
        <v>158</v>
      </c>
      <c r="B183" s="240" t="s">
        <v>53</v>
      </c>
      <c r="C183" s="829">
        <f>IF(U188&gt;0,(U183/U188),0)</f>
        <v>0</v>
      </c>
      <c r="D183" s="830">
        <f t="shared" ref="D183:S183" si="59">IF(V188&gt;0,(V183/V188),0)</f>
        <v>0.28005115089514065</v>
      </c>
      <c r="E183" s="830">
        <f t="shared" si="59"/>
        <v>0</v>
      </c>
      <c r="F183" s="830">
        <f t="shared" si="59"/>
        <v>0</v>
      </c>
      <c r="G183" s="830">
        <f t="shared" si="59"/>
        <v>0</v>
      </c>
      <c r="H183" s="830">
        <f t="shared" si="59"/>
        <v>3.4482758620689655E-2</v>
      </c>
      <c r="I183" s="829">
        <f t="shared" si="59"/>
        <v>0.2712700369913687</v>
      </c>
      <c r="J183" s="829">
        <f t="shared" si="59"/>
        <v>0</v>
      </c>
      <c r="K183" s="830">
        <f t="shared" si="59"/>
        <v>0.60876132930513593</v>
      </c>
      <c r="L183" s="830">
        <f t="shared" si="59"/>
        <v>0.57499999999999996</v>
      </c>
      <c r="M183" s="830">
        <f t="shared" si="59"/>
        <v>0</v>
      </c>
      <c r="N183" s="830">
        <f t="shared" si="59"/>
        <v>0</v>
      </c>
      <c r="O183" s="829">
        <f t="shared" si="59"/>
        <v>0.66960907944514503</v>
      </c>
      <c r="P183" s="829">
        <f t="shared" si="59"/>
        <v>0</v>
      </c>
      <c r="Q183" s="830">
        <f t="shared" si="59"/>
        <v>0</v>
      </c>
      <c r="R183" s="831">
        <f t="shared" si="59"/>
        <v>0</v>
      </c>
      <c r="S183" s="829">
        <f t="shared" si="59"/>
        <v>0</v>
      </c>
      <c r="T183" s="213"/>
      <c r="U183" s="349"/>
      <c r="V183" s="349">
        <v>438</v>
      </c>
      <c r="W183" s="349"/>
      <c r="X183" s="349"/>
      <c r="Y183" s="349"/>
      <c r="Z183" s="349">
        <v>2</v>
      </c>
      <c r="AA183" s="803">
        <v>440</v>
      </c>
      <c r="AB183" s="803"/>
      <c r="AC183" s="349">
        <v>403</v>
      </c>
      <c r="AD183" s="349">
        <v>46</v>
      </c>
      <c r="AE183" s="349"/>
      <c r="AF183" s="349"/>
      <c r="AG183" s="803">
        <v>531</v>
      </c>
      <c r="AH183" s="803"/>
      <c r="AI183" s="349"/>
      <c r="AJ183" s="812"/>
      <c r="AK183" s="803"/>
      <c r="AL183" s="209"/>
      <c r="AM183" s="209"/>
    </row>
    <row r="184" spans="1:39" s="80" customFormat="1">
      <c r="A184" s="239"/>
      <c r="B184" s="239" t="s">
        <v>93</v>
      </c>
      <c r="C184" s="832">
        <f>IF(U188&gt;0,(U184/U188),0)</f>
        <v>0</v>
      </c>
      <c r="D184" s="830">
        <f t="shared" ref="D184:S184" si="60">IF(V188&gt;0,(V184/V188),0)</f>
        <v>0.33120204603580561</v>
      </c>
      <c r="E184" s="830">
        <f t="shared" si="60"/>
        <v>0</v>
      </c>
      <c r="F184" s="830">
        <f t="shared" si="60"/>
        <v>0</v>
      </c>
      <c r="G184" s="830">
        <f t="shared" si="60"/>
        <v>0</v>
      </c>
      <c r="H184" s="830">
        <f t="shared" si="60"/>
        <v>8.6206896551724144E-2</v>
      </c>
      <c r="I184" s="832">
        <f t="shared" si="60"/>
        <v>0.32244143033292233</v>
      </c>
      <c r="J184" s="832">
        <f t="shared" si="60"/>
        <v>0</v>
      </c>
      <c r="K184" s="830">
        <f t="shared" si="60"/>
        <v>0</v>
      </c>
      <c r="L184" s="830">
        <f t="shared" si="60"/>
        <v>0</v>
      </c>
      <c r="M184" s="830">
        <f t="shared" si="60"/>
        <v>0</v>
      </c>
      <c r="N184" s="830">
        <f t="shared" si="60"/>
        <v>0</v>
      </c>
      <c r="O184" s="832">
        <f t="shared" si="60"/>
        <v>0</v>
      </c>
      <c r="P184" s="832">
        <f t="shared" si="60"/>
        <v>0</v>
      </c>
      <c r="Q184" s="830">
        <f t="shared" si="60"/>
        <v>0</v>
      </c>
      <c r="R184" s="833">
        <f t="shared" si="60"/>
        <v>0</v>
      </c>
      <c r="S184" s="832">
        <f t="shared" si="60"/>
        <v>0</v>
      </c>
      <c r="T184" s="213"/>
      <c r="U184" s="349"/>
      <c r="V184" s="349">
        <v>518</v>
      </c>
      <c r="W184" s="349"/>
      <c r="X184" s="349"/>
      <c r="Y184" s="349"/>
      <c r="Z184" s="349">
        <v>5</v>
      </c>
      <c r="AA184" s="804">
        <v>523</v>
      </c>
      <c r="AB184" s="804"/>
      <c r="AC184" s="349"/>
      <c r="AD184" s="349"/>
      <c r="AE184" s="349"/>
      <c r="AF184" s="349"/>
      <c r="AG184" s="804"/>
      <c r="AH184" s="804"/>
      <c r="AI184" s="349"/>
      <c r="AJ184" s="813"/>
      <c r="AK184" s="804"/>
      <c r="AL184" s="209"/>
      <c r="AM184" s="209"/>
    </row>
    <row r="185" spans="1:39" s="80" customFormat="1">
      <c r="A185" s="239"/>
      <c r="B185" s="239" t="s">
        <v>55</v>
      </c>
      <c r="C185" s="832">
        <f>IF(U188&gt;0,(U185/U188),0)</f>
        <v>0</v>
      </c>
      <c r="D185" s="830">
        <f t="shared" ref="D185:S185" si="61">IF(V188&gt;0,(V185/V188),0)</f>
        <v>0.28005115089514065</v>
      </c>
      <c r="E185" s="830">
        <f t="shared" si="61"/>
        <v>0</v>
      </c>
      <c r="F185" s="830">
        <f t="shared" si="61"/>
        <v>0</v>
      </c>
      <c r="G185" s="830">
        <f t="shared" si="61"/>
        <v>0</v>
      </c>
      <c r="H185" s="830">
        <f t="shared" si="61"/>
        <v>0.44827586206896552</v>
      </c>
      <c r="I185" s="832">
        <f t="shared" si="61"/>
        <v>0.28606658446362515</v>
      </c>
      <c r="J185" s="832">
        <f t="shared" si="61"/>
        <v>0</v>
      </c>
      <c r="K185" s="830">
        <f t="shared" si="61"/>
        <v>0</v>
      </c>
      <c r="L185" s="830">
        <f t="shared" si="61"/>
        <v>0</v>
      </c>
      <c r="M185" s="830">
        <f t="shared" si="61"/>
        <v>0</v>
      </c>
      <c r="N185" s="830">
        <f t="shared" si="61"/>
        <v>0</v>
      </c>
      <c r="O185" s="832">
        <f t="shared" si="61"/>
        <v>0</v>
      </c>
      <c r="P185" s="832">
        <f t="shared" si="61"/>
        <v>0</v>
      </c>
      <c r="Q185" s="830">
        <f t="shared" si="61"/>
        <v>0</v>
      </c>
      <c r="R185" s="833">
        <f t="shared" si="61"/>
        <v>0</v>
      </c>
      <c r="S185" s="832">
        <f t="shared" si="61"/>
        <v>0</v>
      </c>
      <c r="T185" s="213"/>
      <c r="U185" s="349"/>
      <c r="V185" s="349">
        <v>438</v>
      </c>
      <c r="W185" s="349"/>
      <c r="X185" s="349"/>
      <c r="Y185" s="349"/>
      <c r="Z185" s="349">
        <v>26</v>
      </c>
      <c r="AA185" s="804">
        <v>464</v>
      </c>
      <c r="AB185" s="804"/>
      <c r="AC185" s="349"/>
      <c r="AD185" s="349"/>
      <c r="AE185" s="349"/>
      <c r="AF185" s="349"/>
      <c r="AG185" s="804"/>
      <c r="AH185" s="804"/>
      <c r="AI185" s="349"/>
      <c r="AJ185" s="813"/>
      <c r="AK185" s="804"/>
      <c r="AL185" s="209"/>
      <c r="AM185" s="209"/>
    </row>
    <row r="186" spans="1:39" s="80" customFormat="1">
      <c r="A186" s="239"/>
      <c r="B186" s="239" t="s">
        <v>78</v>
      </c>
      <c r="C186" s="832">
        <f>IF(U188&gt;0,(U186/U188),0)</f>
        <v>0</v>
      </c>
      <c r="D186" s="830">
        <f t="shared" ref="D186:S186" si="62">IF(V188&gt;0,(V186/V188),0)</f>
        <v>5.6905370843989771E-2</v>
      </c>
      <c r="E186" s="830">
        <f t="shared" si="62"/>
        <v>0</v>
      </c>
      <c r="F186" s="830">
        <f t="shared" si="62"/>
        <v>0</v>
      </c>
      <c r="G186" s="830">
        <f t="shared" si="62"/>
        <v>0</v>
      </c>
      <c r="H186" s="830">
        <f t="shared" si="62"/>
        <v>0</v>
      </c>
      <c r="I186" s="832">
        <f t="shared" si="62"/>
        <v>5.4870530209617754E-2</v>
      </c>
      <c r="J186" s="832">
        <f t="shared" si="62"/>
        <v>0</v>
      </c>
      <c r="K186" s="830">
        <f t="shared" si="62"/>
        <v>0.30362537764350456</v>
      </c>
      <c r="L186" s="830">
        <f t="shared" si="62"/>
        <v>0.42499999999999999</v>
      </c>
      <c r="M186" s="830">
        <f t="shared" si="62"/>
        <v>0</v>
      </c>
      <c r="N186" s="830">
        <f t="shared" si="62"/>
        <v>0</v>
      </c>
      <c r="O186" s="832">
        <f t="shared" si="62"/>
        <v>0.23581336696090793</v>
      </c>
      <c r="P186" s="832">
        <f t="shared" si="62"/>
        <v>0</v>
      </c>
      <c r="Q186" s="830">
        <f t="shared" si="62"/>
        <v>0</v>
      </c>
      <c r="R186" s="833">
        <f t="shared" si="62"/>
        <v>0</v>
      </c>
      <c r="S186" s="832">
        <f t="shared" si="62"/>
        <v>0</v>
      </c>
      <c r="T186" s="213"/>
      <c r="U186" s="349"/>
      <c r="V186" s="349">
        <v>89</v>
      </c>
      <c r="W186" s="349"/>
      <c r="X186" s="349"/>
      <c r="Y186" s="349"/>
      <c r="Z186" s="349"/>
      <c r="AA186" s="804">
        <v>89</v>
      </c>
      <c r="AB186" s="804"/>
      <c r="AC186" s="349">
        <v>201</v>
      </c>
      <c r="AD186" s="349">
        <v>34</v>
      </c>
      <c r="AE186" s="349"/>
      <c r="AF186" s="349"/>
      <c r="AG186" s="804">
        <v>187</v>
      </c>
      <c r="AH186" s="804"/>
      <c r="AI186" s="349"/>
      <c r="AJ186" s="813"/>
      <c r="AK186" s="804"/>
      <c r="AL186" s="209"/>
      <c r="AM186" s="209"/>
    </row>
    <row r="187" spans="1:39" s="80" customFormat="1">
      <c r="A187" s="580"/>
      <c r="B187" s="580" t="s">
        <v>131</v>
      </c>
      <c r="C187" s="832">
        <f>IF(U188&gt;0,(U187/U188),0)</f>
        <v>0</v>
      </c>
      <c r="D187" s="830">
        <f t="shared" ref="D187:S187" si="63">IF(V188&gt;0,(V187/V188),0)</f>
        <v>5.1790281329923277E-2</v>
      </c>
      <c r="E187" s="830">
        <f t="shared" si="63"/>
        <v>0</v>
      </c>
      <c r="F187" s="830">
        <f t="shared" si="63"/>
        <v>0</v>
      </c>
      <c r="G187" s="830">
        <f t="shared" si="63"/>
        <v>0</v>
      </c>
      <c r="H187" s="830">
        <f t="shared" si="63"/>
        <v>0.43103448275862066</v>
      </c>
      <c r="I187" s="832">
        <f t="shared" si="63"/>
        <v>6.5351418002466091E-2</v>
      </c>
      <c r="J187" s="832">
        <f t="shared" si="63"/>
        <v>0</v>
      </c>
      <c r="K187" s="830">
        <f t="shared" si="63"/>
        <v>8.7613293051359523E-2</v>
      </c>
      <c r="L187" s="830">
        <f t="shared" si="63"/>
        <v>0</v>
      </c>
      <c r="M187" s="830">
        <f t="shared" si="63"/>
        <v>0</v>
      </c>
      <c r="N187" s="830">
        <f t="shared" si="63"/>
        <v>0</v>
      </c>
      <c r="O187" s="832">
        <f t="shared" si="63"/>
        <v>9.4577553593947039E-2</v>
      </c>
      <c r="P187" s="832">
        <f t="shared" si="63"/>
        <v>0</v>
      </c>
      <c r="Q187" s="830">
        <f t="shared" si="63"/>
        <v>0</v>
      </c>
      <c r="R187" s="833">
        <f t="shared" si="63"/>
        <v>0</v>
      </c>
      <c r="S187" s="832">
        <f t="shared" si="63"/>
        <v>0</v>
      </c>
      <c r="T187" s="213"/>
      <c r="U187" s="349"/>
      <c r="V187" s="349">
        <v>81</v>
      </c>
      <c r="W187" s="349"/>
      <c r="X187" s="349"/>
      <c r="Y187" s="349"/>
      <c r="Z187" s="349">
        <v>25</v>
      </c>
      <c r="AA187" s="804">
        <v>106</v>
      </c>
      <c r="AB187" s="804"/>
      <c r="AC187" s="349">
        <v>58</v>
      </c>
      <c r="AD187" s="349"/>
      <c r="AE187" s="349"/>
      <c r="AF187" s="349"/>
      <c r="AG187" s="804">
        <v>75</v>
      </c>
      <c r="AH187" s="804"/>
      <c r="AI187" s="349"/>
      <c r="AJ187" s="813"/>
      <c r="AK187" s="804"/>
      <c r="AL187" s="209"/>
      <c r="AM187" s="209"/>
    </row>
    <row r="188" spans="1:39" s="80" customFormat="1">
      <c r="A188" s="436"/>
      <c r="B188" s="436" t="s">
        <v>59</v>
      </c>
      <c r="C188" s="834">
        <f>IF(U188&gt;0,(U188/U188),0)</f>
        <v>0</v>
      </c>
      <c r="D188" s="835">
        <f t="shared" ref="D188:S188" si="64">IF(V188&gt;0,(V188/V188),0)</f>
        <v>1</v>
      </c>
      <c r="E188" s="835">
        <f t="shared" si="64"/>
        <v>0</v>
      </c>
      <c r="F188" s="835">
        <f t="shared" si="64"/>
        <v>0</v>
      </c>
      <c r="G188" s="835">
        <f t="shared" si="64"/>
        <v>0</v>
      </c>
      <c r="H188" s="835">
        <f t="shared" si="64"/>
        <v>1</v>
      </c>
      <c r="I188" s="834">
        <f t="shared" si="64"/>
        <v>1</v>
      </c>
      <c r="J188" s="834">
        <f t="shared" si="64"/>
        <v>0</v>
      </c>
      <c r="K188" s="835">
        <f t="shared" si="64"/>
        <v>1</v>
      </c>
      <c r="L188" s="835">
        <f t="shared" si="64"/>
        <v>1</v>
      </c>
      <c r="M188" s="835">
        <f t="shared" si="64"/>
        <v>0</v>
      </c>
      <c r="N188" s="835">
        <f t="shared" si="64"/>
        <v>0</v>
      </c>
      <c r="O188" s="834">
        <f t="shared" si="64"/>
        <v>1</v>
      </c>
      <c r="P188" s="834">
        <f t="shared" si="64"/>
        <v>0</v>
      </c>
      <c r="Q188" s="835">
        <f t="shared" si="64"/>
        <v>0</v>
      </c>
      <c r="R188" s="836">
        <f t="shared" si="64"/>
        <v>0</v>
      </c>
      <c r="S188" s="834">
        <f t="shared" si="64"/>
        <v>0</v>
      </c>
      <c r="T188" s="213"/>
      <c r="U188" s="816"/>
      <c r="V188" s="816">
        <v>1564</v>
      </c>
      <c r="W188" s="816"/>
      <c r="X188" s="816"/>
      <c r="Y188" s="816"/>
      <c r="Z188" s="816">
        <v>58</v>
      </c>
      <c r="AA188" s="805">
        <v>1622</v>
      </c>
      <c r="AB188" s="805"/>
      <c r="AC188" s="816">
        <v>662</v>
      </c>
      <c r="AD188" s="816">
        <v>80</v>
      </c>
      <c r="AE188" s="816"/>
      <c r="AF188" s="816"/>
      <c r="AG188" s="805">
        <v>793</v>
      </c>
      <c r="AH188" s="805"/>
      <c r="AI188" s="816"/>
      <c r="AJ188" s="817"/>
      <c r="AK188" s="805"/>
      <c r="AL188" s="209"/>
      <c r="AM188" s="209"/>
    </row>
    <row r="189" spans="1:39" s="80" customFormat="1">
      <c r="A189" s="240" t="s">
        <v>157</v>
      </c>
      <c r="B189" s="240" t="s">
        <v>53</v>
      </c>
      <c r="C189" s="829">
        <f>IF(U194&gt;0,(U189/U194),0)</f>
        <v>0.33547695605573419</v>
      </c>
      <c r="D189" s="830">
        <f t="shared" ref="D189:S189" si="65">IF(V194&gt;0,(V189/V194),0)</f>
        <v>0.32898550724637682</v>
      </c>
      <c r="E189" s="830">
        <f t="shared" si="65"/>
        <v>0.25974025974025972</v>
      </c>
      <c r="F189" s="830">
        <f t="shared" si="65"/>
        <v>0.14814814814814814</v>
      </c>
      <c r="G189" s="830">
        <f t="shared" si="65"/>
        <v>0.29473684210526313</v>
      </c>
      <c r="H189" s="830">
        <f t="shared" si="65"/>
        <v>0</v>
      </c>
      <c r="I189" s="829">
        <f t="shared" si="65"/>
        <v>0.3129048330842053</v>
      </c>
      <c r="J189" s="829">
        <f t="shared" si="65"/>
        <v>0</v>
      </c>
      <c r="K189" s="830">
        <f t="shared" si="65"/>
        <v>0</v>
      </c>
      <c r="L189" s="830">
        <f t="shared" si="65"/>
        <v>0.30434782608695654</v>
      </c>
      <c r="M189" s="830">
        <f t="shared" si="65"/>
        <v>7.5555555555555556E-2</v>
      </c>
      <c r="N189" s="830">
        <f t="shared" si="65"/>
        <v>0</v>
      </c>
      <c r="O189" s="829">
        <f t="shared" si="65"/>
        <v>5.9764309764309763E-2</v>
      </c>
      <c r="P189" s="829">
        <f t="shared" si="65"/>
        <v>0</v>
      </c>
      <c r="Q189" s="830">
        <f t="shared" si="65"/>
        <v>0</v>
      </c>
      <c r="R189" s="831">
        <f t="shared" si="65"/>
        <v>0</v>
      </c>
      <c r="S189" s="829">
        <f t="shared" si="65"/>
        <v>0</v>
      </c>
      <c r="T189" s="213"/>
      <c r="U189" s="349">
        <v>313</v>
      </c>
      <c r="V189" s="349">
        <v>227</v>
      </c>
      <c r="W189" s="349">
        <v>40</v>
      </c>
      <c r="X189" s="349">
        <v>20</v>
      </c>
      <c r="Y189" s="349">
        <v>28</v>
      </c>
      <c r="Z189" s="349"/>
      <c r="AA189" s="803">
        <v>628</v>
      </c>
      <c r="AB189" s="803"/>
      <c r="AC189" s="349"/>
      <c r="AD189" s="349">
        <v>105</v>
      </c>
      <c r="AE189" s="349">
        <v>34</v>
      </c>
      <c r="AF189" s="349"/>
      <c r="AG189" s="803">
        <v>71</v>
      </c>
      <c r="AH189" s="803"/>
      <c r="AI189" s="349"/>
      <c r="AJ189" s="812"/>
      <c r="AK189" s="803"/>
      <c r="AL189" s="209"/>
      <c r="AM189" s="209"/>
    </row>
    <row r="190" spans="1:39" s="80" customFormat="1">
      <c r="A190" s="239"/>
      <c r="B190" s="239" t="s">
        <v>93</v>
      </c>
      <c r="C190" s="832">
        <f>IF(U194&gt;0,(U190/U194),0)</f>
        <v>0.29046087888531619</v>
      </c>
      <c r="D190" s="830">
        <f t="shared" ref="D190:S190" si="66">IF(V194&gt;0,(V190/V194),0)</f>
        <v>0.3318840579710145</v>
      </c>
      <c r="E190" s="830">
        <f t="shared" si="66"/>
        <v>0.24675324675324675</v>
      </c>
      <c r="F190" s="830">
        <f t="shared" si="66"/>
        <v>0.27407407407407408</v>
      </c>
      <c r="G190" s="830">
        <f t="shared" si="66"/>
        <v>0.25263157894736843</v>
      </c>
      <c r="H190" s="830">
        <f t="shared" si="66"/>
        <v>0</v>
      </c>
      <c r="I190" s="832">
        <f t="shared" si="66"/>
        <v>0.29845540607872445</v>
      </c>
      <c r="J190" s="832">
        <f t="shared" si="66"/>
        <v>0</v>
      </c>
      <c r="K190" s="830">
        <f t="shared" si="66"/>
        <v>0</v>
      </c>
      <c r="L190" s="830">
        <f t="shared" si="66"/>
        <v>8.4057971014492749E-2</v>
      </c>
      <c r="M190" s="830">
        <f t="shared" si="66"/>
        <v>7.7777777777777779E-2</v>
      </c>
      <c r="N190" s="830">
        <f t="shared" si="66"/>
        <v>0</v>
      </c>
      <c r="O190" s="832">
        <f t="shared" si="66"/>
        <v>9.2592592592592587E-2</v>
      </c>
      <c r="P190" s="832">
        <f t="shared" si="66"/>
        <v>0</v>
      </c>
      <c r="Q190" s="830">
        <f t="shared" si="66"/>
        <v>0</v>
      </c>
      <c r="R190" s="833">
        <f t="shared" si="66"/>
        <v>0</v>
      </c>
      <c r="S190" s="832">
        <f t="shared" si="66"/>
        <v>0</v>
      </c>
      <c r="T190" s="213"/>
      <c r="U190" s="349">
        <v>271</v>
      </c>
      <c r="V190" s="349">
        <v>229</v>
      </c>
      <c r="W190" s="349">
        <v>38</v>
      </c>
      <c r="X190" s="349">
        <v>37</v>
      </c>
      <c r="Y190" s="349">
        <v>24</v>
      </c>
      <c r="Z190" s="349"/>
      <c r="AA190" s="804">
        <v>599</v>
      </c>
      <c r="AB190" s="804"/>
      <c r="AC190" s="349"/>
      <c r="AD190" s="349">
        <v>29</v>
      </c>
      <c r="AE190" s="349">
        <v>35</v>
      </c>
      <c r="AF190" s="349"/>
      <c r="AG190" s="804">
        <v>110</v>
      </c>
      <c r="AH190" s="804"/>
      <c r="AI190" s="349"/>
      <c r="AJ190" s="813"/>
      <c r="AK190" s="804"/>
      <c r="AL190" s="209"/>
      <c r="AM190" s="209"/>
    </row>
    <row r="191" spans="1:39" s="80" customFormat="1">
      <c r="A191" s="239"/>
      <c r="B191" s="239" t="s">
        <v>55</v>
      </c>
      <c r="C191" s="832">
        <f>IF(U194&gt;0,(U191/U194),0)</f>
        <v>0.23151125401929259</v>
      </c>
      <c r="D191" s="830">
        <f t="shared" ref="D191:S191" si="67">IF(V194&gt;0,(V191/V194),0)</f>
        <v>0.30724637681159422</v>
      </c>
      <c r="E191" s="830">
        <f t="shared" si="67"/>
        <v>0.33766233766233766</v>
      </c>
      <c r="F191" s="830">
        <f t="shared" si="67"/>
        <v>0.43703703703703706</v>
      </c>
      <c r="G191" s="830">
        <f t="shared" si="67"/>
        <v>0.42105263157894735</v>
      </c>
      <c r="H191" s="830">
        <f t="shared" si="67"/>
        <v>0</v>
      </c>
      <c r="I191" s="832">
        <f t="shared" si="67"/>
        <v>0.28849028400597909</v>
      </c>
      <c r="J191" s="832">
        <f t="shared" si="67"/>
        <v>0</v>
      </c>
      <c r="K191" s="830">
        <f t="shared" si="67"/>
        <v>0</v>
      </c>
      <c r="L191" s="830">
        <f t="shared" si="67"/>
        <v>0.24057971014492754</v>
      </c>
      <c r="M191" s="830">
        <f t="shared" si="67"/>
        <v>9.7777777777777783E-2</v>
      </c>
      <c r="N191" s="830">
        <f t="shared" si="67"/>
        <v>0</v>
      </c>
      <c r="O191" s="832">
        <f t="shared" si="67"/>
        <v>0.15740740740740741</v>
      </c>
      <c r="P191" s="832">
        <f t="shared" si="67"/>
        <v>0</v>
      </c>
      <c r="Q191" s="830">
        <f t="shared" si="67"/>
        <v>0</v>
      </c>
      <c r="R191" s="833">
        <f t="shared" si="67"/>
        <v>0</v>
      </c>
      <c r="S191" s="832">
        <f t="shared" si="67"/>
        <v>0</v>
      </c>
      <c r="T191" s="213"/>
      <c r="U191" s="349">
        <v>216</v>
      </c>
      <c r="V191" s="349">
        <v>212</v>
      </c>
      <c r="W191" s="349">
        <v>52</v>
      </c>
      <c r="X191" s="349">
        <v>59</v>
      </c>
      <c r="Y191" s="349">
        <v>40</v>
      </c>
      <c r="Z191" s="349"/>
      <c r="AA191" s="804">
        <v>579</v>
      </c>
      <c r="AB191" s="804"/>
      <c r="AC191" s="349"/>
      <c r="AD191" s="349">
        <v>83</v>
      </c>
      <c r="AE191" s="349">
        <v>44</v>
      </c>
      <c r="AF191" s="349"/>
      <c r="AG191" s="804">
        <v>187</v>
      </c>
      <c r="AH191" s="804"/>
      <c r="AI191" s="349"/>
      <c r="AJ191" s="813"/>
      <c r="AK191" s="804"/>
      <c r="AL191" s="209"/>
      <c r="AM191" s="209"/>
    </row>
    <row r="192" spans="1:39" s="80" customFormat="1">
      <c r="A192" s="239"/>
      <c r="B192" s="239" t="s">
        <v>78</v>
      </c>
      <c r="C192" s="832">
        <f>IF(U194&gt;0,(U192/U194),0)</f>
        <v>9.6463022508038593E-3</v>
      </c>
      <c r="D192" s="830">
        <f t="shared" ref="D192:S192" si="68">IF(V194&gt;0,(V192/V194),0)</f>
        <v>2.753623188405797E-2</v>
      </c>
      <c r="E192" s="830">
        <f t="shared" si="68"/>
        <v>0.15584415584415584</v>
      </c>
      <c r="F192" s="830">
        <f t="shared" si="68"/>
        <v>9.6296296296296297E-2</v>
      </c>
      <c r="G192" s="830">
        <f t="shared" si="68"/>
        <v>3.1578947368421054E-2</v>
      </c>
      <c r="H192" s="830">
        <f t="shared" si="68"/>
        <v>0</v>
      </c>
      <c r="I192" s="832">
        <f t="shared" si="68"/>
        <v>3.3881415047334329E-2</v>
      </c>
      <c r="J192" s="832">
        <f t="shared" si="68"/>
        <v>0</v>
      </c>
      <c r="K192" s="830">
        <f t="shared" si="68"/>
        <v>1</v>
      </c>
      <c r="L192" s="830">
        <f t="shared" si="68"/>
        <v>0.37101449275362319</v>
      </c>
      <c r="M192" s="830">
        <f t="shared" si="68"/>
        <v>0.54888888888888887</v>
      </c>
      <c r="N192" s="830">
        <f t="shared" si="68"/>
        <v>0</v>
      </c>
      <c r="O192" s="832">
        <f t="shared" si="68"/>
        <v>0.56397306397306401</v>
      </c>
      <c r="P192" s="832">
        <f t="shared" si="68"/>
        <v>0</v>
      </c>
      <c r="Q192" s="830">
        <f t="shared" si="68"/>
        <v>0</v>
      </c>
      <c r="R192" s="833">
        <f t="shared" si="68"/>
        <v>0</v>
      </c>
      <c r="S192" s="832">
        <f t="shared" si="68"/>
        <v>0</v>
      </c>
      <c r="T192" s="213"/>
      <c r="U192" s="349">
        <v>9</v>
      </c>
      <c r="V192" s="349">
        <v>19</v>
      </c>
      <c r="W192" s="349">
        <v>24</v>
      </c>
      <c r="X192" s="349">
        <v>13</v>
      </c>
      <c r="Y192" s="349">
        <v>3</v>
      </c>
      <c r="Z192" s="349"/>
      <c r="AA192" s="804">
        <v>68</v>
      </c>
      <c r="AB192" s="804"/>
      <c r="AC192" s="349">
        <v>336</v>
      </c>
      <c r="AD192" s="349">
        <v>128</v>
      </c>
      <c r="AE192" s="349">
        <v>247</v>
      </c>
      <c r="AF192" s="349"/>
      <c r="AG192" s="804">
        <v>670</v>
      </c>
      <c r="AH192" s="804"/>
      <c r="AI192" s="349"/>
      <c r="AJ192" s="813"/>
      <c r="AK192" s="804"/>
      <c r="AL192" s="209"/>
      <c r="AM192" s="209"/>
    </row>
    <row r="193" spans="1:39" s="80" customFormat="1">
      <c r="A193" s="580"/>
      <c r="B193" s="580" t="s">
        <v>131</v>
      </c>
      <c r="C193" s="832">
        <f>IF(U194&gt;0,(U193/U194),0)</f>
        <v>0.13290460878885316</v>
      </c>
      <c r="D193" s="830">
        <f t="shared" ref="D193:S193" si="69">IF(V194&gt;0,(V193/V194),0)</f>
        <v>4.3478260869565218E-3</v>
      </c>
      <c r="E193" s="830">
        <f t="shared" si="69"/>
        <v>0</v>
      </c>
      <c r="F193" s="830">
        <f t="shared" si="69"/>
        <v>4.4444444444444446E-2</v>
      </c>
      <c r="G193" s="830">
        <f t="shared" si="69"/>
        <v>0</v>
      </c>
      <c r="H193" s="830">
        <f t="shared" si="69"/>
        <v>0</v>
      </c>
      <c r="I193" s="832">
        <f t="shared" si="69"/>
        <v>6.6268061783756854E-2</v>
      </c>
      <c r="J193" s="832">
        <f t="shared" si="69"/>
        <v>0</v>
      </c>
      <c r="K193" s="830">
        <f t="shared" si="69"/>
        <v>0</v>
      </c>
      <c r="L193" s="830">
        <f t="shared" si="69"/>
        <v>0</v>
      </c>
      <c r="M193" s="830">
        <f t="shared" si="69"/>
        <v>0.2</v>
      </c>
      <c r="N193" s="830">
        <f t="shared" si="69"/>
        <v>0</v>
      </c>
      <c r="O193" s="832">
        <f t="shared" si="69"/>
        <v>0.12626262626262627</v>
      </c>
      <c r="P193" s="832">
        <f t="shared" si="69"/>
        <v>0</v>
      </c>
      <c r="Q193" s="830">
        <f t="shared" si="69"/>
        <v>0</v>
      </c>
      <c r="R193" s="833">
        <f t="shared" si="69"/>
        <v>0</v>
      </c>
      <c r="S193" s="832">
        <f t="shared" si="69"/>
        <v>0</v>
      </c>
      <c r="T193" s="213"/>
      <c r="U193" s="349">
        <v>124</v>
      </c>
      <c r="V193" s="349">
        <v>3</v>
      </c>
      <c r="W193" s="349"/>
      <c r="X193" s="349">
        <v>6</v>
      </c>
      <c r="Y193" s="349"/>
      <c r="Z193" s="349"/>
      <c r="AA193" s="804">
        <v>133</v>
      </c>
      <c r="AB193" s="804"/>
      <c r="AC193" s="349"/>
      <c r="AD193" s="349"/>
      <c r="AE193" s="349">
        <v>90</v>
      </c>
      <c r="AF193" s="349"/>
      <c r="AG193" s="804">
        <v>150</v>
      </c>
      <c r="AH193" s="804"/>
      <c r="AI193" s="349"/>
      <c r="AJ193" s="813"/>
      <c r="AK193" s="804"/>
      <c r="AL193" s="209"/>
      <c r="AM193" s="209"/>
    </row>
    <row r="194" spans="1:39" s="80" customFormat="1">
      <c r="A194" s="436"/>
      <c r="B194" s="436" t="s">
        <v>59</v>
      </c>
      <c r="C194" s="834">
        <f>IF(U194&gt;0,(U194/U194),0)</f>
        <v>1</v>
      </c>
      <c r="D194" s="835">
        <f t="shared" ref="D194:S194" si="70">IF(V194&gt;0,(V194/V194),0)</f>
        <v>1</v>
      </c>
      <c r="E194" s="835">
        <f t="shared" si="70"/>
        <v>1</v>
      </c>
      <c r="F194" s="835">
        <f t="shared" si="70"/>
        <v>1</v>
      </c>
      <c r="G194" s="835">
        <f t="shared" si="70"/>
        <v>1</v>
      </c>
      <c r="H194" s="835">
        <f t="shared" si="70"/>
        <v>0</v>
      </c>
      <c r="I194" s="834">
        <f t="shared" si="70"/>
        <v>1</v>
      </c>
      <c r="J194" s="834">
        <f t="shared" si="70"/>
        <v>0</v>
      </c>
      <c r="K194" s="835">
        <f t="shared" si="70"/>
        <v>1</v>
      </c>
      <c r="L194" s="835">
        <f t="shared" si="70"/>
        <v>1</v>
      </c>
      <c r="M194" s="835">
        <f t="shared" si="70"/>
        <v>1</v>
      </c>
      <c r="N194" s="835">
        <f t="shared" si="70"/>
        <v>0</v>
      </c>
      <c r="O194" s="834">
        <f t="shared" si="70"/>
        <v>1</v>
      </c>
      <c r="P194" s="834">
        <f t="shared" si="70"/>
        <v>0</v>
      </c>
      <c r="Q194" s="835">
        <f t="shared" si="70"/>
        <v>0</v>
      </c>
      <c r="R194" s="836">
        <f t="shared" si="70"/>
        <v>0</v>
      </c>
      <c r="S194" s="834">
        <f t="shared" si="70"/>
        <v>0</v>
      </c>
      <c r="T194" s="213"/>
      <c r="U194" s="816">
        <v>933</v>
      </c>
      <c r="V194" s="816">
        <v>690</v>
      </c>
      <c r="W194" s="816">
        <v>154</v>
      </c>
      <c r="X194" s="816">
        <v>135</v>
      </c>
      <c r="Y194" s="816">
        <v>95</v>
      </c>
      <c r="Z194" s="816"/>
      <c r="AA194" s="805">
        <v>2007</v>
      </c>
      <c r="AB194" s="805"/>
      <c r="AC194" s="816">
        <v>336</v>
      </c>
      <c r="AD194" s="816">
        <v>345</v>
      </c>
      <c r="AE194" s="816">
        <v>450</v>
      </c>
      <c r="AF194" s="816"/>
      <c r="AG194" s="805">
        <v>1188</v>
      </c>
      <c r="AH194" s="805"/>
      <c r="AI194" s="816"/>
      <c r="AJ194" s="817"/>
      <c r="AK194" s="805"/>
      <c r="AL194" s="209"/>
      <c r="AM194" s="209"/>
    </row>
    <row r="195" spans="1:39" s="80" customFormat="1">
      <c r="A195" s="240" t="s">
        <v>161</v>
      </c>
      <c r="B195" s="240" t="s">
        <v>53</v>
      </c>
      <c r="C195" s="829">
        <f>IF(U200&gt;0,(U195/U200),0)</f>
        <v>0.26164383561643834</v>
      </c>
      <c r="D195" s="830">
        <f t="shared" ref="D195:S195" si="71">IF(V200&gt;0,(V195/V200),0)</f>
        <v>0.31586608442503639</v>
      </c>
      <c r="E195" s="830">
        <f t="shared" si="71"/>
        <v>0</v>
      </c>
      <c r="F195" s="830">
        <f t="shared" si="71"/>
        <v>0.33422459893048129</v>
      </c>
      <c r="G195" s="830">
        <f t="shared" si="71"/>
        <v>0.28000000000000003</v>
      </c>
      <c r="H195" s="830">
        <f t="shared" si="71"/>
        <v>0.2868217054263566</v>
      </c>
      <c r="I195" s="829">
        <f t="shared" si="71"/>
        <v>0.28690909090909089</v>
      </c>
      <c r="J195" s="829">
        <f t="shared" si="71"/>
        <v>0</v>
      </c>
      <c r="K195" s="830">
        <f t="shared" si="71"/>
        <v>0</v>
      </c>
      <c r="L195" s="830">
        <f t="shared" si="71"/>
        <v>4.0298507462686567E-2</v>
      </c>
      <c r="M195" s="830">
        <f t="shared" si="71"/>
        <v>6.6246056782334389E-2</v>
      </c>
      <c r="N195" s="830">
        <f t="shared" si="71"/>
        <v>0</v>
      </c>
      <c r="O195" s="829">
        <f t="shared" si="71"/>
        <v>2.8017241379310345E-2</v>
      </c>
      <c r="P195" s="829">
        <f t="shared" si="71"/>
        <v>0</v>
      </c>
      <c r="Q195" s="830">
        <f t="shared" si="71"/>
        <v>0</v>
      </c>
      <c r="R195" s="831">
        <f t="shared" si="71"/>
        <v>0</v>
      </c>
      <c r="S195" s="829">
        <f t="shared" si="71"/>
        <v>0</v>
      </c>
      <c r="T195" s="213"/>
      <c r="U195" s="349">
        <v>382</v>
      </c>
      <c r="V195" s="349">
        <v>217</v>
      </c>
      <c r="W195" s="349"/>
      <c r="X195" s="349">
        <v>125</v>
      </c>
      <c r="Y195" s="349">
        <v>28</v>
      </c>
      <c r="Z195" s="349">
        <v>37</v>
      </c>
      <c r="AA195" s="803">
        <v>789</v>
      </c>
      <c r="AB195" s="803"/>
      <c r="AC195" s="349"/>
      <c r="AD195" s="349">
        <v>27</v>
      </c>
      <c r="AE195" s="349">
        <v>21</v>
      </c>
      <c r="AF195" s="349"/>
      <c r="AG195" s="803">
        <v>52</v>
      </c>
      <c r="AH195" s="803"/>
      <c r="AI195" s="349"/>
      <c r="AJ195" s="812"/>
      <c r="AK195" s="803"/>
      <c r="AL195" s="209"/>
      <c r="AM195" s="209"/>
    </row>
    <row r="196" spans="1:39" s="80" customFormat="1">
      <c r="A196" s="239"/>
      <c r="B196" s="239" t="s">
        <v>93</v>
      </c>
      <c r="C196" s="832">
        <f>IF(U200&gt;0,(U196/U200),0)</f>
        <v>0.27945205479452057</v>
      </c>
      <c r="D196" s="830">
        <f t="shared" ref="D196:S196" si="72">IF(V200&gt;0,(V196/V200),0)</f>
        <v>0.2590975254730713</v>
      </c>
      <c r="E196" s="830">
        <f t="shared" si="72"/>
        <v>0</v>
      </c>
      <c r="F196" s="830">
        <f t="shared" si="72"/>
        <v>0.31283422459893045</v>
      </c>
      <c r="G196" s="830">
        <f t="shared" si="72"/>
        <v>0.36</v>
      </c>
      <c r="H196" s="830">
        <f t="shared" si="72"/>
        <v>0.34108527131782945</v>
      </c>
      <c r="I196" s="832">
        <f t="shared" si="72"/>
        <v>0.28472727272727272</v>
      </c>
      <c r="J196" s="832">
        <f t="shared" si="72"/>
        <v>0</v>
      </c>
      <c r="K196" s="830">
        <f t="shared" si="72"/>
        <v>0</v>
      </c>
      <c r="L196" s="830">
        <f t="shared" si="72"/>
        <v>5.3731343283582089E-2</v>
      </c>
      <c r="M196" s="830">
        <f t="shared" si="72"/>
        <v>2.2082018927444796E-2</v>
      </c>
      <c r="N196" s="830">
        <f t="shared" si="72"/>
        <v>0</v>
      </c>
      <c r="O196" s="832">
        <f t="shared" si="72"/>
        <v>1.9935344827586209E-2</v>
      </c>
      <c r="P196" s="832">
        <f t="shared" si="72"/>
        <v>0</v>
      </c>
      <c r="Q196" s="830">
        <f t="shared" si="72"/>
        <v>0</v>
      </c>
      <c r="R196" s="833">
        <f t="shared" si="72"/>
        <v>0</v>
      </c>
      <c r="S196" s="832">
        <f t="shared" si="72"/>
        <v>0</v>
      </c>
      <c r="T196" s="213"/>
      <c r="U196" s="349">
        <v>408</v>
      </c>
      <c r="V196" s="349">
        <v>178</v>
      </c>
      <c r="W196" s="349"/>
      <c r="X196" s="349">
        <v>117</v>
      </c>
      <c r="Y196" s="349">
        <v>36</v>
      </c>
      <c r="Z196" s="349">
        <v>44</v>
      </c>
      <c r="AA196" s="804">
        <v>783</v>
      </c>
      <c r="AB196" s="804"/>
      <c r="AC196" s="349"/>
      <c r="AD196" s="349">
        <v>36</v>
      </c>
      <c r="AE196" s="349">
        <v>7</v>
      </c>
      <c r="AF196" s="349"/>
      <c r="AG196" s="804">
        <v>37</v>
      </c>
      <c r="AH196" s="804"/>
      <c r="AI196" s="349"/>
      <c r="AJ196" s="813"/>
      <c r="AK196" s="804"/>
      <c r="AL196" s="209"/>
      <c r="AM196" s="209"/>
    </row>
    <row r="197" spans="1:39" s="80" customFormat="1">
      <c r="A197" s="239"/>
      <c r="B197" s="239" t="s">
        <v>55</v>
      </c>
      <c r="C197" s="832">
        <f>IF(U200&gt;0,(U197/U200),0)</f>
        <v>0.24178082191780823</v>
      </c>
      <c r="D197" s="830">
        <f t="shared" ref="D197:S197" si="73">IF(V200&gt;0,(V197/V200),0)</f>
        <v>0.25181950509461426</v>
      </c>
      <c r="E197" s="830">
        <f t="shared" si="73"/>
        <v>0</v>
      </c>
      <c r="F197" s="830">
        <f t="shared" si="73"/>
        <v>0.19251336898395721</v>
      </c>
      <c r="G197" s="830">
        <f t="shared" si="73"/>
        <v>0.28999999999999998</v>
      </c>
      <c r="H197" s="830">
        <f t="shared" si="73"/>
        <v>0.2868217054263566</v>
      </c>
      <c r="I197" s="832">
        <f t="shared" si="73"/>
        <v>0.24145454545454545</v>
      </c>
      <c r="J197" s="832">
        <f t="shared" si="73"/>
        <v>0</v>
      </c>
      <c r="K197" s="830">
        <f t="shared" si="73"/>
        <v>0</v>
      </c>
      <c r="L197" s="830">
        <f t="shared" si="73"/>
        <v>3.2835820895522387E-2</v>
      </c>
      <c r="M197" s="830">
        <f t="shared" si="73"/>
        <v>2.2082018927444796E-2</v>
      </c>
      <c r="N197" s="830">
        <f t="shared" si="73"/>
        <v>0</v>
      </c>
      <c r="O197" s="832">
        <f t="shared" si="73"/>
        <v>2.1012931034482759E-2</v>
      </c>
      <c r="P197" s="832">
        <f t="shared" si="73"/>
        <v>0</v>
      </c>
      <c r="Q197" s="830">
        <f t="shared" si="73"/>
        <v>0</v>
      </c>
      <c r="R197" s="833">
        <f t="shared" si="73"/>
        <v>0</v>
      </c>
      <c r="S197" s="832">
        <f t="shared" si="73"/>
        <v>0</v>
      </c>
      <c r="T197" s="213"/>
      <c r="U197" s="349">
        <v>353</v>
      </c>
      <c r="V197" s="349">
        <v>173</v>
      </c>
      <c r="W197" s="349"/>
      <c r="X197" s="349">
        <v>72</v>
      </c>
      <c r="Y197" s="349">
        <v>29</v>
      </c>
      <c r="Z197" s="349">
        <v>37</v>
      </c>
      <c r="AA197" s="804">
        <v>664</v>
      </c>
      <c r="AB197" s="804"/>
      <c r="AC197" s="349"/>
      <c r="AD197" s="349">
        <v>22</v>
      </c>
      <c r="AE197" s="349">
        <v>7</v>
      </c>
      <c r="AF197" s="349"/>
      <c r="AG197" s="804">
        <v>39</v>
      </c>
      <c r="AH197" s="804"/>
      <c r="AI197" s="349"/>
      <c r="AJ197" s="813"/>
      <c r="AK197" s="804"/>
      <c r="AL197" s="209"/>
      <c r="AM197" s="209"/>
    </row>
    <row r="198" spans="1:39" s="80" customFormat="1">
      <c r="A198" s="239"/>
      <c r="B198" s="239" t="s">
        <v>78</v>
      </c>
      <c r="C198" s="832">
        <f>IF(U200&gt;0,(U198/U200),0)</f>
        <v>0.19178082191780821</v>
      </c>
      <c r="D198" s="830">
        <f t="shared" ref="D198:S198" si="74">IF(V200&gt;0,(V198/V200),0)</f>
        <v>0.15866084425036389</v>
      </c>
      <c r="E198" s="830">
        <f t="shared" si="74"/>
        <v>0</v>
      </c>
      <c r="F198" s="830">
        <f t="shared" si="74"/>
        <v>0.1497326203208556</v>
      </c>
      <c r="G198" s="830">
        <f t="shared" si="74"/>
        <v>7.0000000000000007E-2</v>
      </c>
      <c r="H198" s="830">
        <f t="shared" si="74"/>
        <v>8.5271317829457363E-2</v>
      </c>
      <c r="I198" s="832">
        <f t="shared" si="74"/>
        <v>0.16836363636363635</v>
      </c>
      <c r="J198" s="832">
        <f t="shared" si="74"/>
        <v>0</v>
      </c>
      <c r="K198" s="830">
        <f t="shared" si="74"/>
        <v>1</v>
      </c>
      <c r="L198" s="830">
        <f t="shared" si="74"/>
        <v>0.63582089552238807</v>
      </c>
      <c r="M198" s="830">
        <f t="shared" si="74"/>
        <v>0.56151419558359617</v>
      </c>
      <c r="N198" s="830">
        <f t="shared" si="74"/>
        <v>0</v>
      </c>
      <c r="O198" s="832">
        <f t="shared" si="74"/>
        <v>0.81896551724137934</v>
      </c>
      <c r="P198" s="832">
        <f t="shared" si="74"/>
        <v>0</v>
      </c>
      <c r="Q198" s="830">
        <f t="shared" si="74"/>
        <v>0</v>
      </c>
      <c r="R198" s="833">
        <f t="shared" si="74"/>
        <v>0</v>
      </c>
      <c r="S198" s="832">
        <f t="shared" si="74"/>
        <v>0</v>
      </c>
      <c r="T198" s="213"/>
      <c r="U198" s="349">
        <v>280</v>
      </c>
      <c r="V198" s="349">
        <v>109</v>
      </c>
      <c r="W198" s="349"/>
      <c r="X198" s="349">
        <v>56</v>
      </c>
      <c r="Y198" s="349">
        <v>7</v>
      </c>
      <c r="Z198" s="349">
        <v>11</v>
      </c>
      <c r="AA198" s="804">
        <v>463</v>
      </c>
      <c r="AB198" s="804"/>
      <c r="AC198" s="349">
        <v>836</v>
      </c>
      <c r="AD198" s="349">
        <v>426</v>
      </c>
      <c r="AE198" s="349">
        <v>178</v>
      </c>
      <c r="AF198" s="349"/>
      <c r="AG198" s="804">
        <v>1520</v>
      </c>
      <c r="AH198" s="804"/>
      <c r="AI198" s="349"/>
      <c r="AJ198" s="813"/>
      <c r="AK198" s="804"/>
      <c r="AL198" s="209"/>
      <c r="AM198" s="209"/>
    </row>
    <row r="199" spans="1:39" s="80" customFormat="1">
      <c r="A199" s="580"/>
      <c r="B199" s="580" t="s">
        <v>131</v>
      </c>
      <c r="C199" s="832">
        <f>IF(U200&gt;0,(U199/U200),0)</f>
        <v>2.5342465753424658E-2</v>
      </c>
      <c r="D199" s="830">
        <f t="shared" ref="D199:S199" si="75">IF(V200&gt;0,(V199/V200),0)</f>
        <v>1.4556040756914119E-2</v>
      </c>
      <c r="E199" s="830">
        <f t="shared" si="75"/>
        <v>0</v>
      </c>
      <c r="F199" s="830">
        <f t="shared" si="75"/>
        <v>1.06951871657754E-2</v>
      </c>
      <c r="G199" s="830">
        <f t="shared" si="75"/>
        <v>0</v>
      </c>
      <c r="H199" s="830">
        <f t="shared" si="75"/>
        <v>0</v>
      </c>
      <c r="I199" s="832">
        <f t="shared" si="75"/>
        <v>1.8545454545454546E-2</v>
      </c>
      <c r="J199" s="832">
        <f t="shared" si="75"/>
        <v>0</v>
      </c>
      <c r="K199" s="830">
        <f t="shared" si="75"/>
        <v>0</v>
      </c>
      <c r="L199" s="830">
        <f t="shared" si="75"/>
        <v>0.2373134328358209</v>
      </c>
      <c r="M199" s="830">
        <f t="shared" si="75"/>
        <v>0.32807570977917982</v>
      </c>
      <c r="N199" s="830">
        <f t="shared" si="75"/>
        <v>0</v>
      </c>
      <c r="O199" s="832">
        <f t="shared" si="75"/>
        <v>0.11206896551724138</v>
      </c>
      <c r="P199" s="832">
        <f t="shared" si="75"/>
        <v>0</v>
      </c>
      <c r="Q199" s="830">
        <f t="shared" si="75"/>
        <v>0</v>
      </c>
      <c r="R199" s="833">
        <f t="shared" si="75"/>
        <v>0</v>
      </c>
      <c r="S199" s="832">
        <f t="shared" si="75"/>
        <v>0</v>
      </c>
      <c r="T199" s="213"/>
      <c r="U199" s="349">
        <v>37</v>
      </c>
      <c r="V199" s="349">
        <v>10</v>
      </c>
      <c r="W199" s="349"/>
      <c r="X199" s="349">
        <v>4</v>
      </c>
      <c r="Y199" s="349"/>
      <c r="Z199" s="349"/>
      <c r="AA199" s="804">
        <v>51</v>
      </c>
      <c r="AB199" s="804"/>
      <c r="AC199" s="349"/>
      <c r="AD199" s="349">
        <v>159</v>
      </c>
      <c r="AE199" s="349">
        <v>104</v>
      </c>
      <c r="AF199" s="349"/>
      <c r="AG199" s="804">
        <v>208</v>
      </c>
      <c r="AH199" s="804"/>
      <c r="AI199" s="349"/>
      <c r="AJ199" s="813"/>
      <c r="AK199" s="804"/>
      <c r="AL199" s="209"/>
      <c r="AM199" s="209"/>
    </row>
    <row r="200" spans="1:39" s="80" customFormat="1">
      <c r="A200" s="436"/>
      <c r="B200" s="436" t="s">
        <v>59</v>
      </c>
      <c r="C200" s="834">
        <f>IF(U200&gt;0,(U200/U200),0)</f>
        <v>1</v>
      </c>
      <c r="D200" s="835">
        <f t="shared" ref="D200:S200" si="76">IF(V200&gt;0,(V200/V200),0)</f>
        <v>1</v>
      </c>
      <c r="E200" s="835">
        <f t="shared" si="76"/>
        <v>0</v>
      </c>
      <c r="F200" s="835">
        <f t="shared" si="76"/>
        <v>1</v>
      </c>
      <c r="G200" s="835">
        <f t="shared" si="76"/>
        <v>1</v>
      </c>
      <c r="H200" s="835">
        <f t="shared" si="76"/>
        <v>1</v>
      </c>
      <c r="I200" s="834">
        <f t="shared" si="76"/>
        <v>1</v>
      </c>
      <c r="J200" s="834">
        <f t="shared" si="76"/>
        <v>0</v>
      </c>
      <c r="K200" s="835">
        <f t="shared" si="76"/>
        <v>1</v>
      </c>
      <c r="L200" s="835">
        <f t="shared" si="76"/>
        <v>1</v>
      </c>
      <c r="M200" s="835">
        <f t="shared" si="76"/>
        <v>1</v>
      </c>
      <c r="N200" s="835">
        <f t="shared" si="76"/>
        <v>0</v>
      </c>
      <c r="O200" s="834">
        <f t="shared" si="76"/>
        <v>1</v>
      </c>
      <c r="P200" s="834">
        <f t="shared" si="76"/>
        <v>0</v>
      </c>
      <c r="Q200" s="835">
        <f t="shared" si="76"/>
        <v>0</v>
      </c>
      <c r="R200" s="836">
        <f t="shared" si="76"/>
        <v>0</v>
      </c>
      <c r="S200" s="834">
        <f t="shared" si="76"/>
        <v>0</v>
      </c>
      <c r="T200" s="213"/>
      <c r="U200" s="816">
        <v>1460</v>
      </c>
      <c r="V200" s="816">
        <v>687</v>
      </c>
      <c r="W200" s="816"/>
      <c r="X200" s="816">
        <v>374</v>
      </c>
      <c r="Y200" s="816">
        <v>100</v>
      </c>
      <c r="Z200" s="816">
        <v>129</v>
      </c>
      <c r="AA200" s="805">
        <v>2750</v>
      </c>
      <c r="AB200" s="805"/>
      <c r="AC200" s="816">
        <v>836</v>
      </c>
      <c r="AD200" s="816">
        <v>670</v>
      </c>
      <c r="AE200" s="816">
        <v>317</v>
      </c>
      <c r="AF200" s="816"/>
      <c r="AG200" s="805">
        <v>1856</v>
      </c>
      <c r="AH200" s="805"/>
      <c r="AI200" s="816"/>
      <c r="AJ200" s="817"/>
      <c r="AK200" s="805"/>
      <c r="AL200" s="209"/>
      <c r="AM200" s="209"/>
    </row>
    <row r="201" spans="1:39" s="80" customFormat="1">
      <c r="A201" s="240" t="s">
        <v>165</v>
      </c>
      <c r="B201" s="240" t="s">
        <v>53</v>
      </c>
      <c r="C201" s="829">
        <f>IF(U206&gt;0,(U201/U206),0)</f>
        <v>0.32549019607843138</v>
      </c>
      <c r="D201" s="830">
        <f t="shared" ref="D201:S201" si="77">IF(V206&gt;0,(V201/V206),0)</f>
        <v>0.31048387096774194</v>
      </c>
      <c r="E201" s="830">
        <f t="shared" si="77"/>
        <v>0</v>
      </c>
      <c r="F201" s="830">
        <f t="shared" si="77"/>
        <v>0.26648351648351648</v>
      </c>
      <c r="G201" s="830">
        <f t="shared" si="77"/>
        <v>0</v>
      </c>
      <c r="H201" s="830">
        <f t="shared" si="77"/>
        <v>0.20128824476650564</v>
      </c>
      <c r="I201" s="829">
        <f t="shared" si="77"/>
        <v>0.28652019002375295</v>
      </c>
      <c r="J201" s="829">
        <f t="shared" si="77"/>
        <v>0</v>
      </c>
      <c r="K201" s="830">
        <f t="shared" si="77"/>
        <v>0.17045454545454544</v>
      </c>
      <c r="L201" s="830">
        <f t="shared" si="77"/>
        <v>0.18333333333333332</v>
      </c>
      <c r="M201" s="830">
        <f t="shared" si="77"/>
        <v>0</v>
      </c>
      <c r="N201" s="830">
        <f t="shared" si="77"/>
        <v>0</v>
      </c>
      <c r="O201" s="829">
        <f t="shared" si="77"/>
        <v>0.1299638989169675</v>
      </c>
      <c r="P201" s="829">
        <f t="shared" si="77"/>
        <v>0</v>
      </c>
      <c r="Q201" s="830">
        <f t="shared" si="77"/>
        <v>0</v>
      </c>
      <c r="R201" s="831">
        <f t="shared" si="77"/>
        <v>0</v>
      </c>
      <c r="S201" s="829">
        <f t="shared" si="77"/>
        <v>0</v>
      </c>
      <c r="T201" s="213"/>
      <c r="U201" s="349">
        <v>415</v>
      </c>
      <c r="V201" s="349">
        <v>231</v>
      </c>
      <c r="W201" s="349"/>
      <c r="X201" s="349">
        <v>194</v>
      </c>
      <c r="Y201" s="349"/>
      <c r="Z201" s="349">
        <v>125</v>
      </c>
      <c r="AA201" s="803">
        <v>965</v>
      </c>
      <c r="AB201" s="803"/>
      <c r="AC201" s="349">
        <v>60</v>
      </c>
      <c r="AD201" s="349">
        <v>22</v>
      </c>
      <c r="AE201" s="349"/>
      <c r="AF201" s="349"/>
      <c r="AG201" s="803">
        <v>72</v>
      </c>
      <c r="AH201" s="803"/>
      <c r="AI201" s="349"/>
      <c r="AJ201" s="812"/>
      <c r="AK201" s="803"/>
      <c r="AL201" s="209"/>
      <c r="AM201" s="209"/>
    </row>
    <row r="202" spans="1:39" s="80" customFormat="1">
      <c r="A202" s="239"/>
      <c r="B202" s="239" t="s">
        <v>93</v>
      </c>
      <c r="C202" s="832">
        <f>IF(U206&gt;0,(U202/U206),0)</f>
        <v>0.20705882352941177</v>
      </c>
      <c r="D202" s="830">
        <f t="shared" ref="D202:S202" si="78">IF(V206&gt;0,(V202/V206),0)</f>
        <v>0.28763440860215056</v>
      </c>
      <c r="E202" s="830">
        <f t="shared" si="78"/>
        <v>0</v>
      </c>
      <c r="F202" s="830">
        <f t="shared" si="78"/>
        <v>0.24725274725274726</v>
      </c>
      <c r="G202" s="830">
        <f t="shared" si="78"/>
        <v>0</v>
      </c>
      <c r="H202" s="830">
        <f t="shared" si="78"/>
        <v>0.322061191626409</v>
      </c>
      <c r="I202" s="832">
        <f t="shared" si="78"/>
        <v>0.25475059382422804</v>
      </c>
      <c r="J202" s="832">
        <f t="shared" si="78"/>
        <v>0</v>
      </c>
      <c r="K202" s="830">
        <f t="shared" si="78"/>
        <v>0.23863636363636365</v>
      </c>
      <c r="L202" s="830">
        <f t="shared" si="78"/>
        <v>0.2</v>
      </c>
      <c r="M202" s="830">
        <f t="shared" si="78"/>
        <v>0</v>
      </c>
      <c r="N202" s="830">
        <f t="shared" si="78"/>
        <v>0</v>
      </c>
      <c r="O202" s="832">
        <f t="shared" si="78"/>
        <v>0.20216606498194944</v>
      </c>
      <c r="P202" s="832">
        <f t="shared" si="78"/>
        <v>0</v>
      </c>
      <c r="Q202" s="830">
        <f t="shared" si="78"/>
        <v>0</v>
      </c>
      <c r="R202" s="833">
        <f t="shared" si="78"/>
        <v>0</v>
      </c>
      <c r="S202" s="832">
        <f t="shared" si="78"/>
        <v>0</v>
      </c>
      <c r="T202" s="213"/>
      <c r="U202" s="349">
        <v>264</v>
      </c>
      <c r="V202" s="349">
        <v>214</v>
      </c>
      <c r="W202" s="349"/>
      <c r="X202" s="349">
        <v>180</v>
      </c>
      <c r="Y202" s="349"/>
      <c r="Z202" s="349">
        <v>200</v>
      </c>
      <c r="AA202" s="804">
        <v>858</v>
      </c>
      <c r="AB202" s="804"/>
      <c r="AC202" s="349">
        <v>84</v>
      </c>
      <c r="AD202" s="349">
        <v>24</v>
      </c>
      <c r="AE202" s="349"/>
      <c r="AF202" s="349"/>
      <c r="AG202" s="804">
        <v>112</v>
      </c>
      <c r="AH202" s="804"/>
      <c r="AI202" s="349"/>
      <c r="AJ202" s="813"/>
      <c r="AK202" s="804"/>
      <c r="AL202" s="209"/>
      <c r="AM202" s="209"/>
    </row>
    <row r="203" spans="1:39" s="80" customFormat="1">
      <c r="A203" s="239"/>
      <c r="B203" s="239" t="s">
        <v>55</v>
      </c>
      <c r="C203" s="832">
        <f>IF(U206&gt;0,(U203/U206),0)</f>
        <v>0.17176470588235293</v>
      </c>
      <c r="D203" s="830">
        <f t="shared" ref="D203:S203" si="79">IF(V206&gt;0,(V203/V206),0)</f>
        <v>0.25672043010752688</v>
      </c>
      <c r="E203" s="830">
        <f t="shared" si="79"/>
        <v>0</v>
      </c>
      <c r="F203" s="830">
        <f t="shared" si="79"/>
        <v>0.35439560439560441</v>
      </c>
      <c r="G203" s="830">
        <f t="shared" si="79"/>
        <v>0</v>
      </c>
      <c r="H203" s="830">
        <f t="shared" si="79"/>
        <v>0.31561996779388085</v>
      </c>
      <c r="I203" s="832">
        <f t="shared" si="79"/>
        <v>0.25653206650831356</v>
      </c>
      <c r="J203" s="832">
        <f t="shared" si="79"/>
        <v>0</v>
      </c>
      <c r="K203" s="830">
        <f t="shared" si="79"/>
        <v>0.3125</v>
      </c>
      <c r="L203" s="830">
        <f t="shared" si="79"/>
        <v>0.24166666666666667</v>
      </c>
      <c r="M203" s="830">
        <f t="shared" si="79"/>
        <v>0</v>
      </c>
      <c r="N203" s="830">
        <f t="shared" si="79"/>
        <v>0</v>
      </c>
      <c r="O203" s="832">
        <f t="shared" si="79"/>
        <v>0.25451263537906138</v>
      </c>
      <c r="P203" s="832">
        <f t="shared" si="79"/>
        <v>0</v>
      </c>
      <c r="Q203" s="830">
        <f t="shared" si="79"/>
        <v>0</v>
      </c>
      <c r="R203" s="833">
        <f t="shared" si="79"/>
        <v>0</v>
      </c>
      <c r="S203" s="832">
        <f t="shared" si="79"/>
        <v>0</v>
      </c>
      <c r="T203" s="213"/>
      <c r="U203" s="349">
        <v>219</v>
      </c>
      <c r="V203" s="349">
        <v>191</v>
      </c>
      <c r="W203" s="349"/>
      <c r="X203" s="349">
        <v>258</v>
      </c>
      <c r="Y203" s="349"/>
      <c r="Z203" s="349">
        <v>196</v>
      </c>
      <c r="AA203" s="804">
        <v>864</v>
      </c>
      <c r="AB203" s="804"/>
      <c r="AC203" s="349">
        <v>110</v>
      </c>
      <c r="AD203" s="349">
        <v>29</v>
      </c>
      <c r="AE203" s="349"/>
      <c r="AF203" s="349"/>
      <c r="AG203" s="804">
        <v>141</v>
      </c>
      <c r="AH203" s="804"/>
      <c r="AI203" s="349"/>
      <c r="AJ203" s="813"/>
      <c r="AK203" s="804"/>
      <c r="AL203" s="209"/>
      <c r="AM203" s="209"/>
    </row>
    <row r="204" spans="1:39" s="80" customFormat="1">
      <c r="A204" s="239"/>
      <c r="B204" s="239" t="s">
        <v>78</v>
      </c>
      <c r="C204" s="832">
        <f>IF(U206&gt;0,(U204/U206),0)</f>
        <v>6.2745098039215684E-3</v>
      </c>
      <c r="D204" s="830">
        <f t="shared" ref="D204:S204" si="80">IF(V206&gt;0,(V204/V206),0)</f>
        <v>1.6129032258064516E-2</v>
      </c>
      <c r="E204" s="830">
        <f t="shared" si="80"/>
        <v>0</v>
      </c>
      <c r="F204" s="830">
        <f t="shared" si="80"/>
        <v>9.0659340659340656E-2</v>
      </c>
      <c r="G204" s="830">
        <f t="shared" si="80"/>
        <v>0</v>
      </c>
      <c r="H204" s="830">
        <f t="shared" si="80"/>
        <v>6.280193236714976E-2</v>
      </c>
      <c r="I204" s="832">
        <f t="shared" si="80"/>
        <v>3.7114014251781471E-2</v>
      </c>
      <c r="J204" s="832">
        <f t="shared" si="80"/>
        <v>0</v>
      </c>
      <c r="K204" s="830">
        <f t="shared" si="80"/>
        <v>0.27840909090909088</v>
      </c>
      <c r="L204" s="830">
        <f t="shared" si="80"/>
        <v>0.10833333333333334</v>
      </c>
      <c r="M204" s="830">
        <f t="shared" si="80"/>
        <v>0.64851485148514854</v>
      </c>
      <c r="N204" s="830">
        <f t="shared" si="80"/>
        <v>1</v>
      </c>
      <c r="O204" s="832">
        <f t="shared" si="80"/>
        <v>0.25812274368231047</v>
      </c>
      <c r="P204" s="832">
        <f t="shared" si="80"/>
        <v>0</v>
      </c>
      <c r="Q204" s="830">
        <f t="shared" si="80"/>
        <v>0</v>
      </c>
      <c r="R204" s="833">
        <f t="shared" si="80"/>
        <v>0</v>
      </c>
      <c r="S204" s="832">
        <f t="shared" si="80"/>
        <v>0</v>
      </c>
      <c r="T204" s="213"/>
      <c r="U204" s="349">
        <v>8</v>
      </c>
      <c r="V204" s="349">
        <v>12</v>
      </c>
      <c r="W204" s="349"/>
      <c r="X204" s="349">
        <v>66</v>
      </c>
      <c r="Y204" s="349"/>
      <c r="Z204" s="349">
        <v>39</v>
      </c>
      <c r="AA204" s="804">
        <v>125</v>
      </c>
      <c r="AB204" s="804"/>
      <c r="AC204" s="349">
        <v>98</v>
      </c>
      <c r="AD204" s="349">
        <v>13</v>
      </c>
      <c r="AE204" s="349">
        <v>131</v>
      </c>
      <c r="AF204" s="349">
        <v>29</v>
      </c>
      <c r="AG204" s="804">
        <v>143</v>
      </c>
      <c r="AH204" s="804"/>
      <c r="AI204" s="349"/>
      <c r="AJ204" s="813"/>
      <c r="AK204" s="804"/>
      <c r="AL204" s="209"/>
      <c r="AM204" s="209"/>
    </row>
    <row r="205" spans="1:39" s="80" customFormat="1">
      <c r="A205" s="580"/>
      <c r="B205" s="580" t="s">
        <v>131</v>
      </c>
      <c r="C205" s="832">
        <f>IF(U206&gt;0,(U205/U206),0)</f>
        <v>0.28941176470588237</v>
      </c>
      <c r="D205" s="830">
        <f t="shared" ref="D205:S205" si="81">IF(V206&gt;0,(V205/V206),0)</f>
        <v>0.12903225806451613</v>
      </c>
      <c r="E205" s="830">
        <f t="shared" si="81"/>
        <v>0</v>
      </c>
      <c r="F205" s="830">
        <f t="shared" si="81"/>
        <v>4.1208791208791208E-2</v>
      </c>
      <c r="G205" s="830">
        <f t="shared" si="81"/>
        <v>0</v>
      </c>
      <c r="H205" s="830">
        <f t="shared" si="81"/>
        <v>9.8228663446054756E-2</v>
      </c>
      <c r="I205" s="832">
        <f t="shared" si="81"/>
        <v>0.16508313539192399</v>
      </c>
      <c r="J205" s="832">
        <f t="shared" si="81"/>
        <v>0</v>
      </c>
      <c r="K205" s="830">
        <f t="shared" si="81"/>
        <v>0</v>
      </c>
      <c r="L205" s="830">
        <f t="shared" si="81"/>
        <v>0.26666666666666666</v>
      </c>
      <c r="M205" s="830">
        <f t="shared" si="81"/>
        <v>0.35148514851485146</v>
      </c>
      <c r="N205" s="830">
        <f t="shared" si="81"/>
        <v>0</v>
      </c>
      <c r="O205" s="832">
        <f t="shared" si="81"/>
        <v>0.1552346570397112</v>
      </c>
      <c r="P205" s="832">
        <f t="shared" si="81"/>
        <v>0</v>
      </c>
      <c r="Q205" s="830">
        <f t="shared" si="81"/>
        <v>0</v>
      </c>
      <c r="R205" s="833">
        <f t="shared" si="81"/>
        <v>0</v>
      </c>
      <c r="S205" s="832">
        <f t="shared" si="81"/>
        <v>0</v>
      </c>
      <c r="T205" s="213"/>
      <c r="U205" s="349">
        <v>369</v>
      </c>
      <c r="V205" s="349">
        <v>96</v>
      </c>
      <c r="W205" s="349"/>
      <c r="X205" s="349">
        <v>30</v>
      </c>
      <c r="Y205" s="349"/>
      <c r="Z205" s="349">
        <v>61</v>
      </c>
      <c r="AA205" s="804">
        <v>556</v>
      </c>
      <c r="AB205" s="804"/>
      <c r="AC205" s="349"/>
      <c r="AD205" s="349">
        <v>32</v>
      </c>
      <c r="AE205" s="349">
        <v>71</v>
      </c>
      <c r="AF205" s="349"/>
      <c r="AG205" s="804">
        <v>86</v>
      </c>
      <c r="AH205" s="804"/>
      <c r="AI205" s="349"/>
      <c r="AJ205" s="813"/>
      <c r="AK205" s="804"/>
      <c r="AL205" s="209"/>
      <c r="AM205" s="209"/>
    </row>
    <row r="206" spans="1:39" s="80" customFormat="1">
      <c r="A206" s="436"/>
      <c r="B206" s="436" t="s">
        <v>59</v>
      </c>
      <c r="C206" s="834">
        <f>IF(U206&gt;0,(U206/U206),0)</f>
        <v>1</v>
      </c>
      <c r="D206" s="835">
        <f t="shared" ref="D206:S206" si="82">IF(V206&gt;0,(V206/V206),0)</f>
        <v>1</v>
      </c>
      <c r="E206" s="835">
        <f t="shared" si="82"/>
        <v>0</v>
      </c>
      <c r="F206" s="835">
        <f t="shared" si="82"/>
        <v>1</v>
      </c>
      <c r="G206" s="835">
        <f t="shared" si="82"/>
        <v>0</v>
      </c>
      <c r="H206" s="835">
        <f t="shared" si="82"/>
        <v>1</v>
      </c>
      <c r="I206" s="834">
        <f t="shared" si="82"/>
        <v>1</v>
      </c>
      <c r="J206" s="834">
        <f t="shared" si="82"/>
        <v>0</v>
      </c>
      <c r="K206" s="835">
        <f t="shared" si="82"/>
        <v>1</v>
      </c>
      <c r="L206" s="835">
        <f t="shared" si="82"/>
        <v>1</v>
      </c>
      <c r="M206" s="835">
        <f t="shared" si="82"/>
        <v>1</v>
      </c>
      <c r="N206" s="835">
        <f t="shared" si="82"/>
        <v>1</v>
      </c>
      <c r="O206" s="834">
        <f t="shared" si="82"/>
        <v>1</v>
      </c>
      <c r="P206" s="834">
        <f t="shared" si="82"/>
        <v>0</v>
      </c>
      <c r="Q206" s="835">
        <f t="shared" si="82"/>
        <v>0</v>
      </c>
      <c r="R206" s="836">
        <f t="shared" si="82"/>
        <v>0</v>
      </c>
      <c r="S206" s="834">
        <f t="shared" si="82"/>
        <v>0</v>
      </c>
      <c r="T206" s="213"/>
      <c r="U206" s="816">
        <v>1275</v>
      </c>
      <c r="V206" s="816">
        <v>744</v>
      </c>
      <c r="W206" s="816"/>
      <c r="X206" s="816">
        <v>728</v>
      </c>
      <c r="Y206" s="816"/>
      <c r="Z206" s="816">
        <v>621</v>
      </c>
      <c r="AA206" s="805">
        <v>3368</v>
      </c>
      <c r="AB206" s="805"/>
      <c r="AC206" s="816">
        <v>352</v>
      </c>
      <c r="AD206" s="816">
        <v>120</v>
      </c>
      <c r="AE206" s="816">
        <v>202</v>
      </c>
      <c r="AF206" s="816">
        <v>29</v>
      </c>
      <c r="AG206" s="805">
        <v>554</v>
      </c>
      <c r="AH206" s="805"/>
      <c r="AI206" s="816"/>
      <c r="AJ206" s="817"/>
      <c r="AK206" s="805"/>
      <c r="AL206" s="209"/>
      <c r="AM206" s="209"/>
    </row>
    <row r="207" spans="1:39" s="80" customFormat="1">
      <c r="A207" s="240" t="s">
        <v>167</v>
      </c>
      <c r="B207" s="240" t="s">
        <v>53</v>
      </c>
      <c r="C207" s="829">
        <f>IF(U212&gt;0,(U207/U212),0)</f>
        <v>0.36175710594315247</v>
      </c>
      <c r="D207" s="830">
        <f t="shared" ref="D207:S207" si="83">IF(V212&gt;0,(V207/V212),0)</f>
        <v>0</v>
      </c>
      <c r="E207" s="830">
        <f t="shared" si="83"/>
        <v>0.31191335740072201</v>
      </c>
      <c r="F207" s="830">
        <f t="shared" si="83"/>
        <v>0.18939393939393939</v>
      </c>
      <c r="G207" s="830">
        <f t="shared" si="83"/>
        <v>8.4942084942084939E-2</v>
      </c>
      <c r="H207" s="830">
        <f t="shared" si="83"/>
        <v>0</v>
      </c>
      <c r="I207" s="829">
        <f t="shared" si="83"/>
        <v>0.32820197044334976</v>
      </c>
      <c r="J207" s="829">
        <f t="shared" si="83"/>
        <v>0</v>
      </c>
      <c r="K207" s="830">
        <f t="shared" si="83"/>
        <v>0</v>
      </c>
      <c r="L207" s="830">
        <f t="shared" si="83"/>
        <v>0</v>
      </c>
      <c r="M207" s="830">
        <f t="shared" si="83"/>
        <v>0.24749163879598662</v>
      </c>
      <c r="N207" s="830">
        <f t="shared" si="83"/>
        <v>0</v>
      </c>
      <c r="O207" s="829">
        <f t="shared" si="83"/>
        <v>2.3940561364887175E-2</v>
      </c>
      <c r="P207" s="829">
        <f t="shared" si="83"/>
        <v>0</v>
      </c>
      <c r="Q207" s="830">
        <f t="shared" si="83"/>
        <v>0</v>
      </c>
      <c r="R207" s="831">
        <f t="shared" si="83"/>
        <v>0</v>
      </c>
      <c r="S207" s="829">
        <f t="shared" si="83"/>
        <v>0</v>
      </c>
      <c r="T207" s="213"/>
      <c r="U207" s="349">
        <v>1120</v>
      </c>
      <c r="V207" s="349"/>
      <c r="W207" s="349">
        <v>432</v>
      </c>
      <c r="X207" s="349">
        <v>25</v>
      </c>
      <c r="Y207" s="349">
        <v>22</v>
      </c>
      <c r="Z207" s="349"/>
      <c r="AA207" s="803">
        <v>1599</v>
      </c>
      <c r="AB207" s="803"/>
      <c r="AC207" s="349"/>
      <c r="AD207" s="349"/>
      <c r="AE207" s="349">
        <v>74</v>
      </c>
      <c r="AF207" s="349"/>
      <c r="AG207" s="803">
        <v>87</v>
      </c>
      <c r="AH207" s="803"/>
      <c r="AI207" s="349"/>
      <c r="AJ207" s="812"/>
      <c r="AK207" s="803"/>
      <c r="AL207" s="209"/>
      <c r="AM207" s="209"/>
    </row>
    <row r="208" spans="1:39" s="80" customFormat="1">
      <c r="A208" s="239"/>
      <c r="B208" s="239" t="s">
        <v>93</v>
      </c>
      <c r="C208" s="832">
        <f>IF(U212&gt;0,(U208/U212),0)</f>
        <v>0.23320413436692505</v>
      </c>
      <c r="D208" s="830">
        <f t="shared" ref="D208:S208" si="84">IF(V212&gt;0,(V208/V212),0)</f>
        <v>0</v>
      </c>
      <c r="E208" s="830">
        <f t="shared" si="84"/>
        <v>0.25776173285198556</v>
      </c>
      <c r="F208" s="830">
        <f t="shared" si="84"/>
        <v>0.32575757575757575</v>
      </c>
      <c r="G208" s="830">
        <f t="shared" si="84"/>
        <v>8.1081081081081086E-2</v>
      </c>
      <c r="H208" s="830">
        <f t="shared" si="84"/>
        <v>0</v>
      </c>
      <c r="I208" s="832">
        <f t="shared" si="84"/>
        <v>0.23460591133004927</v>
      </c>
      <c r="J208" s="832">
        <f t="shared" si="84"/>
        <v>0</v>
      </c>
      <c r="K208" s="830">
        <f t="shared" si="84"/>
        <v>0</v>
      </c>
      <c r="L208" s="830">
        <f t="shared" si="84"/>
        <v>0</v>
      </c>
      <c r="M208" s="830">
        <f t="shared" si="84"/>
        <v>0</v>
      </c>
      <c r="N208" s="830">
        <f t="shared" si="84"/>
        <v>0</v>
      </c>
      <c r="O208" s="832">
        <f t="shared" si="84"/>
        <v>0</v>
      </c>
      <c r="P208" s="832">
        <f t="shared" si="84"/>
        <v>0</v>
      </c>
      <c r="Q208" s="830">
        <f t="shared" si="84"/>
        <v>0</v>
      </c>
      <c r="R208" s="833">
        <f t="shared" si="84"/>
        <v>0</v>
      </c>
      <c r="S208" s="832">
        <f t="shared" si="84"/>
        <v>0</v>
      </c>
      <c r="T208" s="213"/>
      <c r="U208" s="349">
        <v>722</v>
      </c>
      <c r="V208" s="349"/>
      <c r="W208" s="349">
        <v>357</v>
      </c>
      <c r="X208" s="349">
        <v>43</v>
      </c>
      <c r="Y208" s="349">
        <v>21</v>
      </c>
      <c r="Z208" s="349"/>
      <c r="AA208" s="804">
        <v>1143</v>
      </c>
      <c r="AB208" s="804"/>
      <c r="AC208" s="349"/>
      <c r="AD208" s="349"/>
      <c r="AE208" s="349"/>
      <c r="AF208" s="349"/>
      <c r="AG208" s="804"/>
      <c r="AH208" s="804"/>
      <c r="AI208" s="349"/>
      <c r="AJ208" s="813"/>
      <c r="AK208" s="804"/>
      <c r="AL208" s="209"/>
      <c r="AM208" s="209"/>
    </row>
    <row r="209" spans="1:39" s="80" customFormat="1">
      <c r="A209" s="239"/>
      <c r="B209" s="239" t="s">
        <v>55</v>
      </c>
      <c r="C209" s="832">
        <f>IF(U212&gt;0,(U209/U212),0)</f>
        <v>0.20671834625322996</v>
      </c>
      <c r="D209" s="830">
        <f t="shared" ref="D209:S209" si="85">IF(V212&gt;0,(V209/V212),0)</f>
        <v>0</v>
      </c>
      <c r="E209" s="830">
        <f t="shared" si="85"/>
        <v>0.25703971119133573</v>
      </c>
      <c r="F209" s="830">
        <f t="shared" si="85"/>
        <v>0.2878787878787879</v>
      </c>
      <c r="G209" s="830">
        <f t="shared" si="85"/>
        <v>0.10038610038610038</v>
      </c>
      <c r="H209" s="830">
        <f t="shared" si="85"/>
        <v>0</v>
      </c>
      <c r="I209" s="832">
        <f t="shared" si="85"/>
        <v>0.21756978653530379</v>
      </c>
      <c r="J209" s="832">
        <f t="shared" si="85"/>
        <v>0</v>
      </c>
      <c r="K209" s="830">
        <f t="shared" si="85"/>
        <v>0</v>
      </c>
      <c r="L209" s="830">
        <f t="shared" si="85"/>
        <v>0</v>
      </c>
      <c r="M209" s="830">
        <f t="shared" si="85"/>
        <v>0</v>
      </c>
      <c r="N209" s="830">
        <f t="shared" si="85"/>
        <v>0</v>
      </c>
      <c r="O209" s="832">
        <f t="shared" si="85"/>
        <v>0</v>
      </c>
      <c r="P209" s="832">
        <f t="shared" si="85"/>
        <v>0</v>
      </c>
      <c r="Q209" s="830">
        <f t="shared" si="85"/>
        <v>0</v>
      </c>
      <c r="R209" s="833">
        <f t="shared" si="85"/>
        <v>0</v>
      </c>
      <c r="S209" s="832">
        <f t="shared" si="85"/>
        <v>0</v>
      </c>
      <c r="T209" s="213"/>
      <c r="U209" s="349">
        <v>640</v>
      </c>
      <c r="V209" s="349"/>
      <c r="W209" s="349">
        <v>356</v>
      </c>
      <c r="X209" s="349">
        <v>38</v>
      </c>
      <c r="Y209" s="349">
        <v>26</v>
      </c>
      <c r="Z209" s="349"/>
      <c r="AA209" s="804">
        <v>1060</v>
      </c>
      <c r="AB209" s="804"/>
      <c r="AC209" s="349"/>
      <c r="AD209" s="349"/>
      <c r="AE209" s="349"/>
      <c r="AF209" s="349"/>
      <c r="AG209" s="804"/>
      <c r="AH209" s="804"/>
      <c r="AI209" s="349"/>
      <c r="AJ209" s="813"/>
      <c r="AK209" s="804"/>
      <c r="AL209" s="209"/>
      <c r="AM209" s="209"/>
    </row>
    <row r="210" spans="1:39" s="80" customFormat="1">
      <c r="A210" s="239"/>
      <c r="B210" s="239" t="s">
        <v>78</v>
      </c>
      <c r="C210" s="832">
        <f>IF(U212&gt;0,(U210/U212),0)</f>
        <v>6.0077519379844964E-2</v>
      </c>
      <c r="D210" s="830">
        <f t="shared" ref="D210:S210" si="86">IF(V212&gt;0,(V210/V212),0)</f>
        <v>0</v>
      </c>
      <c r="E210" s="830">
        <f t="shared" si="86"/>
        <v>3.032490974729242E-2</v>
      </c>
      <c r="F210" s="830">
        <f t="shared" si="86"/>
        <v>0</v>
      </c>
      <c r="G210" s="830">
        <f t="shared" si="86"/>
        <v>0</v>
      </c>
      <c r="H210" s="830">
        <f t="shared" si="86"/>
        <v>0</v>
      </c>
      <c r="I210" s="832">
        <f t="shared" si="86"/>
        <v>4.6798029556650245E-2</v>
      </c>
      <c r="J210" s="832">
        <f t="shared" si="86"/>
        <v>0</v>
      </c>
      <c r="K210" s="830">
        <f t="shared" si="86"/>
        <v>0</v>
      </c>
      <c r="L210" s="830">
        <f t="shared" si="86"/>
        <v>0.18739770867430441</v>
      </c>
      <c r="M210" s="830">
        <f t="shared" si="86"/>
        <v>0.27759197324414714</v>
      </c>
      <c r="N210" s="830">
        <f t="shared" si="86"/>
        <v>0</v>
      </c>
      <c r="O210" s="832">
        <f t="shared" si="86"/>
        <v>0.17914144193725923</v>
      </c>
      <c r="P210" s="832">
        <f t="shared" si="86"/>
        <v>0</v>
      </c>
      <c r="Q210" s="830">
        <f t="shared" si="86"/>
        <v>0</v>
      </c>
      <c r="R210" s="833">
        <f t="shared" si="86"/>
        <v>0</v>
      </c>
      <c r="S210" s="832">
        <f t="shared" si="86"/>
        <v>0</v>
      </c>
      <c r="T210" s="213"/>
      <c r="U210" s="349">
        <v>186</v>
      </c>
      <c r="V210" s="349"/>
      <c r="W210" s="349">
        <v>42</v>
      </c>
      <c r="X210" s="349"/>
      <c r="Y210" s="349"/>
      <c r="Z210" s="349"/>
      <c r="AA210" s="804">
        <v>228</v>
      </c>
      <c r="AB210" s="804"/>
      <c r="AC210" s="349"/>
      <c r="AD210" s="349">
        <v>458</v>
      </c>
      <c r="AE210" s="349">
        <v>83</v>
      </c>
      <c r="AF210" s="349"/>
      <c r="AG210" s="804">
        <v>651</v>
      </c>
      <c r="AH210" s="804"/>
      <c r="AI210" s="349"/>
      <c r="AJ210" s="813"/>
      <c r="AK210" s="804"/>
      <c r="AL210" s="209"/>
      <c r="AM210" s="209"/>
    </row>
    <row r="211" spans="1:39" s="80" customFormat="1">
      <c r="A211" s="580"/>
      <c r="B211" s="580" t="s">
        <v>131</v>
      </c>
      <c r="C211" s="832">
        <f>IF(U212&gt;0,(U211/U212),0)</f>
        <v>0.13824289405684753</v>
      </c>
      <c r="D211" s="830">
        <f t="shared" ref="D211:S211" si="87">IF(V212&gt;0,(V211/V212),0)</f>
        <v>0</v>
      </c>
      <c r="E211" s="830">
        <f t="shared" si="87"/>
        <v>0.14296028880866427</v>
      </c>
      <c r="F211" s="830">
        <f t="shared" si="87"/>
        <v>0.19696969696969696</v>
      </c>
      <c r="G211" s="830">
        <f t="shared" si="87"/>
        <v>0.73359073359073357</v>
      </c>
      <c r="H211" s="830">
        <f t="shared" si="87"/>
        <v>0</v>
      </c>
      <c r="I211" s="832">
        <f t="shared" si="87"/>
        <v>0.17282430213464697</v>
      </c>
      <c r="J211" s="832">
        <f t="shared" si="87"/>
        <v>0</v>
      </c>
      <c r="K211" s="830">
        <f t="shared" si="87"/>
        <v>1</v>
      </c>
      <c r="L211" s="830">
        <f t="shared" si="87"/>
        <v>0.81260229132569561</v>
      </c>
      <c r="M211" s="830">
        <f t="shared" si="87"/>
        <v>0.47491638795986624</v>
      </c>
      <c r="N211" s="830">
        <f t="shared" si="87"/>
        <v>0</v>
      </c>
      <c r="O211" s="832">
        <f t="shared" si="87"/>
        <v>0.79691799669785357</v>
      </c>
      <c r="P211" s="832">
        <f t="shared" si="87"/>
        <v>0</v>
      </c>
      <c r="Q211" s="830">
        <f t="shared" si="87"/>
        <v>0</v>
      </c>
      <c r="R211" s="833">
        <f t="shared" si="87"/>
        <v>0</v>
      </c>
      <c r="S211" s="832">
        <f t="shared" si="87"/>
        <v>0</v>
      </c>
      <c r="T211" s="213"/>
      <c r="U211" s="349">
        <v>428</v>
      </c>
      <c r="V211" s="349"/>
      <c r="W211" s="349">
        <v>198</v>
      </c>
      <c r="X211" s="349">
        <v>26</v>
      </c>
      <c r="Y211" s="349">
        <v>190</v>
      </c>
      <c r="Z211" s="349"/>
      <c r="AA211" s="804">
        <v>842</v>
      </c>
      <c r="AB211" s="804"/>
      <c r="AC211" s="349">
        <v>696</v>
      </c>
      <c r="AD211" s="349">
        <v>1986</v>
      </c>
      <c r="AE211" s="349">
        <v>142</v>
      </c>
      <c r="AF211" s="349"/>
      <c r="AG211" s="804">
        <v>2896</v>
      </c>
      <c r="AH211" s="804"/>
      <c r="AI211" s="349"/>
      <c r="AJ211" s="813"/>
      <c r="AK211" s="804"/>
      <c r="AL211" s="209"/>
      <c r="AM211" s="209"/>
    </row>
    <row r="212" spans="1:39" s="80" customFormat="1">
      <c r="A212" s="436"/>
      <c r="B212" s="436" t="s">
        <v>59</v>
      </c>
      <c r="C212" s="834">
        <f>IF(U212&gt;0,(U212/U212),0)</f>
        <v>1</v>
      </c>
      <c r="D212" s="835">
        <f t="shared" ref="D212:S212" si="88">IF(V212&gt;0,(V212/V212),0)</f>
        <v>0</v>
      </c>
      <c r="E212" s="835">
        <f t="shared" si="88"/>
        <v>1</v>
      </c>
      <c r="F212" s="835">
        <f t="shared" si="88"/>
        <v>1</v>
      </c>
      <c r="G212" s="835">
        <f t="shared" si="88"/>
        <v>1</v>
      </c>
      <c r="H212" s="835">
        <f t="shared" si="88"/>
        <v>0</v>
      </c>
      <c r="I212" s="834">
        <f t="shared" si="88"/>
        <v>1</v>
      </c>
      <c r="J212" s="834">
        <f t="shared" si="88"/>
        <v>0</v>
      </c>
      <c r="K212" s="835">
        <f t="shared" si="88"/>
        <v>1</v>
      </c>
      <c r="L212" s="835">
        <f t="shared" si="88"/>
        <v>1</v>
      </c>
      <c r="M212" s="835">
        <f t="shared" si="88"/>
        <v>1</v>
      </c>
      <c r="N212" s="835">
        <f t="shared" si="88"/>
        <v>0</v>
      </c>
      <c r="O212" s="834">
        <f t="shared" si="88"/>
        <v>1</v>
      </c>
      <c r="P212" s="834">
        <f t="shared" si="88"/>
        <v>0</v>
      </c>
      <c r="Q212" s="835">
        <f t="shared" si="88"/>
        <v>0</v>
      </c>
      <c r="R212" s="836">
        <f t="shared" si="88"/>
        <v>0</v>
      </c>
      <c r="S212" s="834">
        <f t="shared" si="88"/>
        <v>0</v>
      </c>
      <c r="T212" s="213"/>
      <c r="U212" s="816">
        <v>3096</v>
      </c>
      <c r="V212" s="816"/>
      <c r="W212" s="816">
        <v>1385</v>
      </c>
      <c r="X212" s="816">
        <v>132</v>
      </c>
      <c r="Y212" s="816">
        <v>259</v>
      </c>
      <c r="Z212" s="816"/>
      <c r="AA212" s="805">
        <v>4872</v>
      </c>
      <c r="AB212" s="805"/>
      <c r="AC212" s="816">
        <v>696</v>
      </c>
      <c r="AD212" s="816">
        <v>2444</v>
      </c>
      <c r="AE212" s="816">
        <v>299</v>
      </c>
      <c r="AF212" s="816"/>
      <c r="AG212" s="805">
        <v>3634</v>
      </c>
      <c r="AH212" s="805"/>
      <c r="AI212" s="816"/>
      <c r="AJ212" s="817"/>
      <c r="AK212" s="805"/>
      <c r="AL212" s="209"/>
      <c r="AM212" s="209"/>
    </row>
    <row r="213" spans="1:39" s="80" customFormat="1">
      <c r="A213" s="240" t="s">
        <v>169</v>
      </c>
      <c r="B213" s="240" t="s">
        <v>53</v>
      </c>
      <c r="C213" s="829">
        <f>IF(U218&gt;0,(U213/U218),0)</f>
        <v>0</v>
      </c>
      <c r="D213" s="830">
        <f t="shared" ref="D213:S213" si="89">IF(V218&gt;0,(V213/V218),0)</f>
        <v>0.30069930069930068</v>
      </c>
      <c r="E213" s="830">
        <f t="shared" si="89"/>
        <v>0</v>
      </c>
      <c r="F213" s="830">
        <f t="shared" si="89"/>
        <v>0</v>
      </c>
      <c r="G213" s="830">
        <f t="shared" si="89"/>
        <v>0</v>
      </c>
      <c r="H213" s="830">
        <f t="shared" si="89"/>
        <v>0</v>
      </c>
      <c r="I213" s="829">
        <f t="shared" si="89"/>
        <v>0.30069930069930068</v>
      </c>
      <c r="J213" s="829">
        <f t="shared" si="89"/>
        <v>0</v>
      </c>
      <c r="K213" s="830">
        <f t="shared" si="89"/>
        <v>0</v>
      </c>
      <c r="L213" s="830">
        <f t="shared" si="89"/>
        <v>0</v>
      </c>
      <c r="M213" s="830">
        <f t="shared" si="89"/>
        <v>9.3457943925233641E-2</v>
      </c>
      <c r="N213" s="830">
        <f t="shared" si="89"/>
        <v>0</v>
      </c>
      <c r="O213" s="829">
        <f t="shared" si="89"/>
        <v>5.4888507718696397E-2</v>
      </c>
      <c r="P213" s="829">
        <f t="shared" si="89"/>
        <v>0</v>
      </c>
      <c r="Q213" s="830">
        <f t="shared" si="89"/>
        <v>0</v>
      </c>
      <c r="R213" s="831">
        <f t="shared" si="89"/>
        <v>0</v>
      </c>
      <c r="S213" s="829">
        <f t="shared" si="89"/>
        <v>0</v>
      </c>
      <c r="T213" s="213"/>
      <c r="U213" s="349"/>
      <c r="V213" s="349">
        <v>215</v>
      </c>
      <c r="W213" s="349"/>
      <c r="X213" s="349"/>
      <c r="Y213" s="349"/>
      <c r="Z213" s="349"/>
      <c r="AA213" s="803">
        <v>215</v>
      </c>
      <c r="AB213" s="803"/>
      <c r="AC213" s="349"/>
      <c r="AD213" s="349"/>
      <c r="AE213" s="349">
        <v>30</v>
      </c>
      <c r="AF213" s="349"/>
      <c r="AG213" s="803">
        <v>32</v>
      </c>
      <c r="AH213" s="803"/>
      <c r="AI213" s="349"/>
      <c r="AJ213" s="812"/>
      <c r="AK213" s="803"/>
      <c r="AL213" s="209"/>
      <c r="AM213" s="209"/>
    </row>
    <row r="214" spans="1:39" s="80" customFormat="1">
      <c r="A214" s="239"/>
      <c r="B214" s="239" t="s">
        <v>93</v>
      </c>
      <c r="C214" s="832">
        <f>IF(U218&gt;0,(U214/U218),0)</f>
        <v>0</v>
      </c>
      <c r="D214" s="830">
        <f t="shared" ref="D214:S214" si="90">IF(V218&gt;0,(V214/V218),0)</f>
        <v>0.25034965034965034</v>
      </c>
      <c r="E214" s="830">
        <f t="shared" si="90"/>
        <v>0</v>
      </c>
      <c r="F214" s="830">
        <f t="shared" si="90"/>
        <v>0</v>
      </c>
      <c r="G214" s="830">
        <f t="shared" si="90"/>
        <v>0</v>
      </c>
      <c r="H214" s="830">
        <f t="shared" si="90"/>
        <v>0</v>
      </c>
      <c r="I214" s="832">
        <f t="shared" si="90"/>
        <v>0.25034965034965034</v>
      </c>
      <c r="J214" s="832">
        <f t="shared" si="90"/>
        <v>0</v>
      </c>
      <c r="K214" s="830">
        <f t="shared" si="90"/>
        <v>0</v>
      </c>
      <c r="L214" s="830">
        <f t="shared" si="90"/>
        <v>0</v>
      </c>
      <c r="M214" s="830">
        <f t="shared" si="90"/>
        <v>0.12149532710280374</v>
      </c>
      <c r="N214" s="830">
        <f t="shared" si="90"/>
        <v>0</v>
      </c>
      <c r="O214" s="832">
        <f t="shared" si="90"/>
        <v>6.6895368782161235E-2</v>
      </c>
      <c r="P214" s="832">
        <f t="shared" si="90"/>
        <v>0</v>
      </c>
      <c r="Q214" s="830">
        <f t="shared" si="90"/>
        <v>0</v>
      </c>
      <c r="R214" s="833">
        <f t="shared" si="90"/>
        <v>0</v>
      </c>
      <c r="S214" s="832">
        <f t="shared" si="90"/>
        <v>0</v>
      </c>
      <c r="T214" s="213"/>
      <c r="U214" s="349"/>
      <c r="V214" s="349">
        <v>179</v>
      </c>
      <c r="W214" s="349"/>
      <c r="X214" s="349"/>
      <c r="Y214" s="349"/>
      <c r="Z214" s="349"/>
      <c r="AA214" s="804">
        <v>179</v>
      </c>
      <c r="AB214" s="804"/>
      <c r="AC214" s="349"/>
      <c r="AD214" s="349"/>
      <c r="AE214" s="349">
        <v>39</v>
      </c>
      <c r="AF214" s="349"/>
      <c r="AG214" s="804">
        <v>39</v>
      </c>
      <c r="AH214" s="804"/>
      <c r="AI214" s="349"/>
      <c r="AJ214" s="813"/>
      <c r="AK214" s="804"/>
      <c r="AL214" s="209"/>
      <c r="AM214" s="209"/>
    </row>
    <row r="215" spans="1:39" s="80" customFormat="1">
      <c r="A215" s="239"/>
      <c r="B215" s="239" t="s">
        <v>55</v>
      </c>
      <c r="C215" s="832">
        <f>IF(U218&gt;0,(U215/U218),0)</f>
        <v>0</v>
      </c>
      <c r="D215" s="830">
        <f t="shared" ref="D215:S215" si="91">IF(V218&gt;0,(V215/V218),0)</f>
        <v>0.24195804195804196</v>
      </c>
      <c r="E215" s="830">
        <f t="shared" si="91"/>
        <v>0</v>
      </c>
      <c r="F215" s="830">
        <f t="shared" si="91"/>
        <v>0</v>
      </c>
      <c r="G215" s="830">
        <f t="shared" si="91"/>
        <v>0</v>
      </c>
      <c r="H215" s="830">
        <f t="shared" si="91"/>
        <v>0</v>
      </c>
      <c r="I215" s="832">
        <f t="shared" si="91"/>
        <v>0.24195804195804196</v>
      </c>
      <c r="J215" s="832">
        <f t="shared" si="91"/>
        <v>0</v>
      </c>
      <c r="K215" s="830">
        <f t="shared" si="91"/>
        <v>0</v>
      </c>
      <c r="L215" s="830">
        <f t="shared" si="91"/>
        <v>0</v>
      </c>
      <c r="M215" s="830">
        <f t="shared" si="91"/>
        <v>0.17445482866043613</v>
      </c>
      <c r="N215" s="830">
        <f t="shared" si="91"/>
        <v>0</v>
      </c>
      <c r="O215" s="832">
        <f t="shared" si="91"/>
        <v>0.10634648370497427</v>
      </c>
      <c r="P215" s="832">
        <f t="shared" si="91"/>
        <v>0</v>
      </c>
      <c r="Q215" s="830">
        <f t="shared" si="91"/>
        <v>0</v>
      </c>
      <c r="R215" s="833">
        <f t="shared" si="91"/>
        <v>0</v>
      </c>
      <c r="S215" s="832">
        <f t="shared" si="91"/>
        <v>0</v>
      </c>
      <c r="T215" s="213"/>
      <c r="U215" s="349"/>
      <c r="V215" s="349">
        <v>173</v>
      </c>
      <c r="W215" s="349"/>
      <c r="X215" s="349"/>
      <c r="Y215" s="349"/>
      <c r="Z215" s="349"/>
      <c r="AA215" s="804">
        <v>173</v>
      </c>
      <c r="AB215" s="804"/>
      <c r="AC215" s="349"/>
      <c r="AD215" s="349"/>
      <c r="AE215" s="349">
        <v>56</v>
      </c>
      <c r="AF215" s="349"/>
      <c r="AG215" s="804">
        <v>62</v>
      </c>
      <c r="AH215" s="804"/>
      <c r="AI215" s="349"/>
      <c r="AJ215" s="813"/>
      <c r="AK215" s="804"/>
      <c r="AL215" s="209"/>
      <c r="AM215" s="209"/>
    </row>
    <row r="216" spans="1:39" s="80" customFormat="1">
      <c r="A216" s="239"/>
      <c r="B216" s="239" t="s">
        <v>78</v>
      </c>
      <c r="C216" s="832">
        <f>IF(U218&gt;0,(U216/U218),0)</f>
        <v>0</v>
      </c>
      <c r="D216" s="830">
        <f t="shared" ref="D216:S216" si="92">IF(V218&gt;0,(V216/V218),0)</f>
        <v>5.5944055944055944E-3</v>
      </c>
      <c r="E216" s="830">
        <f t="shared" si="92"/>
        <v>0</v>
      </c>
      <c r="F216" s="830">
        <f t="shared" si="92"/>
        <v>0</v>
      </c>
      <c r="G216" s="830">
        <f t="shared" si="92"/>
        <v>0</v>
      </c>
      <c r="H216" s="830">
        <f t="shared" si="92"/>
        <v>0</v>
      </c>
      <c r="I216" s="832">
        <f t="shared" si="92"/>
        <v>5.5944055944055944E-3</v>
      </c>
      <c r="J216" s="832">
        <f t="shared" si="92"/>
        <v>0</v>
      </c>
      <c r="K216" s="830">
        <f t="shared" si="92"/>
        <v>0</v>
      </c>
      <c r="L216" s="830">
        <f t="shared" si="92"/>
        <v>0</v>
      </c>
      <c r="M216" s="830">
        <f t="shared" si="92"/>
        <v>0.61059190031152644</v>
      </c>
      <c r="N216" s="830">
        <f t="shared" si="92"/>
        <v>0</v>
      </c>
      <c r="O216" s="832">
        <f t="shared" si="92"/>
        <v>0.18524871355060035</v>
      </c>
      <c r="P216" s="832">
        <f t="shared" si="92"/>
        <v>0</v>
      </c>
      <c r="Q216" s="830">
        <f t="shared" si="92"/>
        <v>0</v>
      </c>
      <c r="R216" s="833">
        <f t="shared" si="92"/>
        <v>0</v>
      </c>
      <c r="S216" s="832">
        <f t="shared" si="92"/>
        <v>0</v>
      </c>
      <c r="T216" s="213"/>
      <c r="U216" s="349"/>
      <c r="V216" s="349">
        <v>4</v>
      </c>
      <c r="W216" s="349"/>
      <c r="X216" s="349"/>
      <c r="Y216" s="349"/>
      <c r="Z216" s="349"/>
      <c r="AA216" s="804">
        <v>4</v>
      </c>
      <c r="AB216" s="804"/>
      <c r="AC216" s="349"/>
      <c r="AD216" s="349"/>
      <c r="AE216" s="349">
        <v>196</v>
      </c>
      <c r="AF216" s="349"/>
      <c r="AG216" s="804">
        <v>108</v>
      </c>
      <c r="AH216" s="804"/>
      <c r="AI216" s="349"/>
      <c r="AJ216" s="813"/>
      <c r="AK216" s="804"/>
      <c r="AL216" s="209"/>
      <c r="AM216" s="209"/>
    </row>
    <row r="217" spans="1:39" s="80" customFormat="1">
      <c r="A217" s="580"/>
      <c r="B217" s="580" t="s">
        <v>131</v>
      </c>
      <c r="C217" s="832">
        <f>IF(U218&gt;0,(U217/U218),0)</f>
        <v>0</v>
      </c>
      <c r="D217" s="830">
        <f t="shared" ref="D217:S217" si="93">IF(V218&gt;0,(V217/V218),0)</f>
        <v>0.20139860139860141</v>
      </c>
      <c r="E217" s="830">
        <f t="shared" si="93"/>
        <v>0</v>
      </c>
      <c r="F217" s="830">
        <f t="shared" si="93"/>
        <v>0</v>
      </c>
      <c r="G217" s="830">
        <f t="shared" si="93"/>
        <v>0</v>
      </c>
      <c r="H217" s="830">
        <f t="shared" si="93"/>
        <v>0</v>
      </c>
      <c r="I217" s="832">
        <f t="shared" si="93"/>
        <v>0.20139860139860141</v>
      </c>
      <c r="J217" s="832">
        <f t="shared" si="93"/>
        <v>0</v>
      </c>
      <c r="K217" s="830">
        <f t="shared" si="93"/>
        <v>0</v>
      </c>
      <c r="L217" s="830">
        <f t="shared" si="93"/>
        <v>1</v>
      </c>
      <c r="M217" s="830">
        <f t="shared" si="93"/>
        <v>0</v>
      </c>
      <c r="N217" s="830">
        <f t="shared" si="93"/>
        <v>0</v>
      </c>
      <c r="O217" s="832">
        <f t="shared" si="93"/>
        <v>0.58662092624356776</v>
      </c>
      <c r="P217" s="832">
        <f t="shared" si="93"/>
        <v>0</v>
      </c>
      <c r="Q217" s="830">
        <f t="shared" si="93"/>
        <v>0</v>
      </c>
      <c r="R217" s="833">
        <f t="shared" si="93"/>
        <v>0</v>
      </c>
      <c r="S217" s="832">
        <f t="shared" si="93"/>
        <v>0</v>
      </c>
      <c r="T217" s="213"/>
      <c r="U217" s="349"/>
      <c r="V217" s="349">
        <v>144</v>
      </c>
      <c r="W217" s="349"/>
      <c r="X217" s="349"/>
      <c r="Y217" s="349"/>
      <c r="Z217" s="349"/>
      <c r="AA217" s="804">
        <v>144</v>
      </c>
      <c r="AB217" s="804"/>
      <c r="AC217" s="349"/>
      <c r="AD217" s="349">
        <v>249</v>
      </c>
      <c r="AE217" s="349"/>
      <c r="AF217" s="349"/>
      <c r="AG217" s="804">
        <v>342</v>
      </c>
      <c r="AH217" s="804"/>
      <c r="AI217" s="349"/>
      <c r="AJ217" s="813"/>
      <c r="AK217" s="804"/>
      <c r="AL217" s="209"/>
      <c r="AM217" s="209"/>
    </row>
    <row r="218" spans="1:39" s="80" customFormat="1">
      <c r="A218" s="436"/>
      <c r="B218" s="436" t="s">
        <v>59</v>
      </c>
      <c r="C218" s="834">
        <f>IF(U218&gt;0,(U218/U218),0)</f>
        <v>0</v>
      </c>
      <c r="D218" s="835">
        <f t="shared" ref="D218:S218" si="94">IF(V218&gt;0,(V218/V218),0)</f>
        <v>1</v>
      </c>
      <c r="E218" s="835">
        <f t="shared" si="94"/>
        <v>0</v>
      </c>
      <c r="F218" s="835">
        <f t="shared" si="94"/>
        <v>0</v>
      </c>
      <c r="G218" s="835">
        <f t="shared" si="94"/>
        <v>0</v>
      </c>
      <c r="H218" s="835">
        <f t="shared" si="94"/>
        <v>0</v>
      </c>
      <c r="I218" s="834">
        <f t="shared" si="94"/>
        <v>1</v>
      </c>
      <c r="J218" s="834">
        <f t="shared" si="94"/>
        <v>0</v>
      </c>
      <c r="K218" s="835">
        <f t="shared" si="94"/>
        <v>0</v>
      </c>
      <c r="L218" s="835">
        <f t="shared" si="94"/>
        <v>1</v>
      </c>
      <c r="M218" s="835">
        <f t="shared" si="94"/>
        <v>1</v>
      </c>
      <c r="N218" s="835">
        <f t="shared" si="94"/>
        <v>0</v>
      </c>
      <c r="O218" s="834">
        <f t="shared" si="94"/>
        <v>1</v>
      </c>
      <c r="P218" s="834">
        <f t="shared" si="94"/>
        <v>0</v>
      </c>
      <c r="Q218" s="835">
        <f t="shared" si="94"/>
        <v>0</v>
      </c>
      <c r="R218" s="836">
        <f t="shared" si="94"/>
        <v>0</v>
      </c>
      <c r="S218" s="834">
        <f t="shared" si="94"/>
        <v>0</v>
      </c>
      <c r="T218" s="213"/>
      <c r="U218" s="816"/>
      <c r="V218" s="816">
        <v>715</v>
      </c>
      <c r="W218" s="816"/>
      <c r="X218" s="816"/>
      <c r="Y218" s="816"/>
      <c r="Z218" s="816"/>
      <c r="AA218" s="805">
        <v>715</v>
      </c>
      <c r="AB218" s="805"/>
      <c r="AC218" s="816"/>
      <c r="AD218" s="816">
        <v>249</v>
      </c>
      <c r="AE218" s="816">
        <v>321</v>
      </c>
      <c r="AF218" s="816"/>
      <c r="AG218" s="805">
        <v>583</v>
      </c>
      <c r="AH218" s="805"/>
      <c r="AI218" s="816"/>
      <c r="AJ218" s="817"/>
      <c r="AK218" s="805"/>
      <c r="AL218" s="209"/>
      <c r="AM218" s="209"/>
    </row>
    <row r="219" spans="1:39" s="80" customFormat="1">
      <c r="A219" s="240" t="s">
        <v>172</v>
      </c>
      <c r="B219" s="240" t="s">
        <v>53</v>
      </c>
      <c r="C219" s="829">
        <f>IF(U224&gt;0,(U219/U224),0)</f>
        <v>0.34205732329366045</v>
      </c>
      <c r="D219" s="830">
        <f t="shared" ref="D219:S219" si="95">IF(V224&gt;0,(V219/V224),0)</f>
        <v>0.25449013642163115</v>
      </c>
      <c r="E219" s="830">
        <f t="shared" si="95"/>
        <v>0.27880339576876434</v>
      </c>
      <c r="F219" s="830">
        <f t="shared" si="95"/>
        <v>0.28272171253822631</v>
      </c>
      <c r="G219" s="830">
        <f t="shared" si="95"/>
        <v>0.30303030303030304</v>
      </c>
      <c r="H219" s="830">
        <f t="shared" si="95"/>
        <v>0.19584775086505191</v>
      </c>
      <c r="I219" s="829">
        <f t="shared" si="95"/>
        <v>0.30513316339984181</v>
      </c>
      <c r="J219" s="829">
        <f t="shared" si="95"/>
        <v>0.27464788732394368</v>
      </c>
      <c r="K219" s="830">
        <f t="shared" si="95"/>
        <v>0.18601453545472402</v>
      </c>
      <c r="L219" s="830">
        <f t="shared" si="95"/>
        <v>9.6436909958379863E-2</v>
      </c>
      <c r="M219" s="830">
        <f t="shared" si="95"/>
        <v>9.6556233653007847E-2</v>
      </c>
      <c r="N219" s="830">
        <f t="shared" si="95"/>
        <v>0</v>
      </c>
      <c r="O219" s="829">
        <f t="shared" si="95"/>
        <v>0.13987125794943384</v>
      </c>
      <c r="P219" s="829">
        <f t="shared" si="95"/>
        <v>0</v>
      </c>
      <c r="Q219" s="830">
        <f t="shared" si="95"/>
        <v>0</v>
      </c>
      <c r="R219" s="831">
        <f t="shared" si="95"/>
        <v>0</v>
      </c>
      <c r="S219" s="829">
        <f t="shared" si="95"/>
        <v>0</v>
      </c>
      <c r="T219" s="213"/>
      <c r="U219" s="796">
        <f>U225+U231+U237+U243+U249+U255+U261+U267+U273+U279+U285+U291</f>
        <v>11266</v>
      </c>
      <c r="V219" s="796">
        <f t="shared" ref="V219:AK224" si="96">V225+V231+V237+V243+V249+V255+V261+V267+V273+V279+V285+V291</f>
        <v>2593</v>
      </c>
      <c r="W219" s="796">
        <f t="shared" si="96"/>
        <v>4138</v>
      </c>
      <c r="X219" s="796">
        <f t="shared" si="96"/>
        <v>1849</v>
      </c>
      <c r="Y219" s="796">
        <f t="shared" si="96"/>
        <v>700</v>
      </c>
      <c r="Z219" s="796">
        <f t="shared" si="96"/>
        <v>283</v>
      </c>
      <c r="AA219" s="801">
        <f t="shared" si="96"/>
        <v>20829</v>
      </c>
      <c r="AB219" s="801">
        <f t="shared" si="96"/>
        <v>39</v>
      </c>
      <c r="AC219" s="796">
        <f t="shared" si="96"/>
        <v>1894</v>
      </c>
      <c r="AD219" s="796">
        <f t="shared" si="96"/>
        <v>950</v>
      </c>
      <c r="AE219" s="796">
        <f t="shared" si="96"/>
        <v>443</v>
      </c>
      <c r="AF219" s="796">
        <f t="shared" si="96"/>
        <v>0</v>
      </c>
      <c r="AG219" s="801">
        <f t="shared" si="96"/>
        <v>3607</v>
      </c>
      <c r="AH219" s="801">
        <f t="shared" si="96"/>
        <v>0</v>
      </c>
      <c r="AI219" s="796">
        <f t="shared" si="96"/>
        <v>0</v>
      </c>
      <c r="AJ219" s="818">
        <f t="shared" si="96"/>
        <v>0</v>
      </c>
      <c r="AK219" s="801">
        <f t="shared" si="96"/>
        <v>0</v>
      </c>
      <c r="AL219" s="209"/>
      <c r="AM219" s="209"/>
    </row>
    <row r="220" spans="1:39" s="80" customFormat="1">
      <c r="A220" s="239"/>
      <c r="B220" s="239" t="s">
        <v>93</v>
      </c>
      <c r="C220" s="832">
        <f>IF(U224&gt;0,(U220/U224),0)</f>
        <v>0.2687333009472917</v>
      </c>
      <c r="D220" s="830">
        <f t="shared" ref="D220:S220" si="97">IF(V224&gt;0,(V220/V224),0)</f>
        <v>0.29433703013053292</v>
      </c>
      <c r="E220" s="830">
        <f t="shared" si="97"/>
        <v>0.25650181916183801</v>
      </c>
      <c r="F220" s="830">
        <f t="shared" si="97"/>
        <v>0.26055045871559634</v>
      </c>
      <c r="G220" s="830">
        <f t="shared" si="97"/>
        <v>0.25541125541125542</v>
      </c>
      <c r="H220" s="830">
        <f t="shared" si="97"/>
        <v>0.2837370242214533</v>
      </c>
      <c r="I220" s="832">
        <f t="shared" si="97"/>
        <v>0.26897834812926663</v>
      </c>
      <c r="J220" s="832">
        <f t="shared" si="97"/>
        <v>0.29577464788732394</v>
      </c>
      <c r="K220" s="830">
        <f t="shared" si="97"/>
        <v>0.11431938715380083</v>
      </c>
      <c r="L220" s="830">
        <f t="shared" si="97"/>
        <v>8.760531925692823E-2</v>
      </c>
      <c r="M220" s="830">
        <f t="shared" si="97"/>
        <v>9.2632955536181338E-2</v>
      </c>
      <c r="N220" s="830">
        <f t="shared" si="97"/>
        <v>0</v>
      </c>
      <c r="O220" s="832">
        <f t="shared" si="97"/>
        <v>0.106561191251745</v>
      </c>
      <c r="P220" s="832">
        <f t="shared" si="97"/>
        <v>0</v>
      </c>
      <c r="Q220" s="830">
        <f t="shared" si="97"/>
        <v>0</v>
      </c>
      <c r="R220" s="833">
        <f t="shared" si="97"/>
        <v>0</v>
      </c>
      <c r="S220" s="832">
        <f t="shared" si="97"/>
        <v>0</v>
      </c>
      <c r="T220" s="213"/>
      <c r="U220" s="796">
        <f t="shared" ref="U220:AJ224" si="98">U226+U232+U238+U244+U250+U256+U262+U268+U274+U280+U286+U292</f>
        <v>8851</v>
      </c>
      <c r="V220" s="796">
        <f t="shared" si="98"/>
        <v>2999</v>
      </c>
      <c r="W220" s="796">
        <f t="shared" si="98"/>
        <v>3807</v>
      </c>
      <c r="X220" s="796">
        <f t="shared" si="98"/>
        <v>1704</v>
      </c>
      <c r="Y220" s="796">
        <f t="shared" si="98"/>
        <v>590</v>
      </c>
      <c r="Z220" s="796">
        <f t="shared" si="98"/>
        <v>410</v>
      </c>
      <c r="AA220" s="802">
        <f t="shared" si="98"/>
        <v>18361</v>
      </c>
      <c r="AB220" s="802">
        <f t="shared" si="98"/>
        <v>42</v>
      </c>
      <c r="AC220" s="796">
        <f t="shared" si="98"/>
        <v>1164</v>
      </c>
      <c r="AD220" s="796">
        <f t="shared" si="98"/>
        <v>863</v>
      </c>
      <c r="AE220" s="796">
        <f t="shared" si="98"/>
        <v>425</v>
      </c>
      <c r="AF220" s="796">
        <f t="shared" si="98"/>
        <v>0</v>
      </c>
      <c r="AG220" s="802">
        <f t="shared" si="98"/>
        <v>2748</v>
      </c>
      <c r="AH220" s="802">
        <f t="shared" si="98"/>
        <v>0</v>
      </c>
      <c r="AI220" s="796">
        <f t="shared" si="98"/>
        <v>0</v>
      </c>
      <c r="AJ220" s="819">
        <f t="shared" si="98"/>
        <v>0</v>
      </c>
      <c r="AK220" s="802">
        <f t="shared" si="96"/>
        <v>0</v>
      </c>
      <c r="AL220" s="209"/>
      <c r="AM220" s="209"/>
    </row>
    <row r="221" spans="1:39" s="80" customFormat="1">
      <c r="A221" s="239"/>
      <c r="B221" s="239" t="s">
        <v>55</v>
      </c>
      <c r="C221" s="832">
        <f>IF(U224&gt;0,(U221/U224),0)</f>
        <v>0.25497935389846976</v>
      </c>
      <c r="D221" s="830">
        <f t="shared" ref="D221:S221" si="99">IF(V224&gt;0,(V221/V224),0)</f>
        <v>0.26479536755324368</v>
      </c>
      <c r="E221" s="830">
        <f t="shared" si="99"/>
        <v>0.27462606117773886</v>
      </c>
      <c r="F221" s="830">
        <f t="shared" si="99"/>
        <v>0.2680428134556575</v>
      </c>
      <c r="G221" s="830">
        <f t="shared" si="99"/>
        <v>0.28354978354978355</v>
      </c>
      <c r="H221" s="830">
        <f t="shared" si="99"/>
        <v>0.36193771626297577</v>
      </c>
      <c r="I221" s="832">
        <f t="shared" si="99"/>
        <v>0.26519879288623244</v>
      </c>
      <c r="J221" s="832">
        <f t="shared" si="99"/>
        <v>0.34507042253521125</v>
      </c>
      <c r="K221" s="830">
        <f t="shared" si="99"/>
        <v>0.13789039481437831</v>
      </c>
      <c r="L221" s="830">
        <f t="shared" si="99"/>
        <v>9.8974723378337223E-2</v>
      </c>
      <c r="M221" s="830">
        <f t="shared" si="99"/>
        <v>0.11835222319093287</v>
      </c>
      <c r="N221" s="830">
        <f t="shared" si="99"/>
        <v>0</v>
      </c>
      <c r="O221" s="832">
        <f t="shared" si="99"/>
        <v>0.12467038932836978</v>
      </c>
      <c r="P221" s="832">
        <f t="shared" si="99"/>
        <v>0</v>
      </c>
      <c r="Q221" s="830">
        <f t="shared" si="99"/>
        <v>0</v>
      </c>
      <c r="R221" s="833">
        <f t="shared" si="99"/>
        <v>0</v>
      </c>
      <c r="S221" s="832">
        <f t="shared" si="99"/>
        <v>0</v>
      </c>
      <c r="T221" s="213"/>
      <c r="U221" s="796">
        <f t="shared" si="98"/>
        <v>8398</v>
      </c>
      <c r="V221" s="796">
        <f t="shared" si="96"/>
        <v>2698</v>
      </c>
      <c r="W221" s="796">
        <f t="shared" si="96"/>
        <v>4076</v>
      </c>
      <c r="X221" s="796">
        <f t="shared" si="96"/>
        <v>1753</v>
      </c>
      <c r="Y221" s="796">
        <f t="shared" si="96"/>
        <v>655</v>
      </c>
      <c r="Z221" s="796">
        <f t="shared" si="96"/>
        <v>523</v>
      </c>
      <c r="AA221" s="802">
        <f t="shared" si="96"/>
        <v>18103</v>
      </c>
      <c r="AB221" s="802">
        <f t="shared" si="96"/>
        <v>49</v>
      </c>
      <c r="AC221" s="796">
        <f t="shared" si="96"/>
        <v>1404</v>
      </c>
      <c r="AD221" s="796">
        <f t="shared" si="96"/>
        <v>975</v>
      </c>
      <c r="AE221" s="796">
        <f t="shared" si="96"/>
        <v>543</v>
      </c>
      <c r="AF221" s="796">
        <f t="shared" si="96"/>
        <v>0</v>
      </c>
      <c r="AG221" s="802">
        <f t="shared" si="96"/>
        <v>3215</v>
      </c>
      <c r="AH221" s="802">
        <f t="shared" si="96"/>
        <v>0</v>
      </c>
      <c r="AI221" s="796">
        <f t="shared" si="96"/>
        <v>0</v>
      </c>
      <c r="AJ221" s="819">
        <f t="shared" si="96"/>
        <v>0</v>
      </c>
      <c r="AK221" s="802">
        <f t="shared" si="96"/>
        <v>0</v>
      </c>
      <c r="AL221" s="209"/>
      <c r="AM221" s="209"/>
    </row>
    <row r="222" spans="1:39" s="80" customFormat="1">
      <c r="A222" s="239"/>
      <c r="B222" s="239" t="s">
        <v>78</v>
      </c>
      <c r="C222" s="832">
        <f>IF(U224&gt;0,(U222/U224),0)</f>
        <v>3.4764391547243138E-2</v>
      </c>
      <c r="D222" s="830">
        <f t="shared" ref="D222:S222" si="100">IF(V224&gt;0,(V222/V224),0)</f>
        <v>9.7261752870742957E-2</v>
      </c>
      <c r="E222" s="830">
        <f t="shared" si="100"/>
        <v>0.13508961056461394</v>
      </c>
      <c r="F222" s="830">
        <f t="shared" si="100"/>
        <v>5.1070336391437307E-2</v>
      </c>
      <c r="G222" s="830">
        <f t="shared" si="100"/>
        <v>6.3203463203463206E-2</v>
      </c>
      <c r="H222" s="830">
        <f t="shared" si="100"/>
        <v>0.12387543252595155</v>
      </c>
      <c r="I222" s="832">
        <f t="shared" si="100"/>
        <v>7.0317306847147751E-2</v>
      </c>
      <c r="J222" s="832">
        <f t="shared" si="100"/>
        <v>8.4507042253521125E-2</v>
      </c>
      <c r="K222" s="830">
        <f t="shared" si="100"/>
        <v>0.30377136122569237</v>
      </c>
      <c r="L222" s="830">
        <f t="shared" si="100"/>
        <v>0.3732615978073292</v>
      </c>
      <c r="M222" s="830">
        <f t="shared" si="100"/>
        <v>0.38775065387968616</v>
      </c>
      <c r="N222" s="830">
        <f t="shared" si="100"/>
        <v>0</v>
      </c>
      <c r="O222" s="832">
        <f t="shared" si="100"/>
        <v>0.33825810454474947</v>
      </c>
      <c r="P222" s="832">
        <f t="shared" si="100"/>
        <v>0</v>
      </c>
      <c r="Q222" s="830">
        <f t="shared" si="100"/>
        <v>0</v>
      </c>
      <c r="R222" s="833">
        <f t="shared" si="100"/>
        <v>0</v>
      </c>
      <c r="S222" s="832">
        <f t="shared" si="100"/>
        <v>0</v>
      </c>
      <c r="T222" s="213"/>
      <c r="U222" s="796">
        <f t="shared" si="98"/>
        <v>1145</v>
      </c>
      <c r="V222" s="796">
        <f t="shared" si="96"/>
        <v>991</v>
      </c>
      <c r="W222" s="796">
        <f t="shared" si="96"/>
        <v>2005</v>
      </c>
      <c r="X222" s="796">
        <f t="shared" si="96"/>
        <v>334</v>
      </c>
      <c r="Y222" s="796">
        <f t="shared" si="96"/>
        <v>146</v>
      </c>
      <c r="Z222" s="796">
        <f t="shared" si="96"/>
        <v>179</v>
      </c>
      <c r="AA222" s="802">
        <f t="shared" si="96"/>
        <v>4800</v>
      </c>
      <c r="AB222" s="802">
        <f t="shared" si="96"/>
        <v>12</v>
      </c>
      <c r="AC222" s="796">
        <f t="shared" si="96"/>
        <v>3093</v>
      </c>
      <c r="AD222" s="796">
        <f t="shared" si="96"/>
        <v>3677</v>
      </c>
      <c r="AE222" s="796">
        <f t="shared" si="96"/>
        <v>1779</v>
      </c>
      <c r="AF222" s="796">
        <f t="shared" si="96"/>
        <v>0</v>
      </c>
      <c r="AG222" s="802">
        <f t="shared" si="96"/>
        <v>8723</v>
      </c>
      <c r="AH222" s="802">
        <f t="shared" si="96"/>
        <v>0</v>
      </c>
      <c r="AI222" s="796">
        <f t="shared" si="96"/>
        <v>0</v>
      </c>
      <c r="AJ222" s="819">
        <f t="shared" si="96"/>
        <v>0</v>
      </c>
      <c r="AK222" s="802">
        <f t="shared" si="96"/>
        <v>0</v>
      </c>
      <c r="AL222" s="209"/>
      <c r="AM222" s="209"/>
    </row>
    <row r="223" spans="1:39" s="80" customFormat="1">
      <c r="A223" s="580"/>
      <c r="B223" s="580" t="s">
        <v>131</v>
      </c>
      <c r="C223" s="832">
        <f>IF(U224&gt;0,(U223/U224),0)</f>
        <v>9.9465630313334955E-2</v>
      </c>
      <c r="D223" s="830">
        <f t="shared" ref="D223:S223" si="101">IF(V224&gt;0,(V223/V224),0)</f>
        <v>8.9115713023849255E-2</v>
      </c>
      <c r="E223" s="830">
        <f t="shared" si="101"/>
        <v>5.4979113327044873E-2</v>
      </c>
      <c r="F223" s="830">
        <f t="shared" si="101"/>
        <v>0.13761467889908258</v>
      </c>
      <c r="G223" s="830">
        <f t="shared" si="101"/>
        <v>9.4805194805194809E-2</v>
      </c>
      <c r="H223" s="830">
        <f t="shared" si="101"/>
        <v>3.4602076124567477E-2</v>
      </c>
      <c r="I223" s="832">
        <f t="shared" si="101"/>
        <v>9.0372388737511355E-2</v>
      </c>
      <c r="J223" s="832">
        <f t="shared" si="101"/>
        <v>0</v>
      </c>
      <c r="K223" s="830">
        <f t="shared" si="101"/>
        <v>0.25800432135140444</v>
      </c>
      <c r="L223" s="830">
        <f t="shared" si="101"/>
        <v>0.34372144959902545</v>
      </c>
      <c r="M223" s="830">
        <f t="shared" si="101"/>
        <v>0.30470793374019178</v>
      </c>
      <c r="N223" s="830">
        <f t="shared" si="101"/>
        <v>0</v>
      </c>
      <c r="O223" s="832">
        <f t="shared" si="101"/>
        <v>0.29063905692570186</v>
      </c>
      <c r="P223" s="832">
        <f t="shared" si="101"/>
        <v>0</v>
      </c>
      <c r="Q223" s="830">
        <f t="shared" si="101"/>
        <v>0</v>
      </c>
      <c r="R223" s="833">
        <f t="shared" si="101"/>
        <v>0</v>
      </c>
      <c r="S223" s="832">
        <f t="shared" si="101"/>
        <v>0</v>
      </c>
      <c r="T223" s="213"/>
      <c r="U223" s="796">
        <f t="shared" si="98"/>
        <v>3276</v>
      </c>
      <c r="V223" s="796">
        <f t="shared" si="96"/>
        <v>908</v>
      </c>
      <c r="W223" s="796">
        <f t="shared" si="96"/>
        <v>816</v>
      </c>
      <c r="X223" s="796">
        <f t="shared" si="96"/>
        <v>900</v>
      </c>
      <c r="Y223" s="796">
        <f t="shared" si="96"/>
        <v>219</v>
      </c>
      <c r="Z223" s="796">
        <f t="shared" si="96"/>
        <v>50</v>
      </c>
      <c r="AA223" s="802">
        <f t="shared" si="96"/>
        <v>6169</v>
      </c>
      <c r="AB223" s="802">
        <f t="shared" si="96"/>
        <v>0</v>
      </c>
      <c r="AC223" s="796">
        <f t="shared" si="96"/>
        <v>2627</v>
      </c>
      <c r="AD223" s="796">
        <f t="shared" si="96"/>
        <v>3386</v>
      </c>
      <c r="AE223" s="796">
        <f t="shared" si="96"/>
        <v>1398</v>
      </c>
      <c r="AF223" s="796">
        <f t="shared" si="96"/>
        <v>0</v>
      </c>
      <c r="AG223" s="802">
        <f t="shared" si="96"/>
        <v>7495</v>
      </c>
      <c r="AH223" s="802">
        <f t="shared" si="96"/>
        <v>0</v>
      </c>
      <c r="AI223" s="796">
        <f t="shared" si="96"/>
        <v>0</v>
      </c>
      <c r="AJ223" s="819">
        <f t="shared" si="96"/>
        <v>0</v>
      </c>
      <c r="AK223" s="802">
        <f t="shared" si="96"/>
        <v>0</v>
      </c>
      <c r="AL223" s="209"/>
      <c r="AM223" s="209"/>
    </row>
    <row r="224" spans="1:39" s="80" customFormat="1">
      <c r="A224" s="436" t="s">
        <v>86</v>
      </c>
      <c r="B224" s="436" t="s">
        <v>59</v>
      </c>
      <c r="C224" s="834">
        <f>IF(U224&gt;0,(U224/U224),0)</f>
        <v>1</v>
      </c>
      <c r="D224" s="835">
        <f t="shared" ref="D224:S224" si="102">IF(V224&gt;0,(V224/V224),0)</f>
        <v>1</v>
      </c>
      <c r="E224" s="835">
        <f t="shared" si="102"/>
        <v>1</v>
      </c>
      <c r="F224" s="835">
        <f t="shared" si="102"/>
        <v>1</v>
      </c>
      <c r="G224" s="835">
        <f t="shared" si="102"/>
        <v>1</v>
      </c>
      <c r="H224" s="835">
        <f t="shared" si="102"/>
        <v>1</v>
      </c>
      <c r="I224" s="834">
        <f t="shared" si="102"/>
        <v>1</v>
      </c>
      <c r="J224" s="834">
        <f t="shared" si="102"/>
        <v>1</v>
      </c>
      <c r="K224" s="835">
        <f t="shared" si="102"/>
        <v>1</v>
      </c>
      <c r="L224" s="835">
        <f t="shared" si="102"/>
        <v>1</v>
      </c>
      <c r="M224" s="835">
        <f t="shared" si="102"/>
        <v>1</v>
      </c>
      <c r="N224" s="835">
        <f t="shared" si="102"/>
        <v>0</v>
      </c>
      <c r="O224" s="834">
        <f t="shared" si="102"/>
        <v>1</v>
      </c>
      <c r="P224" s="834">
        <f t="shared" si="102"/>
        <v>0</v>
      </c>
      <c r="Q224" s="835">
        <f t="shared" si="102"/>
        <v>0</v>
      </c>
      <c r="R224" s="836">
        <f t="shared" si="102"/>
        <v>0</v>
      </c>
      <c r="S224" s="834">
        <f t="shared" si="102"/>
        <v>0</v>
      </c>
      <c r="T224" s="213"/>
      <c r="U224" s="814">
        <f t="shared" si="98"/>
        <v>32936</v>
      </c>
      <c r="V224" s="814">
        <f t="shared" si="96"/>
        <v>10189</v>
      </c>
      <c r="W224" s="814">
        <f t="shared" si="96"/>
        <v>14842</v>
      </c>
      <c r="X224" s="814">
        <f t="shared" si="96"/>
        <v>6540</v>
      </c>
      <c r="Y224" s="814">
        <f t="shared" si="96"/>
        <v>2310</v>
      </c>
      <c r="Z224" s="814">
        <f t="shared" si="96"/>
        <v>1445</v>
      </c>
      <c r="AA224" s="815">
        <f t="shared" si="96"/>
        <v>68262</v>
      </c>
      <c r="AB224" s="815">
        <f t="shared" si="96"/>
        <v>142</v>
      </c>
      <c r="AC224" s="814">
        <f t="shared" si="96"/>
        <v>10182</v>
      </c>
      <c r="AD224" s="814">
        <f t="shared" si="96"/>
        <v>9851</v>
      </c>
      <c r="AE224" s="814">
        <f t="shared" si="96"/>
        <v>4588</v>
      </c>
      <c r="AF224" s="814">
        <f t="shared" si="96"/>
        <v>0</v>
      </c>
      <c r="AG224" s="815">
        <f t="shared" si="96"/>
        <v>25788</v>
      </c>
      <c r="AH224" s="815">
        <f t="shared" si="96"/>
        <v>0</v>
      </c>
      <c r="AI224" s="814">
        <f t="shared" si="96"/>
        <v>0</v>
      </c>
      <c r="AJ224" s="820">
        <f t="shared" si="96"/>
        <v>0</v>
      </c>
      <c r="AK224" s="815">
        <f t="shared" si="96"/>
        <v>0</v>
      </c>
      <c r="AL224" s="209"/>
      <c r="AM224" s="209"/>
    </row>
    <row r="225" spans="1:39" s="80" customFormat="1">
      <c r="A225" s="240" t="s">
        <v>144</v>
      </c>
      <c r="B225" s="240" t="s">
        <v>53</v>
      </c>
      <c r="C225" s="829">
        <f>IF(U230&gt;0,(U225/U230),0)</f>
        <v>0.30823636778462238</v>
      </c>
      <c r="D225" s="830">
        <f t="shared" ref="D225:S225" si="103">IF(V230&gt;0,(V225/V230),0)</f>
        <v>0.23218142548596113</v>
      </c>
      <c r="E225" s="830">
        <f t="shared" si="103"/>
        <v>0.25359712230215825</v>
      </c>
      <c r="F225" s="830">
        <f t="shared" si="103"/>
        <v>0</v>
      </c>
      <c r="G225" s="830">
        <f t="shared" si="103"/>
        <v>0</v>
      </c>
      <c r="H225" s="830">
        <f t="shared" si="103"/>
        <v>0</v>
      </c>
      <c r="I225" s="829">
        <f t="shared" si="103"/>
        <v>0.27746984023475707</v>
      </c>
      <c r="J225" s="829">
        <f t="shared" si="103"/>
        <v>0</v>
      </c>
      <c r="K225" s="830">
        <f t="shared" si="103"/>
        <v>0.22787427626137305</v>
      </c>
      <c r="L225" s="830">
        <f t="shared" si="103"/>
        <v>0.21474926253687315</v>
      </c>
      <c r="M225" s="830">
        <f t="shared" si="103"/>
        <v>0.26229508196721313</v>
      </c>
      <c r="N225" s="830">
        <f t="shared" si="103"/>
        <v>0</v>
      </c>
      <c r="O225" s="829">
        <f t="shared" si="103"/>
        <v>0.21892353695002137</v>
      </c>
      <c r="P225" s="829">
        <f t="shared" si="103"/>
        <v>0</v>
      </c>
      <c r="Q225" s="830">
        <f t="shared" si="103"/>
        <v>0</v>
      </c>
      <c r="R225" s="831">
        <f t="shared" si="103"/>
        <v>0</v>
      </c>
      <c r="S225" s="829">
        <f t="shared" si="103"/>
        <v>0</v>
      </c>
      <c r="T225" s="213"/>
      <c r="U225" s="349">
        <v>1351</v>
      </c>
      <c r="V225" s="349">
        <v>215</v>
      </c>
      <c r="W225" s="349">
        <v>987</v>
      </c>
      <c r="X225" s="349"/>
      <c r="Y225" s="349"/>
      <c r="Z225" s="349"/>
      <c r="AA225" s="803">
        <v>2553</v>
      </c>
      <c r="AB225" s="803"/>
      <c r="AC225" s="349">
        <v>551</v>
      </c>
      <c r="AD225" s="349">
        <v>364</v>
      </c>
      <c r="AE225" s="349">
        <v>128</v>
      </c>
      <c r="AF225" s="349"/>
      <c r="AG225" s="803">
        <v>1025</v>
      </c>
      <c r="AH225" s="803"/>
      <c r="AI225" s="349"/>
      <c r="AJ225" s="812"/>
      <c r="AK225" s="803"/>
      <c r="AL225" s="209"/>
      <c r="AM225" s="209"/>
    </row>
    <row r="226" spans="1:39" s="80" customFormat="1">
      <c r="A226" s="239"/>
      <c r="B226" s="239" t="s">
        <v>93</v>
      </c>
      <c r="C226" s="832">
        <f>IF(U230&gt;0,(U226/U230),0)</f>
        <v>0.26397444672598674</v>
      </c>
      <c r="D226" s="830">
        <f t="shared" ref="D226:S226" si="104">IF(V230&gt;0,(V226/V230),0)</f>
        <v>0.3434125269978402</v>
      </c>
      <c r="E226" s="830">
        <f t="shared" si="104"/>
        <v>0.25231243576567319</v>
      </c>
      <c r="F226" s="830">
        <f t="shared" si="104"/>
        <v>0</v>
      </c>
      <c r="G226" s="830">
        <f t="shared" si="104"/>
        <v>0</v>
      </c>
      <c r="H226" s="830">
        <f t="shared" si="104"/>
        <v>0</v>
      </c>
      <c r="I226" s="832">
        <f t="shared" si="104"/>
        <v>0.26703619171829152</v>
      </c>
      <c r="J226" s="832">
        <f t="shared" si="104"/>
        <v>0</v>
      </c>
      <c r="K226" s="830">
        <f t="shared" si="104"/>
        <v>0.17783291976840365</v>
      </c>
      <c r="L226" s="830">
        <f t="shared" si="104"/>
        <v>0.10973451327433628</v>
      </c>
      <c r="M226" s="830">
        <f t="shared" si="104"/>
        <v>4.5081967213114756E-2</v>
      </c>
      <c r="N226" s="830">
        <f t="shared" si="104"/>
        <v>0</v>
      </c>
      <c r="O226" s="832">
        <f t="shared" si="104"/>
        <v>0.14566424604869713</v>
      </c>
      <c r="P226" s="832">
        <f t="shared" si="104"/>
        <v>0</v>
      </c>
      <c r="Q226" s="830">
        <f t="shared" si="104"/>
        <v>0</v>
      </c>
      <c r="R226" s="833">
        <f t="shared" si="104"/>
        <v>0</v>
      </c>
      <c r="S226" s="832">
        <f t="shared" si="104"/>
        <v>0</v>
      </c>
      <c r="T226" s="213"/>
      <c r="U226" s="349">
        <v>1157</v>
      </c>
      <c r="V226" s="349">
        <v>318</v>
      </c>
      <c r="W226" s="349">
        <v>982</v>
      </c>
      <c r="X226" s="349"/>
      <c r="Y226" s="349"/>
      <c r="Z226" s="349"/>
      <c r="AA226" s="804">
        <v>2457</v>
      </c>
      <c r="AB226" s="804"/>
      <c r="AC226" s="349">
        <v>430</v>
      </c>
      <c r="AD226" s="349">
        <v>186</v>
      </c>
      <c r="AE226" s="349">
        <v>22</v>
      </c>
      <c r="AF226" s="349"/>
      <c r="AG226" s="804">
        <v>682</v>
      </c>
      <c r="AH226" s="804"/>
      <c r="AI226" s="349"/>
      <c r="AJ226" s="813"/>
      <c r="AK226" s="804"/>
      <c r="AL226" s="209"/>
      <c r="AM226" s="209"/>
    </row>
    <row r="227" spans="1:39" s="80" customFormat="1">
      <c r="A227" s="239"/>
      <c r="B227" s="239" t="s">
        <v>55</v>
      </c>
      <c r="C227" s="832">
        <f>IF(U230&gt;0,(U227/U230),0)</f>
        <v>0.29021218343600275</v>
      </c>
      <c r="D227" s="830">
        <f t="shared" ref="D227:S227" si="105">IF(V230&gt;0,(V227/V230),0)</f>
        <v>0.25917926565874733</v>
      </c>
      <c r="E227" s="830">
        <f t="shared" si="105"/>
        <v>0.25924974306269272</v>
      </c>
      <c r="F227" s="830">
        <f t="shared" si="105"/>
        <v>0</v>
      </c>
      <c r="G227" s="830">
        <f t="shared" si="105"/>
        <v>0</v>
      </c>
      <c r="H227" s="830">
        <f t="shared" si="105"/>
        <v>0</v>
      </c>
      <c r="I227" s="832">
        <f t="shared" si="105"/>
        <v>0.27399195739593524</v>
      </c>
      <c r="J227" s="832">
        <f t="shared" si="105"/>
        <v>0</v>
      </c>
      <c r="K227" s="830">
        <f t="shared" si="105"/>
        <v>0.19685690653432589</v>
      </c>
      <c r="L227" s="830">
        <f t="shared" si="105"/>
        <v>0.14867256637168141</v>
      </c>
      <c r="M227" s="830">
        <f t="shared" si="105"/>
        <v>0.11885245901639344</v>
      </c>
      <c r="N227" s="830">
        <f t="shared" si="105"/>
        <v>0</v>
      </c>
      <c r="O227" s="832">
        <f t="shared" si="105"/>
        <v>0.16638188808201623</v>
      </c>
      <c r="P227" s="832">
        <f t="shared" si="105"/>
        <v>0</v>
      </c>
      <c r="Q227" s="830">
        <f t="shared" si="105"/>
        <v>0</v>
      </c>
      <c r="R227" s="833">
        <f t="shared" si="105"/>
        <v>0</v>
      </c>
      <c r="S227" s="832">
        <f t="shared" si="105"/>
        <v>0</v>
      </c>
      <c r="T227" s="213"/>
      <c r="U227" s="349">
        <v>1272</v>
      </c>
      <c r="V227" s="349">
        <v>240</v>
      </c>
      <c r="W227" s="349">
        <v>1009</v>
      </c>
      <c r="X227" s="349"/>
      <c r="Y227" s="349"/>
      <c r="Z227" s="349"/>
      <c r="AA227" s="804">
        <v>2521</v>
      </c>
      <c r="AB227" s="804"/>
      <c r="AC227" s="349">
        <v>476</v>
      </c>
      <c r="AD227" s="349">
        <v>252</v>
      </c>
      <c r="AE227" s="349">
        <v>58</v>
      </c>
      <c r="AF227" s="349"/>
      <c r="AG227" s="804">
        <v>779</v>
      </c>
      <c r="AH227" s="804"/>
      <c r="AI227" s="349"/>
      <c r="AJ227" s="813"/>
      <c r="AK227" s="804"/>
      <c r="AL227" s="209"/>
      <c r="AM227" s="209"/>
    </row>
    <row r="228" spans="1:39" s="80" customFormat="1">
      <c r="A228" s="239"/>
      <c r="B228" s="239" t="s">
        <v>78</v>
      </c>
      <c r="C228" s="832">
        <f>IF(U230&gt;0,(U228/U230),0)</f>
        <v>3.5363906000456309E-2</v>
      </c>
      <c r="D228" s="830">
        <f t="shared" ref="D228:S228" si="106">IF(V230&gt;0,(V228/V230),0)</f>
        <v>0.1652267818574514</v>
      </c>
      <c r="E228" s="830">
        <f t="shared" si="106"/>
        <v>0.15596094552929085</v>
      </c>
      <c r="F228" s="830">
        <f t="shared" si="106"/>
        <v>0</v>
      </c>
      <c r="G228" s="830">
        <f t="shared" si="106"/>
        <v>0</v>
      </c>
      <c r="H228" s="830">
        <f t="shared" si="106"/>
        <v>0</v>
      </c>
      <c r="I228" s="832">
        <f t="shared" si="106"/>
        <v>9.9445712422562768E-2</v>
      </c>
      <c r="J228" s="832">
        <f t="shared" si="106"/>
        <v>0</v>
      </c>
      <c r="K228" s="830">
        <f t="shared" si="106"/>
        <v>0.26385442514474772</v>
      </c>
      <c r="L228" s="830">
        <f t="shared" si="106"/>
        <v>0.25191740412979352</v>
      </c>
      <c r="M228" s="830">
        <f t="shared" si="106"/>
        <v>0.11475409836065574</v>
      </c>
      <c r="N228" s="830">
        <f t="shared" si="106"/>
        <v>0</v>
      </c>
      <c r="O228" s="832">
        <f t="shared" si="106"/>
        <v>0.25096112772319523</v>
      </c>
      <c r="P228" s="832">
        <f t="shared" si="106"/>
        <v>0</v>
      </c>
      <c r="Q228" s="830">
        <f t="shared" si="106"/>
        <v>0</v>
      </c>
      <c r="R228" s="833">
        <f t="shared" si="106"/>
        <v>0</v>
      </c>
      <c r="S228" s="832">
        <f t="shared" si="106"/>
        <v>0</v>
      </c>
      <c r="T228" s="213"/>
      <c r="U228" s="349">
        <v>155</v>
      </c>
      <c r="V228" s="349">
        <v>153</v>
      </c>
      <c r="W228" s="349">
        <v>607</v>
      </c>
      <c r="X228" s="349"/>
      <c r="Y228" s="349"/>
      <c r="Z228" s="349"/>
      <c r="AA228" s="804">
        <v>915</v>
      </c>
      <c r="AB228" s="804"/>
      <c r="AC228" s="349">
        <v>638</v>
      </c>
      <c r="AD228" s="349">
        <v>427</v>
      </c>
      <c r="AE228" s="349">
        <v>56</v>
      </c>
      <c r="AF228" s="349"/>
      <c r="AG228" s="804">
        <v>1175</v>
      </c>
      <c r="AH228" s="804"/>
      <c r="AI228" s="349"/>
      <c r="AJ228" s="813"/>
      <c r="AK228" s="804"/>
      <c r="AL228" s="209"/>
      <c r="AM228" s="209"/>
    </row>
    <row r="229" spans="1:39" s="80" customFormat="1">
      <c r="A229" s="580"/>
      <c r="B229" s="580" t="s">
        <v>131</v>
      </c>
      <c r="C229" s="832">
        <f>IF(U230&gt;0,(U229/U230),0)</f>
        <v>0.10221309605293179</v>
      </c>
      <c r="D229" s="830">
        <f t="shared" ref="D229:S229" si="107">IF(V230&gt;0,(V229/V230),0)</f>
        <v>0</v>
      </c>
      <c r="E229" s="830">
        <f t="shared" si="107"/>
        <v>7.8879753340184988E-2</v>
      </c>
      <c r="F229" s="830">
        <f t="shared" si="107"/>
        <v>0</v>
      </c>
      <c r="G229" s="830">
        <f t="shared" si="107"/>
        <v>0</v>
      </c>
      <c r="H229" s="830">
        <f t="shared" si="107"/>
        <v>0</v>
      </c>
      <c r="I229" s="832">
        <f t="shared" si="107"/>
        <v>8.2056298228453423E-2</v>
      </c>
      <c r="J229" s="832">
        <f t="shared" si="107"/>
        <v>0</v>
      </c>
      <c r="K229" s="830">
        <f t="shared" si="107"/>
        <v>0.13358147229114972</v>
      </c>
      <c r="L229" s="830">
        <f t="shared" si="107"/>
        <v>0.27492625368731566</v>
      </c>
      <c r="M229" s="830">
        <f t="shared" si="107"/>
        <v>0.45901639344262296</v>
      </c>
      <c r="N229" s="830">
        <f t="shared" si="107"/>
        <v>0</v>
      </c>
      <c r="O229" s="832">
        <f t="shared" si="107"/>
        <v>0.21806920119607007</v>
      </c>
      <c r="P229" s="832">
        <f t="shared" si="107"/>
        <v>0</v>
      </c>
      <c r="Q229" s="830">
        <f t="shared" si="107"/>
        <v>0</v>
      </c>
      <c r="R229" s="833">
        <f t="shared" si="107"/>
        <v>0</v>
      </c>
      <c r="S229" s="832">
        <f t="shared" si="107"/>
        <v>0</v>
      </c>
      <c r="T229" s="213"/>
      <c r="U229" s="349">
        <v>448</v>
      </c>
      <c r="V229" s="349"/>
      <c r="W229" s="349">
        <v>307</v>
      </c>
      <c r="X229" s="349"/>
      <c r="Y229" s="349"/>
      <c r="Z229" s="349"/>
      <c r="AA229" s="804">
        <v>755</v>
      </c>
      <c r="AB229" s="804"/>
      <c r="AC229" s="349">
        <v>323</v>
      </c>
      <c r="AD229" s="349">
        <v>466</v>
      </c>
      <c r="AE229" s="349">
        <v>224</v>
      </c>
      <c r="AF229" s="349"/>
      <c r="AG229" s="804">
        <v>1021</v>
      </c>
      <c r="AH229" s="804"/>
      <c r="AI229" s="349"/>
      <c r="AJ229" s="813"/>
      <c r="AK229" s="804"/>
      <c r="AL229" s="209"/>
      <c r="AM229" s="209"/>
    </row>
    <row r="230" spans="1:39" s="80" customFormat="1">
      <c r="A230" s="436"/>
      <c r="B230" s="436" t="s">
        <v>59</v>
      </c>
      <c r="C230" s="834">
        <f>IF(U230&gt;0,(U230/U230),0)</f>
        <v>1</v>
      </c>
      <c r="D230" s="835">
        <f t="shared" ref="D230:S230" si="108">IF(V230&gt;0,(V230/V230),0)</f>
        <v>1</v>
      </c>
      <c r="E230" s="835">
        <f t="shared" si="108"/>
        <v>1</v>
      </c>
      <c r="F230" s="835">
        <f t="shared" si="108"/>
        <v>0</v>
      </c>
      <c r="G230" s="835">
        <f t="shared" si="108"/>
        <v>0</v>
      </c>
      <c r="H230" s="835">
        <f t="shared" si="108"/>
        <v>0</v>
      </c>
      <c r="I230" s="834">
        <f t="shared" si="108"/>
        <v>1</v>
      </c>
      <c r="J230" s="834">
        <f t="shared" si="108"/>
        <v>0</v>
      </c>
      <c r="K230" s="835">
        <f t="shared" si="108"/>
        <v>1</v>
      </c>
      <c r="L230" s="835">
        <f t="shared" si="108"/>
        <v>1</v>
      </c>
      <c r="M230" s="835">
        <f t="shared" si="108"/>
        <v>1</v>
      </c>
      <c r="N230" s="835">
        <f t="shared" si="108"/>
        <v>0</v>
      </c>
      <c r="O230" s="834">
        <f t="shared" si="108"/>
        <v>1</v>
      </c>
      <c r="P230" s="834">
        <f t="shared" si="108"/>
        <v>0</v>
      </c>
      <c r="Q230" s="835">
        <f t="shared" si="108"/>
        <v>0</v>
      </c>
      <c r="R230" s="836">
        <f t="shared" si="108"/>
        <v>0</v>
      </c>
      <c r="S230" s="834">
        <f t="shared" si="108"/>
        <v>0</v>
      </c>
      <c r="T230" s="213"/>
      <c r="U230" s="816">
        <v>4383</v>
      </c>
      <c r="V230" s="816">
        <v>926</v>
      </c>
      <c r="W230" s="816">
        <v>3892</v>
      </c>
      <c r="X230" s="816"/>
      <c r="Y230" s="816"/>
      <c r="Z230" s="816"/>
      <c r="AA230" s="805">
        <v>9201</v>
      </c>
      <c r="AB230" s="805"/>
      <c r="AC230" s="816">
        <v>2418</v>
      </c>
      <c r="AD230" s="816">
        <v>1695</v>
      </c>
      <c r="AE230" s="816">
        <v>488</v>
      </c>
      <c r="AF230" s="816"/>
      <c r="AG230" s="805">
        <v>4682</v>
      </c>
      <c r="AH230" s="805"/>
      <c r="AI230" s="816"/>
      <c r="AJ230" s="817"/>
      <c r="AK230" s="805"/>
      <c r="AL230" s="209"/>
      <c r="AM230" s="209"/>
    </row>
    <row r="231" spans="1:39" s="80" customFormat="1">
      <c r="A231" s="240" t="s">
        <v>145</v>
      </c>
      <c r="B231" s="240" t="s">
        <v>53</v>
      </c>
      <c r="C231" s="829">
        <f>IF(U236&gt;0,(U231/U236),0)</f>
        <v>0.34660656148259456</v>
      </c>
      <c r="D231" s="830">
        <f t="shared" ref="D231:S231" si="109">IF(V236&gt;0,(V231/V236),0)</f>
        <v>0.24473561066916238</v>
      </c>
      <c r="E231" s="830">
        <f t="shared" si="109"/>
        <v>0.21303656597774245</v>
      </c>
      <c r="F231" s="830">
        <f t="shared" si="109"/>
        <v>0.14157706093189965</v>
      </c>
      <c r="G231" s="830">
        <f t="shared" si="109"/>
        <v>0.22409638554216868</v>
      </c>
      <c r="H231" s="830">
        <f t="shared" si="109"/>
        <v>9.4444444444444442E-2</v>
      </c>
      <c r="I231" s="829">
        <f t="shared" si="109"/>
        <v>0.28185035389282104</v>
      </c>
      <c r="J231" s="829">
        <f t="shared" si="109"/>
        <v>0</v>
      </c>
      <c r="K231" s="830">
        <f t="shared" si="109"/>
        <v>0.36548223350253806</v>
      </c>
      <c r="L231" s="830">
        <f t="shared" si="109"/>
        <v>7.6175040518638576E-2</v>
      </c>
      <c r="M231" s="830">
        <f t="shared" si="109"/>
        <v>0.12442396313364056</v>
      </c>
      <c r="N231" s="830">
        <f t="shared" si="109"/>
        <v>0</v>
      </c>
      <c r="O231" s="829">
        <f t="shared" si="109"/>
        <v>0.15648286140089418</v>
      </c>
      <c r="P231" s="829">
        <f t="shared" si="109"/>
        <v>0</v>
      </c>
      <c r="Q231" s="830">
        <f t="shared" si="109"/>
        <v>0</v>
      </c>
      <c r="R231" s="831">
        <f t="shared" si="109"/>
        <v>0</v>
      </c>
      <c r="S231" s="829">
        <f t="shared" si="109"/>
        <v>0</v>
      </c>
      <c r="T231" s="213"/>
      <c r="U231" s="349">
        <v>1384</v>
      </c>
      <c r="V231" s="349">
        <v>523</v>
      </c>
      <c r="W231" s="349">
        <v>134</v>
      </c>
      <c r="X231" s="349">
        <v>79</v>
      </c>
      <c r="Y231" s="349">
        <v>93</v>
      </c>
      <c r="Z231" s="349">
        <v>17</v>
      </c>
      <c r="AA231" s="803">
        <v>2230</v>
      </c>
      <c r="AB231" s="803"/>
      <c r="AC231" s="349">
        <v>144</v>
      </c>
      <c r="AD231" s="349">
        <v>47</v>
      </c>
      <c r="AE231" s="349">
        <v>27</v>
      </c>
      <c r="AF231" s="349"/>
      <c r="AG231" s="803">
        <v>210</v>
      </c>
      <c r="AH231" s="803"/>
      <c r="AI231" s="349"/>
      <c r="AJ231" s="812"/>
      <c r="AK231" s="803"/>
      <c r="AL231" s="209"/>
      <c r="AM231" s="209"/>
    </row>
    <row r="232" spans="1:39" s="80" customFormat="1">
      <c r="A232" s="239"/>
      <c r="B232" s="239" t="s">
        <v>93</v>
      </c>
      <c r="C232" s="832">
        <f>IF(U236&gt;0,(U232/U236),0)</f>
        <v>0.24593037816178312</v>
      </c>
      <c r="D232" s="830">
        <f t="shared" ref="D232:S232" si="110">IF(V236&gt;0,(V232/V236),0)</f>
        <v>0.27328029948525973</v>
      </c>
      <c r="E232" s="830">
        <f t="shared" si="110"/>
        <v>0.31160572337042924</v>
      </c>
      <c r="F232" s="830">
        <f t="shared" si="110"/>
        <v>0.25089605734767023</v>
      </c>
      <c r="G232" s="830">
        <f t="shared" si="110"/>
        <v>0.26024096385542167</v>
      </c>
      <c r="H232" s="830">
        <f t="shared" si="110"/>
        <v>0.30555555555555558</v>
      </c>
      <c r="I232" s="832">
        <f t="shared" si="110"/>
        <v>0.26099595551061677</v>
      </c>
      <c r="J232" s="832">
        <f t="shared" si="110"/>
        <v>0</v>
      </c>
      <c r="K232" s="830">
        <f t="shared" si="110"/>
        <v>0.19035532994923857</v>
      </c>
      <c r="L232" s="830">
        <f t="shared" si="110"/>
        <v>0.21393841166936792</v>
      </c>
      <c r="M232" s="830">
        <f t="shared" si="110"/>
        <v>0.17972350230414746</v>
      </c>
      <c r="N232" s="830">
        <f t="shared" si="110"/>
        <v>0</v>
      </c>
      <c r="O232" s="832">
        <f t="shared" si="110"/>
        <v>0.20789865871833085</v>
      </c>
      <c r="P232" s="832">
        <f t="shared" si="110"/>
        <v>0</v>
      </c>
      <c r="Q232" s="830">
        <f t="shared" si="110"/>
        <v>0</v>
      </c>
      <c r="R232" s="833">
        <f t="shared" si="110"/>
        <v>0</v>
      </c>
      <c r="S232" s="832">
        <f t="shared" si="110"/>
        <v>0</v>
      </c>
      <c r="T232" s="213"/>
      <c r="U232" s="349">
        <v>982</v>
      </c>
      <c r="V232" s="349">
        <v>584</v>
      </c>
      <c r="W232" s="349">
        <v>196</v>
      </c>
      <c r="X232" s="349">
        <v>140</v>
      </c>
      <c r="Y232" s="349">
        <v>108</v>
      </c>
      <c r="Z232" s="349">
        <v>55</v>
      </c>
      <c r="AA232" s="804">
        <v>2065</v>
      </c>
      <c r="AB232" s="804"/>
      <c r="AC232" s="349">
        <v>75</v>
      </c>
      <c r="AD232" s="349">
        <v>132</v>
      </c>
      <c r="AE232" s="349">
        <v>39</v>
      </c>
      <c r="AF232" s="349"/>
      <c r="AG232" s="804">
        <v>279</v>
      </c>
      <c r="AH232" s="804"/>
      <c r="AI232" s="349"/>
      <c r="AJ232" s="813"/>
      <c r="AK232" s="804"/>
      <c r="AL232" s="209"/>
      <c r="AM232" s="209"/>
    </row>
    <row r="233" spans="1:39" s="80" customFormat="1">
      <c r="A233" s="239"/>
      <c r="B233" s="239" t="s">
        <v>55</v>
      </c>
      <c r="C233" s="832">
        <f>IF(U236&gt;0,(U233/U236),0)</f>
        <v>0.24668169296268469</v>
      </c>
      <c r="D233" s="830">
        <f t="shared" ref="D233:S233" si="111">IF(V236&gt;0,(V233/V236),0)</f>
        <v>0.29527374824520358</v>
      </c>
      <c r="E233" s="830">
        <f t="shared" si="111"/>
        <v>0.31319554848966613</v>
      </c>
      <c r="F233" s="830">
        <f t="shared" si="111"/>
        <v>0.30286738351254483</v>
      </c>
      <c r="G233" s="830">
        <f t="shared" si="111"/>
        <v>0.29156626506024097</v>
      </c>
      <c r="H233" s="830">
        <f t="shared" si="111"/>
        <v>0.4</v>
      </c>
      <c r="I233" s="832">
        <f t="shared" si="111"/>
        <v>0.2748988877654196</v>
      </c>
      <c r="J233" s="832">
        <f t="shared" si="111"/>
        <v>0</v>
      </c>
      <c r="K233" s="830">
        <f t="shared" si="111"/>
        <v>0.27918781725888325</v>
      </c>
      <c r="L233" s="830">
        <f t="shared" si="111"/>
        <v>0.43760129659643437</v>
      </c>
      <c r="M233" s="830">
        <f t="shared" si="111"/>
        <v>0.40552995391705071</v>
      </c>
      <c r="N233" s="830">
        <f t="shared" si="111"/>
        <v>0</v>
      </c>
      <c r="O233" s="832">
        <f t="shared" si="111"/>
        <v>0.38822652757078985</v>
      </c>
      <c r="P233" s="832">
        <f t="shared" si="111"/>
        <v>0</v>
      </c>
      <c r="Q233" s="830">
        <f t="shared" si="111"/>
        <v>0</v>
      </c>
      <c r="R233" s="833">
        <f t="shared" si="111"/>
        <v>0</v>
      </c>
      <c r="S233" s="832">
        <f t="shared" si="111"/>
        <v>0</v>
      </c>
      <c r="T233" s="213"/>
      <c r="U233" s="349">
        <v>985</v>
      </c>
      <c r="V233" s="349">
        <v>631</v>
      </c>
      <c r="W233" s="349">
        <v>197</v>
      </c>
      <c r="X233" s="349">
        <v>169</v>
      </c>
      <c r="Y233" s="349">
        <v>121</v>
      </c>
      <c r="Z233" s="349">
        <v>72</v>
      </c>
      <c r="AA233" s="804">
        <v>2175</v>
      </c>
      <c r="AB233" s="804"/>
      <c r="AC233" s="349">
        <v>110</v>
      </c>
      <c r="AD233" s="349">
        <v>270</v>
      </c>
      <c r="AE233" s="349">
        <v>88</v>
      </c>
      <c r="AF233" s="349"/>
      <c r="AG233" s="804">
        <v>521</v>
      </c>
      <c r="AH233" s="804"/>
      <c r="AI233" s="349"/>
      <c r="AJ233" s="813"/>
      <c r="AK233" s="804"/>
      <c r="AL233" s="209"/>
      <c r="AM233" s="209"/>
    </row>
    <row r="234" spans="1:39" s="80" customFormat="1">
      <c r="A234" s="239"/>
      <c r="B234" s="239" t="s">
        <v>78</v>
      </c>
      <c r="C234" s="832">
        <f>IF(U236&gt;0,(U234/U236),0)</f>
        <v>4.2574505384422737E-3</v>
      </c>
      <c r="D234" s="830">
        <f t="shared" ref="D234:S234" si="112">IF(V236&gt;0,(V234/V236),0)</f>
        <v>0.10294805802526907</v>
      </c>
      <c r="E234" s="830">
        <f t="shared" si="112"/>
        <v>5.7233704292527825E-2</v>
      </c>
      <c r="F234" s="830">
        <f t="shared" si="112"/>
        <v>0.1917562724014337</v>
      </c>
      <c r="G234" s="830">
        <f t="shared" si="112"/>
        <v>4.8192771084337354E-3</v>
      </c>
      <c r="H234" s="830">
        <f t="shared" si="112"/>
        <v>0</v>
      </c>
      <c r="I234" s="832">
        <f t="shared" si="112"/>
        <v>4.8281092012133466E-2</v>
      </c>
      <c r="J234" s="832">
        <f t="shared" si="112"/>
        <v>0</v>
      </c>
      <c r="K234" s="830">
        <f t="shared" si="112"/>
        <v>0.1649746192893401</v>
      </c>
      <c r="L234" s="830">
        <f t="shared" si="112"/>
        <v>0.21231766612641814</v>
      </c>
      <c r="M234" s="830">
        <f t="shared" si="112"/>
        <v>0.29032258064516131</v>
      </c>
      <c r="N234" s="830">
        <f t="shared" si="112"/>
        <v>0</v>
      </c>
      <c r="O234" s="832">
        <f t="shared" si="112"/>
        <v>0.20789865871833085</v>
      </c>
      <c r="P234" s="832">
        <f t="shared" si="112"/>
        <v>0</v>
      </c>
      <c r="Q234" s="830">
        <f t="shared" si="112"/>
        <v>0</v>
      </c>
      <c r="R234" s="833">
        <f t="shared" si="112"/>
        <v>0</v>
      </c>
      <c r="S234" s="832">
        <f t="shared" si="112"/>
        <v>0</v>
      </c>
      <c r="T234" s="213"/>
      <c r="U234" s="349">
        <v>17</v>
      </c>
      <c r="V234" s="349">
        <v>220</v>
      </c>
      <c r="W234" s="349">
        <v>36</v>
      </c>
      <c r="X234" s="349">
        <v>107</v>
      </c>
      <c r="Y234" s="349">
        <v>2</v>
      </c>
      <c r="Z234" s="349"/>
      <c r="AA234" s="804">
        <v>382</v>
      </c>
      <c r="AB234" s="804"/>
      <c r="AC234" s="349">
        <v>65</v>
      </c>
      <c r="AD234" s="349">
        <v>131</v>
      </c>
      <c r="AE234" s="349">
        <v>63</v>
      </c>
      <c r="AF234" s="349"/>
      <c r="AG234" s="804">
        <v>279</v>
      </c>
      <c r="AH234" s="804"/>
      <c r="AI234" s="349"/>
      <c r="AJ234" s="813"/>
      <c r="AK234" s="804"/>
      <c r="AL234" s="209"/>
      <c r="AM234" s="209"/>
    </row>
    <row r="235" spans="1:39" s="80" customFormat="1">
      <c r="A235" s="580"/>
      <c r="B235" s="580" t="s">
        <v>131</v>
      </c>
      <c r="C235" s="832">
        <f>IF(U236&gt;0,(U235/U236),0)</f>
        <v>0.15652391685449538</v>
      </c>
      <c r="D235" s="830">
        <f t="shared" ref="D235:S235" si="113">IF(V236&gt;0,(V235/V236),0)</f>
        <v>8.376228357510529E-2</v>
      </c>
      <c r="E235" s="830">
        <f t="shared" si="113"/>
        <v>0.10492845786963434</v>
      </c>
      <c r="F235" s="830">
        <f t="shared" si="113"/>
        <v>0.11290322580645161</v>
      </c>
      <c r="G235" s="830">
        <f t="shared" si="113"/>
        <v>0.21927710843373494</v>
      </c>
      <c r="H235" s="830">
        <f t="shared" si="113"/>
        <v>0.2</v>
      </c>
      <c r="I235" s="832">
        <f t="shared" si="113"/>
        <v>0.13397371081900911</v>
      </c>
      <c r="J235" s="832">
        <f t="shared" si="113"/>
        <v>0</v>
      </c>
      <c r="K235" s="830">
        <f t="shared" si="113"/>
        <v>0</v>
      </c>
      <c r="L235" s="830">
        <f t="shared" si="113"/>
        <v>5.9967585089141004E-2</v>
      </c>
      <c r="M235" s="830">
        <f t="shared" si="113"/>
        <v>0</v>
      </c>
      <c r="N235" s="830">
        <f t="shared" si="113"/>
        <v>0</v>
      </c>
      <c r="O235" s="832">
        <f t="shared" si="113"/>
        <v>3.9493293591654245E-2</v>
      </c>
      <c r="P235" s="832">
        <f t="shared" si="113"/>
        <v>0</v>
      </c>
      <c r="Q235" s="830">
        <f t="shared" si="113"/>
        <v>0</v>
      </c>
      <c r="R235" s="833">
        <f t="shared" si="113"/>
        <v>0</v>
      </c>
      <c r="S235" s="832">
        <f t="shared" si="113"/>
        <v>0</v>
      </c>
      <c r="T235" s="213"/>
      <c r="U235" s="349">
        <v>625</v>
      </c>
      <c r="V235" s="349">
        <v>179</v>
      </c>
      <c r="W235" s="349">
        <v>66</v>
      </c>
      <c r="X235" s="349">
        <v>63</v>
      </c>
      <c r="Y235" s="349">
        <v>91</v>
      </c>
      <c r="Z235" s="349">
        <v>36</v>
      </c>
      <c r="AA235" s="804">
        <v>1060</v>
      </c>
      <c r="AB235" s="804"/>
      <c r="AC235" s="349"/>
      <c r="AD235" s="349">
        <v>37</v>
      </c>
      <c r="AE235" s="349"/>
      <c r="AF235" s="349"/>
      <c r="AG235" s="804">
        <v>53</v>
      </c>
      <c r="AH235" s="804"/>
      <c r="AI235" s="349"/>
      <c r="AJ235" s="813"/>
      <c r="AK235" s="804"/>
      <c r="AL235" s="209"/>
      <c r="AM235" s="209"/>
    </row>
    <row r="236" spans="1:39" s="80" customFormat="1">
      <c r="A236" s="436"/>
      <c r="B236" s="436" t="s">
        <v>59</v>
      </c>
      <c r="C236" s="834">
        <f>IF(U236&gt;0,(U236/U236),0)</f>
        <v>1</v>
      </c>
      <c r="D236" s="835">
        <f t="shared" ref="D236:S236" si="114">IF(V236&gt;0,(V236/V236),0)</f>
        <v>1</v>
      </c>
      <c r="E236" s="835">
        <f t="shared" si="114"/>
        <v>1</v>
      </c>
      <c r="F236" s="835">
        <f t="shared" si="114"/>
        <v>1</v>
      </c>
      <c r="G236" s="835">
        <f t="shared" si="114"/>
        <v>1</v>
      </c>
      <c r="H236" s="835">
        <f t="shared" si="114"/>
        <v>1</v>
      </c>
      <c r="I236" s="834">
        <f t="shared" si="114"/>
        <v>1</v>
      </c>
      <c r="J236" s="834">
        <f t="shared" si="114"/>
        <v>0</v>
      </c>
      <c r="K236" s="835">
        <f t="shared" si="114"/>
        <v>1</v>
      </c>
      <c r="L236" s="835">
        <f t="shared" si="114"/>
        <v>1</v>
      </c>
      <c r="M236" s="835">
        <f t="shared" si="114"/>
        <v>1</v>
      </c>
      <c r="N236" s="835">
        <f t="shared" si="114"/>
        <v>0</v>
      </c>
      <c r="O236" s="834">
        <f t="shared" si="114"/>
        <v>1</v>
      </c>
      <c r="P236" s="834">
        <f t="shared" si="114"/>
        <v>0</v>
      </c>
      <c r="Q236" s="835">
        <f t="shared" si="114"/>
        <v>0</v>
      </c>
      <c r="R236" s="836">
        <f t="shared" si="114"/>
        <v>0</v>
      </c>
      <c r="S236" s="834">
        <f t="shared" si="114"/>
        <v>0</v>
      </c>
      <c r="T236" s="213"/>
      <c r="U236" s="816">
        <v>3993</v>
      </c>
      <c r="V236" s="816">
        <v>2137</v>
      </c>
      <c r="W236" s="816">
        <v>629</v>
      </c>
      <c r="X236" s="816">
        <v>558</v>
      </c>
      <c r="Y236" s="816">
        <v>415</v>
      </c>
      <c r="Z236" s="816">
        <v>180</v>
      </c>
      <c r="AA236" s="805">
        <v>7912</v>
      </c>
      <c r="AB236" s="805"/>
      <c r="AC236" s="816">
        <v>394</v>
      </c>
      <c r="AD236" s="816">
        <v>617</v>
      </c>
      <c r="AE236" s="816">
        <v>217</v>
      </c>
      <c r="AF236" s="816"/>
      <c r="AG236" s="805">
        <v>1342</v>
      </c>
      <c r="AH236" s="805"/>
      <c r="AI236" s="816"/>
      <c r="AJ236" s="817"/>
      <c r="AK236" s="805"/>
      <c r="AL236" s="209"/>
      <c r="AM236" s="209"/>
    </row>
    <row r="237" spans="1:39" s="80" customFormat="1">
      <c r="A237" s="240" t="s">
        <v>142</v>
      </c>
      <c r="B237" s="240" t="s">
        <v>53</v>
      </c>
      <c r="C237" s="829">
        <f>IF(U242&gt;0,(U237/U242),0)</f>
        <v>0.3541589648798521</v>
      </c>
      <c r="D237" s="830">
        <f t="shared" ref="D237:S237" si="115">IF(V242&gt;0,(V237/V242),0)</f>
        <v>0</v>
      </c>
      <c r="E237" s="830">
        <f t="shared" si="115"/>
        <v>0.25383304940374785</v>
      </c>
      <c r="F237" s="830">
        <f t="shared" si="115"/>
        <v>0</v>
      </c>
      <c r="G237" s="830">
        <f t="shared" si="115"/>
        <v>0</v>
      </c>
      <c r="H237" s="830">
        <f t="shared" si="115"/>
        <v>0</v>
      </c>
      <c r="I237" s="829">
        <f t="shared" si="115"/>
        <v>0.336269744835966</v>
      </c>
      <c r="J237" s="829">
        <f t="shared" si="115"/>
        <v>0</v>
      </c>
      <c r="K237" s="830">
        <f t="shared" si="115"/>
        <v>0.15</v>
      </c>
      <c r="L237" s="830">
        <f t="shared" si="115"/>
        <v>5.2986512524084775E-2</v>
      </c>
      <c r="M237" s="830">
        <f t="shared" si="115"/>
        <v>0.11976047904191617</v>
      </c>
      <c r="N237" s="830">
        <f t="shared" si="115"/>
        <v>0</v>
      </c>
      <c r="O237" s="829">
        <f t="shared" si="115"/>
        <v>0.19492440604751621</v>
      </c>
      <c r="P237" s="829">
        <f t="shared" si="115"/>
        <v>0</v>
      </c>
      <c r="Q237" s="830">
        <f t="shared" si="115"/>
        <v>0</v>
      </c>
      <c r="R237" s="831">
        <f t="shared" si="115"/>
        <v>0</v>
      </c>
      <c r="S237" s="829">
        <f t="shared" si="115"/>
        <v>0</v>
      </c>
      <c r="T237" s="213"/>
      <c r="U237" s="349">
        <v>958</v>
      </c>
      <c r="V237" s="349"/>
      <c r="W237" s="349">
        <v>149</v>
      </c>
      <c r="X237" s="349"/>
      <c r="Y237" s="349"/>
      <c r="Z237" s="349"/>
      <c r="AA237" s="803">
        <v>1107</v>
      </c>
      <c r="AB237" s="803"/>
      <c r="AC237" s="349">
        <v>87</v>
      </c>
      <c r="AD237" s="349">
        <v>55</v>
      </c>
      <c r="AE237" s="349">
        <v>20</v>
      </c>
      <c r="AF237" s="349"/>
      <c r="AG237" s="803">
        <v>361</v>
      </c>
      <c r="AH237" s="803"/>
      <c r="AI237" s="349"/>
      <c r="AJ237" s="812"/>
      <c r="AK237" s="803"/>
      <c r="AL237" s="209"/>
      <c r="AM237" s="209"/>
    </row>
    <row r="238" spans="1:39" s="80" customFormat="1">
      <c r="A238" s="239"/>
      <c r="B238" s="239" t="s">
        <v>93</v>
      </c>
      <c r="C238" s="832">
        <f>IF(U242&gt;0,(U238/U242),0)</f>
        <v>0.28835489833641403</v>
      </c>
      <c r="D238" s="830">
        <f t="shared" ref="D238:S238" si="116">IF(V242&gt;0,(V238/V242),0)</f>
        <v>0</v>
      </c>
      <c r="E238" s="830">
        <f t="shared" si="116"/>
        <v>0.3270868824531516</v>
      </c>
      <c r="F238" s="830">
        <f t="shared" si="116"/>
        <v>0</v>
      </c>
      <c r="G238" s="830">
        <f t="shared" si="116"/>
        <v>0</v>
      </c>
      <c r="H238" s="830">
        <f t="shared" si="116"/>
        <v>0</v>
      </c>
      <c r="I238" s="832">
        <f t="shared" si="116"/>
        <v>0.29526123936816523</v>
      </c>
      <c r="J238" s="832">
        <f t="shared" si="116"/>
        <v>0</v>
      </c>
      <c r="K238" s="830">
        <f t="shared" si="116"/>
        <v>6.2068965517241378E-2</v>
      </c>
      <c r="L238" s="830">
        <f t="shared" si="116"/>
        <v>4.8169556840077073E-2</v>
      </c>
      <c r="M238" s="830">
        <f t="shared" si="116"/>
        <v>0.23353293413173654</v>
      </c>
      <c r="N238" s="830">
        <f t="shared" si="116"/>
        <v>0</v>
      </c>
      <c r="O238" s="832">
        <f t="shared" si="116"/>
        <v>0.10529157667386609</v>
      </c>
      <c r="P238" s="832">
        <f t="shared" si="116"/>
        <v>0</v>
      </c>
      <c r="Q238" s="830">
        <f t="shared" si="116"/>
        <v>0</v>
      </c>
      <c r="R238" s="833">
        <f t="shared" si="116"/>
        <v>0</v>
      </c>
      <c r="S238" s="832">
        <f t="shared" si="116"/>
        <v>0</v>
      </c>
      <c r="T238" s="213"/>
      <c r="U238" s="349">
        <v>780</v>
      </c>
      <c r="V238" s="349"/>
      <c r="W238" s="349">
        <v>192</v>
      </c>
      <c r="X238" s="349"/>
      <c r="Y238" s="349"/>
      <c r="Z238" s="349"/>
      <c r="AA238" s="804">
        <v>972</v>
      </c>
      <c r="AB238" s="804"/>
      <c r="AC238" s="349">
        <v>36</v>
      </c>
      <c r="AD238" s="349">
        <v>50</v>
      </c>
      <c r="AE238" s="349">
        <v>39</v>
      </c>
      <c r="AF238" s="349"/>
      <c r="AG238" s="804">
        <v>195</v>
      </c>
      <c r="AH238" s="804"/>
      <c r="AI238" s="349"/>
      <c r="AJ238" s="813"/>
      <c r="AK238" s="804"/>
      <c r="AL238" s="209"/>
      <c r="AM238" s="209"/>
    </row>
    <row r="239" spans="1:39" s="80" customFormat="1">
      <c r="A239" s="239"/>
      <c r="B239" s="239" t="s">
        <v>55</v>
      </c>
      <c r="C239" s="832">
        <f>IF(U242&gt;0,(U239/U242),0)</f>
        <v>0.24103512014787432</v>
      </c>
      <c r="D239" s="830">
        <f t="shared" ref="D239:S239" si="117">IF(V242&gt;0,(V239/V242),0)</f>
        <v>0</v>
      </c>
      <c r="E239" s="830">
        <f t="shared" si="117"/>
        <v>0.22487223168654175</v>
      </c>
      <c r="F239" s="830">
        <f t="shared" si="117"/>
        <v>0</v>
      </c>
      <c r="G239" s="830">
        <f t="shared" si="117"/>
        <v>0</v>
      </c>
      <c r="H239" s="830">
        <f t="shared" si="117"/>
        <v>0</v>
      </c>
      <c r="I239" s="832">
        <f t="shared" si="117"/>
        <v>0.23815309842041313</v>
      </c>
      <c r="J239" s="832">
        <f t="shared" si="117"/>
        <v>0</v>
      </c>
      <c r="K239" s="830">
        <f t="shared" si="117"/>
        <v>0.16379310344827586</v>
      </c>
      <c r="L239" s="830">
        <f t="shared" si="117"/>
        <v>5.0096339113680152E-2</v>
      </c>
      <c r="M239" s="830">
        <f t="shared" si="117"/>
        <v>8.3832335329341312E-2</v>
      </c>
      <c r="N239" s="830">
        <f t="shared" si="117"/>
        <v>0</v>
      </c>
      <c r="O239" s="832">
        <f t="shared" si="117"/>
        <v>8.6933045356371488E-2</v>
      </c>
      <c r="P239" s="832">
        <f t="shared" si="117"/>
        <v>0</v>
      </c>
      <c r="Q239" s="830">
        <f t="shared" si="117"/>
        <v>0</v>
      </c>
      <c r="R239" s="833">
        <f t="shared" si="117"/>
        <v>0</v>
      </c>
      <c r="S239" s="832">
        <f t="shared" si="117"/>
        <v>0</v>
      </c>
      <c r="T239" s="213"/>
      <c r="U239" s="349">
        <v>652</v>
      </c>
      <c r="V239" s="349"/>
      <c r="W239" s="349">
        <v>132</v>
      </c>
      <c r="X239" s="349"/>
      <c r="Y239" s="349"/>
      <c r="Z239" s="349"/>
      <c r="AA239" s="804">
        <v>784</v>
      </c>
      <c r="AB239" s="804"/>
      <c r="AC239" s="349">
        <v>95</v>
      </c>
      <c r="AD239" s="349">
        <v>52</v>
      </c>
      <c r="AE239" s="349">
        <v>14</v>
      </c>
      <c r="AF239" s="349"/>
      <c r="AG239" s="804">
        <v>161</v>
      </c>
      <c r="AH239" s="804"/>
      <c r="AI239" s="349"/>
      <c r="AJ239" s="813"/>
      <c r="AK239" s="804"/>
      <c r="AL239" s="209"/>
      <c r="AM239" s="209"/>
    </row>
    <row r="240" spans="1:39" s="80" customFormat="1">
      <c r="A240" s="239"/>
      <c r="B240" s="239" t="s">
        <v>78</v>
      </c>
      <c r="C240" s="832">
        <f>IF(U242&gt;0,(U240/U242),0)</f>
        <v>5.9149722735674674E-3</v>
      </c>
      <c r="D240" s="830">
        <f t="shared" ref="D240:S240" si="118">IF(V242&gt;0,(V240/V242),0)</f>
        <v>0</v>
      </c>
      <c r="E240" s="830">
        <f t="shared" si="118"/>
        <v>0.19420783645655879</v>
      </c>
      <c r="F240" s="830">
        <f t="shared" si="118"/>
        <v>0</v>
      </c>
      <c r="G240" s="830">
        <f t="shared" si="118"/>
        <v>0</v>
      </c>
      <c r="H240" s="830">
        <f t="shared" si="118"/>
        <v>0</v>
      </c>
      <c r="I240" s="832">
        <f t="shared" si="118"/>
        <v>3.9489671931956259E-2</v>
      </c>
      <c r="J240" s="832">
        <f t="shared" si="118"/>
        <v>0</v>
      </c>
      <c r="K240" s="830">
        <f t="shared" si="118"/>
        <v>9.1379310344827588E-2</v>
      </c>
      <c r="L240" s="830">
        <f t="shared" si="118"/>
        <v>0.73314065510597304</v>
      </c>
      <c r="M240" s="830">
        <f t="shared" si="118"/>
        <v>0.31736526946107785</v>
      </c>
      <c r="N240" s="830">
        <f t="shared" si="118"/>
        <v>0</v>
      </c>
      <c r="O240" s="832">
        <f t="shared" si="118"/>
        <v>0.51619870410367175</v>
      </c>
      <c r="P240" s="832">
        <f t="shared" si="118"/>
        <v>0</v>
      </c>
      <c r="Q240" s="830">
        <f t="shared" si="118"/>
        <v>0</v>
      </c>
      <c r="R240" s="833">
        <f t="shared" si="118"/>
        <v>0</v>
      </c>
      <c r="S240" s="832">
        <f t="shared" si="118"/>
        <v>0</v>
      </c>
      <c r="T240" s="213"/>
      <c r="U240" s="349">
        <v>16</v>
      </c>
      <c r="V240" s="349"/>
      <c r="W240" s="349">
        <v>114</v>
      </c>
      <c r="X240" s="349"/>
      <c r="Y240" s="349"/>
      <c r="Z240" s="349"/>
      <c r="AA240" s="804">
        <v>130</v>
      </c>
      <c r="AB240" s="804"/>
      <c r="AC240" s="349">
        <v>53</v>
      </c>
      <c r="AD240" s="349">
        <v>761</v>
      </c>
      <c r="AE240" s="349">
        <v>53</v>
      </c>
      <c r="AF240" s="349"/>
      <c r="AG240" s="804">
        <v>956</v>
      </c>
      <c r="AH240" s="804"/>
      <c r="AI240" s="349"/>
      <c r="AJ240" s="813"/>
      <c r="AK240" s="804"/>
      <c r="AL240" s="209"/>
      <c r="AM240" s="209"/>
    </row>
    <row r="241" spans="1:39" s="80" customFormat="1">
      <c r="A241" s="580"/>
      <c r="B241" s="580" t="s">
        <v>131</v>
      </c>
      <c r="C241" s="832">
        <f>IF(U242&gt;0,(U241/U242),0)</f>
        <v>0.11053604436229206</v>
      </c>
      <c r="D241" s="830">
        <f t="shared" ref="D241:S241" si="119">IF(V242&gt;0,(V241/V242),0)</f>
        <v>0</v>
      </c>
      <c r="E241" s="830">
        <f t="shared" si="119"/>
        <v>0</v>
      </c>
      <c r="F241" s="830">
        <f t="shared" si="119"/>
        <v>0</v>
      </c>
      <c r="G241" s="830">
        <f t="shared" si="119"/>
        <v>0</v>
      </c>
      <c r="H241" s="830">
        <f t="shared" si="119"/>
        <v>0</v>
      </c>
      <c r="I241" s="832">
        <f t="shared" si="119"/>
        <v>9.082624544349939E-2</v>
      </c>
      <c r="J241" s="832">
        <f t="shared" si="119"/>
        <v>0</v>
      </c>
      <c r="K241" s="830">
        <f t="shared" si="119"/>
        <v>0.53275862068965518</v>
      </c>
      <c r="L241" s="830">
        <f t="shared" si="119"/>
        <v>0.11560693641618497</v>
      </c>
      <c r="M241" s="830">
        <f t="shared" si="119"/>
        <v>0.24550898203592814</v>
      </c>
      <c r="N241" s="830">
        <f t="shared" si="119"/>
        <v>0</v>
      </c>
      <c r="O241" s="832">
        <f t="shared" si="119"/>
        <v>9.6652267818574514E-2</v>
      </c>
      <c r="P241" s="832">
        <f t="shared" si="119"/>
        <v>0</v>
      </c>
      <c r="Q241" s="830">
        <f t="shared" si="119"/>
        <v>0</v>
      </c>
      <c r="R241" s="833">
        <f t="shared" si="119"/>
        <v>0</v>
      </c>
      <c r="S241" s="832">
        <f t="shared" si="119"/>
        <v>0</v>
      </c>
      <c r="T241" s="213"/>
      <c r="U241" s="349">
        <v>299</v>
      </c>
      <c r="V241" s="349"/>
      <c r="W241" s="349"/>
      <c r="X241" s="349"/>
      <c r="Y241" s="349"/>
      <c r="Z241" s="349"/>
      <c r="AA241" s="804">
        <v>299</v>
      </c>
      <c r="AB241" s="804"/>
      <c r="AC241" s="349">
        <v>309</v>
      </c>
      <c r="AD241" s="349">
        <v>120</v>
      </c>
      <c r="AE241" s="349">
        <v>41</v>
      </c>
      <c r="AF241" s="349"/>
      <c r="AG241" s="804">
        <v>179</v>
      </c>
      <c r="AH241" s="804"/>
      <c r="AI241" s="349"/>
      <c r="AJ241" s="813"/>
      <c r="AK241" s="804"/>
      <c r="AL241" s="209"/>
      <c r="AM241" s="209"/>
    </row>
    <row r="242" spans="1:39" s="80" customFormat="1">
      <c r="A242" s="436"/>
      <c r="B242" s="436" t="s">
        <v>59</v>
      </c>
      <c r="C242" s="834">
        <f>IF(U242&gt;0,(U242/U242),0)</f>
        <v>1</v>
      </c>
      <c r="D242" s="835">
        <f t="shared" ref="D242:S242" si="120">IF(V242&gt;0,(V242/V242),0)</f>
        <v>0</v>
      </c>
      <c r="E242" s="835">
        <f t="shared" si="120"/>
        <v>1</v>
      </c>
      <c r="F242" s="835">
        <f t="shared" si="120"/>
        <v>0</v>
      </c>
      <c r="G242" s="835">
        <f t="shared" si="120"/>
        <v>0</v>
      </c>
      <c r="H242" s="835">
        <f t="shared" si="120"/>
        <v>0</v>
      </c>
      <c r="I242" s="834">
        <f t="shared" si="120"/>
        <v>1</v>
      </c>
      <c r="J242" s="834">
        <f t="shared" si="120"/>
        <v>0</v>
      </c>
      <c r="K242" s="835">
        <f t="shared" si="120"/>
        <v>1</v>
      </c>
      <c r="L242" s="835">
        <f t="shared" si="120"/>
        <v>1</v>
      </c>
      <c r="M242" s="835">
        <f t="shared" si="120"/>
        <v>1</v>
      </c>
      <c r="N242" s="835">
        <f t="shared" si="120"/>
        <v>0</v>
      </c>
      <c r="O242" s="834">
        <f t="shared" si="120"/>
        <v>1</v>
      </c>
      <c r="P242" s="834">
        <f t="shared" si="120"/>
        <v>0</v>
      </c>
      <c r="Q242" s="835">
        <f t="shared" si="120"/>
        <v>0</v>
      </c>
      <c r="R242" s="836">
        <f t="shared" si="120"/>
        <v>0</v>
      </c>
      <c r="S242" s="834">
        <f t="shared" si="120"/>
        <v>0</v>
      </c>
      <c r="T242" s="213"/>
      <c r="U242" s="816">
        <v>2705</v>
      </c>
      <c r="V242" s="816"/>
      <c r="W242" s="816">
        <v>587</v>
      </c>
      <c r="X242" s="816"/>
      <c r="Y242" s="816"/>
      <c r="Z242" s="816"/>
      <c r="AA242" s="805">
        <v>3292</v>
      </c>
      <c r="AB242" s="805"/>
      <c r="AC242" s="816">
        <v>580</v>
      </c>
      <c r="AD242" s="816">
        <v>1038</v>
      </c>
      <c r="AE242" s="816">
        <v>167</v>
      </c>
      <c r="AF242" s="816"/>
      <c r="AG242" s="805">
        <v>1852</v>
      </c>
      <c r="AH242" s="805"/>
      <c r="AI242" s="816"/>
      <c r="AJ242" s="817"/>
      <c r="AK242" s="805"/>
      <c r="AL242" s="209"/>
      <c r="AM242" s="209"/>
    </row>
    <row r="243" spans="1:39" s="80" customFormat="1">
      <c r="A243" s="240" t="s">
        <v>146</v>
      </c>
      <c r="B243" s="240" t="s">
        <v>53</v>
      </c>
      <c r="C243" s="829">
        <f>IF(U248&gt;0,(U243/U248),0)</f>
        <v>0.31748878923766816</v>
      </c>
      <c r="D243" s="830">
        <f t="shared" ref="D243:S243" si="121">IF(V248&gt;0,(V243/V248),0)</f>
        <v>0.26483050847457629</v>
      </c>
      <c r="E243" s="830">
        <f t="shared" si="121"/>
        <v>0.25387365911799764</v>
      </c>
      <c r="F243" s="830">
        <f t="shared" si="121"/>
        <v>0.23773584905660378</v>
      </c>
      <c r="G243" s="830">
        <f t="shared" si="121"/>
        <v>0</v>
      </c>
      <c r="H243" s="830">
        <f t="shared" si="121"/>
        <v>0</v>
      </c>
      <c r="I243" s="829">
        <f t="shared" si="121"/>
        <v>0.29138202837624805</v>
      </c>
      <c r="J243" s="829">
        <f t="shared" si="121"/>
        <v>0</v>
      </c>
      <c r="K243" s="830">
        <f t="shared" si="121"/>
        <v>0.3611111111111111</v>
      </c>
      <c r="L243" s="830">
        <f t="shared" si="121"/>
        <v>0.1404494382022472</v>
      </c>
      <c r="M243" s="830">
        <f t="shared" si="121"/>
        <v>5.1451187335092345E-2</v>
      </c>
      <c r="N243" s="830">
        <f t="shared" si="121"/>
        <v>0</v>
      </c>
      <c r="O243" s="829">
        <f t="shared" si="121"/>
        <v>0.1626112759643917</v>
      </c>
      <c r="P243" s="829">
        <f t="shared" si="121"/>
        <v>0</v>
      </c>
      <c r="Q243" s="830">
        <f t="shared" si="121"/>
        <v>0</v>
      </c>
      <c r="R243" s="831">
        <f t="shared" si="121"/>
        <v>0</v>
      </c>
      <c r="S243" s="829">
        <f t="shared" si="121"/>
        <v>0</v>
      </c>
      <c r="T243" s="213"/>
      <c r="U243" s="349">
        <v>708</v>
      </c>
      <c r="V243" s="349">
        <v>125</v>
      </c>
      <c r="W243" s="349">
        <v>213</v>
      </c>
      <c r="X243" s="349">
        <v>63</v>
      </c>
      <c r="Y243" s="349"/>
      <c r="Z243" s="349"/>
      <c r="AA243" s="803">
        <v>1109</v>
      </c>
      <c r="AB243" s="803"/>
      <c r="AC243" s="349">
        <v>169</v>
      </c>
      <c r="AD243" s="349">
        <v>50</v>
      </c>
      <c r="AE243" s="349">
        <v>39</v>
      </c>
      <c r="AF243" s="349"/>
      <c r="AG243" s="803">
        <v>274</v>
      </c>
      <c r="AH243" s="803"/>
      <c r="AI243" s="349"/>
      <c r="AJ243" s="812"/>
      <c r="AK243" s="803"/>
      <c r="AL243" s="209"/>
      <c r="AM243" s="209"/>
    </row>
    <row r="244" spans="1:39" s="80" customFormat="1">
      <c r="A244" s="239"/>
      <c r="B244" s="239" t="s">
        <v>93</v>
      </c>
      <c r="C244" s="832">
        <f>IF(U248&gt;0,(U244/U248),0)</f>
        <v>0.29237668161434976</v>
      </c>
      <c r="D244" s="830">
        <f t="shared" ref="D244:S244" si="122">IF(V248&gt;0,(V244/V248),0)</f>
        <v>0.29661016949152541</v>
      </c>
      <c r="E244" s="830">
        <f t="shared" si="122"/>
        <v>0.25625744934445771</v>
      </c>
      <c r="F244" s="830">
        <f t="shared" si="122"/>
        <v>0.28301886792452829</v>
      </c>
      <c r="G244" s="830">
        <f t="shared" si="122"/>
        <v>0</v>
      </c>
      <c r="H244" s="830">
        <f t="shared" si="122"/>
        <v>0</v>
      </c>
      <c r="I244" s="832">
        <f t="shared" si="122"/>
        <v>0.2842879663688912</v>
      </c>
      <c r="J244" s="832">
        <f t="shared" si="122"/>
        <v>0</v>
      </c>
      <c r="K244" s="830">
        <f t="shared" si="122"/>
        <v>0.19444444444444445</v>
      </c>
      <c r="L244" s="830">
        <f t="shared" si="122"/>
        <v>8.7078651685393263E-2</v>
      </c>
      <c r="M244" s="830">
        <f t="shared" si="122"/>
        <v>3.825857519788918E-2</v>
      </c>
      <c r="N244" s="830">
        <f t="shared" si="122"/>
        <v>0</v>
      </c>
      <c r="O244" s="832">
        <f t="shared" si="122"/>
        <v>9.1394658753709196E-2</v>
      </c>
      <c r="P244" s="832">
        <f t="shared" si="122"/>
        <v>0</v>
      </c>
      <c r="Q244" s="830">
        <f t="shared" si="122"/>
        <v>0</v>
      </c>
      <c r="R244" s="833">
        <f t="shared" si="122"/>
        <v>0</v>
      </c>
      <c r="S244" s="832">
        <f t="shared" si="122"/>
        <v>0</v>
      </c>
      <c r="T244" s="213"/>
      <c r="U244" s="349">
        <v>652</v>
      </c>
      <c r="V244" s="349">
        <v>140</v>
      </c>
      <c r="W244" s="349">
        <v>215</v>
      </c>
      <c r="X244" s="349">
        <v>75</v>
      </c>
      <c r="Y244" s="349"/>
      <c r="Z244" s="349"/>
      <c r="AA244" s="804">
        <v>1082</v>
      </c>
      <c r="AB244" s="804"/>
      <c r="AC244" s="349">
        <v>91</v>
      </c>
      <c r="AD244" s="349">
        <v>31</v>
      </c>
      <c r="AE244" s="349">
        <v>29</v>
      </c>
      <c r="AF244" s="349"/>
      <c r="AG244" s="804">
        <v>154</v>
      </c>
      <c r="AH244" s="804"/>
      <c r="AI244" s="349"/>
      <c r="AJ244" s="813"/>
      <c r="AK244" s="804"/>
      <c r="AL244" s="209"/>
      <c r="AM244" s="209"/>
    </row>
    <row r="245" spans="1:39" s="80" customFormat="1">
      <c r="A245" s="239"/>
      <c r="B245" s="239" t="s">
        <v>55</v>
      </c>
      <c r="C245" s="832">
        <f>IF(U248&gt;0,(U245/U248),0)</f>
        <v>0.2789237668161435</v>
      </c>
      <c r="D245" s="830">
        <f t="shared" ref="D245:S245" si="123">IF(V248&gt;0,(V245/V248),0)</f>
        <v>0.26483050847457629</v>
      </c>
      <c r="E245" s="830">
        <f t="shared" si="123"/>
        <v>0.26698450536352802</v>
      </c>
      <c r="F245" s="830">
        <f t="shared" si="123"/>
        <v>0.24528301886792453</v>
      </c>
      <c r="G245" s="830">
        <f t="shared" si="123"/>
        <v>0</v>
      </c>
      <c r="H245" s="830">
        <f t="shared" si="123"/>
        <v>0</v>
      </c>
      <c r="I245" s="832">
        <f t="shared" si="123"/>
        <v>0.27220178665265371</v>
      </c>
      <c r="J245" s="832">
        <f t="shared" si="123"/>
        <v>0</v>
      </c>
      <c r="K245" s="830">
        <f t="shared" si="123"/>
        <v>0.11965811965811966</v>
      </c>
      <c r="L245" s="830">
        <f t="shared" si="123"/>
        <v>4.7752808988764044E-2</v>
      </c>
      <c r="M245" s="830">
        <f t="shared" si="123"/>
        <v>7.9155672823219003E-3</v>
      </c>
      <c r="N245" s="830">
        <f t="shared" si="123"/>
        <v>0</v>
      </c>
      <c r="O245" s="832">
        <f t="shared" si="123"/>
        <v>6.1127596439169138E-2</v>
      </c>
      <c r="P245" s="832">
        <f t="shared" si="123"/>
        <v>0</v>
      </c>
      <c r="Q245" s="830">
        <f t="shared" si="123"/>
        <v>0</v>
      </c>
      <c r="R245" s="833">
        <f t="shared" si="123"/>
        <v>0</v>
      </c>
      <c r="S245" s="832">
        <f t="shared" si="123"/>
        <v>0</v>
      </c>
      <c r="T245" s="213"/>
      <c r="U245" s="349">
        <v>622</v>
      </c>
      <c r="V245" s="349">
        <v>125</v>
      </c>
      <c r="W245" s="349">
        <v>224</v>
      </c>
      <c r="X245" s="349">
        <v>65</v>
      </c>
      <c r="Y245" s="349"/>
      <c r="Z245" s="349"/>
      <c r="AA245" s="804">
        <v>1036</v>
      </c>
      <c r="AB245" s="804"/>
      <c r="AC245" s="349">
        <v>56</v>
      </c>
      <c r="AD245" s="349">
        <v>17</v>
      </c>
      <c r="AE245" s="349">
        <v>6</v>
      </c>
      <c r="AF245" s="349"/>
      <c r="AG245" s="804">
        <v>103</v>
      </c>
      <c r="AH245" s="804"/>
      <c r="AI245" s="349"/>
      <c r="AJ245" s="813"/>
      <c r="AK245" s="804"/>
      <c r="AL245" s="209"/>
      <c r="AM245" s="209"/>
    </row>
    <row r="246" spans="1:39" s="80" customFormat="1">
      <c r="A246" s="239"/>
      <c r="B246" s="239" t="s">
        <v>78</v>
      </c>
      <c r="C246" s="832">
        <f>IF(U248&gt;0,(U246/U248),0)</f>
        <v>8.3856502242152464E-2</v>
      </c>
      <c r="D246" s="830">
        <f t="shared" ref="D246:S246" si="124">IF(V248&gt;0,(V246/V248),0)</f>
        <v>6.991525423728813E-2</v>
      </c>
      <c r="E246" s="830">
        <f t="shared" si="124"/>
        <v>0.22288438617401668</v>
      </c>
      <c r="F246" s="830">
        <f t="shared" si="124"/>
        <v>2.2641509433962263E-2</v>
      </c>
      <c r="G246" s="830">
        <f t="shared" si="124"/>
        <v>0</v>
      </c>
      <c r="H246" s="830">
        <f t="shared" si="124"/>
        <v>0</v>
      </c>
      <c r="I246" s="832">
        <f t="shared" si="124"/>
        <v>0.10851287440882816</v>
      </c>
      <c r="J246" s="832">
        <f t="shared" si="124"/>
        <v>0</v>
      </c>
      <c r="K246" s="830">
        <f t="shared" si="124"/>
        <v>0.3247863247863248</v>
      </c>
      <c r="L246" s="830">
        <f t="shared" si="124"/>
        <v>0.52247191011235961</v>
      </c>
      <c r="M246" s="830">
        <f t="shared" si="124"/>
        <v>0.84036939313984171</v>
      </c>
      <c r="N246" s="830">
        <f t="shared" si="124"/>
        <v>0</v>
      </c>
      <c r="O246" s="832">
        <f t="shared" si="124"/>
        <v>0.63976261127596434</v>
      </c>
      <c r="P246" s="832">
        <f t="shared" si="124"/>
        <v>0</v>
      </c>
      <c r="Q246" s="830">
        <f t="shared" si="124"/>
        <v>0</v>
      </c>
      <c r="R246" s="833">
        <f t="shared" si="124"/>
        <v>0</v>
      </c>
      <c r="S246" s="832">
        <f t="shared" si="124"/>
        <v>0</v>
      </c>
      <c r="T246" s="213"/>
      <c r="U246" s="349">
        <v>187</v>
      </c>
      <c r="V246" s="349">
        <v>33</v>
      </c>
      <c r="W246" s="349">
        <v>187</v>
      </c>
      <c r="X246" s="349">
        <v>6</v>
      </c>
      <c r="Y246" s="349"/>
      <c r="Z246" s="349"/>
      <c r="AA246" s="804">
        <v>413</v>
      </c>
      <c r="AB246" s="804"/>
      <c r="AC246" s="349">
        <v>152</v>
      </c>
      <c r="AD246" s="349">
        <v>186</v>
      </c>
      <c r="AE246" s="349">
        <v>637</v>
      </c>
      <c r="AF246" s="349"/>
      <c r="AG246" s="804">
        <v>1078</v>
      </c>
      <c r="AH246" s="804"/>
      <c r="AI246" s="349"/>
      <c r="AJ246" s="813"/>
      <c r="AK246" s="804"/>
      <c r="AL246" s="209"/>
      <c r="AM246" s="209"/>
    </row>
    <row r="247" spans="1:39" s="80" customFormat="1">
      <c r="A247" s="580"/>
      <c r="B247" s="580" t="s">
        <v>131</v>
      </c>
      <c r="C247" s="832">
        <f>IF(U248&gt;0,(U247/U248),0)</f>
        <v>2.7354260089686097E-2</v>
      </c>
      <c r="D247" s="830">
        <f t="shared" ref="D247:S247" si="125">IF(V248&gt;0,(V247/V248),0)</f>
        <v>0.1038135593220339</v>
      </c>
      <c r="E247" s="830">
        <f t="shared" si="125"/>
        <v>0</v>
      </c>
      <c r="F247" s="830">
        <f t="shared" si="125"/>
        <v>0.21132075471698114</v>
      </c>
      <c r="G247" s="830">
        <f t="shared" si="125"/>
        <v>0</v>
      </c>
      <c r="H247" s="830">
        <f t="shared" si="125"/>
        <v>0</v>
      </c>
      <c r="I247" s="832">
        <f t="shared" si="125"/>
        <v>4.3615344193378876E-2</v>
      </c>
      <c r="J247" s="832">
        <f t="shared" si="125"/>
        <v>0</v>
      </c>
      <c r="K247" s="830">
        <f t="shared" si="125"/>
        <v>0</v>
      </c>
      <c r="L247" s="830">
        <f t="shared" si="125"/>
        <v>0.20224719101123595</v>
      </c>
      <c r="M247" s="830">
        <f t="shared" si="125"/>
        <v>6.2005277044854881E-2</v>
      </c>
      <c r="N247" s="830">
        <f t="shared" si="125"/>
        <v>0</v>
      </c>
      <c r="O247" s="832">
        <f t="shared" si="125"/>
        <v>4.5103857566765576E-2</v>
      </c>
      <c r="P247" s="832">
        <f t="shared" si="125"/>
        <v>0</v>
      </c>
      <c r="Q247" s="830">
        <f t="shared" si="125"/>
        <v>0</v>
      </c>
      <c r="R247" s="833">
        <f t="shared" si="125"/>
        <v>0</v>
      </c>
      <c r="S247" s="832">
        <f t="shared" si="125"/>
        <v>0</v>
      </c>
      <c r="T247" s="213"/>
      <c r="U247" s="349">
        <v>61</v>
      </c>
      <c r="V247" s="349">
        <v>49</v>
      </c>
      <c r="W247" s="349"/>
      <c r="X247" s="349">
        <v>56</v>
      </c>
      <c r="Y247" s="349"/>
      <c r="Z247" s="349"/>
      <c r="AA247" s="804">
        <v>166</v>
      </c>
      <c r="AB247" s="804"/>
      <c r="AC247" s="349"/>
      <c r="AD247" s="349">
        <v>72</v>
      </c>
      <c r="AE247" s="349">
        <v>47</v>
      </c>
      <c r="AF247" s="349"/>
      <c r="AG247" s="804">
        <v>76</v>
      </c>
      <c r="AH247" s="804"/>
      <c r="AI247" s="349"/>
      <c r="AJ247" s="813"/>
      <c r="AK247" s="804"/>
      <c r="AL247" s="209"/>
      <c r="AM247" s="209"/>
    </row>
    <row r="248" spans="1:39" s="80" customFormat="1">
      <c r="A248" s="436"/>
      <c r="B248" s="436" t="s">
        <v>59</v>
      </c>
      <c r="C248" s="834">
        <f>IF(U248&gt;0,(U248/U248),0)</f>
        <v>1</v>
      </c>
      <c r="D248" s="835">
        <f t="shared" ref="D248:S248" si="126">IF(V248&gt;0,(V248/V248),0)</f>
        <v>1</v>
      </c>
      <c r="E248" s="835">
        <f t="shared" si="126"/>
        <v>1</v>
      </c>
      <c r="F248" s="835">
        <f t="shared" si="126"/>
        <v>1</v>
      </c>
      <c r="G248" s="835">
        <f t="shared" si="126"/>
        <v>0</v>
      </c>
      <c r="H248" s="835">
        <f t="shared" si="126"/>
        <v>0</v>
      </c>
      <c r="I248" s="834">
        <f t="shared" si="126"/>
        <v>1</v>
      </c>
      <c r="J248" s="834">
        <f t="shared" si="126"/>
        <v>0</v>
      </c>
      <c r="K248" s="835">
        <f t="shared" si="126"/>
        <v>1</v>
      </c>
      <c r="L248" s="835">
        <f t="shared" si="126"/>
        <v>1</v>
      </c>
      <c r="M248" s="835">
        <f t="shared" si="126"/>
        <v>1</v>
      </c>
      <c r="N248" s="835">
        <f t="shared" si="126"/>
        <v>0</v>
      </c>
      <c r="O248" s="834">
        <f t="shared" si="126"/>
        <v>1</v>
      </c>
      <c r="P248" s="834">
        <f t="shared" si="126"/>
        <v>0</v>
      </c>
      <c r="Q248" s="835">
        <f t="shared" si="126"/>
        <v>0</v>
      </c>
      <c r="R248" s="836">
        <f t="shared" si="126"/>
        <v>0</v>
      </c>
      <c r="S248" s="834">
        <f t="shared" si="126"/>
        <v>0</v>
      </c>
      <c r="T248" s="213"/>
      <c r="U248" s="816">
        <v>2230</v>
      </c>
      <c r="V248" s="816">
        <v>472</v>
      </c>
      <c r="W248" s="816">
        <v>839</v>
      </c>
      <c r="X248" s="816">
        <v>265</v>
      </c>
      <c r="Y248" s="816"/>
      <c r="Z248" s="816"/>
      <c r="AA248" s="805">
        <v>3806</v>
      </c>
      <c r="AB248" s="805"/>
      <c r="AC248" s="816">
        <v>468</v>
      </c>
      <c r="AD248" s="816">
        <v>356</v>
      </c>
      <c r="AE248" s="816">
        <v>758</v>
      </c>
      <c r="AF248" s="816"/>
      <c r="AG248" s="805">
        <v>1685</v>
      </c>
      <c r="AH248" s="805"/>
      <c r="AI248" s="816"/>
      <c r="AJ248" s="817"/>
      <c r="AK248" s="805"/>
      <c r="AL248" s="209"/>
      <c r="AM248" s="209"/>
    </row>
    <row r="249" spans="1:39" s="80" customFormat="1">
      <c r="A249" s="240" t="s">
        <v>149</v>
      </c>
      <c r="B249" s="240" t="s">
        <v>53</v>
      </c>
      <c r="C249" s="829">
        <f>IF(U254&gt;0,(U249/U254),0)</f>
        <v>0.33996999863630167</v>
      </c>
      <c r="D249" s="830">
        <f t="shared" ref="D249:S249" si="127">IF(V254&gt;0,(V249/V254),0)</f>
        <v>0.24854142357059511</v>
      </c>
      <c r="E249" s="830">
        <f t="shared" si="127"/>
        <v>0.30071684587813619</v>
      </c>
      <c r="F249" s="830">
        <f t="shared" si="127"/>
        <v>0.31056793673616101</v>
      </c>
      <c r="G249" s="830">
        <f t="shared" si="127"/>
        <v>0</v>
      </c>
      <c r="H249" s="830">
        <f t="shared" si="127"/>
        <v>0.25961538461538464</v>
      </c>
      <c r="I249" s="829">
        <f t="shared" si="127"/>
        <v>0.3209619238476954</v>
      </c>
      <c r="J249" s="829">
        <f t="shared" si="127"/>
        <v>0</v>
      </c>
      <c r="K249" s="830">
        <f t="shared" si="127"/>
        <v>0.20767386091127099</v>
      </c>
      <c r="L249" s="830">
        <f t="shared" si="127"/>
        <v>0.20854700854700856</v>
      </c>
      <c r="M249" s="830">
        <f t="shared" si="127"/>
        <v>0.23262839879154079</v>
      </c>
      <c r="N249" s="830">
        <f t="shared" si="127"/>
        <v>0</v>
      </c>
      <c r="O249" s="829">
        <f t="shared" si="127"/>
        <v>0.21864520456069753</v>
      </c>
      <c r="P249" s="829">
        <f t="shared" si="127"/>
        <v>0</v>
      </c>
      <c r="Q249" s="830">
        <f t="shared" si="127"/>
        <v>0</v>
      </c>
      <c r="R249" s="831">
        <f t="shared" si="127"/>
        <v>0</v>
      </c>
      <c r="S249" s="829">
        <f t="shared" si="127"/>
        <v>0</v>
      </c>
      <c r="T249" s="213"/>
      <c r="U249" s="349">
        <v>2493</v>
      </c>
      <c r="V249" s="349">
        <v>213</v>
      </c>
      <c r="W249" s="349">
        <v>839</v>
      </c>
      <c r="X249" s="349">
        <v>432</v>
      </c>
      <c r="Y249" s="349"/>
      <c r="Z249" s="349">
        <v>27</v>
      </c>
      <c r="AA249" s="803">
        <v>4004</v>
      </c>
      <c r="AB249" s="803"/>
      <c r="AC249" s="349">
        <v>433</v>
      </c>
      <c r="AD249" s="349">
        <v>122</v>
      </c>
      <c r="AE249" s="349">
        <v>77</v>
      </c>
      <c r="AF249" s="349"/>
      <c r="AG249" s="803">
        <v>652</v>
      </c>
      <c r="AH249" s="803"/>
      <c r="AI249" s="349"/>
      <c r="AJ249" s="812"/>
      <c r="AK249" s="803"/>
      <c r="AL249" s="209"/>
      <c r="AM249" s="209"/>
    </row>
    <row r="250" spans="1:39" s="80" customFormat="1">
      <c r="A250" s="239"/>
      <c r="B250" s="239" t="s">
        <v>93</v>
      </c>
      <c r="C250" s="832">
        <f>IF(U254&gt;0,(U250/U254),0)</f>
        <v>0.23482885585708441</v>
      </c>
      <c r="D250" s="830">
        <f t="shared" ref="D250:S250" si="128">IF(V254&gt;0,(V250/V254),0)</f>
        <v>0.33022170361726955</v>
      </c>
      <c r="E250" s="830">
        <f t="shared" si="128"/>
        <v>0.25949820788530464</v>
      </c>
      <c r="F250" s="830">
        <f t="shared" si="128"/>
        <v>0.25377426312005752</v>
      </c>
      <c r="G250" s="830">
        <f t="shared" si="128"/>
        <v>0</v>
      </c>
      <c r="H250" s="830">
        <f t="shared" si="128"/>
        <v>0.27884615384615385</v>
      </c>
      <c r="I250" s="832">
        <f t="shared" si="128"/>
        <v>0.24937875751503005</v>
      </c>
      <c r="J250" s="832">
        <f t="shared" si="128"/>
        <v>0</v>
      </c>
      <c r="K250" s="830">
        <f t="shared" si="128"/>
        <v>5.371702637889688E-2</v>
      </c>
      <c r="L250" s="830">
        <f t="shared" si="128"/>
        <v>6.6666666666666666E-2</v>
      </c>
      <c r="M250" s="830">
        <f t="shared" si="128"/>
        <v>0</v>
      </c>
      <c r="N250" s="830">
        <f t="shared" si="128"/>
        <v>0</v>
      </c>
      <c r="O250" s="832">
        <f t="shared" si="128"/>
        <v>4.7619047619047616E-2</v>
      </c>
      <c r="P250" s="832">
        <f t="shared" si="128"/>
        <v>0</v>
      </c>
      <c r="Q250" s="830">
        <f t="shared" si="128"/>
        <v>0</v>
      </c>
      <c r="R250" s="833">
        <f t="shared" si="128"/>
        <v>0</v>
      </c>
      <c r="S250" s="832">
        <f t="shared" si="128"/>
        <v>0</v>
      </c>
      <c r="T250" s="213"/>
      <c r="U250" s="349">
        <v>1722</v>
      </c>
      <c r="V250" s="349">
        <v>283</v>
      </c>
      <c r="W250" s="349">
        <v>724</v>
      </c>
      <c r="X250" s="349">
        <v>353</v>
      </c>
      <c r="Y250" s="349"/>
      <c r="Z250" s="349">
        <v>29</v>
      </c>
      <c r="AA250" s="804">
        <v>3111</v>
      </c>
      <c r="AB250" s="804"/>
      <c r="AC250" s="349">
        <v>112</v>
      </c>
      <c r="AD250" s="349">
        <v>39</v>
      </c>
      <c r="AE250" s="349"/>
      <c r="AF250" s="349"/>
      <c r="AG250" s="804">
        <v>142</v>
      </c>
      <c r="AH250" s="804"/>
      <c r="AI250" s="349"/>
      <c r="AJ250" s="813"/>
      <c r="AK250" s="804"/>
      <c r="AL250" s="209"/>
      <c r="AM250" s="209"/>
    </row>
    <row r="251" spans="1:39" s="80" customFormat="1">
      <c r="A251" s="239"/>
      <c r="B251" s="239" t="s">
        <v>55</v>
      </c>
      <c r="C251" s="832">
        <f>IF(U254&gt;0,(U251/U254),0)</f>
        <v>0.23278330833219693</v>
      </c>
      <c r="D251" s="830">
        <f t="shared" ref="D251:S251" si="129">IF(V254&gt;0,(V251/V254),0)</f>
        <v>0.28238039673278881</v>
      </c>
      <c r="E251" s="830">
        <f t="shared" si="129"/>
        <v>0.27491039426523295</v>
      </c>
      <c r="F251" s="830">
        <f t="shared" si="129"/>
        <v>0.26383896477354424</v>
      </c>
      <c r="G251" s="830">
        <f t="shared" si="129"/>
        <v>0</v>
      </c>
      <c r="H251" s="830">
        <f t="shared" si="129"/>
        <v>0.36538461538461536</v>
      </c>
      <c r="I251" s="832">
        <f t="shared" si="129"/>
        <v>0.2501803607214429</v>
      </c>
      <c r="J251" s="832">
        <f t="shared" si="129"/>
        <v>0</v>
      </c>
      <c r="K251" s="830">
        <f t="shared" si="129"/>
        <v>4.60431654676259E-2</v>
      </c>
      <c r="L251" s="830">
        <f t="shared" si="129"/>
        <v>9.5726495726495733E-2</v>
      </c>
      <c r="M251" s="830">
        <f t="shared" si="129"/>
        <v>0</v>
      </c>
      <c r="N251" s="830">
        <f t="shared" si="129"/>
        <v>0</v>
      </c>
      <c r="O251" s="832">
        <f t="shared" si="129"/>
        <v>5.0637156270959091E-2</v>
      </c>
      <c r="P251" s="832">
        <f t="shared" si="129"/>
        <v>0</v>
      </c>
      <c r="Q251" s="830">
        <f t="shared" si="129"/>
        <v>0</v>
      </c>
      <c r="R251" s="833">
        <f t="shared" si="129"/>
        <v>0</v>
      </c>
      <c r="S251" s="832">
        <f t="shared" si="129"/>
        <v>0</v>
      </c>
      <c r="T251" s="213"/>
      <c r="U251" s="349">
        <v>1707</v>
      </c>
      <c r="V251" s="349">
        <v>242</v>
      </c>
      <c r="W251" s="349">
        <v>767</v>
      </c>
      <c r="X251" s="349">
        <v>367</v>
      </c>
      <c r="Y251" s="349"/>
      <c r="Z251" s="349">
        <v>38</v>
      </c>
      <c r="AA251" s="804">
        <v>3121</v>
      </c>
      <c r="AB251" s="804"/>
      <c r="AC251" s="349">
        <v>96</v>
      </c>
      <c r="AD251" s="349">
        <v>56</v>
      </c>
      <c r="AE251" s="349"/>
      <c r="AF251" s="349"/>
      <c r="AG251" s="804">
        <v>151</v>
      </c>
      <c r="AH251" s="804"/>
      <c r="AI251" s="349"/>
      <c r="AJ251" s="813"/>
      <c r="AK251" s="804"/>
      <c r="AL251" s="209"/>
      <c r="AM251" s="209"/>
    </row>
    <row r="252" spans="1:39" s="80" customFormat="1">
      <c r="A252" s="239"/>
      <c r="B252" s="239" t="s">
        <v>78</v>
      </c>
      <c r="C252" s="832">
        <f>IF(U254&gt;0,(U252/U254),0)</f>
        <v>3.9683621982817399E-2</v>
      </c>
      <c r="D252" s="830">
        <f t="shared" ref="D252:S252" si="130">IF(V254&gt;0,(V252/V254),0)</f>
        <v>9.3348891481913651E-2</v>
      </c>
      <c r="E252" s="830">
        <f t="shared" si="130"/>
        <v>8.028673835125448E-2</v>
      </c>
      <c r="F252" s="830">
        <f t="shared" si="130"/>
        <v>5.3199137311286844E-2</v>
      </c>
      <c r="G252" s="830">
        <f t="shared" si="130"/>
        <v>0</v>
      </c>
      <c r="H252" s="830">
        <f t="shared" si="130"/>
        <v>9.6153846153846159E-2</v>
      </c>
      <c r="I252" s="832">
        <f t="shared" si="130"/>
        <v>5.4428857715430864E-2</v>
      </c>
      <c r="J252" s="832">
        <f t="shared" si="130"/>
        <v>0</v>
      </c>
      <c r="K252" s="830">
        <f t="shared" si="130"/>
        <v>0.29352517985611509</v>
      </c>
      <c r="L252" s="830">
        <f t="shared" si="130"/>
        <v>0.48205128205128206</v>
      </c>
      <c r="M252" s="830">
        <f t="shared" si="130"/>
        <v>0.38368580060422963</v>
      </c>
      <c r="N252" s="830">
        <f t="shared" si="130"/>
        <v>0</v>
      </c>
      <c r="O252" s="832">
        <f t="shared" si="130"/>
        <v>0.23038229376257546</v>
      </c>
      <c r="P252" s="832">
        <f t="shared" si="130"/>
        <v>0</v>
      </c>
      <c r="Q252" s="830">
        <f t="shared" si="130"/>
        <v>0</v>
      </c>
      <c r="R252" s="833">
        <f t="shared" si="130"/>
        <v>0</v>
      </c>
      <c r="S252" s="832">
        <f t="shared" si="130"/>
        <v>0</v>
      </c>
      <c r="T252" s="213"/>
      <c r="U252" s="349">
        <v>291</v>
      </c>
      <c r="V252" s="349">
        <v>80</v>
      </c>
      <c r="W252" s="349">
        <v>224</v>
      </c>
      <c r="X252" s="349">
        <v>74</v>
      </c>
      <c r="Y252" s="349"/>
      <c r="Z252" s="349">
        <v>10</v>
      </c>
      <c r="AA252" s="804">
        <v>679</v>
      </c>
      <c r="AB252" s="804"/>
      <c r="AC252" s="349">
        <v>612</v>
      </c>
      <c r="AD252" s="349">
        <v>282</v>
      </c>
      <c r="AE252" s="349">
        <v>127</v>
      </c>
      <c r="AF252" s="349"/>
      <c r="AG252" s="804">
        <v>687</v>
      </c>
      <c r="AH252" s="804"/>
      <c r="AI252" s="349"/>
      <c r="AJ252" s="813"/>
      <c r="AK252" s="804"/>
      <c r="AL252" s="209"/>
      <c r="AM252" s="209"/>
    </row>
    <row r="253" spans="1:39" s="80" customFormat="1">
      <c r="A253" s="580"/>
      <c r="B253" s="580" t="s">
        <v>131</v>
      </c>
      <c r="C253" s="832">
        <f>IF(U254&gt;0,(U253/U254),0)</f>
        <v>0.15273421519159963</v>
      </c>
      <c r="D253" s="830">
        <f t="shared" ref="D253:S253" si="131">IF(V254&gt;0,(V253/V254),0)</f>
        <v>4.5507584597432905E-2</v>
      </c>
      <c r="E253" s="830">
        <f t="shared" si="131"/>
        <v>8.4587813620071686E-2</v>
      </c>
      <c r="F253" s="830">
        <f t="shared" si="131"/>
        <v>0.1186196980589504</v>
      </c>
      <c r="G253" s="830">
        <f t="shared" si="131"/>
        <v>0</v>
      </c>
      <c r="H253" s="830">
        <f t="shared" si="131"/>
        <v>0</v>
      </c>
      <c r="I253" s="832">
        <f t="shared" si="131"/>
        <v>0.1250501002004008</v>
      </c>
      <c r="J253" s="832">
        <f t="shared" si="131"/>
        <v>0</v>
      </c>
      <c r="K253" s="830">
        <f t="shared" si="131"/>
        <v>0.39904076738609112</v>
      </c>
      <c r="L253" s="830">
        <f t="shared" si="131"/>
        <v>0.14700854700854701</v>
      </c>
      <c r="M253" s="830">
        <f t="shared" si="131"/>
        <v>0.38368580060422963</v>
      </c>
      <c r="N253" s="830">
        <f t="shared" si="131"/>
        <v>0</v>
      </c>
      <c r="O253" s="832">
        <f t="shared" si="131"/>
        <v>0.45271629778672035</v>
      </c>
      <c r="P253" s="832">
        <f t="shared" si="131"/>
        <v>0</v>
      </c>
      <c r="Q253" s="830">
        <f t="shared" si="131"/>
        <v>0</v>
      </c>
      <c r="R253" s="833">
        <f t="shared" si="131"/>
        <v>0</v>
      </c>
      <c r="S253" s="832">
        <f t="shared" si="131"/>
        <v>0</v>
      </c>
      <c r="T253" s="213"/>
      <c r="U253" s="349">
        <v>1120</v>
      </c>
      <c r="V253" s="349">
        <v>39</v>
      </c>
      <c r="W253" s="349">
        <v>236</v>
      </c>
      <c r="X253" s="349">
        <v>165</v>
      </c>
      <c r="Y253" s="349"/>
      <c r="Z253" s="349"/>
      <c r="AA253" s="804">
        <v>1560</v>
      </c>
      <c r="AB253" s="804"/>
      <c r="AC253" s="349">
        <v>832</v>
      </c>
      <c r="AD253" s="349">
        <v>86</v>
      </c>
      <c r="AE253" s="349">
        <v>127</v>
      </c>
      <c r="AF253" s="349"/>
      <c r="AG253" s="804">
        <v>1350</v>
      </c>
      <c r="AH253" s="804"/>
      <c r="AI253" s="349"/>
      <c r="AJ253" s="813"/>
      <c r="AK253" s="804"/>
      <c r="AL253" s="209"/>
      <c r="AM253" s="209"/>
    </row>
    <row r="254" spans="1:39" s="80" customFormat="1">
      <c r="A254" s="436"/>
      <c r="B254" s="436" t="s">
        <v>59</v>
      </c>
      <c r="C254" s="834">
        <f>IF(U254&gt;0,(U254/U254),0)</f>
        <v>1</v>
      </c>
      <c r="D254" s="835">
        <f t="shared" ref="D254:S254" si="132">IF(V254&gt;0,(V254/V254),0)</f>
        <v>1</v>
      </c>
      <c r="E254" s="835">
        <f t="shared" si="132"/>
        <v>1</v>
      </c>
      <c r="F254" s="835">
        <f t="shared" si="132"/>
        <v>1</v>
      </c>
      <c r="G254" s="835">
        <f t="shared" si="132"/>
        <v>0</v>
      </c>
      <c r="H254" s="835">
        <f t="shared" si="132"/>
        <v>1</v>
      </c>
      <c r="I254" s="834">
        <f t="shared" si="132"/>
        <v>1</v>
      </c>
      <c r="J254" s="834">
        <f t="shared" si="132"/>
        <v>0</v>
      </c>
      <c r="K254" s="835">
        <f t="shared" si="132"/>
        <v>1</v>
      </c>
      <c r="L254" s="835">
        <f t="shared" si="132"/>
        <v>1</v>
      </c>
      <c r="M254" s="835">
        <f t="shared" si="132"/>
        <v>1</v>
      </c>
      <c r="N254" s="835">
        <f t="shared" si="132"/>
        <v>0</v>
      </c>
      <c r="O254" s="834">
        <f t="shared" si="132"/>
        <v>1</v>
      </c>
      <c r="P254" s="834">
        <f t="shared" si="132"/>
        <v>0</v>
      </c>
      <c r="Q254" s="835">
        <f t="shared" si="132"/>
        <v>0</v>
      </c>
      <c r="R254" s="836">
        <f t="shared" si="132"/>
        <v>0</v>
      </c>
      <c r="S254" s="834">
        <f t="shared" si="132"/>
        <v>0</v>
      </c>
      <c r="T254" s="213"/>
      <c r="U254" s="816">
        <v>7333</v>
      </c>
      <c r="V254" s="816">
        <v>857</v>
      </c>
      <c r="W254" s="816">
        <v>2790</v>
      </c>
      <c r="X254" s="816">
        <v>1391</v>
      </c>
      <c r="Y254" s="816"/>
      <c r="Z254" s="816">
        <v>104</v>
      </c>
      <c r="AA254" s="805">
        <v>12475</v>
      </c>
      <c r="AB254" s="805"/>
      <c r="AC254" s="816">
        <v>2085</v>
      </c>
      <c r="AD254" s="816">
        <v>585</v>
      </c>
      <c r="AE254" s="816">
        <v>331</v>
      </c>
      <c r="AF254" s="816"/>
      <c r="AG254" s="805">
        <v>2982</v>
      </c>
      <c r="AH254" s="805"/>
      <c r="AI254" s="816"/>
      <c r="AJ254" s="817"/>
      <c r="AK254" s="805"/>
      <c r="AL254" s="209"/>
      <c r="AM254" s="209"/>
    </row>
    <row r="255" spans="1:39" s="80" customFormat="1">
      <c r="A255" s="240" t="s">
        <v>150</v>
      </c>
      <c r="B255" s="240" t="s">
        <v>53</v>
      </c>
      <c r="C255" s="829">
        <f>IF(U260&gt;0,(U255/U260),0)</f>
        <v>0.36264873254009311</v>
      </c>
      <c r="D255" s="830">
        <f t="shared" ref="D255:S255" si="133">IF(V260&gt;0,(V255/V260),0)</f>
        <v>0</v>
      </c>
      <c r="E255" s="830">
        <f t="shared" si="133"/>
        <v>0.30665770006724952</v>
      </c>
      <c r="F255" s="830">
        <f t="shared" si="133"/>
        <v>0.36106194690265486</v>
      </c>
      <c r="G255" s="830">
        <f t="shared" si="133"/>
        <v>0.39651416122004357</v>
      </c>
      <c r="H255" s="830">
        <f t="shared" si="133"/>
        <v>0.17751479289940827</v>
      </c>
      <c r="I255" s="829">
        <f t="shared" si="133"/>
        <v>0.34099284630392368</v>
      </c>
      <c r="J255" s="829">
        <f t="shared" si="133"/>
        <v>0</v>
      </c>
      <c r="K255" s="830">
        <f t="shared" si="133"/>
        <v>0</v>
      </c>
      <c r="L255" s="830">
        <f t="shared" si="133"/>
        <v>0</v>
      </c>
      <c r="M255" s="830">
        <f t="shared" si="133"/>
        <v>0</v>
      </c>
      <c r="N255" s="830">
        <f t="shared" si="133"/>
        <v>0</v>
      </c>
      <c r="O255" s="829">
        <f t="shared" si="133"/>
        <v>0</v>
      </c>
      <c r="P255" s="829">
        <f t="shared" si="133"/>
        <v>0</v>
      </c>
      <c r="Q255" s="830">
        <f t="shared" si="133"/>
        <v>0</v>
      </c>
      <c r="R255" s="831">
        <f t="shared" si="133"/>
        <v>0</v>
      </c>
      <c r="S255" s="829">
        <f t="shared" si="133"/>
        <v>0</v>
      </c>
      <c r="T255" s="213"/>
      <c r="U255" s="349">
        <v>701</v>
      </c>
      <c r="V255" s="349"/>
      <c r="W255" s="349">
        <v>456</v>
      </c>
      <c r="X255" s="349">
        <v>204</v>
      </c>
      <c r="Y255" s="349">
        <v>182</v>
      </c>
      <c r="Z255" s="349">
        <v>30</v>
      </c>
      <c r="AA255" s="803">
        <v>1573</v>
      </c>
      <c r="AB255" s="803"/>
      <c r="AC255" s="349"/>
      <c r="AD255" s="349"/>
      <c r="AE255" s="349"/>
      <c r="AF255" s="349"/>
      <c r="AG255" s="803"/>
      <c r="AH255" s="803"/>
      <c r="AI255" s="349"/>
      <c r="AJ255" s="812"/>
      <c r="AK255" s="803"/>
      <c r="AL255" s="209"/>
      <c r="AM255" s="209"/>
    </row>
    <row r="256" spans="1:39" s="80" customFormat="1">
      <c r="A256" s="239"/>
      <c r="B256" s="239" t="s">
        <v>93</v>
      </c>
      <c r="C256" s="832">
        <f>IF(U260&gt;0,(U256/U260),0)</f>
        <v>0.26952922917744437</v>
      </c>
      <c r="D256" s="830">
        <f t="shared" ref="D256:S256" si="134">IF(V260&gt;0,(V256/V260),0)</f>
        <v>0</v>
      </c>
      <c r="E256" s="830">
        <f t="shared" si="134"/>
        <v>0.25487558843308677</v>
      </c>
      <c r="F256" s="830">
        <f t="shared" si="134"/>
        <v>0.27256637168141595</v>
      </c>
      <c r="G256" s="830">
        <f t="shared" si="134"/>
        <v>0.24618736383442266</v>
      </c>
      <c r="H256" s="830">
        <f t="shared" si="134"/>
        <v>0.32544378698224852</v>
      </c>
      <c r="I256" s="832">
        <f t="shared" si="134"/>
        <v>0.26490353349230433</v>
      </c>
      <c r="J256" s="832">
        <f t="shared" si="134"/>
        <v>0</v>
      </c>
      <c r="K256" s="830">
        <f t="shared" si="134"/>
        <v>0</v>
      </c>
      <c r="L256" s="830">
        <f t="shared" si="134"/>
        <v>0</v>
      </c>
      <c r="M256" s="830">
        <f t="shared" si="134"/>
        <v>0</v>
      </c>
      <c r="N256" s="830">
        <f t="shared" si="134"/>
        <v>0</v>
      </c>
      <c r="O256" s="832">
        <f t="shared" si="134"/>
        <v>0</v>
      </c>
      <c r="P256" s="832">
        <f t="shared" si="134"/>
        <v>0</v>
      </c>
      <c r="Q256" s="830">
        <f t="shared" si="134"/>
        <v>0</v>
      </c>
      <c r="R256" s="833">
        <f t="shared" si="134"/>
        <v>0</v>
      </c>
      <c r="S256" s="832">
        <f t="shared" si="134"/>
        <v>0</v>
      </c>
      <c r="T256" s="213"/>
      <c r="U256" s="349">
        <v>521</v>
      </c>
      <c r="V256" s="349"/>
      <c r="W256" s="349">
        <v>379</v>
      </c>
      <c r="X256" s="349">
        <v>154</v>
      </c>
      <c r="Y256" s="349">
        <v>113</v>
      </c>
      <c r="Z256" s="349">
        <v>55</v>
      </c>
      <c r="AA256" s="804">
        <v>1222</v>
      </c>
      <c r="AB256" s="804"/>
      <c r="AC256" s="349"/>
      <c r="AD256" s="349"/>
      <c r="AE256" s="349"/>
      <c r="AF256" s="349"/>
      <c r="AG256" s="804"/>
      <c r="AH256" s="804"/>
      <c r="AI256" s="349"/>
      <c r="AJ256" s="813"/>
      <c r="AK256" s="804"/>
      <c r="AL256" s="209"/>
      <c r="AM256" s="209"/>
    </row>
    <row r="257" spans="1:39" s="80" customFormat="1">
      <c r="A257" s="239"/>
      <c r="B257" s="239" t="s">
        <v>55</v>
      </c>
      <c r="C257" s="832">
        <f>IF(U260&gt;0,(U257/U260),0)</f>
        <v>0.21469218830832903</v>
      </c>
      <c r="D257" s="830">
        <f t="shared" ref="D257:S257" si="135">IF(V260&gt;0,(V257/V260),0)</f>
        <v>0</v>
      </c>
      <c r="E257" s="830">
        <f t="shared" si="135"/>
        <v>0.35373234700739742</v>
      </c>
      <c r="F257" s="830">
        <f t="shared" si="135"/>
        <v>0.30973451327433627</v>
      </c>
      <c r="G257" s="830">
        <f t="shared" si="135"/>
        <v>0.27886710239651419</v>
      </c>
      <c r="H257" s="830">
        <f t="shared" si="135"/>
        <v>0.28994082840236685</v>
      </c>
      <c r="I257" s="832">
        <f t="shared" si="135"/>
        <v>0.2802948189898114</v>
      </c>
      <c r="J257" s="832">
        <f t="shared" si="135"/>
        <v>0</v>
      </c>
      <c r="K257" s="830">
        <f t="shared" si="135"/>
        <v>0</v>
      </c>
      <c r="L257" s="830">
        <f t="shared" si="135"/>
        <v>0</v>
      </c>
      <c r="M257" s="830">
        <f t="shared" si="135"/>
        <v>0</v>
      </c>
      <c r="N257" s="830">
        <f t="shared" si="135"/>
        <v>0</v>
      </c>
      <c r="O257" s="832">
        <f t="shared" si="135"/>
        <v>0</v>
      </c>
      <c r="P257" s="832">
        <f t="shared" si="135"/>
        <v>0</v>
      </c>
      <c r="Q257" s="830">
        <f t="shared" si="135"/>
        <v>0</v>
      </c>
      <c r="R257" s="833">
        <f t="shared" si="135"/>
        <v>0</v>
      </c>
      <c r="S257" s="832">
        <f t="shared" si="135"/>
        <v>0</v>
      </c>
      <c r="T257" s="213"/>
      <c r="U257" s="349">
        <v>415</v>
      </c>
      <c r="V257" s="349"/>
      <c r="W257" s="349">
        <v>526</v>
      </c>
      <c r="X257" s="349">
        <v>175</v>
      </c>
      <c r="Y257" s="349">
        <v>128</v>
      </c>
      <c r="Z257" s="349">
        <v>49</v>
      </c>
      <c r="AA257" s="804">
        <v>1293</v>
      </c>
      <c r="AB257" s="804"/>
      <c r="AC257" s="349"/>
      <c r="AD257" s="349"/>
      <c r="AE257" s="349"/>
      <c r="AF257" s="349"/>
      <c r="AG257" s="804"/>
      <c r="AH257" s="804"/>
      <c r="AI257" s="349"/>
      <c r="AJ257" s="813"/>
      <c r="AK257" s="804"/>
      <c r="AL257" s="209"/>
      <c r="AM257" s="209"/>
    </row>
    <row r="258" spans="1:39" s="80" customFormat="1">
      <c r="A258" s="239"/>
      <c r="B258" s="239" t="s">
        <v>78</v>
      </c>
      <c r="C258" s="832">
        <f>IF(U260&gt;0,(U258/U260),0)</f>
        <v>8.0703569580962239E-2</v>
      </c>
      <c r="D258" s="830">
        <f t="shared" ref="D258:S258" si="136">IF(V260&gt;0,(V258/V260),0)</f>
        <v>0</v>
      </c>
      <c r="E258" s="830">
        <f t="shared" si="136"/>
        <v>8.2716879623402823E-2</v>
      </c>
      <c r="F258" s="830">
        <f t="shared" si="136"/>
        <v>5.663716814159292E-2</v>
      </c>
      <c r="G258" s="830">
        <f t="shared" si="136"/>
        <v>7.8431372549019607E-2</v>
      </c>
      <c r="H258" s="830">
        <f t="shared" si="136"/>
        <v>0.15976331360946747</v>
      </c>
      <c r="I258" s="832">
        <f t="shared" si="136"/>
        <v>8.1075222198135705E-2</v>
      </c>
      <c r="J258" s="832">
        <f t="shared" si="136"/>
        <v>0</v>
      </c>
      <c r="K258" s="830">
        <f t="shared" si="136"/>
        <v>0</v>
      </c>
      <c r="L258" s="830">
        <f t="shared" si="136"/>
        <v>0</v>
      </c>
      <c r="M258" s="830">
        <f t="shared" si="136"/>
        <v>0</v>
      </c>
      <c r="N258" s="830">
        <f t="shared" si="136"/>
        <v>0</v>
      </c>
      <c r="O258" s="832">
        <f t="shared" si="136"/>
        <v>0</v>
      </c>
      <c r="P258" s="832">
        <f t="shared" si="136"/>
        <v>0</v>
      </c>
      <c r="Q258" s="830">
        <f t="shared" si="136"/>
        <v>0</v>
      </c>
      <c r="R258" s="833">
        <f t="shared" si="136"/>
        <v>0</v>
      </c>
      <c r="S258" s="832">
        <f t="shared" si="136"/>
        <v>0</v>
      </c>
      <c r="T258" s="213"/>
      <c r="U258" s="349">
        <v>156</v>
      </c>
      <c r="V258" s="349"/>
      <c r="W258" s="349">
        <v>123</v>
      </c>
      <c r="X258" s="349">
        <v>32</v>
      </c>
      <c r="Y258" s="349">
        <v>36</v>
      </c>
      <c r="Z258" s="349">
        <v>27</v>
      </c>
      <c r="AA258" s="804">
        <v>374</v>
      </c>
      <c r="AB258" s="804"/>
      <c r="AC258" s="349"/>
      <c r="AD258" s="349"/>
      <c r="AE258" s="349"/>
      <c r="AF258" s="349"/>
      <c r="AG258" s="804"/>
      <c r="AH258" s="804"/>
      <c r="AI258" s="349"/>
      <c r="AJ258" s="813"/>
      <c r="AK258" s="804"/>
      <c r="AL258" s="209"/>
      <c r="AM258" s="209"/>
    </row>
    <row r="259" spans="1:39" s="80" customFormat="1">
      <c r="A259" s="580"/>
      <c r="B259" s="580" t="s">
        <v>131</v>
      </c>
      <c r="C259" s="832">
        <f>IF(U260&gt;0,(U259/U260),0)</f>
        <v>7.2426280393171241E-2</v>
      </c>
      <c r="D259" s="830">
        <f t="shared" ref="D259:S259" si="137">IF(V260&gt;0,(V259/V260),0)</f>
        <v>0</v>
      </c>
      <c r="E259" s="830">
        <f t="shared" si="137"/>
        <v>2.0174848688634837E-3</v>
      </c>
      <c r="F259" s="830">
        <f t="shared" si="137"/>
        <v>0</v>
      </c>
      <c r="G259" s="830">
        <f t="shared" si="137"/>
        <v>0</v>
      </c>
      <c r="H259" s="830">
        <f t="shared" si="137"/>
        <v>4.7337278106508875E-2</v>
      </c>
      <c r="I259" s="832">
        <f t="shared" si="137"/>
        <v>3.273357901582484E-2</v>
      </c>
      <c r="J259" s="832">
        <f t="shared" si="137"/>
        <v>0</v>
      </c>
      <c r="K259" s="830">
        <f t="shared" si="137"/>
        <v>1</v>
      </c>
      <c r="L259" s="830">
        <f t="shared" si="137"/>
        <v>1</v>
      </c>
      <c r="M259" s="830">
        <f t="shared" si="137"/>
        <v>1</v>
      </c>
      <c r="N259" s="830">
        <f t="shared" si="137"/>
        <v>0</v>
      </c>
      <c r="O259" s="832">
        <f t="shared" si="137"/>
        <v>1</v>
      </c>
      <c r="P259" s="832">
        <f t="shared" si="137"/>
        <v>0</v>
      </c>
      <c r="Q259" s="830">
        <f t="shared" si="137"/>
        <v>0</v>
      </c>
      <c r="R259" s="833">
        <f t="shared" si="137"/>
        <v>0</v>
      </c>
      <c r="S259" s="832">
        <f t="shared" si="137"/>
        <v>0</v>
      </c>
      <c r="T259" s="213"/>
      <c r="U259" s="349">
        <v>140</v>
      </c>
      <c r="V259" s="349"/>
      <c r="W259" s="349">
        <v>3</v>
      </c>
      <c r="X259" s="349"/>
      <c r="Y259" s="349"/>
      <c r="Z259" s="349">
        <v>8</v>
      </c>
      <c r="AA259" s="804">
        <v>151</v>
      </c>
      <c r="AB259" s="804"/>
      <c r="AC259" s="349">
        <v>372</v>
      </c>
      <c r="AD259" s="349">
        <v>1769</v>
      </c>
      <c r="AE259" s="349">
        <v>476</v>
      </c>
      <c r="AF259" s="349"/>
      <c r="AG259" s="804">
        <v>2644</v>
      </c>
      <c r="AH259" s="804"/>
      <c r="AI259" s="349"/>
      <c r="AJ259" s="813"/>
      <c r="AK259" s="804"/>
      <c r="AL259" s="209"/>
      <c r="AM259" s="209"/>
    </row>
    <row r="260" spans="1:39" s="80" customFormat="1">
      <c r="A260" s="436"/>
      <c r="B260" s="436" t="s">
        <v>59</v>
      </c>
      <c r="C260" s="834">
        <f>IF(U260&gt;0,(U260/U260),0)</f>
        <v>1</v>
      </c>
      <c r="D260" s="835">
        <f t="shared" ref="D260:S260" si="138">IF(V260&gt;0,(V260/V260),0)</f>
        <v>0</v>
      </c>
      <c r="E260" s="835">
        <f t="shared" si="138"/>
        <v>1</v>
      </c>
      <c r="F260" s="835">
        <f t="shared" si="138"/>
        <v>1</v>
      </c>
      <c r="G260" s="835">
        <f t="shared" si="138"/>
        <v>1</v>
      </c>
      <c r="H260" s="835">
        <f t="shared" si="138"/>
        <v>1</v>
      </c>
      <c r="I260" s="834">
        <f t="shared" si="138"/>
        <v>1</v>
      </c>
      <c r="J260" s="834">
        <f t="shared" si="138"/>
        <v>0</v>
      </c>
      <c r="K260" s="835">
        <f t="shared" si="138"/>
        <v>1</v>
      </c>
      <c r="L260" s="835">
        <f t="shared" si="138"/>
        <v>1</v>
      </c>
      <c r="M260" s="835">
        <f t="shared" si="138"/>
        <v>1</v>
      </c>
      <c r="N260" s="835">
        <f t="shared" si="138"/>
        <v>0</v>
      </c>
      <c r="O260" s="834">
        <f t="shared" si="138"/>
        <v>1</v>
      </c>
      <c r="P260" s="834">
        <f t="shared" si="138"/>
        <v>0</v>
      </c>
      <c r="Q260" s="835">
        <f t="shared" si="138"/>
        <v>0</v>
      </c>
      <c r="R260" s="836">
        <f t="shared" si="138"/>
        <v>0</v>
      </c>
      <c r="S260" s="834">
        <f t="shared" si="138"/>
        <v>0</v>
      </c>
      <c r="T260" s="213"/>
      <c r="U260" s="816">
        <v>1933</v>
      </c>
      <c r="V260" s="816"/>
      <c r="W260" s="816">
        <v>1487</v>
      </c>
      <c r="X260" s="816">
        <v>565</v>
      </c>
      <c r="Y260" s="816">
        <v>459</v>
      </c>
      <c r="Z260" s="816">
        <v>169</v>
      </c>
      <c r="AA260" s="805">
        <v>4613</v>
      </c>
      <c r="AB260" s="805"/>
      <c r="AC260" s="816">
        <v>372</v>
      </c>
      <c r="AD260" s="816">
        <v>1769</v>
      </c>
      <c r="AE260" s="816">
        <v>476</v>
      </c>
      <c r="AF260" s="816"/>
      <c r="AG260" s="805">
        <v>2644</v>
      </c>
      <c r="AH260" s="805"/>
      <c r="AI260" s="816"/>
      <c r="AJ260" s="817"/>
      <c r="AK260" s="805"/>
      <c r="AL260" s="209"/>
      <c r="AM260" s="209"/>
    </row>
    <row r="261" spans="1:39" s="80" customFormat="1">
      <c r="A261" s="240" t="s">
        <v>151</v>
      </c>
      <c r="B261" s="240" t="s">
        <v>53</v>
      </c>
      <c r="C261" s="829">
        <f>IF(U266&gt;0,(U261/U266),0)</f>
        <v>0.26795366795366793</v>
      </c>
      <c r="D261" s="830">
        <f t="shared" ref="D261:S261" si="139">IF(V266&gt;0,(V261/V266),0)</f>
        <v>0.2638888888888889</v>
      </c>
      <c r="E261" s="830">
        <f t="shared" si="139"/>
        <v>0.27777777777777779</v>
      </c>
      <c r="F261" s="830">
        <f t="shared" si="139"/>
        <v>0.36571428571428571</v>
      </c>
      <c r="G261" s="830">
        <f t="shared" si="139"/>
        <v>0.19565217391304349</v>
      </c>
      <c r="H261" s="830">
        <f t="shared" si="139"/>
        <v>0.26535087719298245</v>
      </c>
      <c r="I261" s="829">
        <f t="shared" si="139"/>
        <v>0.28217383607718183</v>
      </c>
      <c r="J261" s="829">
        <f t="shared" si="139"/>
        <v>0</v>
      </c>
      <c r="K261" s="830">
        <f t="shared" si="139"/>
        <v>0.22727272727272727</v>
      </c>
      <c r="L261" s="830">
        <f t="shared" si="139"/>
        <v>0.16324435318275154</v>
      </c>
      <c r="M261" s="830">
        <f t="shared" si="139"/>
        <v>2.0242914979757085E-2</v>
      </c>
      <c r="N261" s="830">
        <f t="shared" si="139"/>
        <v>0</v>
      </c>
      <c r="O261" s="829">
        <f t="shared" si="139"/>
        <v>0.14832826747720365</v>
      </c>
      <c r="P261" s="829">
        <f t="shared" si="139"/>
        <v>0</v>
      </c>
      <c r="Q261" s="830">
        <f t="shared" si="139"/>
        <v>0</v>
      </c>
      <c r="R261" s="831">
        <f t="shared" si="139"/>
        <v>0</v>
      </c>
      <c r="S261" s="829">
        <f t="shared" si="139"/>
        <v>0</v>
      </c>
      <c r="T261" s="213"/>
      <c r="U261" s="349">
        <v>347</v>
      </c>
      <c r="V261" s="349">
        <v>133</v>
      </c>
      <c r="W261" s="349">
        <v>710</v>
      </c>
      <c r="X261" s="349">
        <v>256</v>
      </c>
      <c r="Y261" s="349">
        <v>27</v>
      </c>
      <c r="Z261" s="349">
        <v>121</v>
      </c>
      <c r="AA261" s="803">
        <v>1594</v>
      </c>
      <c r="AB261" s="803"/>
      <c r="AC261" s="349">
        <v>75</v>
      </c>
      <c r="AD261" s="349">
        <v>159</v>
      </c>
      <c r="AE261" s="349">
        <v>5</v>
      </c>
      <c r="AF261" s="349"/>
      <c r="AG261" s="803">
        <v>244</v>
      </c>
      <c r="AH261" s="803"/>
      <c r="AI261" s="349"/>
      <c r="AJ261" s="812"/>
      <c r="AK261" s="803"/>
      <c r="AL261" s="209"/>
      <c r="AM261" s="209"/>
    </row>
    <row r="262" spans="1:39" s="80" customFormat="1">
      <c r="A262" s="239"/>
      <c r="B262" s="239" t="s">
        <v>93</v>
      </c>
      <c r="C262" s="832">
        <f>IF(U266&gt;0,(U262/U266),0)</f>
        <v>0.29034749034749036</v>
      </c>
      <c r="D262" s="830">
        <f t="shared" ref="D262:S262" si="140">IF(V266&gt;0,(V262/V266),0)</f>
        <v>0.32341269841269843</v>
      </c>
      <c r="E262" s="830">
        <f t="shared" si="140"/>
        <v>0.23748043818466355</v>
      </c>
      <c r="F262" s="830">
        <f t="shared" si="140"/>
        <v>0.27857142857142858</v>
      </c>
      <c r="G262" s="830">
        <f t="shared" si="140"/>
        <v>0.28260869565217389</v>
      </c>
      <c r="H262" s="830">
        <f t="shared" si="140"/>
        <v>0.23026315789473684</v>
      </c>
      <c r="I262" s="832">
        <f t="shared" si="140"/>
        <v>0.26287838555496545</v>
      </c>
      <c r="J262" s="832">
        <f t="shared" si="140"/>
        <v>0</v>
      </c>
      <c r="K262" s="830">
        <f t="shared" si="140"/>
        <v>0.1393939393939394</v>
      </c>
      <c r="L262" s="830">
        <f t="shared" si="140"/>
        <v>0.14989733059548255</v>
      </c>
      <c r="M262" s="830">
        <f t="shared" si="140"/>
        <v>8.0971659919028341E-3</v>
      </c>
      <c r="N262" s="830">
        <f t="shared" si="140"/>
        <v>0</v>
      </c>
      <c r="O262" s="832">
        <f t="shared" si="140"/>
        <v>0.1209726443768997</v>
      </c>
      <c r="P262" s="832">
        <f t="shared" si="140"/>
        <v>0</v>
      </c>
      <c r="Q262" s="830">
        <f t="shared" si="140"/>
        <v>0</v>
      </c>
      <c r="R262" s="833">
        <f t="shared" si="140"/>
        <v>0</v>
      </c>
      <c r="S262" s="832">
        <f t="shared" si="140"/>
        <v>0</v>
      </c>
      <c r="T262" s="213"/>
      <c r="U262" s="349">
        <v>376</v>
      </c>
      <c r="V262" s="349">
        <v>163</v>
      </c>
      <c r="W262" s="349">
        <v>607</v>
      </c>
      <c r="X262" s="349">
        <v>195</v>
      </c>
      <c r="Y262" s="349">
        <v>39</v>
      </c>
      <c r="Z262" s="349">
        <v>105</v>
      </c>
      <c r="AA262" s="804">
        <v>1485</v>
      </c>
      <c r="AB262" s="804"/>
      <c r="AC262" s="349">
        <v>46</v>
      </c>
      <c r="AD262" s="349">
        <v>146</v>
      </c>
      <c r="AE262" s="349">
        <v>2</v>
      </c>
      <c r="AF262" s="349"/>
      <c r="AG262" s="804">
        <v>199</v>
      </c>
      <c r="AH262" s="804"/>
      <c r="AI262" s="349"/>
      <c r="AJ262" s="813"/>
      <c r="AK262" s="804"/>
      <c r="AL262" s="209"/>
      <c r="AM262" s="209"/>
    </row>
    <row r="263" spans="1:39" s="80" customFormat="1">
      <c r="A263" s="239"/>
      <c r="B263" s="239" t="s">
        <v>55</v>
      </c>
      <c r="C263" s="832">
        <f>IF(U266&gt;0,(U263/U266),0)</f>
        <v>0.29575289575289576</v>
      </c>
      <c r="D263" s="830">
        <f t="shared" ref="D263:S263" si="141">IF(V266&gt;0,(V263/V266),0)</f>
        <v>0.27579365079365081</v>
      </c>
      <c r="E263" s="830">
        <f t="shared" si="141"/>
        <v>0.27190923317683879</v>
      </c>
      <c r="F263" s="830">
        <f t="shared" si="141"/>
        <v>0.23428571428571429</v>
      </c>
      <c r="G263" s="830">
        <f t="shared" si="141"/>
        <v>0.41304347826086957</v>
      </c>
      <c r="H263" s="830">
        <f t="shared" si="141"/>
        <v>0.34649122807017546</v>
      </c>
      <c r="I263" s="832">
        <f t="shared" si="141"/>
        <v>0.28252788104089221</v>
      </c>
      <c r="J263" s="832">
        <f t="shared" si="141"/>
        <v>0</v>
      </c>
      <c r="K263" s="830">
        <f t="shared" si="141"/>
        <v>0.14242424242424243</v>
      </c>
      <c r="L263" s="830">
        <f t="shared" si="141"/>
        <v>0.13039014373716631</v>
      </c>
      <c r="M263" s="830">
        <f t="shared" si="141"/>
        <v>6.4777327935222673E-2</v>
      </c>
      <c r="N263" s="830">
        <f t="shared" si="141"/>
        <v>0</v>
      </c>
      <c r="O263" s="832">
        <f t="shared" si="141"/>
        <v>0.1264437689969605</v>
      </c>
      <c r="P263" s="832">
        <f t="shared" si="141"/>
        <v>0</v>
      </c>
      <c r="Q263" s="830">
        <f t="shared" si="141"/>
        <v>0</v>
      </c>
      <c r="R263" s="833">
        <f t="shared" si="141"/>
        <v>0</v>
      </c>
      <c r="S263" s="832">
        <f t="shared" si="141"/>
        <v>0</v>
      </c>
      <c r="T263" s="213"/>
      <c r="U263" s="349">
        <v>383</v>
      </c>
      <c r="V263" s="349">
        <v>139</v>
      </c>
      <c r="W263" s="349">
        <v>695</v>
      </c>
      <c r="X263" s="349">
        <v>164</v>
      </c>
      <c r="Y263" s="349">
        <v>57</v>
      </c>
      <c r="Z263" s="349">
        <v>158</v>
      </c>
      <c r="AA263" s="804">
        <v>1596</v>
      </c>
      <c r="AB263" s="804"/>
      <c r="AC263" s="349">
        <v>47</v>
      </c>
      <c r="AD263" s="349">
        <v>127</v>
      </c>
      <c r="AE263" s="349">
        <v>16</v>
      </c>
      <c r="AF263" s="349"/>
      <c r="AG263" s="804">
        <v>208</v>
      </c>
      <c r="AH263" s="804"/>
      <c r="AI263" s="349"/>
      <c r="AJ263" s="813"/>
      <c r="AK263" s="804"/>
      <c r="AL263" s="209"/>
      <c r="AM263" s="209"/>
    </row>
    <row r="264" spans="1:39" s="80" customFormat="1">
      <c r="A264" s="239"/>
      <c r="B264" s="239" t="s">
        <v>78</v>
      </c>
      <c r="C264" s="832">
        <f>IF(U266&gt;0,(U264/U266),0)</f>
        <v>7.1814671814671813E-2</v>
      </c>
      <c r="D264" s="830">
        <f t="shared" ref="D264:S264" si="142">IF(V266&gt;0,(V264/V266),0)</f>
        <v>1.984126984126984E-3</v>
      </c>
      <c r="E264" s="830">
        <f t="shared" si="142"/>
        <v>0.17097026604068857</v>
      </c>
      <c r="F264" s="830">
        <f t="shared" si="142"/>
        <v>6.8571428571428575E-2</v>
      </c>
      <c r="G264" s="830">
        <f t="shared" si="142"/>
        <v>0.10869565217391304</v>
      </c>
      <c r="H264" s="830">
        <f t="shared" si="142"/>
        <v>0.15789473684210525</v>
      </c>
      <c r="I264" s="832">
        <f t="shared" si="142"/>
        <v>0.11789697291556028</v>
      </c>
      <c r="J264" s="832">
        <f t="shared" si="142"/>
        <v>0</v>
      </c>
      <c r="K264" s="830">
        <f t="shared" si="142"/>
        <v>0.49090909090909091</v>
      </c>
      <c r="L264" s="830">
        <f t="shared" si="142"/>
        <v>0.2433264887063655</v>
      </c>
      <c r="M264" s="830">
        <f t="shared" si="142"/>
        <v>0.39271255060728744</v>
      </c>
      <c r="N264" s="830">
        <f t="shared" si="142"/>
        <v>0</v>
      </c>
      <c r="O264" s="832">
        <f t="shared" si="142"/>
        <v>0.33556231003039516</v>
      </c>
      <c r="P264" s="832">
        <f t="shared" si="142"/>
        <v>0</v>
      </c>
      <c r="Q264" s="830">
        <f t="shared" si="142"/>
        <v>0</v>
      </c>
      <c r="R264" s="833">
        <f t="shared" si="142"/>
        <v>0</v>
      </c>
      <c r="S264" s="832">
        <f t="shared" si="142"/>
        <v>0</v>
      </c>
      <c r="T264" s="213"/>
      <c r="U264" s="349">
        <v>93</v>
      </c>
      <c r="V264" s="349">
        <v>1</v>
      </c>
      <c r="W264" s="349">
        <v>437</v>
      </c>
      <c r="X264" s="349">
        <v>48</v>
      </c>
      <c r="Y264" s="349">
        <v>15</v>
      </c>
      <c r="Z264" s="349">
        <v>72</v>
      </c>
      <c r="AA264" s="804">
        <v>666</v>
      </c>
      <c r="AB264" s="804"/>
      <c r="AC264" s="349">
        <v>162</v>
      </c>
      <c r="AD264" s="349">
        <v>237</v>
      </c>
      <c r="AE264" s="349">
        <v>97</v>
      </c>
      <c r="AF264" s="349"/>
      <c r="AG264" s="804">
        <v>552</v>
      </c>
      <c r="AH264" s="804"/>
      <c r="AI264" s="349"/>
      <c r="AJ264" s="813"/>
      <c r="AK264" s="804"/>
      <c r="AL264" s="209"/>
      <c r="AM264" s="209"/>
    </row>
    <row r="265" spans="1:39" s="80" customFormat="1">
      <c r="A265" s="580"/>
      <c r="B265" s="580" t="s">
        <v>131</v>
      </c>
      <c r="C265" s="832">
        <f>IF(U266&gt;0,(U265/U266),0)</f>
        <v>7.4131274131274127E-2</v>
      </c>
      <c r="D265" s="830">
        <f t="shared" ref="D265:S265" si="143">IF(V266&gt;0,(V265/V266),0)</f>
        <v>0.13492063492063491</v>
      </c>
      <c r="E265" s="830">
        <f t="shared" si="143"/>
        <v>4.1862284820031299E-2</v>
      </c>
      <c r="F265" s="830">
        <f t="shared" si="143"/>
        <v>5.2857142857142859E-2</v>
      </c>
      <c r="G265" s="830">
        <f t="shared" si="143"/>
        <v>0</v>
      </c>
      <c r="H265" s="830">
        <f t="shared" si="143"/>
        <v>0</v>
      </c>
      <c r="I265" s="832">
        <f t="shared" si="143"/>
        <v>5.4522924411400248E-2</v>
      </c>
      <c r="J265" s="832">
        <f t="shared" si="143"/>
        <v>0</v>
      </c>
      <c r="K265" s="830">
        <f t="shared" si="143"/>
        <v>0</v>
      </c>
      <c r="L265" s="830">
        <f t="shared" si="143"/>
        <v>0.31314168377823409</v>
      </c>
      <c r="M265" s="830">
        <f t="shared" si="143"/>
        <v>0.51417004048582993</v>
      </c>
      <c r="N265" s="830">
        <f t="shared" si="143"/>
        <v>0</v>
      </c>
      <c r="O265" s="832">
        <f t="shared" si="143"/>
        <v>0.26869300911854105</v>
      </c>
      <c r="P265" s="832">
        <f t="shared" si="143"/>
        <v>0</v>
      </c>
      <c r="Q265" s="830">
        <f t="shared" si="143"/>
        <v>0</v>
      </c>
      <c r="R265" s="833">
        <f t="shared" si="143"/>
        <v>0</v>
      </c>
      <c r="S265" s="832">
        <f t="shared" si="143"/>
        <v>0</v>
      </c>
      <c r="T265" s="213"/>
      <c r="U265" s="349">
        <v>96</v>
      </c>
      <c r="V265" s="349">
        <v>68</v>
      </c>
      <c r="W265" s="349">
        <v>107</v>
      </c>
      <c r="X265" s="349">
        <v>37</v>
      </c>
      <c r="Y265" s="349"/>
      <c r="Z265" s="349"/>
      <c r="AA265" s="804">
        <v>308</v>
      </c>
      <c r="AB265" s="804"/>
      <c r="AC265" s="349"/>
      <c r="AD265" s="349">
        <v>305</v>
      </c>
      <c r="AE265" s="349">
        <v>127</v>
      </c>
      <c r="AF265" s="349"/>
      <c r="AG265" s="804">
        <v>442</v>
      </c>
      <c r="AH265" s="804"/>
      <c r="AI265" s="349"/>
      <c r="AJ265" s="813"/>
      <c r="AK265" s="804"/>
      <c r="AL265" s="209"/>
      <c r="AM265" s="209"/>
    </row>
    <row r="266" spans="1:39" s="80" customFormat="1">
      <c r="A266" s="436"/>
      <c r="B266" s="436" t="s">
        <v>59</v>
      </c>
      <c r="C266" s="834">
        <f>IF(U266&gt;0,(U266/U266),0)</f>
        <v>1</v>
      </c>
      <c r="D266" s="835">
        <f t="shared" ref="D266:S266" si="144">IF(V266&gt;0,(V266/V266),0)</f>
        <v>1</v>
      </c>
      <c r="E266" s="835">
        <f t="shared" si="144"/>
        <v>1</v>
      </c>
      <c r="F266" s="835">
        <f t="shared" si="144"/>
        <v>1</v>
      </c>
      <c r="G266" s="835">
        <f t="shared" si="144"/>
        <v>1</v>
      </c>
      <c r="H266" s="835">
        <f t="shared" si="144"/>
        <v>1</v>
      </c>
      <c r="I266" s="834">
        <f t="shared" si="144"/>
        <v>1</v>
      </c>
      <c r="J266" s="834">
        <f t="shared" si="144"/>
        <v>0</v>
      </c>
      <c r="K266" s="835">
        <f t="shared" si="144"/>
        <v>1</v>
      </c>
      <c r="L266" s="835">
        <f t="shared" si="144"/>
        <v>1</v>
      </c>
      <c r="M266" s="835">
        <f t="shared" si="144"/>
        <v>1</v>
      </c>
      <c r="N266" s="835">
        <f t="shared" si="144"/>
        <v>0</v>
      </c>
      <c r="O266" s="834">
        <f t="shared" si="144"/>
        <v>1</v>
      </c>
      <c r="P266" s="834">
        <f t="shared" si="144"/>
        <v>0</v>
      </c>
      <c r="Q266" s="835">
        <f t="shared" si="144"/>
        <v>0</v>
      </c>
      <c r="R266" s="836">
        <f t="shared" si="144"/>
        <v>0</v>
      </c>
      <c r="S266" s="834">
        <f t="shared" si="144"/>
        <v>0</v>
      </c>
      <c r="T266" s="213"/>
      <c r="U266" s="816">
        <v>1295</v>
      </c>
      <c r="V266" s="816">
        <v>504</v>
      </c>
      <c r="W266" s="816">
        <v>2556</v>
      </c>
      <c r="X266" s="816">
        <v>700</v>
      </c>
      <c r="Y266" s="816">
        <v>138</v>
      </c>
      <c r="Z266" s="816">
        <v>456</v>
      </c>
      <c r="AA266" s="805">
        <v>5649</v>
      </c>
      <c r="AB266" s="805"/>
      <c r="AC266" s="816">
        <v>330</v>
      </c>
      <c r="AD266" s="816">
        <v>974</v>
      </c>
      <c r="AE266" s="816">
        <v>247</v>
      </c>
      <c r="AF266" s="816"/>
      <c r="AG266" s="805">
        <v>1645</v>
      </c>
      <c r="AH266" s="805"/>
      <c r="AI266" s="816"/>
      <c r="AJ266" s="817"/>
      <c r="AK266" s="805"/>
      <c r="AL266" s="209"/>
      <c r="AM266" s="209"/>
    </row>
    <row r="267" spans="1:39" s="80" customFormat="1">
      <c r="A267" s="240" t="s">
        <v>154</v>
      </c>
      <c r="B267" s="240" t="s">
        <v>53</v>
      </c>
      <c r="C267" s="829">
        <f>IF(U272&gt;0,(U267/U272),0)</f>
        <v>0.41337907375643224</v>
      </c>
      <c r="D267" s="830">
        <f t="shared" ref="D267:S267" si="145">IF(V272&gt;0,(V267/V272),0)</f>
        <v>0</v>
      </c>
      <c r="E267" s="830">
        <f t="shared" si="145"/>
        <v>0.33194154488517746</v>
      </c>
      <c r="F267" s="830">
        <f t="shared" si="145"/>
        <v>0.29605263157894735</v>
      </c>
      <c r="G267" s="830">
        <f t="shared" si="145"/>
        <v>0.39925373134328357</v>
      </c>
      <c r="H267" s="830">
        <f t="shared" si="145"/>
        <v>0</v>
      </c>
      <c r="I267" s="829">
        <f t="shared" si="145"/>
        <v>0.37798827244023453</v>
      </c>
      <c r="J267" s="829">
        <f t="shared" si="145"/>
        <v>0</v>
      </c>
      <c r="K267" s="830">
        <f t="shared" si="145"/>
        <v>0</v>
      </c>
      <c r="L267" s="830">
        <f t="shared" si="145"/>
        <v>0</v>
      </c>
      <c r="M267" s="830">
        <f t="shared" si="145"/>
        <v>2.6845637583892617E-2</v>
      </c>
      <c r="N267" s="830">
        <f t="shared" si="145"/>
        <v>0</v>
      </c>
      <c r="O267" s="829">
        <f t="shared" si="145"/>
        <v>0</v>
      </c>
      <c r="P267" s="829">
        <f t="shared" si="145"/>
        <v>0</v>
      </c>
      <c r="Q267" s="830">
        <f t="shared" si="145"/>
        <v>0</v>
      </c>
      <c r="R267" s="831">
        <f t="shared" si="145"/>
        <v>0</v>
      </c>
      <c r="S267" s="829">
        <f t="shared" si="145"/>
        <v>0</v>
      </c>
      <c r="T267" s="213"/>
      <c r="U267" s="349">
        <v>482</v>
      </c>
      <c r="V267" s="349"/>
      <c r="W267" s="349">
        <v>159</v>
      </c>
      <c r="X267" s="349">
        <v>90</v>
      </c>
      <c r="Y267" s="349">
        <v>107</v>
      </c>
      <c r="Z267" s="349"/>
      <c r="AA267" s="803">
        <v>838</v>
      </c>
      <c r="AB267" s="803"/>
      <c r="AC267" s="349"/>
      <c r="AD267" s="349"/>
      <c r="AE267" s="349">
        <v>4</v>
      </c>
      <c r="AF267" s="349"/>
      <c r="AG267" s="803"/>
      <c r="AH267" s="803"/>
      <c r="AI267" s="349"/>
      <c r="AJ267" s="812"/>
      <c r="AK267" s="803"/>
      <c r="AL267" s="209"/>
      <c r="AM267" s="209"/>
    </row>
    <row r="268" spans="1:39" s="80" customFormat="1">
      <c r="A268" s="239"/>
      <c r="B268" s="239" t="s">
        <v>93</v>
      </c>
      <c r="C268" s="832">
        <f>IF(U272&gt;0,(U268/U272),0)</f>
        <v>0.27530017152658665</v>
      </c>
      <c r="D268" s="830">
        <f t="shared" ref="D268:S268" si="146">IF(V272&gt;0,(V268/V272),0)</f>
        <v>0</v>
      </c>
      <c r="E268" s="830">
        <f t="shared" si="146"/>
        <v>0.28392484342379959</v>
      </c>
      <c r="F268" s="830">
        <f t="shared" si="146"/>
        <v>0.27960526315789475</v>
      </c>
      <c r="G268" s="830">
        <f t="shared" si="146"/>
        <v>0.16791044776119404</v>
      </c>
      <c r="H268" s="830">
        <f t="shared" si="146"/>
        <v>0</v>
      </c>
      <c r="I268" s="832">
        <f t="shared" si="146"/>
        <v>0.2647722147045557</v>
      </c>
      <c r="J268" s="832">
        <f t="shared" si="146"/>
        <v>0</v>
      </c>
      <c r="K268" s="830">
        <f t="shared" si="146"/>
        <v>0</v>
      </c>
      <c r="L268" s="830">
        <f t="shared" si="146"/>
        <v>0</v>
      </c>
      <c r="M268" s="830">
        <f t="shared" si="146"/>
        <v>1.3422818791946308E-2</v>
      </c>
      <c r="N268" s="830">
        <f t="shared" si="146"/>
        <v>0</v>
      </c>
      <c r="O268" s="832">
        <f t="shared" si="146"/>
        <v>0</v>
      </c>
      <c r="P268" s="832">
        <f t="shared" si="146"/>
        <v>0</v>
      </c>
      <c r="Q268" s="830">
        <f t="shared" si="146"/>
        <v>0</v>
      </c>
      <c r="R268" s="833">
        <f t="shared" si="146"/>
        <v>0</v>
      </c>
      <c r="S268" s="832">
        <f t="shared" si="146"/>
        <v>0</v>
      </c>
      <c r="T268" s="213"/>
      <c r="U268" s="349">
        <v>321</v>
      </c>
      <c r="V268" s="349"/>
      <c r="W268" s="349">
        <v>136</v>
      </c>
      <c r="X268" s="349">
        <v>85</v>
      </c>
      <c r="Y268" s="349">
        <v>45</v>
      </c>
      <c r="Z268" s="349"/>
      <c r="AA268" s="804">
        <v>587</v>
      </c>
      <c r="AB268" s="804"/>
      <c r="AC268" s="349"/>
      <c r="AD268" s="349"/>
      <c r="AE268" s="349">
        <v>2</v>
      </c>
      <c r="AF268" s="349"/>
      <c r="AG268" s="804"/>
      <c r="AH268" s="804"/>
      <c r="AI268" s="349"/>
      <c r="AJ268" s="813"/>
      <c r="AK268" s="804"/>
      <c r="AL268" s="209"/>
      <c r="AM268" s="209"/>
    </row>
    <row r="269" spans="1:39" s="80" customFormat="1">
      <c r="A269" s="239"/>
      <c r="B269" s="239" t="s">
        <v>55</v>
      </c>
      <c r="C269" s="832">
        <f>IF(U272&gt;0,(U269/U272),0)</f>
        <v>0.22298456260720412</v>
      </c>
      <c r="D269" s="830">
        <f t="shared" ref="D269:S269" si="147">IF(V272&gt;0,(V269/V272),0)</f>
        <v>0</v>
      </c>
      <c r="E269" s="830">
        <f t="shared" si="147"/>
        <v>0.24634655532359082</v>
      </c>
      <c r="F269" s="830">
        <f t="shared" si="147"/>
        <v>0.22368421052631579</v>
      </c>
      <c r="G269" s="830">
        <f t="shared" si="147"/>
        <v>0.28731343283582089</v>
      </c>
      <c r="H269" s="830">
        <f t="shared" si="147"/>
        <v>0</v>
      </c>
      <c r="I269" s="832">
        <f t="shared" si="147"/>
        <v>0.23590437528191249</v>
      </c>
      <c r="J269" s="832">
        <f t="shared" si="147"/>
        <v>0</v>
      </c>
      <c r="K269" s="830">
        <f t="shared" si="147"/>
        <v>0</v>
      </c>
      <c r="L269" s="830">
        <f t="shared" si="147"/>
        <v>0</v>
      </c>
      <c r="M269" s="830">
        <f t="shared" si="147"/>
        <v>3.3557046979865772E-2</v>
      </c>
      <c r="N269" s="830">
        <f t="shared" si="147"/>
        <v>0</v>
      </c>
      <c r="O269" s="832">
        <f t="shared" si="147"/>
        <v>0</v>
      </c>
      <c r="P269" s="832">
        <f t="shared" si="147"/>
        <v>0</v>
      </c>
      <c r="Q269" s="830">
        <f t="shared" si="147"/>
        <v>0</v>
      </c>
      <c r="R269" s="833">
        <f t="shared" si="147"/>
        <v>0</v>
      </c>
      <c r="S269" s="832">
        <f t="shared" si="147"/>
        <v>0</v>
      </c>
      <c r="T269" s="213"/>
      <c r="U269" s="349">
        <v>260</v>
      </c>
      <c r="V269" s="349"/>
      <c r="W269" s="349">
        <v>118</v>
      </c>
      <c r="X269" s="349">
        <v>68</v>
      </c>
      <c r="Y269" s="349">
        <v>77</v>
      </c>
      <c r="Z269" s="349"/>
      <c r="AA269" s="804">
        <v>523</v>
      </c>
      <c r="AB269" s="804"/>
      <c r="AC269" s="349"/>
      <c r="AD269" s="349"/>
      <c r="AE269" s="349">
        <v>5</v>
      </c>
      <c r="AF269" s="349"/>
      <c r="AG269" s="804"/>
      <c r="AH269" s="804"/>
      <c r="AI269" s="349"/>
      <c r="AJ269" s="813"/>
      <c r="AK269" s="804"/>
      <c r="AL269" s="209"/>
      <c r="AM269" s="209"/>
    </row>
    <row r="270" spans="1:39" s="80" customFormat="1">
      <c r="A270" s="239"/>
      <c r="B270" s="239" t="s">
        <v>78</v>
      </c>
      <c r="C270" s="832">
        <f>IF(U272&gt;0,(U270/U272),0)</f>
        <v>0</v>
      </c>
      <c r="D270" s="830">
        <f t="shared" ref="D270:S270" si="148">IF(V272&gt;0,(V270/V272),0)</f>
        <v>0</v>
      </c>
      <c r="E270" s="830">
        <f t="shared" si="148"/>
        <v>8.9770354906054284E-2</v>
      </c>
      <c r="F270" s="830">
        <f t="shared" si="148"/>
        <v>3.2894736842105261E-3</v>
      </c>
      <c r="G270" s="830">
        <f t="shared" si="148"/>
        <v>0.12686567164179105</v>
      </c>
      <c r="H270" s="830">
        <f t="shared" si="148"/>
        <v>0</v>
      </c>
      <c r="I270" s="832">
        <f t="shared" si="148"/>
        <v>3.5182679296346414E-2</v>
      </c>
      <c r="J270" s="832">
        <f t="shared" si="148"/>
        <v>0</v>
      </c>
      <c r="K270" s="830">
        <f t="shared" si="148"/>
        <v>0.41082164328657317</v>
      </c>
      <c r="L270" s="830">
        <f t="shared" si="148"/>
        <v>0</v>
      </c>
      <c r="M270" s="830">
        <f t="shared" si="148"/>
        <v>0</v>
      </c>
      <c r="N270" s="830">
        <f t="shared" si="148"/>
        <v>0</v>
      </c>
      <c r="O270" s="832">
        <f t="shared" si="148"/>
        <v>0.24186550976138829</v>
      </c>
      <c r="P270" s="832">
        <f t="shared" si="148"/>
        <v>0</v>
      </c>
      <c r="Q270" s="830">
        <f t="shared" si="148"/>
        <v>0</v>
      </c>
      <c r="R270" s="833">
        <f t="shared" si="148"/>
        <v>0</v>
      </c>
      <c r="S270" s="832">
        <f t="shared" si="148"/>
        <v>0</v>
      </c>
      <c r="T270" s="213"/>
      <c r="U270" s="349"/>
      <c r="V270" s="349"/>
      <c r="W270" s="349">
        <v>43</v>
      </c>
      <c r="X270" s="349">
        <v>1</v>
      </c>
      <c r="Y270" s="349">
        <v>34</v>
      </c>
      <c r="Z270" s="349"/>
      <c r="AA270" s="804">
        <v>78</v>
      </c>
      <c r="AB270" s="804"/>
      <c r="AC270" s="349">
        <v>205</v>
      </c>
      <c r="AD270" s="349"/>
      <c r="AE270" s="349"/>
      <c r="AF270" s="349"/>
      <c r="AG270" s="804">
        <v>223</v>
      </c>
      <c r="AH270" s="804"/>
      <c r="AI270" s="349"/>
      <c r="AJ270" s="813"/>
      <c r="AK270" s="804"/>
      <c r="AL270" s="209"/>
      <c r="AM270" s="209"/>
    </row>
    <row r="271" spans="1:39" s="80" customFormat="1">
      <c r="A271" s="580"/>
      <c r="B271" s="580" t="s">
        <v>131</v>
      </c>
      <c r="C271" s="832">
        <f>IF(U272&gt;0,(U271/U272),0)</f>
        <v>8.8336192109777015E-2</v>
      </c>
      <c r="D271" s="830">
        <f t="shared" ref="D271:S271" si="149">IF(V272&gt;0,(V271/V272),0)</f>
        <v>0</v>
      </c>
      <c r="E271" s="830">
        <f t="shared" si="149"/>
        <v>4.8016701461377868E-2</v>
      </c>
      <c r="F271" s="830">
        <f t="shared" si="149"/>
        <v>0.19736842105263158</v>
      </c>
      <c r="G271" s="830">
        <f t="shared" si="149"/>
        <v>1.8656716417910446E-2</v>
      </c>
      <c r="H271" s="830">
        <f t="shared" si="149"/>
        <v>0</v>
      </c>
      <c r="I271" s="832">
        <f t="shared" si="149"/>
        <v>8.6152458276950838E-2</v>
      </c>
      <c r="J271" s="832">
        <f t="shared" si="149"/>
        <v>0</v>
      </c>
      <c r="K271" s="830">
        <f t="shared" si="149"/>
        <v>0.58917835671342689</v>
      </c>
      <c r="L271" s="830">
        <f t="shared" si="149"/>
        <v>1</v>
      </c>
      <c r="M271" s="830">
        <f t="shared" si="149"/>
        <v>0.9261744966442953</v>
      </c>
      <c r="N271" s="830">
        <f t="shared" si="149"/>
        <v>0</v>
      </c>
      <c r="O271" s="832">
        <f t="shared" si="149"/>
        <v>0.75813449023861168</v>
      </c>
      <c r="P271" s="832">
        <f t="shared" si="149"/>
        <v>0</v>
      </c>
      <c r="Q271" s="830">
        <f t="shared" si="149"/>
        <v>0</v>
      </c>
      <c r="R271" s="833">
        <f t="shared" si="149"/>
        <v>0</v>
      </c>
      <c r="S271" s="832">
        <f t="shared" si="149"/>
        <v>0</v>
      </c>
      <c r="T271" s="213"/>
      <c r="U271" s="349">
        <v>103</v>
      </c>
      <c r="V271" s="349"/>
      <c r="W271" s="349">
        <v>23</v>
      </c>
      <c r="X271" s="349">
        <v>60</v>
      </c>
      <c r="Y271" s="349">
        <v>5</v>
      </c>
      <c r="Z271" s="349"/>
      <c r="AA271" s="804">
        <v>191</v>
      </c>
      <c r="AB271" s="804"/>
      <c r="AC271" s="349">
        <v>294</v>
      </c>
      <c r="AD271" s="349">
        <v>255</v>
      </c>
      <c r="AE271" s="349">
        <v>138</v>
      </c>
      <c r="AF271" s="349"/>
      <c r="AG271" s="804">
        <v>699</v>
      </c>
      <c r="AH271" s="804"/>
      <c r="AI271" s="349"/>
      <c r="AJ271" s="813"/>
      <c r="AK271" s="804"/>
      <c r="AL271" s="209"/>
      <c r="AM271" s="209"/>
    </row>
    <row r="272" spans="1:39" s="80" customFormat="1">
      <c r="A272" s="436"/>
      <c r="B272" s="436" t="s">
        <v>59</v>
      </c>
      <c r="C272" s="834">
        <f>IF(U272&gt;0,(U272/U272),0)</f>
        <v>1</v>
      </c>
      <c r="D272" s="835">
        <f t="shared" ref="D272:S272" si="150">IF(V272&gt;0,(V272/V272),0)</f>
        <v>0</v>
      </c>
      <c r="E272" s="835">
        <f t="shared" si="150"/>
        <v>1</v>
      </c>
      <c r="F272" s="835">
        <f t="shared" si="150"/>
        <v>1</v>
      </c>
      <c r="G272" s="835">
        <f t="shared" si="150"/>
        <v>1</v>
      </c>
      <c r="H272" s="835">
        <f t="shared" si="150"/>
        <v>0</v>
      </c>
      <c r="I272" s="834">
        <f t="shared" si="150"/>
        <v>1</v>
      </c>
      <c r="J272" s="834">
        <f t="shared" si="150"/>
        <v>0</v>
      </c>
      <c r="K272" s="835">
        <f t="shared" si="150"/>
        <v>1</v>
      </c>
      <c r="L272" s="835">
        <f t="shared" si="150"/>
        <v>1</v>
      </c>
      <c r="M272" s="835">
        <f t="shared" si="150"/>
        <v>1</v>
      </c>
      <c r="N272" s="835">
        <f t="shared" si="150"/>
        <v>0</v>
      </c>
      <c r="O272" s="834">
        <f t="shared" si="150"/>
        <v>1</v>
      </c>
      <c r="P272" s="834">
        <f t="shared" si="150"/>
        <v>0</v>
      </c>
      <c r="Q272" s="835">
        <f t="shared" si="150"/>
        <v>0</v>
      </c>
      <c r="R272" s="836">
        <f t="shared" si="150"/>
        <v>0</v>
      </c>
      <c r="S272" s="834">
        <f t="shared" si="150"/>
        <v>0</v>
      </c>
      <c r="T272" s="213"/>
      <c r="U272" s="816">
        <v>1166</v>
      </c>
      <c r="V272" s="816"/>
      <c r="W272" s="816">
        <v>479</v>
      </c>
      <c r="X272" s="816">
        <v>304</v>
      </c>
      <c r="Y272" s="816">
        <v>268</v>
      </c>
      <c r="Z272" s="816"/>
      <c r="AA272" s="805">
        <v>2217</v>
      </c>
      <c r="AB272" s="805"/>
      <c r="AC272" s="816">
        <v>499</v>
      </c>
      <c r="AD272" s="816">
        <v>255</v>
      </c>
      <c r="AE272" s="816">
        <v>149</v>
      </c>
      <c r="AF272" s="816"/>
      <c r="AG272" s="805">
        <v>922</v>
      </c>
      <c r="AH272" s="805"/>
      <c r="AI272" s="816"/>
      <c r="AJ272" s="817"/>
      <c r="AK272" s="805"/>
      <c r="AL272" s="209"/>
      <c r="AM272" s="209"/>
    </row>
    <row r="273" spans="1:39" s="80" customFormat="1">
      <c r="A273" s="240" t="s">
        <v>153</v>
      </c>
      <c r="B273" s="240" t="s">
        <v>53</v>
      </c>
      <c r="C273" s="829">
        <f>IF(U278&gt;0,(U273/U278),0)</f>
        <v>0</v>
      </c>
      <c r="D273" s="830">
        <f t="shared" ref="D273:S273" si="151">IF(V278&gt;0,(V273/V278),0)</f>
        <v>0.21551724137931033</v>
      </c>
      <c r="E273" s="830">
        <f t="shared" si="151"/>
        <v>0</v>
      </c>
      <c r="F273" s="830">
        <f t="shared" si="151"/>
        <v>0.15873015873015872</v>
      </c>
      <c r="G273" s="830">
        <f t="shared" si="151"/>
        <v>0</v>
      </c>
      <c r="H273" s="830">
        <f t="shared" si="151"/>
        <v>0.13756613756613756</v>
      </c>
      <c r="I273" s="829">
        <f t="shared" si="151"/>
        <v>0.19760900140646975</v>
      </c>
      <c r="J273" s="829">
        <f t="shared" si="151"/>
        <v>0</v>
      </c>
      <c r="K273" s="830">
        <f t="shared" si="151"/>
        <v>0</v>
      </c>
      <c r="L273" s="830">
        <f t="shared" si="151"/>
        <v>3.0434782608695653E-2</v>
      </c>
      <c r="M273" s="830">
        <f t="shared" si="151"/>
        <v>6.8627450980392163E-2</v>
      </c>
      <c r="N273" s="830">
        <f t="shared" si="151"/>
        <v>0</v>
      </c>
      <c r="O273" s="829">
        <f t="shared" si="151"/>
        <v>3.591160220994475E-2</v>
      </c>
      <c r="P273" s="829">
        <f t="shared" si="151"/>
        <v>0</v>
      </c>
      <c r="Q273" s="830">
        <f t="shared" si="151"/>
        <v>0</v>
      </c>
      <c r="R273" s="831">
        <f t="shared" si="151"/>
        <v>0</v>
      </c>
      <c r="S273" s="829">
        <f t="shared" si="151"/>
        <v>0</v>
      </c>
      <c r="T273" s="213"/>
      <c r="U273" s="349"/>
      <c r="V273" s="349">
        <v>225</v>
      </c>
      <c r="W273" s="349"/>
      <c r="X273" s="349">
        <v>30</v>
      </c>
      <c r="Y273" s="349"/>
      <c r="Z273" s="349">
        <v>26</v>
      </c>
      <c r="AA273" s="803">
        <v>281</v>
      </c>
      <c r="AB273" s="803"/>
      <c r="AC273" s="349"/>
      <c r="AD273" s="349">
        <v>7</v>
      </c>
      <c r="AE273" s="349">
        <v>7</v>
      </c>
      <c r="AF273" s="349"/>
      <c r="AG273" s="803">
        <v>13</v>
      </c>
      <c r="AH273" s="803"/>
      <c r="AI273" s="349"/>
      <c r="AJ273" s="812"/>
      <c r="AK273" s="803"/>
      <c r="AL273" s="209"/>
      <c r="AM273" s="209"/>
    </row>
    <row r="274" spans="1:39" s="80" customFormat="1">
      <c r="A274" s="239"/>
      <c r="B274" s="239" t="s">
        <v>93</v>
      </c>
      <c r="C274" s="832">
        <f>IF(U278&gt;0,(U274/U278),0)</f>
        <v>0</v>
      </c>
      <c r="D274" s="830">
        <f t="shared" ref="D274:S274" si="152">IF(V278&gt;0,(V274/V278),0)</f>
        <v>0.25</v>
      </c>
      <c r="E274" s="830">
        <f t="shared" si="152"/>
        <v>0</v>
      </c>
      <c r="F274" s="830">
        <f t="shared" si="152"/>
        <v>0.23280423280423279</v>
      </c>
      <c r="G274" s="830">
        <f t="shared" si="152"/>
        <v>0</v>
      </c>
      <c r="H274" s="830">
        <f t="shared" si="152"/>
        <v>0.26984126984126983</v>
      </c>
      <c r="I274" s="832">
        <f t="shared" si="152"/>
        <v>0.25035161744022505</v>
      </c>
      <c r="J274" s="832">
        <f t="shared" si="152"/>
        <v>0</v>
      </c>
      <c r="K274" s="830">
        <f t="shared" si="152"/>
        <v>0</v>
      </c>
      <c r="L274" s="830">
        <f t="shared" si="152"/>
        <v>0.42608695652173911</v>
      </c>
      <c r="M274" s="830">
        <f t="shared" si="152"/>
        <v>9.8039215686274508E-2</v>
      </c>
      <c r="N274" s="830">
        <f t="shared" si="152"/>
        <v>0</v>
      </c>
      <c r="O274" s="832">
        <f t="shared" si="152"/>
        <v>0.30386740331491713</v>
      </c>
      <c r="P274" s="832">
        <f t="shared" si="152"/>
        <v>0</v>
      </c>
      <c r="Q274" s="830">
        <f t="shared" si="152"/>
        <v>0</v>
      </c>
      <c r="R274" s="833">
        <f t="shared" si="152"/>
        <v>0</v>
      </c>
      <c r="S274" s="832">
        <f t="shared" si="152"/>
        <v>0</v>
      </c>
      <c r="T274" s="213"/>
      <c r="U274" s="349"/>
      <c r="V274" s="349">
        <v>261</v>
      </c>
      <c r="W274" s="349"/>
      <c r="X274" s="349">
        <v>44</v>
      </c>
      <c r="Y274" s="349"/>
      <c r="Z274" s="349">
        <v>51</v>
      </c>
      <c r="AA274" s="804">
        <v>356</v>
      </c>
      <c r="AB274" s="804"/>
      <c r="AC274" s="349"/>
      <c r="AD274" s="349">
        <v>98</v>
      </c>
      <c r="AE274" s="349">
        <v>10</v>
      </c>
      <c r="AF274" s="349"/>
      <c r="AG274" s="804">
        <v>110</v>
      </c>
      <c r="AH274" s="804"/>
      <c r="AI274" s="349"/>
      <c r="AJ274" s="813"/>
      <c r="AK274" s="804"/>
      <c r="AL274" s="209"/>
      <c r="AM274" s="209"/>
    </row>
    <row r="275" spans="1:39" s="80" customFormat="1">
      <c r="A275" s="239"/>
      <c r="B275" s="239" t="s">
        <v>55</v>
      </c>
      <c r="C275" s="832">
        <f>IF(U278&gt;0,(U275/U278),0)</f>
        <v>0</v>
      </c>
      <c r="D275" s="830">
        <f t="shared" ref="D275:S275" si="153">IF(V278&gt;0,(V275/V278),0)</f>
        <v>0.36973180076628354</v>
      </c>
      <c r="E275" s="830">
        <f t="shared" si="153"/>
        <v>0</v>
      </c>
      <c r="F275" s="830">
        <f t="shared" si="153"/>
        <v>0.31746031746031744</v>
      </c>
      <c r="G275" s="830">
        <f t="shared" si="153"/>
        <v>0</v>
      </c>
      <c r="H275" s="830">
        <f t="shared" si="153"/>
        <v>0.38095238095238093</v>
      </c>
      <c r="I275" s="832">
        <f t="shared" si="153"/>
        <v>0.36427566807313644</v>
      </c>
      <c r="J275" s="832">
        <f t="shared" si="153"/>
        <v>0</v>
      </c>
      <c r="K275" s="830">
        <f t="shared" si="153"/>
        <v>0</v>
      </c>
      <c r="L275" s="830">
        <f t="shared" si="153"/>
        <v>0.29130434782608694</v>
      </c>
      <c r="M275" s="830">
        <f t="shared" si="153"/>
        <v>0.19607843137254902</v>
      </c>
      <c r="N275" s="830">
        <f t="shared" si="153"/>
        <v>0</v>
      </c>
      <c r="O275" s="832">
        <f t="shared" si="153"/>
        <v>0.27624309392265195</v>
      </c>
      <c r="P275" s="832">
        <f t="shared" si="153"/>
        <v>0</v>
      </c>
      <c r="Q275" s="830">
        <f t="shared" si="153"/>
        <v>0</v>
      </c>
      <c r="R275" s="833">
        <f t="shared" si="153"/>
        <v>0</v>
      </c>
      <c r="S275" s="832">
        <f t="shared" si="153"/>
        <v>0</v>
      </c>
      <c r="T275" s="213"/>
      <c r="U275" s="349"/>
      <c r="V275" s="349">
        <v>386</v>
      </c>
      <c r="W275" s="349"/>
      <c r="X275" s="349">
        <v>60</v>
      </c>
      <c r="Y275" s="349"/>
      <c r="Z275" s="349">
        <v>72</v>
      </c>
      <c r="AA275" s="804">
        <v>518</v>
      </c>
      <c r="AB275" s="804"/>
      <c r="AC275" s="349"/>
      <c r="AD275" s="349">
        <v>67</v>
      </c>
      <c r="AE275" s="349">
        <v>20</v>
      </c>
      <c r="AF275" s="349"/>
      <c r="AG275" s="804">
        <v>100</v>
      </c>
      <c r="AH275" s="804"/>
      <c r="AI275" s="349"/>
      <c r="AJ275" s="813"/>
      <c r="AK275" s="804"/>
      <c r="AL275" s="209"/>
      <c r="AM275" s="209"/>
    </row>
    <row r="276" spans="1:39" s="80" customFormat="1">
      <c r="A276" s="239"/>
      <c r="B276" s="239" t="s">
        <v>78</v>
      </c>
      <c r="C276" s="832">
        <f>IF(U278&gt;0,(U276/U278),0)</f>
        <v>0</v>
      </c>
      <c r="D276" s="830">
        <f t="shared" ref="D276:S276" si="154">IF(V278&gt;0,(V276/V278),0)</f>
        <v>2.681992337164751E-2</v>
      </c>
      <c r="E276" s="830">
        <f t="shared" si="154"/>
        <v>0</v>
      </c>
      <c r="F276" s="830">
        <f t="shared" si="154"/>
        <v>0.21693121693121692</v>
      </c>
      <c r="G276" s="830">
        <f t="shared" si="154"/>
        <v>0</v>
      </c>
      <c r="H276" s="830">
        <f t="shared" si="154"/>
        <v>0.17989417989417988</v>
      </c>
      <c r="I276" s="832">
        <f t="shared" si="154"/>
        <v>7.2433192686357242E-2</v>
      </c>
      <c r="J276" s="832">
        <f t="shared" si="154"/>
        <v>0</v>
      </c>
      <c r="K276" s="830">
        <f t="shared" si="154"/>
        <v>0</v>
      </c>
      <c r="L276" s="830">
        <f t="shared" si="154"/>
        <v>0.24347826086956523</v>
      </c>
      <c r="M276" s="830">
        <f t="shared" si="154"/>
        <v>0.61764705882352944</v>
      </c>
      <c r="N276" s="830">
        <f t="shared" si="154"/>
        <v>0</v>
      </c>
      <c r="O276" s="832">
        <f t="shared" si="154"/>
        <v>0.31491712707182318</v>
      </c>
      <c r="P276" s="832">
        <f t="shared" si="154"/>
        <v>0</v>
      </c>
      <c r="Q276" s="830">
        <f t="shared" si="154"/>
        <v>0</v>
      </c>
      <c r="R276" s="833">
        <f t="shared" si="154"/>
        <v>0</v>
      </c>
      <c r="S276" s="832">
        <f t="shared" si="154"/>
        <v>0</v>
      </c>
      <c r="T276" s="213"/>
      <c r="U276" s="349"/>
      <c r="V276" s="349">
        <v>28</v>
      </c>
      <c r="W276" s="349"/>
      <c r="X276" s="349">
        <v>41</v>
      </c>
      <c r="Y276" s="349"/>
      <c r="Z276" s="349">
        <v>34</v>
      </c>
      <c r="AA276" s="804">
        <v>103</v>
      </c>
      <c r="AB276" s="804"/>
      <c r="AC276" s="349"/>
      <c r="AD276" s="349">
        <v>56</v>
      </c>
      <c r="AE276" s="349">
        <v>63</v>
      </c>
      <c r="AF276" s="349"/>
      <c r="AG276" s="804">
        <v>114</v>
      </c>
      <c r="AH276" s="804"/>
      <c r="AI276" s="349"/>
      <c r="AJ276" s="813"/>
      <c r="AK276" s="804"/>
      <c r="AL276" s="209"/>
      <c r="AM276" s="209"/>
    </row>
    <row r="277" spans="1:39" s="80" customFormat="1">
      <c r="A277" s="580"/>
      <c r="B277" s="580" t="s">
        <v>131</v>
      </c>
      <c r="C277" s="832">
        <f>IF(U278&gt;0,(U277/U278),0)</f>
        <v>0</v>
      </c>
      <c r="D277" s="830">
        <f t="shared" ref="D277:S277" si="155">IF(V278&gt;0,(V277/V278),0)</f>
        <v>0.13793103448275862</v>
      </c>
      <c r="E277" s="830">
        <f t="shared" si="155"/>
        <v>0</v>
      </c>
      <c r="F277" s="830">
        <f t="shared" si="155"/>
        <v>7.407407407407407E-2</v>
      </c>
      <c r="G277" s="830">
        <f t="shared" si="155"/>
        <v>0</v>
      </c>
      <c r="H277" s="830">
        <f t="shared" si="155"/>
        <v>3.1746031746031744E-2</v>
      </c>
      <c r="I277" s="832">
        <f t="shared" si="155"/>
        <v>0.11533052039381153</v>
      </c>
      <c r="J277" s="832">
        <f t="shared" si="155"/>
        <v>0</v>
      </c>
      <c r="K277" s="830">
        <f t="shared" si="155"/>
        <v>0</v>
      </c>
      <c r="L277" s="830">
        <f t="shared" si="155"/>
        <v>8.6956521739130436E-3</v>
      </c>
      <c r="M277" s="830">
        <f t="shared" si="155"/>
        <v>1.9607843137254902E-2</v>
      </c>
      <c r="N277" s="830">
        <f t="shared" si="155"/>
        <v>0</v>
      </c>
      <c r="O277" s="832">
        <f t="shared" si="155"/>
        <v>6.9060773480662987E-2</v>
      </c>
      <c r="P277" s="832">
        <f t="shared" si="155"/>
        <v>0</v>
      </c>
      <c r="Q277" s="830">
        <f t="shared" si="155"/>
        <v>0</v>
      </c>
      <c r="R277" s="833">
        <f t="shared" si="155"/>
        <v>0</v>
      </c>
      <c r="S277" s="832">
        <f t="shared" si="155"/>
        <v>0</v>
      </c>
      <c r="T277" s="213"/>
      <c r="U277" s="349"/>
      <c r="V277" s="349">
        <v>144</v>
      </c>
      <c r="W277" s="349"/>
      <c r="X277" s="349">
        <v>14</v>
      </c>
      <c r="Y277" s="349"/>
      <c r="Z277" s="349">
        <v>6</v>
      </c>
      <c r="AA277" s="804">
        <v>164</v>
      </c>
      <c r="AB277" s="804"/>
      <c r="AC277" s="349"/>
      <c r="AD277" s="349">
        <v>2</v>
      </c>
      <c r="AE277" s="349">
        <v>2</v>
      </c>
      <c r="AF277" s="349"/>
      <c r="AG277" s="804">
        <v>25</v>
      </c>
      <c r="AH277" s="804"/>
      <c r="AI277" s="349"/>
      <c r="AJ277" s="813"/>
      <c r="AK277" s="804"/>
      <c r="AL277" s="209"/>
      <c r="AM277" s="209"/>
    </row>
    <row r="278" spans="1:39" s="80" customFormat="1">
      <c r="A278" s="436"/>
      <c r="B278" s="436" t="s">
        <v>59</v>
      </c>
      <c r="C278" s="834">
        <f>IF(U278&gt;0,(U278/U278),0)</f>
        <v>0</v>
      </c>
      <c r="D278" s="835">
        <f t="shared" ref="D278:S278" si="156">IF(V278&gt;0,(V278/V278),0)</f>
        <v>1</v>
      </c>
      <c r="E278" s="835">
        <f t="shared" si="156"/>
        <v>0</v>
      </c>
      <c r="F278" s="835">
        <f t="shared" si="156"/>
        <v>1</v>
      </c>
      <c r="G278" s="835">
        <f t="shared" si="156"/>
        <v>0</v>
      </c>
      <c r="H278" s="835">
        <f t="shared" si="156"/>
        <v>1</v>
      </c>
      <c r="I278" s="834">
        <f t="shared" si="156"/>
        <v>1</v>
      </c>
      <c r="J278" s="834">
        <f t="shared" si="156"/>
        <v>0</v>
      </c>
      <c r="K278" s="835">
        <f t="shared" si="156"/>
        <v>0</v>
      </c>
      <c r="L278" s="835">
        <f t="shared" si="156"/>
        <v>1</v>
      </c>
      <c r="M278" s="835">
        <f t="shared" si="156"/>
        <v>1</v>
      </c>
      <c r="N278" s="835">
        <f t="shared" si="156"/>
        <v>0</v>
      </c>
      <c r="O278" s="834">
        <f t="shared" si="156"/>
        <v>1</v>
      </c>
      <c r="P278" s="834">
        <f t="shared" si="156"/>
        <v>0</v>
      </c>
      <c r="Q278" s="835">
        <f t="shared" si="156"/>
        <v>0</v>
      </c>
      <c r="R278" s="836">
        <f t="shared" si="156"/>
        <v>0</v>
      </c>
      <c r="S278" s="834">
        <f t="shared" si="156"/>
        <v>0</v>
      </c>
      <c r="T278" s="213"/>
      <c r="U278" s="816"/>
      <c r="V278" s="816">
        <v>1044</v>
      </c>
      <c r="W278" s="816"/>
      <c r="X278" s="816">
        <v>189</v>
      </c>
      <c r="Y278" s="816"/>
      <c r="Z278" s="816">
        <v>189</v>
      </c>
      <c r="AA278" s="805">
        <v>1422</v>
      </c>
      <c r="AB278" s="805"/>
      <c r="AC278" s="816"/>
      <c r="AD278" s="816">
        <v>230</v>
      </c>
      <c r="AE278" s="816">
        <v>102</v>
      </c>
      <c r="AF278" s="816"/>
      <c r="AG278" s="805">
        <v>362</v>
      </c>
      <c r="AH278" s="805"/>
      <c r="AI278" s="816"/>
      <c r="AJ278" s="817"/>
      <c r="AK278" s="805"/>
      <c r="AL278" s="209"/>
      <c r="AM278" s="209"/>
    </row>
    <row r="279" spans="1:39" s="80" customFormat="1">
      <c r="A279" s="240" t="s">
        <v>160</v>
      </c>
      <c r="B279" s="240" t="s">
        <v>53</v>
      </c>
      <c r="C279" s="829">
        <f>IF(U284&gt;0,(U279/U284),0)</f>
        <v>0.33638968481375359</v>
      </c>
      <c r="D279" s="830">
        <f t="shared" ref="D279:S279" si="157">IF(V284&gt;0,(V279/V284),0)</f>
        <v>0.27570449352627568</v>
      </c>
      <c r="E279" s="830">
        <f t="shared" si="157"/>
        <v>0.30950226244343892</v>
      </c>
      <c r="F279" s="830">
        <f t="shared" si="157"/>
        <v>0</v>
      </c>
      <c r="G279" s="830">
        <f t="shared" si="157"/>
        <v>0</v>
      </c>
      <c r="H279" s="830">
        <f t="shared" si="157"/>
        <v>0.17867435158501441</v>
      </c>
      <c r="I279" s="829">
        <f t="shared" si="157"/>
        <v>0.30594767551289292</v>
      </c>
      <c r="J279" s="829">
        <f t="shared" si="157"/>
        <v>0.27464788732394368</v>
      </c>
      <c r="K279" s="830">
        <f t="shared" si="157"/>
        <v>0.23868852459016393</v>
      </c>
      <c r="L279" s="830">
        <f t="shared" si="157"/>
        <v>0.21791044776119403</v>
      </c>
      <c r="M279" s="830">
        <f t="shared" si="157"/>
        <v>0.13532338308457711</v>
      </c>
      <c r="N279" s="830">
        <f t="shared" si="157"/>
        <v>0</v>
      </c>
      <c r="O279" s="829">
        <f t="shared" si="157"/>
        <v>0.20751148338286948</v>
      </c>
      <c r="P279" s="829">
        <f t="shared" si="157"/>
        <v>0</v>
      </c>
      <c r="Q279" s="830">
        <f t="shared" si="157"/>
        <v>0</v>
      </c>
      <c r="R279" s="831">
        <f t="shared" si="157"/>
        <v>0</v>
      </c>
      <c r="S279" s="829">
        <f t="shared" si="157"/>
        <v>0</v>
      </c>
      <c r="T279" s="213"/>
      <c r="U279" s="349">
        <v>1761</v>
      </c>
      <c r="V279" s="349">
        <v>1086</v>
      </c>
      <c r="W279" s="349">
        <v>342</v>
      </c>
      <c r="X279" s="349"/>
      <c r="Y279" s="349"/>
      <c r="Z279" s="349">
        <v>62</v>
      </c>
      <c r="AA279" s="803">
        <v>3251</v>
      </c>
      <c r="AB279" s="803">
        <v>39</v>
      </c>
      <c r="AC279" s="349">
        <v>364</v>
      </c>
      <c r="AD279" s="349">
        <v>146</v>
      </c>
      <c r="AE279" s="349">
        <v>136</v>
      </c>
      <c r="AF279" s="349"/>
      <c r="AG279" s="803">
        <v>768</v>
      </c>
      <c r="AH279" s="803"/>
      <c r="AI279" s="349"/>
      <c r="AJ279" s="812"/>
      <c r="AK279" s="803"/>
      <c r="AL279" s="209"/>
      <c r="AM279" s="209"/>
    </row>
    <row r="280" spans="1:39" s="80" customFormat="1">
      <c r="A280" s="239"/>
      <c r="B280" s="239" t="s">
        <v>93</v>
      </c>
      <c r="C280" s="832">
        <f>IF(U284&gt;0,(U280/U284),0)</f>
        <v>0.32320916905444125</v>
      </c>
      <c r="D280" s="830">
        <f t="shared" ref="D280:S280" si="158">IF(V284&gt;0,(V280/V284),0)</f>
        <v>0.29753744605229754</v>
      </c>
      <c r="E280" s="830">
        <f t="shared" si="158"/>
        <v>0.25882352941176473</v>
      </c>
      <c r="F280" s="830">
        <f t="shared" si="158"/>
        <v>0</v>
      </c>
      <c r="G280" s="830">
        <f t="shared" si="158"/>
        <v>0</v>
      </c>
      <c r="H280" s="830">
        <f t="shared" si="158"/>
        <v>0.33141210374639768</v>
      </c>
      <c r="I280" s="832">
        <f t="shared" si="158"/>
        <v>0.30726519856954637</v>
      </c>
      <c r="J280" s="832">
        <f t="shared" si="158"/>
        <v>0.29577464788732394</v>
      </c>
      <c r="K280" s="830">
        <f t="shared" si="158"/>
        <v>0.17901639344262296</v>
      </c>
      <c r="L280" s="830">
        <f t="shared" si="158"/>
        <v>0.2701492537313433</v>
      </c>
      <c r="M280" s="830">
        <f t="shared" si="158"/>
        <v>0.28059701492537314</v>
      </c>
      <c r="N280" s="830">
        <f t="shared" si="158"/>
        <v>0</v>
      </c>
      <c r="O280" s="832">
        <f t="shared" si="158"/>
        <v>0.23723318022156173</v>
      </c>
      <c r="P280" s="832">
        <f t="shared" si="158"/>
        <v>0</v>
      </c>
      <c r="Q280" s="830">
        <f t="shared" si="158"/>
        <v>0</v>
      </c>
      <c r="R280" s="833">
        <f t="shared" si="158"/>
        <v>0</v>
      </c>
      <c r="S280" s="832">
        <f t="shared" si="158"/>
        <v>0</v>
      </c>
      <c r="T280" s="213"/>
      <c r="U280" s="349">
        <v>1692</v>
      </c>
      <c r="V280" s="349">
        <v>1172</v>
      </c>
      <c r="W280" s="349">
        <v>286</v>
      </c>
      <c r="X280" s="349"/>
      <c r="Y280" s="349"/>
      <c r="Z280" s="349">
        <v>115</v>
      </c>
      <c r="AA280" s="804">
        <v>3265</v>
      </c>
      <c r="AB280" s="804">
        <v>42</v>
      </c>
      <c r="AC280" s="349">
        <v>273</v>
      </c>
      <c r="AD280" s="349">
        <v>181</v>
      </c>
      <c r="AE280" s="349">
        <v>282</v>
      </c>
      <c r="AF280" s="349"/>
      <c r="AG280" s="804">
        <v>878</v>
      </c>
      <c r="AH280" s="804"/>
      <c r="AI280" s="349"/>
      <c r="AJ280" s="813"/>
      <c r="AK280" s="804"/>
      <c r="AL280" s="209"/>
      <c r="AM280" s="209"/>
    </row>
    <row r="281" spans="1:39" s="80" customFormat="1">
      <c r="A281" s="239"/>
      <c r="B281" s="239" t="s">
        <v>55</v>
      </c>
      <c r="C281" s="832">
        <f>IF(U284&gt;0,(U281/U284),0)</f>
        <v>0.2809933142311366</v>
      </c>
      <c r="D281" s="830">
        <f t="shared" ref="D281:S281" si="159">IF(V284&gt;0,(V281/V284),0)</f>
        <v>0.21172886519421172</v>
      </c>
      <c r="E281" s="830">
        <f t="shared" si="159"/>
        <v>0.26334841628959277</v>
      </c>
      <c r="F281" s="830">
        <f t="shared" si="159"/>
        <v>0</v>
      </c>
      <c r="G281" s="830">
        <f t="shared" si="159"/>
        <v>0</v>
      </c>
      <c r="H281" s="830">
        <f t="shared" si="159"/>
        <v>0.3861671469740634</v>
      </c>
      <c r="I281" s="832">
        <f t="shared" si="159"/>
        <v>0.25691699604743085</v>
      </c>
      <c r="J281" s="832">
        <f t="shared" si="159"/>
        <v>0.34507042253521125</v>
      </c>
      <c r="K281" s="830">
        <f t="shared" si="159"/>
        <v>0.26491803278688525</v>
      </c>
      <c r="L281" s="830">
        <f t="shared" si="159"/>
        <v>0.2</v>
      </c>
      <c r="M281" s="830">
        <f t="shared" si="159"/>
        <v>0.33432835820895523</v>
      </c>
      <c r="N281" s="830">
        <f t="shared" si="159"/>
        <v>0</v>
      </c>
      <c r="O281" s="832">
        <f t="shared" si="159"/>
        <v>0.28857065657930286</v>
      </c>
      <c r="P281" s="832">
        <f t="shared" si="159"/>
        <v>0</v>
      </c>
      <c r="Q281" s="830">
        <f t="shared" si="159"/>
        <v>0</v>
      </c>
      <c r="R281" s="833">
        <f t="shared" si="159"/>
        <v>0</v>
      </c>
      <c r="S281" s="832">
        <f t="shared" si="159"/>
        <v>0</v>
      </c>
      <c r="T281" s="213"/>
      <c r="U281" s="349">
        <v>1471</v>
      </c>
      <c r="V281" s="349">
        <v>834</v>
      </c>
      <c r="W281" s="349">
        <v>291</v>
      </c>
      <c r="X281" s="349"/>
      <c r="Y281" s="349"/>
      <c r="Z281" s="349">
        <v>134</v>
      </c>
      <c r="AA281" s="804">
        <v>2730</v>
      </c>
      <c r="AB281" s="804">
        <v>49</v>
      </c>
      <c r="AC281" s="349">
        <v>404</v>
      </c>
      <c r="AD281" s="349">
        <v>134</v>
      </c>
      <c r="AE281" s="349">
        <v>336</v>
      </c>
      <c r="AF281" s="349"/>
      <c r="AG281" s="804">
        <v>1068</v>
      </c>
      <c r="AH281" s="804"/>
      <c r="AI281" s="349"/>
      <c r="AJ281" s="813"/>
      <c r="AK281" s="804"/>
      <c r="AL281" s="209"/>
      <c r="AM281" s="209"/>
    </row>
    <row r="282" spans="1:39" s="80" customFormat="1">
      <c r="A282" s="239"/>
      <c r="B282" s="239" t="s">
        <v>78</v>
      </c>
      <c r="C282" s="832">
        <f>IF(U284&gt;0,(U282/U284),0)</f>
        <v>3.7631327602674305E-2</v>
      </c>
      <c r="D282" s="830">
        <f t="shared" ref="D282:S282" si="160">IF(V284&gt;0,(V282/V284),0)</f>
        <v>0.10713379030210714</v>
      </c>
      <c r="E282" s="830">
        <f t="shared" si="160"/>
        <v>0.10859728506787331</v>
      </c>
      <c r="F282" s="830">
        <f t="shared" si="160"/>
        <v>0</v>
      </c>
      <c r="G282" s="830">
        <f t="shared" si="160"/>
        <v>0</v>
      </c>
      <c r="H282" s="830">
        <f t="shared" si="160"/>
        <v>0.1037463976945245</v>
      </c>
      <c r="I282" s="832">
        <f t="shared" si="160"/>
        <v>7.2934312064746848E-2</v>
      </c>
      <c r="J282" s="832">
        <f t="shared" si="160"/>
        <v>8.4507042253521125E-2</v>
      </c>
      <c r="K282" s="830">
        <f t="shared" si="160"/>
        <v>0.14622950819672131</v>
      </c>
      <c r="L282" s="830">
        <f t="shared" si="160"/>
        <v>0.2537313432835821</v>
      </c>
      <c r="M282" s="830">
        <f t="shared" si="160"/>
        <v>0.18407960199004975</v>
      </c>
      <c r="N282" s="830">
        <f t="shared" si="160"/>
        <v>0</v>
      </c>
      <c r="O282" s="832">
        <f t="shared" si="160"/>
        <v>0.15941637395298569</v>
      </c>
      <c r="P282" s="832">
        <f t="shared" si="160"/>
        <v>0</v>
      </c>
      <c r="Q282" s="830">
        <f t="shared" si="160"/>
        <v>0</v>
      </c>
      <c r="R282" s="833">
        <f t="shared" si="160"/>
        <v>0</v>
      </c>
      <c r="S282" s="832">
        <f t="shared" si="160"/>
        <v>0</v>
      </c>
      <c r="T282" s="213"/>
      <c r="U282" s="349">
        <v>197</v>
      </c>
      <c r="V282" s="349">
        <v>422</v>
      </c>
      <c r="W282" s="349">
        <v>120</v>
      </c>
      <c r="X282" s="349"/>
      <c r="Y282" s="349"/>
      <c r="Z282" s="349">
        <v>36</v>
      </c>
      <c r="AA282" s="804">
        <v>775</v>
      </c>
      <c r="AB282" s="804">
        <v>12</v>
      </c>
      <c r="AC282" s="349">
        <v>223</v>
      </c>
      <c r="AD282" s="349">
        <v>170</v>
      </c>
      <c r="AE282" s="349">
        <v>185</v>
      </c>
      <c r="AF282" s="349"/>
      <c r="AG282" s="804">
        <v>590</v>
      </c>
      <c r="AH282" s="804"/>
      <c r="AI282" s="349"/>
      <c r="AJ282" s="813"/>
      <c r="AK282" s="804"/>
      <c r="AL282" s="209"/>
      <c r="AM282" s="209"/>
    </row>
    <row r="283" spans="1:39" s="80" customFormat="1">
      <c r="A283" s="580"/>
      <c r="B283" s="580" t="s">
        <v>131</v>
      </c>
      <c r="C283" s="832">
        <f>IF(U284&gt;0,(U283/U284),0)</f>
        <v>2.177650429799427E-2</v>
      </c>
      <c r="D283" s="830">
        <f t="shared" ref="D283:S283" si="161">IF(V284&gt;0,(V283/V284),0)</f>
        <v>0.10789540492510789</v>
      </c>
      <c r="E283" s="830">
        <f t="shared" si="161"/>
        <v>5.972850678733032E-2</v>
      </c>
      <c r="F283" s="830">
        <f t="shared" si="161"/>
        <v>0</v>
      </c>
      <c r="G283" s="830">
        <f t="shared" si="161"/>
        <v>0</v>
      </c>
      <c r="H283" s="830">
        <f t="shared" si="161"/>
        <v>0</v>
      </c>
      <c r="I283" s="832">
        <f t="shared" si="161"/>
        <v>5.6935817805383024E-2</v>
      </c>
      <c r="J283" s="832">
        <f t="shared" si="161"/>
        <v>0</v>
      </c>
      <c r="K283" s="830">
        <f t="shared" si="161"/>
        <v>0.17114754098360654</v>
      </c>
      <c r="L283" s="830">
        <f t="shared" si="161"/>
        <v>5.8208955223880594E-2</v>
      </c>
      <c r="M283" s="830">
        <f t="shared" si="161"/>
        <v>6.5671641791044774E-2</v>
      </c>
      <c r="N283" s="830">
        <f t="shared" si="161"/>
        <v>0</v>
      </c>
      <c r="O283" s="832">
        <f t="shared" si="161"/>
        <v>0.10726830586328019</v>
      </c>
      <c r="P283" s="832">
        <f t="shared" si="161"/>
        <v>0</v>
      </c>
      <c r="Q283" s="830">
        <f t="shared" si="161"/>
        <v>0</v>
      </c>
      <c r="R283" s="833">
        <f t="shared" si="161"/>
        <v>0</v>
      </c>
      <c r="S283" s="832">
        <f t="shared" si="161"/>
        <v>0</v>
      </c>
      <c r="T283" s="213"/>
      <c r="U283" s="349">
        <v>114</v>
      </c>
      <c r="V283" s="349">
        <v>425</v>
      </c>
      <c r="W283" s="349">
        <v>66</v>
      </c>
      <c r="X283" s="349"/>
      <c r="Y283" s="349"/>
      <c r="Z283" s="349"/>
      <c r="AA283" s="804">
        <v>605</v>
      </c>
      <c r="AB283" s="804"/>
      <c r="AC283" s="349">
        <v>261</v>
      </c>
      <c r="AD283" s="349">
        <v>39</v>
      </c>
      <c r="AE283" s="349">
        <v>66</v>
      </c>
      <c r="AF283" s="349"/>
      <c r="AG283" s="804">
        <v>397</v>
      </c>
      <c r="AH283" s="804"/>
      <c r="AI283" s="349"/>
      <c r="AJ283" s="813"/>
      <c r="AK283" s="804"/>
      <c r="AL283" s="209"/>
      <c r="AM283" s="209"/>
    </row>
    <row r="284" spans="1:39" s="80" customFormat="1">
      <c r="A284" s="436"/>
      <c r="B284" s="436" t="s">
        <v>59</v>
      </c>
      <c r="C284" s="834">
        <f>IF(U284&gt;0,(U284/U284),0)</f>
        <v>1</v>
      </c>
      <c r="D284" s="835">
        <f t="shared" ref="D284:S284" si="162">IF(V284&gt;0,(V284/V284),0)</f>
        <v>1</v>
      </c>
      <c r="E284" s="835">
        <f t="shared" si="162"/>
        <v>1</v>
      </c>
      <c r="F284" s="835">
        <f t="shared" si="162"/>
        <v>0</v>
      </c>
      <c r="G284" s="835">
        <f t="shared" si="162"/>
        <v>0</v>
      </c>
      <c r="H284" s="835">
        <f t="shared" si="162"/>
        <v>1</v>
      </c>
      <c r="I284" s="834">
        <f t="shared" si="162"/>
        <v>1</v>
      </c>
      <c r="J284" s="834">
        <f t="shared" si="162"/>
        <v>1</v>
      </c>
      <c r="K284" s="835">
        <f t="shared" si="162"/>
        <v>1</v>
      </c>
      <c r="L284" s="835">
        <f t="shared" si="162"/>
        <v>1</v>
      </c>
      <c r="M284" s="835">
        <f t="shared" si="162"/>
        <v>1</v>
      </c>
      <c r="N284" s="835">
        <f t="shared" si="162"/>
        <v>0</v>
      </c>
      <c r="O284" s="834">
        <f t="shared" si="162"/>
        <v>1</v>
      </c>
      <c r="P284" s="834">
        <f t="shared" si="162"/>
        <v>0</v>
      </c>
      <c r="Q284" s="835">
        <f t="shared" si="162"/>
        <v>0</v>
      </c>
      <c r="R284" s="836">
        <f t="shared" si="162"/>
        <v>0</v>
      </c>
      <c r="S284" s="834">
        <f t="shared" si="162"/>
        <v>0</v>
      </c>
      <c r="T284" s="213"/>
      <c r="U284" s="816">
        <v>5235</v>
      </c>
      <c r="V284" s="816">
        <v>3939</v>
      </c>
      <c r="W284" s="816">
        <v>1105</v>
      </c>
      <c r="X284" s="816"/>
      <c r="Y284" s="816"/>
      <c r="Z284" s="816">
        <v>347</v>
      </c>
      <c r="AA284" s="805">
        <v>10626</v>
      </c>
      <c r="AB284" s="805">
        <v>142</v>
      </c>
      <c r="AC284" s="816">
        <v>1525</v>
      </c>
      <c r="AD284" s="816">
        <v>670</v>
      </c>
      <c r="AE284" s="816">
        <v>1005</v>
      </c>
      <c r="AF284" s="816"/>
      <c r="AG284" s="805">
        <v>3701</v>
      </c>
      <c r="AH284" s="805"/>
      <c r="AI284" s="816"/>
      <c r="AJ284" s="817"/>
      <c r="AK284" s="805"/>
      <c r="AL284" s="209"/>
      <c r="AM284" s="209"/>
    </row>
    <row r="285" spans="1:39" s="80" customFormat="1">
      <c r="A285" s="240" t="s">
        <v>164</v>
      </c>
      <c r="B285" s="240" t="s">
        <v>53</v>
      </c>
      <c r="C285" s="829">
        <f>IF(U290&gt;0,(U285/U290),0)</f>
        <v>0</v>
      </c>
      <c r="D285" s="830">
        <f t="shared" ref="D285:S285" si="163">IF(V290&gt;0,(V285/V290),0)</f>
        <v>0.23548387096774193</v>
      </c>
      <c r="E285" s="830">
        <f t="shared" si="163"/>
        <v>0.31171548117154813</v>
      </c>
      <c r="F285" s="830">
        <f t="shared" si="163"/>
        <v>0</v>
      </c>
      <c r="G285" s="830">
        <f t="shared" si="163"/>
        <v>0.1853035143769968</v>
      </c>
      <c r="H285" s="830">
        <f t="shared" si="163"/>
        <v>0</v>
      </c>
      <c r="I285" s="829">
        <f t="shared" si="163"/>
        <v>0.25431425976385102</v>
      </c>
      <c r="J285" s="829">
        <f t="shared" si="163"/>
        <v>0</v>
      </c>
      <c r="K285" s="830">
        <f t="shared" si="163"/>
        <v>0</v>
      </c>
      <c r="L285" s="830">
        <f t="shared" si="163"/>
        <v>0</v>
      </c>
      <c r="M285" s="830">
        <f t="shared" si="163"/>
        <v>0</v>
      </c>
      <c r="N285" s="830">
        <f t="shared" si="163"/>
        <v>0</v>
      </c>
      <c r="O285" s="829">
        <f t="shared" si="163"/>
        <v>0</v>
      </c>
      <c r="P285" s="829">
        <f t="shared" si="163"/>
        <v>0</v>
      </c>
      <c r="Q285" s="830">
        <f t="shared" si="163"/>
        <v>0</v>
      </c>
      <c r="R285" s="831">
        <f t="shared" si="163"/>
        <v>0</v>
      </c>
      <c r="S285" s="829">
        <f t="shared" si="163"/>
        <v>0</v>
      </c>
      <c r="T285" s="213"/>
      <c r="U285" s="349"/>
      <c r="V285" s="349">
        <v>73</v>
      </c>
      <c r="W285" s="349">
        <v>149</v>
      </c>
      <c r="X285" s="349"/>
      <c r="Y285" s="349">
        <v>58</v>
      </c>
      <c r="Z285" s="349"/>
      <c r="AA285" s="803">
        <v>280</v>
      </c>
      <c r="AB285" s="803"/>
      <c r="AC285" s="349"/>
      <c r="AD285" s="349"/>
      <c r="AE285" s="349"/>
      <c r="AF285" s="349"/>
      <c r="AG285" s="803"/>
      <c r="AH285" s="803"/>
      <c r="AI285" s="349"/>
      <c r="AJ285" s="812"/>
      <c r="AK285" s="803"/>
      <c r="AL285" s="209"/>
      <c r="AM285" s="209"/>
    </row>
    <row r="286" spans="1:39" s="80" customFormat="1">
      <c r="A286" s="239"/>
      <c r="B286" s="239" t="s">
        <v>93</v>
      </c>
      <c r="C286" s="832">
        <f>IF(U290&gt;0,(U286/U290),0)</f>
        <v>0</v>
      </c>
      <c r="D286" s="830">
        <f t="shared" ref="D286:S286" si="164">IF(V290&gt;0,(V286/V290),0)</f>
        <v>0.25161290322580643</v>
      </c>
      <c r="E286" s="830">
        <f t="shared" si="164"/>
        <v>0.18828451882845187</v>
      </c>
      <c r="F286" s="830">
        <f t="shared" si="164"/>
        <v>0</v>
      </c>
      <c r="G286" s="830">
        <f t="shared" si="164"/>
        <v>0.30351437699680511</v>
      </c>
      <c r="H286" s="830">
        <f t="shared" si="164"/>
        <v>0</v>
      </c>
      <c r="I286" s="832">
        <f t="shared" si="164"/>
        <v>0.23887375113533152</v>
      </c>
      <c r="J286" s="832">
        <f t="shared" si="164"/>
        <v>0</v>
      </c>
      <c r="K286" s="830">
        <f t="shared" si="164"/>
        <v>0</v>
      </c>
      <c r="L286" s="830">
        <f t="shared" si="164"/>
        <v>0</v>
      </c>
      <c r="M286" s="830">
        <f t="shared" si="164"/>
        <v>0</v>
      </c>
      <c r="N286" s="830">
        <f t="shared" si="164"/>
        <v>0</v>
      </c>
      <c r="O286" s="832">
        <f t="shared" si="164"/>
        <v>0</v>
      </c>
      <c r="P286" s="832">
        <f t="shared" si="164"/>
        <v>0</v>
      </c>
      <c r="Q286" s="830">
        <f t="shared" si="164"/>
        <v>0</v>
      </c>
      <c r="R286" s="833">
        <f t="shared" si="164"/>
        <v>0</v>
      </c>
      <c r="S286" s="832">
        <f t="shared" si="164"/>
        <v>0</v>
      </c>
      <c r="T286" s="213"/>
      <c r="U286" s="349"/>
      <c r="V286" s="349">
        <v>78</v>
      </c>
      <c r="W286" s="349">
        <v>90</v>
      </c>
      <c r="X286" s="349"/>
      <c r="Y286" s="349">
        <v>95</v>
      </c>
      <c r="Z286" s="349"/>
      <c r="AA286" s="804">
        <v>263</v>
      </c>
      <c r="AB286" s="804"/>
      <c r="AC286" s="349"/>
      <c r="AD286" s="349"/>
      <c r="AE286" s="349"/>
      <c r="AF286" s="349"/>
      <c r="AG286" s="804"/>
      <c r="AH286" s="804"/>
      <c r="AI286" s="349"/>
      <c r="AJ286" s="813"/>
      <c r="AK286" s="804"/>
      <c r="AL286" s="209"/>
      <c r="AM286" s="209"/>
    </row>
    <row r="287" spans="1:39" s="80" customFormat="1">
      <c r="A287" s="239"/>
      <c r="B287" s="239" t="s">
        <v>55</v>
      </c>
      <c r="C287" s="832">
        <f>IF(U290&gt;0,(U287/U290),0)</f>
        <v>0</v>
      </c>
      <c r="D287" s="830">
        <f t="shared" ref="D287:S287" si="165">IF(V290&gt;0,(V287/V290),0)</f>
        <v>0.32580645161290323</v>
      </c>
      <c r="E287" s="830">
        <f t="shared" si="165"/>
        <v>0.24476987447698745</v>
      </c>
      <c r="F287" s="830">
        <f t="shared" si="165"/>
        <v>0</v>
      </c>
      <c r="G287" s="830">
        <f t="shared" si="165"/>
        <v>0.32907348242811502</v>
      </c>
      <c r="H287" s="830">
        <f t="shared" si="165"/>
        <v>0</v>
      </c>
      <c r="I287" s="832">
        <f t="shared" si="165"/>
        <v>0.29155313351498635</v>
      </c>
      <c r="J287" s="832">
        <f t="shared" si="165"/>
        <v>0</v>
      </c>
      <c r="K287" s="830">
        <f t="shared" si="165"/>
        <v>0</v>
      </c>
      <c r="L287" s="830">
        <f t="shared" si="165"/>
        <v>0</v>
      </c>
      <c r="M287" s="830">
        <f t="shared" si="165"/>
        <v>0</v>
      </c>
      <c r="N287" s="830">
        <f t="shared" si="165"/>
        <v>0</v>
      </c>
      <c r="O287" s="832">
        <f t="shared" si="165"/>
        <v>0</v>
      </c>
      <c r="P287" s="832">
        <f t="shared" si="165"/>
        <v>0</v>
      </c>
      <c r="Q287" s="830">
        <f t="shared" si="165"/>
        <v>0</v>
      </c>
      <c r="R287" s="833">
        <f t="shared" si="165"/>
        <v>0</v>
      </c>
      <c r="S287" s="832">
        <f t="shared" si="165"/>
        <v>0</v>
      </c>
      <c r="T287" s="213"/>
      <c r="U287" s="349"/>
      <c r="V287" s="349">
        <v>101</v>
      </c>
      <c r="W287" s="349">
        <v>117</v>
      </c>
      <c r="X287" s="349"/>
      <c r="Y287" s="349">
        <v>103</v>
      </c>
      <c r="Z287" s="349"/>
      <c r="AA287" s="804">
        <v>321</v>
      </c>
      <c r="AB287" s="804"/>
      <c r="AC287" s="349"/>
      <c r="AD287" s="349"/>
      <c r="AE287" s="349"/>
      <c r="AF287" s="349"/>
      <c r="AG287" s="804"/>
      <c r="AH287" s="804"/>
      <c r="AI287" s="349"/>
      <c r="AJ287" s="813"/>
      <c r="AK287" s="804"/>
      <c r="AL287" s="209"/>
      <c r="AM287" s="209"/>
    </row>
    <row r="288" spans="1:39" s="80" customFormat="1">
      <c r="A288" s="239"/>
      <c r="B288" s="239" t="s">
        <v>78</v>
      </c>
      <c r="C288" s="832">
        <f>IF(U290&gt;0,(U288/U290),0)</f>
        <v>0</v>
      </c>
      <c r="D288" s="830">
        <f t="shared" ref="D288:S288" si="166">IF(V290&gt;0,(V288/V290),0)</f>
        <v>0.17419354838709677</v>
      </c>
      <c r="E288" s="830">
        <f t="shared" si="166"/>
        <v>0.2384937238493724</v>
      </c>
      <c r="F288" s="830">
        <f t="shared" si="166"/>
        <v>0</v>
      </c>
      <c r="G288" s="830">
        <f t="shared" si="166"/>
        <v>0.18210862619808307</v>
      </c>
      <c r="H288" s="830">
        <f t="shared" si="166"/>
        <v>0</v>
      </c>
      <c r="I288" s="832">
        <f t="shared" si="166"/>
        <v>0.20435967302452315</v>
      </c>
      <c r="J288" s="832">
        <f t="shared" si="166"/>
        <v>0</v>
      </c>
      <c r="K288" s="830">
        <f t="shared" si="166"/>
        <v>0</v>
      </c>
      <c r="L288" s="830">
        <f t="shared" si="166"/>
        <v>1</v>
      </c>
      <c r="M288" s="830">
        <f t="shared" si="166"/>
        <v>0.73575129533678751</v>
      </c>
      <c r="N288" s="830">
        <f t="shared" si="166"/>
        <v>0</v>
      </c>
      <c r="O288" s="832">
        <f t="shared" si="166"/>
        <v>0.84615384615384615</v>
      </c>
      <c r="P288" s="832">
        <f t="shared" si="166"/>
        <v>0</v>
      </c>
      <c r="Q288" s="830">
        <f t="shared" si="166"/>
        <v>0</v>
      </c>
      <c r="R288" s="833">
        <f t="shared" si="166"/>
        <v>0</v>
      </c>
      <c r="S288" s="832">
        <f t="shared" si="166"/>
        <v>0</v>
      </c>
      <c r="T288" s="213"/>
      <c r="U288" s="349"/>
      <c r="V288" s="349">
        <v>54</v>
      </c>
      <c r="W288" s="349">
        <v>114</v>
      </c>
      <c r="X288" s="349"/>
      <c r="Y288" s="349">
        <v>57</v>
      </c>
      <c r="Z288" s="349"/>
      <c r="AA288" s="804">
        <v>225</v>
      </c>
      <c r="AB288" s="804"/>
      <c r="AC288" s="349"/>
      <c r="AD288" s="349">
        <v>76</v>
      </c>
      <c r="AE288" s="349">
        <v>142</v>
      </c>
      <c r="AF288" s="349"/>
      <c r="AG288" s="804">
        <v>275</v>
      </c>
      <c r="AH288" s="804"/>
      <c r="AI288" s="349"/>
      <c r="AJ288" s="813"/>
      <c r="AK288" s="804"/>
      <c r="AL288" s="209"/>
      <c r="AM288" s="209"/>
    </row>
    <row r="289" spans="1:39" s="80" customFormat="1">
      <c r="A289" s="580"/>
      <c r="B289" s="580" t="s">
        <v>131</v>
      </c>
      <c r="C289" s="832">
        <f>IF(U290&gt;0,(U289/U290),0)</f>
        <v>0</v>
      </c>
      <c r="D289" s="830">
        <f t="shared" ref="D289:S289" si="167">IF(V290&gt;0,(V289/V290),0)</f>
        <v>1.2903225806451613E-2</v>
      </c>
      <c r="E289" s="830">
        <f t="shared" si="167"/>
        <v>1.6736401673640166E-2</v>
      </c>
      <c r="F289" s="830">
        <f t="shared" si="167"/>
        <v>0</v>
      </c>
      <c r="G289" s="830">
        <f t="shared" si="167"/>
        <v>0</v>
      </c>
      <c r="H289" s="830">
        <f t="shared" si="167"/>
        <v>0</v>
      </c>
      <c r="I289" s="832">
        <f t="shared" si="167"/>
        <v>1.0899182561307902E-2</v>
      </c>
      <c r="J289" s="832">
        <f t="shared" si="167"/>
        <v>0</v>
      </c>
      <c r="K289" s="830">
        <f t="shared" si="167"/>
        <v>0</v>
      </c>
      <c r="L289" s="830">
        <f t="shared" si="167"/>
        <v>0</v>
      </c>
      <c r="M289" s="830">
        <f t="shared" si="167"/>
        <v>0.26424870466321243</v>
      </c>
      <c r="N289" s="830">
        <f t="shared" si="167"/>
        <v>0</v>
      </c>
      <c r="O289" s="832">
        <f t="shared" si="167"/>
        <v>0.15384615384615385</v>
      </c>
      <c r="P289" s="832">
        <f t="shared" si="167"/>
        <v>0</v>
      </c>
      <c r="Q289" s="830">
        <f t="shared" si="167"/>
        <v>0</v>
      </c>
      <c r="R289" s="833">
        <f t="shared" si="167"/>
        <v>0</v>
      </c>
      <c r="S289" s="832">
        <f t="shared" si="167"/>
        <v>0</v>
      </c>
      <c r="T289" s="213"/>
      <c r="U289" s="349"/>
      <c r="V289" s="349">
        <v>4</v>
      </c>
      <c r="W289" s="349">
        <v>8</v>
      </c>
      <c r="X289" s="349"/>
      <c r="Y289" s="349"/>
      <c r="Z289" s="349"/>
      <c r="AA289" s="804">
        <v>12</v>
      </c>
      <c r="AB289" s="804"/>
      <c r="AC289" s="349"/>
      <c r="AD289" s="349"/>
      <c r="AE289" s="349">
        <v>51</v>
      </c>
      <c r="AF289" s="349"/>
      <c r="AG289" s="804">
        <v>50</v>
      </c>
      <c r="AH289" s="804"/>
      <c r="AI289" s="349"/>
      <c r="AJ289" s="813"/>
      <c r="AK289" s="804"/>
      <c r="AL289" s="209"/>
      <c r="AM289" s="209"/>
    </row>
    <row r="290" spans="1:39" s="80" customFormat="1">
      <c r="A290" s="436"/>
      <c r="B290" s="436" t="s">
        <v>59</v>
      </c>
      <c r="C290" s="834">
        <f>IF(U290&gt;0,(U290/U290),0)</f>
        <v>0</v>
      </c>
      <c r="D290" s="835">
        <f t="shared" ref="D290:S290" si="168">IF(V290&gt;0,(V290/V290),0)</f>
        <v>1</v>
      </c>
      <c r="E290" s="835">
        <f t="shared" si="168"/>
        <v>1</v>
      </c>
      <c r="F290" s="835">
        <f t="shared" si="168"/>
        <v>0</v>
      </c>
      <c r="G290" s="835">
        <f t="shared" si="168"/>
        <v>1</v>
      </c>
      <c r="H290" s="835">
        <f t="shared" si="168"/>
        <v>0</v>
      </c>
      <c r="I290" s="834">
        <f t="shared" si="168"/>
        <v>1</v>
      </c>
      <c r="J290" s="834">
        <f t="shared" si="168"/>
        <v>0</v>
      </c>
      <c r="K290" s="835">
        <f t="shared" si="168"/>
        <v>0</v>
      </c>
      <c r="L290" s="835">
        <f t="shared" si="168"/>
        <v>1</v>
      </c>
      <c r="M290" s="835">
        <f t="shared" si="168"/>
        <v>1</v>
      </c>
      <c r="N290" s="835">
        <f t="shared" si="168"/>
        <v>0</v>
      </c>
      <c r="O290" s="834">
        <f t="shared" si="168"/>
        <v>1</v>
      </c>
      <c r="P290" s="834">
        <f t="shared" si="168"/>
        <v>0</v>
      </c>
      <c r="Q290" s="835">
        <f t="shared" si="168"/>
        <v>0</v>
      </c>
      <c r="R290" s="836">
        <f t="shared" si="168"/>
        <v>0</v>
      </c>
      <c r="S290" s="834">
        <f t="shared" si="168"/>
        <v>0</v>
      </c>
      <c r="T290" s="213"/>
      <c r="U290" s="816"/>
      <c r="V290" s="816">
        <v>310</v>
      </c>
      <c r="W290" s="816">
        <v>478</v>
      </c>
      <c r="X290" s="816"/>
      <c r="Y290" s="816">
        <v>313</v>
      </c>
      <c r="Z290" s="816"/>
      <c r="AA290" s="805">
        <v>1101</v>
      </c>
      <c r="AB290" s="805"/>
      <c r="AC290" s="816"/>
      <c r="AD290" s="816">
        <v>76</v>
      </c>
      <c r="AE290" s="816">
        <v>193</v>
      </c>
      <c r="AF290" s="816"/>
      <c r="AG290" s="805">
        <v>325</v>
      </c>
      <c r="AH290" s="805"/>
      <c r="AI290" s="816"/>
      <c r="AJ290" s="817"/>
      <c r="AK290" s="805"/>
      <c r="AL290" s="209"/>
      <c r="AM290" s="209"/>
    </row>
    <row r="291" spans="1:39" s="80" customFormat="1">
      <c r="A291" s="240" t="s">
        <v>168</v>
      </c>
      <c r="B291" s="240" t="s">
        <v>53</v>
      </c>
      <c r="C291" s="829">
        <f>IF(U296&gt;0,(U291/U296),0)</f>
        <v>0.40593315809237701</v>
      </c>
      <c r="D291" s="830">
        <f t="shared" ref="D291:S291" si="169">IF(V296&gt;0,(V291/V296),0)</f>
        <v>0</v>
      </c>
      <c r="E291" s="830">
        <f t="shared" si="169"/>
        <v>0</v>
      </c>
      <c r="F291" s="830">
        <f t="shared" si="169"/>
        <v>0.27063862928348908</v>
      </c>
      <c r="G291" s="830">
        <f t="shared" si="169"/>
        <v>0.32496513249651326</v>
      </c>
      <c r="H291" s="830">
        <f t="shared" si="169"/>
        <v>0</v>
      </c>
      <c r="I291" s="829">
        <f t="shared" si="169"/>
        <v>0.33776059179556156</v>
      </c>
      <c r="J291" s="829">
        <f t="shared" si="169"/>
        <v>0</v>
      </c>
      <c r="K291" s="830">
        <f t="shared" si="169"/>
        <v>4.6988749172733289E-2</v>
      </c>
      <c r="L291" s="830">
        <f t="shared" si="169"/>
        <v>0</v>
      </c>
      <c r="M291" s="830">
        <f t="shared" si="169"/>
        <v>0</v>
      </c>
      <c r="N291" s="830">
        <f t="shared" si="169"/>
        <v>0</v>
      </c>
      <c r="O291" s="829">
        <f t="shared" si="169"/>
        <v>1.6456390565002744E-2</v>
      </c>
      <c r="P291" s="829">
        <f t="shared" si="169"/>
        <v>0</v>
      </c>
      <c r="Q291" s="830">
        <f t="shared" si="169"/>
        <v>0</v>
      </c>
      <c r="R291" s="831">
        <f t="shared" si="169"/>
        <v>0</v>
      </c>
      <c r="S291" s="829">
        <f t="shared" si="169"/>
        <v>0</v>
      </c>
      <c r="T291" s="213"/>
      <c r="U291" s="349">
        <v>1081</v>
      </c>
      <c r="V291" s="349"/>
      <c r="W291" s="349"/>
      <c r="X291" s="349">
        <v>695</v>
      </c>
      <c r="Y291" s="349">
        <v>233</v>
      </c>
      <c r="Z291" s="349"/>
      <c r="AA291" s="803">
        <v>2009</v>
      </c>
      <c r="AB291" s="803"/>
      <c r="AC291" s="349">
        <v>71</v>
      </c>
      <c r="AD291" s="349"/>
      <c r="AE291" s="349"/>
      <c r="AF291" s="349"/>
      <c r="AG291" s="803">
        <v>60</v>
      </c>
      <c r="AH291" s="803"/>
      <c r="AI291" s="349"/>
      <c r="AJ291" s="812"/>
      <c r="AK291" s="803"/>
      <c r="AL291" s="209"/>
      <c r="AM291" s="209"/>
    </row>
    <row r="292" spans="1:39" s="80" customFormat="1">
      <c r="A292" s="239"/>
      <c r="B292" s="239" t="s">
        <v>93</v>
      </c>
      <c r="C292" s="832">
        <f>IF(U296&gt;0,(U292/U296),0)</f>
        <v>0.24333458505444988</v>
      </c>
      <c r="D292" s="830">
        <f t="shared" ref="D292:S292" si="170">IF(V296&gt;0,(V292/V296),0)</f>
        <v>0</v>
      </c>
      <c r="E292" s="830">
        <f t="shared" si="170"/>
        <v>0</v>
      </c>
      <c r="F292" s="830">
        <f t="shared" si="170"/>
        <v>0.25623052959501558</v>
      </c>
      <c r="G292" s="830">
        <f t="shared" si="170"/>
        <v>0.26499302649930268</v>
      </c>
      <c r="H292" s="830">
        <f t="shared" si="170"/>
        <v>0</v>
      </c>
      <c r="I292" s="832">
        <f t="shared" si="170"/>
        <v>0.25151311365164764</v>
      </c>
      <c r="J292" s="832">
        <f t="shared" si="170"/>
        <v>0</v>
      </c>
      <c r="K292" s="830">
        <f t="shared" si="170"/>
        <v>6.6843150231634674E-2</v>
      </c>
      <c r="L292" s="830">
        <f t="shared" si="170"/>
        <v>0</v>
      </c>
      <c r="M292" s="830">
        <f t="shared" si="170"/>
        <v>0</v>
      </c>
      <c r="N292" s="830">
        <f t="shared" si="170"/>
        <v>0</v>
      </c>
      <c r="O292" s="832">
        <f t="shared" si="170"/>
        <v>2.9895776193088315E-2</v>
      </c>
      <c r="P292" s="832">
        <f t="shared" si="170"/>
        <v>0</v>
      </c>
      <c r="Q292" s="830">
        <f t="shared" si="170"/>
        <v>0</v>
      </c>
      <c r="R292" s="833">
        <f t="shared" si="170"/>
        <v>0</v>
      </c>
      <c r="S292" s="832">
        <f t="shared" si="170"/>
        <v>0</v>
      </c>
      <c r="T292" s="213"/>
      <c r="U292" s="349">
        <v>648</v>
      </c>
      <c r="V292" s="349"/>
      <c r="W292" s="349"/>
      <c r="X292" s="349">
        <v>658</v>
      </c>
      <c r="Y292" s="349">
        <v>190</v>
      </c>
      <c r="Z292" s="349"/>
      <c r="AA292" s="804">
        <v>1496</v>
      </c>
      <c r="AB292" s="804"/>
      <c r="AC292" s="349">
        <v>101</v>
      </c>
      <c r="AD292" s="349"/>
      <c r="AE292" s="349"/>
      <c r="AF292" s="349"/>
      <c r="AG292" s="804">
        <v>109</v>
      </c>
      <c r="AH292" s="804"/>
      <c r="AI292" s="349"/>
      <c r="AJ292" s="813"/>
      <c r="AK292" s="804"/>
      <c r="AL292" s="209"/>
      <c r="AM292" s="209"/>
    </row>
    <row r="293" spans="1:39" s="80" customFormat="1">
      <c r="A293" s="239"/>
      <c r="B293" s="239" t="s">
        <v>55</v>
      </c>
      <c r="C293" s="832">
        <f>IF(U296&gt;0,(U293/U296),0)</f>
        <v>0.23695080736012017</v>
      </c>
      <c r="D293" s="830">
        <f t="shared" ref="D293:S293" si="171">IF(V296&gt;0,(V293/V296),0)</f>
        <v>0</v>
      </c>
      <c r="E293" s="830">
        <f t="shared" si="171"/>
        <v>0</v>
      </c>
      <c r="F293" s="830">
        <f t="shared" si="171"/>
        <v>0.26674454828660438</v>
      </c>
      <c r="G293" s="830">
        <f t="shared" si="171"/>
        <v>0.23570432357043236</v>
      </c>
      <c r="H293" s="830">
        <f t="shared" si="171"/>
        <v>0</v>
      </c>
      <c r="I293" s="832">
        <f t="shared" si="171"/>
        <v>0.24966375252185607</v>
      </c>
      <c r="J293" s="832">
        <f t="shared" si="171"/>
        <v>0</v>
      </c>
      <c r="K293" s="830">
        <f t="shared" si="171"/>
        <v>7.9417604235605566E-2</v>
      </c>
      <c r="L293" s="830">
        <f t="shared" si="171"/>
        <v>0</v>
      </c>
      <c r="M293" s="830">
        <f t="shared" si="171"/>
        <v>0</v>
      </c>
      <c r="N293" s="830">
        <f t="shared" si="171"/>
        <v>0</v>
      </c>
      <c r="O293" s="832">
        <f t="shared" si="171"/>
        <v>3.4009873834339004E-2</v>
      </c>
      <c r="P293" s="832">
        <f t="shared" si="171"/>
        <v>0</v>
      </c>
      <c r="Q293" s="830">
        <f t="shared" si="171"/>
        <v>0</v>
      </c>
      <c r="R293" s="833">
        <f t="shared" si="171"/>
        <v>0</v>
      </c>
      <c r="S293" s="832">
        <f t="shared" si="171"/>
        <v>0</v>
      </c>
      <c r="T293" s="213"/>
      <c r="U293" s="349">
        <v>631</v>
      </c>
      <c r="V293" s="349"/>
      <c r="W293" s="349"/>
      <c r="X293" s="349">
        <v>685</v>
      </c>
      <c r="Y293" s="349">
        <v>169</v>
      </c>
      <c r="Z293" s="349"/>
      <c r="AA293" s="804">
        <v>1485</v>
      </c>
      <c r="AB293" s="804"/>
      <c r="AC293" s="349">
        <v>120</v>
      </c>
      <c r="AD293" s="349"/>
      <c r="AE293" s="349"/>
      <c r="AF293" s="349"/>
      <c r="AG293" s="804">
        <v>124</v>
      </c>
      <c r="AH293" s="804"/>
      <c r="AI293" s="349"/>
      <c r="AJ293" s="813"/>
      <c r="AK293" s="804"/>
      <c r="AL293" s="209"/>
      <c r="AM293" s="209"/>
    </row>
    <row r="294" spans="1:39" s="80" customFormat="1">
      <c r="A294" s="239"/>
      <c r="B294" s="239" t="s">
        <v>78</v>
      </c>
      <c r="C294" s="832">
        <f>IF(U296&gt;0,(U294/U296),0)</f>
        <v>1.2392039053698836E-2</v>
      </c>
      <c r="D294" s="830">
        <f t="shared" ref="D294:S294" si="172">IF(V296&gt;0,(V294/V296),0)</f>
        <v>0</v>
      </c>
      <c r="E294" s="830">
        <f t="shared" si="172"/>
        <v>0</v>
      </c>
      <c r="F294" s="830">
        <f t="shared" si="172"/>
        <v>9.7352024922118374E-3</v>
      </c>
      <c r="G294" s="830">
        <f t="shared" si="172"/>
        <v>2.7894002789400278E-3</v>
      </c>
      <c r="H294" s="830">
        <f t="shared" si="172"/>
        <v>0</v>
      </c>
      <c r="I294" s="832">
        <f t="shared" si="172"/>
        <v>1.0087424344317418E-2</v>
      </c>
      <c r="J294" s="832">
        <f t="shared" si="172"/>
        <v>0</v>
      </c>
      <c r="K294" s="830">
        <f t="shared" si="172"/>
        <v>0.65056254136333558</v>
      </c>
      <c r="L294" s="830">
        <f t="shared" si="172"/>
        <v>0.85182849936948302</v>
      </c>
      <c r="M294" s="830">
        <f t="shared" si="172"/>
        <v>0.78241758241758241</v>
      </c>
      <c r="N294" s="830">
        <f t="shared" si="172"/>
        <v>0</v>
      </c>
      <c r="O294" s="832">
        <f t="shared" si="172"/>
        <v>0.7663192539769611</v>
      </c>
      <c r="P294" s="832">
        <f t="shared" si="172"/>
        <v>0</v>
      </c>
      <c r="Q294" s="830">
        <f t="shared" si="172"/>
        <v>0</v>
      </c>
      <c r="R294" s="833">
        <f t="shared" si="172"/>
        <v>0</v>
      </c>
      <c r="S294" s="832">
        <f t="shared" si="172"/>
        <v>0</v>
      </c>
      <c r="T294" s="213"/>
      <c r="U294" s="349">
        <v>33</v>
      </c>
      <c r="V294" s="349"/>
      <c r="W294" s="349"/>
      <c r="X294" s="349">
        <v>25</v>
      </c>
      <c r="Y294" s="349">
        <v>2</v>
      </c>
      <c r="Z294" s="349"/>
      <c r="AA294" s="804">
        <v>60</v>
      </c>
      <c r="AB294" s="804"/>
      <c r="AC294" s="349">
        <v>983</v>
      </c>
      <c r="AD294" s="349">
        <v>1351</v>
      </c>
      <c r="AE294" s="349">
        <v>356</v>
      </c>
      <c r="AF294" s="349"/>
      <c r="AG294" s="804">
        <v>2794</v>
      </c>
      <c r="AH294" s="804"/>
      <c r="AI294" s="349"/>
      <c r="AJ294" s="813"/>
      <c r="AK294" s="804"/>
      <c r="AL294" s="209"/>
      <c r="AM294" s="209"/>
    </row>
    <row r="295" spans="1:39" s="80" customFormat="1">
      <c r="A295" s="580"/>
      <c r="B295" s="580" t="s">
        <v>131</v>
      </c>
      <c r="C295" s="832">
        <f>IF(U296&gt;0,(U295/U296),0)</f>
        <v>0.10138941043935411</v>
      </c>
      <c r="D295" s="830">
        <f t="shared" ref="D295:S295" si="173">IF(V296&gt;0,(V295/V296),0)</f>
        <v>0</v>
      </c>
      <c r="E295" s="830">
        <f t="shared" si="173"/>
        <v>0</v>
      </c>
      <c r="F295" s="830">
        <f t="shared" si="173"/>
        <v>0.19665109034267914</v>
      </c>
      <c r="G295" s="830">
        <f t="shared" si="173"/>
        <v>0.17154811715481172</v>
      </c>
      <c r="H295" s="830">
        <f t="shared" si="173"/>
        <v>0</v>
      </c>
      <c r="I295" s="832">
        <f t="shared" si="173"/>
        <v>0.15097511768661734</v>
      </c>
      <c r="J295" s="832">
        <f t="shared" si="173"/>
        <v>0</v>
      </c>
      <c r="K295" s="830">
        <f t="shared" si="173"/>
        <v>0.15618795499669094</v>
      </c>
      <c r="L295" s="830">
        <f t="shared" si="173"/>
        <v>0.14817150063051701</v>
      </c>
      <c r="M295" s="830">
        <f t="shared" si="173"/>
        <v>0.21758241758241759</v>
      </c>
      <c r="N295" s="830">
        <f t="shared" si="173"/>
        <v>0</v>
      </c>
      <c r="O295" s="832">
        <f t="shared" si="173"/>
        <v>0.15331870543060888</v>
      </c>
      <c r="P295" s="832">
        <f t="shared" si="173"/>
        <v>0</v>
      </c>
      <c r="Q295" s="830">
        <f t="shared" si="173"/>
        <v>0</v>
      </c>
      <c r="R295" s="833">
        <f t="shared" si="173"/>
        <v>0</v>
      </c>
      <c r="S295" s="832">
        <f t="shared" si="173"/>
        <v>0</v>
      </c>
      <c r="T295" s="213"/>
      <c r="U295" s="349">
        <v>270</v>
      </c>
      <c r="V295" s="349"/>
      <c r="W295" s="349"/>
      <c r="X295" s="349">
        <v>505</v>
      </c>
      <c r="Y295" s="349">
        <v>123</v>
      </c>
      <c r="Z295" s="349"/>
      <c r="AA295" s="804">
        <v>898</v>
      </c>
      <c r="AB295" s="804"/>
      <c r="AC295" s="349">
        <v>236</v>
      </c>
      <c r="AD295" s="349">
        <v>235</v>
      </c>
      <c r="AE295" s="349">
        <v>99</v>
      </c>
      <c r="AF295" s="349"/>
      <c r="AG295" s="804">
        <v>559</v>
      </c>
      <c r="AH295" s="804"/>
      <c r="AI295" s="349"/>
      <c r="AJ295" s="813"/>
      <c r="AK295" s="804"/>
      <c r="AL295" s="209"/>
      <c r="AM295" s="209"/>
    </row>
    <row r="296" spans="1:39" s="80" customFormat="1">
      <c r="A296" s="436"/>
      <c r="B296" s="436" t="s">
        <v>59</v>
      </c>
      <c r="C296" s="834">
        <f>IF(U296&gt;0,(U296/U296),0)</f>
        <v>1</v>
      </c>
      <c r="D296" s="835">
        <f t="shared" ref="D296:S296" si="174">IF(V296&gt;0,(V296/V296),0)</f>
        <v>0</v>
      </c>
      <c r="E296" s="835">
        <f t="shared" si="174"/>
        <v>0</v>
      </c>
      <c r="F296" s="835">
        <f t="shared" si="174"/>
        <v>1</v>
      </c>
      <c r="G296" s="835">
        <f t="shared" si="174"/>
        <v>1</v>
      </c>
      <c r="H296" s="835">
        <f t="shared" si="174"/>
        <v>0</v>
      </c>
      <c r="I296" s="834">
        <f t="shared" si="174"/>
        <v>1</v>
      </c>
      <c r="J296" s="834">
        <f t="shared" si="174"/>
        <v>0</v>
      </c>
      <c r="K296" s="835">
        <f t="shared" si="174"/>
        <v>1</v>
      </c>
      <c r="L296" s="835">
        <f t="shared" si="174"/>
        <v>1</v>
      </c>
      <c r="M296" s="835">
        <f t="shared" si="174"/>
        <v>1</v>
      </c>
      <c r="N296" s="835">
        <f t="shared" si="174"/>
        <v>0</v>
      </c>
      <c r="O296" s="834">
        <f t="shared" si="174"/>
        <v>1</v>
      </c>
      <c r="P296" s="834">
        <f t="shared" si="174"/>
        <v>0</v>
      </c>
      <c r="Q296" s="835">
        <f t="shared" si="174"/>
        <v>0</v>
      </c>
      <c r="R296" s="836">
        <f t="shared" si="174"/>
        <v>0</v>
      </c>
      <c r="S296" s="834">
        <f t="shared" si="174"/>
        <v>0</v>
      </c>
      <c r="T296" s="213"/>
      <c r="U296" s="816">
        <v>2663</v>
      </c>
      <c r="V296" s="816"/>
      <c r="W296" s="816"/>
      <c r="X296" s="816">
        <v>2568</v>
      </c>
      <c r="Y296" s="816">
        <v>717</v>
      </c>
      <c r="Z296" s="816"/>
      <c r="AA296" s="805">
        <v>5948</v>
      </c>
      <c r="AB296" s="805"/>
      <c r="AC296" s="816">
        <v>1511</v>
      </c>
      <c r="AD296" s="816">
        <v>1586</v>
      </c>
      <c r="AE296" s="816">
        <v>455</v>
      </c>
      <c r="AF296" s="816"/>
      <c r="AG296" s="805">
        <v>3646</v>
      </c>
      <c r="AH296" s="805"/>
      <c r="AI296" s="816"/>
      <c r="AJ296" s="817"/>
      <c r="AK296" s="805"/>
      <c r="AL296" s="209"/>
      <c r="AM296" s="209"/>
    </row>
    <row r="297" spans="1:39" s="80" customFormat="1">
      <c r="A297" s="240" t="s">
        <v>173</v>
      </c>
      <c r="B297" s="240" t="s">
        <v>53</v>
      </c>
      <c r="C297" s="829">
        <f>IF(U302&gt;0,(U297/U302),0)</f>
        <v>0.33730064270411808</v>
      </c>
      <c r="D297" s="830">
        <f t="shared" ref="D297:S297" si="175">IF(V302&gt;0,(V297/V302),0)</f>
        <v>0.35730522835296546</v>
      </c>
      <c r="E297" s="830">
        <f t="shared" si="175"/>
        <v>0.31689297124600641</v>
      </c>
      <c r="F297" s="830">
        <f t="shared" si="175"/>
        <v>0.30913877397517864</v>
      </c>
      <c r="G297" s="830">
        <f t="shared" si="175"/>
        <v>0.28033946251768033</v>
      </c>
      <c r="H297" s="830">
        <f t="shared" si="175"/>
        <v>0.17474566128067026</v>
      </c>
      <c r="I297" s="829">
        <f t="shared" si="175"/>
        <v>0.31203187652888809</v>
      </c>
      <c r="J297" s="829">
        <f t="shared" si="175"/>
        <v>0</v>
      </c>
      <c r="K297" s="830">
        <f t="shared" si="175"/>
        <v>0.32435530085959885</v>
      </c>
      <c r="L297" s="830">
        <f t="shared" si="175"/>
        <v>0.39151776948753192</v>
      </c>
      <c r="M297" s="830">
        <f t="shared" si="175"/>
        <v>0.31261595547309834</v>
      </c>
      <c r="N297" s="830">
        <f t="shared" si="175"/>
        <v>0.31838565022421522</v>
      </c>
      <c r="O297" s="829">
        <f t="shared" si="175"/>
        <v>0.33454597332192026</v>
      </c>
      <c r="P297" s="829">
        <f t="shared" si="175"/>
        <v>0</v>
      </c>
      <c r="Q297" s="830">
        <f t="shared" si="175"/>
        <v>0</v>
      </c>
      <c r="R297" s="831">
        <f t="shared" si="175"/>
        <v>0</v>
      </c>
      <c r="S297" s="829">
        <f t="shared" si="175"/>
        <v>0</v>
      </c>
      <c r="T297" s="213"/>
      <c r="U297" s="796">
        <f>U303+U309+U315+U321+U327+U333+U339+U345+U351</f>
        <v>4251</v>
      </c>
      <c r="V297" s="796">
        <f t="shared" ref="V297:AK302" si="176">V303+V309+V315+V321+V327+V333+V339+V345+V351</f>
        <v>1729</v>
      </c>
      <c r="W297" s="796">
        <f t="shared" si="176"/>
        <v>3174</v>
      </c>
      <c r="X297" s="796">
        <f t="shared" si="176"/>
        <v>1644</v>
      </c>
      <c r="Y297" s="796">
        <f t="shared" si="176"/>
        <v>991</v>
      </c>
      <c r="Z297" s="796">
        <f t="shared" si="176"/>
        <v>584</v>
      </c>
      <c r="AA297" s="801">
        <f t="shared" si="176"/>
        <v>12373</v>
      </c>
      <c r="AB297" s="801">
        <f t="shared" si="176"/>
        <v>0</v>
      </c>
      <c r="AC297" s="796">
        <f t="shared" si="176"/>
        <v>2264</v>
      </c>
      <c r="AD297" s="796">
        <f t="shared" si="176"/>
        <v>1994</v>
      </c>
      <c r="AE297" s="796">
        <f t="shared" si="176"/>
        <v>337</v>
      </c>
      <c r="AF297" s="796">
        <f t="shared" si="176"/>
        <v>71</v>
      </c>
      <c r="AG297" s="801">
        <f t="shared" si="176"/>
        <v>4690</v>
      </c>
      <c r="AH297" s="801">
        <f t="shared" si="176"/>
        <v>0</v>
      </c>
      <c r="AI297" s="796">
        <f t="shared" si="176"/>
        <v>0</v>
      </c>
      <c r="AJ297" s="818">
        <f t="shared" si="176"/>
        <v>0</v>
      </c>
      <c r="AK297" s="801">
        <f t="shared" si="176"/>
        <v>0</v>
      </c>
      <c r="AL297" s="209"/>
      <c r="AM297" s="209"/>
    </row>
    <row r="298" spans="1:39" s="80" customFormat="1">
      <c r="A298" s="239"/>
      <c r="B298" s="239" t="s">
        <v>93</v>
      </c>
      <c r="C298" s="832">
        <f>IF(U302&gt;0,(U298/U302),0)</f>
        <v>0.26715861302864397</v>
      </c>
      <c r="D298" s="830">
        <f t="shared" ref="D298:S298" si="177">IF(V302&gt;0,(V298/V302),0)</f>
        <v>0.28476958049183715</v>
      </c>
      <c r="E298" s="830">
        <f t="shared" si="177"/>
        <v>0.28963658146964855</v>
      </c>
      <c r="F298" s="830">
        <f t="shared" si="177"/>
        <v>0.30349755547198193</v>
      </c>
      <c r="G298" s="830">
        <f t="shared" si="177"/>
        <v>0.29618104667609618</v>
      </c>
      <c r="H298" s="830">
        <f t="shared" si="177"/>
        <v>0.27348892878515857</v>
      </c>
      <c r="I298" s="832">
        <f t="shared" si="177"/>
        <v>0.28297985020048927</v>
      </c>
      <c r="J298" s="832">
        <f t="shared" si="177"/>
        <v>0</v>
      </c>
      <c r="K298" s="830">
        <f t="shared" si="177"/>
        <v>0.20386819484240687</v>
      </c>
      <c r="L298" s="830">
        <f t="shared" si="177"/>
        <v>0.18515609660318083</v>
      </c>
      <c r="M298" s="830">
        <f t="shared" si="177"/>
        <v>0.15306122448979592</v>
      </c>
      <c r="N298" s="830">
        <f t="shared" si="177"/>
        <v>0.22421524663677131</v>
      </c>
      <c r="O298" s="832">
        <f t="shared" si="177"/>
        <v>0.19987160282473784</v>
      </c>
      <c r="P298" s="832">
        <f t="shared" si="177"/>
        <v>0</v>
      </c>
      <c r="Q298" s="830">
        <f t="shared" si="177"/>
        <v>0</v>
      </c>
      <c r="R298" s="833">
        <f t="shared" si="177"/>
        <v>0</v>
      </c>
      <c r="S298" s="832">
        <f t="shared" si="177"/>
        <v>0</v>
      </c>
      <c r="T298" s="213"/>
      <c r="U298" s="796">
        <f t="shared" ref="U298:AJ302" si="178">U304+U310+U316+U322+U328+U334+U340+U346+U352</f>
        <v>3367</v>
      </c>
      <c r="V298" s="796">
        <f t="shared" si="178"/>
        <v>1378</v>
      </c>
      <c r="W298" s="796">
        <f t="shared" si="178"/>
        <v>2901</v>
      </c>
      <c r="X298" s="796">
        <f t="shared" si="178"/>
        <v>1614</v>
      </c>
      <c r="Y298" s="796">
        <f t="shared" si="178"/>
        <v>1047</v>
      </c>
      <c r="Z298" s="796">
        <f t="shared" si="178"/>
        <v>914</v>
      </c>
      <c r="AA298" s="802">
        <f t="shared" si="178"/>
        <v>11221</v>
      </c>
      <c r="AB298" s="802">
        <f t="shared" si="178"/>
        <v>0</v>
      </c>
      <c r="AC298" s="796">
        <f t="shared" si="178"/>
        <v>1423</v>
      </c>
      <c r="AD298" s="796">
        <f t="shared" si="178"/>
        <v>943</v>
      </c>
      <c r="AE298" s="796">
        <f t="shared" si="178"/>
        <v>165</v>
      </c>
      <c r="AF298" s="796">
        <f t="shared" si="178"/>
        <v>50</v>
      </c>
      <c r="AG298" s="802">
        <f t="shared" si="178"/>
        <v>2802</v>
      </c>
      <c r="AH298" s="802">
        <f t="shared" si="178"/>
        <v>0</v>
      </c>
      <c r="AI298" s="796">
        <f t="shared" si="178"/>
        <v>0</v>
      </c>
      <c r="AJ298" s="819">
        <f t="shared" si="178"/>
        <v>0</v>
      </c>
      <c r="AK298" s="802">
        <f t="shared" si="176"/>
        <v>0</v>
      </c>
      <c r="AL298" s="209"/>
      <c r="AM298" s="209"/>
    </row>
    <row r="299" spans="1:39" s="80" customFormat="1">
      <c r="A299" s="239"/>
      <c r="B299" s="239" t="s">
        <v>55</v>
      </c>
      <c r="C299" s="832">
        <f>IF(U302&gt;0,(U299/U302),0)</f>
        <v>0.2597000714115687</v>
      </c>
      <c r="D299" s="830">
        <f t="shared" ref="D299:S299" si="179">IF(V302&gt;0,(V299/V302),0)</f>
        <v>0.22607976854722051</v>
      </c>
      <c r="E299" s="830">
        <f t="shared" si="179"/>
        <v>0.30630990415335463</v>
      </c>
      <c r="F299" s="830">
        <f t="shared" si="179"/>
        <v>0.31365174877773599</v>
      </c>
      <c r="G299" s="830">
        <f t="shared" si="179"/>
        <v>0.31173974540311172</v>
      </c>
      <c r="H299" s="830">
        <f t="shared" si="179"/>
        <v>0.33632555356074206</v>
      </c>
      <c r="I299" s="832">
        <f t="shared" si="179"/>
        <v>0.28570347766877663</v>
      </c>
      <c r="J299" s="832">
        <f t="shared" si="179"/>
        <v>0</v>
      </c>
      <c r="K299" s="830">
        <f t="shared" si="179"/>
        <v>0.30515759312320917</v>
      </c>
      <c r="L299" s="830">
        <f t="shared" si="179"/>
        <v>0.24464951894757511</v>
      </c>
      <c r="M299" s="830">
        <f t="shared" si="179"/>
        <v>0.18181818181818182</v>
      </c>
      <c r="N299" s="830">
        <f t="shared" si="179"/>
        <v>0.16143497757847533</v>
      </c>
      <c r="O299" s="832">
        <f t="shared" si="179"/>
        <v>0.27419930094871248</v>
      </c>
      <c r="P299" s="832">
        <f t="shared" si="179"/>
        <v>0</v>
      </c>
      <c r="Q299" s="830">
        <f t="shared" si="179"/>
        <v>0</v>
      </c>
      <c r="R299" s="833">
        <f t="shared" si="179"/>
        <v>0</v>
      </c>
      <c r="S299" s="832">
        <f t="shared" si="179"/>
        <v>0</v>
      </c>
      <c r="T299" s="213"/>
      <c r="U299" s="796">
        <f t="shared" si="178"/>
        <v>3273</v>
      </c>
      <c r="V299" s="796">
        <f t="shared" si="176"/>
        <v>1094</v>
      </c>
      <c r="W299" s="796">
        <f t="shared" si="176"/>
        <v>3068</v>
      </c>
      <c r="X299" s="796">
        <f t="shared" si="176"/>
        <v>1668</v>
      </c>
      <c r="Y299" s="796">
        <f t="shared" si="176"/>
        <v>1102</v>
      </c>
      <c r="Z299" s="796">
        <f t="shared" si="176"/>
        <v>1124</v>
      </c>
      <c r="AA299" s="802">
        <f t="shared" si="176"/>
        <v>11329</v>
      </c>
      <c r="AB299" s="802">
        <f t="shared" si="176"/>
        <v>0</v>
      </c>
      <c r="AC299" s="796">
        <f t="shared" si="176"/>
        <v>2130</v>
      </c>
      <c r="AD299" s="796">
        <f t="shared" si="176"/>
        <v>1246</v>
      </c>
      <c r="AE299" s="796">
        <f t="shared" si="176"/>
        <v>196</v>
      </c>
      <c r="AF299" s="796">
        <f t="shared" si="176"/>
        <v>36</v>
      </c>
      <c r="AG299" s="802">
        <f t="shared" si="176"/>
        <v>3844</v>
      </c>
      <c r="AH299" s="802">
        <f t="shared" si="176"/>
        <v>0</v>
      </c>
      <c r="AI299" s="796">
        <f t="shared" si="176"/>
        <v>0</v>
      </c>
      <c r="AJ299" s="819">
        <f t="shared" si="176"/>
        <v>0</v>
      </c>
      <c r="AK299" s="802">
        <f t="shared" si="176"/>
        <v>0</v>
      </c>
      <c r="AL299" s="209"/>
      <c r="AM299" s="209"/>
    </row>
    <row r="300" spans="1:39" s="80" customFormat="1">
      <c r="A300" s="239"/>
      <c r="B300" s="239" t="s">
        <v>78</v>
      </c>
      <c r="C300" s="832">
        <f>IF(U302&gt;0,(U300/U302),0)</f>
        <v>5.1813060382448622E-2</v>
      </c>
      <c r="D300" s="830">
        <f t="shared" ref="D300:S300" si="180">IF(V302&gt;0,(V300/V302),0)</f>
        <v>3.5131225459805744E-2</v>
      </c>
      <c r="E300" s="830">
        <f t="shared" si="180"/>
        <v>4.6725239616613422E-2</v>
      </c>
      <c r="F300" s="830">
        <f t="shared" si="180"/>
        <v>4.9642722828130877E-2</v>
      </c>
      <c r="G300" s="830">
        <f t="shared" si="180"/>
        <v>3.0551626591230552E-2</v>
      </c>
      <c r="H300" s="830">
        <f t="shared" si="180"/>
        <v>0.14302812687013763</v>
      </c>
      <c r="I300" s="832">
        <f t="shared" si="180"/>
        <v>5.3993392681512119E-2</v>
      </c>
      <c r="J300" s="832">
        <f t="shared" si="180"/>
        <v>0</v>
      </c>
      <c r="K300" s="830">
        <f t="shared" si="180"/>
        <v>0.12979942693409743</v>
      </c>
      <c r="L300" s="830">
        <f t="shared" si="180"/>
        <v>0.14883172982525034</v>
      </c>
      <c r="M300" s="830">
        <f t="shared" si="180"/>
        <v>0.33302411873840443</v>
      </c>
      <c r="N300" s="830">
        <f t="shared" si="180"/>
        <v>0.29596412556053814</v>
      </c>
      <c r="O300" s="832">
        <f t="shared" si="180"/>
        <v>0.15521791853912548</v>
      </c>
      <c r="P300" s="832">
        <f t="shared" si="180"/>
        <v>0</v>
      </c>
      <c r="Q300" s="830">
        <f t="shared" si="180"/>
        <v>0</v>
      </c>
      <c r="R300" s="833">
        <f t="shared" si="180"/>
        <v>0</v>
      </c>
      <c r="S300" s="832">
        <f t="shared" si="180"/>
        <v>0</v>
      </c>
      <c r="T300" s="213"/>
      <c r="U300" s="796">
        <f t="shared" si="178"/>
        <v>653</v>
      </c>
      <c r="V300" s="796">
        <f t="shared" si="176"/>
        <v>170</v>
      </c>
      <c r="W300" s="796">
        <f t="shared" si="176"/>
        <v>468</v>
      </c>
      <c r="X300" s="796">
        <f t="shared" si="176"/>
        <v>264</v>
      </c>
      <c r="Y300" s="796">
        <f t="shared" si="176"/>
        <v>108</v>
      </c>
      <c r="Z300" s="796">
        <f t="shared" si="176"/>
        <v>478</v>
      </c>
      <c r="AA300" s="802">
        <f t="shared" si="176"/>
        <v>2141</v>
      </c>
      <c r="AB300" s="802">
        <f t="shared" si="176"/>
        <v>0</v>
      </c>
      <c r="AC300" s="796">
        <f t="shared" si="176"/>
        <v>906</v>
      </c>
      <c r="AD300" s="796">
        <f t="shared" si="176"/>
        <v>758</v>
      </c>
      <c r="AE300" s="796">
        <f t="shared" si="176"/>
        <v>359</v>
      </c>
      <c r="AF300" s="796">
        <f t="shared" si="176"/>
        <v>66</v>
      </c>
      <c r="AG300" s="802">
        <f t="shared" si="176"/>
        <v>2176</v>
      </c>
      <c r="AH300" s="802">
        <f t="shared" si="176"/>
        <v>0</v>
      </c>
      <c r="AI300" s="796">
        <f t="shared" si="176"/>
        <v>0</v>
      </c>
      <c r="AJ300" s="819">
        <f t="shared" si="176"/>
        <v>0</v>
      </c>
      <c r="AK300" s="802">
        <f t="shared" si="176"/>
        <v>0</v>
      </c>
      <c r="AL300" s="209"/>
      <c r="AM300" s="209"/>
    </row>
    <row r="301" spans="1:39" s="80" customFormat="1">
      <c r="A301" s="580"/>
      <c r="B301" s="580" t="s">
        <v>131</v>
      </c>
      <c r="C301" s="832">
        <f>IF(U302&gt;0,(U301/U302),0)</f>
        <v>8.4027612473220659E-2</v>
      </c>
      <c r="D301" s="830">
        <f t="shared" ref="D301:S301" si="181">IF(V302&gt;0,(V301/V302),0)</f>
        <v>9.6714197148171116E-2</v>
      </c>
      <c r="E301" s="830">
        <f t="shared" si="181"/>
        <v>4.0435303514376998E-2</v>
      </c>
      <c r="F301" s="830">
        <f t="shared" si="181"/>
        <v>2.4069198946972545E-2</v>
      </c>
      <c r="G301" s="830">
        <f t="shared" si="181"/>
        <v>8.1188118811881191E-2</v>
      </c>
      <c r="H301" s="830">
        <f t="shared" si="181"/>
        <v>7.2411729503291444E-2</v>
      </c>
      <c r="I301" s="832">
        <f t="shared" si="181"/>
        <v>6.5291402920333891E-2</v>
      </c>
      <c r="J301" s="832">
        <f t="shared" si="181"/>
        <v>0</v>
      </c>
      <c r="K301" s="830">
        <f t="shared" si="181"/>
        <v>3.6819484240687678E-2</v>
      </c>
      <c r="L301" s="830">
        <f t="shared" si="181"/>
        <v>2.9844885136461809E-2</v>
      </c>
      <c r="M301" s="830">
        <f t="shared" si="181"/>
        <v>1.948051948051948E-2</v>
      </c>
      <c r="N301" s="830">
        <f t="shared" si="181"/>
        <v>0</v>
      </c>
      <c r="O301" s="832">
        <f t="shared" si="181"/>
        <v>3.616520436550396E-2</v>
      </c>
      <c r="P301" s="832">
        <f t="shared" si="181"/>
        <v>0</v>
      </c>
      <c r="Q301" s="830">
        <f t="shared" si="181"/>
        <v>0</v>
      </c>
      <c r="R301" s="833">
        <f t="shared" si="181"/>
        <v>0</v>
      </c>
      <c r="S301" s="832">
        <f t="shared" si="181"/>
        <v>0</v>
      </c>
      <c r="T301" s="213"/>
      <c r="U301" s="796">
        <f t="shared" si="178"/>
        <v>1059</v>
      </c>
      <c r="V301" s="796">
        <f t="shared" si="176"/>
        <v>468</v>
      </c>
      <c r="W301" s="796">
        <f t="shared" si="176"/>
        <v>405</v>
      </c>
      <c r="X301" s="796">
        <f t="shared" si="176"/>
        <v>128</v>
      </c>
      <c r="Y301" s="796">
        <f t="shared" si="176"/>
        <v>287</v>
      </c>
      <c r="Z301" s="796">
        <f t="shared" si="176"/>
        <v>242</v>
      </c>
      <c r="AA301" s="802">
        <f t="shared" si="176"/>
        <v>2589</v>
      </c>
      <c r="AB301" s="802">
        <f t="shared" si="176"/>
        <v>0</v>
      </c>
      <c r="AC301" s="796">
        <f t="shared" si="176"/>
        <v>257</v>
      </c>
      <c r="AD301" s="796">
        <f t="shared" si="176"/>
        <v>152</v>
      </c>
      <c r="AE301" s="796">
        <f t="shared" si="176"/>
        <v>21</v>
      </c>
      <c r="AF301" s="796">
        <f t="shared" si="176"/>
        <v>0</v>
      </c>
      <c r="AG301" s="802">
        <f t="shared" si="176"/>
        <v>507</v>
      </c>
      <c r="AH301" s="802">
        <f t="shared" si="176"/>
        <v>0</v>
      </c>
      <c r="AI301" s="796">
        <f t="shared" si="176"/>
        <v>0</v>
      </c>
      <c r="AJ301" s="819">
        <f t="shared" si="176"/>
        <v>0</v>
      </c>
      <c r="AK301" s="802">
        <f t="shared" si="176"/>
        <v>0</v>
      </c>
      <c r="AL301" s="209"/>
      <c r="AM301" s="209"/>
    </row>
    <row r="302" spans="1:39" s="80" customFormat="1">
      <c r="A302" s="436" t="s">
        <v>86</v>
      </c>
      <c r="B302" s="436" t="s">
        <v>59</v>
      </c>
      <c r="C302" s="834">
        <f>IF(U302&gt;0,(U302/U302),0)</f>
        <v>1</v>
      </c>
      <c r="D302" s="835">
        <f t="shared" ref="D302:S302" si="182">IF(V302&gt;0,(V302/V302),0)</f>
        <v>1</v>
      </c>
      <c r="E302" s="835">
        <f t="shared" si="182"/>
        <v>1</v>
      </c>
      <c r="F302" s="835">
        <f t="shared" si="182"/>
        <v>1</v>
      </c>
      <c r="G302" s="835">
        <f t="shared" si="182"/>
        <v>1</v>
      </c>
      <c r="H302" s="835">
        <f t="shared" si="182"/>
        <v>1</v>
      </c>
      <c r="I302" s="834">
        <f t="shared" si="182"/>
        <v>1</v>
      </c>
      <c r="J302" s="834">
        <f t="shared" si="182"/>
        <v>0</v>
      </c>
      <c r="K302" s="835">
        <f t="shared" si="182"/>
        <v>1</v>
      </c>
      <c r="L302" s="835">
        <f t="shared" si="182"/>
        <v>1</v>
      </c>
      <c r="M302" s="835">
        <f t="shared" si="182"/>
        <v>1</v>
      </c>
      <c r="N302" s="835">
        <f t="shared" si="182"/>
        <v>1</v>
      </c>
      <c r="O302" s="834">
        <f t="shared" si="182"/>
        <v>1</v>
      </c>
      <c r="P302" s="834">
        <f t="shared" si="182"/>
        <v>0</v>
      </c>
      <c r="Q302" s="835">
        <f t="shared" si="182"/>
        <v>0</v>
      </c>
      <c r="R302" s="836">
        <f t="shared" si="182"/>
        <v>0</v>
      </c>
      <c r="S302" s="834">
        <f t="shared" si="182"/>
        <v>0</v>
      </c>
      <c r="T302" s="213"/>
      <c r="U302" s="814">
        <f t="shared" si="178"/>
        <v>12603</v>
      </c>
      <c r="V302" s="814">
        <f t="shared" si="176"/>
        <v>4839</v>
      </c>
      <c r="W302" s="814">
        <f t="shared" si="176"/>
        <v>10016</v>
      </c>
      <c r="X302" s="814">
        <f t="shared" si="176"/>
        <v>5318</v>
      </c>
      <c r="Y302" s="814">
        <f t="shared" si="176"/>
        <v>3535</v>
      </c>
      <c r="Z302" s="814">
        <f t="shared" si="176"/>
        <v>3342</v>
      </c>
      <c r="AA302" s="815">
        <f t="shared" si="176"/>
        <v>39653</v>
      </c>
      <c r="AB302" s="815">
        <f t="shared" si="176"/>
        <v>0</v>
      </c>
      <c r="AC302" s="814">
        <f t="shared" si="176"/>
        <v>6980</v>
      </c>
      <c r="AD302" s="814">
        <f t="shared" si="176"/>
        <v>5093</v>
      </c>
      <c r="AE302" s="814">
        <f t="shared" si="176"/>
        <v>1078</v>
      </c>
      <c r="AF302" s="814">
        <f t="shared" si="176"/>
        <v>223</v>
      </c>
      <c r="AG302" s="815">
        <f t="shared" si="176"/>
        <v>14019</v>
      </c>
      <c r="AH302" s="815">
        <f t="shared" si="176"/>
        <v>0</v>
      </c>
      <c r="AI302" s="814">
        <f t="shared" si="176"/>
        <v>0</v>
      </c>
      <c r="AJ302" s="820">
        <f t="shared" si="176"/>
        <v>0</v>
      </c>
      <c r="AK302" s="815">
        <f t="shared" si="176"/>
        <v>0</v>
      </c>
      <c r="AL302" s="209"/>
      <c r="AM302" s="209"/>
    </row>
    <row r="303" spans="1:39" s="80" customFormat="1">
      <c r="A303" s="240" t="s">
        <v>140</v>
      </c>
      <c r="B303" s="240" t="s">
        <v>53</v>
      </c>
      <c r="C303" s="829">
        <f>IF(U308&gt;0,(U303/U308),0)</f>
        <v>0.34848484848484851</v>
      </c>
      <c r="D303" s="830">
        <f t="shared" ref="D303:S303" si="183">IF(V308&gt;0,(V303/V308),0)</f>
        <v>0</v>
      </c>
      <c r="E303" s="830">
        <f t="shared" si="183"/>
        <v>0.41562853907134767</v>
      </c>
      <c r="F303" s="830">
        <f t="shared" si="183"/>
        <v>0.42533936651583709</v>
      </c>
      <c r="G303" s="830">
        <f t="shared" si="183"/>
        <v>0.34634146341463412</v>
      </c>
      <c r="H303" s="830">
        <f t="shared" si="183"/>
        <v>0</v>
      </c>
      <c r="I303" s="829">
        <f t="shared" si="183"/>
        <v>0.37807257120561844</v>
      </c>
      <c r="J303" s="829">
        <f t="shared" si="183"/>
        <v>0</v>
      </c>
      <c r="K303" s="830">
        <f t="shared" si="183"/>
        <v>0</v>
      </c>
      <c r="L303" s="830">
        <f t="shared" si="183"/>
        <v>0.38725490196078433</v>
      </c>
      <c r="M303" s="830">
        <f t="shared" si="183"/>
        <v>0.45263157894736844</v>
      </c>
      <c r="N303" s="830">
        <f t="shared" si="183"/>
        <v>0</v>
      </c>
      <c r="O303" s="829">
        <f t="shared" si="183"/>
        <v>0.45961995249406173</v>
      </c>
      <c r="P303" s="829">
        <f t="shared" si="183"/>
        <v>0</v>
      </c>
      <c r="Q303" s="830">
        <f t="shared" si="183"/>
        <v>0</v>
      </c>
      <c r="R303" s="831">
        <f t="shared" si="183"/>
        <v>0</v>
      </c>
      <c r="S303" s="829">
        <f t="shared" si="183"/>
        <v>0</v>
      </c>
      <c r="T303" s="213"/>
      <c r="U303" s="349">
        <v>437</v>
      </c>
      <c r="V303" s="349"/>
      <c r="W303" s="349">
        <v>367</v>
      </c>
      <c r="X303" s="349">
        <v>94</v>
      </c>
      <c r="Y303" s="349">
        <v>71</v>
      </c>
      <c r="Z303" s="349"/>
      <c r="AA303" s="803">
        <v>969</v>
      </c>
      <c r="AB303" s="803"/>
      <c r="AC303" s="349"/>
      <c r="AD303" s="349">
        <v>237</v>
      </c>
      <c r="AE303" s="349">
        <v>86</v>
      </c>
      <c r="AF303" s="349"/>
      <c r="AG303" s="803">
        <v>387</v>
      </c>
      <c r="AH303" s="803"/>
      <c r="AI303" s="349"/>
      <c r="AJ303" s="812"/>
      <c r="AK303" s="803"/>
      <c r="AL303" s="209"/>
      <c r="AM303" s="209"/>
    </row>
    <row r="304" spans="1:39" s="80" customFormat="1">
      <c r="A304" s="239"/>
      <c r="B304" s="239" t="s">
        <v>93</v>
      </c>
      <c r="C304" s="832">
        <f>IF(U308&gt;0,(U304/U308),0)</f>
        <v>0.31658692185007975</v>
      </c>
      <c r="D304" s="830">
        <f t="shared" ref="D304:S304" si="184">IF(V308&gt;0,(V304/V308),0)</f>
        <v>0</v>
      </c>
      <c r="E304" s="830">
        <f t="shared" si="184"/>
        <v>0.29331823329558326</v>
      </c>
      <c r="F304" s="830">
        <f t="shared" si="184"/>
        <v>0.2669683257918552</v>
      </c>
      <c r="G304" s="830">
        <f t="shared" si="184"/>
        <v>0.33658536585365856</v>
      </c>
      <c r="H304" s="830">
        <f t="shared" si="184"/>
        <v>0</v>
      </c>
      <c r="I304" s="832">
        <f t="shared" si="184"/>
        <v>0.30589153335934449</v>
      </c>
      <c r="J304" s="832">
        <f t="shared" si="184"/>
        <v>0</v>
      </c>
      <c r="K304" s="830">
        <f t="shared" si="184"/>
        <v>0</v>
      </c>
      <c r="L304" s="830">
        <f t="shared" si="184"/>
        <v>0.20915032679738563</v>
      </c>
      <c r="M304" s="830">
        <f t="shared" si="184"/>
        <v>0.1736842105263158</v>
      </c>
      <c r="N304" s="830">
        <f t="shared" si="184"/>
        <v>0</v>
      </c>
      <c r="O304" s="832">
        <f t="shared" si="184"/>
        <v>0.20902612826603326</v>
      </c>
      <c r="P304" s="832">
        <f t="shared" si="184"/>
        <v>0</v>
      </c>
      <c r="Q304" s="830">
        <f t="shared" si="184"/>
        <v>0</v>
      </c>
      <c r="R304" s="833">
        <f t="shared" si="184"/>
        <v>0</v>
      </c>
      <c r="S304" s="832">
        <f t="shared" si="184"/>
        <v>0</v>
      </c>
      <c r="T304" s="213"/>
      <c r="U304" s="349">
        <v>397</v>
      </c>
      <c r="V304" s="349"/>
      <c r="W304" s="349">
        <v>259</v>
      </c>
      <c r="X304" s="349">
        <v>59</v>
      </c>
      <c r="Y304" s="349">
        <v>69</v>
      </c>
      <c r="Z304" s="349"/>
      <c r="AA304" s="804">
        <v>784</v>
      </c>
      <c r="AB304" s="804"/>
      <c r="AC304" s="349"/>
      <c r="AD304" s="349">
        <v>128</v>
      </c>
      <c r="AE304" s="349">
        <v>33</v>
      </c>
      <c r="AF304" s="349"/>
      <c r="AG304" s="804">
        <v>176</v>
      </c>
      <c r="AH304" s="804"/>
      <c r="AI304" s="349"/>
      <c r="AJ304" s="813"/>
      <c r="AK304" s="804"/>
      <c r="AL304" s="209"/>
      <c r="AM304" s="209"/>
    </row>
    <row r="305" spans="1:39" s="80" customFormat="1">
      <c r="A305" s="239"/>
      <c r="B305" s="239" t="s">
        <v>55</v>
      </c>
      <c r="C305" s="832">
        <f>IF(U308&gt;0,(U305/U308),0)</f>
        <v>0.26794258373205743</v>
      </c>
      <c r="D305" s="830">
        <f t="shared" ref="D305:S305" si="185">IF(V308&gt;0,(V305/V308),0)</f>
        <v>0</v>
      </c>
      <c r="E305" s="830">
        <f t="shared" si="185"/>
        <v>0.25368063420158549</v>
      </c>
      <c r="F305" s="830">
        <f t="shared" si="185"/>
        <v>0.2895927601809955</v>
      </c>
      <c r="G305" s="830">
        <f t="shared" si="185"/>
        <v>0.29268292682926828</v>
      </c>
      <c r="H305" s="830">
        <f t="shared" si="185"/>
        <v>0</v>
      </c>
      <c r="I305" s="832">
        <f t="shared" si="185"/>
        <v>0.26687475614514239</v>
      </c>
      <c r="J305" s="832">
        <f t="shared" si="185"/>
        <v>0</v>
      </c>
      <c r="K305" s="830">
        <f t="shared" si="185"/>
        <v>0</v>
      </c>
      <c r="L305" s="830">
        <f t="shared" si="185"/>
        <v>0.2173202614379085</v>
      </c>
      <c r="M305" s="830">
        <f t="shared" si="185"/>
        <v>0.16842105263157894</v>
      </c>
      <c r="N305" s="830">
        <f t="shared" si="185"/>
        <v>0</v>
      </c>
      <c r="O305" s="832">
        <f t="shared" si="185"/>
        <v>0.17220902612826602</v>
      </c>
      <c r="P305" s="832">
        <f t="shared" si="185"/>
        <v>0</v>
      </c>
      <c r="Q305" s="830">
        <f t="shared" si="185"/>
        <v>0</v>
      </c>
      <c r="R305" s="833">
        <f t="shared" si="185"/>
        <v>0</v>
      </c>
      <c r="S305" s="832">
        <f t="shared" si="185"/>
        <v>0</v>
      </c>
      <c r="T305" s="213"/>
      <c r="U305" s="349">
        <v>336</v>
      </c>
      <c r="V305" s="349"/>
      <c r="W305" s="349">
        <v>224</v>
      </c>
      <c r="X305" s="349">
        <v>64</v>
      </c>
      <c r="Y305" s="349">
        <v>60</v>
      </c>
      <c r="Z305" s="349"/>
      <c r="AA305" s="804">
        <v>684</v>
      </c>
      <c r="AB305" s="804"/>
      <c r="AC305" s="349"/>
      <c r="AD305" s="349">
        <v>133</v>
      </c>
      <c r="AE305" s="349">
        <v>32</v>
      </c>
      <c r="AF305" s="349"/>
      <c r="AG305" s="804">
        <v>145</v>
      </c>
      <c r="AH305" s="804"/>
      <c r="AI305" s="349"/>
      <c r="AJ305" s="813"/>
      <c r="AK305" s="804"/>
      <c r="AL305" s="209"/>
      <c r="AM305" s="209"/>
    </row>
    <row r="306" spans="1:39" s="80" customFormat="1">
      <c r="A306" s="239"/>
      <c r="B306" s="239" t="s">
        <v>78</v>
      </c>
      <c r="C306" s="832">
        <f>IF(U308&gt;0,(U306/U308),0)</f>
        <v>2.7113237639553429E-2</v>
      </c>
      <c r="D306" s="830">
        <f t="shared" ref="D306:S306" si="186">IF(V308&gt;0,(V306/V308),0)</f>
        <v>0</v>
      </c>
      <c r="E306" s="830">
        <f t="shared" si="186"/>
        <v>3.7372593431483581E-2</v>
      </c>
      <c r="F306" s="830">
        <f t="shared" si="186"/>
        <v>1.8099547511312219E-2</v>
      </c>
      <c r="G306" s="830">
        <f t="shared" si="186"/>
        <v>2.4390243902439025E-2</v>
      </c>
      <c r="H306" s="830">
        <f t="shared" si="186"/>
        <v>0</v>
      </c>
      <c r="I306" s="832">
        <f t="shared" si="186"/>
        <v>2.9652750682793601E-2</v>
      </c>
      <c r="J306" s="832">
        <f t="shared" si="186"/>
        <v>0</v>
      </c>
      <c r="K306" s="830">
        <f t="shared" si="186"/>
        <v>0</v>
      </c>
      <c r="L306" s="830">
        <f t="shared" si="186"/>
        <v>0.16339869281045752</v>
      </c>
      <c r="M306" s="830">
        <f t="shared" si="186"/>
        <v>0.1736842105263158</v>
      </c>
      <c r="N306" s="830">
        <f t="shared" si="186"/>
        <v>0</v>
      </c>
      <c r="O306" s="832">
        <f t="shared" si="186"/>
        <v>0.11520190023752969</v>
      </c>
      <c r="P306" s="832">
        <f t="shared" si="186"/>
        <v>0</v>
      </c>
      <c r="Q306" s="830">
        <f t="shared" si="186"/>
        <v>0</v>
      </c>
      <c r="R306" s="833">
        <f t="shared" si="186"/>
        <v>0</v>
      </c>
      <c r="S306" s="832">
        <f t="shared" si="186"/>
        <v>0</v>
      </c>
      <c r="T306" s="213"/>
      <c r="U306" s="349">
        <v>34</v>
      </c>
      <c r="V306" s="349"/>
      <c r="W306" s="349">
        <v>33</v>
      </c>
      <c r="X306" s="349">
        <v>4</v>
      </c>
      <c r="Y306" s="349">
        <v>5</v>
      </c>
      <c r="Z306" s="349"/>
      <c r="AA306" s="804">
        <v>76</v>
      </c>
      <c r="AB306" s="804"/>
      <c r="AC306" s="349"/>
      <c r="AD306" s="349">
        <v>100</v>
      </c>
      <c r="AE306" s="349">
        <v>33</v>
      </c>
      <c r="AF306" s="349"/>
      <c r="AG306" s="804">
        <v>97</v>
      </c>
      <c r="AH306" s="804"/>
      <c r="AI306" s="349"/>
      <c r="AJ306" s="813"/>
      <c r="AK306" s="804"/>
      <c r="AL306" s="209"/>
      <c r="AM306" s="209"/>
    </row>
    <row r="307" spans="1:39" s="80" customFormat="1">
      <c r="A307" s="580"/>
      <c r="B307" s="580" t="s">
        <v>131</v>
      </c>
      <c r="C307" s="832">
        <f>IF(U308&gt;0,(U307/U308),0)</f>
        <v>3.9872408293460927E-2</v>
      </c>
      <c r="D307" s="830">
        <f t="shared" ref="D307:S307" si="187">IF(V308&gt;0,(V307/V308),0)</f>
        <v>0</v>
      </c>
      <c r="E307" s="830">
        <f t="shared" si="187"/>
        <v>0</v>
      </c>
      <c r="F307" s="830">
        <f t="shared" si="187"/>
        <v>0</v>
      </c>
      <c r="G307" s="830">
        <f t="shared" si="187"/>
        <v>0</v>
      </c>
      <c r="H307" s="830">
        <f t="shared" si="187"/>
        <v>0</v>
      </c>
      <c r="I307" s="832">
        <f t="shared" si="187"/>
        <v>1.9508388607101055E-2</v>
      </c>
      <c r="J307" s="832">
        <f t="shared" si="187"/>
        <v>0</v>
      </c>
      <c r="K307" s="830">
        <f t="shared" si="187"/>
        <v>0</v>
      </c>
      <c r="L307" s="830">
        <f t="shared" si="187"/>
        <v>2.2875816993464051E-2</v>
      </c>
      <c r="M307" s="830">
        <f t="shared" si="187"/>
        <v>3.1578947368421054E-2</v>
      </c>
      <c r="N307" s="830">
        <f t="shared" si="187"/>
        <v>0</v>
      </c>
      <c r="O307" s="832">
        <f t="shared" si="187"/>
        <v>4.3942992874109264E-2</v>
      </c>
      <c r="P307" s="832">
        <f t="shared" si="187"/>
        <v>0</v>
      </c>
      <c r="Q307" s="830">
        <f t="shared" si="187"/>
        <v>0</v>
      </c>
      <c r="R307" s="833">
        <f t="shared" si="187"/>
        <v>0</v>
      </c>
      <c r="S307" s="832">
        <f t="shared" si="187"/>
        <v>0</v>
      </c>
      <c r="T307" s="213"/>
      <c r="U307" s="349">
        <v>50</v>
      </c>
      <c r="V307" s="349"/>
      <c r="W307" s="349"/>
      <c r="X307" s="349"/>
      <c r="Y307" s="349"/>
      <c r="Z307" s="349"/>
      <c r="AA307" s="804">
        <v>50</v>
      </c>
      <c r="AB307" s="804"/>
      <c r="AC307" s="349"/>
      <c r="AD307" s="349">
        <v>14</v>
      </c>
      <c r="AE307" s="349">
        <v>6</v>
      </c>
      <c r="AF307" s="349"/>
      <c r="AG307" s="804">
        <v>37</v>
      </c>
      <c r="AH307" s="804"/>
      <c r="AI307" s="349"/>
      <c r="AJ307" s="813"/>
      <c r="AK307" s="804"/>
      <c r="AL307" s="209"/>
      <c r="AM307" s="209"/>
    </row>
    <row r="308" spans="1:39" s="80" customFormat="1">
      <c r="A308" s="436"/>
      <c r="B308" s="436" t="s">
        <v>59</v>
      </c>
      <c r="C308" s="834">
        <f>IF(U308&gt;0,(U308/U308),0)</f>
        <v>1</v>
      </c>
      <c r="D308" s="835">
        <f t="shared" ref="D308:S308" si="188">IF(V308&gt;0,(V308/V308),0)</f>
        <v>0</v>
      </c>
      <c r="E308" s="835">
        <f t="shared" si="188"/>
        <v>1</v>
      </c>
      <c r="F308" s="835">
        <f t="shared" si="188"/>
        <v>1</v>
      </c>
      <c r="G308" s="835">
        <f t="shared" si="188"/>
        <v>1</v>
      </c>
      <c r="H308" s="835">
        <f t="shared" si="188"/>
        <v>0</v>
      </c>
      <c r="I308" s="834">
        <f t="shared" si="188"/>
        <v>1</v>
      </c>
      <c r="J308" s="834">
        <f t="shared" si="188"/>
        <v>0</v>
      </c>
      <c r="K308" s="835">
        <f t="shared" si="188"/>
        <v>0</v>
      </c>
      <c r="L308" s="835">
        <f t="shared" si="188"/>
        <v>1</v>
      </c>
      <c r="M308" s="835">
        <f t="shared" si="188"/>
        <v>1</v>
      </c>
      <c r="N308" s="835">
        <f t="shared" si="188"/>
        <v>0</v>
      </c>
      <c r="O308" s="834">
        <f t="shared" si="188"/>
        <v>1</v>
      </c>
      <c r="P308" s="834">
        <f t="shared" si="188"/>
        <v>0</v>
      </c>
      <c r="Q308" s="835">
        <f t="shared" si="188"/>
        <v>0</v>
      </c>
      <c r="R308" s="836">
        <f t="shared" si="188"/>
        <v>0</v>
      </c>
      <c r="S308" s="834">
        <f t="shared" si="188"/>
        <v>0</v>
      </c>
      <c r="T308" s="213"/>
      <c r="U308" s="816">
        <v>1254</v>
      </c>
      <c r="V308" s="816"/>
      <c r="W308" s="816">
        <v>883</v>
      </c>
      <c r="X308" s="816">
        <v>221</v>
      </c>
      <c r="Y308" s="816">
        <v>205</v>
      </c>
      <c r="Z308" s="816"/>
      <c r="AA308" s="805">
        <v>2563</v>
      </c>
      <c r="AB308" s="805"/>
      <c r="AC308" s="816"/>
      <c r="AD308" s="816">
        <v>612</v>
      </c>
      <c r="AE308" s="816">
        <v>190</v>
      </c>
      <c r="AF308" s="816"/>
      <c r="AG308" s="805">
        <v>842</v>
      </c>
      <c r="AH308" s="805"/>
      <c r="AI308" s="816"/>
      <c r="AJ308" s="817"/>
      <c r="AK308" s="805"/>
      <c r="AL308" s="209"/>
      <c r="AM308" s="209"/>
    </row>
    <row r="309" spans="1:39" s="80" customFormat="1">
      <c r="A309" s="240" t="s">
        <v>148</v>
      </c>
      <c r="B309" s="240" t="s">
        <v>53</v>
      </c>
      <c r="C309" s="829">
        <f>IF(U314&gt;0,(U309/U314),0)</f>
        <v>0</v>
      </c>
      <c r="D309" s="830">
        <f t="shared" ref="D309:S309" si="189">IF(V314&gt;0,(V309/V314),0)</f>
        <v>0.34645669291338582</v>
      </c>
      <c r="E309" s="830">
        <f t="shared" si="189"/>
        <v>0.29569892473118281</v>
      </c>
      <c r="F309" s="830">
        <f t="shared" si="189"/>
        <v>0</v>
      </c>
      <c r="G309" s="830">
        <f t="shared" si="189"/>
        <v>0</v>
      </c>
      <c r="H309" s="830">
        <f t="shared" si="189"/>
        <v>0.29597701149425287</v>
      </c>
      <c r="I309" s="829">
        <f t="shared" si="189"/>
        <v>0.31955719557195572</v>
      </c>
      <c r="J309" s="829">
        <f t="shared" si="189"/>
        <v>0</v>
      </c>
      <c r="K309" s="830">
        <f t="shared" si="189"/>
        <v>0</v>
      </c>
      <c r="L309" s="830">
        <f t="shared" si="189"/>
        <v>0.37894736842105264</v>
      </c>
      <c r="M309" s="830">
        <f t="shared" si="189"/>
        <v>0</v>
      </c>
      <c r="N309" s="830">
        <f t="shared" si="189"/>
        <v>0</v>
      </c>
      <c r="O309" s="829">
        <f t="shared" si="189"/>
        <v>0.11044776119402985</v>
      </c>
      <c r="P309" s="829">
        <f t="shared" si="189"/>
        <v>0</v>
      </c>
      <c r="Q309" s="830">
        <f t="shared" si="189"/>
        <v>0</v>
      </c>
      <c r="R309" s="831">
        <f t="shared" si="189"/>
        <v>0</v>
      </c>
      <c r="S309" s="829">
        <f t="shared" si="189"/>
        <v>0</v>
      </c>
      <c r="T309" s="213"/>
      <c r="U309" s="349"/>
      <c r="V309" s="349">
        <v>220</v>
      </c>
      <c r="W309" s="349">
        <v>110</v>
      </c>
      <c r="X309" s="349"/>
      <c r="Y309" s="349"/>
      <c r="Z309" s="349">
        <v>103</v>
      </c>
      <c r="AA309" s="803">
        <v>433</v>
      </c>
      <c r="AB309" s="803"/>
      <c r="AC309" s="349"/>
      <c r="AD309" s="349">
        <v>36</v>
      </c>
      <c r="AE309" s="349"/>
      <c r="AF309" s="349"/>
      <c r="AG309" s="803">
        <v>37</v>
      </c>
      <c r="AH309" s="803"/>
      <c r="AI309" s="349"/>
      <c r="AJ309" s="812"/>
      <c r="AK309" s="803"/>
      <c r="AL309" s="209"/>
      <c r="AM309" s="209"/>
    </row>
    <row r="310" spans="1:39" s="80" customFormat="1">
      <c r="A310" s="239"/>
      <c r="B310" s="239" t="s">
        <v>93</v>
      </c>
      <c r="C310" s="832">
        <f>IF(U314&gt;0,(U310/U314),0)</f>
        <v>0</v>
      </c>
      <c r="D310" s="830">
        <f t="shared" ref="D310:S310" si="190">IF(V314&gt;0,(V310/V314),0)</f>
        <v>0.32913385826771652</v>
      </c>
      <c r="E310" s="830">
        <f t="shared" si="190"/>
        <v>0.44892473118279569</v>
      </c>
      <c r="F310" s="830">
        <f t="shared" si="190"/>
        <v>0</v>
      </c>
      <c r="G310" s="830">
        <f t="shared" si="190"/>
        <v>0</v>
      </c>
      <c r="H310" s="830">
        <f t="shared" si="190"/>
        <v>0.31896551724137934</v>
      </c>
      <c r="I310" s="832">
        <f t="shared" si="190"/>
        <v>0.35940959409594098</v>
      </c>
      <c r="J310" s="832">
        <f t="shared" si="190"/>
        <v>0</v>
      </c>
      <c r="K310" s="830">
        <f t="shared" si="190"/>
        <v>0</v>
      </c>
      <c r="L310" s="830">
        <f t="shared" si="190"/>
        <v>0.10526315789473684</v>
      </c>
      <c r="M310" s="830">
        <f t="shared" si="190"/>
        <v>0</v>
      </c>
      <c r="N310" s="830">
        <f t="shared" si="190"/>
        <v>0</v>
      </c>
      <c r="O310" s="832">
        <f t="shared" si="190"/>
        <v>3.2835820895522387E-2</v>
      </c>
      <c r="P310" s="832">
        <f t="shared" si="190"/>
        <v>0</v>
      </c>
      <c r="Q310" s="830">
        <f t="shared" si="190"/>
        <v>0</v>
      </c>
      <c r="R310" s="833">
        <f t="shared" si="190"/>
        <v>0</v>
      </c>
      <c r="S310" s="832">
        <f t="shared" si="190"/>
        <v>0</v>
      </c>
      <c r="T310" s="213"/>
      <c r="U310" s="349"/>
      <c r="V310" s="349">
        <v>209</v>
      </c>
      <c r="W310" s="349">
        <v>167</v>
      </c>
      <c r="X310" s="349"/>
      <c r="Y310" s="349"/>
      <c r="Z310" s="349">
        <v>111</v>
      </c>
      <c r="AA310" s="804">
        <v>487</v>
      </c>
      <c r="AB310" s="804"/>
      <c r="AC310" s="349"/>
      <c r="AD310" s="349">
        <v>10</v>
      </c>
      <c r="AE310" s="349"/>
      <c r="AF310" s="349"/>
      <c r="AG310" s="804">
        <v>11</v>
      </c>
      <c r="AH310" s="804"/>
      <c r="AI310" s="349"/>
      <c r="AJ310" s="813"/>
      <c r="AK310" s="804"/>
      <c r="AL310" s="209"/>
      <c r="AM310" s="209"/>
    </row>
    <row r="311" spans="1:39" s="80" customFormat="1">
      <c r="A311" s="239"/>
      <c r="B311" s="239" t="s">
        <v>55</v>
      </c>
      <c r="C311" s="832">
        <f>IF(U314&gt;0,(U311/U314),0)</f>
        <v>0</v>
      </c>
      <c r="D311" s="830">
        <f t="shared" ref="D311:S311" si="191">IF(V314&gt;0,(V311/V314),0)</f>
        <v>0.17480314960629922</v>
      </c>
      <c r="E311" s="830">
        <f t="shared" si="191"/>
        <v>0.13978494623655913</v>
      </c>
      <c r="F311" s="830">
        <f t="shared" si="191"/>
        <v>0</v>
      </c>
      <c r="G311" s="830">
        <f t="shared" si="191"/>
        <v>0</v>
      </c>
      <c r="H311" s="830">
        <f t="shared" si="191"/>
        <v>0.25287356321839083</v>
      </c>
      <c r="I311" s="832">
        <f t="shared" si="191"/>
        <v>0.18523985239852397</v>
      </c>
      <c r="J311" s="832">
        <f t="shared" si="191"/>
        <v>0</v>
      </c>
      <c r="K311" s="830">
        <f t="shared" si="191"/>
        <v>0</v>
      </c>
      <c r="L311" s="830">
        <f t="shared" si="191"/>
        <v>0.21052631578947367</v>
      </c>
      <c r="M311" s="830">
        <f t="shared" si="191"/>
        <v>0</v>
      </c>
      <c r="N311" s="830">
        <f t="shared" si="191"/>
        <v>0</v>
      </c>
      <c r="O311" s="832">
        <f t="shared" si="191"/>
        <v>9.8507462686567168E-2</v>
      </c>
      <c r="P311" s="832">
        <f t="shared" si="191"/>
        <v>0</v>
      </c>
      <c r="Q311" s="830">
        <f t="shared" si="191"/>
        <v>0</v>
      </c>
      <c r="R311" s="833">
        <f t="shared" si="191"/>
        <v>0</v>
      </c>
      <c r="S311" s="832">
        <f t="shared" si="191"/>
        <v>0</v>
      </c>
      <c r="T311" s="213"/>
      <c r="U311" s="349"/>
      <c r="V311" s="349">
        <v>111</v>
      </c>
      <c r="W311" s="349">
        <v>52</v>
      </c>
      <c r="X311" s="349"/>
      <c r="Y311" s="349"/>
      <c r="Z311" s="349">
        <v>88</v>
      </c>
      <c r="AA311" s="804">
        <v>251</v>
      </c>
      <c r="AB311" s="804"/>
      <c r="AC311" s="349"/>
      <c r="AD311" s="349">
        <v>20</v>
      </c>
      <c r="AE311" s="349"/>
      <c r="AF311" s="349"/>
      <c r="AG311" s="804">
        <v>33</v>
      </c>
      <c r="AH311" s="804"/>
      <c r="AI311" s="349"/>
      <c r="AJ311" s="813"/>
      <c r="AK311" s="804"/>
      <c r="AL311" s="209"/>
      <c r="AM311" s="209"/>
    </row>
    <row r="312" spans="1:39" s="80" customFormat="1">
      <c r="A312" s="239"/>
      <c r="B312" s="239" t="s">
        <v>78</v>
      </c>
      <c r="C312" s="832">
        <f>IF(U314&gt;0,(U312/U314),0)</f>
        <v>0</v>
      </c>
      <c r="D312" s="830">
        <f t="shared" ref="D312:S312" si="192">IF(V314&gt;0,(V312/V314),0)</f>
        <v>2.3622047244094488E-2</v>
      </c>
      <c r="E312" s="830">
        <f t="shared" si="192"/>
        <v>3.2258064516129031E-2</v>
      </c>
      <c r="F312" s="830">
        <f t="shared" si="192"/>
        <v>0</v>
      </c>
      <c r="G312" s="830">
        <f t="shared" si="192"/>
        <v>0</v>
      </c>
      <c r="H312" s="830">
        <f t="shared" si="192"/>
        <v>6.3218390804597707E-2</v>
      </c>
      <c r="I312" s="832">
        <f t="shared" si="192"/>
        <v>3.6162361623616239E-2</v>
      </c>
      <c r="J312" s="832">
        <f t="shared" si="192"/>
        <v>0</v>
      </c>
      <c r="K312" s="830">
        <f t="shared" si="192"/>
        <v>0</v>
      </c>
      <c r="L312" s="830">
        <f t="shared" si="192"/>
        <v>0.29473684210526313</v>
      </c>
      <c r="M312" s="830">
        <f t="shared" si="192"/>
        <v>0.9508928571428571</v>
      </c>
      <c r="N312" s="830">
        <f t="shared" si="192"/>
        <v>0</v>
      </c>
      <c r="O312" s="832">
        <f t="shared" si="192"/>
        <v>0.54925373134328359</v>
      </c>
      <c r="P312" s="832">
        <f t="shared" si="192"/>
        <v>0</v>
      </c>
      <c r="Q312" s="830">
        <f t="shared" si="192"/>
        <v>0</v>
      </c>
      <c r="R312" s="833">
        <f t="shared" si="192"/>
        <v>0</v>
      </c>
      <c r="S312" s="832">
        <f t="shared" si="192"/>
        <v>0</v>
      </c>
      <c r="T312" s="213"/>
      <c r="U312" s="349"/>
      <c r="V312" s="349">
        <v>15</v>
      </c>
      <c r="W312" s="349">
        <v>12</v>
      </c>
      <c r="X312" s="349"/>
      <c r="Y312" s="349"/>
      <c r="Z312" s="349">
        <v>22</v>
      </c>
      <c r="AA312" s="804">
        <v>49</v>
      </c>
      <c r="AB312" s="804"/>
      <c r="AC312" s="349"/>
      <c r="AD312" s="349">
        <v>28</v>
      </c>
      <c r="AE312" s="349">
        <v>213</v>
      </c>
      <c r="AF312" s="349"/>
      <c r="AG312" s="804">
        <v>184</v>
      </c>
      <c r="AH312" s="804"/>
      <c r="AI312" s="349"/>
      <c r="AJ312" s="813"/>
      <c r="AK312" s="804"/>
      <c r="AL312" s="209"/>
      <c r="AM312" s="209"/>
    </row>
    <row r="313" spans="1:39" s="80" customFormat="1">
      <c r="A313" s="580"/>
      <c r="B313" s="580" t="s">
        <v>131</v>
      </c>
      <c r="C313" s="832">
        <f>IF(U314&gt;0,(U313/U314),0)</f>
        <v>0</v>
      </c>
      <c r="D313" s="830">
        <f t="shared" ref="D313:S313" si="193">IF(V314&gt;0,(V313/V314),0)</f>
        <v>0.12598425196850394</v>
      </c>
      <c r="E313" s="830">
        <f t="shared" si="193"/>
        <v>8.3333333333333329E-2</v>
      </c>
      <c r="F313" s="830">
        <f t="shared" si="193"/>
        <v>0</v>
      </c>
      <c r="G313" s="830">
        <f t="shared" si="193"/>
        <v>0</v>
      </c>
      <c r="H313" s="830">
        <f t="shared" si="193"/>
        <v>6.8965517241379309E-2</v>
      </c>
      <c r="I313" s="832">
        <f t="shared" si="193"/>
        <v>9.9630996309963096E-2</v>
      </c>
      <c r="J313" s="832">
        <f t="shared" si="193"/>
        <v>0</v>
      </c>
      <c r="K313" s="830">
        <f t="shared" si="193"/>
        <v>0</v>
      </c>
      <c r="L313" s="830">
        <f t="shared" si="193"/>
        <v>1.0526315789473684E-2</v>
      </c>
      <c r="M313" s="830">
        <f t="shared" si="193"/>
        <v>4.9107142857142856E-2</v>
      </c>
      <c r="N313" s="830">
        <f t="shared" si="193"/>
        <v>0</v>
      </c>
      <c r="O313" s="832">
        <f t="shared" si="193"/>
        <v>0.20895522388059701</v>
      </c>
      <c r="P313" s="832">
        <f t="shared" si="193"/>
        <v>0</v>
      </c>
      <c r="Q313" s="830">
        <f t="shared" si="193"/>
        <v>0</v>
      </c>
      <c r="R313" s="833">
        <f t="shared" si="193"/>
        <v>0</v>
      </c>
      <c r="S313" s="832">
        <f t="shared" si="193"/>
        <v>0</v>
      </c>
      <c r="T313" s="213"/>
      <c r="U313" s="349"/>
      <c r="V313" s="349">
        <v>80</v>
      </c>
      <c r="W313" s="349">
        <v>31</v>
      </c>
      <c r="X313" s="349"/>
      <c r="Y313" s="349"/>
      <c r="Z313" s="349">
        <v>24</v>
      </c>
      <c r="AA313" s="804">
        <v>135</v>
      </c>
      <c r="AB313" s="804"/>
      <c r="AC313" s="349"/>
      <c r="AD313" s="349">
        <v>1</v>
      </c>
      <c r="AE313" s="349">
        <v>11</v>
      </c>
      <c r="AF313" s="349"/>
      <c r="AG313" s="804">
        <v>70</v>
      </c>
      <c r="AH313" s="804"/>
      <c r="AI313" s="349"/>
      <c r="AJ313" s="813"/>
      <c r="AK313" s="804"/>
      <c r="AL313" s="209"/>
      <c r="AM313" s="209"/>
    </row>
    <row r="314" spans="1:39" s="80" customFormat="1">
      <c r="A314" s="436"/>
      <c r="B314" s="436" t="s">
        <v>59</v>
      </c>
      <c r="C314" s="834">
        <f>IF(U314&gt;0,(U314/U314),0)</f>
        <v>0</v>
      </c>
      <c r="D314" s="835">
        <f t="shared" ref="D314:S314" si="194">IF(V314&gt;0,(V314/V314),0)</f>
        <v>1</v>
      </c>
      <c r="E314" s="835">
        <f t="shared" si="194"/>
        <v>1</v>
      </c>
      <c r="F314" s="835">
        <f t="shared" si="194"/>
        <v>0</v>
      </c>
      <c r="G314" s="835">
        <f t="shared" si="194"/>
        <v>0</v>
      </c>
      <c r="H314" s="835">
        <f t="shared" si="194"/>
        <v>1</v>
      </c>
      <c r="I314" s="834">
        <f t="shared" si="194"/>
        <v>1</v>
      </c>
      <c r="J314" s="834">
        <f t="shared" si="194"/>
        <v>0</v>
      </c>
      <c r="K314" s="835">
        <f t="shared" si="194"/>
        <v>0</v>
      </c>
      <c r="L314" s="835">
        <f t="shared" si="194"/>
        <v>1</v>
      </c>
      <c r="M314" s="835">
        <f t="shared" si="194"/>
        <v>1</v>
      </c>
      <c r="N314" s="835">
        <f t="shared" si="194"/>
        <v>0</v>
      </c>
      <c r="O314" s="834">
        <f t="shared" si="194"/>
        <v>1</v>
      </c>
      <c r="P314" s="834">
        <f t="shared" si="194"/>
        <v>0</v>
      </c>
      <c r="Q314" s="835">
        <f t="shared" si="194"/>
        <v>0</v>
      </c>
      <c r="R314" s="836">
        <f t="shared" si="194"/>
        <v>0</v>
      </c>
      <c r="S314" s="834">
        <f t="shared" si="194"/>
        <v>0</v>
      </c>
      <c r="T314" s="213"/>
      <c r="U314" s="816"/>
      <c r="V314" s="816">
        <v>635</v>
      </c>
      <c r="W314" s="816">
        <v>372</v>
      </c>
      <c r="X314" s="816"/>
      <c r="Y314" s="816"/>
      <c r="Z314" s="816">
        <v>348</v>
      </c>
      <c r="AA314" s="805">
        <v>1355</v>
      </c>
      <c r="AB314" s="805"/>
      <c r="AC314" s="816"/>
      <c r="AD314" s="816">
        <v>95</v>
      </c>
      <c r="AE314" s="816">
        <v>224</v>
      </c>
      <c r="AF314" s="816"/>
      <c r="AG314" s="805">
        <v>335</v>
      </c>
      <c r="AH314" s="805"/>
      <c r="AI314" s="816"/>
      <c r="AJ314" s="817"/>
      <c r="AK314" s="805"/>
      <c r="AL314" s="209"/>
      <c r="AM314" s="209"/>
    </row>
    <row r="315" spans="1:39" s="80" customFormat="1">
      <c r="A315" s="240" t="s">
        <v>147</v>
      </c>
      <c r="B315" s="240" t="s">
        <v>53</v>
      </c>
      <c r="C315" s="829">
        <f>IF(U320&gt;0,(U315/U320),0)</f>
        <v>0.3771186440677966</v>
      </c>
      <c r="D315" s="830">
        <f t="shared" ref="D315:S315" si="195">IF(V320&gt;0,(V315/V320),0)</f>
        <v>0.3504566210045662</v>
      </c>
      <c r="E315" s="830">
        <f t="shared" si="195"/>
        <v>0.34560906515580736</v>
      </c>
      <c r="F315" s="830">
        <f t="shared" si="195"/>
        <v>0.33688286544046464</v>
      </c>
      <c r="G315" s="830">
        <f t="shared" si="195"/>
        <v>0.5</v>
      </c>
      <c r="H315" s="830">
        <f t="shared" si="195"/>
        <v>0</v>
      </c>
      <c r="I315" s="829">
        <f t="shared" si="195"/>
        <v>0.35752895752895753</v>
      </c>
      <c r="J315" s="829">
        <f t="shared" si="195"/>
        <v>0</v>
      </c>
      <c r="K315" s="830">
        <f t="shared" si="195"/>
        <v>0</v>
      </c>
      <c r="L315" s="830">
        <f t="shared" si="195"/>
        <v>0.57948717948717954</v>
      </c>
      <c r="M315" s="830">
        <f t="shared" si="195"/>
        <v>0.60509554140127386</v>
      </c>
      <c r="N315" s="830">
        <f t="shared" si="195"/>
        <v>0</v>
      </c>
      <c r="O315" s="829">
        <f t="shared" si="195"/>
        <v>0.57479312539783578</v>
      </c>
      <c r="P315" s="829">
        <f t="shared" si="195"/>
        <v>0</v>
      </c>
      <c r="Q315" s="830">
        <f t="shared" si="195"/>
        <v>0</v>
      </c>
      <c r="R315" s="831">
        <f t="shared" si="195"/>
        <v>0</v>
      </c>
      <c r="S315" s="829">
        <f t="shared" si="195"/>
        <v>0</v>
      </c>
      <c r="T315" s="213"/>
      <c r="U315" s="349">
        <v>445</v>
      </c>
      <c r="V315" s="349">
        <v>307</v>
      </c>
      <c r="W315" s="349">
        <v>244</v>
      </c>
      <c r="X315" s="349">
        <v>348</v>
      </c>
      <c r="Y315" s="349">
        <v>45</v>
      </c>
      <c r="Z315" s="349"/>
      <c r="AA315" s="803">
        <v>1389</v>
      </c>
      <c r="AB315" s="803"/>
      <c r="AC315" s="349"/>
      <c r="AD315" s="349">
        <v>791</v>
      </c>
      <c r="AE315" s="349">
        <v>95</v>
      </c>
      <c r="AF315" s="349"/>
      <c r="AG315" s="803">
        <v>903</v>
      </c>
      <c r="AH315" s="803"/>
      <c r="AI315" s="349"/>
      <c r="AJ315" s="812"/>
      <c r="AK315" s="803"/>
      <c r="AL315" s="209"/>
      <c r="AM315" s="209"/>
    </row>
    <row r="316" spans="1:39" s="80" customFormat="1">
      <c r="A316" s="239"/>
      <c r="B316" s="239" t="s">
        <v>93</v>
      </c>
      <c r="C316" s="832">
        <f>IF(U320&gt;0,(U316/U320),0)</f>
        <v>0.23728813559322035</v>
      </c>
      <c r="D316" s="830">
        <f t="shared" ref="D316:S316" si="196">IF(V320&gt;0,(V316/V320),0)</f>
        <v>0.25</v>
      </c>
      <c r="E316" s="830">
        <f t="shared" si="196"/>
        <v>0.24504249291784702</v>
      </c>
      <c r="F316" s="830">
        <f t="shared" si="196"/>
        <v>0.28944820909970959</v>
      </c>
      <c r="G316" s="830">
        <f t="shared" si="196"/>
        <v>0.17777777777777778</v>
      </c>
      <c r="H316" s="830">
        <f t="shared" si="196"/>
        <v>0</v>
      </c>
      <c r="I316" s="832">
        <f t="shared" si="196"/>
        <v>0.25405405405405407</v>
      </c>
      <c r="J316" s="832">
        <f t="shared" si="196"/>
        <v>0</v>
      </c>
      <c r="K316" s="830">
        <f t="shared" si="196"/>
        <v>0</v>
      </c>
      <c r="L316" s="830">
        <f t="shared" si="196"/>
        <v>0.14139194139194139</v>
      </c>
      <c r="M316" s="830">
        <f t="shared" si="196"/>
        <v>0.14012738853503184</v>
      </c>
      <c r="N316" s="830">
        <f t="shared" si="196"/>
        <v>0</v>
      </c>
      <c r="O316" s="832">
        <f t="shared" si="196"/>
        <v>0.15977084659452578</v>
      </c>
      <c r="P316" s="832">
        <f t="shared" si="196"/>
        <v>0</v>
      </c>
      <c r="Q316" s="830">
        <f t="shared" si="196"/>
        <v>0</v>
      </c>
      <c r="R316" s="833">
        <f t="shared" si="196"/>
        <v>0</v>
      </c>
      <c r="S316" s="832">
        <f t="shared" si="196"/>
        <v>0</v>
      </c>
      <c r="T316" s="213"/>
      <c r="U316" s="349">
        <v>280</v>
      </c>
      <c r="V316" s="349">
        <v>219</v>
      </c>
      <c r="W316" s="349">
        <v>173</v>
      </c>
      <c r="X316" s="349">
        <v>299</v>
      </c>
      <c r="Y316" s="349">
        <v>16</v>
      </c>
      <c r="Z316" s="349"/>
      <c r="AA316" s="804">
        <v>987</v>
      </c>
      <c r="AB316" s="804"/>
      <c r="AC316" s="349"/>
      <c r="AD316" s="349">
        <v>193</v>
      </c>
      <c r="AE316" s="349">
        <v>22</v>
      </c>
      <c r="AF316" s="349"/>
      <c r="AG316" s="804">
        <v>251</v>
      </c>
      <c r="AH316" s="804"/>
      <c r="AI316" s="349"/>
      <c r="AJ316" s="813"/>
      <c r="AK316" s="804"/>
      <c r="AL316" s="209"/>
      <c r="AM316" s="209"/>
    </row>
    <row r="317" spans="1:39" s="80" customFormat="1">
      <c r="A317" s="239"/>
      <c r="B317" s="239" t="s">
        <v>55</v>
      </c>
      <c r="C317" s="832">
        <f>IF(U320&gt;0,(U317/U320),0)</f>
        <v>0.22796610169491524</v>
      </c>
      <c r="D317" s="830">
        <f t="shared" ref="D317:S317" si="197">IF(V320&gt;0,(V317/V320),0)</f>
        <v>0.29908675799086759</v>
      </c>
      <c r="E317" s="830">
        <f t="shared" si="197"/>
        <v>0.30594900849858359</v>
      </c>
      <c r="F317" s="830">
        <f t="shared" si="197"/>
        <v>0.33494675701839305</v>
      </c>
      <c r="G317" s="830">
        <f t="shared" si="197"/>
        <v>0.27777777777777779</v>
      </c>
      <c r="H317" s="830">
        <f t="shared" si="197"/>
        <v>0</v>
      </c>
      <c r="I317" s="832">
        <f t="shared" si="197"/>
        <v>0.28777348777348777</v>
      </c>
      <c r="J317" s="832">
        <f t="shared" si="197"/>
        <v>0</v>
      </c>
      <c r="K317" s="830">
        <f t="shared" si="197"/>
        <v>0</v>
      </c>
      <c r="L317" s="830">
        <f t="shared" si="197"/>
        <v>0.17435897435897435</v>
      </c>
      <c r="M317" s="830">
        <f t="shared" si="197"/>
        <v>0.20382165605095542</v>
      </c>
      <c r="N317" s="830">
        <f t="shared" si="197"/>
        <v>0</v>
      </c>
      <c r="O317" s="832">
        <f t="shared" si="197"/>
        <v>0.17122851686823679</v>
      </c>
      <c r="P317" s="832">
        <f t="shared" si="197"/>
        <v>0</v>
      </c>
      <c r="Q317" s="830">
        <f t="shared" si="197"/>
        <v>0</v>
      </c>
      <c r="R317" s="833">
        <f t="shared" si="197"/>
        <v>0</v>
      </c>
      <c r="S317" s="832">
        <f t="shared" si="197"/>
        <v>0</v>
      </c>
      <c r="T317" s="213"/>
      <c r="U317" s="349">
        <v>269</v>
      </c>
      <c r="V317" s="349">
        <v>262</v>
      </c>
      <c r="W317" s="349">
        <v>216</v>
      </c>
      <c r="X317" s="349">
        <v>346</v>
      </c>
      <c r="Y317" s="349">
        <v>25</v>
      </c>
      <c r="Z317" s="349"/>
      <c r="AA317" s="804">
        <v>1118</v>
      </c>
      <c r="AB317" s="804"/>
      <c r="AC317" s="349"/>
      <c r="AD317" s="349">
        <v>238</v>
      </c>
      <c r="AE317" s="349">
        <v>32</v>
      </c>
      <c r="AF317" s="349"/>
      <c r="AG317" s="804">
        <v>269</v>
      </c>
      <c r="AH317" s="804"/>
      <c r="AI317" s="349"/>
      <c r="AJ317" s="813"/>
      <c r="AK317" s="804"/>
      <c r="AL317" s="209"/>
      <c r="AM317" s="209"/>
    </row>
    <row r="318" spans="1:39" s="80" customFormat="1">
      <c r="A318" s="239"/>
      <c r="B318" s="239" t="s">
        <v>78</v>
      </c>
      <c r="C318" s="832">
        <f>IF(U320&gt;0,(U318/U320),0)</f>
        <v>1.6949152542372881E-3</v>
      </c>
      <c r="D318" s="830">
        <f t="shared" ref="D318:S318" si="198">IF(V320&gt;0,(V318/V320),0)</f>
        <v>4.5662100456621002E-3</v>
      </c>
      <c r="E318" s="830">
        <f t="shared" si="198"/>
        <v>2.5495750708215296E-2</v>
      </c>
      <c r="F318" s="830">
        <f t="shared" si="198"/>
        <v>3.8722168441432718E-2</v>
      </c>
      <c r="G318" s="830">
        <f t="shared" si="198"/>
        <v>4.4444444444444446E-2</v>
      </c>
      <c r="H318" s="830">
        <f t="shared" si="198"/>
        <v>0</v>
      </c>
      <c r="I318" s="832">
        <f t="shared" si="198"/>
        <v>1.7503217503217504E-2</v>
      </c>
      <c r="J318" s="832">
        <f t="shared" si="198"/>
        <v>0</v>
      </c>
      <c r="K318" s="830">
        <f t="shared" si="198"/>
        <v>0</v>
      </c>
      <c r="L318" s="830">
        <f t="shared" si="198"/>
        <v>9.0842490842490839E-2</v>
      </c>
      <c r="M318" s="830">
        <f t="shared" si="198"/>
        <v>5.0955414012738856E-2</v>
      </c>
      <c r="N318" s="830">
        <f t="shared" si="198"/>
        <v>0</v>
      </c>
      <c r="O318" s="832">
        <f t="shared" si="198"/>
        <v>8.5932527052832594E-2</v>
      </c>
      <c r="P318" s="832">
        <f t="shared" si="198"/>
        <v>0</v>
      </c>
      <c r="Q318" s="830">
        <f t="shared" si="198"/>
        <v>0</v>
      </c>
      <c r="R318" s="833">
        <f t="shared" si="198"/>
        <v>0</v>
      </c>
      <c r="S318" s="832">
        <f t="shared" si="198"/>
        <v>0</v>
      </c>
      <c r="T318" s="213"/>
      <c r="U318" s="349">
        <v>2</v>
      </c>
      <c r="V318" s="349">
        <v>4</v>
      </c>
      <c r="W318" s="349">
        <v>18</v>
      </c>
      <c r="X318" s="349">
        <v>40</v>
      </c>
      <c r="Y318" s="349">
        <v>4</v>
      </c>
      <c r="Z318" s="349"/>
      <c r="AA318" s="804">
        <v>68</v>
      </c>
      <c r="AB318" s="804"/>
      <c r="AC318" s="349"/>
      <c r="AD318" s="349">
        <v>124</v>
      </c>
      <c r="AE318" s="349">
        <v>8</v>
      </c>
      <c r="AF318" s="349"/>
      <c r="AG318" s="804">
        <v>135</v>
      </c>
      <c r="AH318" s="804"/>
      <c r="AI318" s="349"/>
      <c r="AJ318" s="813"/>
      <c r="AK318" s="804"/>
      <c r="AL318" s="209"/>
      <c r="AM318" s="209"/>
    </row>
    <row r="319" spans="1:39" s="80" customFormat="1">
      <c r="A319" s="580"/>
      <c r="B319" s="580" t="s">
        <v>131</v>
      </c>
      <c r="C319" s="832">
        <f>IF(U320&gt;0,(U319/U320),0)</f>
        <v>0.15593220338983052</v>
      </c>
      <c r="D319" s="830">
        <f t="shared" ref="D319:S319" si="199">IF(V320&gt;0,(V319/V320),0)</f>
        <v>9.5890410958904104E-2</v>
      </c>
      <c r="E319" s="830">
        <f t="shared" si="199"/>
        <v>7.7903682719546744E-2</v>
      </c>
      <c r="F319" s="830">
        <f t="shared" si="199"/>
        <v>0</v>
      </c>
      <c r="G319" s="830">
        <f t="shared" si="199"/>
        <v>0</v>
      </c>
      <c r="H319" s="830">
        <f t="shared" si="199"/>
        <v>0</v>
      </c>
      <c r="I319" s="832">
        <f t="shared" si="199"/>
        <v>8.3140283140283142E-2</v>
      </c>
      <c r="J319" s="832">
        <f t="shared" si="199"/>
        <v>0</v>
      </c>
      <c r="K319" s="830">
        <f t="shared" si="199"/>
        <v>0</v>
      </c>
      <c r="L319" s="830">
        <f t="shared" si="199"/>
        <v>1.391941391941392E-2</v>
      </c>
      <c r="M319" s="830">
        <f t="shared" si="199"/>
        <v>0</v>
      </c>
      <c r="N319" s="830">
        <f t="shared" si="199"/>
        <v>0</v>
      </c>
      <c r="O319" s="832">
        <f t="shared" si="199"/>
        <v>8.2749840865690635E-3</v>
      </c>
      <c r="P319" s="832">
        <f t="shared" si="199"/>
        <v>0</v>
      </c>
      <c r="Q319" s="830">
        <f t="shared" si="199"/>
        <v>0</v>
      </c>
      <c r="R319" s="833">
        <f t="shared" si="199"/>
        <v>0</v>
      </c>
      <c r="S319" s="832">
        <f t="shared" si="199"/>
        <v>0</v>
      </c>
      <c r="T319" s="213"/>
      <c r="U319" s="349">
        <v>184</v>
      </c>
      <c r="V319" s="349">
        <v>84</v>
      </c>
      <c r="W319" s="349">
        <v>55</v>
      </c>
      <c r="X319" s="349"/>
      <c r="Y319" s="349"/>
      <c r="Z319" s="349"/>
      <c r="AA319" s="804">
        <v>323</v>
      </c>
      <c r="AB319" s="804"/>
      <c r="AC319" s="349"/>
      <c r="AD319" s="349">
        <v>19</v>
      </c>
      <c r="AE319" s="349"/>
      <c r="AF319" s="349"/>
      <c r="AG319" s="804">
        <v>13</v>
      </c>
      <c r="AH319" s="804"/>
      <c r="AI319" s="349"/>
      <c r="AJ319" s="813"/>
      <c r="AK319" s="804"/>
      <c r="AL319" s="209"/>
      <c r="AM319" s="209"/>
    </row>
    <row r="320" spans="1:39" s="80" customFormat="1">
      <c r="A320" s="436"/>
      <c r="B320" s="436" t="s">
        <v>59</v>
      </c>
      <c r="C320" s="834">
        <f>IF(U320&gt;0,(U320/U320),0)</f>
        <v>1</v>
      </c>
      <c r="D320" s="835">
        <f t="shared" ref="D320:S320" si="200">IF(V320&gt;0,(V320/V320),0)</f>
        <v>1</v>
      </c>
      <c r="E320" s="835">
        <f t="shared" si="200"/>
        <v>1</v>
      </c>
      <c r="F320" s="835">
        <f t="shared" si="200"/>
        <v>1</v>
      </c>
      <c r="G320" s="835">
        <f t="shared" si="200"/>
        <v>1</v>
      </c>
      <c r="H320" s="835">
        <f t="shared" si="200"/>
        <v>0</v>
      </c>
      <c r="I320" s="834">
        <f t="shared" si="200"/>
        <v>1</v>
      </c>
      <c r="J320" s="834">
        <f t="shared" si="200"/>
        <v>0</v>
      </c>
      <c r="K320" s="835">
        <f t="shared" si="200"/>
        <v>0</v>
      </c>
      <c r="L320" s="835">
        <f t="shared" si="200"/>
        <v>1</v>
      </c>
      <c r="M320" s="835">
        <f t="shared" si="200"/>
        <v>1</v>
      </c>
      <c r="N320" s="835">
        <f t="shared" si="200"/>
        <v>0</v>
      </c>
      <c r="O320" s="834">
        <f t="shared" si="200"/>
        <v>1</v>
      </c>
      <c r="P320" s="834">
        <f t="shared" si="200"/>
        <v>0</v>
      </c>
      <c r="Q320" s="835">
        <f t="shared" si="200"/>
        <v>0</v>
      </c>
      <c r="R320" s="836">
        <f t="shared" si="200"/>
        <v>0</v>
      </c>
      <c r="S320" s="834">
        <f t="shared" si="200"/>
        <v>0</v>
      </c>
      <c r="T320" s="213"/>
      <c r="U320" s="816">
        <v>1180</v>
      </c>
      <c r="V320" s="816">
        <v>876</v>
      </c>
      <c r="W320" s="816">
        <v>706</v>
      </c>
      <c r="X320" s="816">
        <v>1033</v>
      </c>
      <c r="Y320" s="816">
        <v>90</v>
      </c>
      <c r="Z320" s="816"/>
      <c r="AA320" s="805">
        <v>3885</v>
      </c>
      <c r="AB320" s="805"/>
      <c r="AC320" s="816"/>
      <c r="AD320" s="816">
        <v>1365</v>
      </c>
      <c r="AE320" s="816">
        <v>157</v>
      </c>
      <c r="AF320" s="816"/>
      <c r="AG320" s="805">
        <v>1571</v>
      </c>
      <c r="AH320" s="805"/>
      <c r="AI320" s="816"/>
      <c r="AJ320" s="817"/>
      <c r="AK320" s="805"/>
      <c r="AL320" s="209"/>
      <c r="AM320" s="209"/>
    </row>
    <row r="321" spans="1:39" s="80" customFormat="1">
      <c r="A321" s="240" t="s">
        <v>155</v>
      </c>
      <c r="B321" s="240" t="s">
        <v>53</v>
      </c>
      <c r="C321" s="829">
        <f>IF(U326&gt;0,(U321/U326),0)</f>
        <v>0</v>
      </c>
      <c r="D321" s="830">
        <f t="shared" ref="D321:S321" si="201">IF(V326&gt;0,(V321/V326),0)</f>
        <v>0.38126009693053314</v>
      </c>
      <c r="E321" s="830">
        <f t="shared" si="201"/>
        <v>0</v>
      </c>
      <c r="F321" s="830">
        <f t="shared" si="201"/>
        <v>0</v>
      </c>
      <c r="G321" s="830">
        <f t="shared" si="201"/>
        <v>0.39142091152815012</v>
      </c>
      <c r="H321" s="830">
        <f t="shared" si="201"/>
        <v>0.16666666666666666</v>
      </c>
      <c r="I321" s="829">
        <f t="shared" si="201"/>
        <v>0.37866927592954991</v>
      </c>
      <c r="J321" s="829">
        <f t="shared" si="201"/>
        <v>0</v>
      </c>
      <c r="K321" s="830">
        <f t="shared" si="201"/>
        <v>0</v>
      </c>
      <c r="L321" s="830">
        <f t="shared" si="201"/>
        <v>0.76774193548387093</v>
      </c>
      <c r="M321" s="830">
        <f t="shared" si="201"/>
        <v>0.75342465753424659</v>
      </c>
      <c r="N321" s="830">
        <f t="shared" si="201"/>
        <v>0.64423076923076927</v>
      </c>
      <c r="O321" s="829">
        <f t="shared" si="201"/>
        <v>0.7410714285714286</v>
      </c>
      <c r="P321" s="829">
        <f t="shared" si="201"/>
        <v>0</v>
      </c>
      <c r="Q321" s="830">
        <f t="shared" si="201"/>
        <v>0</v>
      </c>
      <c r="R321" s="831">
        <f t="shared" si="201"/>
        <v>0</v>
      </c>
      <c r="S321" s="829">
        <f t="shared" si="201"/>
        <v>0</v>
      </c>
      <c r="T321" s="213"/>
      <c r="U321" s="349"/>
      <c r="V321" s="349">
        <v>236</v>
      </c>
      <c r="W321" s="349"/>
      <c r="X321" s="349"/>
      <c r="Y321" s="349">
        <v>146</v>
      </c>
      <c r="Z321" s="349">
        <v>5</v>
      </c>
      <c r="AA321" s="803">
        <v>387</v>
      </c>
      <c r="AB321" s="803"/>
      <c r="AC321" s="349"/>
      <c r="AD321" s="349">
        <v>119</v>
      </c>
      <c r="AE321" s="349">
        <v>55</v>
      </c>
      <c r="AF321" s="349">
        <v>67</v>
      </c>
      <c r="AG321" s="803">
        <v>249</v>
      </c>
      <c r="AH321" s="803"/>
      <c r="AI321" s="349"/>
      <c r="AJ321" s="812"/>
      <c r="AK321" s="803"/>
      <c r="AL321" s="209"/>
      <c r="AM321" s="209"/>
    </row>
    <row r="322" spans="1:39" s="80" customFormat="1">
      <c r="A322" s="239"/>
      <c r="B322" s="239" t="s">
        <v>93</v>
      </c>
      <c r="C322" s="832">
        <f>IF(U326&gt;0,(U322/U326),0)</f>
        <v>0</v>
      </c>
      <c r="D322" s="830">
        <f t="shared" ref="D322:S322" si="202">IF(V326&gt;0,(V322/V326),0)</f>
        <v>0.40226171243941844</v>
      </c>
      <c r="E322" s="830">
        <f t="shared" si="202"/>
        <v>0</v>
      </c>
      <c r="F322" s="830">
        <f t="shared" si="202"/>
        <v>0</v>
      </c>
      <c r="G322" s="830">
        <f t="shared" si="202"/>
        <v>0.24932975871313673</v>
      </c>
      <c r="H322" s="830">
        <f t="shared" si="202"/>
        <v>0.6</v>
      </c>
      <c r="I322" s="832">
        <f t="shared" si="202"/>
        <v>0.35225048923679059</v>
      </c>
      <c r="J322" s="832">
        <f t="shared" si="202"/>
        <v>0</v>
      </c>
      <c r="K322" s="830">
        <f t="shared" si="202"/>
        <v>0</v>
      </c>
      <c r="L322" s="830">
        <f t="shared" si="202"/>
        <v>0.14193548387096774</v>
      </c>
      <c r="M322" s="830">
        <f t="shared" si="202"/>
        <v>8.2191780821917804E-2</v>
      </c>
      <c r="N322" s="830">
        <f t="shared" si="202"/>
        <v>0.25</v>
      </c>
      <c r="O322" s="832">
        <f t="shared" si="202"/>
        <v>0.16369047619047619</v>
      </c>
      <c r="P322" s="832">
        <f t="shared" si="202"/>
        <v>0</v>
      </c>
      <c r="Q322" s="830">
        <f t="shared" si="202"/>
        <v>0</v>
      </c>
      <c r="R322" s="833">
        <f t="shared" si="202"/>
        <v>0</v>
      </c>
      <c r="S322" s="832">
        <f t="shared" si="202"/>
        <v>0</v>
      </c>
      <c r="T322" s="213"/>
      <c r="U322" s="349"/>
      <c r="V322" s="349">
        <v>249</v>
      </c>
      <c r="W322" s="349"/>
      <c r="X322" s="349"/>
      <c r="Y322" s="349">
        <v>93</v>
      </c>
      <c r="Z322" s="349">
        <v>18</v>
      </c>
      <c r="AA322" s="804">
        <v>360</v>
      </c>
      <c r="AB322" s="804"/>
      <c r="AC322" s="349"/>
      <c r="AD322" s="349">
        <v>22</v>
      </c>
      <c r="AE322" s="349">
        <v>6</v>
      </c>
      <c r="AF322" s="349">
        <v>26</v>
      </c>
      <c r="AG322" s="804">
        <v>55</v>
      </c>
      <c r="AH322" s="804"/>
      <c r="AI322" s="349"/>
      <c r="AJ322" s="813"/>
      <c r="AK322" s="804"/>
      <c r="AL322" s="209"/>
      <c r="AM322" s="209"/>
    </row>
    <row r="323" spans="1:39" s="80" customFormat="1">
      <c r="A323" s="239"/>
      <c r="B323" s="239" t="s">
        <v>55</v>
      </c>
      <c r="C323" s="832">
        <f>IF(U326&gt;0,(U323/U326),0)</f>
        <v>0</v>
      </c>
      <c r="D323" s="830">
        <f t="shared" ref="D323:S323" si="203">IF(V326&gt;0,(V323/V326),0)</f>
        <v>0.20678513731825526</v>
      </c>
      <c r="E323" s="830">
        <f t="shared" si="203"/>
        <v>0</v>
      </c>
      <c r="F323" s="830">
        <f t="shared" si="203"/>
        <v>0</v>
      </c>
      <c r="G323" s="830">
        <f t="shared" si="203"/>
        <v>0.24128686327077747</v>
      </c>
      <c r="H323" s="830">
        <f t="shared" si="203"/>
        <v>0.13333333333333333</v>
      </c>
      <c r="I323" s="832">
        <f t="shared" si="203"/>
        <v>0.2172211350293542</v>
      </c>
      <c r="J323" s="832">
        <f t="shared" si="203"/>
        <v>0</v>
      </c>
      <c r="K323" s="830">
        <f t="shared" si="203"/>
        <v>0</v>
      </c>
      <c r="L323" s="830">
        <f t="shared" si="203"/>
        <v>9.0322580645161285E-2</v>
      </c>
      <c r="M323" s="830">
        <f t="shared" si="203"/>
        <v>9.5890410958904104E-2</v>
      </c>
      <c r="N323" s="830">
        <f t="shared" si="203"/>
        <v>3.8461538461538464E-2</v>
      </c>
      <c r="O323" s="832">
        <f t="shared" si="203"/>
        <v>6.8452380952380959E-2</v>
      </c>
      <c r="P323" s="832">
        <f t="shared" si="203"/>
        <v>0</v>
      </c>
      <c r="Q323" s="830">
        <f t="shared" si="203"/>
        <v>0</v>
      </c>
      <c r="R323" s="833">
        <f t="shared" si="203"/>
        <v>0</v>
      </c>
      <c r="S323" s="832">
        <f t="shared" si="203"/>
        <v>0</v>
      </c>
      <c r="T323" s="213"/>
      <c r="U323" s="349"/>
      <c r="V323" s="349">
        <v>128</v>
      </c>
      <c r="W323" s="349"/>
      <c r="X323" s="349"/>
      <c r="Y323" s="349">
        <v>90</v>
      </c>
      <c r="Z323" s="349">
        <v>4</v>
      </c>
      <c r="AA323" s="804">
        <v>222</v>
      </c>
      <c r="AB323" s="804"/>
      <c r="AC323" s="349"/>
      <c r="AD323" s="349">
        <v>14</v>
      </c>
      <c r="AE323" s="349">
        <v>7</v>
      </c>
      <c r="AF323" s="349">
        <v>4</v>
      </c>
      <c r="AG323" s="804">
        <v>23</v>
      </c>
      <c r="AH323" s="804"/>
      <c r="AI323" s="349"/>
      <c r="AJ323" s="813"/>
      <c r="AK323" s="804"/>
      <c r="AL323" s="209"/>
      <c r="AM323" s="209"/>
    </row>
    <row r="324" spans="1:39" s="80" customFormat="1">
      <c r="A324" s="239"/>
      <c r="B324" s="239" t="s">
        <v>78</v>
      </c>
      <c r="C324" s="832">
        <f>IF(U326&gt;0,(U324/U326),0)</f>
        <v>0</v>
      </c>
      <c r="D324" s="830">
        <f t="shared" ref="D324:S324" si="204">IF(V326&gt;0,(V324/V326),0)</f>
        <v>3.2310177705977385E-3</v>
      </c>
      <c r="E324" s="830">
        <f t="shared" si="204"/>
        <v>0</v>
      </c>
      <c r="F324" s="830">
        <f t="shared" si="204"/>
        <v>0</v>
      </c>
      <c r="G324" s="830">
        <f t="shared" si="204"/>
        <v>1.3404825737265416E-2</v>
      </c>
      <c r="H324" s="830">
        <f t="shared" si="204"/>
        <v>6.6666666666666666E-2</v>
      </c>
      <c r="I324" s="832">
        <f t="shared" si="204"/>
        <v>8.8062622309197647E-3</v>
      </c>
      <c r="J324" s="832">
        <f t="shared" si="204"/>
        <v>0</v>
      </c>
      <c r="K324" s="830">
        <f t="shared" si="204"/>
        <v>0</v>
      </c>
      <c r="L324" s="830">
        <f t="shared" si="204"/>
        <v>0</v>
      </c>
      <c r="M324" s="830">
        <f t="shared" si="204"/>
        <v>6.8493150684931503E-2</v>
      </c>
      <c r="N324" s="830">
        <f t="shared" si="204"/>
        <v>6.7307692307692304E-2</v>
      </c>
      <c r="O324" s="832">
        <f t="shared" si="204"/>
        <v>2.6785714285714284E-2</v>
      </c>
      <c r="P324" s="832">
        <f t="shared" si="204"/>
        <v>0</v>
      </c>
      <c r="Q324" s="830">
        <f t="shared" si="204"/>
        <v>0</v>
      </c>
      <c r="R324" s="833">
        <f t="shared" si="204"/>
        <v>0</v>
      </c>
      <c r="S324" s="832">
        <f t="shared" si="204"/>
        <v>0</v>
      </c>
      <c r="T324" s="213"/>
      <c r="U324" s="349"/>
      <c r="V324" s="349">
        <v>2</v>
      </c>
      <c r="W324" s="349"/>
      <c r="X324" s="349"/>
      <c r="Y324" s="349">
        <v>5</v>
      </c>
      <c r="Z324" s="349">
        <v>2</v>
      </c>
      <c r="AA324" s="804">
        <v>9</v>
      </c>
      <c r="AB324" s="804"/>
      <c r="AC324" s="349"/>
      <c r="AD324" s="349"/>
      <c r="AE324" s="349">
        <v>5</v>
      </c>
      <c r="AF324" s="349">
        <v>7</v>
      </c>
      <c r="AG324" s="804">
        <v>9</v>
      </c>
      <c r="AH324" s="804"/>
      <c r="AI324" s="349"/>
      <c r="AJ324" s="813"/>
      <c r="AK324" s="804"/>
      <c r="AL324" s="209"/>
      <c r="AM324" s="209"/>
    </row>
    <row r="325" spans="1:39" s="80" customFormat="1">
      <c r="A325" s="580"/>
      <c r="B325" s="580" t="s">
        <v>131</v>
      </c>
      <c r="C325" s="832">
        <f>IF(U326&gt;0,(U325/U326),0)</f>
        <v>0</v>
      </c>
      <c r="D325" s="830">
        <f t="shared" ref="D325:S325" si="205">IF(V326&gt;0,(V325/V326),0)</f>
        <v>6.462035541195477E-3</v>
      </c>
      <c r="E325" s="830">
        <f t="shared" si="205"/>
        <v>0</v>
      </c>
      <c r="F325" s="830">
        <f t="shared" si="205"/>
        <v>0</v>
      </c>
      <c r="G325" s="830">
        <f t="shared" si="205"/>
        <v>0.10455764075067024</v>
      </c>
      <c r="H325" s="830">
        <f t="shared" si="205"/>
        <v>3.3333333333333333E-2</v>
      </c>
      <c r="I325" s="832">
        <f t="shared" si="205"/>
        <v>4.3052837573385516E-2</v>
      </c>
      <c r="J325" s="832">
        <f t="shared" si="205"/>
        <v>0</v>
      </c>
      <c r="K325" s="830">
        <f t="shared" si="205"/>
        <v>0</v>
      </c>
      <c r="L325" s="830">
        <f t="shared" si="205"/>
        <v>0</v>
      </c>
      <c r="M325" s="830">
        <f t="shared" si="205"/>
        <v>0</v>
      </c>
      <c r="N325" s="830">
        <f t="shared" si="205"/>
        <v>0</v>
      </c>
      <c r="O325" s="832">
        <f t="shared" si="205"/>
        <v>0</v>
      </c>
      <c r="P325" s="832">
        <f t="shared" si="205"/>
        <v>0</v>
      </c>
      <c r="Q325" s="830">
        <f t="shared" si="205"/>
        <v>0</v>
      </c>
      <c r="R325" s="833">
        <f t="shared" si="205"/>
        <v>0</v>
      </c>
      <c r="S325" s="832">
        <f t="shared" si="205"/>
        <v>0</v>
      </c>
      <c r="T325" s="213"/>
      <c r="U325" s="349"/>
      <c r="V325" s="349">
        <v>4</v>
      </c>
      <c r="W325" s="349"/>
      <c r="X325" s="349"/>
      <c r="Y325" s="349">
        <v>39</v>
      </c>
      <c r="Z325" s="349">
        <v>1</v>
      </c>
      <c r="AA325" s="804">
        <v>44</v>
      </c>
      <c r="AB325" s="804"/>
      <c r="AC325" s="349"/>
      <c r="AD325" s="349"/>
      <c r="AE325" s="349"/>
      <c r="AF325" s="349"/>
      <c r="AG325" s="804"/>
      <c r="AH325" s="804"/>
      <c r="AI325" s="349"/>
      <c r="AJ325" s="813"/>
      <c r="AK325" s="804"/>
      <c r="AL325" s="209"/>
      <c r="AM325" s="209"/>
    </row>
    <row r="326" spans="1:39" s="80" customFormat="1">
      <c r="A326" s="436"/>
      <c r="B326" s="436" t="s">
        <v>59</v>
      </c>
      <c r="C326" s="834">
        <f>IF(U326&gt;0,(U326/U326),0)</f>
        <v>0</v>
      </c>
      <c r="D326" s="835">
        <f t="shared" ref="D326:S326" si="206">IF(V326&gt;0,(V326/V326),0)</f>
        <v>1</v>
      </c>
      <c r="E326" s="835">
        <f t="shared" si="206"/>
        <v>0</v>
      </c>
      <c r="F326" s="835">
        <f t="shared" si="206"/>
        <v>0</v>
      </c>
      <c r="G326" s="835">
        <f t="shared" si="206"/>
        <v>1</v>
      </c>
      <c r="H326" s="835">
        <f t="shared" si="206"/>
        <v>1</v>
      </c>
      <c r="I326" s="834">
        <f t="shared" si="206"/>
        <v>1</v>
      </c>
      <c r="J326" s="834">
        <f t="shared" si="206"/>
        <v>0</v>
      </c>
      <c r="K326" s="835">
        <f t="shared" si="206"/>
        <v>0</v>
      </c>
      <c r="L326" s="835">
        <f t="shared" si="206"/>
        <v>1</v>
      </c>
      <c r="M326" s="835">
        <f t="shared" si="206"/>
        <v>1</v>
      </c>
      <c r="N326" s="835">
        <f t="shared" si="206"/>
        <v>1</v>
      </c>
      <c r="O326" s="834">
        <f t="shared" si="206"/>
        <v>1</v>
      </c>
      <c r="P326" s="834">
        <f t="shared" si="206"/>
        <v>0</v>
      </c>
      <c r="Q326" s="835">
        <f t="shared" si="206"/>
        <v>0</v>
      </c>
      <c r="R326" s="836">
        <f t="shared" si="206"/>
        <v>0</v>
      </c>
      <c r="S326" s="834">
        <f t="shared" si="206"/>
        <v>0</v>
      </c>
      <c r="T326" s="213"/>
      <c r="U326" s="816"/>
      <c r="V326" s="816">
        <v>619</v>
      </c>
      <c r="W326" s="816"/>
      <c r="X326" s="816"/>
      <c r="Y326" s="816">
        <v>373</v>
      </c>
      <c r="Z326" s="816">
        <v>30</v>
      </c>
      <c r="AA326" s="805">
        <v>1022</v>
      </c>
      <c r="AB326" s="805"/>
      <c r="AC326" s="816"/>
      <c r="AD326" s="816">
        <v>155</v>
      </c>
      <c r="AE326" s="816">
        <v>73</v>
      </c>
      <c r="AF326" s="816">
        <v>104</v>
      </c>
      <c r="AG326" s="805">
        <v>336</v>
      </c>
      <c r="AH326" s="805"/>
      <c r="AI326" s="816"/>
      <c r="AJ326" s="817"/>
      <c r="AK326" s="805"/>
      <c r="AL326" s="209"/>
      <c r="AM326" s="209"/>
    </row>
    <row r="327" spans="1:39" s="80" customFormat="1">
      <c r="A327" s="240" t="s">
        <v>156</v>
      </c>
      <c r="B327" s="240" t="s">
        <v>53</v>
      </c>
      <c r="C327" s="829">
        <f>IF(U332&gt;0,(U327/U332),0)</f>
        <v>0.44776119402985076</v>
      </c>
      <c r="D327" s="830">
        <f t="shared" ref="D327:S327" si="207">IF(V332&gt;0,(V327/V332),0)</f>
        <v>0.38077858880778587</v>
      </c>
      <c r="E327" s="830">
        <f t="shared" si="207"/>
        <v>0.35949868073878627</v>
      </c>
      <c r="F327" s="830">
        <f t="shared" si="207"/>
        <v>0.28712871287128711</v>
      </c>
      <c r="G327" s="830">
        <f t="shared" si="207"/>
        <v>0.26937269372693728</v>
      </c>
      <c r="H327" s="830">
        <f t="shared" si="207"/>
        <v>0</v>
      </c>
      <c r="I327" s="829">
        <f t="shared" si="207"/>
        <v>0.36779692421715771</v>
      </c>
      <c r="J327" s="829">
        <f t="shared" si="207"/>
        <v>0</v>
      </c>
      <c r="K327" s="830">
        <f t="shared" si="207"/>
        <v>0.30343897505057316</v>
      </c>
      <c r="L327" s="830">
        <f t="shared" si="207"/>
        <v>0.14789915966386555</v>
      </c>
      <c r="M327" s="830">
        <f t="shared" si="207"/>
        <v>0.1276595744680851</v>
      </c>
      <c r="N327" s="830">
        <f t="shared" si="207"/>
        <v>0</v>
      </c>
      <c r="O327" s="829">
        <f t="shared" si="207"/>
        <v>0.24941724941724941</v>
      </c>
      <c r="P327" s="829">
        <f t="shared" si="207"/>
        <v>0</v>
      </c>
      <c r="Q327" s="830">
        <f t="shared" si="207"/>
        <v>0</v>
      </c>
      <c r="R327" s="831">
        <f t="shared" si="207"/>
        <v>0</v>
      </c>
      <c r="S327" s="829">
        <f t="shared" si="207"/>
        <v>0</v>
      </c>
      <c r="T327" s="213"/>
      <c r="U327" s="349">
        <v>720</v>
      </c>
      <c r="V327" s="349">
        <v>313</v>
      </c>
      <c r="W327" s="349">
        <v>545</v>
      </c>
      <c r="X327" s="349">
        <v>261</v>
      </c>
      <c r="Y327" s="349">
        <v>146</v>
      </c>
      <c r="Z327" s="349"/>
      <c r="AA327" s="803">
        <v>1985</v>
      </c>
      <c r="AB327" s="803"/>
      <c r="AC327" s="349">
        <v>450</v>
      </c>
      <c r="AD327" s="349">
        <v>88</v>
      </c>
      <c r="AE327" s="349">
        <v>6</v>
      </c>
      <c r="AF327" s="349"/>
      <c r="AG327" s="803">
        <v>535</v>
      </c>
      <c r="AH327" s="803"/>
      <c r="AI327" s="349"/>
      <c r="AJ327" s="812"/>
      <c r="AK327" s="803"/>
      <c r="AL327" s="209"/>
      <c r="AM327" s="209"/>
    </row>
    <row r="328" spans="1:39" s="80" customFormat="1">
      <c r="A328" s="239"/>
      <c r="B328" s="239" t="s">
        <v>93</v>
      </c>
      <c r="C328" s="832">
        <f>IF(U332&gt;0,(U328/U332),0)</f>
        <v>0.27176616915422885</v>
      </c>
      <c r="D328" s="830">
        <f t="shared" ref="D328:S328" si="208">IF(V332&gt;0,(V328/V332),0)</f>
        <v>0.24817518248175183</v>
      </c>
      <c r="E328" s="830">
        <f t="shared" si="208"/>
        <v>0.29815303430079154</v>
      </c>
      <c r="F328" s="830">
        <f t="shared" si="208"/>
        <v>0.35533553355335534</v>
      </c>
      <c r="G328" s="830">
        <f t="shared" si="208"/>
        <v>0.31918819188191883</v>
      </c>
      <c r="H328" s="830">
        <f t="shared" si="208"/>
        <v>0</v>
      </c>
      <c r="I328" s="832">
        <f t="shared" si="208"/>
        <v>0.29442282749675747</v>
      </c>
      <c r="J328" s="832">
        <f t="shared" si="208"/>
        <v>0</v>
      </c>
      <c r="K328" s="830">
        <f t="shared" si="208"/>
        <v>0.2528658125421443</v>
      </c>
      <c r="L328" s="830">
        <f t="shared" si="208"/>
        <v>0.17310924369747899</v>
      </c>
      <c r="M328" s="830">
        <f t="shared" si="208"/>
        <v>0.25531914893617019</v>
      </c>
      <c r="N328" s="830">
        <f t="shared" si="208"/>
        <v>0</v>
      </c>
      <c r="O328" s="832">
        <f t="shared" si="208"/>
        <v>0.23170163170163169</v>
      </c>
      <c r="P328" s="832">
        <f t="shared" si="208"/>
        <v>0</v>
      </c>
      <c r="Q328" s="830">
        <f t="shared" si="208"/>
        <v>0</v>
      </c>
      <c r="R328" s="833">
        <f t="shared" si="208"/>
        <v>0</v>
      </c>
      <c r="S328" s="832">
        <f t="shared" si="208"/>
        <v>0</v>
      </c>
      <c r="T328" s="213"/>
      <c r="U328" s="349">
        <v>437</v>
      </c>
      <c r="V328" s="349">
        <v>204</v>
      </c>
      <c r="W328" s="349">
        <v>452</v>
      </c>
      <c r="X328" s="349">
        <v>323</v>
      </c>
      <c r="Y328" s="349">
        <v>173</v>
      </c>
      <c r="Z328" s="349"/>
      <c r="AA328" s="804">
        <v>1589</v>
      </c>
      <c r="AB328" s="804"/>
      <c r="AC328" s="349">
        <v>375</v>
      </c>
      <c r="AD328" s="349">
        <v>103</v>
      </c>
      <c r="AE328" s="349">
        <v>12</v>
      </c>
      <c r="AF328" s="349"/>
      <c r="AG328" s="804">
        <v>497</v>
      </c>
      <c r="AH328" s="804"/>
      <c r="AI328" s="349"/>
      <c r="AJ328" s="813"/>
      <c r="AK328" s="804"/>
      <c r="AL328" s="209"/>
      <c r="AM328" s="209"/>
    </row>
    <row r="329" spans="1:39" s="80" customFormat="1">
      <c r="A329" s="239"/>
      <c r="B329" s="239" t="s">
        <v>55</v>
      </c>
      <c r="C329" s="832">
        <f>IF(U332&gt;0,(U329/U332),0)</f>
        <v>0.17537313432835822</v>
      </c>
      <c r="D329" s="830">
        <f t="shared" ref="D329:S329" si="209">IF(V332&gt;0,(V329/V332),0)</f>
        <v>0.15206812652068127</v>
      </c>
      <c r="E329" s="830">
        <f t="shared" si="209"/>
        <v>0.30474934036939316</v>
      </c>
      <c r="F329" s="830">
        <f t="shared" si="209"/>
        <v>0.32673267326732675</v>
      </c>
      <c r="G329" s="830">
        <f t="shared" si="209"/>
        <v>0.40036900369003692</v>
      </c>
      <c r="H329" s="830">
        <f t="shared" si="209"/>
        <v>0</v>
      </c>
      <c r="I329" s="832">
        <f t="shared" si="209"/>
        <v>0.25625347415230681</v>
      </c>
      <c r="J329" s="832">
        <f t="shared" si="209"/>
        <v>0</v>
      </c>
      <c r="K329" s="830">
        <f t="shared" si="209"/>
        <v>0.30411328388401887</v>
      </c>
      <c r="L329" s="830">
        <f t="shared" si="209"/>
        <v>0.35966386554621849</v>
      </c>
      <c r="M329" s="830">
        <f t="shared" si="209"/>
        <v>0.42553191489361702</v>
      </c>
      <c r="N329" s="830">
        <f t="shared" si="209"/>
        <v>0</v>
      </c>
      <c r="O329" s="832">
        <f t="shared" si="209"/>
        <v>0.32960372960372958</v>
      </c>
      <c r="P329" s="832">
        <f t="shared" si="209"/>
        <v>0</v>
      </c>
      <c r="Q329" s="830">
        <f t="shared" si="209"/>
        <v>0</v>
      </c>
      <c r="R329" s="833">
        <f t="shared" si="209"/>
        <v>0</v>
      </c>
      <c r="S329" s="832">
        <f t="shared" si="209"/>
        <v>0</v>
      </c>
      <c r="T329" s="213"/>
      <c r="U329" s="349">
        <v>282</v>
      </c>
      <c r="V329" s="349">
        <v>125</v>
      </c>
      <c r="W329" s="349">
        <v>462</v>
      </c>
      <c r="X329" s="349">
        <v>297</v>
      </c>
      <c r="Y329" s="349">
        <v>217</v>
      </c>
      <c r="Z329" s="349"/>
      <c r="AA329" s="804">
        <v>1383</v>
      </c>
      <c r="AB329" s="804"/>
      <c r="AC329" s="349">
        <v>451</v>
      </c>
      <c r="AD329" s="349">
        <v>214</v>
      </c>
      <c r="AE329" s="349">
        <v>20</v>
      </c>
      <c r="AF329" s="349"/>
      <c r="AG329" s="804">
        <v>707</v>
      </c>
      <c r="AH329" s="804"/>
      <c r="AI329" s="349"/>
      <c r="AJ329" s="813"/>
      <c r="AK329" s="804"/>
      <c r="AL329" s="209"/>
      <c r="AM329" s="209"/>
    </row>
    <row r="330" spans="1:39" s="80" customFormat="1">
      <c r="A330" s="239"/>
      <c r="B330" s="239" t="s">
        <v>78</v>
      </c>
      <c r="C330" s="832">
        <f>IF(U332&gt;0,(U330/U332),0)</f>
        <v>7.8358208955223885E-2</v>
      </c>
      <c r="D330" s="830">
        <f t="shared" ref="D330:S330" si="210">IF(V332&gt;0,(V330/V332),0)</f>
        <v>9.2457420924574207E-2</v>
      </c>
      <c r="E330" s="830">
        <f t="shared" si="210"/>
        <v>3.7598944591029027E-2</v>
      </c>
      <c r="F330" s="830">
        <f t="shared" si="210"/>
        <v>2.2002200220022004E-2</v>
      </c>
      <c r="G330" s="830">
        <f t="shared" si="210"/>
        <v>1.107011070110701E-2</v>
      </c>
      <c r="H330" s="830">
        <f t="shared" si="210"/>
        <v>0</v>
      </c>
      <c r="I330" s="832">
        <f t="shared" si="210"/>
        <v>5.2807115063924402E-2</v>
      </c>
      <c r="J330" s="832">
        <f t="shared" si="210"/>
        <v>0</v>
      </c>
      <c r="K330" s="830">
        <f t="shared" si="210"/>
        <v>0.12879298718813217</v>
      </c>
      <c r="L330" s="830">
        <f t="shared" si="210"/>
        <v>0.24537815126050419</v>
      </c>
      <c r="M330" s="830">
        <f t="shared" si="210"/>
        <v>0.1276595744680851</v>
      </c>
      <c r="N330" s="830">
        <f t="shared" si="210"/>
        <v>0</v>
      </c>
      <c r="O330" s="832">
        <f t="shared" si="210"/>
        <v>0.15664335664335666</v>
      </c>
      <c r="P330" s="832">
        <f t="shared" si="210"/>
        <v>0</v>
      </c>
      <c r="Q330" s="830">
        <f t="shared" si="210"/>
        <v>0</v>
      </c>
      <c r="R330" s="833">
        <f t="shared" si="210"/>
        <v>0</v>
      </c>
      <c r="S330" s="832">
        <f t="shared" si="210"/>
        <v>0</v>
      </c>
      <c r="T330" s="213"/>
      <c r="U330" s="349">
        <v>126</v>
      </c>
      <c r="V330" s="349">
        <v>76</v>
      </c>
      <c r="W330" s="349">
        <v>57</v>
      </c>
      <c r="X330" s="349">
        <v>20</v>
      </c>
      <c r="Y330" s="349">
        <v>6</v>
      </c>
      <c r="Z330" s="349"/>
      <c r="AA330" s="804">
        <v>285</v>
      </c>
      <c r="AB330" s="804"/>
      <c r="AC330" s="349">
        <v>191</v>
      </c>
      <c r="AD330" s="349">
        <v>146</v>
      </c>
      <c r="AE330" s="349">
        <v>6</v>
      </c>
      <c r="AF330" s="349"/>
      <c r="AG330" s="804">
        <v>336</v>
      </c>
      <c r="AH330" s="804"/>
      <c r="AI330" s="349"/>
      <c r="AJ330" s="813"/>
      <c r="AK330" s="804"/>
      <c r="AL330" s="209"/>
      <c r="AM330" s="209"/>
    </row>
    <row r="331" spans="1:39" s="80" customFormat="1">
      <c r="A331" s="580"/>
      <c r="B331" s="580" t="s">
        <v>131</v>
      </c>
      <c r="C331" s="832">
        <f>IF(U332&gt;0,(U331/U332),0)</f>
        <v>2.6741293532338308E-2</v>
      </c>
      <c r="D331" s="830">
        <f t="shared" ref="D331:S331" si="211">IF(V332&gt;0,(V331/V332),0)</f>
        <v>0.12652068126520682</v>
      </c>
      <c r="E331" s="830">
        <f t="shared" si="211"/>
        <v>0</v>
      </c>
      <c r="F331" s="830">
        <f t="shared" si="211"/>
        <v>8.8008800880088004E-3</v>
      </c>
      <c r="G331" s="830">
        <f t="shared" si="211"/>
        <v>0</v>
      </c>
      <c r="H331" s="830">
        <f t="shared" si="211"/>
        <v>0</v>
      </c>
      <c r="I331" s="832">
        <f t="shared" si="211"/>
        <v>2.8719659069853621E-2</v>
      </c>
      <c r="J331" s="832">
        <f t="shared" si="211"/>
        <v>0</v>
      </c>
      <c r="K331" s="830">
        <f t="shared" si="211"/>
        <v>1.078894133513149E-2</v>
      </c>
      <c r="L331" s="830">
        <f t="shared" si="211"/>
        <v>7.3949579831932774E-2</v>
      </c>
      <c r="M331" s="830">
        <f t="shared" si="211"/>
        <v>6.3829787234042548E-2</v>
      </c>
      <c r="N331" s="830">
        <f t="shared" si="211"/>
        <v>0</v>
      </c>
      <c r="O331" s="832">
        <f t="shared" si="211"/>
        <v>3.2634032634032632E-2</v>
      </c>
      <c r="P331" s="832">
        <f t="shared" si="211"/>
        <v>0</v>
      </c>
      <c r="Q331" s="830">
        <f t="shared" si="211"/>
        <v>0</v>
      </c>
      <c r="R331" s="833">
        <f t="shared" si="211"/>
        <v>0</v>
      </c>
      <c r="S331" s="832">
        <f t="shared" si="211"/>
        <v>0</v>
      </c>
      <c r="T331" s="213"/>
      <c r="U331" s="349">
        <v>43</v>
      </c>
      <c r="V331" s="349">
        <v>104</v>
      </c>
      <c r="W331" s="349"/>
      <c r="X331" s="349">
        <v>8</v>
      </c>
      <c r="Y331" s="349"/>
      <c r="Z331" s="349"/>
      <c r="AA331" s="804">
        <v>155</v>
      </c>
      <c r="AB331" s="804"/>
      <c r="AC331" s="349">
        <v>16</v>
      </c>
      <c r="AD331" s="349">
        <v>44</v>
      </c>
      <c r="AE331" s="349">
        <v>3</v>
      </c>
      <c r="AF331" s="349"/>
      <c r="AG331" s="804">
        <v>70</v>
      </c>
      <c r="AH331" s="804"/>
      <c r="AI331" s="349"/>
      <c r="AJ331" s="813"/>
      <c r="AK331" s="804"/>
      <c r="AL331" s="209"/>
      <c r="AM331" s="209"/>
    </row>
    <row r="332" spans="1:39" s="80" customFormat="1">
      <c r="A332" s="436"/>
      <c r="B332" s="436" t="s">
        <v>59</v>
      </c>
      <c r="C332" s="834">
        <f>IF(U332&gt;0,(U332/U332),0)</f>
        <v>1</v>
      </c>
      <c r="D332" s="835">
        <f t="shared" ref="D332:S332" si="212">IF(V332&gt;0,(V332/V332),0)</f>
        <v>1</v>
      </c>
      <c r="E332" s="835">
        <f t="shared" si="212"/>
        <v>1</v>
      </c>
      <c r="F332" s="835">
        <f t="shared" si="212"/>
        <v>1</v>
      </c>
      <c r="G332" s="835">
        <f t="shared" si="212"/>
        <v>1</v>
      </c>
      <c r="H332" s="835">
        <f t="shared" si="212"/>
        <v>0</v>
      </c>
      <c r="I332" s="834">
        <f t="shared" si="212"/>
        <v>1</v>
      </c>
      <c r="J332" s="834">
        <f t="shared" si="212"/>
        <v>0</v>
      </c>
      <c r="K332" s="835">
        <f t="shared" si="212"/>
        <v>1</v>
      </c>
      <c r="L332" s="835">
        <f t="shared" si="212"/>
        <v>1</v>
      </c>
      <c r="M332" s="835">
        <f t="shared" si="212"/>
        <v>1</v>
      </c>
      <c r="N332" s="835">
        <f t="shared" si="212"/>
        <v>0</v>
      </c>
      <c r="O332" s="834">
        <f t="shared" si="212"/>
        <v>1</v>
      </c>
      <c r="P332" s="834">
        <f t="shared" si="212"/>
        <v>0</v>
      </c>
      <c r="Q332" s="835">
        <f t="shared" si="212"/>
        <v>0</v>
      </c>
      <c r="R332" s="836">
        <f t="shared" si="212"/>
        <v>0</v>
      </c>
      <c r="S332" s="834">
        <f t="shared" si="212"/>
        <v>0</v>
      </c>
      <c r="T332" s="213"/>
      <c r="U332" s="816">
        <v>1608</v>
      </c>
      <c r="V332" s="816">
        <v>822</v>
      </c>
      <c r="W332" s="816">
        <v>1516</v>
      </c>
      <c r="X332" s="816">
        <v>909</v>
      </c>
      <c r="Y332" s="816">
        <v>542</v>
      </c>
      <c r="Z332" s="816"/>
      <c r="AA332" s="805">
        <v>5397</v>
      </c>
      <c r="AB332" s="805"/>
      <c r="AC332" s="816">
        <v>1483</v>
      </c>
      <c r="AD332" s="816">
        <v>595</v>
      </c>
      <c r="AE332" s="816">
        <v>47</v>
      </c>
      <c r="AF332" s="816"/>
      <c r="AG332" s="805">
        <v>2145</v>
      </c>
      <c r="AH332" s="805"/>
      <c r="AI332" s="816"/>
      <c r="AJ332" s="817"/>
      <c r="AK332" s="805"/>
      <c r="AL332" s="209"/>
      <c r="AM332" s="209"/>
    </row>
    <row r="333" spans="1:39" s="80" customFormat="1">
      <c r="A333" s="240" t="s">
        <v>159</v>
      </c>
      <c r="B333" s="240" t="s">
        <v>53</v>
      </c>
      <c r="C333" s="829">
        <f>IF(U338&gt;0,(U333/U338),0)</f>
        <v>0.33885350318471336</v>
      </c>
      <c r="D333" s="830">
        <f t="shared" ref="D333:S333" si="213">IF(V338&gt;0,(V333/V338),0)</f>
        <v>0</v>
      </c>
      <c r="E333" s="830">
        <f t="shared" si="213"/>
        <v>0.30377588306942754</v>
      </c>
      <c r="F333" s="830">
        <f t="shared" si="213"/>
        <v>0.28774193548387095</v>
      </c>
      <c r="G333" s="830">
        <f t="shared" si="213"/>
        <v>0.24353448275862069</v>
      </c>
      <c r="H333" s="830">
        <f t="shared" si="213"/>
        <v>0.22473404255319149</v>
      </c>
      <c r="I333" s="829">
        <f t="shared" si="213"/>
        <v>0.29373021982721753</v>
      </c>
      <c r="J333" s="829">
        <f t="shared" si="213"/>
        <v>0</v>
      </c>
      <c r="K333" s="830">
        <f t="shared" si="213"/>
        <v>0.30834403080872913</v>
      </c>
      <c r="L333" s="830">
        <f t="shared" si="213"/>
        <v>0.32680115273775218</v>
      </c>
      <c r="M333" s="830">
        <f t="shared" si="213"/>
        <v>0.22175732217573221</v>
      </c>
      <c r="N333" s="830">
        <f t="shared" si="213"/>
        <v>0</v>
      </c>
      <c r="O333" s="829">
        <f t="shared" si="213"/>
        <v>0.2930746068919371</v>
      </c>
      <c r="P333" s="829">
        <f t="shared" si="213"/>
        <v>0</v>
      </c>
      <c r="Q333" s="830">
        <f t="shared" si="213"/>
        <v>0</v>
      </c>
      <c r="R333" s="831">
        <f t="shared" si="213"/>
        <v>0</v>
      </c>
      <c r="S333" s="829">
        <f t="shared" si="213"/>
        <v>0</v>
      </c>
      <c r="T333" s="213"/>
      <c r="U333" s="349">
        <v>1064</v>
      </c>
      <c r="V333" s="349"/>
      <c r="W333" s="349">
        <v>1247</v>
      </c>
      <c r="X333" s="349">
        <v>446</v>
      </c>
      <c r="Y333" s="349">
        <v>339</v>
      </c>
      <c r="Z333" s="349">
        <v>338</v>
      </c>
      <c r="AA333" s="803">
        <v>3434</v>
      </c>
      <c r="AB333" s="803"/>
      <c r="AC333" s="349">
        <v>1201</v>
      </c>
      <c r="AD333" s="349">
        <v>567</v>
      </c>
      <c r="AE333" s="349">
        <v>53</v>
      </c>
      <c r="AF333" s="349"/>
      <c r="AG333" s="803">
        <v>1752</v>
      </c>
      <c r="AH333" s="803"/>
      <c r="AI333" s="349"/>
      <c r="AJ333" s="812"/>
      <c r="AK333" s="803"/>
      <c r="AL333" s="209"/>
      <c r="AM333" s="209"/>
    </row>
    <row r="334" spans="1:39" s="80" customFormat="1">
      <c r="A334" s="239"/>
      <c r="B334" s="239" t="s">
        <v>93</v>
      </c>
      <c r="C334" s="832">
        <f>IF(U338&gt;0,(U334/U338),0)</f>
        <v>0.29076433121019107</v>
      </c>
      <c r="D334" s="830">
        <f t="shared" ref="D334:S334" si="214">IF(V338&gt;0,(V334/V338),0)</f>
        <v>0</v>
      </c>
      <c r="E334" s="830">
        <f t="shared" si="214"/>
        <v>0.28282582216808771</v>
      </c>
      <c r="F334" s="830">
        <f t="shared" si="214"/>
        <v>0.32967741935483869</v>
      </c>
      <c r="G334" s="830">
        <f t="shared" si="214"/>
        <v>0.31609195402298851</v>
      </c>
      <c r="H334" s="830">
        <f t="shared" si="214"/>
        <v>0.23204787234042554</v>
      </c>
      <c r="I334" s="832">
        <f t="shared" si="214"/>
        <v>0.28859806688905998</v>
      </c>
      <c r="J334" s="832">
        <f t="shared" si="214"/>
        <v>0</v>
      </c>
      <c r="K334" s="830">
        <f t="shared" si="214"/>
        <v>0.1815147625160462</v>
      </c>
      <c r="L334" s="830">
        <f t="shared" si="214"/>
        <v>0.2138328530259366</v>
      </c>
      <c r="M334" s="830">
        <f t="shared" si="214"/>
        <v>0.2594142259414226</v>
      </c>
      <c r="N334" s="830">
        <f t="shared" si="214"/>
        <v>0</v>
      </c>
      <c r="O334" s="832">
        <f t="shared" si="214"/>
        <v>0.20140515222482436</v>
      </c>
      <c r="P334" s="832">
        <f t="shared" si="214"/>
        <v>0</v>
      </c>
      <c r="Q334" s="830">
        <f t="shared" si="214"/>
        <v>0</v>
      </c>
      <c r="R334" s="833">
        <f t="shared" si="214"/>
        <v>0</v>
      </c>
      <c r="S334" s="832">
        <f t="shared" si="214"/>
        <v>0</v>
      </c>
      <c r="T334" s="213"/>
      <c r="U334" s="349">
        <v>913</v>
      </c>
      <c r="V334" s="349"/>
      <c r="W334" s="349">
        <v>1161</v>
      </c>
      <c r="X334" s="349">
        <v>511</v>
      </c>
      <c r="Y334" s="349">
        <v>440</v>
      </c>
      <c r="Z334" s="349">
        <v>349</v>
      </c>
      <c r="AA334" s="804">
        <v>3374</v>
      </c>
      <c r="AB334" s="804"/>
      <c r="AC334" s="349">
        <v>707</v>
      </c>
      <c r="AD334" s="349">
        <v>371</v>
      </c>
      <c r="AE334" s="349">
        <v>62</v>
      </c>
      <c r="AF334" s="349"/>
      <c r="AG334" s="804">
        <v>1204</v>
      </c>
      <c r="AH334" s="804"/>
      <c r="AI334" s="349"/>
      <c r="AJ334" s="813"/>
      <c r="AK334" s="804"/>
      <c r="AL334" s="209"/>
      <c r="AM334" s="209"/>
    </row>
    <row r="335" spans="1:39" s="80" customFormat="1">
      <c r="A335" s="239"/>
      <c r="B335" s="239" t="s">
        <v>55</v>
      </c>
      <c r="C335" s="832">
        <f>IF(U338&gt;0,(U335/U338),0)</f>
        <v>0.27675159235668789</v>
      </c>
      <c r="D335" s="830">
        <f t="shared" ref="D335:S335" si="215">IF(V338&gt;0,(V335/V338),0)</f>
        <v>0</v>
      </c>
      <c r="E335" s="830">
        <f t="shared" si="215"/>
        <v>0.31498172959805115</v>
      </c>
      <c r="F335" s="830">
        <f t="shared" si="215"/>
        <v>0.28645161290322579</v>
      </c>
      <c r="G335" s="830">
        <f t="shared" si="215"/>
        <v>0.3204022988505747</v>
      </c>
      <c r="H335" s="830">
        <f t="shared" si="215"/>
        <v>0.39694148936170215</v>
      </c>
      <c r="I335" s="832">
        <f t="shared" si="215"/>
        <v>0.31212043452228211</v>
      </c>
      <c r="J335" s="832">
        <f t="shared" si="215"/>
        <v>0</v>
      </c>
      <c r="K335" s="830">
        <f t="shared" si="215"/>
        <v>0.30603337612323489</v>
      </c>
      <c r="L335" s="830">
        <f t="shared" si="215"/>
        <v>0.26743515850144089</v>
      </c>
      <c r="M335" s="830">
        <f t="shared" si="215"/>
        <v>0.28033472803347281</v>
      </c>
      <c r="N335" s="830">
        <f t="shared" si="215"/>
        <v>0</v>
      </c>
      <c r="O335" s="832">
        <f t="shared" si="215"/>
        <v>0.30210772833723654</v>
      </c>
      <c r="P335" s="832">
        <f t="shared" si="215"/>
        <v>0</v>
      </c>
      <c r="Q335" s="830">
        <f t="shared" si="215"/>
        <v>0</v>
      </c>
      <c r="R335" s="833">
        <f t="shared" si="215"/>
        <v>0</v>
      </c>
      <c r="S335" s="832">
        <f t="shared" si="215"/>
        <v>0</v>
      </c>
      <c r="T335" s="213"/>
      <c r="U335" s="349">
        <v>869</v>
      </c>
      <c r="V335" s="349"/>
      <c r="W335" s="349">
        <v>1293</v>
      </c>
      <c r="X335" s="349">
        <v>444</v>
      </c>
      <c r="Y335" s="349">
        <v>446</v>
      </c>
      <c r="Z335" s="349">
        <v>597</v>
      </c>
      <c r="AA335" s="804">
        <v>3649</v>
      </c>
      <c r="AB335" s="804"/>
      <c r="AC335" s="349">
        <v>1192</v>
      </c>
      <c r="AD335" s="349">
        <v>464</v>
      </c>
      <c r="AE335" s="349">
        <v>67</v>
      </c>
      <c r="AF335" s="349"/>
      <c r="AG335" s="804">
        <v>1806</v>
      </c>
      <c r="AH335" s="804"/>
      <c r="AI335" s="349"/>
      <c r="AJ335" s="813"/>
      <c r="AK335" s="804"/>
      <c r="AL335" s="209"/>
      <c r="AM335" s="209"/>
    </row>
    <row r="336" spans="1:39" s="80" customFormat="1">
      <c r="A336" s="239"/>
      <c r="B336" s="239" t="s">
        <v>78</v>
      </c>
      <c r="C336" s="832">
        <f>IF(U338&gt;0,(U336/U338),0)</f>
        <v>9.8726114649681524E-3</v>
      </c>
      <c r="D336" s="830">
        <f t="shared" ref="D336:S336" si="216">IF(V338&gt;0,(V336/V338),0)</f>
        <v>0</v>
      </c>
      <c r="E336" s="830">
        <f t="shared" si="216"/>
        <v>2.0706455542021926E-2</v>
      </c>
      <c r="F336" s="830">
        <f t="shared" si="216"/>
        <v>1.870967741935484E-2</v>
      </c>
      <c r="G336" s="830">
        <f t="shared" si="216"/>
        <v>1.221264367816092E-2</v>
      </c>
      <c r="H336" s="830">
        <f t="shared" si="216"/>
        <v>5.9175531914893616E-2</v>
      </c>
      <c r="I336" s="832">
        <f t="shared" si="216"/>
        <v>2.1469506457959114E-2</v>
      </c>
      <c r="J336" s="832">
        <f t="shared" si="216"/>
        <v>0</v>
      </c>
      <c r="K336" s="830">
        <f t="shared" si="216"/>
        <v>0.1430038510911425</v>
      </c>
      <c r="L336" s="830">
        <f t="shared" si="216"/>
        <v>0.15043227665706052</v>
      </c>
      <c r="M336" s="830">
        <f t="shared" si="216"/>
        <v>0.23430962343096234</v>
      </c>
      <c r="N336" s="830">
        <f t="shared" si="216"/>
        <v>0</v>
      </c>
      <c r="O336" s="832">
        <f t="shared" si="216"/>
        <v>0.15439946470391436</v>
      </c>
      <c r="P336" s="832">
        <f t="shared" si="216"/>
        <v>0</v>
      </c>
      <c r="Q336" s="830">
        <f t="shared" si="216"/>
        <v>0</v>
      </c>
      <c r="R336" s="833">
        <f t="shared" si="216"/>
        <v>0</v>
      </c>
      <c r="S336" s="832">
        <f t="shared" si="216"/>
        <v>0</v>
      </c>
      <c r="T336" s="213"/>
      <c r="U336" s="349">
        <v>31</v>
      </c>
      <c r="V336" s="349"/>
      <c r="W336" s="349">
        <v>85</v>
      </c>
      <c r="X336" s="349">
        <v>29</v>
      </c>
      <c r="Y336" s="349">
        <v>17</v>
      </c>
      <c r="Z336" s="349">
        <v>89</v>
      </c>
      <c r="AA336" s="804">
        <v>251</v>
      </c>
      <c r="AB336" s="804"/>
      <c r="AC336" s="349">
        <v>557</v>
      </c>
      <c r="AD336" s="349">
        <v>261</v>
      </c>
      <c r="AE336" s="349">
        <v>56</v>
      </c>
      <c r="AF336" s="349"/>
      <c r="AG336" s="804">
        <v>923</v>
      </c>
      <c r="AH336" s="804"/>
      <c r="AI336" s="349"/>
      <c r="AJ336" s="813"/>
      <c r="AK336" s="804"/>
      <c r="AL336" s="209"/>
      <c r="AM336" s="209"/>
    </row>
    <row r="337" spans="1:39" s="80" customFormat="1">
      <c r="A337" s="580"/>
      <c r="B337" s="580" t="s">
        <v>131</v>
      </c>
      <c r="C337" s="832">
        <f>IF(U338&gt;0,(U337/U338),0)</f>
        <v>8.3757961783439486E-2</v>
      </c>
      <c r="D337" s="830">
        <f t="shared" ref="D337:S337" si="217">IF(V338&gt;0,(V337/V338),0)</f>
        <v>0</v>
      </c>
      <c r="E337" s="830">
        <f t="shared" si="217"/>
        <v>7.7710109622411691E-2</v>
      </c>
      <c r="F337" s="830">
        <f t="shared" si="217"/>
        <v>7.7419354838709681E-2</v>
      </c>
      <c r="G337" s="830">
        <f t="shared" si="217"/>
        <v>0.10775862068965517</v>
      </c>
      <c r="H337" s="830">
        <f t="shared" si="217"/>
        <v>8.7101063829787231E-2</v>
      </c>
      <c r="I337" s="832">
        <f t="shared" si="217"/>
        <v>8.4081772303481309E-2</v>
      </c>
      <c r="J337" s="832">
        <f t="shared" si="217"/>
        <v>0</v>
      </c>
      <c r="K337" s="830">
        <f t="shared" si="217"/>
        <v>6.1103979460847238E-2</v>
      </c>
      <c r="L337" s="830">
        <f t="shared" si="217"/>
        <v>4.1498559077809798E-2</v>
      </c>
      <c r="M337" s="830">
        <f t="shared" si="217"/>
        <v>4.1841004184100415E-3</v>
      </c>
      <c r="N337" s="830">
        <f t="shared" si="217"/>
        <v>0</v>
      </c>
      <c r="O337" s="832">
        <f t="shared" si="217"/>
        <v>4.9013047842087654E-2</v>
      </c>
      <c r="P337" s="832">
        <f t="shared" si="217"/>
        <v>0</v>
      </c>
      <c r="Q337" s="830">
        <f t="shared" si="217"/>
        <v>0</v>
      </c>
      <c r="R337" s="833">
        <f t="shared" si="217"/>
        <v>0</v>
      </c>
      <c r="S337" s="832">
        <f t="shared" si="217"/>
        <v>0</v>
      </c>
      <c r="T337" s="213"/>
      <c r="U337" s="349">
        <v>263</v>
      </c>
      <c r="V337" s="349"/>
      <c r="W337" s="349">
        <v>319</v>
      </c>
      <c r="X337" s="349">
        <v>120</v>
      </c>
      <c r="Y337" s="349">
        <v>150</v>
      </c>
      <c r="Z337" s="349">
        <v>131</v>
      </c>
      <c r="AA337" s="804">
        <v>983</v>
      </c>
      <c r="AB337" s="804"/>
      <c r="AC337" s="349">
        <v>238</v>
      </c>
      <c r="AD337" s="349">
        <v>72</v>
      </c>
      <c r="AE337" s="349">
        <v>1</v>
      </c>
      <c r="AF337" s="349"/>
      <c r="AG337" s="804">
        <v>293</v>
      </c>
      <c r="AH337" s="804"/>
      <c r="AI337" s="349"/>
      <c r="AJ337" s="813"/>
      <c r="AK337" s="804"/>
      <c r="AL337" s="209"/>
      <c r="AM337" s="209"/>
    </row>
    <row r="338" spans="1:39" s="80" customFormat="1">
      <c r="A338" s="436"/>
      <c r="B338" s="436" t="s">
        <v>59</v>
      </c>
      <c r="C338" s="834">
        <f>IF(U338&gt;0,(U338/U338),0)</f>
        <v>1</v>
      </c>
      <c r="D338" s="835">
        <f t="shared" ref="D338:S338" si="218">IF(V338&gt;0,(V338/V338),0)</f>
        <v>0</v>
      </c>
      <c r="E338" s="835">
        <f t="shared" si="218"/>
        <v>1</v>
      </c>
      <c r="F338" s="835">
        <f t="shared" si="218"/>
        <v>1</v>
      </c>
      <c r="G338" s="835">
        <f t="shared" si="218"/>
        <v>1</v>
      </c>
      <c r="H338" s="835">
        <f t="shared" si="218"/>
        <v>1</v>
      </c>
      <c r="I338" s="834">
        <f t="shared" si="218"/>
        <v>1</v>
      </c>
      <c r="J338" s="834">
        <f t="shared" si="218"/>
        <v>0</v>
      </c>
      <c r="K338" s="835">
        <f t="shared" si="218"/>
        <v>1</v>
      </c>
      <c r="L338" s="835">
        <f t="shared" si="218"/>
        <v>1</v>
      </c>
      <c r="M338" s="835">
        <f t="shared" si="218"/>
        <v>1</v>
      </c>
      <c r="N338" s="835">
        <f t="shared" si="218"/>
        <v>0</v>
      </c>
      <c r="O338" s="834">
        <f t="shared" si="218"/>
        <v>1</v>
      </c>
      <c r="P338" s="834">
        <f t="shared" si="218"/>
        <v>0</v>
      </c>
      <c r="Q338" s="835">
        <f t="shared" si="218"/>
        <v>0</v>
      </c>
      <c r="R338" s="836">
        <f t="shared" si="218"/>
        <v>0</v>
      </c>
      <c r="S338" s="834">
        <f t="shared" si="218"/>
        <v>0</v>
      </c>
      <c r="T338" s="213"/>
      <c r="U338" s="816">
        <v>3140</v>
      </c>
      <c r="V338" s="816"/>
      <c r="W338" s="816">
        <v>4105</v>
      </c>
      <c r="X338" s="816">
        <v>1550</v>
      </c>
      <c r="Y338" s="816">
        <v>1392</v>
      </c>
      <c r="Z338" s="816">
        <v>1504</v>
      </c>
      <c r="AA338" s="805">
        <v>11691</v>
      </c>
      <c r="AB338" s="805"/>
      <c r="AC338" s="816">
        <v>3895</v>
      </c>
      <c r="AD338" s="816">
        <v>1735</v>
      </c>
      <c r="AE338" s="816">
        <v>239</v>
      </c>
      <c r="AF338" s="816"/>
      <c r="AG338" s="805">
        <v>5978</v>
      </c>
      <c r="AH338" s="805"/>
      <c r="AI338" s="816"/>
      <c r="AJ338" s="817"/>
      <c r="AK338" s="805"/>
      <c r="AL338" s="209"/>
      <c r="AM338" s="209"/>
    </row>
    <row r="339" spans="1:39" s="80" customFormat="1">
      <c r="A339" s="240" t="s">
        <v>162</v>
      </c>
      <c r="B339" s="240" t="s">
        <v>53</v>
      </c>
      <c r="C339" s="829">
        <f>IF(U344&gt;0,(U339/U344),0)</f>
        <v>0.29238147943183912</v>
      </c>
      <c r="D339" s="830">
        <f t="shared" ref="D339:S339" si="219">IF(V344&gt;0,(V339/V344),0)</f>
        <v>0.31331168831168832</v>
      </c>
      <c r="E339" s="830">
        <f t="shared" si="219"/>
        <v>0.26198386331276696</v>
      </c>
      <c r="F339" s="830">
        <f t="shared" si="219"/>
        <v>0.30841121495327101</v>
      </c>
      <c r="G339" s="830">
        <f t="shared" si="219"/>
        <v>0.21590909090909091</v>
      </c>
      <c r="H339" s="830">
        <f t="shared" si="219"/>
        <v>8.2738944365192579E-2</v>
      </c>
      <c r="I339" s="829">
        <f t="shared" si="219"/>
        <v>0.26057104580088752</v>
      </c>
      <c r="J339" s="829">
        <f t="shared" si="219"/>
        <v>0</v>
      </c>
      <c r="K339" s="830">
        <f t="shared" si="219"/>
        <v>0.36495791889824025</v>
      </c>
      <c r="L339" s="830">
        <f t="shared" si="219"/>
        <v>0.29104477611940299</v>
      </c>
      <c r="M339" s="830">
        <f t="shared" si="219"/>
        <v>0.28378378378378377</v>
      </c>
      <c r="N339" s="830">
        <f t="shared" si="219"/>
        <v>3.3613445378151259E-2</v>
      </c>
      <c r="O339" s="829">
        <f t="shared" si="219"/>
        <v>0.27546391752577321</v>
      </c>
      <c r="P339" s="829">
        <f t="shared" si="219"/>
        <v>0</v>
      </c>
      <c r="Q339" s="830">
        <f t="shared" si="219"/>
        <v>0</v>
      </c>
      <c r="R339" s="831">
        <f t="shared" si="219"/>
        <v>0</v>
      </c>
      <c r="S339" s="829">
        <f t="shared" si="219"/>
        <v>0</v>
      </c>
      <c r="T339" s="213"/>
      <c r="U339" s="349">
        <v>1585</v>
      </c>
      <c r="V339" s="349">
        <v>193</v>
      </c>
      <c r="W339" s="349">
        <v>552</v>
      </c>
      <c r="X339" s="349">
        <v>495</v>
      </c>
      <c r="Y339" s="349">
        <v>171</v>
      </c>
      <c r="Z339" s="349">
        <v>116</v>
      </c>
      <c r="AA339" s="803">
        <v>3112</v>
      </c>
      <c r="AB339" s="803"/>
      <c r="AC339" s="349">
        <v>477</v>
      </c>
      <c r="AD339" s="349">
        <v>156</v>
      </c>
      <c r="AE339" s="349">
        <v>42</v>
      </c>
      <c r="AF339" s="349">
        <v>4</v>
      </c>
      <c r="AG339" s="803">
        <v>668</v>
      </c>
      <c r="AH339" s="803"/>
      <c r="AI339" s="349"/>
      <c r="AJ339" s="812"/>
      <c r="AK339" s="803"/>
      <c r="AL339" s="209"/>
      <c r="AM339" s="209"/>
    </row>
    <row r="340" spans="1:39" s="80" customFormat="1">
      <c r="A340" s="239"/>
      <c r="B340" s="239" t="s">
        <v>93</v>
      </c>
      <c r="C340" s="832">
        <f>IF(U344&gt;0,(U340/U344),0)</f>
        <v>0.24718686589190186</v>
      </c>
      <c r="D340" s="830">
        <f t="shared" ref="D340:S340" si="220">IF(V344&gt;0,(V340/V344),0)</f>
        <v>0.2857142857142857</v>
      </c>
      <c r="E340" s="830">
        <f t="shared" si="220"/>
        <v>0.28239202657807311</v>
      </c>
      <c r="F340" s="830">
        <f t="shared" si="220"/>
        <v>0.26292834890965733</v>
      </c>
      <c r="G340" s="830">
        <f t="shared" si="220"/>
        <v>0.29292929292929293</v>
      </c>
      <c r="H340" s="830">
        <f t="shared" si="220"/>
        <v>0.30313837375178315</v>
      </c>
      <c r="I340" s="832">
        <f t="shared" si="220"/>
        <v>0.26710206815707949</v>
      </c>
      <c r="J340" s="832">
        <f t="shared" si="220"/>
        <v>0</v>
      </c>
      <c r="K340" s="830">
        <f t="shared" si="220"/>
        <v>0.22570772762050498</v>
      </c>
      <c r="L340" s="830">
        <f t="shared" si="220"/>
        <v>0.21641791044776118</v>
      </c>
      <c r="M340" s="830">
        <f t="shared" si="220"/>
        <v>0.20270270270270271</v>
      </c>
      <c r="N340" s="830">
        <f t="shared" si="220"/>
        <v>0.20168067226890757</v>
      </c>
      <c r="O340" s="832">
        <f t="shared" si="220"/>
        <v>0.22226804123711341</v>
      </c>
      <c r="P340" s="832">
        <f t="shared" si="220"/>
        <v>0</v>
      </c>
      <c r="Q340" s="830">
        <f t="shared" si="220"/>
        <v>0</v>
      </c>
      <c r="R340" s="833">
        <f t="shared" si="220"/>
        <v>0</v>
      </c>
      <c r="S340" s="832">
        <f t="shared" si="220"/>
        <v>0</v>
      </c>
      <c r="T340" s="213"/>
      <c r="U340" s="349">
        <v>1340</v>
      </c>
      <c r="V340" s="349">
        <v>176</v>
      </c>
      <c r="W340" s="349">
        <v>595</v>
      </c>
      <c r="X340" s="349">
        <v>422</v>
      </c>
      <c r="Y340" s="349">
        <v>232</v>
      </c>
      <c r="Z340" s="349">
        <v>425</v>
      </c>
      <c r="AA340" s="804">
        <v>3190</v>
      </c>
      <c r="AB340" s="804"/>
      <c r="AC340" s="349">
        <v>295</v>
      </c>
      <c r="AD340" s="349">
        <v>116</v>
      </c>
      <c r="AE340" s="349">
        <v>30</v>
      </c>
      <c r="AF340" s="349">
        <v>24</v>
      </c>
      <c r="AG340" s="804">
        <v>539</v>
      </c>
      <c r="AH340" s="804"/>
      <c r="AI340" s="349"/>
      <c r="AJ340" s="813"/>
      <c r="AK340" s="804"/>
      <c r="AL340" s="209"/>
      <c r="AM340" s="209"/>
    </row>
    <row r="341" spans="1:39" s="80" customFormat="1">
      <c r="A341" s="239"/>
      <c r="B341" s="239" t="s">
        <v>55</v>
      </c>
      <c r="C341" s="832">
        <f>IF(U344&gt;0,(U341/U344),0)</f>
        <v>0.27983766832687695</v>
      </c>
      <c r="D341" s="830">
        <f t="shared" ref="D341:S341" si="221">IF(V344&gt;0,(V341/V344),0)</f>
        <v>0.30032467532467533</v>
      </c>
      <c r="E341" s="830">
        <f t="shared" si="221"/>
        <v>0.33602278120550544</v>
      </c>
      <c r="F341" s="830">
        <f t="shared" si="221"/>
        <v>0.32211838006230531</v>
      </c>
      <c r="G341" s="830">
        <f t="shared" si="221"/>
        <v>0.27904040404040403</v>
      </c>
      <c r="H341" s="830">
        <f t="shared" si="221"/>
        <v>0.29243937232524964</v>
      </c>
      <c r="I341" s="832">
        <f t="shared" si="221"/>
        <v>0.2979150967093695</v>
      </c>
      <c r="J341" s="832">
        <f t="shared" si="221"/>
        <v>0</v>
      </c>
      <c r="K341" s="830">
        <f t="shared" si="221"/>
        <v>0.2861514919663351</v>
      </c>
      <c r="L341" s="830">
        <f t="shared" si="221"/>
        <v>0.30410447761194032</v>
      </c>
      <c r="M341" s="830">
        <f t="shared" si="221"/>
        <v>0.25675675675675674</v>
      </c>
      <c r="N341" s="830">
        <f t="shared" si="221"/>
        <v>0.26890756302521007</v>
      </c>
      <c r="O341" s="832">
        <f t="shared" si="221"/>
        <v>0.28989690721649486</v>
      </c>
      <c r="P341" s="832">
        <f t="shared" si="221"/>
        <v>0</v>
      </c>
      <c r="Q341" s="830">
        <f t="shared" si="221"/>
        <v>0</v>
      </c>
      <c r="R341" s="833">
        <f t="shared" si="221"/>
        <v>0</v>
      </c>
      <c r="S341" s="832">
        <f t="shared" si="221"/>
        <v>0</v>
      </c>
      <c r="T341" s="213"/>
      <c r="U341" s="349">
        <v>1517</v>
      </c>
      <c r="V341" s="349">
        <v>185</v>
      </c>
      <c r="W341" s="349">
        <v>708</v>
      </c>
      <c r="X341" s="349">
        <v>517</v>
      </c>
      <c r="Y341" s="349">
        <v>221</v>
      </c>
      <c r="Z341" s="349">
        <v>410</v>
      </c>
      <c r="AA341" s="804">
        <v>3558</v>
      </c>
      <c r="AB341" s="804"/>
      <c r="AC341" s="349">
        <v>374</v>
      </c>
      <c r="AD341" s="349">
        <v>163</v>
      </c>
      <c r="AE341" s="349">
        <v>38</v>
      </c>
      <c r="AF341" s="349">
        <v>32</v>
      </c>
      <c r="AG341" s="804">
        <v>703</v>
      </c>
      <c r="AH341" s="804"/>
      <c r="AI341" s="349"/>
      <c r="AJ341" s="813"/>
      <c r="AK341" s="804"/>
      <c r="AL341" s="209"/>
      <c r="AM341" s="209"/>
    </row>
    <row r="342" spans="1:39" s="80" customFormat="1">
      <c r="A342" s="239"/>
      <c r="B342" s="239" t="s">
        <v>78</v>
      </c>
      <c r="C342" s="832">
        <f>IF(U344&gt;0,(U342/U344),0)</f>
        <v>8.4855192768861831E-2</v>
      </c>
      <c r="D342" s="830">
        <f t="shared" ref="D342:S342" si="222">IF(V344&gt;0,(V342/V344),0)</f>
        <v>0.10064935064935066</v>
      </c>
      <c r="E342" s="830">
        <f t="shared" si="222"/>
        <v>0.11960132890365449</v>
      </c>
      <c r="F342" s="830">
        <f t="shared" si="222"/>
        <v>0.10654205607476636</v>
      </c>
      <c r="G342" s="830">
        <f t="shared" si="222"/>
        <v>8.8383838383838384E-2</v>
      </c>
      <c r="H342" s="830">
        <f t="shared" si="222"/>
        <v>0.26034236804564909</v>
      </c>
      <c r="I342" s="832">
        <f t="shared" si="222"/>
        <v>0.11554885707108767</v>
      </c>
      <c r="J342" s="832">
        <f t="shared" si="222"/>
        <v>0</v>
      </c>
      <c r="K342" s="830">
        <f t="shared" si="222"/>
        <v>0.12088752869166029</v>
      </c>
      <c r="L342" s="830">
        <f t="shared" si="222"/>
        <v>0.18470149253731344</v>
      </c>
      <c r="M342" s="830">
        <f t="shared" si="222"/>
        <v>0.25675675675675674</v>
      </c>
      <c r="N342" s="830">
        <f t="shared" si="222"/>
        <v>0.49579831932773111</v>
      </c>
      <c r="O342" s="832">
        <f t="shared" si="222"/>
        <v>0.20247422680412372</v>
      </c>
      <c r="P342" s="832">
        <f t="shared" si="222"/>
        <v>0</v>
      </c>
      <c r="Q342" s="830">
        <f t="shared" si="222"/>
        <v>0</v>
      </c>
      <c r="R342" s="833">
        <f t="shared" si="222"/>
        <v>0</v>
      </c>
      <c r="S342" s="832">
        <f t="shared" si="222"/>
        <v>0</v>
      </c>
      <c r="T342" s="213"/>
      <c r="U342" s="349">
        <v>460</v>
      </c>
      <c r="V342" s="349">
        <v>62</v>
      </c>
      <c r="W342" s="349">
        <v>252</v>
      </c>
      <c r="X342" s="349">
        <v>171</v>
      </c>
      <c r="Y342" s="349">
        <v>70</v>
      </c>
      <c r="Z342" s="349">
        <v>365</v>
      </c>
      <c r="AA342" s="804">
        <v>1380</v>
      </c>
      <c r="AB342" s="804"/>
      <c r="AC342" s="349">
        <v>158</v>
      </c>
      <c r="AD342" s="349">
        <v>99</v>
      </c>
      <c r="AE342" s="349">
        <v>38</v>
      </c>
      <c r="AF342" s="349">
        <v>59</v>
      </c>
      <c r="AG342" s="804">
        <v>491</v>
      </c>
      <c r="AH342" s="804"/>
      <c r="AI342" s="349"/>
      <c r="AJ342" s="813"/>
      <c r="AK342" s="804"/>
      <c r="AL342" s="209"/>
      <c r="AM342" s="209"/>
    </row>
    <row r="343" spans="1:39" s="80" customFormat="1">
      <c r="A343" s="580"/>
      <c r="B343" s="580" t="s">
        <v>131</v>
      </c>
      <c r="C343" s="832">
        <f>IF(U344&gt;0,(U343/U344),0)</f>
        <v>9.5738793580520204E-2</v>
      </c>
      <c r="D343" s="830">
        <f t="shared" ref="D343:S343" si="223">IF(V344&gt;0,(V343/V344),0)</f>
        <v>0</v>
      </c>
      <c r="E343" s="830">
        <f t="shared" si="223"/>
        <v>0</v>
      </c>
      <c r="F343" s="830">
        <f t="shared" si="223"/>
        <v>0</v>
      </c>
      <c r="G343" s="830">
        <f t="shared" si="223"/>
        <v>0.12373737373737374</v>
      </c>
      <c r="H343" s="830">
        <f t="shared" si="223"/>
        <v>6.1340941512125532E-2</v>
      </c>
      <c r="I343" s="832">
        <f t="shared" si="223"/>
        <v>5.8862932261575816E-2</v>
      </c>
      <c r="J343" s="832">
        <f t="shared" si="223"/>
        <v>0</v>
      </c>
      <c r="K343" s="830">
        <f t="shared" si="223"/>
        <v>2.2953328232593728E-3</v>
      </c>
      <c r="L343" s="830">
        <f t="shared" si="223"/>
        <v>3.7313432835820895E-3</v>
      </c>
      <c r="M343" s="830">
        <f t="shared" si="223"/>
        <v>0</v>
      </c>
      <c r="N343" s="830">
        <f t="shared" si="223"/>
        <v>0</v>
      </c>
      <c r="O343" s="832">
        <f t="shared" si="223"/>
        <v>9.8969072164948445E-3</v>
      </c>
      <c r="P343" s="832">
        <f t="shared" si="223"/>
        <v>0</v>
      </c>
      <c r="Q343" s="830">
        <f t="shared" si="223"/>
        <v>0</v>
      </c>
      <c r="R343" s="833">
        <f t="shared" si="223"/>
        <v>0</v>
      </c>
      <c r="S343" s="832">
        <f t="shared" si="223"/>
        <v>0</v>
      </c>
      <c r="T343" s="213"/>
      <c r="U343" s="349">
        <v>519</v>
      </c>
      <c r="V343" s="349"/>
      <c r="W343" s="349"/>
      <c r="X343" s="349"/>
      <c r="Y343" s="349">
        <v>98</v>
      </c>
      <c r="Z343" s="349">
        <v>86</v>
      </c>
      <c r="AA343" s="804">
        <v>703</v>
      </c>
      <c r="AB343" s="804"/>
      <c r="AC343" s="349">
        <v>3</v>
      </c>
      <c r="AD343" s="349">
        <v>2</v>
      </c>
      <c r="AE343" s="349"/>
      <c r="AF343" s="349"/>
      <c r="AG343" s="804">
        <v>24</v>
      </c>
      <c r="AH343" s="804"/>
      <c r="AI343" s="349"/>
      <c r="AJ343" s="813"/>
      <c r="AK343" s="804"/>
      <c r="AL343" s="209"/>
      <c r="AM343" s="209"/>
    </row>
    <row r="344" spans="1:39" s="80" customFormat="1">
      <c r="A344" s="436"/>
      <c r="B344" s="436" t="s">
        <v>59</v>
      </c>
      <c r="C344" s="834">
        <f>IF(U344&gt;0,(U344/U344),0)</f>
        <v>1</v>
      </c>
      <c r="D344" s="835">
        <f t="shared" ref="D344:S344" si="224">IF(V344&gt;0,(V344/V344),0)</f>
        <v>1</v>
      </c>
      <c r="E344" s="835">
        <f t="shared" si="224"/>
        <v>1</v>
      </c>
      <c r="F344" s="835">
        <f t="shared" si="224"/>
        <v>1</v>
      </c>
      <c r="G344" s="835">
        <f t="shared" si="224"/>
        <v>1</v>
      </c>
      <c r="H344" s="835">
        <f t="shared" si="224"/>
        <v>1</v>
      </c>
      <c r="I344" s="834">
        <f t="shared" si="224"/>
        <v>1</v>
      </c>
      <c r="J344" s="834">
        <f t="shared" si="224"/>
        <v>0</v>
      </c>
      <c r="K344" s="835">
        <f t="shared" si="224"/>
        <v>1</v>
      </c>
      <c r="L344" s="835">
        <f t="shared" si="224"/>
        <v>1</v>
      </c>
      <c r="M344" s="835">
        <f t="shared" si="224"/>
        <v>1</v>
      </c>
      <c r="N344" s="835">
        <f t="shared" si="224"/>
        <v>1</v>
      </c>
      <c r="O344" s="834">
        <f t="shared" si="224"/>
        <v>1</v>
      </c>
      <c r="P344" s="834">
        <f t="shared" si="224"/>
        <v>0</v>
      </c>
      <c r="Q344" s="835">
        <f t="shared" si="224"/>
        <v>0</v>
      </c>
      <c r="R344" s="836">
        <f t="shared" si="224"/>
        <v>0</v>
      </c>
      <c r="S344" s="834">
        <f t="shared" si="224"/>
        <v>0</v>
      </c>
      <c r="T344" s="213"/>
      <c r="U344" s="816">
        <v>5421</v>
      </c>
      <c r="V344" s="816">
        <v>616</v>
      </c>
      <c r="W344" s="816">
        <v>2107</v>
      </c>
      <c r="X344" s="816">
        <v>1605</v>
      </c>
      <c r="Y344" s="816">
        <v>792</v>
      </c>
      <c r="Z344" s="816">
        <v>1402</v>
      </c>
      <c r="AA344" s="805">
        <v>11943</v>
      </c>
      <c r="AB344" s="805"/>
      <c r="AC344" s="816">
        <v>1307</v>
      </c>
      <c r="AD344" s="816">
        <v>536</v>
      </c>
      <c r="AE344" s="816">
        <v>148</v>
      </c>
      <c r="AF344" s="816">
        <v>119</v>
      </c>
      <c r="AG344" s="805">
        <v>2425</v>
      </c>
      <c r="AH344" s="805"/>
      <c r="AI344" s="816"/>
      <c r="AJ344" s="817"/>
      <c r="AK344" s="805"/>
      <c r="AL344" s="209"/>
      <c r="AM344" s="209"/>
    </row>
    <row r="345" spans="1:39" s="80" customFormat="1">
      <c r="A345" s="240" t="s">
        <v>163</v>
      </c>
      <c r="B345" s="240" t="s">
        <v>53</v>
      </c>
      <c r="C345" s="829">
        <f>IF(U350&gt;0,(U345/U350),0)</f>
        <v>0</v>
      </c>
      <c r="D345" s="830">
        <f t="shared" ref="D345:S345" si="225">IF(V350&gt;0,(V345/V350),0)</f>
        <v>0.47518796992481205</v>
      </c>
      <c r="E345" s="830">
        <f t="shared" si="225"/>
        <v>0.33333333333333331</v>
      </c>
      <c r="F345" s="830">
        <f t="shared" si="225"/>
        <v>0</v>
      </c>
      <c r="G345" s="830">
        <f t="shared" si="225"/>
        <v>0</v>
      </c>
      <c r="H345" s="830">
        <f t="shared" si="225"/>
        <v>0</v>
      </c>
      <c r="I345" s="829">
        <f t="shared" si="225"/>
        <v>0.42842741935483869</v>
      </c>
      <c r="J345" s="829">
        <f t="shared" si="225"/>
        <v>0</v>
      </c>
      <c r="K345" s="830">
        <f t="shared" si="225"/>
        <v>0.46101694915254238</v>
      </c>
      <c r="L345" s="830">
        <f t="shared" si="225"/>
        <v>0</v>
      </c>
      <c r="M345" s="830">
        <f t="shared" si="225"/>
        <v>0</v>
      </c>
      <c r="N345" s="830">
        <f t="shared" si="225"/>
        <v>0</v>
      </c>
      <c r="O345" s="829">
        <f t="shared" si="225"/>
        <v>0.41883116883116883</v>
      </c>
      <c r="P345" s="829">
        <f t="shared" si="225"/>
        <v>0</v>
      </c>
      <c r="Q345" s="830">
        <f t="shared" si="225"/>
        <v>0</v>
      </c>
      <c r="R345" s="831">
        <f t="shared" si="225"/>
        <v>0</v>
      </c>
      <c r="S345" s="829">
        <f t="shared" si="225"/>
        <v>0</v>
      </c>
      <c r="T345" s="213"/>
      <c r="U345" s="349"/>
      <c r="V345" s="349">
        <v>316</v>
      </c>
      <c r="W345" s="349">
        <v>109</v>
      </c>
      <c r="X345" s="349"/>
      <c r="Y345" s="349"/>
      <c r="Z345" s="349"/>
      <c r="AA345" s="803">
        <v>425</v>
      </c>
      <c r="AB345" s="803"/>
      <c r="AC345" s="349">
        <v>136</v>
      </c>
      <c r="AD345" s="349"/>
      <c r="AE345" s="349"/>
      <c r="AF345" s="349"/>
      <c r="AG345" s="803">
        <v>129</v>
      </c>
      <c r="AH345" s="803"/>
      <c r="AI345" s="349"/>
      <c r="AJ345" s="812"/>
      <c r="AK345" s="803"/>
      <c r="AL345" s="209"/>
      <c r="AM345" s="209"/>
    </row>
    <row r="346" spans="1:39" s="80" customFormat="1">
      <c r="A346" s="239"/>
      <c r="B346" s="239" t="s">
        <v>93</v>
      </c>
      <c r="C346" s="832">
        <f>IF(U350&gt;0,(U346/U350),0)</f>
        <v>0</v>
      </c>
      <c r="D346" s="830">
        <f t="shared" ref="D346:S346" si="226">IF(V350&gt;0,(V346/V350),0)</f>
        <v>0.20601503759398496</v>
      </c>
      <c r="E346" s="830">
        <f t="shared" si="226"/>
        <v>0.28746177370030579</v>
      </c>
      <c r="F346" s="830">
        <f t="shared" si="226"/>
        <v>0</v>
      </c>
      <c r="G346" s="830">
        <f t="shared" si="226"/>
        <v>0</v>
      </c>
      <c r="H346" s="830">
        <f t="shared" si="226"/>
        <v>0</v>
      </c>
      <c r="I346" s="832">
        <f t="shared" si="226"/>
        <v>0.23286290322580644</v>
      </c>
      <c r="J346" s="832">
        <f t="shared" si="226"/>
        <v>0</v>
      </c>
      <c r="K346" s="830">
        <f t="shared" si="226"/>
        <v>0.15593220338983052</v>
      </c>
      <c r="L346" s="830">
        <f t="shared" si="226"/>
        <v>0</v>
      </c>
      <c r="M346" s="830">
        <f t="shared" si="226"/>
        <v>0</v>
      </c>
      <c r="N346" s="830">
        <f t="shared" si="226"/>
        <v>0</v>
      </c>
      <c r="O346" s="832">
        <f t="shared" si="226"/>
        <v>0.17207792207792208</v>
      </c>
      <c r="P346" s="832">
        <f t="shared" si="226"/>
        <v>0</v>
      </c>
      <c r="Q346" s="830">
        <f t="shared" si="226"/>
        <v>0</v>
      </c>
      <c r="R346" s="833">
        <f t="shared" si="226"/>
        <v>0</v>
      </c>
      <c r="S346" s="832">
        <f t="shared" si="226"/>
        <v>0</v>
      </c>
      <c r="T346" s="213"/>
      <c r="U346" s="349"/>
      <c r="V346" s="349">
        <v>137</v>
      </c>
      <c r="W346" s="349">
        <v>94</v>
      </c>
      <c r="X346" s="349"/>
      <c r="Y346" s="349"/>
      <c r="Z346" s="349"/>
      <c r="AA346" s="804">
        <v>231</v>
      </c>
      <c r="AB346" s="804"/>
      <c r="AC346" s="349">
        <v>46</v>
      </c>
      <c r="AD346" s="349"/>
      <c r="AE346" s="349"/>
      <c r="AF346" s="349"/>
      <c r="AG346" s="804">
        <v>53</v>
      </c>
      <c r="AH346" s="804"/>
      <c r="AI346" s="349"/>
      <c r="AJ346" s="813"/>
      <c r="AK346" s="804"/>
      <c r="AL346" s="209"/>
      <c r="AM346" s="209"/>
    </row>
    <row r="347" spans="1:39" s="80" customFormat="1">
      <c r="A347" s="239"/>
      <c r="B347" s="239" t="s">
        <v>55</v>
      </c>
      <c r="C347" s="832">
        <f>IF(U350&gt;0,(U347/U350),0)</f>
        <v>0</v>
      </c>
      <c r="D347" s="830">
        <f t="shared" ref="D347:S347" si="227">IF(V350&gt;0,(V347/V350),0)</f>
        <v>0.20751879699248121</v>
      </c>
      <c r="E347" s="830">
        <f t="shared" si="227"/>
        <v>0.34556574923547401</v>
      </c>
      <c r="F347" s="830">
        <f t="shared" si="227"/>
        <v>0</v>
      </c>
      <c r="G347" s="830">
        <f t="shared" si="227"/>
        <v>0</v>
      </c>
      <c r="H347" s="830">
        <f t="shared" si="227"/>
        <v>0</v>
      </c>
      <c r="I347" s="832">
        <f t="shared" si="227"/>
        <v>0.25302419354838712</v>
      </c>
      <c r="J347" s="832">
        <f t="shared" si="227"/>
        <v>0</v>
      </c>
      <c r="K347" s="830">
        <f t="shared" si="227"/>
        <v>0.38305084745762713</v>
      </c>
      <c r="L347" s="830">
        <f t="shared" si="227"/>
        <v>0</v>
      </c>
      <c r="M347" s="830">
        <f t="shared" si="227"/>
        <v>0</v>
      </c>
      <c r="N347" s="830">
        <f t="shared" si="227"/>
        <v>0</v>
      </c>
      <c r="O347" s="832">
        <f t="shared" si="227"/>
        <v>0.40584415584415584</v>
      </c>
      <c r="P347" s="832">
        <f t="shared" si="227"/>
        <v>0</v>
      </c>
      <c r="Q347" s="830">
        <f t="shared" si="227"/>
        <v>0</v>
      </c>
      <c r="R347" s="833">
        <f t="shared" si="227"/>
        <v>0</v>
      </c>
      <c r="S347" s="832">
        <f t="shared" si="227"/>
        <v>0</v>
      </c>
      <c r="T347" s="213"/>
      <c r="U347" s="349"/>
      <c r="V347" s="349">
        <v>138</v>
      </c>
      <c r="W347" s="349">
        <v>113</v>
      </c>
      <c r="X347" s="349"/>
      <c r="Y347" s="349"/>
      <c r="Z347" s="349"/>
      <c r="AA347" s="804">
        <v>251</v>
      </c>
      <c r="AB347" s="804"/>
      <c r="AC347" s="349">
        <v>113</v>
      </c>
      <c r="AD347" s="349"/>
      <c r="AE347" s="349"/>
      <c r="AF347" s="349"/>
      <c r="AG347" s="804">
        <v>125</v>
      </c>
      <c r="AH347" s="804"/>
      <c r="AI347" s="349"/>
      <c r="AJ347" s="813"/>
      <c r="AK347" s="804"/>
      <c r="AL347" s="209"/>
      <c r="AM347" s="209"/>
    </row>
    <row r="348" spans="1:39" s="80" customFormat="1">
      <c r="A348" s="239"/>
      <c r="B348" s="239" t="s">
        <v>78</v>
      </c>
      <c r="C348" s="832">
        <f>IF(U350&gt;0,(U348/U350),0)</f>
        <v>0</v>
      </c>
      <c r="D348" s="830">
        <f t="shared" ref="D348:S348" si="228">IF(V350&gt;0,(V348/V350),0)</f>
        <v>1.2030075187969926E-2</v>
      </c>
      <c r="E348" s="830">
        <f t="shared" si="228"/>
        <v>3.3639143730886847E-2</v>
      </c>
      <c r="F348" s="830">
        <f t="shared" si="228"/>
        <v>0</v>
      </c>
      <c r="G348" s="830">
        <f t="shared" si="228"/>
        <v>0</v>
      </c>
      <c r="H348" s="830">
        <f t="shared" si="228"/>
        <v>0</v>
      </c>
      <c r="I348" s="832">
        <f t="shared" si="228"/>
        <v>1.9153225806451613E-2</v>
      </c>
      <c r="J348" s="832">
        <f t="shared" si="228"/>
        <v>0</v>
      </c>
      <c r="K348" s="830">
        <f t="shared" si="228"/>
        <v>0</v>
      </c>
      <c r="L348" s="830">
        <f t="shared" si="228"/>
        <v>0</v>
      </c>
      <c r="M348" s="830">
        <f t="shared" si="228"/>
        <v>0</v>
      </c>
      <c r="N348" s="830">
        <f t="shared" si="228"/>
        <v>0</v>
      </c>
      <c r="O348" s="832">
        <f t="shared" si="228"/>
        <v>3.246753246753247E-3</v>
      </c>
      <c r="P348" s="832">
        <f t="shared" si="228"/>
        <v>0</v>
      </c>
      <c r="Q348" s="830">
        <f t="shared" si="228"/>
        <v>0</v>
      </c>
      <c r="R348" s="833">
        <f t="shared" si="228"/>
        <v>0</v>
      </c>
      <c r="S348" s="832">
        <f t="shared" si="228"/>
        <v>0</v>
      </c>
      <c r="T348" s="213"/>
      <c r="U348" s="349"/>
      <c r="V348" s="349">
        <v>8</v>
      </c>
      <c r="W348" s="349">
        <v>11</v>
      </c>
      <c r="X348" s="349"/>
      <c r="Y348" s="349"/>
      <c r="Z348" s="349"/>
      <c r="AA348" s="804">
        <v>19</v>
      </c>
      <c r="AB348" s="804"/>
      <c r="AC348" s="349"/>
      <c r="AD348" s="349"/>
      <c r="AE348" s="349"/>
      <c r="AF348" s="349"/>
      <c r="AG348" s="804">
        <v>1</v>
      </c>
      <c r="AH348" s="804"/>
      <c r="AI348" s="349"/>
      <c r="AJ348" s="813"/>
      <c r="AK348" s="804"/>
      <c r="AL348" s="209"/>
      <c r="AM348" s="209"/>
    </row>
    <row r="349" spans="1:39" s="80" customFormat="1">
      <c r="A349" s="580"/>
      <c r="B349" s="580" t="s">
        <v>131</v>
      </c>
      <c r="C349" s="832">
        <f>IF(U350&gt;0,(U349/U350),0)</f>
        <v>0</v>
      </c>
      <c r="D349" s="830">
        <f t="shared" ref="D349:S349" si="229">IF(V350&gt;0,(V349/V350),0)</f>
        <v>9.9248120300751877E-2</v>
      </c>
      <c r="E349" s="830">
        <f t="shared" si="229"/>
        <v>0</v>
      </c>
      <c r="F349" s="830">
        <f t="shared" si="229"/>
        <v>0</v>
      </c>
      <c r="G349" s="830">
        <f t="shared" si="229"/>
        <v>0</v>
      </c>
      <c r="H349" s="830">
        <f t="shared" si="229"/>
        <v>0</v>
      </c>
      <c r="I349" s="832">
        <f t="shared" si="229"/>
        <v>6.6532258064516125E-2</v>
      </c>
      <c r="J349" s="832">
        <f t="shared" si="229"/>
        <v>0</v>
      </c>
      <c r="K349" s="830">
        <f t="shared" si="229"/>
        <v>0</v>
      </c>
      <c r="L349" s="830">
        <f t="shared" si="229"/>
        <v>0</v>
      </c>
      <c r="M349" s="830">
        <f t="shared" si="229"/>
        <v>0</v>
      </c>
      <c r="N349" s="830">
        <f t="shared" si="229"/>
        <v>0</v>
      </c>
      <c r="O349" s="832">
        <f t="shared" si="229"/>
        <v>0</v>
      </c>
      <c r="P349" s="832">
        <f t="shared" si="229"/>
        <v>0</v>
      </c>
      <c r="Q349" s="830">
        <f t="shared" si="229"/>
        <v>0</v>
      </c>
      <c r="R349" s="833">
        <f t="shared" si="229"/>
        <v>0</v>
      </c>
      <c r="S349" s="832">
        <f t="shared" si="229"/>
        <v>0</v>
      </c>
      <c r="T349" s="213"/>
      <c r="U349" s="349"/>
      <c r="V349" s="349">
        <v>66</v>
      </c>
      <c r="W349" s="349"/>
      <c r="X349" s="349"/>
      <c r="Y349" s="349"/>
      <c r="Z349" s="349"/>
      <c r="AA349" s="804">
        <v>66</v>
      </c>
      <c r="AB349" s="804"/>
      <c r="AC349" s="349"/>
      <c r="AD349" s="349"/>
      <c r="AE349" s="349"/>
      <c r="AF349" s="349"/>
      <c r="AG349" s="804"/>
      <c r="AH349" s="804"/>
      <c r="AI349" s="349"/>
      <c r="AJ349" s="813"/>
      <c r="AK349" s="804"/>
      <c r="AL349" s="209"/>
      <c r="AM349" s="209"/>
    </row>
    <row r="350" spans="1:39" s="80" customFormat="1">
      <c r="A350" s="436"/>
      <c r="B350" s="436" t="s">
        <v>59</v>
      </c>
      <c r="C350" s="834">
        <f>IF(U350&gt;0,(U350/U350),0)</f>
        <v>0</v>
      </c>
      <c r="D350" s="835">
        <f t="shared" ref="D350:S350" si="230">IF(V350&gt;0,(V350/V350),0)</f>
        <v>1</v>
      </c>
      <c r="E350" s="835">
        <f t="shared" si="230"/>
        <v>1</v>
      </c>
      <c r="F350" s="835">
        <f t="shared" si="230"/>
        <v>0</v>
      </c>
      <c r="G350" s="835">
        <f t="shared" si="230"/>
        <v>0</v>
      </c>
      <c r="H350" s="835">
        <f t="shared" si="230"/>
        <v>0</v>
      </c>
      <c r="I350" s="834">
        <f t="shared" si="230"/>
        <v>1</v>
      </c>
      <c r="J350" s="834">
        <f t="shared" si="230"/>
        <v>0</v>
      </c>
      <c r="K350" s="835">
        <f t="shared" si="230"/>
        <v>1</v>
      </c>
      <c r="L350" s="835">
        <f t="shared" si="230"/>
        <v>0</v>
      </c>
      <c r="M350" s="835">
        <f t="shared" si="230"/>
        <v>0</v>
      </c>
      <c r="N350" s="835">
        <f t="shared" si="230"/>
        <v>0</v>
      </c>
      <c r="O350" s="834">
        <f t="shared" si="230"/>
        <v>1</v>
      </c>
      <c r="P350" s="834">
        <f t="shared" si="230"/>
        <v>0</v>
      </c>
      <c r="Q350" s="835">
        <f t="shared" si="230"/>
        <v>0</v>
      </c>
      <c r="R350" s="836">
        <f t="shared" si="230"/>
        <v>0</v>
      </c>
      <c r="S350" s="834">
        <f t="shared" si="230"/>
        <v>0</v>
      </c>
      <c r="T350" s="213"/>
      <c r="U350" s="816"/>
      <c r="V350" s="816">
        <v>665</v>
      </c>
      <c r="W350" s="816">
        <v>327</v>
      </c>
      <c r="X350" s="816"/>
      <c r="Y350" s="816"/>
      <c r="Z350" s="816"/>
      <c r="AA350" s="805">
        <v>992</v>
      </c>
      <c r="AB350" s="805"/>
      <c r="AC350" s="816">
        <v>295</v>
      </c>
      <c r="AD350" s="816"/>
      <c r="AE350" s="816"/>
      <c r="AF350" s="816"/>
      <c r="AG350" s="805">
        <v>308</v>
      </c>
      <c r="AH350" s="805"/>
      <c r="AI350" s="816"/>
      <c r="AJ350" s="817"/>
      <c r="AK350" s="805"/>
      <c r="AL350" s="209"/>
      <c r="AM350" s="209"/>
    </row>
    <row r="351" spans="1:39" s="80" customFormat="1">
      <c r="A351" s="240" t="s">
        <v>166</v>
      </c>
      <c r="B351" s="240" t="s">
        <v>53</v>
      </c>
      <c r="C351" s="829">
        <f>IF(U356&gt;0,(U351/U356),0)</f>
        <v>0</v>
      </c>
      <c r="D351" s="830">
        <f t="shared" ref="D351:S351" si="231">IF(V356&gt;0,(V351/V356),0)</f>
        <v>0.23762376237623761</v>
      </c>
      <c r="E351" s="830">
        <f t="shared" si="231"/>
        <v>0</v>
      </c>
      <c r="F351" s="830">
        <f t="shared" si="231"/>
        <v>0</v>
      </c>
      <c r="G351" s="830">
        <f t="shared" si="231"/>
        <v>0.51773049645390068</v>
      </c>
      <c r="H351" s="830">
        <f t="shared" si="231"/>
        <v>0.37931034482758619</v>
      </c>
      <c r="I351" s="829">
        <f t="shared" si="231"/>
        <v>0.29689440993788818</v>
      </c>
      <c r="J351" s="829">
        <f t="shared" si="231"/>
        <v>0</v>
      </c>
      <c r="K351" s="830">
        <f t="shared" si="231"/>
        <v>0</v>
      </c>
      <c r="L351" s="830">
        <f t="shared" si="231"/>
        <v>0</v>
      </c>
      <c r="M351" s="830">
        <f t="shared" si="231"/>
        <v>0</v>
      </c>
      <c r="N351" s="830">
        <f t="shared" si="231"/>
        <v>0</v>
      </c>
      <c r="O351" s="829">
        <f t="shared" si="231"/>
        <v>0.379746835443038</v>
      </c>
      <c r="P351" s="829">
        <f t="shared" si="231"/>
        <v>0</v>
      </c>
      <c r="Q351" s="830">
        <f t="shared" si="231"/>
        <v>0</v>
      </c>
      <c r="R351" s="831">
        <f t="shared" si="231"/>
        <v>0</v>
      </c>
      <c r="S351" s="829">
        <f t="shared" si="231"/>
        <v>0</v>
      </c>
      <c r="T351" s="213"/>
      <c r="U351" s="349"/>
      <c r="V351" s="349">
        <v>144</v>
      </c>
      <c r="W351" s="349"/>
      <c r="X351" s="349"/>
      <c r="Y351" s="349">
        <v>73</v>
      </c>
      <c r="Z351" s="349">
        <v>22</v>
      </c>
      <c r="AA351" s="803">
        <v>239</v>
      </c>
      <c r="AB351" s="803"/>
      <c r="AC351" s="349"/>
      <c r="AD351" s="349"/>
      <c r="AE351" s="349"/>
      <c r="AF351" s="349"/>
      <c r="AG351" s="803">
        <v>30</v>
      </c>
      <c r="AH351" s="803"/>
      <c r="AI351" s="349"/>
      <c r="AJ351" s="812"/>
      <c r="AK351" s="803"/>
      <c r="AL351" s="209"/>
      <c r="AM351" s="209"/>
    </row>
    <row r="352" spans="1:39" s="80" customFormat="1">
      <c r="A352" s="239"/>
      <c r="B352" s="239" t="s">
        <v>93</v>
      </c>
      <c r="C352" s="832">
        <f>IF(U356&gt;0,(U352/U356),0)</f>
        <v>0</v>
      </c>
      <c r="D352" s="830">
        <f t="shared" ref="D352:S352" si="232">IF(V356&gt;0,(V352/V356),0)</f>
        <v>0.30363036303630364</v>
      </c>
      <c r="E352" s="830">
        <f t="shared" si="232"/>
        <v>0</v>
      </c>
      <c r="F352" s="830">
        <f t="shared" si="232"/>
        <v>0</v>
      </c>
      <c r="G352" s="830">
        <f t="shared" si="232"/>
        <v>0.1702127659574468</v>
      </c>
      <c r="H352" s="830">
        <f t="shared" si="232"/>
        <v>0.18965517241379309</v>
      </c>
      <c r="I352" s="832">
        <f t="shared" si="232"/>
        <v>0.27204968944099378</v>
      </c>
      <c r="J352" s="832">
        <f t="shared" si="232"/>
        <v>0</v>
      </c>
      <c r="K352" s="830">
        <f t="shared" si="232"/>
        <v>0</v>
      </c>
      <c r="L352" s="830">
        <f t="shared" si="232"/>
        <v>0</v>
      </c>
      <c r="M352" s="830">
        <f t="shared" si="232"/>
        <v>0</v>
      </c>
      <c r="N352" s="830">
        <f t="shared" si="232"/>
        <v>0</v>
      </c>
      <c r="O352" s="832">
        <f t="shared" si="232"/>
        <v>0.20253164556962025</v>
      </c>
      <c r="P352" s="832">
        <f t="shared" si="232"/>
        <v>0</v>
      </c>
      <c r="Q352" s="830">
        <f t="shared" si="232"/>
        <v>0</v>
      </c>
      <c r="R352" s="833">
        <f t="shared" si="232"/>
        <v>0</v>
      </c>
      <c r="S352" s="832">
        <f t="shared" si="232"/>
        <v>0</v>
      </c>
      <c r="T352" s="213"/>
      <c r="U352" s="349"/>
      <c r="V352" s="349">
        <v>184</v>
      </c>
      <c r="W352" s="349"/>
      <c r="X352" s="349"/>
      <c r="Y352" s="349">
        <v>24</v>
      </c>
      <c r="Z352" s="349">
        <v>11</v>
      </c>
      <c r="AA352" s="804">
        <v>219</v>
      </c>
      <c r="AB352" s="804"/>
      <c r="AC352" s="349"/>
      <c r="AD352" s="349"/>
      <c r="AE352" s="349"/>
      <c r="AF352" s="349"/>
      <c r="AG352" s="804">
        <v>16</v>
      </c>
      <c r="AH352" s="804"/>
      <c r="AI352" s="349"/>
      <c r="AJ352" s="813"/>
      <c r="AK352" s="804"/>
      <c r="AL352" s="209"/>
      <c r="AM352" s="209"/>
    </row>
    <row r="353" spans="1:39" s="80" customFormat="1">
      <c r="A353" s="239"/>
      <c r="B353" s="239" t="s">
        <v>55</v>
      </c>
      <c r="C353" s="832">
        <f>IF(U356&gt;0,(U353/U356),0)</f>
        <v>0</v>
      </c>
      <c r="D353" s="830">
        <f t="shared" ref="D353:S353" si="233">IF(V356&gt;0,(V353/V356),0)</f>
        <v>0.23927392739273928</v>
      </c>
      <c r="E353" s="830">
        <f t="shared" si="233"/>
        <v>0</v>
      </c>
      <c r="F353" s="830">
        <f t="shared" si="233"/>
        <v>0</v>
      </c>
      <c r="G353" s="830">
        <f t="shared" si="233"/>
        <v>0.30496453900709219</v>
      </c>
      <c r="H353" s="830">
        <f t="shared" si="233"/>
        <v>0.43103448275862066</v>
      </c>
      <c r="I353" s="832">
        <f t="shared" si="233"/>
        <v>0.26459627329192548</v>
      </c>
      <c r="J353" s="832">
        <f t="shared" si="233"/>
        <v>0</v>
      </c>
      <c r="K353" s="830">
        <f t="shared" si="233"/>
        <v>0</v>
      </c>
      <c r="L353" s="830">
        <f t="shared" si="233"/>
        <v>0</v>
      </c>
      <c r="M353" s="830">
        <f t="shared" si="233"/>
        <v>0</v>
      </c>
      <c r="N353" s="830">
        <f t="shared" si="233"/>
        <v>0</v>
      </c>
      <c r="O353" s="832">
        <f t="shared" si="233"/>
        <v>0.41772151898734178</v>
      </c>
      <c r="P353" s="832">
        <f t="shared" si="233"/>
        <v>0</v>
      </c>
      <c r="Q353" s="830">
        <f t="shared" si="233"/>
        <v>0</v>
      </c>
      <c r="R353" s="833">
        <f t="shared" si="233"/>
        <v>0</v>
      </c>
      <c r="S353" s="832">
        <f t="shared" si="233"/>
        <v>0</v>
      </c>
      <c r="T353" s="213"/>
      <c r="U353" s="349"/>
      <c r="V353" s="349">
        <v>145</v>
      </c>
      <c r="W353" s="349"/>
      <c r="X353" s="349"/>
      <c r="Y353" s="349">
        <v>43</v>
      </c>
      <c r="Z353" s="349">
        <v>25</v>
      </c>
      <c r="AA353" s="804">
        <v>213</v>
      </c>
      <c r="AB353" s="804"/>
      <c r="AC353" s="349"/>
      <c r="AD353" s="349"/>
      <c r="AE353" s="349"/>
      <c r="AF353" s="349"/>
      <c r="AG353" s="804">
        <v>33</v>
      </c>
      <c r="AH353" s="804"/>
      <c r="AI353" s="349"/>
      <c r="AJ353" s="813"/>
      <c r="AK353" s="804"/>
      <c r="AL353" s="209"/>
      <c r="AM353" s="209"/>
    </row>
    <row r="354" spans="1:39" s="80" customFormat="1">
      <c r="A354" s="239"/>
      <c r="B354" s="239" t="s">
        <v>78</v>
      </c>
      <c r="C354" s="832">
        <f>IF(U356&gt;0,(U354/U356),0)</f>
        <v>0</v>
      </c>
      <c r="D354" s="830">
        <f t="shared" ref="D354:S354" si="234">IF(V356&gt;0,(V354/V356),0)</f>
        <v>4.9504950495049506E-3</v>
      </c>
      <c r="E354" s="830">
        <f t="shared" si="234"/>
        <v>0</v>
      </c>
      <c r="F354" s="830">
        <f t="shared" si="234"/>
        <v>0</v>
      </c>
      <c r="G354" s="830">
        <f t="shared" si="234"/>
        <v>7.0921985815602835E-3</v>
      </c>
      <c r="H354" s="830">
        <f t="shared" si="234"/>
        <v>0</v>
      </c>
      <c r="I354" s="832">
        <f t="shared" si="234"/>
        <v>4.9689440993788822E-3</v>
      </c>
      <c r="J354" s="832">
        <f t="shared" si="234"/>
        <v>0</v>
      </c>
      <c r="K354" s="830">
        <f t="shared" si="234"/>
        <v>0</v>
      </c>
      <c r="L354" s="830">
        <f t="shared" si="234"/>
        <v>0</v>
      </c>
      <c r="M354" s="830">
        <f t="shared" si="234"/>
        <v>0</v>
      </c>
      <c r="N354" s="830">
        <f t="shared" si="234"/>
        <v>0</v>
      </c>
      <c r="O354" s="832">
        <f t="shared" si="234"/>
        <v>0</v>
      </c>
      <c r="P354" s="832">
        <f t="shared" si="234"/>
        <v>0</v>
      </c>
      <c r="Q354" s="830">
        <f t="shared" si="234"/>
        <v>0</v>
      </c>
      <c r="R354" s="833">
        <f t="shared" si="234"/>
        <v>0</v>
      </c>
      <c r="S354" s="832">
        <f t="shared" si="234"/>
        <v>0</v>
      </c>
      <c r="T354" s="213"/>
      <c r="U354" s="349"/>
      <c r="V354" s="349">
        <v>3</v>
      </c>
      <c r="W354" s="349"/>
      <c r="X354" s="349"/>
      <c r="Y354" s="349">
        <v>1</v>
      </c>
      <c r="Z354" s="349"/>
      <c r="AA354" s="804">
        <v>4</v>
      </c>
      <c r="AB354" s="804"/>
      <c r="AC354" s="349"/>
      <c r="AD354" s="349"/>
      <c r="AE354" s="349"/>
      <c r="AF354" s="349"/>
      <c r="AG354" s="804"/>
      <c r="AH354" s="804"/>
      <c r="AI354" s="349"/>
      <c r="AJ354" s="813"/>
      <c r="AK354" s="804"/>
      <c r="AL354" s="209"/>
      <c r="AM354" s="209"/>
    </row>
    <row r="355" spans="1:39" s="80" customFormat="1">
      <c r="A355" s="580"/>
      <c r="B355" s="580" t="s">
        <v>131</v>
      </c>
      <c r="C355" s="832">
        <f>IF(U356&gt;0,(U355/U356),0)</f>
        <v>0</v>
      </c>
      <c r="D355" s="830">
        <f t="shared" ref="D355:S355" si="235">IF(V356&gt;0,(V355/V356),0)</f>
        <v>0.21452145214521451</v>
      </c>
      <c r="E355" s="830">
        <f t="shared" si="235"/>
        <v>0</v>
      </c>
      <c r="F355" s="830">
        <f t="shared" si="235"/>
        <v>0</v>
      </c>
      <c r="G355" s="830">
        <f t="shared" si="235"/>
        <v>0</v>
      </c>
      <c r="H355" s="830">
        <f t="shared" si="235"/>
        <v>0</v>
      </c>
      <c r="I355" s="832">
        <f t="shared" si="235"/>
        <v>0.16149068322981366</v>
      </c>
      <c r="J355" s="832">
        <f t="shared" si="235"/>
        <v>0</v>
      </c>
      <c r="K355" s="830">
        <f t="shared" si="235"/>
        <v>0</v>
      </c>
      <c r="L355" s="830">
        <f t="shared" si="235"/>
        <v>0</v>
      </c>
      <c r="M355" s="830">
        <f t="shared" si="235"/>
        <v>0</v>
      </c>
      <c r="N355" s="830">
        <f t="shared" si="235"/>
        <v>0</v>
      </c>
      <c r="O355" s="832">
        <f t="shared" si="235"/>
        <v>0</v>
      </c>
      <c r="P355" s="832">
        <f t="shared" si="235"/>
        <v>0</v>
      </c>
      <c r="Q355" s="830">
        <f t="shared" si="235"/>
        <v>0</v>
      </c>
      <c r="R355" s="833">
        <f t="shared" si="235"/>
        <v>0</v>
      </c>
      <c r="S355" s="832">
        <f t="shared" si="235"/>
        <v>0</v>
      </c>
      <c r="T355" s="213"/>
      <c r="U355" s="349"/>
      <c r="V355" s="349">
        <v>130</v>
      </c>
      <c r="W355" s="349"/>
      <c r="X355" s="349"/>
      <c r="Y355" s="349"/>
      <c r="Z355" s="349"/>
      <c r="AA355" s="804">
        <v>130</v>
      </c>
      <c r="AB355" s="804"/>
      <c r="AC355" s="349"/>
      <c r="AD355" s="349"/>
      <c r="AE355" s="349"/>
      <c r="AF355" s="349"/>
      <c r="AG355" s="804"/>
      <c r="AH355" s="804"/>
      <c r="AI355" s="349"/>
      <c r="AJ355" s="813"/>
      <c r="AK355" s="804"/>
      <c r="AL355" s="209"/>
      <c r="AM355" s="209"/>
    </row>
    <row r="356" spans="1:39" s="80" customFormat="1">
      <c r="A356" s="436"/>
      <c r="B356" s="436" t="s">
        <v>59</v>
      </c>
      <c r="C356" s="834">
        <f>IF(U356&gt;0,(U356/U356),0)</f>
        <v>0</v>
      </c>
      <c r="D356" s="835">
        <f t="shared" ref="D356:S356" si="236">IF(V356&gt;0,(V356/V356),0)</f>
        <v>1</v>
      </c>
      <c r="E356" s="835">
        <f t="shared" si="236"/>
        <v>0</v>
      </c>
      <c r="F356" s="835">
        <f t="shared" si="236"/>
        <v>0</v>
      </c>
      <c r="G356" s="835">
        <f t="shared" si="236"/>
        <v>1</v>
      </c>
      <c r="H356" s="835">
        <f t="shared" si="236"/>
        <v>1</v>
      </c>
      <c r="I356" s="834">
        <f t="shared" si="236"/>
        <v>1</v>
      </c>
      <c r="J356" s="834">
        <f t="shared" si="236"/>
        <v>0</v>
      </c>
      <c r="K356" s="835">
        <f t="shared" si="236"/>
        <v>0</v>
      </c>
      <c r="L356" s="835">
        <f t="shared" si="236"/>
        <v>0</v>
      </c>
      <c r="M356" s="835">
        <f t="shared" si="236"/>
        <v>0</v>
      </c>
      <c r="N356" s="835">
        <f t="shared" si="236"/>
        <v>0</v>
      </c>
      <c r="O356" s="834">
        <f t="shared" si="236"/>
        <v>1</v>
      </c>
      <c r="P356" s="834">
        <f t="shared" si="236"/>
        <v>0</v>
      </c>
      <c r="Q356" s="835">
        <f t="shared" si="236"/>
        <v>0</v>
      </c>
      <c r="R356" s="836">
        <f t="shared" si="236"/>
        <v>0</v>
      </c>
      <c r="S356" s="834">
        <f t="shared" si="236"/>
        <v>0</v>
      </c>
      <c r="T356" s="213"/>
      <c r="U356" s="816"/>
      <c r="V356" s="816">
        <v>606</v>
      </c>
      <c r="W356" s="816"/>
      <c r="X356" s="816"/>
      <c r="Y356" s="816">
        <v>141</v>
      </c>
      <c r="Z356" s="816">
        <v>58</v>
      </c>
      <c r="AA356" s="805">
        <v>805</v>
      </c>
      <c r="AB356" s="805"/>
      <c r="AC356" s="816"/>
      <c r="AD356" s="816"/>
      <c r="AE356" s="816"/>
      <c r="AF356" s="816"/>
      <c r="AG356" s="805">
        <v>79</v>
      </c>
      <c r="AH356" s="805"/>
      <c r="AI356" s="816"/>
      <c r="AJ356" s="817"/>
      <c r="AK356" s="805"/>
      <c r="AL356" s="209"/>
      <c r="AM356" s="209"/>
    </row>
    <row r="357" spans="1:39" s="80" customFormat="1">
      <c r="A357" s="240" t="s">
        <v>170</v>
      </c>
      <c r="B357" s="240" t="s">
        <v>53</v>
      </c>
      <c r="C357" s="829">
        <f>IF(U362&gt;0,(U357/U362),0)</f>
        <v>0</v>
      </c>
      <c r="D357" s="830">
        <f t="shared" ref="D357:S357" si="237">IF(V362&gt;0,(V357/V362),0)</f>
        <v>0</v>
      </c>
      <c r="E357" s="830">
        <f t="shared" si="237"/>
        <v>0</v>
      </c>
      <c r="F357" s="830">
        <f t="shared" si="237"/>
        <v>0.38866396761133604</v>
      </c>
      <c r="G357" s="830">
        <f t="shared" si="237"/>
        <v>0</v>
      </c>
      <c r="H357" s="830">
        <f t="shared" si="237"/>
        <v>0</v>
      </c>
      <c r="I357" s="829">
        <f t="shared" si="237"/>
        <v>0.38866396761133604</v>
      </c>
      <c r="J357" s="829">
        <f t="shared" si="237"/>
        <v>0</v>
      </c>
      <c r="K357" s="830">
        <f t="shared" si="237"/>
        <v>0</v>
      </c>
      <c r="L357" s="830">
        <f t="shared" si="237"/>
        <v>0</v>
      </c>
      <c r="M357" s="830">
        <f t="shared" si="237"/>
        <v>0</v>
      </c>
      <c r="N357" s="830">
        <f t="shared" si="237"/>
        <v>0</v>
      </c>
      <c r="O357" s="829">
        <f t="shared" si="237"/>
        <v>0</v>
      </c>
      <c r="P357" s="829">
        <f t="shared" si="237"/>
        <v>0</v>
      </c>
      <c r="Q357" s="830">
        <f t="shared" si="237"/>
        <v>0</v>
      </c>
      <c r="R357" s="831">
        <f t="shared" si="237"/>
        <v>0</v>
      </c>
      <c r="S357" s="829">
        <f t="shared" si="237"/>
        <v>0</v>
      </c>
      <c r="T357" s="213"/>
      <c r="U357" s="349"/>
      <c r="V357" s="349"/>
      <c r="W357" s="349"/>
      <c r="X357" s="349">
        <v>96</v>
      </c>
      <c r="Y357" s="349"/>
      <c r="Z357" s="349"/>
      <c r="AA357" s="803">
        <v>96</v>
      </c>
      <c r="AB357" s="803"/>
      <c r="AC357" s="349"/>
      <c r="AD357" s="349"/>
      <c r="AE357" s="349"/>
      <c r="AF357" s="349"/>
      <c r="AG357" s="803"/>
      <c r="AH357" s="803"/>
      <c r="AI357" s="349"/>
      <c r="AJ357" s="812"/>
      <c r="AK357" s="803"/>
      <c r="AL357" s="209"/>
      <c r="AM357" s="209"/>
    </row>
    <row r="358" spans="1:39" s="80" customFormat="1">
      <c r="A358" s="239"/>
      <c r="B358" s="239" t="s">
        <v>93</v>
      </c>
      <c r="C358" s="832">
        <f>IF(U362&gt;0,(U358/U362),0)</f>
        <v>0</v>
      </c>
      <c r="D358" s="830">
        <f t="shared" ref="D358:S358" si="238">IF(V362&gt;0,(V358/V362),0)</f>
        <v>0</v>
      </c>
      <c r="E358" s="830">
        <f t="shared" si="238"/>
        <v>0</v>
      </c>
      <c r="F358" s="830">
        <f t="shared" si="238"/>
        <v>0.35627530364372467</v>
      </c>
      <c r="G358" s="830">
        <f t="shared" si="238"/>
        <v>0</v>
      </c>
      <c r="H358" s="830">
        <f t="shared" si="238"/>
        <v>0</v>
      </c>
      <c r="I358" s="832">
        <f t="shared" si="238"/>
        <v>0.35627530364372467</v>
      </c>
      <c r="J358" s="832">
        <f t="shared" si="238"/>
        <v>0</v>
      </c>
      <c r="K358" s="830">
        <f t="shared" si="238"/>
        <v>0</v>
      </c>
      <c r="L358" s="830">
        <f t="shared" si="238"/>
        <v>0</v>
      </c>
      <c r="M358" s="830">
        <f t="shared" si="238"/>
        <v>0</v>
      </c>
      <c r="N358" s="830">
        <f t="shared" si="238"/>
        <v>0</v>
      </c>
      <c r="O358" s="832">
        <f t="shared" si="238"/>
        <v>0</v>
      </c>
      <c r="P358" s="832">
        <f t="shared" si="238"/>
        <v>0</v>
      </c>
      <c r="Q358" s="830">
        <f t="shared" si="238"/>
        <v>0</v>
      </c>
      <c r="R358" s="833">
        <f t="shared" si="238"/>
        <v>0</v>
      </c>
      <c r="S358" s="832">
        <f t="shared" si="238"/>
        <v>0</v>
      </c>
      <c r="T358" s="213"/>
      <c r="U358" s="349"/>
      <c r="V358" s="349"/>
      <c r="W358" s="349"/>
      <c r="X358" s="349">
        <v>88</v>
      </c>
      <c r="Y358" s="349"/>
      <c r="Z358" s="349"/>
      <c r="AA358" s="804">
        <v>88</v>
      </c>
      <c r="AB358" s="804"/>
      <c r="AC358" s="349"/>
      <c r="AD358" s="349"/>
      <c r="AE358" s="349"/>
      <c r="AF358" s="349"/>
      <c r="AG358" s="804"/>
      <c r="AH358" s="804"/>
      <c r="AI358" s="349"/>
      <c r="AJ358" s="813"/>
      <c r="AK358" s="804"/>
      <c r="AL358" s="209"/>
      <c r="AM358" s="209"/>
    </row>
    <row r="359" spans="1:39" s="80" customFormat="1">
      <c r="A359" s="239"/>
      <c r="B359" s="239" t="s">
        <v>55</v>
      </c>
      <c r="C359" s="832">
        <f>IF(U362&gt;0,(U359/U362),0)</f>
        <v>0</v>
      </c>
      <c r="D359" s="830">
        <f t="shared" ref="D359:S359" si="239">IF(V362&gt;0,(V359/V362),0)</f>
        <v>0</v>
      </c>
      <c r="E359" s="830">
        <f t="shared" si="239"/>
        <v>0</v>
      </c>
      <c r="F359" s="830">
        <f t="shared" si="239"/>
        <v>0.21862348178137653</v>
      </c>
      <c r="G359" s="830">
        <f t="shared" si="239"/>
        <v>0</v>
      </c>
      <c r="H359" s="830">
        <f t="shared" si="239"/>
        <v>0</v>
      </c>
      <c r="I359" s="832">
        <f t="shared" si="239"/>
        <v>0.21862348178137653</v>
      </c>
      <c r="J359" s="832">
        <f t="shared" si="239"/>
        <v>0</v>
      </c>
      <c r="K359" s="830">
        <f t="shared" si="239"/>
        <v>0</v>
      </c>
      <c r="L359" s="830">
        <f t="shared" si="239"/>
        <v>0</v>
      </c>
      <c r="M359" s="830">
        <f t="shared" si="239"/>
        <v>0</v>
      </c>
      <c r="N359" s="830">
        <f t="shared" si="239"/>
        <v>0</v>
      </c>
      <c r="O359" s="832">
        <f t="shared" si="239"/>
        <v>0</v>
      </c>
      <c r="P359" s="832">
        <f t="shared" si="239"/>
        <v>0</v>
      </c>
      <c r="Q359" s="830">
        <f t="shared" si="239"/>
        <v>0</v>
      </c>
      <c r="R359" s="833">
        <f t="shared" si="239"/>
        <v>0</v>
      </c>
      <c r="S359" s="832">
        <f t="shared" si="239"/>
        <v>0</v>
      </c>
      <c r="T359" s="213"/>
      <c r="U359" s="349"/>
      <c r="V359" s="349"/>
      <c r="W359" s="349"/>
      <c r="X359" s="349">
        <v>54</v>
      </c>
      <c r="Y359" s="349"/>
      <c r="Z359" s="349"/>
      <c r="AA359" s="804">
        <v>54</v>
      </c>
      <c r="AB359" s="804"/>
      <c r="AC359" s="349"/>
      <c r="AD359" s="349"/>
      <c r="AE359" s="349"/>
      <c r="AF359" s="349"/>
      <c r="AG359" s="804"/>
      <c r="AH359" s="804"/>
      <c r="AI359" s="349"/>
      <c r="AJ359" s="813"/>
      <c r="AK359" s="804"/>
      <c r="AL359" s="209"/>
      <c r="AM359" s="209"/>
    </row>
    <row r="360" spans="1:39" s="80" customFormat="1">
      <c r="A360" s="239"/>
      <c r="B360" s="239" t="s">
        <v>78</v>
      </c>
      <c r="C360" s="832">
        <f>IF(U362&gt;0,(U360/U362),0)</f>
        <v>0</v>
      </c>
      <c r="D360" s="830">
        <f t="shared" ref="D360:S360" si="240">IF(V362&gt;0,(V360/V362),0)</f>
        <v>0</v>
      </c>
      <c r="E360" s="830">
        <f t="shared" si="240"/>
        <v>0</v>
      </c>
      <c r="F360" s="830">
        <f t="shared" si="240"/>
        <v>3.643724696356275E-2</v>
      </c>
      <c r="G360" s="830">
        <f t="shared" si="240"/>
        <v>0</v>
      </c>
      <c r="H360" s="830">
        <f t="shared" si="240"/>
        <v>0</v>
      </c>
      <c r="I360" s="832">
        <f t="shared" si="240"/>
        <v>3.643724696356275E-2</v>
      </c>
      <c r="J360" s="832">
        <f t="shared" si="240"/>
        <v>0</v>
      </c>
      <c r="K360" s="830">
        <f t="shared" si="240"/>
        <v>0</v>
      </c>
      <c r="L360" s="830">
        <f t="shared" si="240"/>
        <v>0</v>
      </c>
      <c r="M360" s="830">
        <f t="shared" si="240"/>
        <v>0</v>
      </c>
      <c r="N360" s="830">
        <f t="shared" si="240"/>
        <v>0</v>
      </c>
      <c r="O360" s="832">
        <f t="shared" si="240"/>
        <v>0</v>
      </c>
      <c r="P360" s="832">
        <f t="shared" si="240"/>
        <v>0</v>
      </c>
      <c r="Q360" s="830">
        <f t="shared" si="240"/>
        <v>0</v>
      </c>
      <c r="R360" s="833">
        <f t="shared" si="240"/>
        <v>0</v>
      </c>
      <c r="S360" s="832">
        <f t="shared" si="240"/>
        <v>0</v>
      </c>
      <c r="T360" s="213"/>
      <c r="U360" s="349"/>
      <c r="V360" s="349"/>
      <c r="W360" s="349"/>
      <c r="X360" s="349">
        <v>9</v>
      </c>
      <c r="Y360" s="349"/>
      <c r="Z360" s="349"/>
      <c r="AA360" s="804">
        <v>9</v>
      </c>
      <c r="AB360" s="804"/>
      <c r="AC360" s="349"/>
      <c r="AD360" s="349"/>
      <c r="AE360" s="349"/>
      <c r="AF360" s="349"/>
      <c r="AG360" s="804"/>
      <c r="AH360" s="804"/>
      <c r="AI360" s="349"/>
      <c r="AJ360" s="813"/>
      <c r="AK360" s="804"/>
      <c r="AL360" s="209"/>
      <c r="AM360" s="209"/>
    </row>
    <row r="361" spans="1:39" s="80" customFormat="1">
      <c r="A361" s="580"/>
      <c r="B361" s="580" t="s">
        <v>131</v>
      </c>
      <c r="C361" s="832">
        <f>IF(U362&gt;0,(U361/U362),0)</f>
        <v>0</v>
      </c>
      <c r="D361" s="830">
        <f t="shared" ref="D361:S361" si="241">IF(V362&gt;0,(V361/V362),0)</f>
        <v>0</v>
      </c>
      <c r="E361" s="830">
        <f t="shared" si="241"/>
        <v>0</v>
      </c>
      <c r="F361" s="830">
        <f t="shared" si="241"/>
        <v>0</v>
      </c>
      <c r="G361" s="830">
        <f t="shared" si="241"/>
        <v>0</v>
      </c>
      <c r="H361" s="830">
        <f t="shared" si="241"/>
        <v>0</v>
      </c>
      <c r="I361" s="832">
        <f t="shared" si="241"/>
        <v>0</v>
      </c>
      <c r="J361" s="832">
        <f t="shared" si="241"/>
        <v>0</v>
      </c>
      <c r="K361" s="830">
        <f t="shared" si="241"/>
        <v>0</v>
      </c>
      <c r="L361" s="830">
        <f t="shared" si="241"/>
        <v>0</v>
      </c>
      <c r="M361" s="830">
        <f t="shared" si="241"/>
        <v>0</v>
      </c>
      <c r="N361" s="830">
        <f t="shared" si="241"/>
        <v>0</v>
      </c>
      <c r="O361" s="832">
        <f t="shared" si="241"/>
        <v>0</v>
      </c>
      <c r="P361" s="832">
        <f t="shared" si="241"/>
        <v>0</v>
      </c>
      <c r="Q361" s="830">
        <f t="shared" si="241"/>
        <v>0</v>
      </c>
      <c r="R361" s="833">
        <f t="shared" si="241"/>
        <v>0</v>
      </c>
      <c r="S361" s="832">
        <f t="shared" si="241"/>
        <v>0</v>
      </c>
      <c r="T361" s="213"/>
      <c r="U361" s="349"/>
      <c r="V361" s="349"/>
      <c r="W361" s="349"/>
      <c r="X361" s="349"/>
      <c r="Y361" s="349"/>
      <c r="Z361" s="349"/>
      <c r="AA361" s="804"/>
      <c r="AB361" s="804"/>
      <c r="AC361" s="349"/>
      <c r="AD361" s="349"/>
      <c r="AE361" s="349"/>
      <c r="AF361" s="349"/>
      <c r="AG361" s="804"/>
      <c r="AH361" s="804"/>
      <c r="AI361" s="349"/>
      <c r="AJ361" s="813"/>
      <c r="AK361" s="804"/>
      <c r="AL361" s="209"/>
      <c r="AM361" s="209"/>
    </row>
    <row r="362" spans="1:39" s="80" customFormat="1">
      <c r="A362" s="436"/>
      <c r="B362" s="436" t="s">
        <v>59</v>
      </c>
      <c r="C362" s="834">
        <f>IF(U362&gt;0,(U362/U362),0)</f>
        <v>0</v>
      </c>
      <c r="D362" s="835">
        <f t="shared" ref="D362:S362" si="242">IF(V362&gt;0,(V362/V362),0)</f>
        <v>0</v>
      </c>
      <c r="E362" s="835">
        <f t="shared" si="242"/>
        <v>0</v>
      </c>
      <c r="F362" s="835">
        <f t="shared" si="242"/>
        <v>1</v>
      </c>
      <c r="G362" s="835">
        <f t="shared" si="242"/>
        <v>0</v>
      </c>
      <c r="H362" s="835">
        <f t="shared" si="242"/>
        <v>0</v>
      </c>
      <c r="I362" s="834">
        <f t="shared" si="242"/>
        <v>1</v>
      </c>
      <c r="J362" s="834">
        <f t="shared" si="242"/>
        <v>0</v>
      </c>
      <c r="K362" s="835">
        <f t="shared" si="242"/>
        <v>0</v>
      </c>
      <c r="L362" s="835">
        <f t="shared" si="242"/>
        <v>0</v>
      </c>
      <c r="M362" s="835">
        <f t="shared" si="242"/>
        <v>0</v>
      </c>
      <c r="N362" s="835">
        <f t="shared" si="242"/>
        <v>0</v>
      </c>
      <c r="O362" s="834">
        <f t="shared" si="242"/>
        <v>0</v>
      </c>
      <c r="P362" s="834">
        <f t="shared" si="242"/>
        <v>0</v>
      </c>
      <c r="Q362" s="835">
        <f t="shared" si="242"/>
        <v>0</v>
      </c>
      <c r="R362" s="836">
        <f t="shared" si="242"/>
        <v>0</v>
      </c>
      <c r="S362" s="834">
        <f t="shared" si="242"/>
        <v>0</v>
      </c>
      <c r="T362" s="213"/>
      <c r="U362" s="816"/>
      <c r="V362" s="816"/>
      <c r="W362" s="816"/>
      <c r="X362" s="816">
        <v>247</v>
      </c>
      <c r="Y362" s="816"/>
      <c r="Z362" s="816"/>
      <c r="AA362" s="805">
        <v>247</v>
      </c>
      <c r="AB362" s="805"/>
      <c r="AC362" s="816"/>
      <c r="AD362" s="816"/>
      <c r="AE362" s="816"/>
      <c r="AF362" s="816"/>
      <c r="AG362" s="805"/>
      <c r="AH362" s="805"/>
      <c r="AI362" s="816"/>
      <c r="AJ362" s="817"/>
      <c r="AK362" s="805"/>
      <c r="AL362" s="209"/>
      <c r="AM362" s="209"/>
    </row>
  </sheetData>
  <conditionalFormatting sqref="I15:S15">
    <cfRule type="cellIs" dxfId="2" priority="1" stopIfTrue="1" operator="notEqual">
      <formula>1</formula>
    </cfRule>
  </conditionalFormatting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Q362"/>
  <sheetViews>
    <sheetView topLeftCell="A115" workbookViewId="0">
      <selection activeCell="A135" sqref="A135"/>
    </sheetView>
  </sheetViews>
  <sheetFormatPr defaultColWidth="7.88671875" defaultRowHeight="15"/>
  <cols>
    <col min="1" max="1" width="5" style="465" customWidth="1"/>
    <col min="2" max="2" width="13.88671875" style="468" customWidth="1"/>
    <col min="3" max="3" width="5.5546875" style="465" customWidth="1"/>
    <col min="4" max="4" width="5.21875" style="465" customWidth="1"/>
    <col min="5" max="5" width="5.109375" style="465" customWidth="1"/>
    <col min="6" max="6" width="4.6640625" style="465" customWidth="1"/>
    <col min="7" max="7" width="5.109375" style="465" customWidth="1"/>
    <col min="8" max="8" width="4.88671875" style="465" customWidth="1"/>
    <col min="9" max="9" width="6.33203125" style="465" customWidth="1"/>
    <col min="10" max="10" width="5.21875" style="465" customWidth="1"/>
    <col min="11" max="13" width="4.33203125" style="465" customWidth="1"/>
    <col min="14" max="14" width="5.77734375" style="465" customWidth="1"/>
    <col min="15" max="15" width="5.21875" style="465" customWidth="1"/>
    <col min="16" max="16" width="5.5546875" style="465" customWidth="1"/>
    <col min="17" max="17" width="4.33203125" style="465" customWidth="1"/>
    <col min="18" max="18" width="5" style="465" customWidth="1"/>
    <col min="19" max="19" width="4.6640625" style="468" customWidth="1"/>
    <col min="20" max="20" width="3.21875" style="469" customWidth="1"/>
    <col min="21" max="21" width="7.44140625" style="209" customWidth="1"/>
    <col min="22" max="23" width="6" style="209" customWidth="1"/>
    <col min="24" max="24" width="6.44140625" style="209" customWidth="1"/>
    <col min="25" max="25" width="6" style="209" customWidth="1"/>
    <col min="26" max="26" width="6.21875" style="209" customWidth="1"/>
    <col min="27" max="27" width="7" style="209" customWidth="1"/>
    <col min="28" max="28" width="5.88671875" style="209" customWidth="1"/>
    <col min="29" max="29" width="6.44140625" style="209" customWidth="1"/>
    <col min="30" max="30" width="6.109375" style="209" customWidth="1"/>
    <col min="31" max="31" width="6.5546875" style="209" customWidth="1"/>
    <col min="32" max="32" width="5.88671875" style="209" customWidth="1"/>
    <col min="33" max="33" width="7.88671875" style="209" customWidth="1"/>
    <col min="34" max="34" width="6" style="209" customWidth="1"/>
    <col min="35" max="35" width="5" style="209" customWidth="1"/>
    <col min="36" max="36" width="4.77734375" style="209" customWidth="1"/>
    <col min="37" max="37" width="5.6640625" style="214" customWidth="1"/>
    <col min="38" max="38" width="4.77734375" style="209" customWidth="1"/>
    <col min="39" max="39" width="7.88671875" style="209" customWidth="1"/>
    <col min="40" max="16384" width="7.88671875" style="465"/>
  </cols>
  <sheetData>
    <row r="1" spans="1:43" ht="18">
      <c r="A1" s="203" t="s">
        <v>49</v>
      </c>
      <c r="B1" s="204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4"/>
      <c r="T1" s="206" t="s">
        <v>86</v>
      </c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8"/>
    </row>
    <row r="2" spans="1:43" ht="18">
      <c r="A2" s="203" t="s">
        <v>130</v>
      </c>
      <c r="B2" s="204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4"/>
      <c r="T2" s="206" t="s">
        <v>86</v>
      </c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  <c r="AK2" s="208"/>
    </row>
    <row r="3" spans="1:43" s="466" customFormat="1" ht="18.75" customHeight="1">
      <c r="A3" s="143" t="s">
        <v>92</v>
      </c>
      <c r="B3" s="82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2"/>
      <c r="T3" s="210" t="s">
        <v>86</v>
      </c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2"/>
      <c r="AL3" s="64"/>
      <c r="AM3" s="64"/>
    </row>
    <row r="4" spans="1:43" s="466" customFormat="1" ht="15.75" customHeight="1">
      <c r="A4" s="81"/>
      <c r="B4" s="82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2"/>
      <c r="T4" s="210" t="s">
        <v>86</v>
      </c>
      <c r="U4" s="432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2"/>
      <c r="AL4" s="64"/>
      <c r="AM4" s="64"/>
    </row>
    <row r="5" spans="1:43" ht="15.75" customHeight="1">
      <c r="A5" s="467"/>
      <c r="T5" s="469" t="s">
        <v>86</v>
      </c>
    </row>
    <row r="6" spans="1:43">
      <c r="A6" s="470"/>
      <c r="B6" s="471"/>
      <c r="C6" s="87" t="s">
        <v>95</v>
      </c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216"/>
      <c r="U6" s="87" t="s">
        <v>52</v>
      </c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</row>
    <row r="7" spans="1:43">
      <c r="A7" s="472"/>
      <c r="B7" s="473"/>
      <c r="C7" s="90" t="s">
        <v>96</v>
      </c>
      <c r="D7" s="91"/>
      <c r="E7" s="91"/>
      <c r="F7" s="91"/>
      <c r="G7" s="91"/>
      <c r="H7" s="91"/>
      <c r="I7" s="91"/>
      <c r="J7" s="92" t="s">
        <v>97</v>
      </c>
      <c r="K7" s="220"/>
      <c r="L7" s="220"/>
      <c r="M7" s="220"/>
      <c r="N7" s="221"/>
      <c r="O7" s="222"/>
      <c r="P7" s="92" t="s">
        <v>110</v>
      </c>
      <c r="Q7" s="220"/>
      <c r="R7" s="220"/>
      <c r="S7" s="91"/>
      <c r="U7" s="90" t="s">
        <v>96</v>
      </c>
      <c r="V7" s="223"/>
      <c r="W7" s="223"/>
      <c r="X7" s="223"/>
      <c r="Y7" s="223"/>
      <c r="Z7" s="223"/>
      <c r="AA7" s="223"/>
      <c r="AB7" s="224" t="s">
        <v>97</v>
      </c>
      <c r="AC7" s="225"/>
      <c r="AD7" s="225"/>
      <c r="AE7" s="225"/>
      <c r="AF7" s="226"/>
      <c r="AG7" s="227"/>
      <c r="AH7" s="224" t="s">
        <v>110</v>
      </c>
      <c r="AI7" s="225"/>
      <c r="AJ7" s="225"/>
      <c r="AK7" s="223"/>
    </row>
    <row r="8" spans="1:43" ht="54.75" customHeight="1">
      <c r="A8" s="474"/>
      <c r="B8" s="475"/>
      <c r="C8" s="230">
        <v>1</v>
      </c>
      <c r="D8" s="93">
        <v>2</v>
      </c>
      <c r="E8" s="93">
        <v>3</v>
      </c>
      <c r="F8" s="93">
        <v>4</v>
      </c>
      <c r="G8" s="93">
        <v>5</v>
      </c>
      <c r="H8" s="93">
        <v>6</v>
      </c>
      <c r="I8" s="476" t="s">
        <v>119</v>
      </c>
      <c r="J8" s="232" t="s">
        <v>111</v>
      </c>
      <c r="K8" s="93">
        <v>1</v>
      </c>
      <c r="L8" s="93">
        <v>2</v>
      </c>
      <c r="M8" s="93">
        <v>3</v>
      </c>
      <c r="N8" s="232" t="s">
        <v>120</v>
      </c>
      <c r="O8" s="231" t="s">
        <v>121</v>
      </c>
      <c r="P8" s="232">
        <v>1</v>
      </c>
      <c r="Q8" s="232">
        <v>2</v>
      </c>
      <c r="R8" s="232" t="s">
        <v>120</v>
      </c>
      <c r="S8" s="233" t="s">
        <v>113</v>
      </c>
      <c r="T8" s="234"/>
      <c r="U8" s="235">
        <v>1</v>
      </c>
      <c r="V8" s="236">
        <v>2</v>
      </c>
      <c r="W8" s="236">
        <v>3</v>
      </c>
      <c r="X8" s="236">
        <v>4</v>
      </c>
      <c r="Y8" s="236">
        <v>5</v>
      </c>
      <c r="Z8" s="236">
        <v>6</v>
      </c>
      <c r="AA8" s="341" t="s">
        <v>98</v>
      </c>
      <c r="AB8" s="237" t="s">
        <v>111</v>
      </c>
      <c r="AC8" s="236">
        <v>1</v>
      </c>
      <c r="AD8" s="236">
        <v>2</v>
      </c>
      <c r="AE8" s="236">
        <v>3</v>
      </c>
      <c r="AF8" s="237" t="s">
        <v>114</v>
      </c>
      <c r="AG8" s="341" t="s">
        <v>113</v>
      </c>
      <c r="AH8" s="237">
        <v>1</v>
      </c>
      <c r="AI8" s="237">
        <v>2</v>
      </c>
      <c r="AJ8" s="237" t="s">
        <v>114</v>
      </c>
      <c r="AK8" s="238" t="s">
        <v>113</v>
      </c>
    </row>
    <row r="9" spans="1:43" s="80" customFormat="1" ht="18" customHeight="1">
      <c r="A9" s="239" t="s">
        <v>128</v>
      </c>
      <c r="B9" s="240" t="s">
        <v>53</v>
      </c>
      <c r="C9" s="449">
        <f>+U9/U$15</f>
        <v>0.35868291761148902</v>
      </c>
      <c r="D9" s="449">
        <f t="shared" ref="D9:O15" si="0">+V9/V$15</f>
        <v>0.28593802151531489</v>
      </c>
      <c r="E9" s="449">
        <f t="shared" si="0"/>
        <v>0.28482131582270487</v>
      </c>
      <c r="F9" s="449">
        <f t="shared" si="0"/>
        <v>0.26241104529765202</v>
      </c>
      <c r="G9" s="449">
        <f t="shared" si="0"/>
        <v>0.24147097917589722</v>
      </c>
      <c r="H9" s="449">
        <f t="shared" si="0"/>
        <v>0.23736245553073551</v>
      </c>
      <c r="I9" s="459">
        <f t="shared" si="0"/>
        <v>0.30882415826650134</v>
      </c>
      <c r="J9" s="450">
        <f t="shared" si="0"/>
        <v>0.20951792336217553</v>
      </c>
      <c r="K9" s="449">
        <f t="shared" si="0"/>
        <v>0.1345813832553302</v>
      </c>
      <c r="L9" s="449">
        <f t="shared" si="0"/>
        <v>0.13121486691136836</v>
      </c>
      <c r="M9" s="449">
        <f t="shared" si="0"/>
        <v>0.11714143638559352</v>
      </c>
      <c r="N9" s="451" t="e">
        <f t="shared" si="0"/>
        <v>#DIV/0!</v>
      </c>
      <c r="O9" s="450">
        <f t="shared" si="0"/>
        <v>0.13230791141493983</v>
      </c>
      <c r="P9" s="494">
        <f>+AH9/$AH$15</f>
        <v>1.8527095877721167E-3</v>
      </c>
      <c r="Q9" s="449">
        <f>+AI9/$AI$15</f>
        <v>1.1494252873563218E-2</v>
      </c>
      <c r="R9" s="451">
        <f>+AJ9/$AJ$15</f>
        <v>0</v>
      </c>
      <c r="S9" s="450">
        <f>+AK9/$AK$15</f>
        <v>2.894821486008363E-3</v>
      </c>
      <c r="T9" s="274"/>
      <c r="U9" s="483">
        <v>37963</v>
      </c>
      <c r="V9" s="484">
        <v>11137</v>
      </c>
      <c r="W9" s="484">
        <v>18044</v>
      </c>
      <c r="X9" s="484">
        <v>6158</v>
      </c>
      <c r="Y9" s="484">
        <v>3270</v>
      </c>
      <c r="Z9" s="484">
        <v>2869</v>
      </c>
      <c r="AA9" s="485">
        <v>79441</v>
      </c>
      <c r="AB9" s="486">
        <v>339</v>
      </c>
      <c r="AC9" s="487">
        <v>7764</v>
      </c>
      <c r="AD9" s="487">
        <v>5112</v>
      </c>
      <c r="AE9" s="487">
        <v>1649</v>
      </c>
      <c r="AF9" s="488"/>
      <c r="AG9" s="485">
        <f>SUM(AB9:AF9)</f>
        <v>14864</v>
      </c>
      <c r="AH9" s="486">
        <v>4</v>
      </c>
      <c r="AI9" s="487">
        <v>5</v>
      </c>
      <c r="AJ9" s="488"/>
      <c r="AK9" s="486">
        <f>SUM(AH9:AJ9)</f>
        <v>9</v>
      </c>
      <c r="AL9" s="209"/>
      <c r="AM9" s="209"/>
    </row>
    <row r="10" spans="1:43" s="80" customFormat="1" ht="18" customHeight="1">
      <c r="A10" s="249"/>
      <c r="B10" s="239" t="s">
        <v>93</v>
      </c>
      <c r="C10" s="452">
        <f t="shared" ref="C10:C15" si="1">+U10/U$15</f>
        <v>0.2530612244897959</v>
      </c>
      <c r="D10" s="452">
        <f t="shared" si="0"/>
        <v>0.27851806208118307</v>
      </c>
      <c r="E10" s="452">
        <f t="shared" si="0"/>
        <v>0.25132592499052908</v>
      </c>
      <c r="F10" s="452">
        <f t="shared" si="0"/>
        <v>0.26219798014232754</v>
      </c>
      <c r="G10" s="452">
        <f t="shared" si="0"/>
        <v>0.26288583665632848</v>
      </c>
      <c r="H10" s="452">
        <f t="shared" si="0"/>
        <v>0.23703152146934722</v>
      </c>
      <c r="I10" s="460">
        <f t="shared" si="0"/>
        <v>0.25708587800355315</v>
      </c>
      <c r="J10" s="453">
        <f t="shared" si="0"/>
        <v>0.19901112484548825</v>
      </c>
      <c r="K10" s="452">
        <f t="shared" si="0"/>
        <v>9.2615704628185122E-2</v>
      </c>
      <c r="L10" s="452">
        <f t="shared" si="0"/>
        <v>9.055673913601478E-2</v>
      </c>
      <c r="M10" s="452">
        <f t="shared" si="0"/>
        <v>9.5403850252184411E-2</v>
      </c>
      <c r="N10" s="454" t="e">
        <f t="shared" si="0"/>
        <v>#DIV/0!</v>
      </c>
      <c r="O10" s="453">
        <f t="shared" si="0"/>
        <v>9.3783379619739371E-2</v>
      </c>
      <c r="P10" s="452">
        <f t="shared" ref="P10:P15" si="2">+AH10/$AH$15</f>
        <v>6.9476609541454376E-3</v>
      </c>
      <c r="Q10" s="452">
        <f t="shared" ref="Q10:Q15" si="3">+AI10/$AI$15</f>
        <v>2.9885057471264367E-2</v>
      </c>
      <c r="R10" s="454">
        <f t="shared" ref="R10:R15" si="4">+AJ10/$AJ$15</f>
        <v>0</v>
      </c>
      <c r="S10" s="453">
        <f t="shared" ref="S10:S15" si="5">+AK10/$AK$15</f>
        <v>9.0061112898037962E-3</v>
      </c>
      <c r="T10" s="274"/>
      <c r="U10" s="483">
        <v>26784</v>
      </c>
      <c r="V10" s="484">
        <v>10848</v>
      </c>
      <c r="W10" s="484">
        <v>15922</v>
      </c>
      <c r="X10" s="484">
        <v>6153</v>
      </c>
      <c r="Y10" s="484">
        <v>3560</v>
      </c>
      <c r="Z10" s="484">
        <v>2865</v>
      </c>
      <c r="AA10" s="544">
        <v>66132</v>
      </c>
      <c r="AB10" s="483">
        <v>322</v>
      </c>
      <c r="AC10" s="484">
        <v>5343</v>
      </c>
      <c r="AD10" s="484">
        <v>3528</v>
      </c>
      <c r="AE10" s="484">
        <v>1343</v>
      </c>
      <c r="AF10" s="489"/>
      <c r="AG10" s="544">
        <f t="shared" ref="AG10:AG15" si="6">SUM(AB10:AF10)</f>
        <v>10536</v>
      </c>
      <c r="AH10" s="483">
        <v>15</v>
      </c>
      <c r="AI10" s="484">
        <v>13</v>
      </c>
      <c r="AJ10" s="489"/>
      <c r="AK10" s="483">
        <f t="shared" ref="AK10:AK15" si="7">SUM(AH10:AJ10)</f>
        <v>28</v>
      </c>
      <c r="AL10" s="209"/>
      <c r="AM10" s="209"/>
    </row>
    <row r="11" spans="1:43" s="80" customFormat="1" ht="18" customHeight="1">
      <c r="A11" s="249"/>
      <c r="B11" s="239" t="s">
        <v>55</v>
      </c>
      <c r="C11" s="452">
        <f t="shared" si="1"/>
        <v>0.23957860922146637</v>
      </c>
      <c r="D11" s="452">
        <f t="shared" si="0"/>
        <v>0.26604020642378495</v>
      </c>
      <c r="E11" s="452">
        <f t="shared" si="0"/>
        <v>0.28471082207349413</v>
      </c>
      <c r="F11" s="452">
        <f t="shared" si="0"/>
        <v>0.31209783951932502</v>
      </c>
      <c r="G11" s="452">
        <f t="shared" si="0"/>
        <v>0.32668734308078573</v>
      </c>
      <c r="H11" s="452">
        <f t="shared" si="0"/>
        <v>0.31604202862579633</v>
      </c>
      <c r="I11" s="460">
        <f t="shared" si="0"/>
        <v>0.26949466834086855</v>
      </c>
      <c r="J11" s="453">
        <f t="shared" si="0"/>
        <v>0.25092707045735474</v>
      </c>
      <c r="K11" s="452">
        <f t="shared" si="0"/>
        <v>0.11175247009880396</v>
      </c>
      <c r="L11" s="452">
        <f t="shared" si="0"/>
        <v>0.10767730177879309</v>
      </c>
      <c r="M11" s="452">
        <f t="shared" si="0"/>
        <v>0.10605952972934574</v>
      </c>
      <c r="N11" s="454" t="e">
        <f t="shared" si="0"/>
        <v>#DIV/0!</v>
      </c>
      <c r="O11" s="453">
        <f t="shared" si="0"/>
        <v>0.11163034964039023</v>
      </c>
      <c r="P11" s="452">
        <f t="shared" si="2"/>
        <v>1.0653080129689671E-2</v>
      </c>
      <c r="Q11" s="452">
        <f t="shared" si="3"/>
        <v>3.2183908045977011E-2</v>
      </c>
      <c r="R11" s="454">
        <f t="shared" si="4"/>
        <v>0</v>
      </c>
      <c r="S11" s="453">
        <f t="shared" si="5"/>
        <v>1.1900932775812159E-2</v>
      </c>
      <c r="T11" s="274"/>
      <c r="U11" s="483">
        <v>25357</v>
      </c>
      <c r="V11" s="484">
        <v>10362</v>
      </c>
      <c r="W11" s="484">
        <v>18037</v>
      </c>
      <c r="X11" s="484">
        <v>7324</v>
      </c>
      <c r="Y11" s="484">
        <v>4424</v>
      </c>
      <c r="Z11" s="484">
        <v>3820</v>
      </c>
      <c r="AA11" s="544">
        <v>69324</v>
      </c>
      <c r="AB11" s="483">
        <v>406</v>
      </c>
      <c r="AC11" s="484">
        <v>6447</v>
      </c>
      <c r="AD11" s="484">
        <v>4195</v>
      </c>
      <c r="AE11" s="484">
        <v>1493</v>
      </c>
      <c r="AF11" s="489"/>
      <c r="AG11" s="544">
        <f t="shared" si="6"/>
        <v>12541</v>
      </c>
      <c r="AH11" s="483">
        <v>23</v>
      </c>
      <c r="AI11" s="484">
        <v>14</v>
      </c>
      <c r="AJ11" s="489"/>
      <c r="AK11" s="483">
        <f t="shared" si="7"/>
        <v>37</v>
      </c>
      <c r="AL11" s="209"/>
      <c r="AM11" s="209"/>
    </row>
    <row r="12" spans="1:43" s="80" customFormat="1" ht="18" customHeight="1">
      <c r="A12" s="249"/>
      <c r="B12" s="239" t="s">
        <v>78</v>
      </c>
      <c r="C12" s="452">
        <f t="shared" si="1"/>
        <v>4.7061602418745276E-2</v>
      </c>
      <c r="D12" s="452">
        <f t="shared" si="0"/>
        <v>8.5136973991630074E-2</v>
      </c>
      <c r="E12" s="452">
        <f t="shared" si="0"/>
        <v>8.328071726228059E-2</v>
      </c>
      <c r="F12" s="452">
        <f t="shared" si="0"/>
        <v>7.3507478586951891E-2</v>
      </c>
      <c r="G12" s="452">
        <f t="shared" si="0"/>
        <v>8.5068675232609664E-2</v>
      </c>
      <c r="H12" s="452">
        <f t="shared" si="0"/>
        <v>0.13129808885579547</v>
      </c>
      <c r="I12" s="460">
        <f t="shared" si="0"/>
        <v>7.0118217830249921E-2</v>
      </c>
      <c r="J12" s="453">
        <f t="shared" si="0"/>
        <v>0.13102595797280595</v>
      </c>
      <c r="K12" s="452">
        <f t="shared" si="0"/>
        <v>0.4559715721962212</v>
      </c>
      <c r="L12" s="452">
        <f t="shared" si="0"/>
        <v>0.35678533843271132</v>
      </c>
      <c r="M12" s="452">
        <f t="shared" si="0"/>
        <v>0.42530368686509912</v>
      </c>
      <c r="N12" s="454" t="e">
        <f t="shared" si="0"/>
        <v>#DIV/0!</v>
      </c>
      <c r="O12" s="453">
        <f t="shared" si="0"/>
        <v>0.41305276650288397</v>
      </c>
      <c r="P12" s="452">
        <f t="shared" si="2"/>
        <v>4.0296433534043538E-2</v>
      </c>
      <c r="Q12" s="452">
        <f t="shared" si="3"/>
        <v>0.24827586206896551</v>
      </c>
      <c r="R12" s="454">
        <f t="shared" si="4"/>
        <v>0.99029126213592233</v>
      </c>
      <c r="S12" s="453">
        <f t="shared" si="5"/>
        <v>0.22676101640398841</v>
      </c>
      <c r="T12" s="274"/>
      <c r="U12" s="483">
        <v>4981</v>
      </c>
      <c r="V12" s="484">
        <v>3316</v>
      </c>
      <c r="W12" s="484">
        <v>5276</v>
      </c>
      <c r="X12" s="484">
        <v>1725</v>
      </c>
      <c r="Y12" s="484">
        <v>1152</v>
      </c>
      <c r="Z12" s="490">
        <v>1587</v>
      </c>
      <c r="AA12" s="544">
        <f>SUM(U12:Z12)</f>
        <v>18037</v>
      </c>
      <c r="AB12" s="483">
        <v>212</v>
      </c>
      <c r="AC12" s="484">
        <v>26305</v>
      </c>
      <c r="AD12" s="484">
        <v>13900</v>
      </c>
      <c r="AE12" s="484">
        <v>5987</v>
      </c>
      <c r="AF12" s="489"/>
      <c r="AG12" s="544">
        <f t="shared" si="6"/>
        <v>46404</v>
      </c>
      <c r="AH12" s="483">
        <v>87</v>
      </c>
      <c r="AI12" s="484">
        <v>108</v>
      </c>
      <c r="AJ12" s="489">
        <v>510</v>
      </c>
      <c r="AK12" s="483">
        <f t="shared" si="7"/>
        <v>705</v>
      </c>
      <c r="AL12" s="209"/>
      <c r="AM12" s="209"/>
    </row>
    <row r="13" spans="1:43" s="80" customFormat="1" ht="18" customHeight="1">
      <c r="A13" s="249"/>
      <c r="B13" s="239" t="s">
        <v>131</v>
      </c>
      <c r="C13" s="452">
        <f t="shared" si="1"/>
        <v>0.1016156462585034</v>
      </c>
      <c r="D13" s="452">
        <f t="shared" si="0"/>
        <v>8.4366735988086985E-2</v>
      </c>
      <c r="E13" s="452">
        <f t="shared" si="0"/>
        <v>9.5861219850991289E-2</v>
      </c>
      <c r="F13" s="452">
        <f t="shared" si="0"/>
        <v>8.9785656453743548E-2</v>
      </c>
      <c r="G13" s="452">
        <f t="shared" si="0"/>
        <v>8.388716585437897E-2</v>
      </c>
      <c r="H13" s="452">
        <f t="shared" si="0"/>
        <v>7.8265905518325476E-2</v>
      </c>
      <c r="I13" s="460">
        <f t="shared" si="0"/>
        <v>9.4477077558827074E-2</v>
      </c>
      <c r="J13" s="453">
        <f t="shared" si="0"/>
        <v>0.20951792336217553</v>
      </c>
      <c r="K13" s="452">
        <f t="shared" si="0"/>
        <v>0.20507886982145954</v>
      </c>
      <c r="L13" s="452">
        <f t="shared" si="0"/>
        <v>0.31376575374111243</v>
      </c>
      <c r="M13" s="452">
        <f t="shared" si="0"/>
        <v>0.2560914967677772</v>
      </c>
      <c r="N13" s="455" t="e">
        <f t="shared" si="0"/>
        <v>#DIV/0!</v>
      </c>
      <c r="O13" s="453">
        <f t="shared" si="0"/>
        <v>0.24922559282204657</v>
      </c>
      <c r="P13" s="452">
        <f t="shared" si="2"/>
        <v>0.94025011579434925</v>
      </c>
      <c r="Q13" s="452">
        <f t="shared" si="3"/>
        <v>0.67816091954022983</v>
      </c>
      <c r="R13" s="455">
        <f t="shared" si="4"/>
        <v>9.7087378640776691E-3</v>
      </c>
      <c r="S13" s="453">
        <f t="shared" si="5"/>
        <v>0.74943711804438728</v>
      </c>
      <c r="T13" s="274"/>
      <c r="U13" s="483">
        <v>10755</v>
      </c>
      <c r="V13" s="484">
        <v>3286</v>
      </c>
      <c r="W13" s="484">
        <v>6073</v>
      </c>
      <c r="X13" s="484">
        <v>2107</v>
      </c>
      <c r="Y13" s="484">
        <v>1136</v>
      </c>
      <c r="Z13" s="484">
        <v>946</v>
      </c>
      <c r="AA13" s="544">
        <f>SUM(U13:Z13)</f>
        <v>24303</v>
      </c>
      <c r="AB13" s="483">
        <v>339</v>
      </c>
      <c r="AC13" s="484">
        <v>11831</v>
      </c>
      <c r="AD13" s="484">
        <v>12224</v>
      </c>
      <c r="AE13" s="484">
        <v>3605</v>
      </c>
      <c r="AF13" s="489"/>
      <c r="AG13" s="544">
        <f t="shared" si="6"/>
        <v>27999</v>
      </c>
      <c r="AH13" s="483">
        <v>2030</v>
      </c>
      <c r="AI13" s="484">
        <v>295</v>
      </c>
      <c r="AJ13" s="489">
        <v>5</v>
      </c>
      <c r="AK13" s="483">
        <f t="shared" si="7"/>
        <v>2330</v>
      </c>
      <c r="AL13" s="209"/>
      <c r="AM13" s="209"/>
    </row>
    <row r="14" spans="1:43" s="80" customFormat="1" ht="18" customHeight="1">
      <c r="A14" s="249"/>
      <c r="B14" s="239" t="s">
        <v>58</v>
      </c>
      <c r="C14" s="452">
        <f t="shared" si="1"/>
        <v>0</v>
      </c>
      <c r="D14" s="452">
        <f t="shared" si="0"/>
        <v>0</v>
      </c>
      <c r="E14" s="452">
        <f t="shared" si="0"/>
        <v>0</v>
      </c>
      <c r="F14" s="452">
        <f t="shared" si="0"/>
        <v>0</v>
      </c>
      <c r="G14" s="452">
        <f t="shared" si="0"/>
        <v>0</v>
      </c>
      <c r="H14" s="452">
        <f t="shared" si="0"/>
        <v>0</v>
      </c>
      <c r="I14" s="481">
        <f t="shared" si="0"/>
        <v>0</v>
      </c>
      <c r="J14" s="453">
        <f t="shared" si="0"/>
        <v>0</v>
      </c>
      <c r="K14" s="452">
        <f t="shared" si="0"/>
        <v>0</v>
      </c>
      <c r="L14" s="452">
        <f t="shared" si="0"/>
        <v>0</v>
      </c>
      <c r="M14" s="452">
        <f t="shared" si="0"/>
        <v>0</v>
      </c>
      <c r="N14" s="454" t="e">
        <f t="shared" si="0"/>
        <v>#DIV/0!</v>
      </c>
      <c r="O14" s="453">
        <f t="shared" si="0"/>
        <v>0</v>
      </c>
      <c r="P14" s="452">
        <f t="shared" si="2"/>
        <v>0</v>
      </c>
      <c r="Q14" s="452">
        <f t="shared" si="3"/>
        <v>0</v>
      </c>
      <c r="R14" s="454">
        <f t="shared" si="4"/>
        <v>0</v>
      </c>
      <c r="S14" s="453">
        <f t="shared" si="5"/>
        <v>0</v>
      </c>
      <c r="T14" s="274"/>
      <c r="U14" s="483"/>
      <c r="V14" s="484"/>
      <c r="W14" s="484"/>
      <c r="X14" s="484"/>
      <c r="Y14" s="484"/>
      <c r="Z14" s="484"/>
      <c r="AA14" s="544">
        <f>SUM(U14:Z14)</f>
        <v>0</v>
      </c>
      <c r="AB14" s="483"/>
      <c r="AC14" s="484"/>
      <c r="AD14" s="484"/>
      <c r="AE14" s="484"/>
      <c r="AF14" s="489"/>
      <c r="AG14" s="544">
        <f t="shared" si="6"/>
        <v>0</v>
      </c>
      <c r="AH14" s="483"/>
      <c r="AI14" s="484"/>
      <c r="AJ14" s="489"/>
      <c r="AK14" s="483">
        <f t="shared" si="7"/>
        <v>0</v>
      </c>
      <c r="AL14" s="209"/>
      <c r="AM14" s="496">
        <v>0.30882415826650134</v>
      </c>
      <c r="AN14" s="80">
        <v>0.25708587800355315</v>
      </c>
      <c r="AO14" s="80">
        <v>0.26949466834086855</v>
      </c>
      <c r="AP14" s="80">
        <v>7.0118217830249921E-2</v>
      </c>
      <c r="AQ14" s="80">
        <v>9.4477077558827074E-2</v>
      </c>
    </row>
    <row r="15" spans="1:43" s="80" customFormat="1" ht="18" customHeight="1">
      <c r="A15" s="435" t="s">
        <v>86</v>
      </c>
      <c r="B15" s="435" t="s">
        <v>59</v>
      </c>
      <c r="C15" s="456">
        <f t="shared" si="1"/>
        <v>1</v>
      </c>
      <c r="D15" s="456">
        <f t="shared" si="0"/>
        <v>1</v>
      </c>
      <c r="E15" s="456">
        <f t="shared" si="0"/>
        <v>1</v>
      </c>
      <c r="F15" s="456">
        <f t="shared" si="0"/>
        <v>1</v>
      </c>
      <c r="G15" s="456">
        <f t="shared" si="0"/>
        <v>1</v>
      </c>
      <c r="H15" s="456">
        <f t="shared" si="0"/>
        <v>1</v>
      </c>
      <c r="I15" s="461">
        <f t="shared" si="0"/>
        <v>1</v>
      </c>
      <c r="J15" s="457">
        <f t="shared" si="0"/>
        <v>1</v>
      </c>
      <c r="K15" s="456">
        <f t="shared" si="0"/>
        <v>1</v>
      </c>
      <c r="L15" s="456">
        <f t="shared" si="0"/>
        <v>1</v>
      </c>
      <c r="M15" s="456">
        <f t="shared" si="0"/>
        <v>1</v>
      </c>
      <c r="N15" s="458" t="e">
        <f t="shared" si="0"/>
        <v>#DIV/0!</v>
      </c>
      <c r="O15" s="457">
        <f t="shared" si="0"/>
        <v>1</v>
      </c>
      <c r="P15" s="456">
        <f t="shared" si="2"/>
        <v>1</v>
      </c>
      <c r="Q15" s="456">
        <f t="shared" si="3"/>
        <v>1</v>
      </c>
      <c r="R15" s="458">
        <f t="shared" si="4"/>
        <v>1</v>
      </c>
      <c r="S15" s="457">
        <f t="shared" si="5"/>
        <v>1</v>
      </c>
      <c r="T15" s="274"/>
      <c r="U15" s="491">
        <v>105840</v>
      </c>
      <c r="V15" s="492">
        <v>38949</v>
      </c>
      <c r="W15" s="492">
        <v>63352</v>
      </c>
      <c r="X15" s="492">
        <v>23467</v>
      </c>
      <c r="Y15" s="492">
        <v>13542</v>
      </c>
      <c r="Z15" s="492">
        <v>12087</v>
      </c>
      <c r="AA15" s="545">
        <f>SUM(U15:Z15)</f>
        <v>257237</v>
      </c>
      <c r="AB15" s="491">
        <v>1618</v>
      </c>
      <c r="AC15" s="492">
        <v>57690</v>
      </c>
      <c r="AD15" s="492">
        <v>38959</v>
      </c>
      <c r="AE15" s="492">
        <v>14077</v>
      </c>
      <c r="AF15" s="493"/>
      <c r="AG15" s="545">
        <f t="shared" si="6"/>
        <v>112344</v>
      </c>
      <c r="AH15" s="491">
        <v>2159</v>
      </c>
      <c r="AI15" s="492">
        <v>435</v>
      </c>
      <c r="AJ15" s="493">
        <v>515</v>
      </c>
      <c r="AK15" s="491">
        <f t="shared" si="7"/>
        <v>3109</v>
      </c>
      <c r="AL15" s="209"/>
      <c r="AM15" s="495">
        <f>+AM14*100</f>
        <v>30.882415826650135</v>
      </c>
      <c r="AN15" s="495">
        <f>+AN14*100</f>
        <v>25.708587800355314</v>
      </c>
      <c r="AO15" s="495">
        <f>+AO14*100</f>
        <v>26.949466834086856</v>
      </c>
      <c r="AP15" s="495">
        <f>+AP14*100</f>
        <v>7.0118217830249918</v>
      </c>
      <c r="AQ15" s="495">
        <f>+AQ14*100</f>
        <v>9.4477077558827069</v>
      </c>
    </row>
    <row r="16" spans="1:43">
      <c r="A16" s="239" t="s">
        <v>3</v>
      </c>
      <c r="B16" s="240" t="s">
        <v>53</v>
      </c>
      <c r="C16" s="241">
        <v>0.34314812947463952</v>
      </c>
      <c r="D16" s="242">
        <v>0.26895513831159523</v>
      </c>
      <c r="E16" s="242">
        <v>0.24065185414569948</v>
      </c>
      <c r="F16" s="242">
        <v>0.21318501887947749</v>
      </c>
      <c r="G16" s="242">
        <v>0.19664967225054625</v>
      </c>
      <c r="H16" s="243">
        <v>0.21289198606271778</v>
      </c>
      <c r="I16" s="477">
        <v>0.28029953799030904</v>
      </c>
      <c r="J16" s="241">
        <v>5.4400977995110025E-2</v>
      </c>
      <c r="K16" s="242">
        <v>0.12165879483053926</v>
      </c>
      <c r="L16" s="242">
        <v>9.6250519457887054E-2</v>
      </c>
      <c r="M16" s="242">
        <v>6.6364029399048854E-2</v>
      </c>
      <c r="N16" s="243">
        <v>0.19144040497008744</v>
      </c>
      <c r="O16" s="241">
        <v>0.10773930466854678</v>
      </c>
      <c r="P16" s="342">
        <v>1.6440608302507192E-3</v>
      </c>
      <c r="Q16" s="433">
        <v>2.2383883603805262E-3</v>
      </c>
      <c r="R16" s="243">
        <v>0</v>
      </c>
      <c r="S16" s="342">
        <v>1.6963528413910093E-3</v>
      </c>
      <c r="T16" s="244"/>
      <c r="U16" s="245"/>
      <c r="V16" s="246"/>
      <c r="W16" s="246"/>
      <c r="X16" s="246"/>
      <c r="Y16" s="246"/>
      <c r="Z16" s="246"/>
      <c r="AA16" s="247"/>
      <c r="AB16" s="245"/>
      <c r="AC16" s="246"/>
      <c r="AD16" s="246"/>
      <c r="AE16" s="246"/>
      <c r="AF16" s="248"/>
      <c r="AG16" s="248"/>
      <c r="AH16" s="245"/>
      <c r="AI16" s="246"/>
      <c r="AJ16" s="248"/>
      <c r="AK16" s="245"/>
    </row>
    <row r="17" spans="1:39">
      <c r="A17" s="249"/>
      <c r="B17" s="239" t="s">
        <v>93</v>
      </c>
      <c r="C17" s="250">
        <v>0.25844509428254514</v>
      </c>
      <c r="D17" s="251">
        <v>0.26981510677941811</v>
      </c>
      <c r="E17" s="251">
        <v>0.24247116203452815</v>
      </c>
      <c r="F17" s="251">
        <v>0.25176038371262371</v>
      </c>
      <c r="G17" s="251">
        <v>0.23798252002913328</v>
      </c>
      <c r="H17" s="252">
        <v>0.24250871080139372</v>
      </c>
      <c r="I17" s="478">
        <v>0.25355214767919521</v>
      </c>
      <c r="J17" s="250">
        <v>7.9462102689486558E-2</v>
      </c>
      <c r="K17" s="251">
        <v>9.56038822857736E-2</v>
      </c>
      <c r="L17" s="251">
        <v>8.7738112792739659E-2</v>
      </c>
      <c r="M17" s="251">
        <v>8.25767401642888E-2</v>
      </c>
      <c r="N17" s="252">
        <v>0.29314312011044641</v>
      </c>
      <c r="O17" s="250">
        <v>0.10088828616610435</v>
      </c>
      <c r="P17" s="250">
        <v>6.1652281134401974E-3</v>
      </c>
      <c r="Q17" s="251">
        <v>7.8343592613318407E-3</v>
      </c>
      <c r="R17" s="252">
        <v>0</v>
      </c>
      <c r="S17" s="250">
        <v>6.1492790500424091E-3</v>
      </c>
      <c r="T17" s="253"/>
      <c r="U17" s="254"/>
      <c r="V17" s="255"/>
      <c r="W17" s="255"/>
      <c r="X17" s="255"/>
      <c r="Y17" s="255"/>
      <c r="Z17" s="255"/>
      <c r="AA17" s="256"/>
      <c r="AB17" s="254"/>
      <c r="AC17" s="255"/>
      <c r="AD17" s="255"/>
      <c r="AE17" s="255"/>
      <c r="AF17" s="257"/>
      <c r="AG17" s="257"/>
      <c r="AH17" s="254"/>
      <c r="AI17" s="255"/>
      <c r="AJ17" s="257"/>
      <c r="AK17" s="254"/>
    </row>
    <row r="18" spans="1:39">
      <c r="A18" s="249"/>
      <c r="B18" s="239" t="s">
        <v>55</v>
      </c>
      <c r="C18" s="250">
        <v>0.24450438640717959</v>
      </c>
      <c r="D18" s="251">
        <v>0.27855811953561704</v>
      </c>
      <c r="E18" s="251">
        <v>0.30239219633041731</v>
      </c>
      <c r="F18" s="251">
        <v>0.34156546586386366</v>
      </c>
      <c r="G18" s="251">
        <v>0.36471230881281863</v>
      </c>
      <c r="H18" s="252">
        <v>0.35505226480836238</v>
      </c>
      <c r="I18" s="478">
        <v>0.28444840550313982</v>
      </c>
      <c r="J18" s="250">
        <v>0.12224938875305623</v>
      </c>
      <c r="K18" s="251">
        <v>7.6607671147557996E-2</v>
      </c>
      <c r="L18" s="251">
        <v>8.7470005496199585E-2</v>
      </c>
      <c r="M18" s="251">
        <v>9.3169044530912237E-2</v>
      </c>
      <c r="N18" s="252">
        <v>0.30878969167050163</v>
      </c>
      <c r="O18" s="250">
        <v>9.5796947073535824E-2</v>
      </c>
      <c r="P18" s="250">
        <v>9.4533497739416363E-3</v>
      </c>
      <c r="Q18" s="251">
        <v>7.8343592613318407E-3</v>
      </c>
      <c r="R18" s="252">
        <v>0</v>
      </c>
      <c r="S18" s="250">
        <v>7.8456318914334189E-3</v>
      </c>
      <c r="T18" s="253"/>
      <c r="U18" s="254"/>
      <c r="V18" s="255"/>
      <c r="W18" s="255"/>
      <c r="X18" s="255"/>
      <c r="Y18" s="255"/>
      <c r="Z18" s="255"/>
      <c r="AA18" s="256"/>
      <c r="AB18" s="254"/>
      <c r="AC18" s="255"/>
      <c r="AD18" s="255"/>
      <c r="AE18" s="255"/>
      <c r="AF18" s="257"/>
      <c r="AG18" s="257"/>
      <c r="AH18" s="254"/>
      <c r="AI18" s="255"/>
      <c r="AJ18" s="257"/>
      <c r="AK18" s="254"/>
    </row>
    <row r="19" spans="1:39">
      <c r="A19" s="249"/>
      <c r="B19" s="239" t="s">
        <v>78</v>
      </c>
      <c r="C19" s="250">
        <v>6.3048300897448825E-2</v>
      </c>
      <c r="D19" s="251">
        <v>0.10090296689121399</v>
      </c>
      <c r="E19" s="251">
        <v>0.10656499187117752</v>
      </c>
      <c r="F19" s="251">
        <v>0.10674558628431473</v>
      </c>
      <c r="G19" s="251">
        <v>0.13729060451565914</v>
      </c>
      <c r="H19" s="252">
        <v>0.1313588850174216</v>
      </c>
      <c r="I19" s="478">
        <v>9.0547752952866822E-2</v>
      </c>
      <c r="J19" s="250">
        <v>7.8850855745721274E-2</v>
      </c>
      <c r="K19" s="251">
        <v>0.17849172159651217</v>
      </c>
      <c r="L19" s="251">
        <v>0.1444428060109656</v>
      </c>
      <c r="M19" s="251">
        <v>0.18763510592304367</v>
      </c>
      <c r="N19" s="252">
        <v>0.20616658996778647</v>
      </c>
      <c r="O19" s="250">
        <v>0.16515177821469965</v>
      </c>
      <c r="P19" s="250">
        <v>3.5758323057953144E-2</v>
      </c>
      <c r="Q19" s="251">
        <v>4.1969781757134866E-2</v>
      </c>
      <c r="R19" s="252">
        <v>0.98991935483870963</v>
      </c>
      <c r="S19" s="250">
        <v>0.13846480067854114</v>
      </c>
      <c r="T19" s="253"/>
      <c r="U19" s="254"/>
      <c r="V19" s="255"/>
      <c r="W19" s="255"/>
      <c r="X19" s="255"/>
      <c r="Y19" s="255"/>
      <c r="Z19" s="255"/>
      <c r="AA19" s="256"/>
      <c r="AB19" s="254"/>
      <c r="AC19" s="255"/>
      <c r="AD19" s="255"/>
      <c r="AE19" s="255"/>
      <c r="AF19" s="257"/>
      <c r="AG19" s="257"/>
      <c r="AH19" s="254"/>
      <c r="AI19" s="255"/>
      <c r="AJ19" s="257"/>
      <c r="AK19" s="254"/>
    </row>
    <row r="20" spans="1:39">
      <c r="A20" s="249"/>
      <c r="B20" s="239" t="s">
        <v>32</v>
      </c>
      <c r="C20" s="250">
        <v>9.0854088938186958E-2</v>
      </c>
      <c r="D20" s="251">
        <v>8.0335387702450911E-2</v>
      </c>
      <c r="E20" s="251">
        <v>0.10714562204846327</v>
      </c>
      <c r="F20" s="251">
        <v>8.6641494030003055E-2</v>
      </c>
      <c r="G20" s="251">
        <v>6.2818645302257836E-2</v>
      </c>
      <c r="H20" s="252">
        <v>5.8188153310104532E-2</v>
      </c>
      <c r="I20" s="478">
        <v>9.0701414712601292E-2</v>
      </c>
      <c r="J20" s="250">
        <v>1.0391198044009779E-2</v>
      </c>
      <c r="K20" s="251">
        <v>4.6452483521046348E-2</v>
      </c>
      <c r="L20" s="251">
        <v>6.2066839149027442E-2</v>
      </c>
      <c r="M20" s="251">
        <v>3.5884133160397749E-2</v>
      </c>
      <c r="N20" s="434">
        <v>4.6019328117809482E-4</v>
      </c>
      <c r="O20" s="250">
        <v>4.7042096223962611E-2</v>
      </c>
      <c r="P20" s="250">
        <v>0</v>
      </c>
      <c r="Q20" s="273">
        <v>5.5959709009513155E-4</v>
      </c>
      <c r="R20" s="252">
        <v>0</v>
      </c>
      <c r="S20" s="420">
        <v>2.1204410517387616E-4</v>
      </c>
      <c r="T20" s="253"/>
      <c r="U20" s="254"/>
      <c r="V20" s="255"/>
      <c r="W20" s="255"/>
      <c r="X20" s="255"/>
      <c r="Y20" s="255"/>
      <c r="Z20" s="255"/>
      <c r="AA20" s="256"/>
      <c r="AB20" s="254"/>
      <c r="AC20" s="255"/>
      <c r="AD20" s="255"/>
      <c r="AE20" s="255"/>
      <c r="AF20" s="257"/>
      <c r="AG20" s="257"/>
      <c r="AH20" s="254"/>
      <c r="AI20" s="255"/>
      <c r="AJ20" s="257"/>
      <c r="AK20" s="254"/>
    </row>
    <row r="21" spans="1:39">
      <c r="A21" s="249"/>
      <c r="B21" s="239" t="s">
        <v>58</v>
      </c>
      <c r="C21" s="250">
        <v>0</v>
      </c>
      <c r="D21" s="273">
        <v>1.4332807797047442E-3</v>
      </c>
      <c r="E21" s="419">
        <v>7.7417356971432993E-4</v>
      </c>
      <c r="F21" s="419">
        <v>1.020512297173181E-4</v>
      </c>
      <c r="G21" s="419">
        <v>5.4624908958485067E-4</v>
      </c>
      <c r="H21" s="252">
        <v>0</v>
      </c>
      <c r="I21" s="482">
        <v>4.5074116188778595E-4</v>
      </c>
      <c r="J21" s="250">
        <v>0.65464547677261609</v>
      </c>
      <c r="K21" s="251">
        <v>0.4811854466185706</v>
      </c>
      <c r="L21" s="251">
        <v>0.52203171709318064</v>
      </c>
      <c r="M21" s="251">
        <v>0.53437094682230868</v>
      </c>
      <c r="N21" s="252">
        <v>0</v>
      </c>
      <c r="O21" s="250">
        <v>0.48338158765315076</v>
      </c>
      <c r="P21" s="250">
        <v>0.94697903822441432</v>
      </c>
      <c r="Q21" s="251">
        <v>0.93956351426972584</v>
      </c>
      <c r="R21" s="252">
        <v>1.0080645161290322E-2</v>
      </c>
      <c r="S21" s="250">
        <v>0.8456318914334181</v>
      </c>
      <c r="T21" s="253"/>
      <c r="U21" s="254"/>
      <c r="V21" s="255"/>
      <c r="W21" s="255"/>
      <c r="X21" s="255"/>
      <c r="Y21" s="255"/>
      <c r="Z21" s="255"/>
      <c r="AA21" s="256"/>
      <c r="AB21" s="254"/>
      <c r="AC21" s="255"/>
      <c r="AD21" s="255"/>
      <c r="AE21" s="255"/>
      <c r="AF21" s="257"/>
      <c r="AG21" s="257"/>
      <c r="AH21" s="254"/>
      <c r="AI21" s="255"/>
      <c r="AJ21" s="257"/>
      <c r="AK21" s="254"/>
    </row>
    <row r="22" spans="1:39" s="271" customFormat="1">
      <c r="A22" s="435" t="s">
        <v>86</v>
      </c>
      <c r="B22" s="436" t="s">
        <v>59</v>
      </c>
      <c r="C22" s="261">
        <v>1</v>
      </c>
      <c r="D22" s="262">
        <v>1</v>
      </c>
      <c r="E22" s="262">
        <v>1</v>
      </c>
      <c r="F22" s="262">
        <v>1</v>
      </c>
      <c r="G22" s="262">
        <v>1</v>
      </c>
      <c r="H22" s="263">
        <v>1</v>
      </c>
      <c r="I22" s="480">
        <v>1</v>
      </c>
      <c r="J22" s="261">
        <v>1</v>
      </c>
      <c r="K22" s="262">
        <v>1</v>
      </c>
      <c r="L22" s="262">
        <v>1</v>
      </c>
      <c r="M22" s="262">
        <v>1</v>
      </c>
      <c r="N22" s="263">
        <v>1</v>
      </c>
      <c r="O22" s="261">
        <v>1</v>
      </c>
      <c r="P22" s="261">
        <v>1</v>
      </c>
      <c r="Q22" s="262">
        <v>1</v>
      </c>
      <c r="R22" s="263">
        <v>1</v>
      </c>
      <c r="S22" s="261">
        <v>1</v>
      </c>
      <c r="T22" s="264"/>
      <c r="U22" s="265"/>
      <c r="V22" s="266"/>
      <c r="W22" s="266"/>
      <c r="X22" s="266"/>
      <c r="Y22" s="266"/>
      <c r="Z22" s="266"/>
      <c r="AA22" s="267"/>
      <c r="AB22" s="265"/>
      <c r="AC22" s="266"/>
      <c r="AD22" s="266"/>
      <c r="AE22" s="266"/>
      <c r="AF22" s="268"/>
      <c r="AG22" s="268"/>
      <c r="AH22" s="265"/>
      <c r="AI22" s="266"/>
      <c r="AJ22" s="268"/>
      <c r="AK22" s="265"/>
      <c r="AL22" s="270"/>
      <c r="AM22" s="270"/>
    </row>
    <row r="23" spans="1:39">
      <c r="A23" s="239" t="s">
        <v>4</v>
      </c>
      <c r="B23" s="240" t="s">
        <v>53</v>
      </c>
      <c r="C23" s="241">
        <v>0.35145429362880887</v>
      </c>
      <c r="D23" s="242">
        <v>0.25605536332179929</v>
      </c>
      <c r="E23" s="242">
        <v>0.21684350132625996</v>
      </c>
      <c r="F23" s="242">
        <v>0.25196850393700787</v>
      </c>
      <c r="G23" s="242">
        <v>0.22510822510822512</v>
      </c>
      <c r="H23" s="243">
        <v>0.2558139534883721</v>
      </c>
      <c r="I23" s="477">
        <v>0.29270888770622672</v>
      </c>
      <c r="J23" s="241">
        <v>0</v>
      </c>
      <c r="K23" s="242">
        <v>0</v>
      </c>
      <c r="L23" s="242">
        <v>0</v>
      </c>
      <c r="M23" s="242">
        <v>0</v>
      </c>
      <c r="N23" s="243">
        <v>0</v>
      </c>
      <c r="O23" s="241">
        <v>0</v>
      </c>
      <c r="P23" s="342">
        <v>0</v>
      </c>
      <c r="Q23" s="242">
        <v>0</v>
      </c>
      <c r="R23" s="243">
        <v>0</v>
      </c>
      <c r="S23" s="342">
        <v>0</v>
      </c>
      <c r="T23" s="244"/>
      <c r="U23" s="245">
        <v>1015</v>
      </c>
      <c r="V23" s="246">
        <v>74</v>
      </c>
      <c r="W23" s="246">
        <v>327</v>
      </c>
      <c r="X23" s="246">
        <v>160</v>
      </c>
      <c r="Y23" s="246">
        <v>52</v>
      </c>
      <c r="Z23" s="246">
        <v>22</v>
      </c>
      <c r="AA23" s="247">
        <v>1650</v>
      </c>
      <c r="AB23" s="245">
        <v>0</v>
      </c>
      <c r="AC23" s="246">
        <v>0</v>
      </c>
      <c r="AD23" s="246">
        <v>0</v>
      </c>
      <c r="AE23" s="246">
        <v>0</v>
      </c>
      <c r="AF23" s="248">
        <v>0</v>
      </c>
      <c r="AG23" s="248">
        <v>0</v>
      </c>
      <c r="AH23" s="245">
        <v>0</v>
      </c>
      <c r="AI23" s="246">
        <v>0</v>
      </c>
      <c r="AJ23" s="248">
        <v>0</v>
      </c>
      <c r="AK23" s="245">
        <v>0</v>
      </c>
    </row>
    <row r="24" spans="1:39">
      <c r="A24" s="249"/>
      <c r="B24" s="239" t="s">
        <v>93</v>
      </c>
      <c r="C24" s="250">
        <v>0.27977839335180055</v>
      </c>
      <c r="D24" s="251">
        <v>0.30103806228373703</v>
      </c>
      <c r="E24" s="251">
        <v>0.22148541114058357</v>
      </c>
      <c r="F24" s="251">
        <v>0.25669291338582678</v>
      </c>
      <c r="G24" s="251">
        <v>0.26839826839826841</v>
      </c>
      <c r="H24" s="252">
        <v>0.2441860465116279</v>
      </c>
      <c r="I24" s="478">
        <v>0.26166400567677844</v>
      </c>
      <c r="J24" s="250">
        <v>0</v>
      </c>
      <c r="K24" s="251">
        <v>0</v>
      </c>
      <c r="L24" s="251">
        <v>0</v>
      </c>
      <c r="M24" s="251">
        <v>0</v>
      </c>
      <c r="N24" s="252">
        <v>0</v>
      </c>
      <c r="O24" s="250">
        <v>0</v>
      </c>
      <c r="P24" s="250">
        <v>0</v>
      </c>
      <c r="Q24" s="251">
        <v>0</v>
      </c>
      <c r="R24" s="252">
        <v>0</v>
      </c>
      <c r="S24" s="250">
        <v>0</v>
      </c>
      <c r="T24" s="253"/>
      <c r="U24" s="254">
        <v>808</v>
      </c>
      <c r="V24" s="255">
        <v>87</v>
      </c>
      <c r="W24" s="255">
        <v>334</v>
      </c>
      <c r="X24" s="255">
        <v>163</v>
      </c>
      <c r="Y24" s="255">
        <v>62</v>
      </c>
      <c r="Z24" s="255">
        <v>21</v>
      </c>
      <c r="AA24" s="256">
        <v>1475</v>
      </c>
      <c r="AB24" s="254">
        <v>0</v>
      </c>
      <c r="AC24" s="255">
        <v>0</v>
      </c>
      <c r="AD24" s="255">
        <v>0</v>
      </c>
      <c r="AE24" s="255">
        <v>0</v>
      </c>
      <c r="AF24" s="257">
        <v>0</v>
      </c>
      <c r="AG24" s="257">
        <v>0</v>
      </c>
      <c r="AH24" s="254">
        <v>0</v>
      </c>
      <c r="AI24" s="255">
        <v>0</v>
      </c>
      <c r="AJ24" s="257">
        <v>0</v>
      </c>
      <c r="AK24" s="254">
        <v>0</v>
      </c>
    </row>
    <row r="25" spans="1:39">
      <c r="A25" s="249"/>
      <c r="B25" s="239" t="s">
        <v>55</v>
      </c>
      <c r="C25" s="250">
        <v>0.25484764542936289</v>
      </c>
      <c r="D25" s="251">
        <v>0.2837370242214533</v>
      </c>
      <c r="E25" s="251">
        <v>0.34748010610079577</v>
      </c>
      <c r="F25" s="251">
        <v>0.31653543307086612</v>
      </c>
      <c r="G25" s="251">
        <v>0.34632034632034631</v>
      </c>
      <c r="H25" s="252">
        <v>0.44186046511627908</v>
      </c>
      <c r="I25" s="478">
        <v>0.29466028029093488</v>
      </c>
      <c r="J25" s="250">
        <v>0</v>
      </c>
      <c r="K25" s="251">
        <v>0</v>
      </c>
      <c r="L25" s="251">
        <v>0</v>
      </c>
      <c r="M25" s="251">
        <v>0</v>
      </c>
      <c r="N25" s="252">
        <v>0</v>
      </c>
      <c r="O25" s="250">
        <v>0</v>
      </c>
      <c r="P25" s="250">
        <v>0</v>
      </c>
      <c r="Q25" s="251">
        <v>0</v>
      </c>
      <c r="R25" s="252">
        <v>0</v>
      </c>
      <c r="S25" s="250">
        <v>0</v>
      </c>
      <c r="T25" s="253"/>
      <c r="U25" s="254">
        <v>736</v>
      </c>
      <c r="V25" s="255">
        <v>82</v>
      </c>
      <c r="W25" s="255">
        <v>524</v>
      </c>
      <c r="X25" s="255">
        <v>201</v>
      </c>
      <c r="Y25" s="255">
        <v>80</v>
      </c>
      <c r="Z25" s="255">
        <v>38</v>
      </c>
      <c r="AA25" s="256">
        <v>1661</v>
      </c>
      <c r="AB25" s="254">
        <v>0</v>
      </c>
      <c r="AC25" s="255">
        <v>0</v>
      </c>
      <c r="AD25" s="255">
        <v>0</v>
      </c>
      <c r="AE25" s="255">
        <v>0</v>
      </c>
      <c r="AF25" s="257">
        <v>0</v>
      </c>
      <c r="AG25" s="257">
        <v>0</v>
      </c>
      <c r="AH25" s="254">
        <v>0</v>
      </c>
      <c r="AI25" s="255">
        <v>0</v>
      </c>
      <c r="AJ25" s="257">
        <v>0</v>
      </c>
      <c r="AK25" s="254">
        <v>0</v>
      </c>
    </row>
    <row r="26" spans="1:39">
      <c r="A26" s="249"/>
      <c r="B26" s="239" t="s">
        <v>78</v>
      </c>
      <c r="C26" s="250">
        <v>0.10768698060941828</v>
      </c>
      <c r="D26" s="251">
        <v>1.384083044982699E-2</v>
      </c>
      <c r="E26" s="251">
        <v>0.19031830238726791</v>
      </c>
      <c r="F26" s="251">
        <v>0.16220472440944883</v>
      </c>
      <c r="G26" s="251">
        <v>9.9567099567099568E-2</v>
      </c>
      <c r="H26" s="252">
        <v>5.8139534883720929E-2</v>
      </c>
      <c r="I26" s="478">
        <v>0.13003370587191768</v>
      </c>
      <c r="J26" s="250">
        <v>0</v>
      </c>
      <c r="K26" s="251">
        <v>0</v>
      </c>
      <c r="L26" s="251">
        <v>0</v>
      </c>
      <c r="M26" s="251">
        <v>0</v>
      </c>
      <c r="N26" s="252">
        <v>0</v>
      </c>
      <c r="O26" s="250">
        <v>0</v>
      </c>
      <c r="P26" s="250">
        <v>0</v>
      </c>
      <c r="Q26" s="251">
        <v>0</v>
      </c>
      <c r="R26" s="252">
        <v>0</v>
      </c>
      <c r="S26" s="250">
        <v>0</v>
      </c>
      <c r="T26" s="253"/>
      <c r="U26" s="254">
        <v>311</v>
      </c>
      <c r="V26" s="255">
        <v>4</v>
      </c>
      <c r="W26" s="255">
        <v>287</v>
      </c>
      <c r="X26" s="255">
        <v>103</v>
      </c>
      <c r="Y26" s="255">
        <v>23</v>
      </c>
      <c r="Z26" s="255">
        <v>5</v>
      </c>
      <c r="AA26" s="256">
        <v>733</v>
      </c>
      <c r="AB26" s="254">
        <v>0</v>
      </c>
      <c r="AC26" s="255">
        <v>0</v>
      </c>
      <c r="AD26" s="255">
        <v>0</v>
      </c>
      <c r="AE26" s="255">
        <v>0</v>
      </c>
      <c r="AF26" s="257">
        <v>0</v>
      </c>
      <c r="AG26" s="257">
        <v>0</v>
      </c>
      <c r="AH26" s="254">
        <v>0</v>
      </c>
      <c r="AI26" s="255">
        <v>0</v>
      </c>
      <c r="AJ26" s="257">
        <v>0</v>
      </c>
      <c r="AK26" s="254">
        <v>0</v>
      </c>
    </row>
    <row r="27" spans="1:39">
      <c r="A27" s="249"/>
      <c r="B27" s="239" t="s">
        <v>32</v>
      </c>
      <c r="C27" s="250">
        <v>6.2326869806094186E-3</v>
      </c>
      <c r="D27" s="251">
        <v>0.1453287197231834</v>
      </c>
      <c r="E27" s="251">
        <v>2.3872679045092837E-2</v>
      </c>
      <c r="F27" s="251">
        <v>1.2598425196850394E-2</v>
      </c>
      <c r="G27" s="251">
        <v>4.7619047619047616E-2</v>
      </c>
      <c r="H27" s="252">
        <v>0</v>
      </c>
      <c r="I27" s="478">
        <v>2.0400922476494589E-2</v>
      </c>
      <c r="J27" s="250">
        <v>0</v>
      </c>
      <c r="K27" s="251">
        <v>0</v>
      </c>
      <c r="L27" s="251">
        <v>0</v>
      </c>
      <c r="M27" s="251">
        <v>0</v>
      </c>
      <c r="N27" s="258">
        <v>0</v>
      </c>
      <c r="O27" s="250">
        <v>0</v>
      </c>
      <c r="P27" s="250">
        <v>0</v>
      </c>
      <c r="Q27" s="251">
        <v>0</v>
      </c>
      <c r="R27" s="252">
        <v>0</v>
      </c>
      <c r="S27" s="250">
        <v>0</v>
      </c>
      <c r="T27" s="253"/>
      <c r="U27" s="254">
        <v>18</v>
      </c>
      <c r="V27" s="255">
        <v>42</v>
      </c>
      <c r="W27" s="255">
        <v>36</v>
      </c>
      <c r="X27" s="255">
        <v>8</v>
      </c>
      <c r="Y27" s="255">
        <v>11</v>
      </c>
      <c r="Z27" s="255">
        <v>0</v>
      </c>
      <c r="AA27" s="256">
        <v>115</v>
      </c>
      <c r="AB27" s="254">
        <v>0</v>
      </c>
      <c r="AC27" s="255">
        <v>0</v>
      </c>
      <c r="AD27" s="255">
        <v>0</v>
      </c>
      <c r="AE27" s="255">
        <v>0</v>
      </c>
      <c r="AF27" s="257">
        <v>0</v>
      </c>
      <c r="AG27" s="257">
        <v>0</v>
      </c>
      <c r="AH27" s="254">
        <v>0</v>
      </c>
      <c r="AI27" s="255">
        <v>0</v>
      </c>
      <c r="AJ27" s="257">
        <v>0</v>
      </c>
      <c r="AK27" s="254">
        <v>0</v>
      </c>
    </row>
    <row r="28" spans="1:39">
      <c r="A28" s="249"/>
      <c r="B28" s="239" t="s">
        <v>58</v>
      </c>
      <c r="C28" s="250">
        <v>0</v>
      </c>
      <c r="D28" s="251">
        <v>0</v>
      </c>
      <c r="E28" s="419">
        <v>0</v>
      </c>
      <c r="F28" s="251">
        <v>0</v>
      </c>
      <c r="G28" s="273">
        <v>1.2987012987012988E-2</v>
      </c>
      <c r="H28" s="252">
        <v>0</v>
      </c>
      <c r="I28" s="482">
        <v>5.3219797764768491E-4</v>
      </c>
      <c r="J28" s="250">
        <v>0</v>
      </c>
      <c r="K28" s="251">
        <v>1</v>
      </c>
      <c r="L28" s="251">
        <v>1</v>
      </c>
      <c r="M28" s="251">
        <v>1</v>
      </c>
      <c r="N28" s="252">
        <v>0</v>
      </c>
      <c r="O28" s="250">
        <v>1</v>
      </c>
      <c r="P28" s="250">
        <v>1</v>
      </c>
      <c r="Q28" s="251">
        <v>1</v>
      </c>
      <c r="R28" s="252">
        <v>0</v>
      </c>
      <c r="S28" s="250">
        <v>1</v>
      </c>
      <c r="T28" s="253"/>
      <c r="U28" s="254">
        <v>0</v>
      </c>
      <c r="V28" s="255">
        <v>0</v>
      </c>
      <c r="W28" s="255">
        <v>0</v>
      </c>
      <c r="X28" s="255">
        <v>0</v>
      </c>
      <c r="Y28" s="255">
        <v>3</v>
      </c>
      <c r="Z28" s="255">
        <v>0</v>
      </c>
      <c r="AA28" s="256">
        <v>3</v>
      </c>
      <c r="AB28" s="254">
        <v>0</v>
      </c>
      <c r="AC28" s="255">
        <v>270</v>
      </c>
      <c r="AD28" s="255">
        <v>1030</v>
      </c>
      <c r="AE28" s="255">
        <v>421</v>
      </c>
      <c r="AF28" s="257">
        <v>0</v>
      </c>
      <c r="AG28" s="257">
        <v>1721</v>
      </c>
      <c r="AH28" s="254">
        <v>66</v>
      </c>
      <c r="AI28" s="255">
        <v>85</v>
      </c>
      <c r="AJ28" s="257">
        <v>0</v>
      </c>
      <c r="AK28" s="254">
        <v>151</v>
      </c>
    </row>
    <row r="29" spans="1:39" s="271" customFormat="1">
      <c r="A29" s="435"/>
      <c r="B29" s="436" t="s">
        <v>59</v>
      </c>
      <c r="C29" s="261">
        <v>1</v>
      </c>
      <c r="D29" s="262">
        <v>1</v>
      </c>
      <c r="E29" s="262">
        <v>1</v>
      </c>
      <c r="F29" s="262">
        <v>1</v>
      </c>
      <c r="G29" s="262">
        <v>1</v>
      </c>
      <c r="H29" s="263">
        <v>1</v>
      </c>
      <c r="I29" s="480">
        <v>1</v>
      </c>
      <c r="J29" s="261">
        <v>0</v>
      </c>
      <c r="K29" s="262">
        <v>1</v>
      </c>
      <c r="L29" s="262">
        <v>1</v>
      </c>
      <c r="M29" s="262">
        <v>1</v>
      </c>
      <c r="N29" s="263">
        <v>0</v>
      </c>
      <c r="O29" s="261">
        <v>1</v>
      </c>
      <c r="P29" s="261">
        <v>1</v>
      </c>
      <c r="Q29" s="262">
        <v>1</v>
      </c>
      <c r="R29" s="263">
        <v>0</v>
      </c>
      <c r="S29" s="261">
        <v>1</v>
      </c>
      <c r="T29" s="264"/>
      <c r="U29" s="265">
        <v>2888</v>
      </c>
      <c r="V29" s="266">
        <v>289</v>
      </c>
      <c r="W29" s="266">
        <v>1508</v>
      </c>
      <c r="X29" s="266">
        <v>635</v>
      </c>
      <c r="Y29" s="266">
        <v>231</v>
      </c>
      <c r="Z29" s="266">
        <v>86</v>
      </c>
      <c r="AA29" s="267">
        <v>5637</v>
      </c>
      <c r="AB29" s="265">
        <v>0</v>
      </c>
      <c r="AC29" s="266">
        <v>270</v>
      </c>
      <c r="AD29" s="266">
        <v>1030</v>
      </c>
      <c r="AE29" s="266">
        <v>421</v>
      </c>
      <c r="AF29" s="268">
        <v>0</v>
      </c>
      <c r="AG29" s="268">
        <v>1721</v>
      </c>
      <c r="AH29" s="265">
        <v>66</v>
      </c>
      <c r="AI29" s="266">
        <v>85</v>
      </c>
      <c r="AJ29" s="268">
        <v>0</v>
      </c>
      <c r="AK29" s="265">
        <v>151</v>
      </c>
      <c r="AL29" s="270"/>
      <c r="AM29" s="270"/>
    </row>
    <row r="30" spans="1:39">
      <c r="A30" s="239" t="s">
        <v>5</v>
      </c>
      <c r="B30" s="240" t="s">
        <v>53</v>
      </c>
      <c r="C30" s="241">
        <v>0.39931350114416475</v>
      </c>
      <c r="D30" s="242">
        <v>0</v>
      </c>
      <c r="E30" s="242">
        <v>0.22116689280868385</v>
      </c>
      <c r="F30" s="242">
        <v>0.24429223744292236</v>
      </c>
      <c r="G30" s="242">
        <v>0.16279069767441862</v>
      </c>
      <c r="H30" s="243">
        <v>0.2073170731707317</v>
      </c>
      <c r="I30" s="477">
        <v>0.26607197785296832</v>
      </c>
      <c r="J30" s="241">
        <v>4.4554455445544552E-2</v>
      </c>
      <c r="K30" s="242">
        <v>0</v>
      </c>
      <c r="L30" s="242">
        <v>2.0491803278688523E-2</v>
      </c>
      <c r="M30" s="242">
        <v>0</v>
      </c>
      <c r="N30" s="243">
        <v>0</v>
      </c>
      <c r="O30" s="241">
        <v>9.2653871608206484E-3</v>
      </c>
      <c r="P30" s="342">
        <v>0</v>
      </c>
      <c r="Q30" s="242">
        <v>0</v>
      </c>
      <c r="R30" s="243">
        <v>0</v>
      </c>
      <c r="S30" s="342">
        <v>0</v>
      </c>
      <c r="T30" s="244"/>
      <c r="U30" s="245">
        <v>349</v>
      </c>
      <c r="V30" s="246">
        <v>0</v>
      </c>
      <c r="W30" s="246">
        <v>326</v>
      </c>
      <c r="X30" s="246">
        <v>107</v>
      </c>
      <c r="Y30" s="246">
        <v>49</v>
      </c>
      <c r="Z30" s="246">
        <v>34</v>
      </c>
      <c r="AA30" s="247">
        <v>865</v>
      </c>
      <c r="AB30" s="245">
        <v>9</v>
      </c>
      <c r="AC30" s="246">
        <v>0</v>
      </c>
      <c r="AD30" s="246">
        <v>5</v>
      </c>
      <c r="AE30" s="246">
        <v>0</v>
      </c>
      <c r="AF30" s="248">
        <v>0</v>
      </c>
      <c r="AG30" s="248">
        <v>14</v>
      </c>
      <c r="AH30" s="245">
        <v>0</v>
      </c>
      <c r="AI30" s="246">
        <v>0</v>
      </c>
      <c r="AJ30" s="248">
        <v>0</v>
      </c>
      <c r="AK30" s="245">
        <v>0</v>
      </c>
    </row>
    <row r="31" spans="1:39">
      <c r="A31" s="249"/>
      <c r="B31" s="239" t="s">
        <v>93</v>
      </c>
      <c r="C31" s="250">
        <v>0.25057208237986273</v>
      </c>
      <c r="D31" s="251">
        <v>0</v>
      </c>
      <c r="E31" s="251">
        <v>0.2130257801899593</v>
      </c>
      <c r="F31" s="251">
        <v>0.25114155251141551</v>
      </c>
      <c r="G31" s="251">
        <v>0.20598006644518271</v>
      </c>
      <c r="H31" s="252">
        <v>0.18292682926829268</v>
      </c>
      <c r="I31" s="478">
        <v>0.22608428175945863</v>
      </c>
      <c r="J31" s="250">
        <v>0.18316831683168316</v>
      </c>
      <c r="K31" s="251">
        <v>0</v>
      </c>
      <c r="L31" s="251">
        <v>4.0983606557377046E-2</v>
      </c>
      <c r="M31" s="251">
        <v>0</v>
      </c>
      <c r="N31" s="252">
        <v>0</v>
      </c>
      <c r="O31" s="250">
        <v>3.1105228325612178E-2</v>
      </c>
      <c r="P31" s="250">
        <v>0</v>
      </c>
      <c r="Q31" s="251">
        <v>0</v>
      </c>
      <c r="R31" s="252">
        <v>0</v>
      </c>
      <c r="S31" s="250">
        <v>0</v>
      </c>
      <c r="T31" s="253"/>
      <c r="U31" s="254">
        <v>219</v>
      </c>
      <c r="V31" s="255">
        <v>0</v>
      </c>
      <c r="W31" s="255">
        <v>314</v>
      </c>
      <c r="X31" s="255">
        <v>110</v>
      </c>
      <c r="Y31" s="255">
        <v>62</v>
      </c>
      <c r="Z31" s="255">
        <v>30</v>
      </c>
      <c r="AA31" s="256">
        <v>735</v>
      </c>
      <c r="AB31" s="254">
        <v>37</v>
      </c>
      <c r="AC31" s="255">
        <v>0</v>
      </c>
      <c r="AD31" s="255">
        <v>10</v>
      </c>
      <c r="AE31" s="255">
        <v>0</v>
      </c>
      <c r="AF31" s="257">
        <v>0</v>
      </c>
      <c r="AG31" s="257">
        <v>47</v>
      </c>
      <c r="AH31" s="254">
        <v>0</v>
      </c>
      <c r="AI31" s="255">
        <v>0</v>
      </c>
      <c r="AJ31" s="257">
        <v>0</v>
      </c>
      <c r="AK31" s="254">
        <v>0</v>
      </c>
    </row>
    <row r="32" spans="1:39">
      <c r="A32" s="249"/>
      <c r="B32" s="239" t="s">
        <v>55</v>
      </c>
      <c r="C32" s="250">
        <v>0.15446224256292906</v>
      </c>
      <c r="D32" s="251">
        <v>0</v>
      </c>
      <c r="E32" s="251">
        <v>0.31546811397557667</v>
      </c>
      <c r="F32" s="251">
        <v>0.31050228310502281</v>
      </c>
      <c r="G32" s="251">
        <v>0.32558139534883723</v>
      </c>
      <c r="H32" s="252">
        <v>0.29268292682926828</v>
      </c>
      <c r="I32" s="478">
        <v>0.27130113811135037</v>
      </c>
      <c r="J32" s="250">
        <v>0.42079207920792078</v>
      </c>
      <c r="K32" s="251">
        <v>0</v>
      </c>
      <c r="L32" s="251">
        <v>0.1598360655737705</v>
      </c>
      <c r="M32" s="251">
        <v>3.8793103448275863E-2</v>
      </c>
      <c r="N32" s="252">
        <v>0</v>
      </c>
      <c r="O32" s="250">
        <v>0.10589013898080742</v>
      </c>
      <c r="P32" s="250">
        <v>0</v>
      </c>
      <c r="Q32" s="251">
        <v>0</v>
      </c>
      <c r="R32" s="252">
        <v>0</v>
      </c>
      <c r="S32" s="250">
        <v>0</v>
      </c>
      <c r="T32" s="253"/>
      <c r="U32" s="254">
        <v>135</v>
      </c>
      <c r="V32" s="255">
        <v>0</v>
      </c>
      <c r="W32" s="255">
        <v>465</v>
      </c>
      <c r="X32" s="255">
        <v>136</v>
      </c>
      <c r="Y32" s="255">
        <v>98</v>
      </c>
      <c r="Z32" s="255">
        <v>48</v>
      </c>
      <c r="AA32" s="256">
        <v>882</v>
      </c>
      <c r="AB32" s="254">
        <v>85</v>
      </c>
      <c r="AC32" s="255">
        <v>0</v>
      </c>
      <c r="AD32" s="255">
        <v>39</v>
      </c>
      <c r="AE32" s="255">
        <v>36</v>
      </c>
      <c r="AF32" s="257">
        <v>0</v>
      </c>
      <c r="AG32" s="257">
        <v>160</v>
      </c>
      <c r="AH32" s="254">
        <v>0</v>
      </c>
      <c r="AI32" s="255">
        <v>0</v>
      </c>
      <c r="AJ32" s="257">
        <v>0</v>
      </c>
      <c r="AK32" s="254">
        <v>0</v>
      </c>
    </row>
    <row r="33" spans="1:39">
      <c r="A33" s="249"/>
      <c r="B33" s="239" t="s">
        <v>78</v>
      </c>
      <c r="C33" s="250">
        <v>0.11556064073226545</v>
      </c>
      <c r="D33" s="251">
        <v>0</v>
      </c>
      <c r="E33" s="251">
        <v>0.18995929443690637</v>
      </c>
      <c r="F33" s="251">
        <v>0.12328767123287671</v>
      </c>
      <c r="G33" s="251">
        <v>0.2292358803986711</v>
      </c>
      <c r="H33" s="252">
        <v>0.31707317073170732</v>
      </c>
      <c r="I33" s="478">
        <v>0.17102430021531836</v>
      </c>
      <c r="J33" s="250">
        <v>0.2722772277227723</v>
      </c>
      <c r="K33" s="251">
        <v>0</v>
      </c>
      <c r="L33" s="251">
        <v>0.27049180327868855</v>
      </c>
      <c r="M33" s="251">
        <v>5.2801724137931036E-2</v>
      </c>
      <c r="N33" s="252">
        <v>0</v>
      </c>
      <c r="O33" s="250">
        <v>0.11250827266710788</v>
      </c>
      <c r="P33" s="250">
        <v>0</v>
      </c>
      <c r="Q33" s="251">
        <v>0</v>
      </c>
      <c r="R33" s="252">
        <v>0</v>
      </c>
      <c r="S33" s="250">
        <v>0</v>
      </c>
      <c r="T33" s="253"/>
      <c r="U33" s="254">
        <v>101</v>
      </c>
      <c r="V33" s="255">
        <v>0</v>
      </c>
      <c r="W33" s="255">
        <v>280</v>
      </c>
      <c r="X33" s="255">
        <v>54</v>
      </c>
      <c r="Y33" s="255">
        <v>69</v>
      </c>
      <c r="Z33" s="255">
        <v>52</v>
      </c>
      <c r="AA33" s="256">
        <v>556</v>
      </c>
      <c r="AB33" s="254">
        <v>55</v>
      </c>
      <c r="AC33" s="255">
        <v>0</v>
      </c>
      <c r="AD33" s="255">
        <v>66</v>
      </c>
      <c r="AE33" s="255">
        <v>49</v>
      </c>
      <c r="AF33" s="257">
        <v>0</v>
      </c>
      <c r="AG33" s="257">
        <v>170</v>
      </c>
      <c r="AH33" s="254">
        <v>0</v>
      </c>
      <c r="AI33" s="255">
        <v>0</v>
      </c>
      <c r="AJ33" s="257">
        <v>0</v>
      </c>
      <c r="AK33" s="254">
        <v>0</v>
      </c>
    </row>
    <row r="34" spans="1:39">
      <c r="A34" s="249"/>
      <c r="B34" s="239" t="s">
        <v>32</v>
      </c>
      <c r="C34" s="250">
        <v>8.0091533180778038E-2</v>
      </c>
      <c r="D34" s="251">
        <v>0</v>
      </c>
      <c r="E34" s="251">
        <v>6.0379918588873815E-2</v>
      </c>
      <c r="F34" s="251">
        <v>7.0776255707762553E-2</v>
      </c>
      <c r="G34" s="251">
        <v>7.6411960132890366E-2</v>
      </c>
      <c r="H34" s="252">
        <v>0</v>
      </c>
      <c r="I34" s="478">
        <v>6.5518302060904338E-2</v>
      </c>
      <c r="J34" s="250">
        <v>7.9207920792079209E-2</v>
      </c>
      <c r="K34" s="251">
        <v>0</v>
      </c>
      <c r="L34" s="251">
        <v>0</v>
      </c>
      <c r="M34" s="251">
        <v>0</v>
      </c>
      <c r="N34" s="258">
        <v>0</v>
      </c>
      <c r="O34" s="250">
        <v>1.0589013898080741E-2</v>
      </c>
      <c r="P34" s="250">
        <v>0</v>
      </c>
      <c r="Q34" s="251">
        <v>0</v>
      </c>
      <c r="R34" s="252">
        <v>0</v>
      </c>
      <c r="S34" s="250">
        <v>0</v>
      </c>
      <c r="T34" s="253"/>
      <c r="U34" s="254">
        <v>70</v>
      </c>
      <c r="V34" s="255">
        <v>0</v>
      </c>
      <c r="W34" s="255">
        <v>89</v>
      </c>
      <c r="X34" s="255">
        <v>31</v>
      </c>
      <c r="Y34" s="255">
        <v>23</v>
      </c>
      <c r="Z34" s="255">
        <v>0</v>
      </c>
      <c r="AA34" s="256">
        <v>213</v>
      </c>
      <c r="AB34" s="254">
        <v>16</v>
      </c>
      <c r="AC34" s="255">
        <v>0</v>
      </c>
      <c r="AD34" s="255">
        <v>0</v>
      </c>
      <c r="AE34" s="255">
        <v>0</v>
      </c>
      <c r="AF34" s="257">
        <v>0</v>
      </c>
      <c r="AG34" s="257">
        <v>16</v>
      </c>
      <c r="AH34" s="254">
        <v>0</v>
      </c>
      <c r="AI34" s="255">
        <v>0</v>
      </c>
      <c r="AJ34" s="257">
        <v>0</v>
      </c>
      <c r="AK34" s="254">
        <v>0</v>
      </c>
    </row>
    <row r="35" spans="1:39">
      <c r="A35" s="249"/>
      <c r="B35" s="239" t="s">
        <v>58</v>
      </c>
      <c r="C35" s="250">
        <v>0</v>
      </c>
      <c r="D35" s="251">
        <v>0</v>
      </c>
      <c r="E35" s="419">
        <v>0</v>
      </c>
      <c r="F35" s="251">
        <v>0</v>
      </c>
      <c r="G35" s="419">
        <v>0</v>
      </c>
      <c r="H35" s="252">
        <v>0</v>
      </c>
      <c r="I35" s="479">
        <v>0</v>
      </c>
      <c r="J35" s="250">
        <v>0</v>
      </c>
      <c r="K35" s="251">
        <v>1</v>
      </c>
      <c r="L35" s="251">
        <v>0.50819672131147542</v>
      </c>
      <c r="M35" s="251">
        <v>0.90840517241379315</v>
      </c>
      <c r="N35" s="252">
        <v>0</v>
      </c>
      <c r="O35" s="250">
        <v>0.73064195896757111</v>
      </c>
      <c r="P35" s="250">
        <v>0</v>
      </c>
      <c r="Q35" s="251">
        <v>0</v>
      </c>
      <c r="R35" s="252">
        <v>0</v>
      </c>
      <c r="S35" s="250">
        <v>0</v>
      </c>
      <c r="T35" s="253"/>
      <c r="U35" s="254">
        <v>0</v>
      </c>
      <c r="V35" s="255">
        <v>0</v>
      </c>
      <c r="W35" s="255">
        <v>0</v>
      </c>
      <c r="X35" s="255">
        <v>0</v>
      </c>
      <c r="Y35" s="255">
        <v>0</v>
      </c>
      <c r="Z35" s="255">
        <v>0</v>
      </c>
      <c r="AA35" s="256">
        <v>0</v>
      </c>
      <c r="AB35" s="254">
        <v>0</v>
      </c>
      <c r="AC35" s="255">
        <v>137</v>
      </c>
      <c r="AD35" s="255">
        <v>124</v>
      </c>
      <c r="AE35" s="255">
        <v>843</v>
      </c>
      <c r="AF35" s="257">
        <v>0</v>
      </c>
      <c r="AG35" s="257">
        <v>1104</v>
      </c>
      <c r="AH35" s="254">
        <v>0</v>
      </c>
      <c r="AI35" s="255">
        <v>0</v>
      </c>
      <c r="AJ35" s="257">
        <v>0</v>
      </c>
      <c r="AK35" s="254">
        <v>0</v>
      </c>
    </row>
    <row r="36" spans="1:39" s="271" customFormat="1">
      <c r="A36" s="435"/>
      <c r="B36" s="436" t="s">
        <v>59</v>
      </c>
      <c r="C36" s="261">
        <v>1</v>
      </c>
      <c r="D36" s="262">
        <v>0</v>
      </c>
      <c r="E36" s="262">
        <v>1</v>
      </c>
      <c r="F36" s="262">
        <v>1</v>
      </c>
      <c r="G36" s="262">
        <v>1</v>
      </c>
      <c r="H36" s="263">
        <v>1</v>
      </c>
      <c r="I36" s="480">
        <v>1</v>
      </c>
      <c r="J36" s="261">
        <v>1</v>
      </c>
      <c r="K36" s="262">
        <v>1</v>
      </c>
      <c r="L36" s="262">
        <v>1</v>
      </c>
      <c r="M36" s="262">
        <v>1</v>
      </c>
      <c r="N36" s="263">
        <v>0</v>
      </c>
      <c r="O36" s="261">
        <v>1</v>
      </c>
      <c r="P36" s="261">
        <v>0</v>
      </c>
      <c r="Q36" s="262">
        <v>0</v>
      </c>
      <c r="R36" s="263">
        <v>0</v>
      </c>
      <c r="S36" s="261">
        <v>0</v>
      </c>
      <c r="T36" s="264"/>
      <c r="U36" s="265">
        <v>874</v>
      </c>
      <c r="V36" s="266">
        <v>0</v>
      </c>
      <c r="W36" s="266">
        <v>1474</v>
      </c>
      <c r="X36" s="266">
        <v>438</v>
      </c>
      <c r="Y36" s="266">
        <v>301</v>
      </c>
      <c r="Z36" s="266">
        <v>164</v>
      </c>
      <c r="AA36" s="267">
        <v>3251</v>
      </c>
      <c r="AB36" s="265">
        <v>202</v>
      </c>
      <c r="AC36" s="266">
        <v>137</v>
      </c>
      <c r="AD36" s="266">
        <v>244</v>
      </c>
      <c r="AE36" s="266">
        <v>928</v>
      </c>
      <c r="AF36" s="268">
        <v>0</v>
      </c>
      <c r="AG36" s="268">
        <v>1511</v>
      </c>
      <c r="AH36" s="265">
        <v>0</v>
      </c>
      <c r="AI36" s="266">
        <v>0</v>
      </c>
      <c r="AJ36" s="268">
        <v>0</v>
      </c>
      <c r="AK36" s="265">
        <v>0</v>
      </c>
      <c r="AL36" s="270"/>
      <c r="AM36" s="270"/>
    </row>
    <row r="37" spans="1:39">
      <c r="A37" s="239" t="s">
        <v>82</v>
      </c>
      <c r="B37" s="240" t="s">
        <v>53</v>
      </c>
      <c r="C37" s="241">
        <v>0.33840644583706359</v>
      </c>
      <c r="D37" s="242">
        <v>0</v>
      </c>
      <c r="E37" s="242">
        <v>0</v>
      </c>
      <c r="F37" s="242">
        <v>0.20108695652173914</v>
      </c>
      <c r="G37" s="242">
        <v>0</v>
      </c>
      <c r="H37" s="243">
        <v>0</v>
      </c>
      <c r="I37" s="477">
        <v>0.31898539584934665</v>
      </c>
      <c r="J37" s="241">
        <v>0</v>
      </c>
      <c r="K37" s="242">
        <v>0</v>
      </c>
      <c r="L37" s="242">
        <v>0</v>
      </c>
      <c r="M37" s="242">
        <v>0</v>
      </c>
      <c r="N37" s="243">
        <v>0</v>
      </c>
      <c r="O37" s="241">
        <v>0</v>
      </c>
      <c r="P37" s="342">
        <v>0</v>
      </c>
      <c r="Q37" s="242">
        <v>0</v>
      </c>
      <c r="R37" s="243">
        <v>0</v>
      </c>
      <c r="S37" s="342">
        <v>0</v>
      </c>
      <c r="T37" s="244"/>
      <c r="U37" s="245">
        <v>378</v>
      </c>
      <c r="V37" s="246">
        <v>0</v>
      </c>
      <c r="W37" s="246">
        <v>0</v>
      </c>
      <c r="X37" s="246">
        <v>37</v>
      </c>
      <c r="Y37" s="246">
        <v>0</v>
      </c>
      <c r="Z37" s="246">
        <v>0</v>
      </c>
      <c r="AA37" s="247">
        <v>415</v>
      </c>
      <c r="AB37" s="245">
        <v>0</v>
      </c>
      <c r="AC37" s="246">
        <v>0</v>
      </c>
      <c r="AD37" s="246">
        <v>0</v>
      </c>
      <c r="AE37" s="246">
        <v>0</v>
      </c>
      <c r="AF37" s="248">
        <v>0</v>
      </c>
      <c r="AG37" s="248">
        <v>0</v>
      </c>
      <c r="AH37" s="245">
        <v>0</v>
      </c>
      <c r="AI37" s="246">
        <v>0</v>
      </c>
      <c r="AJ37" s="248">
        <v>0</v>
      </c>
      <c r="AK37" s="245">
        <v>0</v>
      </c>
    </row>
    <row r="38" spans="1:39">
      <c r="A38" s="249"/>
      <c r="B38" s="239" t="s">
        <v>93</v>
      </c>
      <c r="C38" s="250">
        <v>0.28827215756490598</v>
      </c>
      <c r="D38" s="251">
        <v>0</v>
      </c>
      <c r="E38" s="251">
        <v>0</v>
      </c>
      <c r="F38" s="251">
        <v>0.66847826086956519</v>
      </c>
      <c r="G38" s="251">
        <v>0</v>
      </c>
      <c r="H38" s="252">
        <v>0</v>
      </c>
      <c r="I38" s="478">
        <v>0.34204458109146813</v>
      </c>
      <c r="J38" s="250">
        <v>0</v>
      </c>
      <c r="K38" s="251">
        <v>0</v>
      </c>
      <c r="L38" s="251">
        <v>0</v>
      </c>
      <c r="M38" s="251">
        <v>0</v>
      </c>
      <c r="N38" s="252">
        <v>0</v>
      </c>
      <c r="O38" s="250">
        <v>0</v>
      </c>
      <c r="P38" s="250">
        <v>0</v>
      </c>
      <c r="Q38" s="251">
        <v>0</v>
      </c>
      <c r="R38" s="252">
        <v>0</v>
      </c>
      <c r="S38" s="250">
        <v>0</v>
      </c>
      <c r="T38" s="253"/>
      <c r="U38" s="254">
        <v>322</v>
      </c>
      <c r="V38" s="255">
        <v>0</v>
      </c>
      <c r="W38" s="255">
        <v>0</v>
      </c>
      <c r="X38" s="255">
        <v>123</v>
      </c>
      <c r="Y38" s="255">
        <v>0</v>
      </c>
      <c r="Z38" s="255">
        <v>0</v>
      </c>
      <c r="AA38" s="256">
        <v>445</v>
      </c>
      <c r="AB38" s="254">
        <v>0</v>
      </c>
      <c r="AC38" s="255">
        <v>0</v>
      </c>
      <c r="AD38" s="255">
        <v>0</v>
      </c>
      <c r="AE38" s="255">
        <v>0</v>
      </c>
      <c r="AF38" s="257">
        <v>0</v>
      </c>
      <c r="AG38" s="257">
        <v>0</v>
      </c>
      <c r="AH38" s="254">
        <v>0</v>
      </c>
      <c r="AI38" s="255">
        <v>0</v>
      </c>
      <c r="AJ38" s="257">
        <v>0</v>
      </c>
      <c r="AK38" s="254">
        <v>0</v>
      </c>
    </row>
    <row r="39" spans="1:39">
      <c r="A39" s="249"/>
      <c r="B39" s="239" t="s">
        <v>55</v>
      </c>
      <c r="C39" s="250">
        <v>0.26678603401969564</v>
      </c>
      <c r="D39" s="251">
        <v>0</v>
      </c>
      <c r="E39" s="251">
        <v>0</v>
      </c>
      <c r="F39" s="251">
        <v>4.8913043478260872E-2</v>
      </c>
      <c r="G39" s="251">
        <v>0</v>
      </c>
      <c r="H39" s="252">
        <v>0</v>
      </c>
      <c r="I39" s="478">
        <v>0.23597232897770945</v>
      </c>
      <c r="J39" s="250">
        <v>0</v>
      </c>
      <c r="K39" s="251">
        <v>0</v>
      </c>
      <c r="L39" s="251">
        <v>0</v>
      </c>
      <c r="M39" s="251">
        <v>0</v>
      </c>
      <c r="N39" s="252">
        <v>0</v>
      </c>
      <c r="O39" s="250">
        <v>0</v>
      </c>
      <c r="P39" s="250">
        <v>0</v>
      </c>
      <c r="Q39" s="251">
        <v>0</v>
      </c>
      <c r="R39" s="252">
        <v>0</v>
      </c>
      <c r="S39" s="250">
        <v>0</v>
      </c>
      <c r="T39" s="253"/>
      <c r="U39" s="254">
        <v>298</v>
      </c>
      <c r="V39" s="255">
        <v>0</v>
      </c>
      <c r="W39" s="255">
        <v>0</v>
      </c>
      <c r="X39" s="255">
        <v>9</v>
      </c>
      <c r="Y39" s="255">
        <v>0</v>
      </c>
      <c r="Z39" s="255">
        <v>0</v>
      </c>
      <c r="AA39" s="256">
        <v>307</v>
      </c>
      <c r="AB39" s="254">
        <v>0</v>
      </c>
      <c r="AC39" s="255">
        <v>0</v>
      </c>
      <c r="AD39" s="255">
        <v>0</v>
      </c>
      <c r="AE39" s="255">
        <v>0</v>
      </c>
      <c r="AF39" s="257">
        <v>0</v>
      </c>
      <c r="AG39" s="257">
        <v>0</v>
      </c>
      <c r="AH39" s="254">
        <v>0</v>
      </c>
      <c r="AI39" s="255">
        <v>0</v>
      </c>
      <c r="AJ39" s="257">
        <v>0</v>
      </c>
      <c r="AK39" s="254">
        <v>0</v>
      </c>
    </row>
    <row r="40" spans="1:39">
      <c r="A40" s="249"/>
      <c r="B40" s="239" t="s">
        <v>78</v>
      </c>
      <c r="C40" s="250">
        <v>0.10564010743061773</v>
      </c>
      <c r="D40" s="251">
        <v>0</v>
      </c>
      <c r="E40" s="251">
        <v>0</v>
      </c>
      <c r="F40" s="251">
        <v>7.6086956521739135E-2</v>
      </c>
      <c r="G40" s="251">
        <v>0</v>
      </c>
      <c r="H40" s="252">
        <v>0</v>
      </c>
      <c r="I40" s="478">
        <v>0.10146041506533436</v>
      </c>
      <c r="J40" s="250">
        <v>0</v>
      </c>
      <c r="K40" s="251">
        <v>0</v>
      </c>
      <c r="L40" s="251">
        <v>0</v>
      </c>
      <c r="M40" s="251">
        <v>0</v>
      </c>
      <c r="N40" s="252">
        <v>0</v>
      </c>
      <c r="O40" s="250">
        <v>0</v>
      </c>
      <c r="P40" s="250">
        <v>0</v>
      </c>
      <c r="Q40" s="251">
        <v>0</v>
      </c>
      <c r="R40" s="252">
        <v>0</v>
      </c>
      <c r="S40" s="250">
        <v>0</v>
      </c>
      <c r="T40" s="253"/>
      <c r="U40" s="254">
        <v>118</v>
      </c>
      <c r="V40" s="255">
        <v>0</v>
      </c>
      <c r="W40" s="255">
        <v>0</v>
      </c>
      <c r="X40" s="255">
        <v>14</v>
      </c>
      <c r="Y40" s="255">
        <v>0</v>
      </c>
      <c r="Z40" s="255">
        <v>0</v>
      </c>
      <c r="AA40" s="256">
        <v>132</v>
      </c>
      <c r="AB40" s="254">
        <v>0</v>
      </c>
      <c r="AC40" s="255">
        <v>0</v>
      </c>
      <c r="AD40" s="255">
        <v>0</v>
      </c>
      <c r="AE40" s="255">
        <v>0</v>
      </c>
      <c r="AF40" s="257">
        <v>0</v>
      </c>
      <c r="AG40" s="257">
        <v>0</v>
      </c>
      <c r="AH40" s="254">
        <v>0</v>
      </c>
      <c r="AI40" s="255">
        <v>0</v>
      </c>
      <c r="AJ40" s="257">
        <v>0</v>
      </c>
      <c r="AK40" s="254">
        <v>0</v>
      </c>
    </row>
    <row r="41" spans="1:39">
      <c r="A41" s="249"/>
      <c r="B41" s="239" t="s">
        <v>32</v>
      </c>
      <c r="C41" s="272">
        <v>8.9525514771709937E-4</v>
      </c>
      <c r="D41" s="251">
        <v>0</v>
      </c>
      <c r="E41" s="251">
        <v>0</v>
      </c>
      <c r="F41" s="251">
        <v>5.434782608695652E-3</v>
      </c>
      <c r="G41" s="251">
        <v>0</v>
      </c>
      <c r="H41" s="252">
        <v>0</v>
      </c>
      <c r="I41" s="437">
        <v>1.5372790161414297E-3</v>
      </c>
      <c r="J41" s="250">
        <v>0</v>
      </c>
      <c r="K41" s="251">
        <v>0</v>
      </c>
      <c r="L41" s="251">
        <v>0</v>
      </c>
      <c r="M41" s="251">
        <v>0</v>
      </c>
      <c r="N41" s="258">
        <v>0</v>
      </c>
      <c r="O41" s="250">
        <v>0</v>
      </c>
      <c r="P41" s="250">
        <v>0</v>
      </c>
      <c r="Q41" s="251">
        <v>0</v>
      </c>
      <c r="R41" s="252">
        <v>0</v>
      </c>
      <c r="S41" s="250">
        <v>0</v>
      </c>
      <c r="T41" s="253"/>
      <c r="U41" s="254">
        <v>1</v>
      </c>
      <c r="V41" s="255">
        <v>0</v>
      </c>
      <c r="W41" s="255">
        <v>0</v>
      </c>
      <c r="X41" s="255">
        <v>1</v>
      </c>
      <c r="Y41" s="255">
        <v>0</v>
      </c>
      <c r="Z41" s="255">
        <v>0</v>
      </c>
      <c r="AA41" s="256">
        <v>2</v>
      </c>
      <c r="AB41" s="254">
        <v>0</v>
      </c>
      <c r="AC41" s="255">
        <v>0</v>
      </c>
      <c r="AD41" s="255">
        <v>0</v>
      </c>
      <c r="AE41" s="255">
        <v>0</v>
      </c>
      <c r="AF41" s="257">
        <v>0</v>
      </c>
      <c r="AG41" s="257">
        <v>0</v>
      </c>
      <c r="AH41" s="254">
        <v>0</v>
      </c>
      <c r="AI41" s="255">
        <v>0</v>
      </c>
      <c r="AJ41" s="257">
        <v>0</v>
      </c>
      <c r="AK41" s="254">
        <v>0</v>
      </c>
    </row>
    <row r="42" spans="1:39">
      <c r="A42" s="249"/>
      <c r="B42" s="239" t="s">
        <v>58</v>
      </c>
      <c r="C42" s="250">
        <v>0</v>
      </c>
      <c r="D42" s="251">
        <v>0</v>
      </c>
      <c r="E42" s="419">
        <v>0</v>
      </c>
      <c r="F42" s="251">
        <v>0</v>
      </c>
      <c r="G42" s="419">
        <v>0</v>
      </c>
      <c r="H42" s="252">
        <v>0</v>
      </c>
      <c r="I42" s="479">
        <v>0</v>
      </c>
      <c r="J42" s="250">
        <v>0</v>
      </c>
      <c r="K42" s="251">
        <v>0</v>
      </c>
      <c r="L42" s="251">
        <v>1</v>
      </c>
      <c r="M42" s="251">
        <v>1</v>
      </c>
      <c r="N42" s="252">
        <v>0</v>
      </c>
      <c r="O42" s="250">
        <v>1</v>
      </c>
      <c r="P42" s="250">
        <v>0</v>
      </c>
      <c r="Q42" s="251">
        <v>0</v>
      </c>
      <c r="R42" s="252">
        <v>0</v>
      </c>
      <c r="S42" s="250">
        <v>0</v>
      </c>
      <c r="T42" s="253"/>
      <c r="U42" s="254">
        <v>0</v>
      </c>
      <c r="V42" s="255">
        <v>0</v>
      </c>
      <c r="W42" s="255">
        <v>0</v>
      </c>
      <c r="X42" s="255">
        <v>0</v>
      </c>
      <c r="Y42" s="255">
        <v>0</v>
      </c>
      <c r="Z42" s="255">
        <v>0</v>
      </c>
      <c r="AA42" s="256">
        <v>0</v>
      </c>
      <c r="AB42" s="254">
        <v>0</v>
      </c>
      <c r="AC42" s="255">
        <v>0</v>
      </c>
      <c r="AD42" s="255">
        <v>296</v>
      </c>
      <c r="AE42" s="255">
        <v>78</v>
      </c>
      <c r="AF42" s="257">
        <v>0</v>
      </c>
      <c r="AG42" s="257">
        <v>374</v>
      </c>
      <c r="AH42" s="254">
        <v>0</v>
      </c>
      <c r="AI42" s="255">
        <v>0</v>
      </c>
      <c r="AJ42" s="257">
        <v>0</v>
      </c>
      <c r="AK42" s="254">
        <v>0</v>
      </c>
    </row>
    <row r="43" spans="1:39" s="271" customFormat="1">
      <c r="A43" s="435"/>
      <c r="B43" s="436" t="s">
        <v>59</v>
      </c>
      <c r="C43" s="261">
        <v>1</v>
      </c>
      <c r="D43" s="262">
        <v>0</v>
      </c>
      <c r="E43" s="262">
        <v>0</v>
      </c>
      <c r="F43" s="262">
        <v>1</v>
      </c>
      <c r="G43" s="262">
        <v>0</v>
      </c>
      <c r="H43" s="263">
        <v>0</v>
      </c>
      <c r="I43" s="480">
        <v>1</v>
      </c>
      <c r="J43" s="261">
        <v>0</v>
      </c>
      <c r="K43" s="262">
        <v>0</v>
      </c>
      <c r="L43" s="262">
        <v>1</v>
      </c>
      <c r="M43" s="262">
        <v>1</v>
      </c>
      <c r="N43" s="263">
        <v>0</v>
      </c>
      <c r="O43" s="261">
        <v>1</v>
      </c>
      <c r="P43" s="261">
        <v>0</v>
      </c>
      <c r="Q43" s="262">
        <v>0</v>
      </c>
      <c r="R43" s="263">
        <v>0</v>
      </c>
      <c r="S43" s="261">
        <v>0</v>
      </c>
      <c r="T43" s="264"/>
      <c r="U43" s="265">
        <v>1117</v>
      </c>
      <c r="V43" s="266">
        <v>0</v>
      </c>
      <c r="W43" s="266">
        <v>0</v>
      </c>
      <c r="X43" s="266">
        <v>184</v>
      </c>
      <c r="Y43" s="266">
        <v>0</v>
      </c>
      <c r="Z43" s="266">
        <v>0</v>
      </c>
      <c r="AA43" s="267">
        <v>1301</v>
      </c>
      <c r="AB43" s="265">
        <v>0</v>
      </c>
      <c r="AC43" s="266">
        <v>0</v>
      </c>
      <c r="AD43" s="266">
        <v>296</v>
      </c>
      <c r="AE43" s="266">
        <v>78</v>
      </c>
      <c r="AF43" s="268">
        <v>0</v>
      </c>
      <c r="AG43" s="268">
        <v>374</v>
      </c>
      <c r="AH43" s="265">
        <v>0</v>
      </c>
      <c r="AI43" s="266">
        <v>0</v>
      </c>
      <c r="AJ43" s="268">
        <v>0</v>
      </c>
      <c r="AK43" s="265">
        <v>0</v>
      </c>
      <c r="AL43" s="270"/>
      <c r="AM43" s="270"/>
    </row>
    <row r="44" spans="1:39">
      <c r="A44" s="239" t="s">
        <v>6</v>
      </c>
      <c r="B44" s="240" t="s">
        <v>53</v>
      </c>
      <c r="C44" s="241">
        <v>0.30895858603361637</v>
      </c>
      <c r="D44" s="242">
        <v>0.24499696785930866</v>
      </c>
      <c r="E44" s="242">
        <v>0.20575842696629212</v>
      </c>
      <c r="F44" s="242">
        <v>0</v>
      </c>
      <c r="G44" s="242">
        <v>0.17320261437908496</v>
      </c>
      <c r="H44" s="243">
        <v>0.2608695652173913</v>
      </c>
      <c r="I44" s="477">
        <v>0.27671114003688035</v>
      </c>
      <c r="J44" s="241">
        <v>0</v>
      </c>
      <c r="K44" s="242">
        <v>0</v>
      </c>
      <c r="L44" s="242">
        <v>0</v>
      </c>
      <c r="M44" s="242">
        <v>0</v>
      </c>
      <c r="N44" s="243">
        <v>0</v>
      </c>
      <c r="O44" s="241">
        <v>0</v>
      </c>
      <c r="P44" s="342">
        <v>0</v>
      </c>
      <c r="Q44" s="242">
        <v>0</v>
      </c>
      <c r="R44" s="243">
        <v>0</v>
      </c>
      <c r="S44" s="342">
        <v>0</v>
      </c>
      <c r="T44" s="244"/>
      <c r="U44" s="245">
        <v>1783</v>
      </c>
      <c r="V44" s="246">
        <v>404</v>
      </c>
      <c r="W44" s="246">
        <v>293</v>
      </c>
      <c r="X44" s="246">
        <v>0</v>
      </c>
      <c r="Y44" s="246">
        <v>53</v>
      </c>
      <c r="Z44" s="246">
        <v>18</v>
      </c>
      <c r="AA44" s="247">
        <v>2551</v>
      </c>
      <c r="AB44" s="245">
        <v>0</v>
      </c>
      <c r="AC44" s="246">
        <v>0</v>
      </c>
      <c r="AD44" s="246">
        <v>0</v>
      </c>
      <c r="AE44" s="246">
        <v>0</v>
      </c>
      <c r="AF44" s="248">
        <v>0</v>
      </c>
      <c r="AG44" s="248">
        <v>0</v>
      </c>
      <c r="AH44" s="245">
        <v>0</v>
      </c>
      <c r="AI44" s="246">
        <v>0</v>
      </c>
      <c r="AJ44" s="248">
        <v>0</v>
      </c>
      <c r="AK44" s="245">
        <v>0</v>
      </c>
    </row>
    <row r="45" spans="1:39">
      <c r="A45" s="249"/>
      <c r="B45" s="239" t="s">
        <v>93</v>
      </c>
      <c r="C45" s="250">
        <v>0.26321261479812857</v>
      </c>
      <c r="D45" s="251">
        <v>0.29957550030321406</v>
      </c>
      <c r="E45" s="251">
        <v>0.2893258426966292</v>
      </c>
      <c r="F45" s="251">
        <v>0</v>
      </c>
      <c r="G45" s="251">
        <v>0.28431372549019607</v>
      </c>
      <c r="H45" s="252">
        <v>0.43478260869565216</v>
      </c>
      <c r="I45" s="478">
        <v>0.27573489532487255</v>
      </c>
      <c r="J45" s="250">
        <v>0</v>
      </c>
      <c r="K45" s="251">
        <v>0</v>
      </c>
      <c r="L45" s="251">
        <v>0</v>
      </c>
      <c r="M45" s="251">
        <v>0</v>
      </c>
      <c r="N45" s="252">
        <v>0</v>
      </c>
      <c r="O45" s="250">
        <v>0</v>
      </c>
      <c r="P45" s="250">
        <v>0</v>
      </c>
      <c r="Q45" s="251">
        <v>0</v>
      </c>
      <c r="R45" s="252">
        <v>0</v>
      </c>
      <c r="S45" s="250">
        <v>0</v>
      </c>
      <c r="T45" s="253"/>
      <c r="U45" s="254">
        <v>1519</v>
      </c>
      <c r="V45" s="255">
        <v>494</v>
      </c>
      <c r="W45" s="255">
        <v>412</v>
      </c>
      <c r="X45" s="255">
        <v>0</v>
      </c>
      <c r="Y45" s="255">
        <v>87</v>
      </c>
      <c r="Z45" s="255">
        <v>30</v>
      </c>
      <c r="AA45" s="256">
        <v>2542</v>
      </c>
      <c r="AB45" s="254">
        <v>0</v>
      </c>
      <c r="AC45" s="255">
        <v>0</v>
      </c>
      <c r="AD45" s="255">
        <v>0</v>
      </c>
      <c r="AE45" s="255">
        <v>0</v>
      </c>
      <c r="AF45" s="257">
        <v>0</v>
      </c>
      <c r="AG45" s="257">
        <v>0</v>
      </c>
      <c r="AH45" s="254">
        <v>0</v>
      </c>
      <c r="AI45" s="255">
        <v>0</v>
      </c>
      <c r="AJ45" s="257">
        <v>0</v>
      </c>
      <c r="AK45" s="254">
        <v>0</v>
      </c>
    </row>
    <row r="46" spans="1:39">
      <c r="A46" s="249"/>
      <c r="B46" s="239" t="s">
        <v>55</v>
      </c>
      <c r="C46" s="250">
        <v>0.26789118003812162</v>
      </c>
      <c r="D46" s="251">
        <v>0.26500909642207399</v>
      </c>
      <c r="E46" s="251">
        <v>0.3082865168539326</v>
      </c>
      <c r="F46" s="251">
        <v>0</v>
      </c>
      <c r="G46" s="251">
        <v>0.3235294117647059</v>
      </c>
      <c r="H46" s="252">
        <v>0.28985507246376813</v>
      </c>
      <c r="I46" s="478">
        <v>0.27562642369020501</v>
      </c>
      <c r="J46" s="250">
        <v>0</v>
      </c>
      <c r="K46" s="251">
        <v>0</v>
      </c>
      <c r="L46" s="251">
        <v>0</v>
      </c>
      <c r="M46" s="251">
        <v>0</v>
      </c>
      <c r="N46" s="252">
        <v>0</v>
      </c>
      <c r="O46" s="250">
        <v>0</v>
      </c>
      <c r="P46" s="250">
        <v>0</v>
      </c>
      <c r="Q46" s="251">
        <v>0</v>
      </c>
      <c r="R46" s="252">
        <v>0</v>
      </c>
      <c r="S46" s="250">
        <v>0</v>
      </c>
      <c r="T46" s="253"/>
      <c r="U46" s="254">
        <v>1546</v>
      </c>
      <c r="V46" s="255">
        <v>437</v>
      </c>
      <c r="W46" s="255">
        <v>439</v>
      </c>
      <c r="X46" s="255">
        <v>0</v>
      </c>
      <c r="Y46" s="255">
        <v>99</v>
      </c>
      <c r="Z46" s="255">
        <v>20</v>
      </c>
      <c r="AA46" s="256">
        <v>2541</v>
      </c>
      <c r="AB46" s="254">
        <v>0</v>
      </c>
      <c r="AC46" s="255">
        <v>0</v>
      </c>
      <c r="AD46" s="255">
        <v>0</v>
      </c>
      <c r="AE46" s="255">
        <v>0</v>
      </c>
      <c r="AF46" s="257">
        <v>0</v>
      </c>
      <c r="AG46" s="257">
        <v>0</v>
      </c>
      <c r="AH46" s="254">
        <v>0</v>
      </c>
      <c r="AI46" s="255">
        <v>0</v>
      </c>
      <c r="AJ46" s="257">
        <v>0</v>
      </c>
      <c r="AK46" s="254">
        <v>0</v>
      </c>
    </row>
    <row r="47" spans="1:39">
      <c r="A47" s="249"/>
      <c r="B47" s="239" t="s">
        <v>78</v>
      </c>
      <c r="C47" s="250">
        <v>8.7159937619130129E-2</v>
      </c>
      <c r="D47" s="251">
        <v>0.15888417222559126</v>
      </c>
      <c r="E47" s="251">
        <v>0.15379213483146068</v>
      </c>
      <c r="F47" s="251">
        <v>0</v>
      </c>
      <c r="G47" s="251">
        <v>0.21568627450980393</v>
      </c>
      <c r="H47" s="252">
        <v>1.4492753623188406E-2</v>
      </c>
      <c r="I47" s="478">
        <v>0.1140036880355787</v>
      </c>
      <c r="J47" s="250">
        <v>0</v>
      </c>
      <c r="K47" s="251">
        <v>0</v>
      </c>
      <c r="L47" s="251">
        <v>0</v>
      </c>
      <c r="M47" s="251">
        <v>0</v>
      </c>
      <c r="N47" s="252">
        <v>0</v>
      </c>
      <c r="O47" s="250">
        <v>0</v>
      </c>
      <c r="P47" s="250">
        <v>0</v>
      </c>
      <c r="Q47" s="251">
        <v>0</v>
      </c>
      <c r="R47" s="252">
        <v>0</v>
      </c>
      <c r="S47" s="250">
        <v>0</v>
      </c>
      <c r="T47" s="253"/>
      <c r="U47" s="254">
        <v>503</v>
      </c>
      <c r="V47" s="255">
        <v>262</v>
      </c>
      <c r="W47" s="255">
        <v>219</v>
      </c>
      <c r="X47" s="255">
        <v>0</v>
      </c>
      <c r="Y47" s="255">
        <v>66</v>
      </c>
      <c r="Z47" s="255">
        <v>1</v>
      </c>
      <c r="AA47" s="256">
        <v>1051</v>
      </c>
      <c r="AB47" s="254">
        <v>0</v>
      </c>
      <c r="AC47" s="255">
        <v>0</v>
      </c>
      <c r="AD47" s="255">
        <v>0</v>
      </c>
      <c r="AE47" s="255">
        <v>0</v>
      </c>
      <c r="AF47" s="257">
        <v>0</v>
      </c>
      <c r="AG47" s="257">
        <v>0</v>
      </c>
      <c r="AH47" s="254">
        <v>0</v>
      </c>
      <c r="AI47" s="255">
        <v>0</v>
      </c>
      <c r="AJ47" s="257">
        <v>0</v>
      </c>
      <c r="AK47" s="254">
        <v>0</v>
      </c>
    </row>
    <row r="48" spans="1:39">
      <c r="A48" s="249"/>
      <c r="B48" s="239" t="s">
        <v>32</v>
      </c>
      <c r="C48" s="250">
        <v>7.2777681511003292E-2</v>
      </c>
      <c r="D48" s="251">
        <v>3.1534263189812006E-2</v>
      </c>
      <c r="E48" s="251">
        <v>4.2837078651685394E-2</v>
      </c>
      <c r="F48" s="251">
        <v>0</v>
      </c>
      <c r="G48" s="273">
        <v>3.2679738562091504E-3</v>
      </c>
      <c r="H48" s="252">
        <v>0</v>
      </c>
      <c r="I48" s="478">
        <v>5.7923852912463387E-2</v>
      </c>
      <c r="J48" s="250">
        <v>0</v>
      </c>
      <c r="K48" s="251">
        <v>0</v>
      </c>
      <c r="L48" s="251">
        <v>0</v>
      </c>
      <c r="M48" s="251">
        <v>0</v>
      </c>
      <c r="N48" s="258">
        <v>0</v>
      </c>
      <c r="O48" s="250">
        <v>0</v>
      </c>
      <c r="P48" s="250">
        <v>0</v>
      </c>
      <c r="Q48" s="251">
        <v>0</v>
      </c>
      <c r="R48" s="252">
        <v>0</v>
      </c>
      <c r="S48" s="250">
        <v>0</v>
      </c>
      <c r="T48" s="253"/>
      <c r="U48" s="254">
        <v>420</v>
      </c>
      <c r="V48" s="255">
        <v>52</v>
      </c>
      <c r="W48" s="255">
        <v>61</v>
      </c>
      <c r="X48" s="255">
        <v>0</v>
      </c>
      <c r="Y48" s="255">
        <v>1</v>
      </c>
      <c r="Z48" s="255">
        <v>0</v>
      </c>
      <c r="AA48" s="256">
        <v>534</v>
      </c>
      <c r="AB48" s="254">
        <v>0</v>
      </c>
      <c r="AC48" s="255">
        <v>0</v>
      </c>
      <c r="AD48" s="255">
        <v>0</v>
      </c>
      <c r="AE48" s="255">
        <v>0</v>
      </c>
      <c r="AF48" s="257">
        <v>0</v>
      </c>
      <c r="AG48" s="257">
        <v>0</v>
      </c>
      <c r="AH48" s="254">
        <v>0</v>
      </c>
      <c r="AI48" s="255">
        <v>0</v>
      </c>
      <c r="AJ48" s="257">
        <v>0</v>
      </c>
      <c r="AK48" s="254">
        <v>0</v>
      </c>
    </row>
    <row r="49" spans="1:39">
      <c r="A49" s="249"/>
      <c r="B49" s="239" t="s">
        <v>58</v>
      </c>
      <c r="C49" s="250">
        <v>0</v>
      </c>
      <c r="D49" s="251">
        <v>0</v>
      </c>
      <c r="E49" s="419">
        <v>0</v>
      </c>
      <c r="F49" s="251">
        <v>0</v>
      </c>
      <c r="G49" s="419">
        <v>0</v>
      </c>
      <c r="H49" s="252">
        <v>0</v>
      </c>
      <c r="I49" s="479">
        <v>0</v>
      </c>
      <c r="J49" s="250">
        <v>1</v>
      </c>
      <c r="K49" s="251">
        <v>1</v>
      </c>
      <c r="L49" s="251">
        <v>1</v>
      </c>
      <c r="M49" s="251">
        <v>1</v>
      </c>
      <c r="N49" s="252">
        <v>0</v>
      </c>
      <c r="O49" s="250">
        <v>1</v>
      </c>
      <c r="P49" s="250">
        <v>0</v>
      </c>
      <c r="Q49" s="251">
        <v>0</v>
      </c>
      <c r="R49" s="252">
        <v>0</v>
      </c>
      <c r="S49" s="250">
        <v>0</v>
      </c>
      <c r="T49" s="253"/>
      <c r="U49" s="254">
        <v>0</v>
      </c>
      <c r="V49" s="255">
        <v>0</v>
      </c>
      <c r="W49" s="255">
        <v>0</v>
      </c>
      <c r="X49" s="255">
        <v>0</v>
      </c>
      <c r="Y49" s="255">
        <v>0</v>
      </c>
      <c r="Z49" s="255">
        <v>0</v>
      </c>
      <c r="AA49" s="256">
        <v>0</v>
      </c>
      <c r="AB49" s="254">
        <v>1066</v>
      </c>
      <c r="AC49" s="255">
        <v>3294</v>
      </c>
      <c r="AD49" s="255">
        <v>826</v>
      </c>
      <c r="AE49" s="255">
        <v>58</v>
      </c>
      <c r="AF49" s="257">
        <v>0</v>
      </c>
      <c r="AG49" s="257">
        <v>5244</v>
      </c>
      <c r="AH49" s="254">
        <v>0</v>
      </c>
      <c r="AI49" s="255">
        <v>0</v>
      </c>
      <c r="AJ49" s="257">
        <v>0</v>
      </c>
      <c r="AK49" s="254">
        <v>0</v>
      </c>
    </row>
    <row r="50" spans="1:39" s="271" customFormat="1">
      <c r="A50" s="435"/>
      <c r="B50" s="436" t="s">
        <v>59</v>
      </c>
      <c r="C50" s="261">
        <v>1</v>
      </c>
      <c r="D50" s="262">
        <v>1</v>
      </c>
      <c r="E50" s="262">
        <v>1</v>
      </c>
      <c r="F50" s="262">
        <v>0</v>
      </c>
      <c r="G50" s="262">
        <v>1</v>
      </c>
      <c r="H50" s="263">
        <v>1</v>
      </c>
      <c r="I50" s="480">
        <v>1</v>
      </c>
      <c r="J50" s="261">
        <v>1</v>
      </c>
      <c r="K50" s="262">
        <v>1</v>
      </c>
      <c r="L50" s="262">
        <v>1</v>
      </c>
      <c r="M50" s="262">
        <v>1</v>
      </c>
      <c r="N50" s="263">
        <v>0</v>
      </c>
      <c r="O50" s="261">
        <v>1</v>
      </c>
      <c r="P50" s="261">
        <v>0</v>
      </c>
      <c r="Q50" s="262">
        <v>0</v>
      </c>
      <c r="R50" s="263">
        <v>0</v>
      </c>
      <c r="S50" s="261">
        <v>0</v>
      </c>
      <c r="T50" s="264"/>
      <c r="U50" s="265">
        <v>5771</v>
      </c>
      <c r="V50" s="266">
        <v>1649</v>
      </c>
      <c r="W50" s="266">
        <v>1424</v>
      </c>
      <c r="X50" s="266">
        <v>0</v>
      </c>
      <c r="Y50" s="266">
        <v>306</v>
      </c>
      <c r="Z50" s="266">
        <v>69</v>
      </c>
      <c r="AA50" s="267">
        <v>9219</v>
      </c>
      <c r="AB50" s="265">
        <v>1066</v>
      </c>
      <c r="AC50" s="266">
        <v>3294</v>
      </c>
      <c r="AD50" s="266">
        <v>826</v>
      </c>
      <c r="AE50" s="266">
        <v>58</v>
      </c>
      <c r="AF50" s="268">
        <v>0</v>
      </c>
      <c r="AG50" s="268">
        <v>5244</v>
      </c>
      <c r="AH50" s="265">
        <v>0</v>
      </c>
      <c r="AI50" s="266">
        <v>0</v>
      </c>
      <c r="AJ50" s="268">
        <v>0</v>
      </c>
      <c r="AK50" s="265">
        <v>0</v>
      </c>
      <c r="AL50" s="270"/>
      <c r="AM50" s="270"/>
    </row>
    <row r="51" spans="1:39">
      <c r="A51" s="239" t="s">
        <v>7</v>
      </c>
      <c r="B51" s="240" t="s">
        <v>53</v>
      </c>
      <c r="C51" s="241">
        <v>0.33796634967081202</v>
      </c>
      <c r="D51" s="242">
        <v>0.45945945945945948</v>
      </c>
      <c r="E51" s="242">
        <v>0.24113009198423127</v>
      </c>
      <c r="F51" s="242">
        <v>0.2088888888888889</v>
      </c>
      <c r="G51" s="242">
        <v>0.20861372812920592</v>
      </c>
      <c r="H51" s="243">
        <v>0.11279826464208242</v>
      </c>
      <c r="I51" s="477">
        <v>0.28291457286432159</v>
      </c>
      <c r="J51" s="241">
        <v>0.12698412698412698</v>
      </c>
      <c r="K51" s="242">
        <v>7.8723404255319152E-2</v>
      </c>
      <c r="L51" s="242">
        <v>0.13896457765667575</v>
      </c>
      <c r="M51" s="242">
        <v>0.10280373831775701</v>
      </c>
      <c r="N51" s="243">
        <v>0</v>
      </c>
      <c r="O51" s="241">
        <v>0.11463730569948187</v>
      </c>
      <c r="P51" s="342">
        <v>0</v>
      </c>
      <c r="Q51" s="242">
        <v>0</v>
      </c>
      <c r="R51" s="243">
        <v>0</v>
      </c>
      <c r="S51" s="342">
        <v>0</v>
      </c>
      <c r="T51" s="244"/>
      <c r="U51" s="245">
        <v>924</v>
      </c>
      <c r="V51" s="246">
        <v>425</v>
      </c>
      <c r="W51" s="246">
        <v>367</v>
      </c>
      <c r="X51" s="246">
        <v>329</v>
      </c>
      <c r="Y51" s="246">
        <v>155</v>
      </c>
      <c r="Z51" s="246">
        <v>52</v>
      </c>
      <c r="AA51" s="247">
        <v>2252</v>
      </c>
      <c r="AB51" s="245">
        <v>16</v>
      </c>
      <c r="AC51" s="246">
        <v>37</v>
      </c>
      <c r="AD51" s="246">
        <v>102</v>
      </c>
      <c r="AE51" s="246">
        <v>22</v>
      </c>
      <c r="AF51" s="248">
        <v>0</v>
      </c>
      <c r="AG51" s="248">
        <v>177</v>
      </c>
      <c r="AH51" s="245">
        <v>0</v>
      </c>
      <c r="AI51" s="246">
        <v>0</v>
      </c>
      <c r="AJ51" s="248">
        <v>0</v>
      </c>
      <c r="AK51" s="245">
        <v>0</v>
      </c>
    </row>
    <row r="52" spans="1:39">
      <c r="A52" s="249"/>
      <c r="B52" s="239" t="s">
        <v>93</v>
      </c>
      <c r="C52" s="250">
        <v>0.30285296269202633</v>
      </c>
      <c r="D52" s="251">
        <v>0.26702702702702702</v>
      </c>
      <c r="E52" s="251">
        <v>0.24704336399474375</v>
      </c>
      <c r="F52" s="251">
        <v>0.24380952380952381</v>
      </c>
      <c r="G52" s="251">
        <v>0.25168236877523553</v>
      </c>
      <c r="H52" s="252">
        <v>0.24295010845986983</v>
      </c>
      <c r="I52" s="478">
        <v>0.26809045226130651</v>
      </c>
      <c r="J52" s="250">
        <v>0.38095238095238093</v>
      </c>
      <c r="K52" s="251">
        <v>0.30851063829787234</v>
      </c>
      <c r="L52" s="251">
        <v>0.22615803814713897</v>
      </c>
      <c r="M52" s="251">
        <v>0.22897196261682243</v>
      </c>
      <c r="N52" s="252">
        <v>0</v>
      </c>
      <c r="O52" s="250">
        <v>0.26424870466321243</v>
      </c>
      <c r="P52" s="250">
        <v>0</v>
      </c>
      <c r="Q52" s="251">
        <v>0</v>
      </c>
      <c r="R52" s="252">
        <v>0</v>
      </c>
      <c r="S52" s="250">
        <v>0</v>
      </c>
      <c r="T52" s="253"/>
      <c r="U52" s="254">
        <v>828</v>
      </c>
      <c r="V52" s="255">
        <v>247</v>
      </c>
      <c r="W52" s="255">
        <v>376</v>
      </c>
      <c r="X52" s="255">
        <v>384</v>
      </c>
      <c r="Y52" s="255">
        <v>187</v>
      </c>
      <c r="Z52" s="255">
        <v>112</v>
      </c>
      <c r="AA52" s="256">
        <v>2134</v>
      </c>
      <c r="AB52" s="254">
        <v>48</v>
      </c>
      <c r="AC52" s="255">
        <v>145</v>
      </c>
      <c r="AD52" s="255">
        <v>166</v>
      </c>
      <c r="AE52" s="255">
        <v>49</v>
      </c>
      <c r="AF52" s="257">
        <v>0</v>
      </c>
      <c r="AG52" s="257">
        <v>408</v>
      </c>
      <c r="AH52" s="254">
        <v>0</v>
      </c>
      <c r="AI52" s="255">
        <v>0</v>
      </c>
      <c r="AJ52" s="257">
        <v>0</v>
      </c>
      <c r="AK52" s="254">
        <v>0</v>
      </c>
    </row>
    <row r="53" spans="1:39">
      <c r="A53" s="249"/>
      <c r="B53" s="239" t="s">
        <v>55</v>
      </c>
      <c r="C53" s="250">
        <v>0.25128017556693488</v>
      </c>
      <c r="D53" s="251">
        <v>0.2508108108108108</v>
      </c>
      <c r="E53" s="251">
        <v>0.34691195795006569</v>
      </c>
      <c r="F53" s="251">
        <v>0.41206349206349208</v>
      </c>
      <c r="G53" s="251">
        <v>0.41049798115746972</v>
      </c>
      <c r="H53" s="252">
        <v>0.56616052060737532</v>
      </c>
      <c r="I53" s="478">
        <v>0.33442211055276383</v>
      </c>
      <c r="J53" s="250">
        <v>0.34126984126984128</v>
      </c>
      <c r="K53" s="251">
        <v>0.1702127659574468</v>
      </c>
      <c r="L53" s="251">
        <v>0.38828337874659402</v>
      </c>
      <c r="M53" s="251">
        <v>0.35981308411214952</v>
      </c>
      <c r="N53" s="252">
        <v>0</v>
      </c>
      <c r="O53" s="250">
        <v>0.31411917098445596</v>
      </c>
      <c r="P53" s="250">
        <v>0</v>
      </c>
      <c r="Q53" s="251">
        <v>0</v>
      </c>
      <c r="R53" s="252">
        <v>0</v>
      </c>
      <c r="S53" s="250">
        <v>0</v>
      </c>
      <c r="T53" s="253"/>
      <c r="U53" s="254">
        <v>687</v>
      </c>
      <c r="V53" s="255">
        <v>232</v>
      </c>
      <c r="W53" s="255">
        <v>528</v>
      </c>
      <c r="X53" s="255">
        <v>649</v>
      </c>
      <c r="Y53" s="255">
        <v>305</v>
      </c>
      <c r="Z53" s="255">
        <v>261</v>
      </c>
      <c r="AA53" s="256">
        <v>2662</v>
      </c>
      <c r="AB53" s="254">
        <v>43</v>
      </c>
      <c r="AC53" s="255">
        <v>80</v>
      </c>
      <c r="AD53" s="255">
        <v>285</v>
      </c>
      <c r="AE53" s="255">
        <v>77</v>
      </c>
      <c r="AF53" s="257">
        <v>0</v>
      </c>
      <c r="AG53" s="257">
        <v>485</v>
      </c>
      <c r="AH53" s="254">
        <v>0</v>
      </c>
      <c r="AI53" s="255">
        <v>0</v>
      </c>
      <c r="AJ53" s="257">
        <v>0</v>
      </c>
      <c r="AK53" s="254">
        <v>0</v>
      </c>
    </row>
    <row r="54" spans="1:39">
      <c r="A54" s="249"/>
      <c r="B54" s="239" t="s">
        <v>78</v>
      </c>
      <c r="C54" s="250">
        <v>4.3160204828090708E-2</v>
      </c>
      <c r="D54" s="251">
        <v>1.2972972972972972E-2</v>
      </c>
      <c r="E54" s="251">
        <v>0.14980289093298291</v>
      </c>
      <c r="F54" s="251">
        <v>8.6349206349206356E-2</v>
      </c>
      <c r="G54" s="251">
        <v>0.11305518169582772</v>
      </c>
      <c r="H54" s="252">
        <v>7.5921908893709325E-2</v>
      </c>
      <c r="I54" s="478">
        <v>7.7010050251256276E-2</v>
      </c>
      <c r="J54" s="250">
        <v>0.15079365079365079</v>
      </c>
      <c r="K54" s="251">
        <v>0.44255319148936167</v>
      </c>
      <c r="L54" s="251">
        <v>0.24659400544959129</v>
      </c>
      <c r="M54" s="251">
        <v>0.30841121495327101</v>
      </c>
      <c r="N54" s="252">
        <v>0</v>
      </c>
      <c r="O54" s="250">
        <v>0.30699481865284972</v>
      </c>
      <c r="P54" s="250">
        <v>0</v>
      </c>
      <c r="Q54" s="251">
        <v>0</v>
      </c>
      <c r="R54" s="252">
        <v>0</v>
      </c>
      <c r="S54" s="250">
        <v>0</v>
      </c>
      <c r="T54" s="253"/>
      <c r="U54" s="254">
        <v>118</v>
      </c>
      <c r="V54" s="255">
        <v>12</v>
      </c>
      <c r="W54" s="255">
        <v>228</v>
      </c>
      <c r="X54" s="255">
        <v>136</v>
      </c>
      <c r="Y54" s="255">
        <v>84</v>
      </c>
      <c r="Z54" s="255">
        <v>35</v>
      </c>
      <c r="AA54" s="256">
        <v>613</v>
      </c>
      <c r="AB54" s="254">
        <v>19</v>
      </c>
      <c r="AC54" s="255">
        <v>208</v>
      </c>
      <c r="AD54" s="255">
        <v>181</v>
      </c>
      <c r="AE54" s="255">
        <v>66</v>
      </c>
      <c r="AF54" s="257">
        <v>0</v>
      </c>
      <c r="AG54" s="257">
        <v>474</v>
      </c>
      <c r="AH54" s="254">
        <v>0</v>
      </c>
      <c r="AI54" s="255">
        <v>0</v>
      </c>
      <c r="AJ54" s="257">
        <v>0</v>
      </c>
      <c r="AK54" s="254">
        <v>0</v>
      </c>
    </row>
    <row r="55" spans="1:39">
      <c r="A55" s="249"/>
      <c r="B55" s="239" t="s">
        <v>32</v>
      </c>
      <c r="C55" s="250">
        <v>6.4740307242136058E-2</v>
      </c>
      <c r="D55" s="251">
        <v>9.7297297297297292E-3</v>
      </c>
      <c r="E55" s="273">
        <v>1.5111695137976347E-2</v>
      </c>
      <c r="F55" s="251">
        <v>4.8888888888888891E-2</v>
      </c>
      <c r="G55" s="251">
        <v>1.6150740242261104E-2</v>
      </c>
      <c r="H55" s="258">
        <v>2.1691973969631237E-3</v>
      </c>
      <c r="I55" s="478">
        <v>3.7562814070351759E-2</v>
      </c>
      <c r="J55" s="250">
        <v>0</v>
      </c>
      <c r="K55" s="251">
        <v>0</v>
      </c>
      <c r="L55" s="251">
        <v>0</v>
      </c>
      <c r="M55" s="251">
        <v>0</v>
      </c>
      <c r="N55" s="258">
        <v>0</v>
      </c>
      <c r="O55" s="250">
        <v>0</v>
      </c>
      <c r="P55" s="250">
        <v>0</v>
      </c>
      <c r="Q55" s="251">
        <v>0</v>
      </c>
      <c r="R55" s="252">
        <v>0</v>
      </c>
      <c r="S55" s="250">
        <v>0</v>
      </c>
      <c r="T55" s="253"/>
      <c r="U55" s="254">
        <v>177</v>
      </c>
      <c r="V55" s="255">
        <v>9</v>
      </c>
      <c r="W55" s="255">
        <v>23</v>
      </c>
      <c r="X55" s="255">
        <v>77</v>
      </c>
      <c r="Y55" s="255">
        <v>12</v>
      </c>
      <c r="Z55" s="255">
        <v>1</v>
      </c>
      <c r="AA55" s="256">
        <v>299</v>
      </c>
      <c r="AB55" s="254">
        <v>0</v>
      </c>
      <c r="AC55" s="255">
        <v>0</v>
      </c>
      <c r="AD55" s="255">
        <v>0</v>
      </c>
      <c r="AE55" s="255">
        <v>0</v>
      </c>
      <c r="AF55" s="257">
        <v>0</v>
      </c>
      <c r="AG55" s="257">
        <v>0</v>
      </c>
      <c r="AH55" s="254">
        <v>0</v>
      </c>
      <c r="AI55" s="255">
        <v>0</v>
      </c>
      <c r="AJ55" s="257">
        <v>0</v>
      </c>
      <c r="AK55" s="254">
        <v>0</v>
      </c>
    </row>
    <row r="56" spans="1:39">
      <c r="A56" s="249"/>
      <c r="B56" s="239" t="s">
        <v>58</v>
      </c>
      <c r="C56" s="250">
        <v>0</v>
      </c>
      <c r="D56" s="251">
        <v>0</v>
      </c>
      <c r="E56" s="419">
        <v>0</v>
      </c>
      <c r="F56" s="251">
        <v>0</v>
      </c>
      <c r="G56" s="419">
        <v>0</v>
      </c>
      <c r="H56" s="252">
        <v>0</v>
      </c>
      <c r="I56" s="479">
        <v>0</v>
      </c>
      <c r="J56" s="250">
        <v>0</v>
      </c>
      <c r="K56" s="251">
        <v>0</v>
      </c>
      <c r="L56" s="251">
        <v>0</v>
      </c>
      <c r="M56" s="251">
        <v>0</v>
      </c>
      <c r="N56" s="252">
        <v>0</v>
      </c>
      <c r="O56" s="250">
        <v>0</v>
      </c>
      <c r="P56" s="250">
        <v>1</v>
      </c>
      <c r="Q56" s="251">
        <v>1</v>
      </c>
      <c r="R56" s="252">
        <v>0</v>
      </c>
      <c r="S56" s="250">
        <v>1</v>
      </c>
      <c r="T56" s="253"/>
      <c r="U56" s="254">
        <v>0</v>
      </c>
      <c r="V56" s="255">
        <v>0</v>
      </c>
      <c r="W56" s="255">
        <v>0</v>
      </c>
      <c r="X56" s="255">
        <v>0</v>
      </c>
      <c r="Y56" s="255">
        <v>0</v>
      </c>
      <c r="Z56" s="255">
        <v>0</v>
      </c>
      <c r="AA56" s="256">
        <v>0</v>
      </c>
      <c r="AB56" s="254">
        <v>0</v>
      </c>
      <c r="AC56" s="255">
        <v>0</v>
      </c>
      <c r="AD56" s="255">
        <v>0</v>
      </c>
      <c r="AE56" s="255">
        <v>0</v>
      </c>
      <c r="AF56" s="257">
        <v>0</v>
      </c>
      <c r="AG56" s="257">
        <v>0</v>
      </c>
      <c r="AH56" s="254">
        <v>1964</v>
      </c>
      <c r="AI56" s="255">
        <v>209</v>
      </c>
      <c r="AJ56" s="257">
        <v>0</v>
      </c>
      <c r="AK56" s="254">
        <v>2173</v>
      </c>
    </row>
    <row r="57" spans="1:39" s="271" customFormat="1">
      <c r="A57" s="435"/>
      <c r="B57" s="436" t="s">
        <v>59</v>
      </c>
      <c r="C57" s="261">
        <v>1</v>
      </c>
      <c r="D57" s="262">
        <v>1</v>
      </c>
      <c r="E57" s="262">
        <v>1</v>
      </c>
      <c r="F57" s="262">
        <v>1</v>
      </c>
      <c r="G57" s="262">
        <v>1</v>
      </c>
      <c r="H57" s="263">
        <v>1</v>
      </c>
      <c r="I57" s="480">
        <v>1</v>
      </c>
      <c r="J57" s="261">
        <v>1</v>
      </c>
      <c r="K57" s="262">
        <v>1</v>
      </c>
      <c r="L57" s="262">
        <v>1</v>
      </c>
      <c r="M57" s="262">
        <v>1</v>
      </c>
      <c r="N57" s="263">
        <v>0</v>
      </c>
      <c r="O57" s="261">
        <v>1</v>
      </c>
      <c r="P57" s="261">
        <v>1</v>
      </c>
      <c r="Q57" s="262">
        <v>1</v>
      </c>
      <c r="R57" s="263">
        <v>0</v>
      </c>
      <c r="S57" s="261">
        <v>1</v>
      </c>
      <c r="T57" s="264"/>
      <c r="U57" s="265">
        <v>2734</v>
      </c>
      <c r="V57" s="266">
        <v>925</v>
      </c>
      <c r="W57" s="266">
        <v>1522</v>
      </c>
      <c r="X57" s="266">
        <v>1575</v>
      </c>
      <c r="Y57" s="266">
        <v>743</v>
      </c>
      <c r="Z57" s="266">
        <v>461</v>
      </c>
      <c r="AA57" s="267">
        <v>7960</v>
      </c>
      <c r="AB57" s="265">
        <v>126</v>
      </c>
      <c r="AC57" s="266">
        <v>470</v>
      </c>
      <c r="AD57" s="266">
        <v>734</v>
      </c>
      <c r="AE57" s="266">
        <v>214</v>
      </c>
      <c r="AF57" s="268">
        <v>0</v>
      </c>
      <c r="AG57" s="268">
        <v>1544</v>
      </c>
      <c r="AH57" s="265">
        <v>1964</v>
      </c>
      <c r="AI57" s="266">
        <v>209</v>
      </c>
      <c r="AJ57" s="268">
        <v>0</v>
      </c>
      <c r="AK57" s="265">
        <v>2173</v>
      </c>
      <c r="AL57" s="270"/>
      <c r="AM57" s="270"/>
    </row>
    <row r="58" spans="1:39">
      <c r="A58" s="239" t="s">
        <v>8</v>
      </c>
      <c r="B58" s="240" t="s">
        <v>53</v>
      </c>
      <c r="C58" s="241">
        <v>0.35091926458832934</v>
      </c>
      <c r="D58" s="242">
        <v>0.35075493612078978</v>
      </c>
      <c r="E58" s="242">
        <v>0.21082621082621084</v>
      </c>
      <c r="F58" s="242">
        <v>0.17008196721311475</v>
      </c>
      <c r="G58" s="242">
        <v>0.16546762589928057</v>
      </c>
      <c r="H58" s="243">
        <v>0</v>
      </c>
      <c r="I58" s="477">
        <v>0.2609393817743878</v>
      </c>
      <c r="J58" s="241">
        <v>0</v>
      </c>
      <c r="K58" s="242">
        <v>0.26173285198555957</v>
      </c>
      <c r="L58" s="242">
        <v>0.35446685878962536</v>
      </c>
      <c r="M58" s="242">
        <v>0.3349282296650718</v>
      </c>
      <c r="N58" s="243">
        <v>0</v>
      </c>
      <c r="O58" s="241">
        <v>0.32372505543237251</v>
      </c>
      <c r="P58" s="241">
        <v>5.9701492537313432E-2</v>
      </c>
      <c r="Q58" s="242">
        <v>6.4516129032258063E-2</v>
      </c>
      <c r="R58" s="243">
        <v>0</v>
      </c>
      <c r="S58" s="241">
        <v>6.2015503875968991E-2</v>
      </c>
      <c r="T58" s="244"/>
      <c r="U58" s="245">
        <v>439</v>
      </c>
      <c r="V58" s="246">
        <v>302</v>
      </c>
      <c r="W58" s="246">
        <v>370</v>
      </c>
      <c r="X58" s="246">
        <v>166</v>
      </c>
      <c r="Y58" s="246">
        <v>23</v>
      </c>
      <c r="Z58" s="246">
        <v>0</v>
      </c>
      <c r="AA58" s="247">
        <v>1300</v>
      </c>
      <c r="AB58" s="245">
        <v>0</v>
      </c>
      <c r="AC58" s="246">
        <v>145</v>
      </c>
      <c r="AD58" s="246">
        <v>369</v>
      </c>
      <c r="AE58" s="246">
        <v>70</v>
      </c>
      <c r="AF58" s="248">
        <v>0</v>
      </c>
      <c r="AG58" s="248">
        <v>584</v>
      </c>
      <c r="AH58" s="245">
        <v>4</v>
      </c>
      <c r="AI58" s="246">
        <v>4</v>
      </c>
      <c r="AJ58" s="248">
        <v>0</v>
      </c>
      <c r="AK58" s="245">
        <v>8</v>
      </c>
    </row>
    <row r="59" spans="1:39">
      <c r="A59" s="249"/>
      <c r="B59" s="239" t="s">
        <v>93</v>
      </c>
      <c r="C59" s="250">
        <v>0.34052757793764987</v>
      </c>
      <c r="D59" s="251">
        <v>0.26016260162601629</v>
      </c>
      <c r="E59" s="251">
        <v>0.24615384615384617</v>
      </c>
      <c r="F59" s="251">
        <v>0.26331967213114754</v>
      </c>
      <c r="G59" s="251">
        <v>0.29496402877697842</v>
      </c>
      <c r="H59" s="252">
        <v>0</v>
      </c>
      <c r="I59" s="478">
        <v>0.27699718988358091</v>
      </c>
      <c r="J59" s="250">
        <v>0</v>
      </c>
      <c r="K59" s="251">
        <v>0.388086642599278</v>
      </c>
      <c r="L59" s="251">
        <v>0.28914505283381364</v>
      </c>
      <c r="M59" s="251">
        <v>0.32535885167464113</v>
      </c>
      <c r="N59" s="252">
        <v>0</v>
      </c>
      <c r="O59" s="250">
        <v>0.32372505543237251</v>
      </c>
      <c r="P59" s="250">
        <v>0.22388059701492538</v>
      </c>
      <c r="Q59" s="251">
        <v>0.22580645161290322</v>
      </c>
      <c r="R59" s="252">
        <v>0</v>
      </c>
      <c r="S59" s="250">
        <v>0.22480620155038761</v>
      </c>
      <c r="T59" s="253"/>
      <c r="U59" s="254">
        <v>426</v>
      </c>
      <c r="V59" s="255">
        <v>224</v>
      </c>
      <c r="W59" s="255">
        <v>432</v>
      </c>
      <c r="X59" s="255">
        <v>257</v>
      </c>
      <c r="Y59" s="255">
        <v>41</v>
      </c>
      <c r="Z59" s="255">
        <v>0</v>
      </c>
      <c r="AA59" s="256">
        <v>1380</v>
      </c>
      <c r="AB59" s="254">
        <v>0</v>
      </c>
      <c r="AC59" s="255">
        <v>215</v>
      </c>
      <c r="AD59" s="255">
        <v>301</v>
      </c>
      <c r="AE59" s="255">
        <v>68</v>
      </c>
      <c r="AF59" s="257">
        <v>0</v>
      </c>
      <c r="AG59" s="257">
        <v>584</v>
      </c>
      <c r="AH59" s="254">
        <v>15</v>
      </c>
      <c r="AI59" s="255">
        <v>14</v>
      </c>
      <c r="AJ59" s="257">
        <v>0</v>
      </c>
      <c r="AK59" s="254">
        <v>29</v>
      </c>
    </row>
    <row r="60" spans="1:39">
      <c r="A60" s="249"/>
      <c r="B60" s="239" t="s">
        <v>55</v>
      </c>
      <c r="C60" s="250">
        <v>0.22302158273381295</v>
      </c>
      <c r="D60" s="251">
        <v>0.27293844367015097</v>
      </c>
      <c r="E60" s="251">
        <v>0.3054131054131054</v>
      </c>
      <c r="F60" s="251">
        <v>0.2848360655737705</v>
      </c>
      <c r="G60" s="251">
        <v>0.41007194244604317</v>
      </c>
      <c r="H60" s="252">
        <v>0</v>
      </c>
      <c r="I60" s="478">
        <v>0.27800080289040546</v>
      </c>
      <c r="J60" s="250">
        <v>0</v>
      </c>
      <c r="K60" s="251">
        <v>0.19855595667870035</v>
      </c>
      <c r="L60" s="251">
        <v>0.18731988472622479</v>
      </c>
      <c r="M60" s="251">
        <v>0.14832535885167464</v>
      </c>
      <c r="N60" s="252">
        <v>0</v>
      </c>
      <c r="O60" s="250">
        <v>0.18625277161862527</v>
      </c>
      <c r="P60" s="250">
        <v>0.34328358208955223</v>
      </c>
      <c r="Q60" s="251">
        <v>0.22580645161290322</v>
      </c>
      <c r="R60" s="252">
        <v>0</v>
      </c>
      <c r="S60" s="250">
        <v>0.2868217054263566</v>
      </c>
      <c r="T60" s="253"/>
      <c r="U60" s="254">
        <v>279</v>
      </c>
      <c r="V60" s="255">
        <v>235</v>
      </c>
      <c r="W60" s="255">
        <v>536</v>
      </c>
      <c r="X60" s="255">
        <v>278</v>
      </c>
      <c r="Y60" s="255">
        <v>57</v>
      </c>
      <c r="Z60" s="255">
        <v>0</v>
      </c>
      <c r="AA60" s="256">
        <v>1385</v>
      </c>
      <c r="AB60" s="254">
        <v>0</v>
      </c>
      <c r="AC60" s="255">
        <v>110</v>
      </c>
      <c r="AD60" s="255">
        <v>195</v>
      </c>
      <c r="AE60" s="255">
        <v>31</v>
      </c>
      <c r="AF60" s="257">
        <v>0</v>
      </c>
      <c r="AG60" s="257">
        <v>336</v>
      </c>
      <c r="AH60" s="254">
        <v>23</v>
      </c>
      <c r="AI60" s="255">
        <v>14</v>
      </c>
      <c r="AJ60" s="257">
        <v>0</v>
      </c>
      <c r="AK60" s="254">
        <v>37</v>
      </c>
    </row>
    <row r="61" spans="1:39">
      <c r="A61" s="249"/>
      <c r="B61" s="239" t="s">
        <v>78</v>
      </c>
      <c r="C61" s="272">
        <v>3.9968025579536371E-3</v>
      </c>
      <c r="D61" s="251">
        <v>0.11382113821138211</v>
      </c>
      <c r="E61" s="251">
        <v>0.1094017094017094</v>
      </c>
      <c r="F61" s="251">
        <v>8.4016393442622947E-2</v>
      </c>
      <c r="G61" s="251">
        <v>0.12949640287769784</v>
      </c>
      <c r="H61" s="252">
        <v>0</v>
      </c>
      <c r="I61" s="478">
        <v>7.9285427539140904E-2</v>
      </c>
      <c r="J61" s="250">
        <v>0</v>
      </c>
      <c r="K61" s="251">
        <v>0.15162454873646208</v>
      </c>
      <c r="L61" s="251">
        <v>0.1690682036503362</v>
      </c>
      <c r="M61" s="251">
        <v>0.19138755980861244</v>
      </c>
      <c r="N61" s="252">
        <v>0</v>
      </c>
      <c r="O61" s="250">
        <v>0.16629711751662971</v>
      </c>
      <c r="P61" s="250">
        <v>0.37313432835820898</v>
      </c>
      <c r="Q61" s="251">
        <v>0.4838709677419355</v>
      </c>
      <c r="R61" s="252">
        <v>0</v>
      </c>
      <c r="S61" s="250">
        <v>0.4263565891472868</v>
      </c>
      <c r="T61" s="253"/>
      <c r="U61" s="254">
        <v>5</v>
      </c>
      <c r="V61" s="255">
        <v>98</v>
      </c>
      <c r="W61" s="255">
        <v>192</v>
      </c>
      <c r="X61" s="255">
        <v>82</v>
      </c>
      <c r="Y61" s="255">
        <v>18</v>
      </c>
      <c r="Z61" s="255">
        <v>0</v>
      </c>
      <c r="AA61" s="256">
        <v>395</v>
      </c>
      <c r="AB61" s="254">
        <v>0</v>
      </c>
      <c r="AC61" s="255">
        <v>84</v>
      </c>
      <c r="AD61" s="255">
        <v>176</v>
      </c>
      <c r="AE61" s="255">
        <v>40</v>
      </c>
      <c r="AF61" s="257">
        <v>0</v>
      </c>
      <c r="AG61" s="257">
        <v>300</v>
      </c>
      <c r="AH61" s="254">
        <v>25</v>
      </c>
      <c r="AI61" s="255">
        <v>30</v>
      </c>
      <c r="AJ61" s="257">
        <v>0</v>
      </c>
      <c r="AK61" s="254">
        <v>55</v>
      </c>
    </row>
    <row r="62" spans="1:39">
      <c r="A62" s="249"/>
      <c r="B62" s="239" t="s">
        <v>32</v>
      </c>
      <c r="C62" s="250">
        <v>8.1534772182254203E-2</v>
      </c>
      <c r="D62" s="273">
        <v>2.3228803716608595E-3</v>
      </c>
      <c r="E62" s="251">
        <v>0.12820512820512819</v>
      </c>
      <c r="F62" s="251">
        <v>0.19774590163934427</v>
      </c>
      <c r="G62" s="251">
        <v>0</v>
      </c>
      <c r="H62" s="252">
        <v>0</v>
      </c>
      <c r="I62" s="478">
        <v>0.10477719791248495</v>
      </c>
      <c r="J62" s="250">
        <v>0</v>
      </c>
      <c r="K62" s="251">
        <v>0</v>
      </c>
      <c r="L62" s="251">
        <v>0</v>
      </c>
      <c r="M62" s="251">
        <v>0</v>
      </c>
      <c r="N62" s="258">
        <v>0</v>
      </c>
      <c r="O62" s="250">
        <v>0</v>
      </c>
      <c r="P62" s="250">
        <v>0</v>
      </c>
      <c r="Q62" s="251">
        <v>0</v>
      </c>
      <c r="R62" s="252">
        <v>0</v>
      </c>
      <c r="S62" s="250">
        <v>0</v>
      </c>
      <c r="T62" s="253"/>
      <c r="U62" s="254">
        <v>102</v>
      </c>
      <c r="V62" s="255">
        <v>2</v>
      </c>
      <c r="W62" s="255">
        <v>225</v>
      </c>
      <c r="X62" s="255">
        <v>193</v>
      </c>
      <c r="Y62" s="255">
        <v>0</v>
      </c>
      <c r="Z62" s="255">
        <v>0</v>
      </c>
      <c r="AA62" s="256">
        <v>522</v>
      </c>
      <c r="AB62" s="254">
        <v>0</v>
      </c>
      <c r="AC62" s="255">
        <v>0</v>
      </c>
      <c r="AD62" s="255">
        <v>0</v>
      </c>
      <c r="AE62" s="255">
        <v>0</v>
      </c>
      <c r="AF62" s="257">
        <v>0</v>
      </c>
      <c r="AG62" s="257">
        <v>0</v>
      </c>
      <c r="AH62" s="254">
        <v>0</v>
      </c>
      <c r="AI62" s="255">
        <v>0</v>
      </c>
      <c r="AJ62" s="257">
        <v>0</v>
      </c>
      <c r="AK62" s="254">
        <v>0</v>
      </c>
    </row>
    <row r="63" spans="1:39">
      <c r="A63" s="249"/>
      <c r="B63" s="239" t="s">
        <v>58</v>
      </c>
      <c r="C63" s="250">
        <v>0</v>
      </c>
      <c r="D63" s="251">
        <v>0</v>
      </c>
      <c r="E63" s="419">
        <v>0</v>
      </c>
      <c r="F63" s="251">
        <v>0</v>
      </c>
      <c r="G63" s="419">
        <v>0</v>
      </c>
      <c r="H63" s="252">
        <v>0</v>
      </c>
      <c r="I63" s="479">
        <v>0</v>
      </c>
      <c r="J63" s="250">
        <v>0</v>
      </c>
      <c r="K63" s="251">
        <v>0</v>
      </c>
      <c r="L63" s="251">
        <v>0</v>
      </c>
      <c r="M63" s="251">
        <v>0</v>
      </c>
      <c r="N63" s="252">
        <v>0</v>
      </c>
      <c r="O63" s="250">
        <v>0</v>
      </c>
      <c r="P63" s="250">
        <v>0</v>
      </c>
      <c r="Q63" s="251">
        <v>0</v>
      </c>
      <c r="R63" s="252">
        <v>0</v>
      </c>
      <c r="S63" s="250">
        <v>0</v>
      </c>
      <c r="T63" s="253"/>
      <c r="U63" s="254">
        <v>0</v>
      </c>
      <c r="V63" s="255">
        <v>0</v>
      </c>
      <c r="W63" s="255">
        <v>0</v>
      </c>
      <c r="X63" s="255">
        <v>0</v>
      </c>
      <c r="Y63" s="255">
        <v>0</v>
      </c>
      <c r="Z63" s="255">
        <v>0</v>
      </c>
      <c r="AA63" s="256">
        <v>0</v>
      </c>
      <c r="AB63" s="254">
        <v>0</v>
      </c>
      <c r="AC63" s="255">
        <v>0</v>
      </c>
      <c r="AD63" s="255">
        <v>0</v>
      </c>
      <c r="AE63" s="255">
        <v>0</v>
      </c>
      <c r="AF63" s="257">
        <v>0</v>
      </c>
      <c r="AG63" s="257">
        <v>0</v>
      </c>
      <c r="AH63" s="254">
        <v>0</v>
      </c>
      <c r="AI63" s="255">
        <v>0</v>
      </c>
      <c r="AJ63" s="257">
        <v>0</v>
      </c>
      <c r="AK63" s="254">
        <v>0</v>
      </c>
    </row>
    <row r="64" spans="1:39" s="271" customFormat="1">
      <c r="A64" s="435"/>
      <c r="B64" s="436" t="s">
        <v>59</v>
      </c>
      <c r="C64" s="261">
        <v>1</v>
      </c>
      <c r="D64" s="262">
        <v>1</v>
      </c>
      <c r="E64" s="262">
        <v>1</v>
      </c>
      <c r="F64" s="262">
        <v>1</v>
      </c>
      <c r="G64" s="262">
        <v>1</v>
      </c>
      <c r="H64" s="263">
        <v>0</v>
      </c>
      <c r="I64" s="480">
        <v>1</v>
      </c>
      <c r="J64" s="261">
        <v>0</v>
      </c>
      <c r="K64" s="262">
        <v>1</v>
      </c>
      <c r="L64" s="262">
        <v>1</v>
      </c>
      <c r="M64" s="262">
        <v>1</v>
      </c>
      <c r="N64" s="263">
        <v>0</v>
      </c>
      <c r="O64" s="261">
        <v>1</v>
      </c>
      <c r="P64" s="261">
        <v>1</v>
      </c>
      <c r="Q64" s="262">
        <v>1</v>
      </c>
      <c r="R64" s="263">
        <v>0</v>
      </c>
      <c r="S64" s="261">
        <v>1</v>
      </c>
      <c r="T64" s="264"/>
      <c r="U64" s="265">
        <v>1251</v>
      </c>
      <c r="V64" s="266">
        <v>861</v>
      </c>
      <c r="W64" s="266">
        <v>1755</v>
      </c>
      <c r="X64" s="266">
        <v>976</v>
      </c>
      <c r="Y64" s="266">
        <v>139</v>
      </c>
      <c r="Z64" s="266">
        <v>0</v>
      </c>
      <c r="AA64" s="267">
        <v>4982</v>
      </c>
      <c r="AB64" s="265">
        <v>0</v>
      </c>
      <c r="AC64" s="266">
        <v>554</v>
      </c>
      <c r="AD64" s="266">
        <v>1041</v>
      </c>
      <c r="AE64" s="266">
        <v>209</v>
      </c>
      <c r="AF64" s="268">
        <v>0</v>
      </c>
      <c r="AG64" s="268">
        <v>1804</v>
      </c>
      <c r="AH64" s="265">
        <v>67</v>
      </c>
      <c r="AI64" s="266">
        <v>62</v>
      </c>
      <c r="AJ64" s="268">
        <v>0</v>
      </c>
      <c r="AK64" s="265">
        <v>129</v>
      </c>
      <c r="AL64" s="270"/>
      <c r="AM64" s="270"/>
    </row>
    <row r="65" spans="1:39">
      <c r="A65" s="239" t="s">
        <v>9</v>
      </c>
      <c r="B65" s="240" t="s">
        <v>53</v>
      </c>
      <c r="C65" s="241">
        <v>0.33464877663772691</v>
      </c>
      <c r="D65" s="242">
        <v>0.26015141087405369</v>
      </c>
      <c r="E65" s="242">
        <v>0.19661266568483063</v>
      </c>
      <c r="F65" s="242">
        <v>0.20091673032849502</v>
      </c>
      <c r="G65" s="242">
        <v>0.15909090909090909</v>
      </c>
      <c r="H65" s="243">
        <v>0</v>
      </c>
      <c r="I65" s="477">
        <v>0.24584474885844748</v>
      </c>
      <c r="J65" s="241">
        <v>0.20909090909090908</v>
      </c>
      <c r="K65" s="242">
        <v>0.15829145728643215</v>
      </c>
      <c r="L65" s="242">
        <v>7.9422382671480149E-2</v>
      </c>
      <c r="M65" s="242">
        <v>1.098901098901099E-2</v>
      </c>
      <c r="N65" s="243">
        <v>0</v>
      </c>
      <c r="O65" s="241">
        <v>0.11375387797311272</v>
      </c>
      <c r="P65" s="342">
        <v>0</v>
      </c>
      <c r="Q65" s="242">
        <v>0</v>
      </c>
      <c r="R65" s="243">
        <v>0</v>
      </c>
      <c r="S65" s="342">
        <v>0</v>
      </c>
      <c r="T65" s="244"/>
      <c r="U65" s="245">
        <v>424</v>
      </c>
      <c r="V65" s="246">
        <v>378</v>
      </c>
      <c r="W65" s="246">
        <v>267</v>
      </c>
      <c r="X65" s="246">
        <v>263</v>
      </c>
      <c r="Y65" s="246">
        <v>14</v>
      </c>
      <c r="Z65" s="246">
        <v>0</v>
      </c>
      <c r="AA65" s="247">
        <v>1346</v>
      </c>
      <c r="AB65" s="245">
        <v>23</v>
      </c>
      <c r="AC65" s="246">
        <v>63</v>
      </c>
      <c r="AD65" s="246">
        <v>22</v>
      </c>
      <c r="AE65" s="246">
        <v>2</v>
      </c>
      <c r="AF65" s="248">
        <v>0</v>
      </c>
      <c r="AG65" s="248">
        <v>110</v>
      </c>
      <c r="AH65" s="245">
        <v>0</v>
      </c>
      <c r="AI65" s="246">
        <v>0</v>
      </c>
      <c r="AJ65" s="248">
        <v>0</v>
      </c>
      <c r="AK65" s="245">
        <v>0</v>
      </c>
    </row>
    <row r="66" spans="1:39">
      <c r="A66" s="249"/>
      <c r="B66" s="239" t="s">
        <v>93</v>
      </c>
      <c r="C66" s="250">
        <v>0.21152328334648776</v>
      </c>
      <c r="D66" s="251">
        <v>0.21472814865794906</v>
      </c>
      <c r="E66" s="251">
        <v>0.20692194403534608</v>
      </c>
      <c r="F66" s="251">
        <v>0.21848739495798319</v>
      </c>
      <c r="G66" s="251">
        <v>0.31818181818181818</v>
      </c>
      <c r="H66" s="252">
        <v>0</v>
      </c>
      <c r="I66" s="478">
        <v>0.21461187214611871</v>
      </c>
      <c r="J66" s="250">
        <v>0.17272727272727273</v>
      </c>
      <c r="K66" s="251">
        <v>0.15326633165829145</v>
      </c>
      <c r="L66" s="251">
        <v>0.1588447653429603</v>
      </c>
      <c r="M66" s="251">
        <v>0.13186813186813187</v>
      </c>
      <c r="N66" s="252">
        <v>0</v>
      </c>
      <c r="O66" s="250">
        <v>0.15305067218200621</v>
      </c>
      <c r="P66" s="250">
        <v>0</v>
      </c>
      <c r="Q66" s="251">
        <v>0</v>
      </c>
      <c r="R66" s="252">
        <v>0</v>
      </c>
      <c r="S66" s="250">
        <v>0</v>
      </c>
      <c r="T66" s="253"/>
      <c r="U66" s="254">
        <v>268</v>
      </c>
      <c r="V66" s="255">
        <v>312</v>
      </c>
      <c r="W66" s="255">
        <v>281</v>
      </c>
      <c r="X66" s="255">
        <v>286</v>
      </c>
      <c r="Y66" s="255">
        <v>28</v>
      </c>
      <c r="Z66" s="255">
        <v>0</v>
      </c>
      <c r="AA66" s="256">
        <v>1175</v>
      </c>
      <c r="AB66" s="254">
        <v>19</v>
      </c>
      <c r="AC66" s="255">
        <v>61</v>
      </c>
      <c r="AD66" s="255">
        <v>44</v>
      </c>
      <c r="AE66" s="255">
        <v>24</v>
      </c>
      <c r="AF66" s="257">
        <v>0</v>
      </c>
      <c r="AG66" s="257">
        <v>148</v>
      </c>
      <c r="AH66" s="254">
        <v>0</v>
      </c>
      <c r="AI66" s="255">
        <v>0</v>
      </c>
      <c r="AJ66" s="257">
        <v>0</v>
      </c>
      <c r="AK66" s="254">
        <v>0</v>
      </c>
    </row>
    <row r="67" spans="1:39">
      <c r="A67" s="249"/>
      <c r="B67" s="239" t="s">
        <v>55</v>
      </c>
      <c r="C67" s="250">
        <v>0.23599052880820837</v>
      </c>
      <c r="D67" s="251">
        <v>0.27047487955953198</v>
      </c>
      <c r="E67" s="251">
        <v>0.31075110456553756</v>
      </c>
      <c r="F67" s="251">
        <v>0.38731856378915203</v>
      </c>
      <c r="G67" s="251">
        <v>0.5</v>
      </c>
      <c r="H67" s="252">
        <v>0</v>
      </c>
      <c r="I67" s="478">
        <v>0.30410958904109592</v>
      </c>
      <c r="J67" s="250">
        <v>0.4</v>
      </c>
      <c r="K67" s="251">
        <v>0.16080402010050251</v>
      </c>
      <c r="L67" s="251">
        <v>0.28158844765342961</v>
      </c>
      <c r="M67" s="251">
        <v>0.26923076923076922</v>
      </c>
      <c r="N67" s="252">
        <v>0</v>
      </c>
      <c r="O67" s="250">
        <v>0.24301964839710444</v>
      </c>
      <c r="P67" s="250">
        <v>0</v>
      </c>
      <c r="Q67" s="251">
        <v>0</v>
      </c>
      <c r="R67" s="252">
        <v>0</v>
      </c>
      <c r="S67" s="250">
        <v>0</v>
      </c>
      <c r="T67" s="253"/>
      <c r="U67" s="254">
        <v>299</v>
      </c>
      <c r="V67" s="255">
        <v>393</v>
      </c>
      <c r="W67" s="255">
        <v>422</v>
      </c>
      <c r="X67" s="255">
        <v>507</v>
      </c>
      <c r="Y67" s="255">
        <v>44</v>
      </c>
      <c r="Z67" s="255">
        <v>0</v>
      </c>
      <c r="AA67" s="256">
        <v>1665</v>
      </c>
      <c r="AB67" s="254">
        <v>44</v>
      </c>
      <c r="AC67" s="255">
        <v>64</v>
      </c>
      <c r="AD67" s="255">
        <v>78</v>
      </c>
      <c r="AE67" s="255">
        <v>49</v>
      </c>
      <c r="AF67" s="257">
        <v>0</v>
      </c>
      <c r="AG67" s="257">
        <v>235</v>
      </c>
      <c r="AH67" s="254">
        <v>0</v>
      </c>
      <c r="AI67" s="255">
        <v>0</v>
      </c>
      <c r="AJ67" s="257">
        <v>0</v>
      </c>
      <c r="AK67" s="254">
        <v>0</v>
      </c>
    </row>
    <row r="68" spans="1:39">
      <c r="A68" s="249"/>
      <c r="B68" s="239" t="s">
        <v>78</v>
      </c>
      <c r="C68" s="250">
        <v>0.20284135753749014</v>
      </c>
      <c r="D68" s="251">
        <v>0.22918100481761872</v>
      </c>
      <c r="E68" s="251">
        <v>0.27098674521354932</v>
      </c>
      <c r="F68" s="251">
        <v>0.19022154316271964</v>
      </c>
      <c r="G68" s="251">
        <v>2.2727272727272728E-2</v>
      </c>
      <c r="H68" s="252">
        <v>0</v>
      </c>
      <c r="I68" s="478">
        <v>0.22082191780821916</v>
      </c>
      <c r="J68" s="250">
        <v>0.17272727272727273</v>
      </c>
      <c r="K68" s="251">
        <v>0.38442211055276382</v>
      </c>
      <c r="L68" s="251">
        <v>0.48014440433212996</v>
      </c>
      <c r="M68" s="251">
        <v>0.58791208791208793</v>
      </c>
      <c r="N68" s="252">
        <v>0</v>
      </c>
      <c r="O68" s="250">
        <v>0.42605997931747674</v>
      </c>
      <c r="P68" s="250">
        <v>1</v>
      </c>
      <c r="Q68" s="251">
        <v>0.97826086956521741</v>
      </c>
      <c r="R68" s="252">
        <v>0.98991935483870963</v>
      </c>
      <c r="S68" s="250">
        <v>0.99006622516556286</v>
      </c>
      <c r="T68" s="253"/>
      <c r="U68" s="254">
        <v>257</v>
      </c>
      <c r="V68" s="255">
        <v>333</v>
      </c>
      <c r="W68" s="255">
        <v>368</v>
      </c>
      <c r="X68" s="255">
        <v>249</v>
      </c>
      <c r="Y68" s="255">
        <v>2</v>
      </c>
      <c r="Z68" s="255">
        <v>0</v>
      </c>
      <c r="AA68" s="256">
        <v>1209</v>
      </c>
      <c r="AB68" s="254">
        <v>19</v>
      </c>
      <c r="AC68" s="255">
        <v>153</v>
      </c>
      <c r="AD68" s="255">
        <v>133</v>
      </c>
      <c r="AE68" s="255">
        <v>107</v>
      </c>
      <c r="AF68" s="257">
        <v>0</v>
      </c>
      <c r="AG68" s="257">
        <v>412</v>
      </c>
      <c r="AH68" s="254">
        <v>62</v>
      </c>
      <c r="AI68" s="255">
        <v>45</v>
      </c>
      <c r="AJ68" s="257">
        <v>491</v>
      </c>
      <c r="AK68" s="254">
        <v>598</v>
      </c>
    </row>
    <row r="69" spans="1:39">
      <c r="A69" s="249"/>
      <c r="B69" s="239" t="s">
        <v>32</v>
      </c>
      <c r="C69" s="250">
        <v>1.499605367008682E-2</v>
      </c>
      <c r="D69" s="251">
        <v>1.1699931176875429E-2</v>
      </c>
      <c r="E69" s="251">
        <v>0</v>
      </c>
      <c r="F69" s="273">
        <v>2.2918258212375861E-3</v>
      </c>
      <c r="G69" s="251">
        <v>0</v>
      </c>
      <c r="H69" s="252">
        <v>0</v>
      </c>
      <c r="I69" s="478">
        <v>7.1232876712328764E-3</v>
      </c>
      <c r="J69" s="250">
        <v>0</v>
      </c>
      <c r="K69" s="251">
        <v>0</v>
      </c>
      <c r="L69" s="251">
        <v>0</v>
      </c>
      <c r="M69" s="251">
        <v>0</v>
      </c>
      <c r="N69" s="258">
        <v>0</v>
      </c>
      <c r="O69" s="250">
        <v>0</v>
      </c>
      <c r="P69" s="250">
        <v>0</v>
      </c>
      <c r="Q69" s="251">
        <v>2.1739130434782608E-2</v>
      </c>
      <c r="R69" s="252">
        <v>0</v>
      </c>
      <c r="S69" s="272">
        <v>1.6556291390728477E-3</v>
      </c>
      <c r="T69" s="253"/>
      <c r="U69" s="254">
        <v>19</v>
      </c>
      <c r="V69" s="255">
        <v>17</v>
      </c>
      <c r="W69" s="255">
        <v>0</v>
      </c>
      <c r="X69" s="255">
        <v>3</v>
      </c>
      <c r="Y69" s="255">
        <v>0</v>
      </c>
      <c r="Z69" s="255">
        <v>0</v>
      </c>
      <c r="AA69" s="256">
        <v>39</v>
      </c>
      <c r="AB69" s="254">
        <v>0</v>
      </c>
      <c r="AC69" s="255">
        <v>0</v>
      </c>
      <c r="AD69" s="255">
        <v>0</v>
      </c>
      <c r="AE69" s="255">
        <v>0</v>
      </c>
      <c r="AF69" s="257">
        <v>0</v>
      </c>
      <c r="AG69" s="257">
        <v>0</v>
      </c>
      <c r="AH69" s="254">
        <v>0</v>
      </c>
      <c r="AI69" s="255">
        <v>1</v>
      </c>
      <c r="AJ69" s="257">
        <v>0</v>
      </c>
      <c r="AK69" s="254">
        <v>1</v>
      </c>
    </row>
    <row r="70" spans="1:39">
      <c r="A70" s="249"/>
      <c r="B70" s="239" t="s">
        <v>58</v>
      </c>
      <c r="C70" s="250">
        <v>0</v>
      </c>
      <c r="D70" s="251">
        <v>1.3764624913971095E-2</v>
      </c>
      <c r="E70" s="251">
        <v>1.4727540500736377E-2</v>
      </c>
      <c r="F70" s="273">
        <v>7.6394194041252863E-4</v>
      </c>
      <c r="G70" s="419">
        <v>0</v>
      </c>
      <c r="H70" s="252">
        <v>0</v>
      </c>
      <c r="I70" s="482">
        <v>7.4885844748858446E-3</v>
      </c>
      <c r="J70" s="250">
        <v>4.5454545454545456E-2</v>
      </c>
      <c r="K70" s="251">
        <v>0.14321608040201006</v>
      </c>
      <c r="L70" s="251">
        <v>0</v>
      </c>
      <c r="M70" s="251">
        <v>0</v>
      </c>
      <c r="N70" s="252">
        <v>0</v>
      </c>
      <c r="O70" s="250">
        <v>6.4115822130299899E-2</v>
      </c>
      <c r="P70" s="250">
        <v>0</v>
      </c>
      <c r="Q70" s="251">
        <v>0</v>
      </c>
      <c r="R70" s="252">
        <v>1.0080645161290322E-2</v>
      </c>
      <c r="S70" s="250">
        <v>8.2781456953642391E-3</v>
      </c>
      <c r="T70" s="253"/>
      <c r="U70" s="254">
        <v>0</v>
      </c>
      <c r="V70" s="255">
        <v>20</v>
      </c>
      <c r="W70" s="255">
        <v>20</v>
      </c>
      <c r="X70" s="255">
        <v>1</v>
      </c>
      <c r="Y70" s="255">
        <v>0</v>
      </c>
      <c r="Z70" s="255">
        <v>0</v>
      </c>
      <c r="AA70" s="256">
        <v>41</v>
      </c>
      <c r="AB70" s="254">
        <v>5</v>
      </c>
      <c r="AC70" s="255">
        <v>57</v>
      </c>
      <c r="AD70" s="255">
        <v>0</v>
      </c>
      <c r="AE70" s="255">
        <v>0</v>
      </c>
      <c r="AF70" s="257">
        <v>0</v>
      </c>
      <c r="AG70" s="257">
        <v>62</v>
      </c>
      <c r="AH70" s="254">
        <v>0</v>
      </c>
      <c r="AI70" s="255">
        <v>0</v>
      </c>
      <c r="AJ70" s="257">
        <v>5</v>
      </c>
      <c r="AK70" s="254">
        <v>5</v>
      </c>
    </row>
    <row r="71" spans="1:39" s="271" customFormat="1">
      <c r="A71" s="435"/>
      <c r="B71" s="436" t="s">
        <v>59</v>
      </c>
      <c r="C71" s="261">
        <v>1</v>
      </c>
      <c r="D71" s="262">
        <v>1</v>
      </c>
      <c r="E71" s="262">
        <v>1</v>
      </c>
      <c r="F71" s="262">
        <v>1</v>
      </c>
      <c r="G71" s="262">
        <v>1</v>
      </c>
      <c r="H71" s="263">
        <v>0</v>
      </c>
      <c r="I71" s="480">
        <v>1</v>
      </c>
      <c r="J71" s="261">
        <v>1</v>
      </c>
      <c r="K71" s="262">
        <v>1</v>
      </c>
      <c r="L71" s="262">
        <v>1</v>
      </c>
      <c r="M71" s="262">
        <v>1</v>
      </c>
      <c r="N71" s="263">
        <v>0</v>
      </c>
      <c r="O71" s="261">
        <v>1</v>
      </c>
      <c r="P71" s="261">
        <v>1</v>
      </c>
      <c r="Q71" s="262">
        <v>1</v>
      </c>
      <c r="R71" s="263">
        <v>1</v>
      </c>
      <c r="S71" s="261">
        <v>1</v>
      </c>
      <c r="T71" s="264"/>
      <c r="U71" s="265">
        <v>1267</v>
      </c>
      <c r="V71" s="266">
        <v>1453</v>
      </c>
      <c r="W71" s="266">
        <v>1358</v>
      </c>
      <c r="X71" s="266">
        <v>1309</v>
      </c>
      <c r="Y71" s="266">
        <v>88</v>
      </c>
      <c r="Z71" s="266">
        <v>0</v>
      </c>
      <c r="AA71" s="267">
        <v>5475</v>
      </c>
      <c r="AB71" s="265">
        <v>110</v>
      </c>
      <c r="AC71" s="266">
        <v>398</v>
      </c>
      <c r="AD71" s="266">
        <v>277</v>
      </c>
      <c r="AE71" s="266">
        <v>182</v>
      </c>
      <c r="AF71" s="268">
        <v>0</v>
      </c>
      <c r="AG71" s="268">
        <v>967</v>
      </c>
      <c r="AH71" s="265">
        <v>62</v>
      </c>
      <c r="AI71" s="266">
        <v>46</v>
      </c>
      <c r="AJ71" s="268">
        <v>496</v>
      </c>
      <c r="AK71" s="265">
        <v>604</v>
      </c>
      <c r="AL71" s="270"/>
      <c r="AM71" s="270"/>
    </row>
    <row r="72" spans="1:39">
      <c r="A72" s="239" t="s">
        <v>10</v>
      </c>
      <c r="B72" s="240" t="s">
        <v>53</v>
      </c>
      <c r="C72" s="241">
        <v>0.40701314965560426</v>
      </c>
      <c r="D72" s="242">
        <v>0.29598308668076112</v>
      </c>
      <c r="E72" s="242">
        <v>0.22664835164835165</v>
      </c>
      <c r="F72" s="242">
        <v>0.20058309037900873</v>
      </c>
      <c r="G72" s="242">
        <v>0</v>
      </c>
      <c r="H72" s="243">
        <v>0.27631578947368424</v>
      </c>
      <c r="I72" s="477">
        <v>0.28745980707395496</v>
      </c>
      <c r="J72" s="241">
        <v>0</v>
      </c>
      <c r="K72" s="242">
        <v>0.36749633967789164</v>
      </c>
      <c r="L72" s="242">
        <v>0.32519280205655526</v>
      </c>
      <c r="M72" s="242">
        <v>0.22500000000000001</v>
      </c>
      <c r="N72" s="243">
        <v>0</v>
      </c>
      <c r="O72" s="241">
        <v>0.33934563758389263</v>
      </c>
      <c r="P72" s="342">
        <v>0</v>
      </c>
      <c r="Q72" s="242">
        <v>0</v>
      </c>
      <c r="R72" s="243">
        <v>0</v>
      </c>
      <c r="S72" s="342">
        <v>0</v>
      </c>
      <c r="T72" s="244"/>
      <c r="U72" s="245">
        <v>650</v>
      </c>
      <c r="V72" s="246">
        <v>140</v>
      </c>
      <c r="W72" s="246">
        <v>165</v>
      </c>
      <c r="X72" s="246">
        <v>344</v>
      </c>
      <c r="Y72" s="246">
        <v>0</v>
      </c>
      <c r="Z72" s="246">
        <v>42</v>
      </c>
      <c r="AA72" s="247">
        <v>1341</v>
      </c>
      <c r="AB72" s="245">
        <v>0</v>
      </c>
      <c r="AC72" s="246">
        <v>502</v>
      </c>
      <c r="AD72" s="246">
        <v>253</v>
      </c>
      <c r="AE72" s="246">
        <v>54</v>
      </c>
      <c r="AF72" s="248">
        <v>0</v>
      </c>
      <c r="AG72" s="248">
        <v>809</v>
      </c>
      <c r="AH72" s="245">
        <v>0</v>
      </c>
      <c r="AI72" s="246">
        <v>0</v>
      </c>
      <c r="AJ72" s="248">
        <v>0</v>
      </c>
      <c r="AK72" s="245">
        <v>0</v>
      </c>
    </row>
    <row r="73" spans="1:39">
      <c r="A73" s="249"/>
      <c r="B73" s="239" t="s">
        <v>93</v>
      </c>
      <c r="C73" s="250">
        <v>0.25798371947401377</v>
      </c>
      <c r="D73" s="251">
        <v>0.30443974630021142</v>
      </c>
      <c r="E73" s="251">
        <v>0.20192307692307693</v>
      </c>
      <c r="F73" s="251">
        <v>0.24373177842565596</v>
      </c>
      <c r="G73" s="251">
        <v>0</v>
      </c>
      <c r="H73" s="252">
        <v>0.25</v>
      </c>
      <c r="I73" s="478">
        <v>0.24844587352625938</v>
      </c>
      <c r="J73" s="250">
        <v>0</v>
      </c>
      <c r="K73" s="251">
        <v>0.29868228404099562</v>
      </c>
      <c r="L73" s="251">
        <v>0.19408740359897173</v>
      </c>
      <c r="M73" s="251">
        <v>0.28749999999999998</v>
      </c>
      <c r="N73" s="252">
        <v>0</v>
      </c>
      <c r="O73" s="250">
        <v>0.26342281879194629</v>
      </c>
      <c r="P73" s="250">
        <v>0</v>
      </c>
      <c r="Q73" s="251">
        <v>0</v>
      </c>
      <c r="R73" s="252">
        <v>0</v>
      </c>
      <c r="S73" s="250">
        <v>0</v>
      </c>
      <c r="T73" s="253"/>
      <c r="U73" s="254">
        <v>412</v>
      </c>
      <c r="V73" s="255">
        <v>144</v>
      </c>
      <c r="W73" s="255">
        <v>147</v>
      </c>
      <c r="X73" s="255">
        <v>418</v>
      </c>
      <c r="Y73" s="255">
        <v>0</v>
      </c>
      <c r="Z73" s="255">
        <v>38</v>
      </c>
      <c r="AA73" s="256">
        <v>1159</v>
      </c>
      <c r="AB73" s="254">
        <v>0</v>
      </c>
      <c r="AC73" s="255">
        <v>408</v>
      </c>
      <c r="AD73" s="255">
        <v>151</v>
      </c>
      <c r="AE73" s="255">
        <v>69</v>
      </c>
      <c r="AF73" s="257">
        <v>0</v>
      </c>
      <c r="AG73" s="257">
        <v>628</v>
      </c>
      <c r="AH73" s="254">
        <v>0</v>
      </c>
      <c r="AI73" s="255">
        <v>0</v>
      </c>
      <c r="AJ73" s="257">
        <v>0</v>
      </c>
      <c r="AK73" s="254">
        <v>0</v>
      </c>
    </row>
    <row r="74" spans="1:39">
      <c r="A74" s="249"/>
      <c r="B74" s="239" t="s">
        <v>55</v>
      </c>
      <c r="C74" s="250">
        <v>0.18096430807764557</v>
      </c>
      <c r="D74" s="251">
        <v>0.23890063424947147</v>
      </c>
      <c r="E74" s="251">
        <v>0.33516483516483514</v>
      </c>
      <c r="F74" s="251">
        <v>0.30787172011661806</v>
      </c>
      <c r="G74" s="251">
        <v>0</v>
      </c>
      <c r="H74" s="252">
        <v>0.38157894736842107</v>
      </c>
      <c r="I74" s="478">
        <v>0.26409431939978562</v>
      </c>
      <c r="J74" s="250">
        <v>0</v>
      </c>
      <c r="K74" s="251">
        <v>0.28550512445095166</v>
      </c>
      <c r="L74" s="251">
        <v>0.33547557840616965</v>
      </c>
      <c r="M74" s="251">
        <v>0.29583333333333334</v>
      </c>
      <c r="N74" s="252">
        <v>0</v>
      </c>
      <c r="O74" s="250">
        <v>0.30285234899328861</v>
      </c>
      <c r="P74" s="250">
        <v>0</v>
      </c>
      <c r="Q74" s="251">
        <v>0</v>
      </c>
      <c r="R74" s="252">
        <v>0</v>
      </c>
      <c r="S74" s="250">
        <v>0</v>
      </c>
      <c r="T74" s="253"/>
      <c r="U74" s="254">
        <v>289</v>
      </c>
      <c r="V74" s="255">
        <v>113</v>
      </c>
      <c r="W74" s="255">
        <v>244</v>
      </c>
      <c r="X74" s="255">
        <v>528</v>
      </c>
      <c r="Y74" s="255">
        <v>0</v>
      </c>
      <c r="Z74" s="255">
        <v>58</v>
      </c>
      <c r="AA74" s="256">
        <v>1232</v>
      </c>
      <c r="AB74" s="254">
        <v>0</v>
      </c>
      <c r="AC74" s="255">
        <v>390</v>
      </c>
      <c r="AD74" s="255">
        <v>261</v>
      </c>
      <c r="AE74" s="255">
        <v>71</v>
      </c>
      <c r="AF74" s="257">
        <v>0</v>
      </c>
      <c r="AG74" s="257">
        <v>722</v>
      </c>
      <c r="AH74" s="254">
        <v>0</v>
      </c>
      <c r="AI74" s="255">
        <v>0</v>
      </c>
      <c r="AJ74" s="257">
        <v>0</v>
      </c>
      <c r="AK74" s="254">
        <v>0</v>
      </c>
    </row>
    <row r="75" spans="1:39">
      <c r="A75" s="249"/>
      <c r="B75" s="239" t="s">
        <v>78</v>
      </c>
      <c r="C75" s="250">
        <v>1.3149655604257984E-2</v>
      </c>
      <c r="D75" s="251">
        <v>3.5940803382663845E-2</v>
      </c>
      <c r="E75" s="251">
        <v>3.8461538461538464E-2</v>
      </c>
      <c r="F75" s="251">
        <v>2.7405247813411079E-2</v>
      </c>
      <c r="G75" s="251">
        <v>0</v>
      </c>
      <c r="H75" s="252">
        <v>9.2105263157894732E-2</v>
      </c>
      <c r="I75" s="478">
        <v>2.722400857449089E-2</v>
      </c>
      <c r="J75" s="250">
        <v>0</v>
      </c>
      <c r="K75" s="251">
        <v>4.8316251830161056E-2</v>
      </c>
      <c r="L75" s="251">
        <v>0.14267352185089974</v>
      </c>
      <c r="M75" s="251">
        <v>0.18333333333333332</v>
      </c>
      <c r="N75" s="252">
        <v>0</v>
      </c>
      <c r="O75" s="250">
        <v>9.2701342281879193E-2</v>
      </c>
      <c r="P75" s="250">
        <v>0</v>
      </c>
      <c r="Q75" s="251">
        <v>0</v>
      </c>
      <c r="R75" s="252">
        <v>0</v>
      </c>
      <c r="S75" s="250">
        <v>0</v>
      </c>
      <c r="T75" s="253"/>
      <c r="U75" s="254">
        <v>21</v>
      </c>
      <c r="V75" s="255">
        <v>17</v>
      </c>
      <c r="W75" s="255">
        <v>28</v>
      </c>
      <c r="X75" s="255">
        <v>47</v>
      </c>
      <c r="Y75" s="255">
        <v>0</v>
      </c>
      <c r="Z75" s="255">
        <v>14</v>
      </c>
      <c r="AA75" s="256">
        <v>127</v>
      </c>
      <c r="AB75" s="254">
        <v>0</v>
      </c>
      <c r="AC75" s="255">
        <v>66</v>
      </c>
      <c r="AD75" s="255">
        <v>111</v>
      </c>
      <c r="AE75" s="255">
        <v>44</v>
      </c>
      <c r="AF75" s="257">
        <v>0</v>
      </c>
      <c r="AG75" s="257">
        <v>221</v>
      </c>
      <c r="AH75" s="254">
        <v>0</v>
      </c>
      <c r="AI75" s="255">
        <v>0</v>
      </c>
      <c r="AJ75" s="257">
        <v>0</v>
      </c>
      <c r="AK75" s="254">
        <v>0</v>
      </c>
    </row>
    <row r="76" spans="1:39">
      <c r="A76" s="249"/>
      <c r="B76" s="239" t="s">
        <v>32</v>
      </c>
      <c r="C76" s="250">
        <v>0.14088916718847841</v>
      </c>
      <c r="D76" s="251">
        <v>0.12473572938689217</v>
      </c>
      <c r="E76" s="251">
        <v>0.19780219780219779</v>
      </c>
      <c r="F76" s="251">
        <v>0.22040816326530613</v>
      </c>
      <c r="G76" s="251">
        <v>0</v>
      </c>
      <c r="H76" s="252">
        <v>0</v>
      </c>
      <c r="I76" s="478">
        <v>0.17277599142550912</v>
      </c>
      <c r="J76" s="250">
        <v>0</v>
      </c>
      <c r="K76" s="251">
        <v>0</v>
      </c>
      <c r="L76" s="273">
        <v>2.5706940874035988E-3</v>
      </c>
      <c r="M76" s="251">
        <v>8.3333333333333332E-3</v>
      </c>
      <c r="N76" s="258">
        <v>0</v>
      </c>
      <c r="O76" s="272">
        <v>1.6778523489932886E-3</v>
      </c>
      <c r="P76" s="250">
        <v>0</v>
      </c>
      <c r="Q76" s="251">
        <v>0</v>
      </c>
      <c r="R76" s="252">
        <v>0</v>
      </c>
      <c r="S76" s="250">
        <v>0</v>
      </c>
      <c r="T76" s="253"/>
      <c r="U76" s="254">
        <v>225</v>
      </c>
      <c r="V76" s="255">
        <v>59</v>
      </c>
      <c r="W76" s="255">
        <v>144</v>
      </c>
      <c r="X76" s="255">
        <v>378</v>
      </c>
      <c r="Y76" s="255">
        <v>0</v>
      </c>
      <c r="Z76" s="255">
        <v>0</v>
      </c>
      <c r="AA76" s="256">
        <v>806</v>
      </c>
      <c r="AB76" s="254">
        <v>0</v>
      </c>
      <c r="AC76" s="255">
        <v>0</v>
      </c>
      <c r="AD76" s="255">
        <v>2</v>
      </c>
      <c r="AE76" s="255">
        <v>2</v>
      </c>
      <c r="AF76" s="257">
        <v>0</v>
      </c>
      <c r="AG76" s="257">
        <v>4</v>
      </c>
      <c r="AH76" s="254">
        <v>0</v>
      </c>
      <c r="AI76" s="255">
        <v>0</v>
      </c>
      <c r="AJ76" s="257">
        <v>0</v>
      </c>
      <c r="AK76" s="254">
        <v>0</v>
      </c>
    </row>
    <row r="77" spans="1:39">
      <c r="A77" s="249"/>
      <c r="B77" s="239" t="s">
        <v>58</v>
      </c>
      <c r="C77" s="250">
        <v>0</v>
      </c>
      <c r="D77" s="251">
        <v>0</v>
      </c>
      <c r="E77" s="419">
        <v>0</v>
      </c>
      <c r="F77" s="251">
        <v>0</v>
      </c>
      <c r="G77" s="419">
        <v>0</v>
      </c>
      <c r="H77" s="252">
        <v>0</v>
      </c>
      <c r="I77" s="479">
        <v>0</v>
      </c>
      <c r="J77" s="250">
        <v>0</v>
      </c>
      <c r="K77" s="251">
        <v>0</v>
      </c>
      <c r="L77" s="251">
        <v>0</v>
      </c>
      <c r="M77" s="251">
        <v>0</v>
      </c>
      <c r="N77" s="252">
        <v>0</v>
      </c>
      <c r="O77" s="250">
        <v>0</v>
      </c>
      <c r="P77" s="250">
        <v>0</v>
      </c>
      <c r="Q77" s="251">
        <v>0</v>
      </c>
      <c r="R77" s="252">
        <v>0</v>
      </c>
      <c r="S77" s="250">
        <v>0</v>
      </c>
      <c r="T77" s="253"/>
      <c r="U77" s="254">
        <v>0</v>
      </c>
      <c r="V77" s="255">
        <v>0</v>
      </c>
      <c r="W77" s="255">
        <v>0</v>
      </c>
      <c r="X77" s="255">
        <v>0</v>
      </c>
      <c r="Y77" s="255">
        <v>0</v>
      </c>
      <c r="Z77" s="255">
        <v>0</v>
      </c>
      <c r="AA77" s="256">
        <v>0</v>
      </c>
      <c r="AB77" s="254">
        <v>0</v>
      </c>
      <c r="AC77" s="255">
        <v>0</v>
      </c>
      <c r="AD77" s="255">
        <v>0</v>
      </c>
      <c r="AE77" s="255">
        <v>0</v>
      </c>
      <c r="AF77" s="257">
        <v>0</v>
      </c>
      <c r="AG77" s="257">
        <v>0</v>
      </c>
      <c r="AH77" s="254">
        <v>0</v>
      </c>
      <c r="AI77" s="255">
        <v>0</v>
      </c>
      <c r="AJ77" s="257">
        <v>0</v>
      </c>
      <c r="AK77" s="254">
        <v>0</v>
      </c>
    </row>
    <row r="78" spans="1:39" s="271" customFormat="1">
      <c r="A78" s="435"/>
      <c r="B78" s="436" t="s">
        <v>59</v>
      </c>
      <c r="C78" s="261">
        <v>1</v>
      </c>
      <c r="D78" s="262">
        <v>1</v>
      </c>
      <c r="E78" s="262">
        <v>1</v>
      </c>
      <c r="F78" s="262">
        <v>1</v>
      </c>
      <c r="G78" s="262">
        <v>0</v>
      </c>
      <c r="H78" s="263">
        <v>1</v>
      </c>
      <c r="I78" s="480">
        <v>1</v>
      </c>
      <c r="J78" s="261">
        <v>0</v>
      </c>
      <c r="K78" s="262">
        <v>1</v>
      </c>
      <c r="L78" s="262">
        <v>1</v>
      </c>
      <c r="M78" s="262">
        <v>1</v>
      </c>
      <c r="N78" s="263">
        <v>0</v>
      </c>
      <c r="O78" s="261">
        <v>1</v>
      </c>
      <c r="P78" s="261">
        <v>0</v>
      </c>
      <c r="Q78" s="262">
        <v>0</v>
      </c>
      <c r="R78" s="263">
        <v>0</v>
      </c>
      <c r="S78" s="261">
        <v>0</v>
      </c>
      <c r="T78" s="264"/>
      <c r="U78" s="265">
        <v>1597</v>
      </c>
      <c r="V78" s="266">
        <v>473</v>
      </c>
      <c r="W78" s="266">
        <v>728</v>
      </c>
      <c r="X78" s="266">
        <v>1715</v>
      </c>
      <c r="Y78" s="266">
        <v>0</v>
      </c>
      <c r="Z78" s="266">
        <v>152</v>
      </c>
      <c r="AA78" s="267">
        <v>4665</v>
      </c>
      <c r="AB78" s="265">
        <v>0</v>
      </c>
      <c r="AC78" s="266">
        <v>1366</v>
      </c>
      <c r="AD78" s="266">
        <v>778</v>
      </c>
      <c r="AE78" s="266">
        <v>240</v>
      </c>
      <c r="AF78" s="268">
        <v>0</v>
      </c>
      <c r="AG78" s="268">
        <v>2384</v>
      </c>
      <c r="AH78" s="265">
        <v>0</v>
      </c>
      <c r="AI78" s="266">
        <v>0</v>
      </c>
      <c r="AJ78" s="268">
        <v>0</v>
      </c>
      <c r="AK78" s="265">
        <v>0</v>
      </c>
      <c r="AL78" s="270"/>
      <c r="AM78" s="270"/>
    </row>
    <row r="79" spans="1:39">
      <c r="A79" s="239" t="s">
        <v>11</v>
      </c>
      <c r="B79" s="240" t="s">
        <v>53</v>
      </c>
      <c r="C79" s="241">
        <v>0.26360103626943004</v>
      </c>
      <c r="D79" s="242">
        <v>0.2111861137897782</v>
      </c>
      <c r="E79" s="242">
        <v>0</v>
      </c>
      <c r="F79" s="242">
        <v>0.23011363636363635</v>
      </c>
      <c r="G79" s="242">
        <v>0.17343173431734318</v>
      </c>
      <c r="H79" s="243">
        <v>0</v>
      </c>
      <c r="I79" s="477">
        <v>0.23533083645443195</v>
      </c>
      <c r="J79" s="241">
        <v>0</v>
      </c>
      <c r="K79" s="242">
        <v>0</v>
      </c>
      <c r="L79" s="242">
        <v>0</v>
      </c>
      <c r="M79" s="242">
        <v>0</v>
      </c>
      <c r="N79" s="243">
        <v>0</v>
      </c>
      <c r="O79" s="241">
        <v>0</v>
      </c>
      <c r="P79" s="342">
        <v>0</v>
      </c>
      <c r="Q79" s="242">
        <v>0</v>
      </c>
      <c r="R79" s="243">
        <v>0</v>
      </c>
      <c r="S79" s="342">
        <v>0</v>
      </c>
      <c r="T79" s="244"/>
      <c r="U79" s="245">
        <v>407</v>
      </c>
      <c r="V79" s="246">
        <v>219</v>
      </c>
      <c r="W79" s="246">
        <v>0</v>
      </c>
      <c r="X79" s="246">
        <v>81</v>
      </c>
      <c r="Y79" s="246">
        <v>47</v>
      </c>
      <c r="Z79" s="246">
        <v>0</v>
      </c>
      <c r="AA79" s="247">
        <v>754</v>
      </c>
      <c r="AB79" s="245">
        <v>0</v>
      </c>
      <c r="AC79" s="246">
        <v>0</v>
      </c>
      <c r="AD79" s="246">
        <v>0</v>
      </c>
      <c r="AE79" s="246">
        <v>0</v>
      </c>
      <c r="AF79" s="248">
        <v>0</v>
      </c>
      <c r="AG79" s="248">
        <v>0</v>
      </c>
      <c r="AH79" s="245">
        <v>0</v>
      </c>
      <c r="AI79" s="246">
        <v>0</v>
      </c>
      <c r="AJ79" s="248">
        <v>0</v>
      </c>
      <c r="AK79" s="245">
        <v>0</v>
      </c>
    </row>
    <row r="80" spans="1:39">
      <c r="A80" s="249"/>
      <c r="B80" s="239" t="s">
        <v>93</v>
      </c>
      <c r="C80" s="250">
        <v>0.21761658031088082</v>
      </c>
      <c r="D80" s="251">
        <v>0.26615236258437802</v>
      </c>
      <c r="E80" s="251">
        <v>0</v>
      </c>
      <c r="F80" s="251">
        <v>0.17613636363636365</v>
      </c>
      <c r="G80" s="251">
        <v>0.13653136531365315</v>
      </c>
      <c r="H80" s="252">
        <v>0</v>
      </c>
      <c r="I80" s="478">
        <v>0.22191011235955055</v>
      </c>
      <c r="J80" s="250">
        <v>0</v>
      </c>
      <c r="K80" s="251">
        <v>0</v>
      </c>
      <c r="L80" s="251">
        <v>0</v>
      </c>
      <c r="M80" s="251">
        <v>0</v>
      </c>
      <c r="N80" s="252">
        <v>0</v>
      </c>
      <c r="O80" s="250">
        <v>0</v>
      </c>
      <c r="P80" s="250">
        <v>0</v>
      </c>
      <c r="Q80" s="251">
        <v>0</v>
      </c>
      <c r="R80" s="252">
        <v>0</v>
      </c>
      <c r="S80" s="250">
        <v>0</v>
      </c>
      <c r="T80" s="253"/>
      <c r="U80" s="254">
        <v>336</v>
      </c>
      <c r="V80" s="255">
        <v>276</v>
      </c>
      <c r="W80" s="255">
        <v>0</v>
      </c>
      <c r="X80" s="255">
        <v>62</v>
      </c>
      <c r="Y80" s="255">
        <v>37</v>
      </c>
      <c r="Z80" s="255">
        <v>0</v>
      </c>
      <c r="AA80" s="256">
        <v>711</v>
      </c>
      <c r="AB80" s="254">
        <v>0</v>
      </c>
      <c r="AC80" s="255">
        <v>0</v>
      </c>
      <c r="AD80" s="255">
        <v>0</v>
      </c>
      <c r="AE80" s="255">
        <v>0</v>
      </c>
      <c r="AF80" s="257">
        <v>0</v>
      </c>
      <c r="AG80" s="257">
        <v>0</v>
      </c>
      <c r="AH80" s="254">
        <v>0</v>
      </c>
      <c r="AI80" s="255">
        <v>0</v>
      </c>
      <c r="AJ80" s="257">
        <v>0</v>
      </c>
      <c r="AK80" s="254">
        <v>0</v>
      </c>
    </row>
    <row r="81" spans="1:39">
      <c r="A81" s="249"/>
      <c r="B81" s="239" t="s">
        <v>55</v>
      </c>
      <c r="C81" s="250">
        <v>0.32836787564766839</v>
      </c>
      <c r="D81" s="251">
        <v>0.35486981677917068</v>
      </c>
      <c r="E81" s="251">
        <v>0</v>
      </c>
      <c r="F81" s="251">
        <v>0.32102272727272729</v>
      </c>
      <c r="G81" s="251">
        <v>0.40221402214022139</v>
      </c>
      <c r="H81" s="252">
        <v>0</v>
      </c>
      <c r="I81" s="478">
        <v>0.34238451935081149</v>
      </c>
      <c r="J81" s="250">
        <v>0</v>
      </c>
      <c r="K81" s="251">
        <v>0</v>
      </c>
      <c r="L81" s="251">
        <v>0</v>
      </c>
      <c r="M81" s="251">
        <v>0</v>
      </c>
      <c r="N81" s="252">
        <v>0</v>
      </c>
      <c r="O81" s="250">
        <v>0</v>
      </c>
      <c r="P81" s="250">
        <v>0</v>
      </c>
      <c r="Q81" s="251">
        <v>0</v>
      </c>
      <c r="R81" s="252">
        <v>0</v>
      </c>
      <c r="S81" s="250">
        <v>0</v>
      </c>
      <c r="T81" s="253"/>
      <c r="U81" s="254">
        <v>507</v>
      </c>
      <c r="V81" s="255">
        <v>368</v>
      </c>
      <c r="W81" s="255">
        <v>0</v>
      </c>
      <c r="X81" s="255">
        <v>113</v>
      </c>
      <c r="Y81" s="255">
        <v>109</v>
      </c>
      <c r="Z81" s="255">
        <v>0</v>
      </c>
      <c r="AA81" s="256">
        <v>1097</v>
      </c>
      <c r="AB81" s="254">
        <v>0</v>
      </c>
      <c r="AC81" s="255">
        <v>0</v>
      </c>
      <c r="AD81" s="255">
        <v>0</v>
      </c>
      <c r="AE81" s="255">
        <v>0</v>
      </c>
      <c r="AF81" s="257">
        <v>0</v>
      </c>
      <c r="AG81" s="257">
        <v>0</v>
      </c>
      <c r="AH81" s="254">
        <v>0</v>
      </c>
      <c r="AI81" s="255">
        <v>0</v>
      </c>
      <c r="AJ81" s="257">
        <v>0</v>
      </c>
      <c r="AK81" s="254">
        <v>0</v>
      </c>
    </row>
    <row r="82" spans="1:39">
      <c r="A82" s="249"/>
      <c r="B82" s="239" t="s">
        <v>78</v>
      </c>
      <c r="C82" s="250">
        <v>0.15867875647668395</v>
      </c>
      <c r="D82" s="251">
        <v>0.16297010607521698</v>
      </c>
      <c r="E82" s="251">
        <v>0</v>
      </c>
      <c r="F82" s="251">
        <v>0.27272727272727271</v>
      </c>
      <c r="G82" s="251">
        <v>0.28782287822878228</v>
      </c>
      <c r="H82" s="252">
        <v>0</v>
      </c>
      <c r="I82" s="478">
        <v>0.18352059925093633</v>
      </c>
      <c r="J82" s="250">
        <v>0</v>
      </c>
      <c r="K82" s="251">
        <v>0</v>
      </c>
      <c r="L82" s="251">
        <v>0</v>
      </c>
      <c r="M82" s="251">
        <v>0</v>
      </c>
      <c r="N82" s="252">
        <v>0</v>
      </c>
      <c r="O82" s="250">
        <v>0</v>
      </c>
      <c r="P82" s="250">
        <v>0</v>
      </c>
      <c r="Q82" s="251">
        <v>0</v>
      </c>
      <c r="R82" s="252">
        <v>0</v>
      </c>
      <c r="S82" s="250">
        <v>0</v>
      </c>
      <c r="T82" s="253"/>
      <c r="U82" s="254">
        <v>245</v>
      </c>
      <c r="V82" s="255">
        <v>169</v>
      </c>
      <c r="W82" s="255">
        <v>0</v>
      </c>
      <c r="X82" s="255">
        <v>96</v>
      </c>
      <c r="Y82" s="255">
        <v>78</v>
      </c>
      <c r="Z82" s="255">
        <v>0</v>
      </c>
      <c r="AA82" s="256">
        <v>588</v>
      </c>
      <c r="AB82" s="254">
        <v>0</v>
      </c>
      <c r="AC82" s="255">
        <v>0</v>
      </c>
      <c r="AD82" s="255">
        <v>0</v>
      </c>
      <c r="AE82" s="255">
        <v>0</v>
      </c>
      <c r="AF82" s="257">
        <v>0</v>
      </c>
      <c r="AG82" s="257">
        <v>0</v>
      </c>
      <c r="AH82" s="254">
        <v>0</v>
      </c>
      <c r="AI82" s="255">
        <v>0</v>
      </c>
      <c r="AJ82" s="257">
        <v>0</v>
      </c>
      <c r="AK82" s="254">
        <v>0</v>
      </c>
    </row>
    <row r="83" spans="1:39">
      <c r="A83" s="249"/>
      <c r="B83" s="239" t="s">
        <v>32</v>
      </c>
      <c r="C83" s="250">
        <v>3.1735751295336789E-2</v>
      </c>
      <c r="D83" s="273">
        <v>4.8216007714561235E-3</v>
      </c>
      <c r="E83" s="251">
        <v>0</v>
      </c>
      <c r="F83" s="251">
        <v>0</v>
      </c>
      <c r="G83" s="251">
        <v>0</v>
      </c>
      <c r="H83" s="252">
        <v>0</v>
      </c>
      <c r="I83" s="478">
        <v>1.6853932584269662E-2</v>
      </c>
      <c r="J83" s="250">
        <v>0</v>
      </c>
      <c r="K83" s="251">
        <v>0</v>
      </c>
      <c r="L83" s="251">
        <v>0</v>
      </c>
      <c r="M83" s="251">
        <v>0</v>
      </c>
      <c r="N83" s="258">
        <v>0</v>
      </c>
      <c r="O83" s="250">
        <v>0</v>
      </c>
      <c r="P83" s="250">
        <v>0</v>
      </c>
      <c r="Q83" s="251">
        <v>0</v>
      </c>
      <c r="R83" s="252">
        <v>0</v>
      </c>
      <c r="S83" s="250">
        <v>0</v>
      </c>
      <c r="T83" s="253"/>
      <c r="U83" s="254">
        <v>49</v>
      </c>
      <c r="V83" s="255">
        <v>5</v>
      </c>
      <c r="W83" s="255">
        <v>0</v>
      </c>
      <c r="X83" s="255">
        <v>0</v>
      </c>
      <c r="Y83" s="255">
        <v>0</v>
      </c>
      <c r="Z83" s="255">
        <v>0</v>
      </c>
      <c r="AA83" s="256">
        <v>54</v>
      </c>
      <c r="AB83" s="254">
        <v>0</v>
      </c>
      <c r="AC83" s="255">
        <v>0</v>
      </c>
      <c r="AD83" s="255">
        <v>0</v>
      </c>
      <c r="AE83" s="255">
        <v>0</v>
      </c>
      <c r="AF83" s="257">
        <v>0</v>
      </c>
      <c r="AG83" s="257">
        <v>0</v>
      </c>
      <c r="AH83" s="254">
        <v>0</v>
      </c>
      <c r="AI83" s="255">
        <v>0</v>
      </c>
      <c r="AJ83" s="257">
        <v>0</v>
      </c>
      <c r="AK83" s="254">
        <v>0</v>
      </c>
    </row>
    <row r="84" spans="1:39">
      <c r="A84" s="249"/>
      <c r="B84" s="239" t="s">
        <v>58</v>
      </c>
      <c r="C84" s="250">
        <v>0</v>
      </c>
      <c r="D84" s="251">
        <v>0</v>
      </c>
      <c r="E84" s="419">
        <v>0</v>
      </c>
      <c r="F84" s="251">
        <v>0</v>
      </c>
      <c r="G84" s="419">
        <v>0</v>
      </c>
      <c r="H84" s="252">
        <v>0</v>
      </c>
      <c r="I84" s="479">
        <v>0</v>
      </c>
      <c r="J84" s="250">
        <v>0</v>
      </c>
      <c r="K84" s="251">
        <v>1</v>
      </c>
      <c r="L84" s="251">
        <v>1</v>
      </c>
      <c r="M84" s="251">
        <v>1</v>
      </c>
      <c r="N84" s="252">
        <v>0</v>
      </c>
      <c r="O84" s="250">
        <v>1</v>
      </c>
      <c r="P84" s="250">
        <v>0</v>
      </c>
      <c r="Q84" s="251">
        <v>0</v>
      </c>
      <c r="R84" s="252">
        <v>0</v>
      </c>
      <c r="S84" s="250">
        <v>0</v>
      </c>
      <c r="T84" s="253"/>
      <c r="U84" s="254">
        <v>0</v>
      </c>
      <c r="V84" s="255">
        <v>0</v>
      </c>
      <c r="W84" s="255">
        <v>0</v>
      </c>
      <c r="X84" s="255">
        <v>0</v>
      </c>
      <c r="Y84" s="255">
        <v>0</v>
      </c>
      <c r="Z84" s="255">
        <v>0</v>
      </c>
      <c r="AA84" s="256">
        <v>0</v>
      </c>
      <c r="AB84" s="254">
        <v>0</v>
      </c>
      <c r="AC84" s="255">
        <v>1010</v>
      </c>
      <c r="AD84" s="255">
        <v>1383.4</v>
      </c>
      <c r="AE84" s="255">
        <v>138</v>
      </c>
      <c r="AF84" s="257">
        <v>0</v>
      </c>
      <c r="AG84" s="257">
        <v>2531.4</v>
      </c>
      <c r="AH84" s="254">
        <v>0</v>
      </c>
      <c r="AI84" s="255">
        <v>0</v>
      </c>
      <c r="AJ84" s="257">
        <v>0</v>
      </c>
      <c r="AK84" s="254">
        <v>0</v>
      </c>
    </row>
    <row r="85" spans="1:39" s="271" customFormat="1">
      <c r="A85" s="435"/>
      <c r="B85" s="436" t="s">
        <v>59</v>
      </c>
      <c r="C85" s="261">
        <v>1</v>
      </c>
      <c r="D85" s="262">
        <v>1</v>
      </c>
      <c r="E85" s="262">
        <v>0</v>
      </c>
      <c r="F85" s="262">
        <v>1</v>
      </c>
      <c r="G85" s="262">
        <v>1</v>
      </c>
      <c r="H85" s="263">
        <v>0</v>
      </c>
      <c r="I85" s="480">
        <v>1</v>
      </c>
      <c r="J85" s="261">
        <v>0</v>
      </c>
      <c r="K85" s="262">
        <v>1</v>
      </c>
      <c r="L85" s="262">
        <v>1</v>
      </c>
      <c r="M85" s="262">
        <v>1</v>
      </c>
      <c r="N85" s="263">
        <v>0</v>
      </c>
      <c r="O85" s="261">
        <v>1</v>
      </c>
      <c r="P85" s="261">
        <v>0</v>
      </c>
      <c r="Q85" s="262">
        <v>0</v>
      </c>
      <c r="R85" s="263">
        <v>0</v>
      </c>
      <c r="S85" s="261">
        <v>0</v>
      </c>
      <c r="T85" s="264"/>
      <c r="U85" s="265">
        <v>1544</v>
      </c>
      <c r="V85" s="266">
        <v>1037</v>
      </c>
      <c r="W85" s="266">
        <v>0</v>
      </c>
      <c r="X85" s="266">
        <v>352</v>
      </c>
      <c r="Y85" s="266">
        <v>271</v>
      </c>
      <c r="Z85" s="266">
        <v>0</v>
      </c>
      <c r="AA85" s="267">
        <v>3204</v>
      </c>
      <c r="AB85" s="265">
        <v>0</v>
      </c>
      <c r="AC85" s="266">
        <v>1010</v>
      </c>
      <c r="AD85" s="266">
        <v>1383.4</v>
      </c>
      <c r="AE85" s="266">
        <v>138</v>
      </c>
      <c r="AF85" s="268">
        <v>0</v>
      </c>
      <c r="AG85" s="268">
        <v>2531.4</v>
      </c>
      <c r="AH85" s="265">
        <v>0</v>
      </c>
      <c r="AI85" s="266">
        <v>0</v>
      </c>
      <c r="AJ85" s="268">
        <v>0</v>
      </c>
      <c r="AK85" s="265">
        <v>0</v>
      </c>
      <c r="AL85" s="270"/>
      <c r="AM85" s="270"/>
    </row>
    <row r="86" spans="1:39">
      <c r="A86" s="239" t="s">
        <v>12</v>
      </c>
      <c r="B86" s="240" t="s">
        <v>53</v>
      </c>
      <c r="C86" s="241">
        <v>0.37472968798270001</v>
      </c>
      <c r="D86" s="242">
        <v>0.22157092614302462</v>
      </c>
      <c r="E86" s="242">
        <v>0.22433035714285715</v>
      </c>
      <c r="F86" s="242">
        <v>0.16053511705685619</v>
      </c>
      <c r="G86" s="242">
        <v>0.11423841059602649</v>
      </c>
      <c r="H86" s="243">
        <v>0.24083769633507854</v>
      </c>
      <c r="I86" s="477">
        <v>0.26538931920097841</v>
      </c>
      <c r="J86" s="241">
        <v>0</v>
      </c>
      <c r="K86" s="242">
        <v>0</v>
      </c>
      <c r="L86" s="242">
        <v>0</v>
      </c>
      <c r="M86" s="242">
        <v>0</v>
      </c>
      <c r="N86" s="243">
        <v>0</v>
      </c>
      <c r="O86" s="241">
        <v>0</v>
      </c>
      <c r="P86" s="342">
        <v>0</v>
      </c>
      <c r="Q86" s="242">
        <v>0</v>
      </c>
      <c r="R86" s="243">
        <v>0</v>
      </c>
      <c r="S86" s="342">
        <v>0</v>
      </c>
      <c r="T86" s="244"/>
      <c r="U86" s="245">
        <v>1213</v>
      </c>
      <c r="V86" s="246">
        <v>378</v>
      </c>
      <c r="W86" s="246">
        <v>804</v>
      </c>
      <c r="X86" s="246">
        <v>48</v>
      </c>
      <c r="Y86" s="246">
        <v>69</v>
      </c>
      <c r="Z86" s="246">
        <v>92</v>
      </c>
      <c r="AA86" s="247">
        <v>2604</v>
      </c>
      <c r="AB86" s="245">
        <v>0</v>
      </c>
      <c r="AC86" s="246">
        <v>0</v>
      </c>
      <c r="AD86" s="246">
        <v>0</v>
      </c>
      <c r="AE86" s="246">
        <v>0</v>
      </c>
      <c r="AF86" s="248">
        <v>0</v>
      </c>
      <c r="AG86" s="248">
        <v>0</v>
      </c>
      <c r="AH86" s="245">
        <v>0</v>
      </c>
      <c r="AI86" s="246">
        <v>0</v>
      </c>
      <c r="AJ86" s="248">
        <v>0</v>
      </c>
      <c r="AK86" s="245">
        <v>0</v>
      </c>
    </row>
    <row r="87" spans="1:39">
      <c r="A87" s="249"/>
      <c r="B87" s="239" t="s">
        <v>93</v>
      </c>
      <c r="C87" s="250">
        <v>0.23138708680877357</v>
      </c>
      <c r="D87" s="251">
        <v>0.25791324736225085</v>
      </c>
      <c r="E87" s="251">
        <v>0.2689732142857143</v>
      </c>
      <c r="F87" s="251">
        <v>0.19732441471571907</v>
      </c>
      <c r="G87" s="251">
        <v>0.27649006622516559</v>
      </c>
      <c r="H87" s="252">
        <v>0.26963350785340312</v>
      </c>
      <c r="I87" s="478">
        <v>0.25295556461475743</v>
      </c>
      <c r="J87" s="250">
        <v>0</v>
      </c>
      <c r="K87" s="251">
        <v>0</v>
      </c>
      <c r="L87" s="251">
        <v>0</v>
      </c>
      <c r="M87" s="251">
        <v>0</v>
      </c>
      <c r="N87" s="252">
        <v>0</v>
      </c>
      <c r="O87" s="250">
        <v>0</v>
      </c>
      <c r="P87" s="250">
        <v>0</v>
      </c>
      <c r="Q87" s="251">
        <v>0</v>
      </c>
      <c r="R87" s="252">
        <v>0</v>
      </c>
      <c r="S87" s="250">
        <v>0</v>
      </c>
      <c r="T87" s="253"/>
      <c r="U87" s="254">
        <v>749</v>
      </c>
      <c r="V87" s="255">
        <v>440</v>
      </c>
      <c r="W87" s="255">
        <v>964</v>
      </c>
      <c r="X87" s="255">
        <v>59</v>
      </c>
      <c r="Y87" s="255">
        <v>167</v>
      </c>
      <c r="Z87" s="255">
        <v>103</v>
      </c>
      <c r="AA87" s="256">
        <v>2482</v>
      </c>
      <c r="AB87" s="254">
        <v>0</v>
      </c>
      <c r="AC87" s="255">
        <v>0</v>
      </c>
      <c r="AD87" s="255">
        <v>0</v>
      </c>
      <c r="AE87" s="255">
        <v>0</v>
      </c>
      <c r="AF87" s="257">
        <v>0</v>
      </c>
      <c r="AG87" s="257">
        <v>0</v>
      </c>
      <c r="AH87" s="254">
        <v>0</v>
      </c>
      <c r="AI87" s="255">
        <v>0</v>
      </c>
      <c r="AJ87" s="257">
        <v>0</v>
      </c>
      <c r="AK87" s="254">
        <v>0</v>
      </c>
    </row>
    <row r="88" spans="1:39">
      <c r="A88" s="249"/>
      <c r="B88" s="239" t="s">
        <v>55</v>
      </c>
      <c r="C88" s="250">
        <v>0.21068890948409022</v>
      </c>
      <c r="D88" s="251">
        <v>0.25263774912075027</v>
      </c>
      <c r="E88" s="251">
        <v>0.28236607142857145</v>
      </c>
      <c r="F88" s="251">
        <v>0.44481605351170567</v>
      </c>
      <c r="G88" s="251">
        <v>0.36258278145695366</v>
      </c>
      <c r="H88" s="252">
        <v>0.23036649214659685</v>
      </c>
      <c r="I88" s="478">
        <v>0.26141459437423564</v>
      </c>
      <c r="J88" s="250">
        <v>0</v>
      </c>
      <c r="K88" s="251">
        <v>0</v>
      </c>
      <c r="L88" s="251">
        <v>0</v>
      </c>
      <c r="M88" s="251">
        <v>0</v>
      </c>
      <c r="N88" s="252">
        <v>0</v>
      </c>
      <c r="O88" s="250">
        <v>0</v>
      </c>
      <c r="P88" s="250">
        <v>0</v>
      </c>
      <c r="Q88" s="251">
        <v>0</v>
      </c>
      <c r="R88" s="252">
        <v>0</v>
      </c>
      <c r="S88" s="250">
        <v>0</v>
      </c>
      <c r="T88" s="253"/>
      <c r="U88" s="254">
        <v>682</v>
      </c>
      <c r="V88" s="255">
        <v>431</v>
      </c>
      <c r="W88" s="255">
        <v>1012</v>
      </c>
      <c r="X88" s="255">
        <v>133</v>
      </c>
      <c r="Y88" s="255">
        <v>219</v>
      </c>
      <c r="Z88" s="255">
        <v>88</v>
      </c>
      <c r="AA88" s="256">
        <v>2565</v>
      </c>
      <c r="AB88" s="254">
        <v>0</v>
      </c>
      <c r="AC88" s="255">
        <v>0</v>
      </c>
      <c r="AD88" s="255">
        <v>0</v>
      </c>
      <c r="AE88" s="255">
        <v>0</v>
      </c>
      <c r="AF88" s="257">
        <v>0</v>
      </c>
      <c r="AG88" s="257">
        <v>0</v>
      </c>
      <c r="AH88" s="254">
        <v>0</v>
      </c>
      <c r="AI88" s="255">
        <v>0</v>
      </c>
      <c r="AJ88" s="257">
        <v>0</v>
      </c>
      <c r="AK88" s="254">
        <v>0</v>
      </c>
    </row>
    <row r="89" spans="1:39">
      <c r="A89" s="249"/>
      <c r="B89" s="239" t="s">
        <v>78</v>
      </c>
      <c r="C89" s="272">
        <v>4.6339202965708986E-3</v>
      </c>
      <c r="D89" s="273">
        <v>4.1031652989449007E-3</v>
      </c>
      <c r="E89" s="251">
        <v>1.3950892857142858E-2</v>
      </c>
      <c r="F89" s="251">
        <v>2.3411371237458192E-2</v>
      </c>
      <c r="G89" s="251">
        <v>4.3046357615894038E-2</v>
      </c>
      <c r="H89" s="252">
        <v>1.0471204188481676E-2</v>
      </c>
      <c r="I89" s="478">
        <v>1.1108846310640033E-2</v>
      </c>
      <c r="J89" s="250">
        <v>0</v>
      </c>
      <c r="K89" s="251">
        <v>0</v>
      </c>
      <c r="L89" s="251">
        <v>0</v>
      </c>
      <c r="M89" s="251">
        <v>0</v>
      </c>
      <c r="N89" s="252">
        <v>0</v>
      </c>
      <c r="O89" s="250">
        <v>0</v>
      </c>
      <c r="P89" s="250">
        <v>0</v>
      </c>
      <c r="Q89" s="251">
        <v>0</v>
      </c>
      <c r="R89" s="252">
        <v>0</v>
      </c>
      <c r="S89" s="250">
        <v>0</v>
      </c>
      <c r="T89" s="253"/>
      <c r="U89" s="254">
        <v>15</v>
      </c>
      <c r="V89" s="255">
        <v>7</v>
      </c>
      <c r="W89" s="255">
        <v>50</v>
      </c>
      <c r="X89" s="255">
        <v>7</v>
      </c>
      <c r="Y89" s="255">
        <v>26</v>
      </c>
      <c r="Z89" s="255">
        <v>4</v>
      </c>
      <c r="AA89" s="256">
        <v>109</v>
      </c>
      <c r="AB89" s="254">
        <v>0</v>
      </c>
      <c r="AC89" s="255">
        <v>0</v>
      </c>
      <c r="AD89" s="255">
        <v>0</v>
      </c>
      <c r="AE89" s="255">
        <v>0</v>
      </c>
      <c r="AF89" s="257">
        <v>0</v>
      </c>
      <c r="AG89" s="257">
        <v>0</v>
      </c>
      <c r="AH89" s="254">
        <v>0</v>
      </c>
      <c r="AI89" s="255">
        <v>0</v>
      </c>
      <c r="AJ89" s="257">
        <v>0</v>
      </c>
      <c r="AK89" s="254">
        <v>0</v>
      </c>
    </row>
    <row r="90" spans="1:39">
      <c r="A90" s="249"/>
      <c r="B90" s="239" t="s">
        <v>32</v>
      </c>
      <c r="C90" s="250">
        <v>0.17856039542786531</v>
      </c>
      <c r="D90" s="251">
        <v>0.26377491207502929</v>
      </c>
      <c r="E90" s="251">
        <v>0.21037946428571427</v>
      </c>
      <c r="F90" s="251">
        <v>0.17391304347826086</v>
      </c>
      <c r="G90" s="251">
        <v>0.20364238410596028</v>
      </c>
      <c r="H90" s="252">
        <v>0.2486910994764398</v>
      </c>
      <c r="I90" s="478">
        <v>0.20913167549938849</v>
      </c>
      <c r="J90" s="250">
        <v>0</v>
      </c>
      <c r="K90" s="251">
        <v>0</v>
      </c>
      <c r="L90" s="251">
        <v>0</v>
      </c>
      <c r="M90" s="251">
        <v>0</v>
      </c>
      <c r="N90" s="258">
        <v>0</v>
      </c>
      <c r="O90" s="250">
        <v>0</v>
      </c>
      <c r="P90" s="250">
        <v>0</v>
      </c>
      <c r="Q90" s="251">
        <v>0</v>
      </c>
      <c r="R90" s="252">
        <v>0</v>
      </c>
      <c r="S90" s="250">
        <v>0</v>
      </c>
      <c r="T90" s="253"/>
      <c r="U90" s="254">
        <v>578</v>
      </c>
      <c r="V90" s="255">
        <v>450</v>
      </c>
      <c r="W90" s="255">
        <v>754</v>
      </c>
      <c r="X90" s="255">
        <v>52</v>
      </c>
      <c r="Y90" s="255">
        <v>123</v>
      </c>
      <c r="Z90" s="255">
        <v>95</v>
      </c>
      <c r="AA90" s="256">
        <v>2052</v>
      </c>
      <c r="AB90" s="254">
        <v>0</v>
      </c>
      <c r="AC90" s="255">
        <v>0</v>
      </c>
      <c r="AD90" s="255">
        <v>0</v>
      </c>
      <c r="AE90" s="255">
        <v>0</v>
      </c>
      <c r="AF90" s="257">
        <v>0</v>
      </c>
      <c r="AG90" s="257">
        <v>0</v>
      </c>
      <c r="AH90" s="254">
        <v>0</v>
      </c>
      <c r="AI90" s="255">
        <v>0</v>
      </c>
      <c r="AJ90" s="257">
        <v>0</v>
      </c>
      <c r="AK90" s="254">
        <v>0</v>
      </c>
    </row>
    <row r="91" spans="1:39">
      <c r="A91" s="249"/>
      <c r="B91" s="239" t="s">
        <v>58</v>
      </c>
      <c r="C91" s="250">
        <v>0</v>
      </c>
      <c r="D91" s="251">
        <v>0</v>
      </c>
      <c r="E91" s="419">
        <v>0</v>
      </c>
      <c r="F91" s="251">
        <v>0</v>
      </c>
      <c r="G91" s="419">
        <v>0</v>
      </c>
      <c r="H91" s="252">
        <v>0</v>
      </c>
      <c r="I91" s="479">
        <v>0</v>
      </c>
      <c r="J91" s="250">
        <v>0</v>
      </c>
      <c r="K91" s="251">
        <v>1</v>
      </c>
      <c r="L91" s="251">
        <v>1</v>
      </c>
      <c r="M91" s="251">
        <v>1</v>
      </c>
      <c r="N91" s="252">
        <v>0</v>
      </c>
      <c r="O91" s="250">
        <v>1</v>
      </c>
      <c r="P91" s="250">
        <v>0</v>
      </c>
      <c r="Q91" s="251">
        <v>0</v>
      </c>
      <c r="R91" s="252">
        <v>0</v>
      </c>
      <c r="S91" s="250">
        <v>0</v>
      </c>
      <c r="T91" s="253"/>
      <c r="U91" s="254">
        <v>0</v>
      </c>
      <c r="V91" s="255">
        <v>0</v>
      </c>
      <c r="W91" s="255">
        <v>0</v>
      </c>
      <c r="X91" s="255">
        <v>0</v>
      </c>
      <c r="Y91" s="255">
        <v>0</v>
      </c>
      <c r="Z91" s="255">
        <v>0</v>
      </c>
      <c r="AA91" s="256">
        <v>0</v>
      </c>
      <c r="AB91" s="254">
        <v>0</v>
      </c>
      <c r="AC91" s="255">
        <v>2449</v>
      </c>
      <c r="AD91" s="255">
        <v>2707</v>
      </c>
      <c r="AE91" s="255">
        <v>536</v>
      </c>
      <c r="AF91" s="257">
        <v>0</v>
      </c>
      <c r="AG91" s="257">
        <v>5692</v>
      </c>
      <c r="AH91" s="254">
        <v>0</v>
      </c>
      <c r="AI91" s="255">
        <v>0</v>
      </c>
      <c r="AJ91" s="257">
        <v>0</v>
      </c>
      <c r="AK91" s="254">
        <v>0</v>
      </c>
    </row>
    <row r="92" spans="1:39" s="271" customFormat="1">
      <c r="A92" s="435"/>
      <c r="B92" s="436" t="s">
        <v>59</v>
      </c>
      <c r="C92" s="261">
        <v>1</v>
      </c>
      <c r="D92" s="262">
        <v>1</v>
      </c>
      <c r="E92" s="262">
        <v>1</v>
      </c>
      <c r="F92" s="262">
        <v>1</v>
      </c>
      <c r="G92" s="262">
        <v>1</v>
      </c>
      <c r="H92" s="263">
        <v>1</v>
      </c>
      <c r="I92" s="480">
        <v>1</v>
      </c>
      <c r="J92" s="261">
        <v>0</v>
      </c>
      <c r="K92" s="262">
        <v>1</v>
      </c>
      <c r="L92" s="262">
        <v>1</v>
      </c>
      <c r="M92" s="262">
        <v>1</v>
      </c>
      <c r="N92" s="263">
        <v>0</v>
      </c>
      <c r="O92" s="261">
        <v>1</v>
      </c>
      <c r="P92" s="261">
        <v>0</v>
      </c>
      <c r="Q92" s="262">
        <v>0</v>
      </c>
      <c r="R92" s="263">
        <v>0</v>
      </c>
      <c r="S92" s="261">
        <v>0</v>
      </c>
      <c r="T92" s="264"/>
      <c r="U92" s="265">
        <v>3237</v>
      </c>
      <c r="V92" s="266">
        <v>1706</v>
      </c>
      <c r="W92" s="266">
        <v>3584</v>
      </c>
      <c r="X92" s="266">
        <v>299</v>
      </c>
      <c r="Y92" s="266">
        <v>604</v>
      </c>
      <c r="Z92" s="266">
        <v>382</v>
      </c>
      <c r="AA92" s="267">
        <v>9812</v>
      </c>
      <c r="AB92" s="265">
        <v>0</v>
      </c>
      <c r="AC92" s="266">
        <v>2449</v>
      </c>
      <c r="AD92" s="266">
        <v>2707</v>
      </c>
      <c r="AE92" s="266">
        <v>536</v>
      </c>
      <c r="AF92" s="268">
        <v>0</v>
      </c>
      <c r="AG92" s="268">
        <v>5692</v>
      </c>
      <c r="AH92" s="265">
        <v>0</v>
      </c>
      <c r="AI92" s="266">
        <v>0</v>
      </c>
      <c r="AJ92" s="268">
        <v>0</v>
      </c>
      <c r="AK92" s="265">
        <v>0</v>
      </c>
      <c r="AL92" s="270"/>
      <c r="AM92" s="270"/>
    </row>
    <row r="93" spans="1:39">
      <c r="A93" s="239" t="s">
        <v>13</v>
      </c>
      <c r="B93" s="240" t="s">
        <v>53</v>
      </c>
      <c r="C93" s="241">
        <v>0.32500000000000001</v>
      </c>
      <c r="D93" s="242">
        <v>0</v>
      </c>
      <c r="E93" s="242">
        <v>0.29506008010680906</v>
      </c>
      <c r="F93" s="242">
        <v>0</v>
      </c>
      <c r="G93" s="242">
        <v>0.21734357848518113</v>
      </c>
      <c r="H93" s="243">
        <v>0.17391304347826086</v>
      </c>
      <c r="I93" s="477">
        <v>0.28642039542143599</v>
      </c>
      <c r="J93" s="241">
        <v>0</v>
      </c>
      <c r="K93" s="242">
        <v>0</v>
      </c>
      <c r="L93" s="242">
        <v>0</v>
      </c>
      <c r="M93" s="242">
        <v>0</v>
      </c>
      <c r="N93" s="243">
        <v>0</v>
      </c>
      <c r="O93" s="241">
        <v>0</v>
      </c>
      <c r="P93" s="342">
        <v>0</v>
      </c>
      <c r="Q93" s="242">
        <v>0</v>
      </c>
      <c r="R93" s="243">
        <v>0</v>
      </c>
      <c r="S93" s="342">
        <v>0</v>
      </c>
      <c r="T93" s="244"/>
      <c r="U93" s="245">
        <v>650</v>
      </c>
      <c r="V93" s="246">
        <v>0</v>
      </c>
      <c r="W93" s="246">
        <v>221</v>
      </c>
      <c r="X93" s="246">
        <v>0</v>
      </c>
      <c r="Y93" s="246">
        <v>198</v>
      </c>
      <c r="Z93" s="246">
        <v>32</v>
      </c>
      <c r="AA93" s="247">
        <v>1101</v>
      </c>
      <c r="AB93" s="245">
        <v>0</v>
      </c>
      <c r="AC93" s="246">
        <v>0</v>
      </c>
      <c r="AD93" s="246">
        <v>0</v>
      </c>
      <c r="AE93" s="246">
        <v>0</v>
      </c>
      <c r="AF93" s="248">
        <v>0</v>
      </c>
      <c r="AG93" s="248">
        <v>0</v>
      </c>
      <c r="AH93" s="245">
        <v>0</v>
      </c>
      <c r="AI93" s="246">
        <v>0</v>
      </c>
      <c r="AJ93" s="248">
        <v>0</v>
      </c>
      <c r="AK93" s="245">
        <v>0</v>
      </c>
    </row>
    <row r="94" spans="1:39">
      <c r="A94" s="249"/>
      <c r="B94" s="239" t="s">
        <v>93</v>
      </c>
      <c r="C94" s="250">
        <v>0.27550000000000002</v>
      </c>
      <c r="D94" s="251">
        <v>0</v>
      </c>
      <c r="E94" s="251">
        <v>0.17089452603471295</v>
      </c>
      <c r="F94" s="251">
        <v>0</v>
      </c>
      <c r="G94" s="251">
        <v>0.18551042810098792</v>
      </c>
      <c r="H94" s="252">
        <v>0.11956521739130435</v>
      </c>
      <c r="I94" s="478">
        <v>0.22632674297606659</v>
      </c>
      <c r="J94" s="250">
        <v>0</v>
      </c>
      <c r="K94" s="251">
        <v>0</v>
      </c>
      <c r="L94" s="251">
        <v>0</v>
      </c>
      <c r="M94" s="251">
        <v>0</v>
      </c>
      <c r="N94" s="252">
        <v>0</v>
      </c>
      <c r="O94" s="272">
        <v>0</v>
      </c>
      <c r="P94" s="250">
        <v>0</v>
      </c>
      <c r="Q94" s="251">
        <v>0</v>
      </c>
      <c r="R94" s="252">
        <v>0</v>
      </c>
      <c r="S94" s="250">
        <v>0</v>
      </c>
      <c r="T94" s="253"/>
      <c r="U94" s="254">
        <v>551</v>
      </c>
      <c r="V94" s="255">
        <v>0</v>
      </c>
      <c r="W94" s="255">
        <v>128</v>
      </c>
      <c r="X94" s="255">
        <v>0</v>
      </c>
      <c r="Y94" s="255">
        <v>169</v>
      </c>
      <c r="Z94" s="255">
        <v>22</v>
      </c>
      <c r="AA94" s="256">
        <v>870</v>
      </c>
      <c r="AB94" s="254">
        <v>0</v>
      </c>
      <c r="AC94" s="255">
        <v>0</v>
      </c>
      <c r="AD94" s="255">
        <v>0</v>
      </c>
      <c r="AE94" s="255">
        <v>0</v>
      </c>
      <c r="AF94" s="257">
        <v>0</v>
      </c>
      <c r="AG94" s="257">
        <v>0</v>
      </c>
      <c r="AH94" s="254">
        <v>0</v>
      </c>
      <c r="AI94" s="255">
        <v>0</v>
      </c>
      <c r="AJ94" s="257">
        <v>0</v>
      </c>
      <c r="AK94" s="254">
        <v>0</v>
      </c>
    </row>
    <row r="95" spans="1:39">
      <c r="A95" s="249"/>
      <c r="B95" s="239" t="s">
        <v>55</v>
      </c>
      <c r="C95" s="250">
        <v>0.26750000000000002</v>
      </c>
      <c r="D95" s="251">
        <v>0</v>
      </c>
      <c r="E95" s="251">
        <v>0.27236315086782376</v>
      </c>
      <c r="F95" s="251">
        <v>0</v>
      </c>
      <c r="G95" s="251">
        <v>0.32162458836443469</v>
      </c>
      <c r="H95" s="252">
        <v>0.3641304347826087</v>
      </c>
      <c r="I95" s="478">
        <v>0.28590010405827265</v>
      </c>
      <c r="J95" s="250">
        <v>0</v>
      </c>
      <c r="K95" s="251">
        <v>0</v>
      </c>
      <c r="L95" s="251">
        <v>0</v>
      </c>
      <c r="M95" s="251">
        <v>0</v>
      </c>
      <c r="N95" s="252">
        <v>0</v>
      </c>
      <c r="O95" s="250">
        <v>0</v>
      </c>
      <c r="P95" s="250">
        <v>0</v>
      </c>
      <c r="Q95" s="251">
        <v>0</v>
      </c>
      <c r="R95" s="252">
        <v>0</v>
      </c>
      <c r="S95" s="250">
        <v>0</v>
      </c>
      <c r="T95" s="253"/>
      <c r="U95" s="254">
        <v>535</v>
      </c>
      <c r="V95" s="255">
        <v>0</v>
      </c>
      <c r="W95" s="255">
        <v>204</v>
      </c>
      <c r="X95" s="255">
        <v>0</v>
      </c>
      <c r="Y95" s="255">
        <v>293</v>
      </c>
      <c r="Z95" s="255">
        <v>67</v>
      </c>
      <c r="AA95" s="256">
        <v>1099</v>
      </c>
      <c r="AB95" s="254">
        <v>0</v>
      </c>
      <c r="AC95" s="255">
        <v>0</v>
      </c>
      <c r="AD95" s="255">
        <v>0</v>
      </c>
      <c r="AE95" s="255">
        <v>0</v>
      </c>
      <c r="AF95" s="257">
        <v>0</v>
      </c>
      <c r="AG95" s="257">
        <v>0</v>
      </c>
      <c r="AH95" s="254">
        <v>0</v>
      </c>
      <c r="AI95" s="255">
        <v>0</v>
      </c>
      <c r="AJ95" s="257">
        <v>0</v>
      </c>
      <c r="AK95" s="254">
        <v>0</v>
      </c>
    </row>
    <row r="96" spans="1:39">
      <c r="A96" s="249"/>
      <c r="B96" s="239" t="s">
        <v>78</v>
      </c>
      <c r="C96" s="250">
        <v>0.13200000000000001</v>
      </c>
      <c r="D96" s="251">
        <v>0</v>
      </c>
      <c r="E96" s="251">
        <v>0.26168224299065418</v>
      </c>
      <c r="F96" s="251">
        <v>0</v>
      </c>
      <c r="G96" s="251">
        <v>0.27552140504939626</v>
      </c>
      <c r="H96" s="252">
        <v>0.34239130434782611</v>
      </c>
      <c r="I96" s="478">
        <v>0.20135275754422477</v>
      </c>
      <c r="J96" s="250">
        <v>0</v>
      </c>
      <c r="K96" s="251">
        <v>0</v>
      </c>
      <c r="L96" s="251">
        <v>0</v>
      </c>
      <c r="M96" s="251">
        <v>0</v>
      </c>
      <c r="N96" s="252">
        <v>0</v>
      </c>
      <c r="O96" s="250">
        <v>0</v>
      </c>
      <c r="P96" s="250">
        <v>0</v>
      </c>
      <c r="Q96" s="251">
        <v>0</v>
      </c>
      <c r="R96" s="252">
        <v>0</v>
      </c>
      <c r="S96" s="250">
        <v>0</v>
      </c>
      <c r="T96" s="253"/>
      <c r="U96" s="254">
        <v>264</v>
      </c>
      <c r="V96" s="255">
        <v>0</v>
      </c>
      <c r="W96" s="255">
        <v>196</v>
      </c>
      <c r="X96" s="255">
        <v>0</v>
      </c>
      <c r="Y96" s="255">
        <v>251</v>
      </c>
      <c r="Z96" s="255">
        <v>63</v>
      </c>
      <c r="AA96" s="256">
        <v>774</v>
      </c>
      <c r="AB96" s="254">
        <v>0</v>
      </c>
      <c r="AC96" s="255">
        <v>0</v>
      </c>
      <c r="AD96" s="255">
        <v>0</v>
      </c>
      <c r="AE96" s="255">
        <v>0</v>
      </c>
      <c r="AF96" s="257">
        <v>0</v>
      </c>
      <c r="AG96" s="257">
        <v>0</v>
      </c>
      <c r="AH96" s="254">
        <v>0</v>
      </c>
      <c r="AI96" s="255">
        <v>0</v>
      </c>
      <c r="AJ96" s="257">
        <v>0</v>
      </c>
      <c r="AK96" s="254">
        <v>0</v>
      </c>
    </row>
    <row r="97" spans="1:39">
      <c r="A97" s="249"/>
      <c r="B97" s="239" t="s">
        <v>32</v>
      </c>
      <c r="C97" s="250">
        <v>0</v>
      </c>
      <c r="D97" s="251">
        <v>0</v>
      </c>
      <c r="E97" s="251">
        <v>0</v>
      </c>
      <c r="F97" s="251">
        <v>0</v>
      </c>
      <c r="G97" s="251">
        <v>0</v>
      </c>
      <c r="H97" s="252">
        <v>0</v>
      </c>
      <c r="I97" s="478">
        <v>0</v>
      </c>
      <c r="J97" s="250">
        <v>0</v>
      </c>
      <c r="K97" s="251">
        <v>0</v>
      </c>
      <c r="L97" s="251">
        <v>0</v>
      </c>
      <c r="M97" s="251">
        <v>0</v>
      </c>
      <c r="N97" s="258">
        <v>0</v>
      </c>
      <c r="O97" s="250">
        <v>0</v>
      </c>
      <c r="P97" s="250">
        <v>0</v>
      </c>
      <c r="Q97" s="251">
        <v>0</v>
      </c>
      <c r="R97" s="252">
        <v>0</v>
      </c>
      <c r="S97" s="250">
        <v>0</v>
      </c>
      <c r="T97" s="253"/>
      <c r="U97" s="254">
        <v>0</v>
      </c>
      <c r="V97" s="255">
        <v>0</v>
      </c>
      <c r="W97" s="255">
        <v>0</v>
      </c>
      <c r="X97" s="255">
        <v>0</v>
      </c>
      <c r="Y97" s="255">
        <v>0</v>
      </c>
      <c r="Z97" s="255">
        <v>0</v>
      </c>
      <c r="AA97" s="256">
        <v>0</v>
      </c>
      <c r="AB97" s="254">
        <v>0</v>
      </c>
      <c r="AC97" s="255">
        <v>0</v>
      </c>
      <c r="AD97" s="255">
        <v>0</v>
      </c>
      <c r="AE97" s="255">
        <v>0</v>
      </c>
      <c r="AF97" s="257">
        <v>0</v>
      </c>
      <c r="AG97" s="257">
        <v>0</v>
      </c>
      <c r="AH97" s="254">
        <v>0</v>
      </c>
      <c r="AI97" s="255">
        <v>0</v>
      </c>
      <c r="AJ97" s="257">
        <v>0</v>
      </c>
      <c r="AK97" s="254">
        <v>0</v>
      </c>
    </row>
    <row r="98" spans="1:39">
      <c r="A98" s="249"/>
      <c r="B98" s="239" t="s">
        <v>58</v>
      </c>
      <c r="C98" s="250">
        <v>0</v>
      </c>
      <c r="D98" s="251">
        <v>0</v>
      </c>
      <c r="E98" s="419">
        <v>0</v>
      </c>
      <c r="F98" s="251">
        <v>0</v>
      </c>
      <c r="G98" s="419">
        <v>0</v>
      </c>
      <c r="H98" s="252">
        <v>0</v>
      </c>
      <c r="I98" s="479">
        <v>0</v>
      </c>
      <c r="J98" s="250">
        <v>0</v>
      </c>
      <c r="K98" s="251">
        <v>1</v>
      </c>
      <c r="L98" s="251">
        <v>1</v>
      </c>
      <c r="M98" s="251">
        <v>1</v>
      </c>
      <c r="N98" s="252">
        <v>0</v>
      </c>
      <c r="O98" s="250">
        <v>1</v>
      </c>
      <c r="P98" s="250">
        <v>1</v>
      </c>
      <c r="Q98" s="251">
        <v>1</v>
      </c>
      <c r="R98" s="252">
        <v>0</v>
      </c>
      <c r="S98" s="250">
        <v>1</v>
      </c>
      <c r="T98" s="253"/>
      <c r="U98" s="254">
        <v>0</v>
      </c>
      <c r="V98" s="255">
        <v>0</v>
      </c>
      <c r="W98" s="255">
        <v>0</v>
      </c>
      <c r="X98" s="255">
        <v>0</v>
      </c>
      <c r="Y98" s="255">
        <v>0</v>
      </c>
      <c r="Z98" s="255">
        <v>0</v>
      </c>
      <c r="AA98" s="256">
        <v>0</v>
      </c>
      <c r="AB98" s="254">
        <v>0</v>
      </c>
      <c r="AC98" s="255">
        <v>429</v>
      </c>
      <c r="AD98" s="255">
        <v>408</v>
      </c>
      <c r="AE98" s="255">
        <v>398</v>
      </c>
      <c r="AF98" s="257">
        <v>0</v>
      </c>
      <c r="AG98" s="257">
        <v>1235</v>
      </c>
      <c r="AH98" s="254">
        <v>274</v>
      </c>
      <c r="AI98" s="255">
        <v>885</v>
      </c>
      <c r="AJ98" s="257">
        <v>0</v>
      </c>
      <c r="AK98" s="254">
        <v>1159</v>
      </c>
    </row>
    <row r="99" spans="1:39" s="271" customFormat="1">
      <c r="A99" s="435"/>
      <c r="B99" s="436" t="s">
        <v>59</v>
      </c>
      <c r="C99" s="261">
        <v>1</v>
      </c>
      <c r="D99" s="262">
        <v>0</v>
      </c>
      <c r="E99" s="262">
        <v>1</v>
      </c>
      <c r="F99" s="262">
        <v>0</v>
      </c>
      <c r="G99" s="262">
        <v>1</v>
      </c>
      <c r="H99" s="263">
        <v>1</v>
      </c>
      <c r="I99" s="480">
        <v>1</v>
      </c>
      <c r="J99" s="261">
        <v>0</v>
      </c>
      <c r="K99" s="262">
        <v>1</v>
      </c>
      <c r="L99" s="262">
        <v>1</v>
      </c>
      <c r="M99" s="262">
        <v>1</v>
      </c>
      <c r="N99" s="263">
        <v>0</v>
      </c>
      <c r="O99" s="261">
        <v>1</v>
      </c>
      <c r="P99" s="261">
        <v>1</v>
      </c>
      <c r="Q99" s="262">
        <v>1</v>
      </c>
      <c r="R99" s="263">
        <v>0</v>
      </c>
      <c r="S99" s="261">
        <v>1</v>
      </c>
      <c r="T99" s="264"/>
      <c r="U99" s="265">
        <v>2000</v>
      </c>
      <c r="V99" s="266">
        <v>0</v>
      </c>
      <c r="W99" s="266">
        <v>749</v>
      </c>
      <c r="X99" s="266">
        <v>0</v>
      </c>
      <c r="Y99" s="266">
        <v>911</v>
      </c>
      <c r="Z99" s="266">
        <v>184</v>
      </c>
      <c r="AA99" s="267">
        <v>3844</v>
      </c>
      <c r="AB99" s="265">
        <v>0</v>
      </c>
      <c r="AC99" s="266">
        <v>429</v>
      </c>
      <c r="AD99" s="266">
        <v>408</v>
      </c>
      <c r="AE99" s="266">
        <v>398</v>
      </c>
      <c r="AF99" s="268">
        <v>0</v>
      </c>
      <c r="AG99" s="268">
        <v>1235</v>
      </c>
      <c r="AH99" s="265">
        <v>274</v>
      </c>
      <c r="AI99" s="266">
        <v>885</v>
      </c>
      <c r="AJ99" s="268">
        <v>0</v>
      </c>
      <c r="AK99" s="265">
        <v>1159</v>
      </c>
      <c r="AL99" s="270"/>
      <c r="AM99" s="270"/>
    </row>
    <row r="100" spans="1:39">
      <c r="A100" s="239" t="s">
        <v>14</v>
      </c>
      <c r="B100" s="240" t="s">
        <v>53</v>
      </c>
      <c r="C100" s="241">
        <v>0.3026487190620929</v>
      </c>
      <c r="D100" s="242">
        <v>0</v>
      </c>
      <c r="E100" s="242">
        <v>0.23687580025608196</v>
      </c>
      <c r="F100" s="242">
        <v>0.3652694610778443</v>
      </c>
      <c r="G100" s="242">
        <v>0.21664626682986537</v>
      </c>
      <c r="H100" s="243">
        <v>0.19101123595505617</v>
      </c>
      <c r="I100" s="477">
        <v>0.26853526220614826</v>
      </c>
      <c r="J100" s="241">
        <v>0.1875</v>
      </c>
      <c r="K100" s="242">
        <v>0</v>
      </c>
      <c r="L100" s="242">
        <v>0</v>
      </c>
      <c r="M100" s="242">
        <v>5.7851239669421489E-2</v>
      </c>
      <c r="N100" s="243">
        <v>0</v>
      </c>
      <c r="O100" s="241">
        <v>1.1263467189030362E-2</v>
      </c>
      <c r="P100" s="342">
        <v>0</v>
      </c>
      <c r="Q100" s="242">
        <v>0</v>
      </c>
      <c r="R100" s="243">
        <v>0</v>
      </c>
      <c r="S100" s="342">
        <v>0</v>
      </c>
      <c r="T100" s="244"/>
      <c r="U100" s="245">
        <v>697</v>
      </c>
      <c r="V100" s="246">
        <v>0</v>
      </c>
      <c r="W100" s="246">
        <v>185</v>
      </c>
      <c r="X100" s="246">
        <v>61</v>
      </c>
      <c r="Y100" s="246">
        <v>177</v>
      </c>
      <c r="Z100" s="246">
        <v>68</v>
      </c>
      <c r="AA100" s="247">
        <v>1188</v>
      </c>
      <c r="AB100" s="245">
        <v>9</v>
      </c>
      <c r="AC100" s="246">
        <v>0</v>
      </c>
      <c r="AD100" s="246">
        <v>0</v>
      </c>
      <c r="AE100" s="246">
        <v>14</v>
      </c>
      <c r="AF100" s="248">
        <v>0</v>
      </c>
      <c r="AG100" s="248">
        <v>23</v>
      </c>
      <c r="AH100" s="245">
        <v>0</v>
      </c>
      <c r="AI100" s="246">
        <v>0</v>
      </c>
      <c r="AJ100" s="248">
        <v>0</v>
      </c>
      <c r="AK100" s="245">
        <v>0</v>
      </c>
    </row>
    <row r="101" spans="1:39">
      <c r="A101" s="249"/>
      <c r="B101" s="239" t="s">
        <v>93</v>
      </c>
      <c r="C101" s="250">
        <v>0.23881893182805036</v>
      </c>
      <c r="D101" s="251">
        <v>0</v>
      </c>
      <c r="E101" s="251">
        <v>0.31754161331626118</v>
      </c>
      <c r="F101" s="251">
        <v>0.28143712574850299</v>
      </c>
      <c r="G101" s="251">
        <v>0.23011015911872704</v>
      </c>
      <c r="H101" s="252">
        <v>0.199438202247191</v>
      </c>
      <c r="I101" s="478">
        <v>0.24954792043399637</v>
      </c>
      <c r="J101" s="250">
        <v>0.3125</v>
      </c>
      <c r="K101" s="251">
        <v>0</v>
      </c>
      <c r="L101" s="251">
        <v>0</v>
      </c>
      <c r="M101" s="251">
        <v>0.10743801652892562</v>
      </c>
      <c r="N101" s="252">
        <v>0</v>
      </c>
      <c r="O101" s="250">
        <v>2.0078354554358472E-2</v>
      </c>
      <c r="P101" s="250">
        <v>0</v>
      </c>
      <c r="Q101" s="251">
        <v>0</v>
      </c>
      <c r="R101" s="252">
        <v>0</v>
      </c>
      <c r="S101" s="250">
        <v>0</v>
      </c>
      <c r="T101" s="253"/>
      <c r="U101" s="254">
        <v>550</v>
      </c>
      <c r="V101" s="255">
        <v>0</v>
      </c>
      <c r="W101" s="255">
        <v>248</v>
      </c>
      <c r="X101" s="255">
        <v>47</v>
      </c>
      <c r="Y101" s="255">
        <v>188</v>
      </c>
      <c r="Z101" s="255">
        <v>71</v>
      </c>
      <c r="AA101" s="256">
        <v>1104</v>
      </c>
      <c r="AB101" s="254">
        <v>15</v>
      </c>
      <c r="AC101" s="255">
        <v>0</v>
      </c>
      <c r="AD101" s="255">
        <v>0</v>
      </c>
      <c r="AE101" s="255">
        <v>26</v>
      </c>
      <c r="AF101" s="257">
        <v>0</v>
      </c>
      <c r="AG101" s="257">
        <v>41</v>
      </c>
      <c r="AH101" s="254">
        <v>0</v>
      </c>
      <c r="AI101" s="255">
        <v>0</v>
      </c>
      <c r="AJ101" s="257">
        <v>0</v>
      </c>
      <c r="AK101" s="254">
        <v>0</v>
      </c>
    </row>
    <row r="102" spans="1:39">
      <c r="A102" s="249"/>
      <c r="B102" s="239" t="s">
        <v>55</v>
      </c>
      <c r="C102" s="250">
        <v>0.29396439426834564</v>
      </c>
      <c r="D102" s="251">
        <v>0</v>
      </c>
      <c r="E102" s="251">
        <v>0.32906530089628683</v>
      </c>
      <c r="F102" s="251">
        <v>0.3532934131736527</v>
      </c>
      <c r="G102" s="251">
        <v>0.39902080783353733</v>
      </c>
      <c r="H102" s="252">
        <v>0.3146067415730337</v>
      </c>
      <c r="I102" s="478">
        <v>0.32346292947558769</v>
      </c>
      <c r="J102" s="250">
        <v>0.20833333333333334</v>
      </c>
      <c r="K102" s="251">
        <v>0</v>
      </c>
      <c r="L102" s="251">
        <v>0</v>
      </c>
      <c r="M102" s="251">
        <v>0.13636363636363635</v>
      </c>
      <c r="N102" s="252">
        <v>0</v>
      </c>
      <c r="O102" s="250">
        <v>2.1057786483839373E-2</v>
      </c>
      <c r="P102" s="250">
        <v>0</v>
      </c>
      <c r="Q102" s="251">
        <v>0</v>
      </c>
      <c r="R102" s="252">
        <v>0</v>
      </c>
      <c r="S102" s="250">
        <v>0</v>
      </c>
      <c r="T102" s="253"/>
      <c r="U102" s="254">
        <v>677</v>
      </c>
      <c r="V102" s="255">
        <v>0</v>
      </c>
      <c r="W102" s="255">
        <v>257</v>
      </c>
      <c r="X102" s="255">
        <v>59</v>
      </c>
      <c r="Y102" s="255">
        <v>326</v>
      </c>
      <c r="Z102" s="255">
        <v>112</v>
      </c>
      <c r="AA102" s="256">
        <v>1431</v>
      </c>
      <c r="AB102" s="254">
        <v>10</v>
      </c>
      <c r="AC102" s="255">
        <v>0</v>
      </c>
      <c r="AD102" s="255">
        <v>0</v>
      </c>
      <c r="AE102" s="255">
        <v>33</v>
      </c>
      <c r="AF102" s="257">
        <v>0</v>
      </c>
      <c r="AG102" s="257">
        <v>43</v>
      </c>
      <c r="AH102" s="254">
        <v>0</v>
      </c>
      <c r="AI102" s="255">
        <v>0</v>
      </c>
      <c r="AJ102" s="257">
        <v>0</v>
      </c>
      <c r="AK102" s="254">
        <v>0</v>
      </c>
    </row>
    <row r="103" spans="1:39">
      <c r="A103" s="249"/>
      <c r="B103" s="239" t="s">
        <v>78</v>
      </c>
      <c r="C103" s="250">
        <v>6.2961354754667825E-2</v>
      </c>
      <c r="D103" s="251">
        <v>0</v>
      </c>
      <c r="E103" s="251">
        <v>0.11395646606914213</v>
      </c>
      <c r="F103" s="251">
        <v>0</v>
      </c>
      <c r="G103" s="251">
        <v>0.11383108935128519</v>
      </c>
      <c r="H103" s="252">
        <v>0.2949438202247191</v>
      </c>
      <c r="I103" s="478">
        <v>9.7649186256781192E-2</v>
      </c>
      <c r="J103" s="250">
        <v>0.29166666666666669</v>
      </c>
      <c r="K103" s="251">
        <v>0</v>
      </c>
      <c r="L103" s="251">
        <v>0</v>
      </c>
      <c r="M103" s="251">
        <v>0.13636363636363635</v>
      </c>
      <c r="N103" s="252">
        <v>0</v>
      </c>
      <c r="O103" s="250">
        <v>2.3016650342801176E-2</v>
      </c>
      <c r="P103" s="250">
        <v>0</v>
      </c>
      <c r="Q103" s="251">
        <v>0</v>
      </c>
      <c r="R103" s="252">
        <v>0</v>
      </c>
      <c r="S103" s="250">
        <v>0</v>
      </c>
      <c r="T103" s="253"/>
      <c r="U103" s="254">
        <v>145</v>
      </c>
      <c r="V103" s="255">
        <v>0</v>
      </c>
      <c r="W103" s="255">
        <v>89</v>
      </c>
      <c r="X103" s="255">
        <v>0</v>
      </c>
      <c r="Y103" s="255">
        <v>93</v>
      </c>
      <c r="Z103" s="255">
        <v>105</v>
      </c>
      <c r="AA103" s="256">
        <v>432</v>
      </c>
      <c r="AB103" s="254">
        <v>14</v>
      </c>
      <c r="AC103" s="255">
        <v>0</v>
      </c>
      <c r="AD103" s="255">
        <v>0</v>
      </c>
      <c r="AE103" s="255">
        <v>33</v>
      </c>
      <c r="AF103" s="257">
        <v>0</v>
      </c>
      <c r="AG103" s="257">
        <v>47</v>
      </c>
      <c r="AH103" s="254">
        <v>0</v>
      </c>
      <c r="AI103" s="255">
        <v>0</v>
      </c>
      <c r="AJ103" s="257">
        <v>0</v>
      </c>
      <c r="AK103" s="254">
        <v>0</v>
      </c>
    </row>
    <row r="104" spans="1:39">
      <c r="A104" s="249"/>
      <c r="B104" s="239" t="s">
        <v>32</v>
      </c>
      <c r="C104" s="250">
        <v>0.10160660008684325</v>
      </c>
      <c r="D104" s="251">
        <v>0</v>
      </c>
      <c r="E104" s="273">
        <v>2.5608194622279128E-3</v>
      </c>
      <c r="F104" s="251">
        <v>0</v>
      </c>
      <c r="G104" s="251">
        <v>4.0391676866585069E-2</v>
      </c>
      <c r="H104" s="252">
        <v>0</v>
      </c>
      <c r="I104" s="478">
        <v>6.080470162748644E-2</v>
      </c>
      <c r="J104" s="250">
        <v>0</v>
      </c>
      <c r="K104" s="251">
        <v>1</v>
      </c>
      <c r="L104" s="251">
        <v>1</v>
      </c>
      <c r="M104" s="251">
        <v>0.56198347107438018</v>
      </c>
      <c r="N104" s="258">
        <v>0</v>
      </c>
      <c r="O104" s="250">
        <v>0.92458374142997057</v>
      </c>
      <c r="P104" s="250">
        <v>0</v>
      </c>
      <c r="Q104" s="251">
        <v>0</v>
      </c>
      <c r="R104" s="252">
        <v>0</v>
      </c>
      <c r="S104" s="250">
        <v>0</v>
      </c>
      <c r="T104" s="253"/>
      <c r="U104" s="254">
        <v>234</v>
      </c>
      <c r="V104" s="255">
        <v>0</v>
      </c>
      <c r="W104" s="255">
        <v>2</v>
      </c>
      <c r="X104" s="255">
        <v>0</v>
      </c>
      <c r="Y104" s="255">
        <v>33</v>
      </c>
      <c r="Z104" s="255">
        <v>0</v>
      </c>
      <c r="AA104" s="256">
        <v>269</v>
      </c>
      <c r="AB104" s="254">
        <v>0</v>
      </c>
      <c r="AC104" s="255">
        <v>844</v>
      </c>
      <c r="AD104" s="255">
        <v>908</v>
      </c>
      <c r="AE104" s="255">
        <v>136</v>
      </c>
      <c r="AF104" s="257">
        <v>0</v>
      </c>
      <c r="AG104" s="257">
        <v>1888</v>
      </c>
      <c r="AH104" s="254">
        <v>0</v>
      </c>
      <c r="AI104" s="255">
        <v>0</v>
      </c>
      <c r="AJ104" s="257">
        <v>0</v>
      </c>
      <c r="AK104" s="254">
        <v>0</v>
      </c>
    </row>
    <row r="105" spans="1:39">
      <c r="A105" s="249"/>
      <c r="B105" s="239" t="s">
        <v>58</v>
      </c>
      <c r="C105" s="250">
        <v>0</v>
      </c>
      <c r="D105" s="251">
        <v>0</v>
      </c>
      <c r="E105" s="419">
        <v>0</v>
      </c>
      <c r="F105" s="251">
        <v>0</v>
      </c>
      <c r="G105" s="419">
        <v>0</v>
      </c>
      <c r="H105" s="252">
        <v>0</v>
      </c>
      <c r="I105" s="479">
        <v>0</v>
      </c>
      <c r="J105" s="250">
        <v>0</v>
      </c>
      <c r="K105" s="251">
        <v>0</v>
      </c>
      <c r="L105" s="251">
        <v>0</v>
      </c>
      <c r="M105" s="251">
        <v>0</v>
      </c>
      <c r="N105" s="252">
        <v>0</v>
      </c>
      <c r="O105" s="250">
        <v>0</v>
      </c>
      <c r="P105" s="250">
        <v>0</v>
      </c>
      <c r="Q105" s="251">
        <v>0</v>
      </c>
      <c r="R105" s="252">
        <v>0</v>
      </c>
      <c r="S105" s="250">
        <v>0</v>
      </c>
      <c r="T105" s="253"/>
      <c r="U105" s="254">
        <v>0</v>
      </c>
      <c r="V105" s="255">
        <v>0</v>
      </c>
      <c r="W105" s="255">
        <v>0</v>
      </c>
      <c r="X105" s="255">
        <v>0</v>
      </c>
      <c r="Y105" s="255">
        <v>0</v>
      </c>
      <c r="Z105" s="255">
        <v>0</v>
      </c>
      <c r="AA105" s="256">
        <v>0</v>
      </c>
      <c r="AB105" s="254">
        <v>0</v>
      </c>
      <c r="AC105" s="255">
        <v>0</v>
      </c>
      <c r="AD105" s="255">
        <v>0</v>
      </c>
      <c r="AE105" s="255">
        <v>0</v>
      </c>
      <c r="AF105" s="257">
        <v>0</v>
      </c>
      <c r="AG105" s="257">
        <v>0</v>
      </c>
      <c r="AH105" s="254">
        <v>0</v>
      </c>
      <c r="AI105" s="255">
        <v>0</v>
      </c>
      <c r="AJ105" s="257">
        <v>0</v>
      </c>
      <c r="AK105" s="254">
        <v>0</v>
      </c>
    </row>
    <row r="106" spans="1:39" s="271" customFormat="1">
      <c r="A106" s="435"/>
      <c r="B106" s="436" t="s">
        <v>59</v>
      </c>
      <c r="C106" s="261">
        <v>1</v>
      </c>
      <c r="D106" s="262">
        <v>0</v>
      </c>
      <c r="E106" s="262">
        <v>1</v>
      </c>
      <c r="F106" s="262">
        <v>1</v>
      </c>
      <c r="G106" s="262">
        <v>1</v>
      </c>
      <c r="H106" s="263">
        <v>1</v>
      </c>
      <c r="I106" s="480">
        <v>1</v>
      </c>
      <c r="J106" s="261">
        <v>1</v>
      </c>
      <c r="K106" s="262">
        <v>1</v>
      </c>
      <c r="L106" s="262">
        <v>1</v>
      </c>
      <c r="M106" s="262">
        <v>1</v>
      </c>
      <c r="N106" s="263">
        <v>0</v>
      </c>
      <c r="O106" s="261">
        <v>1</v>
      </c>
      <c r="P106" s="261">
        <v>0</v>
      </c>
      <c r="Q106" s="262">
        <v>0</v>
      </c>
      <c r="R106" s="263">
        <v>0</v>
      </c>
      <c r="S106" s="261">
        <v>0</v>
      </c>
      <c r="T106" s="264"/>
      <c r="U106" s="265">
        <v>2303</v>
      </c>
      <c r="V106" s="266">
        <v>0</v>
      </c>
      <c r="W106" s="266">
        <v>781</v>
      </c>
      <c r="X106" s="266">
        <v>167</v>
      </c>
      <c r="Y106" s="266">
        <v>817</v>
      </c>
      <c r="Z106" s="266">
        <v>356</v>
      </c>
      <c r="AA106" s="267">
        <v>4424</v>
      </c>
      <c r="AB106" s="265">
        <v>48</v>
      </c>
      <c r="AC106" s="266">
        <v>844</v>
      </c>
      <c r="AD106" s="266">
        <v>908</v>
      </c>
      <c r="AE106" s="266">
        <v>242</v>
      </c>
      <c r="AF106" s="268">
        <v>0</v>
      </c>
      <c r="AG106" s="268">
        <v>2042</v>
      </c>
      <c r="AH106" s="265">
        <v>0</v>
      </c>
      <c r="AI106" s="266">
        <v>0</v>
      </c>
      <c r="AJ106" s="268">
        <v>0</v>
      </c>
      <c r="AK106" s="265">
        <v>0</v>
      </c>
      <c r="AL106" s="270"/>
      <c r="AM106" s="270"/>
    </row>
    <row r="107" spans="1:39">
      <c r="A107" s="239" t="s">
        <v>15</v>
      </c>
      <c r="B107" s="240" t="s">
        <v>53</v>
      </c>
      <c r="C107" s="241">
        <v>0.32868020304568529</v>
      </c>
      <c r="D107" s="242">
        <v>0.29262672811059909</v>
      </c>
      <c r="E107" s="242">
        <v>0.30187814933577645</v>
      </c>
      <c r="F107" s="242">
        <v>0.36418816388467373</v>
      </c>
      <c r="G107" s="242">
        <v>0.29056603773584905</v>
      </c>
      <c r="H107" s="243">
        <v>0</v>
      </c>
      <c r="I107" s="477">
        <v>0.31489821653756078</v>
      </c>
      <c r="J107" s="241">
        <v>0</v>
      </c>
      <c r="K107" s="242">
        <v>0.1328125</v>
      </c>
      <c r="L107" s="242">
        <v>0.10980392156862745</v>
      </c>
      <c r="M107" s="242">
        <v>0.20689655172413793</v>
      </c>
      <c r="N107" s="243">
        <v>0</v>
      </c>
      <c r="O107" s="241">
        <v>0.12165308498253784</v>
      </c>
      <c r="P107" s="342">
        <v>0</v>
      </c>
      <c r="Q107" s="242">
        <v>0</v>
      </c>
      <c r="R107" s="243">
        <v>0</v>
      </c>
      <c r="S107" s="342">
        <v>0</v>
      </c>
      <c r="T107" s="244"/>
      <c r="U107" s="245">
        <v>518</v>
      </c>
      <c r="V107" s="246">
        <v>254</v>
      </c>
      <c r="W107" s="246">
        <v>659</v>
      </c>
      <c r="X107" s="246">
        <v>240</v>
      </c>
      <c r="Y107" s="246">
        <v>77</v>
      </c>
      <c r="Z107" s="246">
        <v>0</v>
      </c>
      <c r="AA107" s="247">
        <v>1748</v>
      </c>
      <c r="AB107" s="245">
        <v>0</v>
      </c>
      <c r="AC107" s="246">
        <v>85</v>
      </c>
      <c r="AD107" s="246">
        <v>112</v>
      </c>
      <c r="AE107" s="246">
        <v>12</v>
      </c>
      <c r="AF107" s="248">
        <v>0</v>
      </c>
      <c r="AG107" s="248">
        <v>209</v>
      </c>
      <c r="AH107" s="245">
        <v>0</v>
      </c>
      <c r="AI107" s="246">
        <v>0</v>
      </c>
      <c r="AJ107" s="248">
        <v>0</v>
      </c>
      <c r="AK107" s="245">
        <v>0</v>
      </c>
    </row>
    <row r="108" spans="1:39">
      <c r="A108" s="249"/>
      <c r="B108" s="239" t="s">
        <v>93</v>
      </c>
      <c r="C108" s="250">
        <v>0.25</v>
      </c>
      <c r="D108" s="251">
        <v>0.2695852534562212</v>
      </c>
      <c r="E108" s="251">
        <v>0.26981218506642235</v>
      </c>
      <c r="F108" s="251">
        <v>0.2306525037936267</v>
      </c>
      <c r="G108" s="251">
        <v>0.13962264150943396</v>
      </c>
      <c r="H108" s="252">
        <v>0</v>
      </c>
      <c r="I108" s="478">
        <v>0.2532876959106467</v>
      </c>
      <c r="J108" s="250">
        <v>0</v>
      </c>
      <c r="K108" s="251">
        <v>0.50937500000000002</v>
      </c>
      <c r="L108" s="251">
        <v>0.44705882352941179</v>
      </c>
      <c r="M108" s="251">
        <v>0.37931034482758619</v>
      </c>
      <c r="N108" s="252">
        <v>0</v>
      </c>
      <c r="O108" s="250">
        <v>0.46798603026775321</v>
      </c>
      <c r="P108" s="250">
        <v>0</v>
      </c>
      <c r="Q108" s="251">
        <v>0</v>
      </c>
      <c r="R108" s="252">
        <v>0</v>
      </c>
      <c r="S108" s="250">
        <v>0</v>
      </c>
      <c r="T108" s="253"/>
      <c r="U108" s="254">
        <v>394</v>
      </c>
      <c r="V108" s="255">
        <v>234</v>
      </c>
      <c r="W108" s="255">
        <v>589</v>
      </c>
      <c r="X108" s="255">
        <v>152</v>
      </c>
      <c r="Y108" s="255">
        <v>37</v>
      </c>
      <c r="Z108" s="255">
        <v>0</v>
      </c>
      <c r="AA108" s="256">
        <v>1406</v>
      </c>
      <c r="AB108" s="254">
        <v>0</v>
      </c>
      <c r="AC108" s="255">
        <v>326</v>
      </c>
      <c r="AD108" s="255">
        <v>456</v>
      </c>
      <c r="AE108" s="255">
        <v>22</v>
      </c>
      <c r="AF108" s="257">
        <v>0</v>
      </c>
      <c r="AG108" s="257">
        <v>804</v>
      </c>
      <c r="AH108" s="254">
        <v>0</v>
      </c>
      <c r="AI108" s="255">
        <v>0</v>
      </c>
      <c r="AJ108" s="257">
        <v>0</v>
      </c>
      <c r="AK108" s="254">
        <v>0</v>
      </c>
    </row>
    <row r="109" spans="1:39">
      <c r="A109" s="249"/>
      <c r="B109" s="239" t="s">
        <v>55</v>
      </c>
      <c r="C109" s="250">
        <v>0.24365482233502539</v>
      </c>
      <c r="D109" s="251">
        <v>0.2857142857142857</v>
      </c>
      <c r="E109" s="251">
        <v>0.28126431516262024</v>
      </c>
      <c r="F109" s="251">
        <v>0.30045523520485584</v>
      </c>
      <c r="G109" s="251">
        <v>0.36603773584905658</v>
      </c>
      <c r="H109" s="252">
        <v>0</v>
      </c>
      <c r="I109" s="478">
        <v>0.27760763826337598</v>
      </c>
      <c r="J109" s="250">
        <v>0</v>
      </c>
      <c r="K109" s="251">
        <v>0.17499999999999999</v>
      </c>
      <c r="L109" s="251">
        <v>0.23627450980392156</v>
      </c>
      <c r="M109" s="251">
        <v>0.1206896551724138</v>
      </c>
      <c r="N109" s="252">
        <v>0</v>
      </c>
      <c r="O109" s="250">
        <v>0.20954598370197905</v>
      </c>
      <c r="P109" s="250">
        <v>0</v>
      </c>
      <c r="Q109" s="251">
        <v>0</v>
      </c>
      <c r="R109" s="252">
        <v>0</v>
      </c>
      <c r="S109" s="250">
        <v>0</v>
      </c>
      <c r="T109" s="253"/>
      <c r="U109" s="254">
        <v>384</v>
      </c>
      <c r="V109" s="255">
        <v>248</v>
      </c>
      <c r="W109" s="255">
        <v>614</v>
      </c>
      <c r="X109" s="255">
        <v>198</v>
      </c>
      <c r="Y109" s="255">
        <v>97</v>
      </c>
      <c r="Z109" s="255">
        <v>0</v>
      </c>
      <c r="AA109" s="256">
        <v>1541</v>
      </c>
      <c r="AB109" s="254">
        <v>0</v>
      </c>
      <c r="AC109" s="255">
        <v>112</v>
      </c>
      <c r="AD109" s="255">
        <v>241</v>
      </c>
      <c r="AE109" s="255">
        <v>7</v>
      </c>
      <c r="AF109" s="257">
        <v>0</v>
      </c>
      <c r="AG109" s="257">
        <v>360</v>
      </c>
      <c r="AH109" s="254">
        <v>0</v>
      </c>
      <c r="AI109" s="255">
        <v>0</v>
      </c>
      <c r="AJ109" s="257">
        <v>0</v>
      </c>
      <c r="AK109" s="254">
        <v>0</v>
      </c>
    </row>
    <row r="110" spans="1:39">
      <c r="A110" s="249"/>
      <c r="B110" s="239" t="s">
        <v>78</v>
      </c>
      <c r="C110" s="250">
        <v>3.0456852791878174E-2</v>
      </c>
      <c r="D110" s="251">
        <v>0.12211981566820276</v>
      </c>
      <c r="E110" s="251">
        <v>7.6042143838754003E-2</v>
      </c>
      <c r="F110" s="251">
        <v>9.8634294385432475E-2</v>
      </c>
      <c r="G110" s="251">
        <v>9.4339622641509441E-2</v>
      </c>
      <c r="H110" s="252">
        <v>0</v>
      </c>
      <c r="I110" s="478">
        <v>7.3860565663844358E-2</v>
      </c>
      <c r="J110" s="250">
        <v>0</v>
      </c>
      <c r="K110" s="251">
        <v>0.17656250000000001</v>
      </c>
      <c r="L110" s="251">
        <v>0.2068627450980392</v>
      </c>
      <c r="M110" s="251">
        <v>0.29310344827586204</v>
      </c>
      <c r="N110" s="252">
        <v>0</v>
      </c>
      <c r="O110" s="250">
        <v>0.19848661233993015</v>
      </c>
      <c r="P110" s="250">
        <v>0</v>
      </c>
      <c r="Q110" s="251">
        <v>0</v>
      </c>
      <c r="R110" s="252">
        <v>0</v>
      </c>
      <c r="S110" s="250">
        <v>0</v>
      </c>
      <c r="T110" s="253"/>
      <c r="U110" s="254">
        <v>48</v>
      </c>
      <c r="V110" s="255">
        <v>106</v>
      </c>
      <c r="W110" s="255">
        <v>166</v>
      </c>
      <c r="X110" s="255">
        <v>65</v>
      </c>
      <c r="Y110" s="255">
        <v>25</v>
      </c>
      <c r="Z110" s="255">
        <v>0</v>
      </c>
      <c r="AA110" s="256">
        <v>410</v>
      </c>
      <c r="AB110" s="254">
        <v>0</v>
      </c>
      <c r="AC110" s="255">
        <v>113</v>
      </c>
      <c r="AD110" s="255">
        <v>211</v>
      </c>
      <c r="AE110" s="255">
        <v>17</v>
      </c>
      <c r="AF110" s="257">
        <v>0</v>
      </c>
      <c r="AG110" s="257">
        <v>341</v>
      </c>
      <c r="AH110" s="254">
        <v>0</v>
      </c>
      <c r="AI110" s="255">
        <v>0</v>
      </c>
      <c r="AJ110" s="257">
        <v>0</v>
      </c>
      <c r="AK110" s="254">
        <v>0</v>
      </c>
    </row>
    <row r="111" spans="1:39">
      <c r="A111" s="249"/>
      <c r="B111" s="239" t="s">
        <v>32</v>
      </c>
      <c r="C111" s="250">
        <v>0.14720812182741116</v>
      </c>
      <c r="D111" s="251">
        <v>2.9953917050691243E-2</v>
      </c>
      <c r="E111" s="251">
        <v>7.1003206596426935E-2</v>
      </c>
      <c r="F111" s="251">
        <v>6.0698027314112293E-3</v>
      </c>
      <c r="G111" s="251">
        <v>0.10943396226415095</v>
      </c>
      <c r="H111" s="252">
        <v>0</v>
      </c>
      <c r="I111" s="478">
        <v>8.0345883624572151E-2</v>
      </c>
      <c r="J111" s="250">
        <v>0</v>
      </c>
      <c r="K111" s="273">
        <v>6.2500000000000003E-3</v>
      </c>
      <c r="L111" s="251">
        <v>0</v>
      </c>
      <c r="M111" s="251">
        <v>0</v>
      </c>
      <c r="N111" s="258">
        <v>0</v>
      </c>
      <c r="O111" s="272">
        <v>2.3282887077997671E-3</v>
      </c>
      <c r="P111" s="250">
        <v>0</v>
      </c>
      <c r="Q111" s="251">
        <v>0</v>
      </c>
      <c r="R111" s="252">
        <v>0</v>
      </c>
      <c r="S111" s="250">
        <v>0</v>
      </c>
      <c r="T111" s="253"/>
      <c r="U111" s="254">
        <v>232</v>
      </c>
      <c r="V111" s="255">
        <v>26</v>
      </c>
      <c r="W111" s="255">
        <v>155</v>
      </c>
      <c r="X111" s="255">
        <v>4</v>
      </c>
      <c r="Y111" s="255">
        <v>29</v>
      </c>
      <c r="Z111" s="255">
        <v>0</v>
      </c>
      <c r="AA111" s="256">
        <v>446</v>
      </c>
      <c r="AB111" s="254">
        <v>0</v>
      </c>
      <c r="AC111" s="255">
        <v>4</v>
      </c>
      <c r="AD111" s="255">
        <v>0</v>
      </c>
      <c r="AE111" s="255">
        <v>0</v>
      </c>
      <c r="AF111" s="257">
        <v>0</v>
      </c>
      <c r="AG111" s="257">
        <v>4</v>
      </c>
      <c r="AH111" s="254">
        <v>0</v>
      </c>
      <c r="AI111" s="255">
        <v>0</v>
      </c>
      <c r="AJ111" s="257">
        <v>0</v>
      </c>
      <c r="AK111" s="254">
        <v>0</v>
      </c>
    </row>
    <row r="112" spans="1:39">
      <c r="A112" s="249"/>
      <c r="B112" s="239" t="s">
        <v>58</v>
      </c>
      <c r="C112" s="250">
        <v>0</v>
      </c>
      <c r="D112" s="251">
        <v>0</v>
      </c>
      <c r="E112" s="419">
        <v>0</v>
      </c>
      <c r="F112" s="251">
        <v>0</v>
      </c>
      <c r="G112" s="419">
        <v>0</v>
      </c>
      <c r="H112" s="252">
        <v>0</v>
      </c>
      <c r="I112" s="479">
        <v>0</v>
      </c>
      <c r="J112" s="250">
        <v>0</v>
      </c>
      <c r="K112" s="251">
        <v>0</v>
      </c>
      <c r="L112" s="251">
        <v>0</v>
      </c>
      <c r="M112" s="251">
        <v>0</v>
      </c>
      <c r="N112" s="252">
        <v>0</v>
      </c>
      <c r="O112" s="250">
        <v>0</v>
      </c>
      <c r="P112" s="250">
        <v>0</v>
      </c>
      <c r="Q112" s="251">
        <v>1</v>
      </c>
      <c r="R112" s="252">
        <v>0</v>
      </c>
      <c r="S112" s="250">
        <v>1</v>
      </c>
      <c r="T112" s="253"/>
      <c r="U112" s="254">
        <v>0</v>
      </c>
      <c r="V112" s="255">
        <v>0</v>
      </c>
      <c r="W112" s="255">
        <v>0</v>
      </c>
      <c r="X112" s="255">
        <v>0</v>
      </c>
      <c r="Y112" s="255">
        <v>0</v>
      </c>
      <c r="Z112" s="255">
        <v>0</v>
      </c>
      <c r="AA112" s="256">
        <v>0</v>
      </c>
      <c r="AB112" s="254">
        <v>0</v>
      </c>
      <c r="AC112" s="255">
        <v>0</v>
      </c>
      <c r="AD112" s="255">
        <v>0</v>
      </c>
      <c r="AE112" s="255">
        <v>0</v>
      </c>
      <c r="AF112" s="257">
        <v>0</v>
      </c>
      <c r="AG112" s="257">
        <v>0</v>
      </c>
      <c r="AH112" s="254">
        <v>0</v>
      </c>
      <c r="AI112" s="255">
        <v>500</v>
      </c>
      <c r="AJ112" s="257">
        <v>0</v>
      </c>
      <c r="AK112" s="254">
        <v>500</v>
      </c>
    </row>
    <row r="113" spans="1:39" s="271" customFormat="1">
      <c r="A113" s="435"/>
      <c r="B113" s="436" t="s">
        <v>59</v>
      </c>
      <c r="C113" s="261">
        <v>1</v>
      </c>
      <c r="D113" s="262">
        <v>1</v>
      </c>
      <c r="E113" s="262">
        <v>1</v>
      </c>
      <c r="F113" s="262">
        <v>1</v>
      </c>
      <c r="G113" s="262">
        <v>1</v>
      </c>
      <c r="H113" s="263">
        <v>0</v>
      </c>
      <c r="I113" s="480">
        <v>1</v>
      </c>
      <c r="J113" s="261">
        <v>0</v>
      </c>
      <c r="K113" s="262">
        <v>1</v>
      </c>
      <c r="L113" s="262">
        <v>1</v>
      </c>
      <c r="M113" s="262">
        <v>1</v>
      </c>
      <c r="N113" s="263">
        <v>0</v>
      </c>
      <c r="O113" s="261">
        <v>1</v>
      </c>
      <c r="P113" s="261">
        <v>0</v>
      </c>
      <c r="Q113" s="262">
        <v>1</v>
      </c>
      <c r="R113" s="263">
        <v>0</v>
      </c>
      <c r="S113" s="261">
        <v>1</v>
      </c>
      <c r="T113" s="264"/>
      <c r="U113" s="265">
        <v>1576</v>
      </c>
      <c r="V113" s="266">
        <v>868</v>
      </c>
      <c r="W113" s="266">
        <v>2183</v>
      </c>
      <c r="X113" s="266">
        <v>659</v>
      </c>
      <c r="Y113" s="266">
        <v>265</v>
      </c>
      <c r="Z113" s="266">
        <v>0</v>
      </c>
      <c r="AA113" s="267">
        <v>5551</v>
      </c>
      <c r="AB113" s="265">
        <v>0</v>
      </c>
      <c r="AC113" s="266">
        <v>640</v>
      </c>
      <c r="AD113" s="266">
        <v>1020</v>
      </c>
      <c r="AE113" s="266">
        <v>58</v>
      </c>
      <c r="AF113" s="268">
        <v>0</v>
      </c>
      <c r="AG113" s="268">
        <v>1718</v>
      </c>
      <c r="AH113" s="265">
        <v>0</v>
      </c>
      <c r="AI113" s="266">
        <v>500</v>
      </c>
      <c r="AJ113" s="268">
        <v>0</v>
      </c>
      <c r="AK113" s="265">
        <v>500</v>
      </c>
      <c r="AL113" s="270"/>
      <c r="AM113" s="270"/>
    </row>
    <row r="114" spans="1:39">
      <c r="A114" s="239" t="s">
        <v>16</v>
      </c>
      <c r="B114" s="240" t="s">
        <v>53</v>
      </c>
      <c r="C114" s="241">
        <v>0.35221826225881775</v>
      </c>
      <c r="D114" s="242">
        <v>0.20805921052631579</v>
      </c>
      <c r="E114" s="242">
        <v>0.23218586202011615</v>
      </c>
      <c r="F114" s="242">
        <v>0.13305898491083676</v>
      </c>
      <c r="G114" s="242">
        <v>0.15469613259668508</v>
      </c>
      <c r="H114" s="243">
        <v>0.25842696629213485</v>
      </c>
      <c r="I114" s="477">
        <v>0.28046839472487495</v>
      </c>
      <c r="J114" s="241">
        <v>0</v>
      </c>
      <c r="K114" s="242">
        <v>0.20415879017013233</v>
      </c>
      <c r="L114" s="242">
        <v>0.17606731068868806</v>
      </c>
      <c r="M114" s="242">
        <v>0.08</v>
      </c>
      <c r="N114" s="243">
        <v>0</v>
      </c>
      <c r="O114" s="241">
        <v>0.18996865203761756</v>
      </c>
      <c r="P114" s="342">
        <v>0</v>
      </c>
      <c r="Q114" s="242">
        <v>0</v>
      </c>
      <c r="R114" s="243">
        <v>0</v>
      </c>
      <c r="S114" s="342">
        <v>0</v>
      </c>
      <c r="T114" s="244"/>
      <c r="U114" s="245">
        <v>2866</v>
      </c>
      <c r="V114" s="246">
        <v>253</v>
      </c>
      <c r="W114" s="246">
        <v>1639</v>
      </c>
      <c r="X114" s="246">
        <v>97</v>
      </c>
      <c r="Y114" s="246">
        <v>56</v>
      </c>
      <c r="Z114" s="246">
        <v>23</v>
      </c>
      <c r="AA114" s="247">
        <v>4934</v>
      </c>
      <c r="AB114" s="245">
        <v>0</v>
      </c>
      <c r="AC114" s="246">
        <v>1512</v>
      </c>
      <c r="AD114" s="246">
        <v>565</v>
      </c>
      <c r="AE114" s="246">
        <v>44</v>
      </c>
      <c r="AF114" s="248">
        <v>0</v>
      </c>
      <c r="AG114" s="248">
        <v>2121</v>
      </c>
      <c r="AH114" s="245">
        <v>0</v>
      </c>
      <c r="AI114" s="246">
        <v>0</v>
      </c>
      <c r="AJ114" s="248">
        <v>0</v>
      </c>
      <c r="AK114" s="245">
        <v>0</v>
      </c>
    </row>
    <row r="115" spans="1:39">
      <c r="A115" s="249"/>
      <c r="B115" s="239" t="s">
        <v>93</v>
      </c>
      <c r="C115" s="250">
        <v>0.23485313997787882</v>
      </c>
      <c r="D115" s="251">
        <v>0.21875</v>
      </c>
      <c r="E115" s="251">
        <v>0.23388581952117865</v>
      </c>
      <c r="F115" s="251">
        <v>0.26611796982167352</v>
      </c>
      <c r="G115" s="251">
        <v>0.30110497237569062</v>
      </c>
      <c r="H115" s="252">
        <v>0.16853932584269662</v>
      </c>
      <c r="I115" s="478">
        <v>0.23567530695770805</v>
      </c>
      <c r="J115" s="250">
        <v>0</v>
      </c>
      <c r="K115" s="251">
        <v>9.2762624898730758E-2</v>
      </c>
      <c r="L115" s="251">
        <v>5.4845746338423186E-2</v>
      </c>
      <c r="M115" s="251">
        <v>0.10545454545454545</v>
      </c>
      <c r="N115" s="252">
        <v>0</v>
      </c>
      <c r="O115" s="250">
        <v>8.2489923869234219E-2</v>
      </c>
      <c r="P115" s="250">
        <v>0</v>
      </c>
      <c r="Q115" s="251">
        <v>0</v>
      </c>
      <c r="R115" s="252">
        <v>0</v>
      </c>
      <c r="S115" s="250">
        <v>0</v>
      </c>
      <c r="T115" s="253"/>
      <c r="U115" s="254">
        <v>1911</v>
      </c>
      <c r="V115" s="255">
        <v>266</v>
      </c>
      <c r="W115" s="255">
        <v>1651</v>
      </c>
      <c r="X115" s="255">
        <v>194</v>
      </c>
      <c r="Y115" s="255">
        <v>109</v>
      </c>
      <c r="Z115" s="255">
        <v>15</v>
      </c>
      <c r="AA115" s="256">
        <v>4146</v>
      </c>
      <c r="AB115" s="254">
        <v>0</v>
      </c>
      <c r="AC115" s="255">
        <v>687</v>
      </c>
      <c r="AD115" s="255">
        <v>176</v>
      </c>
      <c r="AE115" s="255">
        <v>58</v>
      </c>
      <c r="AF115" s="257">
        <v>0</v>
      </c>
      <c r="AG115" s="257">
        <v>921</v>
      </c>
      <c r="AH115" s="254">
        <v>0</v>
      </c>
      <c r="AI115" s="255">
        <v>0</v>
      </c>
      <c r="AJ115" s="257">
        <v>0</v>
      </c>
      <c r="AK115" s="254">
        <v>0</v>
      </c>
    </row>
    <row r="116" spans="1:39">
      <c r="A116" s="249"/>
      <c r="B116" s="239" t="s">
        <v>55</v>
      </c>
      <c r="C116" s="250">
        <v>0.2247757158657982</v>
      </c>
      <c r="D116" s="251">
        <v>0.28289473684210525</v>
      </c>
      <c r="E116" s="251">
        <v>0.28842612268026635</v>
      </c>
      <c r="F116" s="251">
        <v>0.3319615912208505</v>
      </c>
      <c r="G116" s="251">
        <v>0.33701657458563539</v>
      </c>
      <c r="H116" s="252">
        <v>0.1348314606741573</v>
      </c>
      <c r="I116" s="478">
        <v>0.26062983174170079</v>
      </c>
      <c r="J116" s="250">
        <v>0</v>
      </c>
      <c r="K116" s="251">
        <v>9.7218471509586818E-2</v>
      </c>
      <c r="L116" s="251">
        <v>5.3599252103459019E-2</v>
      </c>
      <c r="M116" s="251">
        <v>8.1818181818181818E-2</v>
      </c>
      <c r="N116" s="252">
        <v>0</v>
      </c>
      <c r="O116" s="250">
        <v>8.3922973578145987E-2</v>
      </c>
      <c r="P116" s="250">
        <v>0</v>
      </c>
      <c r="Q116" s="251">
        <v>0</v>
      </c>
      <c r="R116" s="252">
        <v>0</v>
      </c>
      <c r="S116" s="250">
        <v>0</v>
      </c>
      <c r="T116" s="253"/>
      <c r="U116" s="254">
        <v>1829</v>
      </c>
      <c r="V116" s="255">
        <v>344</v>
      </c>
      <c r="W116" s="255">
        <v>2036</v>
      </c>
      <c r="X116" s="255">
        <v>242</v>
      </c>
      <c r="Y116" s="255">
        <v>122</v>
      </c>
      <c r="Z116" s="255">
        <v>12</v>
      </c>
      <c r="AA116" s="256">
        <v>4585</v>
      </c>
      <c r="AB116" s="254">
        <v>0</v>
      </c>
      <c r="AC116" s="255">
        <v>720</v>
      </c>
      <c r="AD116" s="255">
        <v>172</v>
      </c>
      <c r="AE116" s="255">
        <v>45</v>
      </c>
      <c r="AF116" s="257">
        <v>0</v>
      </c>
      <c r="AG116" s="257">
        <v>937</v>
      </c>
      <c r="AH116" s="254">
        <v>0</v>
      </c>
      <c r="AI116" s="255">
        <v>0</v>
      </c>
      <c r="AJ116" s="257">
        <v>0</v>
      </c>
      <c r="AK116" s="254">
        <v>0</v>
      </c>
    </row>
    <row r="117" spans="1:39">
      <c r="A117" s="249"/>
      <c r="B117" s="239" t="s">
        <v>78</v>
      </c>
      <c r="C117" s="250">
        <v>2.0154848224161238E-2</v>
      </c>
      <c r="D117" s="251">
        <v>7.4013157894736838E-3</v>
      </c>
      <c r="E117" s="251">
        <v>6.4315058790196916E-2</v>
      </c>
      <c r="F117" s="251">
        <v>0.12894375857338819</v>
      </c>
      <c r="G117" s="251">
        <v>2.7624309392265192E-2</v>
      </c>
      <c r="H117" s="252">
        <v>0</v>
      </c>
      <c r="I117" s="478">
        <v>4.1552978626648474E-2</v>
      </c>
      <c r="J117" s="250">
        <v>0</v>
      </c>
      <c r="K117" s="251">
        <v>0.38009721847150957</v>
      </c>
      <c r="L117" s="251">
        <v>0.39451542536615769</v>
      </c>
      <c r="M117" s="251">
        <v>0.71818181818181814</v>
      </c>
      <c r="N117" s="252">
        <v>0</v>
      </c>
      <c r="O117" s="250">
        <v>0.40089565606806987</v>
      </c>
      <c r="P117" s="250">
        <v>0</v>
      </c>
      <c r="Q117" s="251">
        <v>0</v>
      </c>
      <c r="R117" s="252">
        <v>0</v>
      </c>
      <c r="S117" s="250">
        <v>0</v>
      </c>
      <c r="T117" s="253"/>
      <c r="U117" s="254">
        <v>164</v>
      </c>
      <c r="V117" s="255">
        <v>9</v>
      </c>
      <c r="W117" s="255">
        <v>454</v>
      </c>
      <c r="X117" s="255">
        <v>94</v>
      </c>
      <c r="Y117" s="255">
        <v>10</v>
      </c>
      <c r="Z117" s="255">
        <v>0</v>
      </c>
      <c r="AA117" s="256">
        <v>731</v>
      </c>
      <c r="AB117" s="254">
        <v>0</v>
      </c>
      <c r="AC117" s="255">
        <v>2815</v>
      </c>
      <c r="AD117" s="255">
        <v>1266</v>
      </c>
      <c r="AE117" s="255">
        <v>395</v>
      </c>
      <c r="AF117" s="257">
        <v>0</v>
      </c>
      <c r="AG117" s="257">
        <v>4476</v>
      </c>
      <c r="AH117" s="254">
        <v>0</v>
      </c>
      <c r="AI117" s="255">
        <v>0</v>
      </c>
      <c r="AJ117" s="257">
        <v>0</v>
      </c>
      <c r="AK117" s="254">
        <v>0</v>
      </c>
    </row>
    <row r="118" spans="1:39">
      <c r="A118" s="249"/>
      <c r="B118" s="239" t="s">
        <v>32</v>
      </c>
      <c r="C118" s="250">
        <v>0.16799803367334398</v>
      </c>
      <c r="D118" s="251">
        <v>0.28289473684210525</v>
      </c>
      <c r="E118" s="251">
        <v>0.18118713698824196</v>
      </c>
      <c r="F118" s="251">
        <v>0.13991769547325103</v>
      </c>
      <c r="G118" s="251">
        <v>0.17955801104972377</v>
      </c>
      <c r="H118" s="252">
        <v>0.43820224719101125</v>
      </c>
      <c r="I118" s="478">
        <v>0.18167348794906776</v>
      </c>
      <c r="J118" s="250">
        <v>0</v>
      </c>
      <c r="K118" s="251">
        <v>6.3462057790980289E-3</v>
      </c>
      <c r="L118" s="273">
        <v>4.985976939856653E-3</v>
      </c>
      <c r="M118" s="273">
        <v>1.4545454545454545E-2</v>
      </c>
      <c r="N118" s="258">
        <v>0</v>
      </c>
      <c r="O118" s="250">
        <v>6.3591580832960144E-3</v>
      </c>
      <c r="P118" s="250">
        <v>0</v>
      </c>
      <c r="Q118" s="251">
        <v>0</v>
      </c>
      <c r="R118" s="252">
        <v>0</v>
      </c>
      <c r="S118" s="250">
        <v>0</v>
      </c>
      <c r="T118" s="253"/>
      <c r="U118" s="254">
        <v>1367</v>
      </c>
      <c r="V118" s="255">
        <v>344</v>
      </c>
      <c r="W118" s="255">
        <v>1279</v>
      </c>
      <c r="X118" s="255">
        <v>102</v>
      </c>
      <c r="Y118" s="255">
        <v>65</v>
      </c>
      <c r="Z118" s="255">
        <v>39</v>
      </c>
      <c r="AA118" s="256">
        <v>3196</v>
      </c>
      <c r="AB118" s="254">
        <v>0</v>
      </c>
      <c r="AC118" s="255">
        <v>47</v>
      </c>
      <c r="AD118" s="255">
        <v>16</v>
      </c>
      <c r="AE118" s="255">
        <v>8</v>
      </c>
      <c r="AF118" s="257">
        <v>0</v>
      </c>
      <c r="AG118" s="257">
        <v>71</v>
      </c>
      <c r="AH118" s="254">
        <v>0</v>
      </c>
      <c r="AI118" s="255">
        <v>0</v>
      </c>
      <c r="AJ118" s="257">
        <v>0</v>
      </c>
      <c r="AK118" s="254">
        <v>0</v>
      </c>
    </row>
    <row r="119" spans="1:39">
      <c r="A119" s="249"/>
      <c r="B119" s="239" t="s">
        <v>58</v>
      </c>
      <c r="C119" s="250">
        <v>0</v>
      </c>
      <c r="D119" s="251">
        <v>0</v>
      </c>
      <c r="E119" s="419">
        <v>0</v>
      </c>
      <c r="F119" s="251">
        <v>0</v>
      </c>
      <c r="G119" s="419">
        <v>0</v>
      </c>
      <c r="H119" s="252">
        <v>0</v>
      </c>
      <c r="I119" s="479">
        <v>0</v>
      </c>
      <c r="J119" s="250">
        <v>0</v>
      </c>
      <c r="K119" s="251">
        <v>0.21941668917094248</v>
      </c>
      <c r="L119" s="251">
        <v>0.31598628856341537</v>
      </c>
      <c r="M119" s="251">
        <v>0</v>
      </c>
      <c r="N119" s="252">
        <v>0</v>
      </c>
      <c r="O119" s="250">
        <v>0.23636363636363636</v>
      </c>
      <c r="P119" s="250">
        <v>0</v>
      </c>
      <c r="Q119" s="251">
        <v>0</v>
      </c>
      <c r="R119" s="252">
        <v>0</v>
      </c>
      <c r="S119" s="250">
        <v>0</v>
      </c>
      <c r="T119" s="253"/>
      <c r="U119" s="254">
        <v>0</v>
      </c>
      <c r="V119" s="255">
        <v>0</v>
      </c>
      <c r="W119" s="255">
        <v>0</v>
      </c>
      <c r="X119" s="255">
        <v>0</v>
      </c>
      <c r="Y119" s="255">
        <v>0</v>
      </c>
      <c r="Z119" s="255">
        <v>0</v>
      </c>
      <c r="AA119" s="256">
        <v>0</v>
      </c>
      <c r="AB119" s="254">
        <v>0</v>
      </c>
      <c r="AC119" s="255">
        <v>1625</v>
      </c>
      <c r="AD119" s="255">
        <v>1014</v>
      </c>
      <c r="AE119" s="255">
        <v>0</v>
      </c>
      <c r="AF119" s="257">
        <v>0</v>
      </c>
      <c r="AG119" s="257">
        <v>2639</v>
      </c>
      <c r="AH119" s="254">
        <v>0</v>
      </c>
      <c r="AI119" s="255">
        <v>0</v>
      </c>
      <c r="AJ119" s="257">
        <v>0</v>
      </c>
      <c r="AK119" s="254">
        <v>0</v>
      </c>
    </row>
    <row r="120" spans="1:39" s="271" customFormat="1">
      <c r="A120" s="435"/>
      <c r="B120" s="436" t="s">
        <v>59</v>
      </c>
      <c r="C120" s="261">
        <v>1</v>
      </c>
      <c r="D120" s="262">
        <v>1</v>
      </c>
      <c r="E120" s="262">
        <v>1</v>
      </c>
      <c r="F120" s="262">
        <v>1</v>
      </c>
      <c r="G120" s="262">
        <v>1</v>
      </c>
      <c r="H120" s="263">
        <v>1</v>
      </c>
      <c r="I120" s="480">
        <v>1</v>
      </c>
      <c r="J120" s="261">
        <v>0</v>
      </c>
      <c r="K120" s="262">
        <v>1</v>
      </c>
      <c r="L120" s="262">
        <v>1</v>
      </c>
      <c r="M120" s="262">
        <v>1</v>
      </c>
      <c r="N120" s="263">
        <v>0</v>
      </c>
      <c r="O120" s="261">
        <v>1</v>
      </c>
      <c r="P120" s="261">
        <v>0</v>
      </c>
      <c r="Q120" s="262">
        <v>0</v>
      </c>
      <c r="R120" s="263">
        <v>0</v>
      </c>
      <c r="S120" s="261">
        <v>0</v>
      </c>
      <c r="T120" s="264"/>
      <c r="U120" s="265">
        <v>8137</v>
      </c>
      <c r="V120" s="266">
        <v>1216</v>
      </c>
      <c r="W120" s="266">
        <v>7059</v>
      </c>
      <c r="X120" s="266">
        <v>729</v>
      </c>
      <c r="Y120" s="266">
        <v>362</v>
      </c>
      <c r="Z120" s="266">
        <v>89</v>
      </c>
      <c r="AA120" s="267">
        <v>17592</v>
      </c>
      <c r="AB120" s="265">
        <v>0</v>
      </c>
      <c r="AC120" s="266">
        <v>7406</v>
      </c>
      <c r="AD120" s="266">
        <v>3209</v>
      </c>
      <c r="AE120" s="266">
        <v>550</v>
      </c>
      <c r="AF120" s="268">
        <v>0</v>
      </c>
      <c r="AG120" s="268">
        <v>11165</v>
      </c>
      <c r="AH120" s="265">
        <v>0</v>
      </c>
      <c r="AI120" s="266">
        <v>0</v>
      </c>
      <c r="AJ120" s="268">
        <v>0</v>
      </c>
      <c r="AK120" s="265">
        <v>0</v>
      </c>
      <c r="AL120" s="270"/>
      <c r="AM120" s="270"/>
    </row>
    <row r="121" spans="1:39">
      <c r="A121" s="239" t="s">
        <v>17</v>
      </c>
      <c r="B121" s="240" t="s">
        <v>53</v>
      </c>
      <c r="C121" s="241">
        <v>0.39520251671254425</v>
      </c>
      <c r="D121" s="242">
        <v>0.26632154155881504</v>
      </c>
      <c r="E121" s="242">
        <v>0.31095123900879296</v>
      </c>
      <c r="F121" s="242">
        <v>0.2049934296977661</v>
      </c>
      <c r="G121" s="242">
        <v>0.24229074889867841</v>
      </c>
      <c r="H121" s="243">
        <v>0.14736842105263157</v>
      </c>
      <c r="I121" s="477">
        <v>0.30299498892902926</v>
      </c>
      <c r="J121" s="241">
        <v>0</v>
      </c>
      <c r="K121" s="242">
        <v>0</v>
      </c>
      <c r="L121" s="242">
        <v>0</v>
      </c>
      <c r="M121" s="242">
        <v>0.23529411764705882</v>
      </c>
      <c r="N121" s="243">
        <v>0.19144040497008744</v>
      </c>
      <c r="O121" s="241">
        <v>0.19211599456275488</v>
      </c>
      <c r="P121" s="342">
        <v>0</v>
      </c>
      <c r="Q121" s="242">
        <v>0</v>
      </c>
      <c r="R121" s="243">
        <v>0</v>
      </c>
      <c r="S121" s="342">
        <v>0</v>
      </c>
      <c r="T121" s="244"/>
      <c r="U121" s="245">
        <v>1005</v>
      </c>
      <c r="V121" s="246">
        <v>926</v>
      </c>
      <c r="W121" s="246">
        <v>389</v>
      </c>
      <c r="X121" s="246">
        <v>156</v>
      </c>
      <c r="Y121" s="246">
        <v>110</v>
      </c>
      <c r="Z121" s="246">
        <v>14</v>
      </c>
      <c r="AA121" s="247">
        <v>2600</v>
      </c>
      <c r="AB121" s="245">
        <v>0</v>
      </c>
      <c r="AC121" s="246">
        <v>0</v>
      </c>
      <c r="AD121" s="246">
        <v>0</v>
      </c>
      <c r="AE121" s="246">
        <v>8</v>
      </c>
      <c r="AF121" s="248">
        <v>416</v>
      </c>
      <c r="AG121" s="248">
        <v>424</v>
      </c>
      <c r="AH121" s="245">
        <v>0</v>
      </c>
      <c r="AI121" s="246">
        <v>0</v>
      </c>
      <c r="AJ121" s="248">
        <v>0</v>
      </c>
      <c r="AK121" s="245">
        <v>0</v>
      </c>
    </row>
    <row r="122" spans="1:39">
      <c r="A122" s="249"/>
      <c r="B122" s="239" t="s">
        <v>93</v>
      </c>
      <c r="C122" s="250">
        <v>0.2909948879276445</v>
      </c>
      <c r="D122" s="251">
        <v>0.29939603106125973</v>
      </c>
      <c r="E122" s="251">
        <v>0.22222222222222221</v>
      </c>
      <c r="F122" s="251">
        <v>0.27858081471747698</v>
      </c>
      <c r="G122" s="251">
        <v>0.29295154185022027</v>
      </c>
      <c r="H122" s="252">
        <v>0.27368421052631581</v>
      </c>
      <c r="I122" s="478">
        <v>0.2831837781144389</v>
      </c>
      <c r="J122" s="250">
        <v>0</v>
      </c>
      <c r="K122" s="251">
        <v>0</v>
      </c>
      <c r="L122" s="251">
        <v>0</v>
      </c>
      <c r="M122" s="251">
        <v>0.52941176470588236</v>
      </c>
      <c r="N122" s="252">
        <v>0.29314312011044641</v>
      </c>
      <c r="O122" s="250">
        <v>0.29678296329859538</v>
      </c>
      <c r="P122" s="250">
        <v>0</v>
      </c>
      <c r="Q122" s="251">
        <v>0</v>
      </c>
      <c r="R122" s="252">
        <v>0</v>
      </c>
      <c r="S122" s="250">
        <v>0</v>
      </c>
      <c r="T122" s="253"/>
      <c r="U122" s="254">
        <v>740</v>
      </c>
      <c r="V122" s="255">
        <v>1041</v>
      </c>
      <c r="W122" s="255">
        <v>278</v>
      </c>
      <c r="X122" s="255">
        <v>212</v>
      </c>
      <c r="Y122" s="255">
        <v>133</v>
      </c>
      <c r="Z122" s="255">
        <v>26</v>
      </c>
      <c r="AA122" s="256">
        <v>2430</v>
      </c>
      <c r="AB122" s="254">
        <v>0</v>
      </c>
      <c r="AC122" s="255">
        <v>0</v>
      </c>
      <c r="AD122" s="255">
        <v>0</v>
      </c>
      <c r="AE122" s="255">
        <v>18</v>
      </c>
      <c r="AF122" s="257">
        <v>637</v>
      </c>
      <c r="AG122" s="257">
        <v>655</v>
      </c>
      <c r="AH122" s="254">
        <v>0</v>
      </c>
      <c r="AI122" s="255">
        <v>0</v>
      </c>
      <c r="AJ122" s="257">
        <v>0</v>
      </c>
      <c r="AK122" s="254">
        <v>0</v>
      </c>
    </row>
    <row r="123" spans="1:39">
      <c r="A123" s="249"/>
      <c r="B123" s="239" t="s">
        <v>55</v>
      </c>
      <c r="C123" s="250">
        <v>0.21470703893039716</v>
      </c>
      <c r="D123" s="251">
        <v>0.28875467356916884</v>
      </c>
      <c r="E123" s="251">
        <v>0.32933653077537972</v>
      </c>
      <c r="F123" s="251">
        <v>0.38633377135348224</v>
      </c>
      <c r="G123" s="251">
        <v>0.33920704845814981</v>
      </c>
      <c r="H123" s="252">
        <v>0.28421052631578947</v>
      </c>
      <c r="I123" s="478">
        <v>0.28399953385386317</v>
      </c>
      <c r="J123" s="250">
        <v>0</v>
      </c>
      <c r="K123" s="251">
        <v>0</v>
      </c>
      <c r="L123" s="251">
        <v>0</v>
      </c>
      <c r="M123" s="251">
        <v>0.23529411764705882</v>
      </c>
      <c r="N123" s="252">
        <v>0.30878969167050163</v>
      </c>
      <c r="O123" s="250">
        <v>0.30765745355686452</v>
      </c>
      <c r="P123" s="250">
        <v>0</v>
      </c>
      <c r="Q123" s="251">
        <v>0</v>
      </c>
      <c r="R123" s="252">
        <v>0</v>
      </c>
      <c r="S123" s="250">
        <v>0</v>
      </c>
      <c r="T123" s="253"/>
      <c r="U123" s="254">
        <v>546</v>
      </c>
      <c r="V123" s="255">
        <v>1004</v>
      </c>
      <c r="W123" s="255">
        <v>412</v>
      </c>
      <c r="X123" s="255">
        <v>294</v>
      </c>
      <c r="Y123" s="255">
        <v>154</v>
      </c>
      <c r="Z123" s="255">
        <v>27</v>
      </c>
      <c r="AA123" s="256">
        <v>2437</v>
      </c>
      <c r="AB123" s="254">
        <v>0</v>
      </c>
      <c r="AC123" s="255">
        <v>0</v>
      </c>
      <c r="AD123" s="255">
        <v>0</v>
      </c>
      <c r="AE123" s="255">
        <v>8</v>
      </c>
      <c r="AF123" s="257">
        <v>671</v>
      </c>
      <c r="AG123" s="257">
        <v>679</v>
      </c>
      <c r="AH123" s="254">
        <v>0</v>
      </c>
      <c r="AI123" s="255">
        <v>0</v>
      </c>
      <c r="AJ123" s="257">
        <v>0</v>
      </c>
      <c r="AK123" s="254">
        <v>0</v>
      </c>
    </row>
    <row r="124" spans="1:39">
      <c r="A124" s="249"/>
      <c r="B124" s="239" t="s">
        <v>78</v>
      </c>
      <c r="C124" s="250">
        <v>6.5670467951238695E-2</v>
      </c>
      <c r="D124" s="251">
        <v>0.11245326430831176</v>
      </c>
      <c r="E124" s="251">
        <v>0.13749000799360511</v>
      </c>
      <c r="F124" s="251">
        <v>0.13009198423127463</v>
      </c>
      <c r="G124" s="251">
        <v>1.9823788546255508E-2</v>
      </c>
      <c r="H124" s="252">
        <v>0.25263157894736843</v>
      </c>
      <c r="I124" s="478">
        <v>0.10045449248339354</v>
      </c>
      <c r="J124" s="250">
        <v>0</v>
      </c>
      <c r="K124" s="251">
        <v>0</v>
      </c>
      <c r="L124" s="251">
        <v>0</v>
      </c>
      <c r="M124" s="251">
        <v>0</v>
      </c>
      <c r="N124" s="252">
        <v>0.20616658996778647</v>
      </c>
      <c r="O124" s="250">
        <v>0.20299048482102403</v>
      </c>
      <c r="P124" s="250">
        <v>0</v>
      </c>
      <c r="Q124" s="251">
        <v>0</v>
      </c>
      <c r="R124" s="252">
        <v>0</v>
      </c>
      <c r="S124" s="250">
        <v>0</v>
      </c>
      <c r="T124" s="253"/>
      <c r="U124" s="254">
        <v>167</v>
      </c>
      <c r="V124" s="255">
        <v>391</v>
      </c>
      <c r="W124" s="255">
        <v>172</v>
      </c>
      <c r="X124" s="255">
        <v>99</v>
      </c>
      <c r="Y124" s="255">
        <v>9</v>
      </c>
      <c r="Z124" s="255">
        <v>24</v>
      </c>
      <c r="AA124" s="256">
        <v>862</v>
      </c>
      <c r="AB124" s="254">
        <v>0</v>
      </c>
      <c r="AC124" s="255">
        <v>0</v>
      </c>
      <c r="AD124" s="255">
        <v>0</v>
      </c>
      <c r="AE124" s="255">
        <v>0</v>
      </c>
      <c r="AF124" s="257">
        <v>448</v>
      </c>
      <c r="AG124" s="257">
        <v>448</v>
      </c>
      <c r="AH124" s="254">
        <v>0</v>
      </c>
      <c r="AI124" s="255">
        <v>0</v>
      </c>
      <c r="AJ124" s="257">
        <v>0</v>
      </c>
      <c r="AK124" s="254">
        <v>0</v>
      </c>
    </row>
    <row r="125" spans="1:39">
      <c r="A125" s="249"/>
      <c r="B125" s="239" t="s">
        <v>32</v>
      </c>
      <c r="C125" s="250">
        <v>3.3425088478175387E-2</v>
      </c>
      <c r="D125" s="251">
        <v>3.3074489502444633E-2</v>
      </c>
      <c r="E125" s="251">
        <v>0</v>
      </c>
      <c r="F125" s="251">
        <v>0</v>
      </c>
      <c r="G125" s="251">
        <v>0.10572687224669604</v>
      </c>
      <c r="H125" s="252">
        <v>4.2105263157894736E-2</v>
      </c>
      <c r="I125" s="478">
        <v>2.9367206619275141E-2</v>
      </c>
      <c r="J125" s="250">
        <v>0</v>
      </c>
      <c r="K125" s="251">
        <v>0</v>
      </c>
      <c r="L125" s="251">
        <v>0</v>
      </c>
      <c r="M125" s="251">
        <v>0</v>
      </c>
      <c r="N125" s="434">
        <v>4.6019328117809482E-4</v>
      </c>
      <c r="O125" s="420">
        <v>4.5310376076121433E-4</v>
      </c>
      <c r="P125" s="250">
        <v>0</v>
      </c>
      <c r="Q125" s="251">
        <v>0</v>
      </c>
      <c r="R125" s="252">
        <v>0</v>
      </c>
      <c r="S125" s="250">
        <v>0</v>
      </c>
      <c r="T125" s="253"/>
      <c r="U125" s="254">
        <v>85</v>
      </c>
      <c r="V125" s="255">
        <v>115</v>
      </c>
      <c r="W125" s="255">
        <v>0</v>
      </c>
      <c r="X125" s="255">
        <v>0</v>
      </c>
      <c r="Y125" s="255">
        <v>48</v>
      </c>
      <c r="Z125" s="255">
        <v>4</v>
      </c>
      <c r="AA125" s="256">
        <v>252</v>
      </c>
      <c r="AB125" s="254">
        <v>0</v>
      </c>
      <c r="AC125" s="255">
        <v>0</v>
      </c>
      <c r="AD125" s="255">
        <v>0</v>
      </c>
      <c r="AE125" s="255">
        <v>0</v>
      </c>
      <c r="AF125" s="257">
        <v>1</v>
      </c>
      <c r="AG125" s="257">
        <v>1</v>
      </c>
      <c r="AH125" s="254">
        <v>0</v>
      </c>
      <c r="AI125" s="255">
        <v>0</v>
      </c>
      <c r="AJ125" s="257">
        <v>0</v>
      </c>
      <c r="AK125" s="254">
        <v>0</v>
      </c>
    </row>
    <row r="126" spans="1:39">
      <c r="A126" s="249"/>
      <c r="B126" s="239" t="s">
        <v>58</v>
      </c>
      <c r="C126" s="250">
        <v>0</v>
      </c>
      <c r="D126" s="251">
        <v>0</v>
      </c>
      <c r="E126" s="419">
        <v>0</v>
      </c>
      <c r="F126" s="251">
        <v>0</v>
      </c>
      <c r="G126" s="419">
        <v>0</v>
      </c>
      <c r="H126" s="252">
        <v>0</v>
      </c>
      <c r="I126" s="479">
        <v>0</v>
      </c>
      <c r="J126" s="250">
        <v>0</v>
      </c>
      <c r="K126" s="251">
        <v>0</v>
      </c>
      <c r="L126" s="251">
        <v>0</v>
      </c>
      <c r="M126" s="251">
        <v>0</v>
      </c>
      <c r="N126" s="252">
        <v>0</v>
      </c>
      <c r="O126" s="250">
        <v>0</v>
      </c>
      <c r="P126" s="250">
        <v>0</v>
      </c>
      <c r="Q126" s="251">
        <v>0</v>
      </c>
      <c r="R126" s="252">
        <v>0</v>
      </c>
      <c r="S126" s="250">
        <v>0</v>
      </c>
      <c r="T126" s="253"/>
      <c r="U126" s="254">
        <v>0</v>
      </c>
      <c r="V126" s="255">
        <v>0</v>
      </c>
      <c r="W126" s="255">
        <v>0</v>
      </c>
      <c r="X126" s="255">
        <v>0</v>
      </c>
      <c r="Y126" s="255">
        <v>0</v>
      </c>
      <c r="Z126" s="255">
        <v>0</v>
      </c>
      <c r="AA126" s="256">
        <v>0</v>
      </c>
      <c r="AB126" s="254">
        <v>0</v>
      </c>
      <c r="AC126" s="255">
        <v>0</v>
      </c>
      <c r="AD126" s="255">
        <v>0</v>
      </c>
      <c r="AE126" s="255">
        <v>0</v>
      </c>
      <c r="AF126" s="257">
        <v>0</v>
      </c>
      <c r="AG126" s="257">
        <v>0</v>
      </c>
      <c r="AH126" s="254">
        <v>0</v>
      </c>
      <c r="AI126" s="255">
        <v>0</v>
      </c>
      <c r="AJ126" s="257">
        <v>0</v>
      </c>
      <c r="AK126" s="254">
        <v>0</v>
      </c>
    </row>
    <row r="127" spans="1:39" s="271" customFormat="1">
      <c r="A127" s="435"/>
      <c r="B127" s="436" t="s">
        <v>59</v>
      </c>
      <c r="C127" s="261">
        <v>1</v>
      </c>
      <c r="D127" s="262">
        <v>1</v>
      </c>
      <c r="E127" s="262">
        <v>1</v>
      </c>
      <c r="F127" s="262">
        <v>1</v>
      </c>
      <c r="G127" s="262">
        <v>1</v>
      </c>
      <c r="H127" s="263">
        <v>1</v>
      </c>
      <c r="I127" s="480">
        <v>1</v>
      </c>
      <c r="J127" s="261">
        <v>0</v>
      </c>
      <c r="K127" s="262">
        <v>0</v>
      </c>
      <c r="L127" s="262">
        <v>0</v>
      </c>
      <c r="M127" s="262">
        <v>1</v>
      </c>
      <c r="N127" s="263">
        <v>1</v>
      </c>
      <c r="O127" s="261">
        <v>1</v>
      </c>
      <c r="P127" s="261">
        <v>0</v>
      </c>
      <c r="Q127" s="262">
        <v>0</v>
      </c>
      <c r="R127" s="263">
        <v>0</v>
      </c>
      <c r="S127" s="261">
        <v>0</v>
      </c>
      <c r="T127" s="264"/>
      <c r="U127" s="265">
        <v>2543</v>
      </c>
      <c r="V127" s="266">
        <v>3477</v>
      </c>
      <c r="W127" s="266">
        <v>1251</v>
      </c>
      <c r="X127" s="266">
        <v>761</v>
      </c>
      <c r="Y127" s="266">
        <v>454</v>
      </c>
      <c r="Z127" s="266">
        <v>95</v>
      </c>
      <c r="AA127" s="267">
        <v>8581</v>
      </c>
      <c r="AB127" s="265">
        <v>0</v>
      </c>
      <c r="AC127" s="266">
        <v>0</v>
      </c>
      <c r="AD127" s="266">
        <v>0</v>
      </c>
      <c r="AE127" s="266">
        <v>34</v>
      </c>
      <c r="AF127" s="268">
        <v>2173</v>
      </c>
      <c r="AG127" s="268">
        <v>2207</v>
      </c>
      <c r="AH127" s="265">
        <v>0</v>
      </c>
      <c r="AI127" s="266">
        <v>0</v>
      </c>
      <c r="AJ127" s="268">
        <v>0</v>
      </c>
      <c r="AK127" s="265">
        <v>0</v>
      </c>
      <c r="AL127" s="270"/>
      <c r="AM127" s="270"/>
    </row>
    <row r="128" spans="1:39">
      <c r="A128" s="239" t="s">
        <v>18</v>
      </c>
      <c r="B128" s="240" t="s">
        <v>53</v>
      </c>
      <c r="C128" s="241">
        <v>0.3546441495778046</v>
      </c>
      <c r="D128" s="242">
        <v>0</v>
      </c>
      <c r="E128" s="242">
        <v>0.44759825327510916</v>
      </c>
      <c r="F128" s="242">
        <v>0</v>
      </c>
      <c r="G128" s="242">
        <v>0</v>
      </c>
      <c r="H128" s="243">
        <v>0.25721153846153844</v>
      </c>
      <c r="I128" s="477">
        <v>0.33647947144879659</v>
      </c>
      <c r="J128" s="241">
        <v>0.38095238095238093</v>
      </c>
      <c r="K128" s="242">
        <v>0</v>
      </c>
      <c r="L128" s="242">
        <v>0.13793103448275862</v>
      </c>
      <c r="M128" s="242">
        <v>0.23823529411764705</v>
      </c>
      <c r="N128" s="243">
        <v>0</v>
      </c>
      <c r="O128" s="241">
        <v>0.25103734439834025</v>
      </c>
      <c r="P128" s="342">
        <v>0</v>
      </c>
      <c r="Q128" s="242">
        <v>0</v>
      </c>
      <c r="R128" s="243">
        <v>0</v>
      </c>
      <c r="S128" s="342">
        <v>0</v>
      </c>
      <c r="T128" s="244"/>
      <c r="U128" s="245">
        <v>294</v>
      </c>
      <c r="V128" s="246">
        <v>0</v>
      </c>
      <c r="W128" s="246">
        <v>205</v>
      </c>
      <c r="X128" s="246">
        <v>0</v>
      </c>
      <c r="Y128" s="246">
        <v>0</v>
      </c>
      <c r="Z128" s="246">
        <v>214</v>
      </c>
      <c r="AA128" s="247">
        <v>713</v>
      </c>
      <c r="AB128" s="245">
        <v>32</v>
      </c>
      <c r="AC128" s="246">
        <v>0</v>
      </c>
      <c r="AD128" s="246">
        <v>8</v>
      </c>
      <c r="AE128" s="246">
        <v>81</v>
      </c>
      <c r="AF128" s="248">
        <v>0</v>
      </c>
      <c r="AG128" s="248">
        <v>121</v>
      </c>
      <c r="AH128" s="245">
        <v>0</v>
      </c>
      <c r="AI128" s="246">
        <v>0</v>
      </c>
      <c r="AJ128" s="248">
        <v>0</v>
      </c>
      <c r="AK128" s="245">
        <v>0</v>
      </c>
    </row>
    <row r="129" spans="1:39">
      <c r="A129" s="249"/>
      <c r="B129" s="239" t="s">
        <v>93</v>
      </c>
      <c r="C129" s="250">
        <v>0.26417370325693607</v>
      </c>
      <c r="D129" s="251">
        <v>0</v>
      </c>
      <c r="E129" s="251">
        <v>0.24017467248908297</v>
      </c>
      <c r="F129" s="251">
        <v>0</v>
      </c>
      <c r="G129" s="251">
        <v>0</v>
      </c>
      <c r="H129" s="252">
        <v>0.27403846153846156</v>
      </c>
      <c r="I129" s="478">
        <v>0.26285983954695613</v>
      </c>
      <c r="J129" s="250">
        <v>0.13095238095238096</v>
      </c>
      <c r="K129" s="251">
        <v>0</v>
      </c>
      <c r="L129" s="251">
        <v>8.6206896551724144E-2</v>
      </c>
      <c r="M129" s="251">
        <v>0.14117647058823529</v>
      </c>
      <c r="N129" s="252">
        <v>0</v>
      </c>
      <c r="O129" s="250">
        <v>0.13278008298755187</v>
      </c>
      <c r="P129" s="250">
        <v>0</v>
      </c>
      <c r="Q129" s="251">
        <v>0</v>
      </c>
      <c r="R129" s="252">
        <v>0</v>
      </c>
      <c r="S129" s="250">
        <v>0</v>
      </c>
      <c r="T129" s="253"/>
      <c r="U129" s="254">
        <v>219</v>
      </c>
      <c r="V129" s="255">
        <v>0</v>
      </c>
      <c r="W129" s="255">
        <v>110</v>
      </c>
      <c r="X129" s="255">
        <v>0</v>
      </c>
      <c r="Y129" s="255">
        <v>0</v>
      </c>
      <c r="Z129" s="255">
        <v>228</v>
      </c>
      <c r="AA129" s="256">
        <v>557</v>
      </c>
      <c r="AB129" s="254">
        <v>11</v>
      </c>
      <c r="AC129" s="255">
        <v>0</v>
      </c>
      <c r="AD129" s="255">
        <v>5</v>
      </c>
      <c r="AE129" s="255">
        <v>48</v>
      </c>
      <c r="AF129" s="257">
        <v>0</v>
      </c>
      <c r="AG129" s="257">
        <v>64</v>
      </c>
      <c r="AH129" s="254">
        <v>0</v>
      </c>
      <c r="AI129" s="255">
        <v>0</v>
      </c>
      <c r="AJ129" s="257">
        <v>0</v>
      </c>
      <c r="AK129" s="254">
        <v>0</v>
      </c>
    </row>
    <row r="130" spans="1:39">
      <c r="A130" s="249"/>
      <c r="B130" s="239" t="s">
        <v>55</v>
      </c>
      <c r="C130" s="250">
        <v>0.32569360675512665</v>
      </c>
      <c r="D130" s="251">
        <v>0</v>
      </c>
      <c r="E130" s="251">
        <v>0.25982532751091703</v>
      </c>
      <c r="F130" s="251">
        <v>0</v>
      </c>
      <c r="G130" s="251">
        <v>0</v>
      </c>
      <c r="H130" s="252">
        <v>0.34615384615384615</v>
      </c>
      <c r="I130" s="478">
        <v>0.31949032562529495</v>
      </c>
      <c r="J130" s="250">
        <v>0.21428571428571427</v>
      </c>
      <c r="K130" s="251">
        <v>0</v>
      </c>
      <c r="L130" s="251">
        <v>0.58620689655172409</v>
      </c>
      <c r="M130" s="251">
        <v>0.21764705882352942</v>
      </c>
      <c r="N130" s="252">
        <v>0</v>
      </c>
      <c r="O130" s="250">
        <v>0.26141078838174275</v>
      </c>
      <c r="P130" s="250">
        <v>0</v>
      </c>
      <c r="Q130" s="251">
        <v>0</v>
      </c>
      <c r="R130" s="252">
        <v>0</v>
      </c>
      <c r="S130" s="250">
        <v>0</v>
      </c>
      <c r="T130" s="253"/>
      <c r="U130" s="254">
        <v>270</v>
      </c>
      <c r="V130" s="255">
        <v>0</v>
      </c>
      <c r="W130" s="255">
        <v>119</v>
      </c>
      <c r="X130" s="255">
        <v>0</v>
      </c>
      <c r="Y130" s="255">
        <v>0</v>
      </c>
      <c r="Z130" s="255">
        <v>288</v>
      </c>
      <c r="AA130" s="256">
        <v>677</v>
      </c>
      <c r="AB130" s="254">
        <v>18</v>
      </c>
      <c r="AC130" s="255">
        <v>0</v>
      </c>
      <c r="AD130" s="255">
        <v>34</v>
      </c>
      <c r="AE130" s="255">
        <v>74</v>
      </c>
      <c r="AF130" s="257">
        <v>0</v>
      </c>
      <c r="AG130" s="257">
        <v>126</v>
      </c>
      <c r="AH130" s="254">
        <v>0</v>
      </c>
      <c r="AI130" s="255">
        <v>0</v>
      </c>
      <c r="AJ130" s="257">
        <v>0</v>
      </c>
      <c r="AK130" s="254">
        <v>0</v>
      </c>
    </row>
    <row r="131" spans="1:39">
      <c r="A131" s="249"/>
      <c r="B131" s="239" t="s">
        <v>78</v>
      </c>
      <c r="C131" s="250">
        <v>2.2919179734620022E-2</v>
      </c>
      <c r="D131" s="251">
        <v>0</v>
      </c>
      <c r="E131" s="251">
        <v>5.2401746724890827E-2</v>
      </c>
      <c r="F131" s="251">
        <v>0</v>
      </c>
      <c r="G131" s="251">
        <v>0</v>
      </c>
      <c r="H131" s="252">
        <v>8.8942307692307696E-2</v>
      </c>
      <c r="I131" s="478">
        <v>5.5214723926380369E-2</v>
      </c>
      <c r="J131" s="250">
        <v>0.26190476190476192</v>
      </c>
      <c r="K131" s="251">
        <v>0</v>
      </c>
      <c r="L131" s="251">
        <v>0.18965517241379309</v>
      </c>
      <c r="M131" s="251">
        <v>0.34411764705882353</v>
      </c>
      <c r="N131" s="252">
        <v>0</v>
      </c>
      <c r="O131" s="250">
        <v>0.31120331950207469</v>
      </c>
      <c r="P131" s="250">
        <v>0</v>
      </c>
      <c r="Q131" s="251">
        <v>0</v>
      </c>
      <c r="R131" s="252">
        <v>0</v>
      </c>
      <c r="S131" s="250">
        <v>0</v>
      </c>
      <c r="T131" s="253"/>
      <c r="U131" s="254">
        <v>19</v>
      </c>
      <c r="V131" s="255">
        <v>0</v>
      </c>
      <c r="W131" s="255">
        <v>24</v>
      </c>
      <c r="X131" s="255">
        <v>0</v>
      </c>
      <c r="Y131" s="255">
        <v>0</v>
      </c>
      <c r="Z131" s="255">
        <v>74</v>
      </c>
      <c r="AA131" s="256">
        <v>117</v>
      </c>
      <c r="AB131" s="254">
        <v>22</v>
      </c>
      <c r="AC131" s="255">
        <v>0</v>
      </c>
      <c r="AD131" s="255">
        <v>11</v>
      </c>
      <c r="AE131" s="255">
        <v>117</v>
      </c>
      <c r="AF131" s="257">
        <v>0</v>
      </c>
      <c r="AG131" s="257">
        <v>150</v>
      </c>
      <c r="AH131" s="254">
        <v>0</v>
      </c>
      <c r="AI131" s="255">
        <v>0</v>
      </c>
      <c r="AJ131" s="257">
        <v>0</v>
      </c>
      <c r="AK131" s="254">
        <v>0</v>
      </c>
    </row>
    <row r="132" spans="1:39">
      <c r="A132" s="249"/>
      <c r="B132" s="239" t="s">
        <v>32</v>
      </c>
      <c r="C132" s="250">
        <v>3.2569360675512665E-2</v>
      </c>
      <c r="D132" s="251">
        <v>0</v>
      </c>
      <c r="E132" s="251">
        <v>0</v>
      </c>
      <c r="F132" s="251">
        <v>0</v>
      </c>
      <c r="G132" s="251">
        <v>0</v>
      </c>
      <c r="H132" s="252">
        <v>3.3653846153846152E-2</v>
      </c>
      <c r="I132" s="478">
        <v>2.5955639452571969E-2</v>
      </c>
      <c r="J132" s="250">
        <v>1.1904761904761904E-2</v>
      </c>
      <c r="K132" s="251">
        <v>0</v>
      </c>
      <c r="L132" s="251">
        <v>0</v>
      </c>
      <c r="M132" s="251">
        <v>5.8823529411764705E-2</v>
      </c>
      <c r="N132" s="258">
        <v>0</v>
      </c>
      <c r="O132" s="250">
        <v>4.3568464730290454E-2</v>
      </c>
      <c r="P132" s="250">
        <v>0</v>
      </c>
      <c r="Q132" s="251">
        <v>0</v>
      </c>
      <c r="R132" s="252">
        <v>0</v>
      </c>
      <c r="S132" s="250">
        <v>0</v>
      </c>
      <c r="T132" s="253"/>
      <c r="U132" s="254">
        <v>27</v>
      </c>
      <c r="V132" s="255">
        <v>0</v>
      </c>
      <c r="W132" s="255">
        <v>0</v>
      </c>
      <c r="X132" s="255">
        <v>0</v>
      </c>
      <c r="Y132" s="255">
        <v>0</v>
      </c>
      <c r="Z132" s="255">
        <v>28</v>
      </c>
      <c r="AA132" s="256">
        <v>55</v>
      </c>
      <c r="AB132" s="254">
        <v>1</v>
      </c>
      <c r="AC132" s="255">
        <v>0</v>
      </c>
      <c r="AD132" s="255">
        <v>0</v>
      </c>
      <c r="AE132" s="255">
        <v>20</v>
      </c>
      <c r="AF132" s="257">
        <v>0</v>
      </c>
      <c r="AG132" s="257">
        <v>21</v>
      </c>
      <c r="AH132" s="254">
        <v>0</v>
      </c>
      <c r="AI132" s="255">
        <v>0</v>
      </c>
      <c r="AJ132" s="257">
        <v>0</v>
      </c>
      <c r="AK132" s="254">
        <v>0</v>
      </c>
    </row>
    <row r="133" spans="1:39">
      <c r="A133" s="249"/>
      <c r="B133" s="239" t="s">
        <v>58</v>
      </c>
      <c r="C133" s="250">
        <v>0</v>
      </c>
      <c r="D133" s="251">
        <v>0</v>
      </c>
      <c r="E133" s="419">
        <v>0</v>
      </c>
      <c r="F133" s="251">
        <v>0</v>
      </c>
      <c r="G133" s="419">
        <v>0</v>
      </c>
      <c r="H133" s="252">
        <v>0</v>
      </c>
      <c r="I133" s="479">
        <v>0</v>
      </c>
      <c r="J133" s="250">
        <v>0</v>
      </c>
      <c r="K133" s="251">
        <v>0</v>
      </c>
      <c r="L133" s="251">
        <v>0</v>
      </c>
      <c r="M133" s="251">
        <v>0</v>
      </c>
      <c r="N133" s="252">
        <v>0</v>
      </c>
      <c r="O133" s="250">
        <v>0</v>
      </c>
      <c r="P133" s="250">
        <v>0</v>
      </c>
      <c r="Q133" s="251">
        <v>0</v>
      </c>
      <c r="R133" s="252">
        <v>0</v>
      </c>
      <c r="S133" s="250">
        <v>0</v>
      </c>
      <c r="T133" s="253"/>
      <c r="U133" s="254">
        <v>0</v>
      </c>
      <c r="V133" s="255">
        <v>0</v>
      </c>
      <c r="W133" s="255">
        <v>0</v>
      </c>
      <c r="X133" s="255">
        <v>0</v>
      </c>
      <c r="Y133" s="255">
        <v>0</v>
      </c>
      <c r="Z133" s="255">
        <v>0</v>
      </c>
      <c r="AA133" s="256">
        <v>0</v>
      </c>
      <c r="AB133" s="254">
        <v>0</v>
      </c>
      <c r="AC133" s="255">
        <v>0</v>
      </c>
      <c r="AD133" s="255">
        <v>0</v>
      </c>
      <c r="AE133" s="255">
        <v>0</v>
      </c>
      <c r="AF133" s="257">
        <v>0</v>
      </c>
      <c r="AG133" s="257">
        <v>0</v>
      </c>
      <c r="AH133" s="254">
        <v>0</v>
      </c>
      <c r="AI133" s="255">
        <v>0</v>
      </c>
      <c r="AJ133" s="257">
        <v>0</v>
      </c>
      <c r="AK133" s="254">
        <v>0</v>
      </c>
    </row>
    <row r="134" spans="1:39" s="271" customFormat="1">
      <c r="A134" s="435"/>
      <c r="B134" s="436" t="s">
        <v>59</v>
      </c>
      <c r="C134" s="261">
        <v>1</v>
      </c>
      <c r="D134" s="262">
        <v>0</v>
      </c>
      <c r="E134" s="262">
        <v>1</v>
      </c>
      <c r="F134" s="262">
        <v>0</v>
      </c>
      <c r="G134" s="262">
        <v>0</v>
      </c>
      <c r="H134" s="263">
        <v>1</v>
      </c>
      <c r="I134" s="480">
        <v>1</v>
      </c>
      <c r="J134" s="261">
        <v>1</v>
      </c>
      <c r="K134" s="262">
        <v>0</v>
      </c>
      <c r="L134" s="262">
        <v>1</v>
      </c>
      <c r="M134" s="262">
        <v>1</v>
      </c>
      <c r="N134" s="263">
        <v>0</v>
      </c>
      <c r="O134" s="261">
        <v>1</v>
      </c>
      <c r="P134" s="261">
        <v>0</v>
      </c>
      <c r="Q134" s="262">
        <v>0</v>
      </c>
      <c r="R134" s="263">
        <v>0</v>
      </c>
      <c r="S134" s="261">
        <v>0</v>
      </c>
      <c r="T134" s="264"/>
      <c r="U134" s="265">
        <v>829</v>
      </c>
      <c r="V134" s="266">
        <v>0</v>
      </c>
      <c r="W134" s="266">
        <v>458</v>
      </c>
      <c r="X134" s="266">
        <v>0</v>
      </c>
      <c r="Y134" s="266">
        <v>0</v>
      </c>
      <c r="Z134" s="266">
        <v>832</v>
      </c>
      <c r="AA134" s="267">
        <v>2119</v>
      </c>
      <c r="AB134" s="265">
        <v>84</v>
      </c>
      <c r="AC134" s="266">
        <v>0</v>
      </c>
      <c r="AD134" s="266">
        <v>58</v>
      </c>
      <c r="AE134" s="266">
        <v>340</v>
      </c>
      <c r="AF134" s="268">
        <v>0</v>
      </c>
      <c r="AG134" s="268">
        <v>482</v>
      </c>
      <c r="AH134" s="265">
        <v>0</v>
      </c>
      <c r="AI134" s="266">
        <v>0</v>
      </c>
      <c r="AJ134" s="268">
        <v>0</v>
      </c>
      <c r="AK134" s="265">
        <v>0</v>
      </c>
      <c r="AL134" s="270"/>
      <c r="AM134" s="270"/>
    </row>
    <row r="135" spans="1:39" s="80" customFormat="1">
      <c r="A135" s="868" t="s">
        <v>171</v>
      </c>
      <c r="B135" s="240" t="s">
        <v>53</v>
      </c>
      <c r="C135" s="821">
        <f>IF(U140&gt;0,(U135/U140),0)</f>
        <v>0.41914221218961623</v>
      </c>
      <c r="D135" s="822">
        <f t="shared" ref="D135:S135" si="8">IF(V140&gt;0,(V135/V140),0)</f>
        <v>0.30540457388985748</v>
      </c>
      <c r="E135" s="822">
        <f t="shared" si="8"/>
        <v>0.36137788713389951</v>
      </c>
      <c r="F135" s="822">
        <f t="shared" si="8"/>
        <v>0.2774566473988439</v>
      </c>
      <c r="G135" s="822">
        <f t="shared" si="8"/>
        <v>0.2462686567164179</v>
      </c>
      <c r="H135" s="822">
        <f t="shared" si="8"/>
        <v>0.30856586632057104</v>
      </c>
      <c r="I135" s="821">
        <f t="shared" si="8"/>
        <v>0.36456255205407812</v>
      </c>
      <c r="J135" s="821">
        <f t="shared" si="8"/>
        <v>0</v>
      </c>
      <c r="K135" s="822">
        <f t="shared" si="8"/>
        <v>1.2004925097475888E-2</v>
      </c>
      <c r="L135" s="822">
        <f t="shared" si="8"/>
        <v>7.2014181254154666E-2</v>
      </c>
      <c r="M135" s="822">
        <f t="shared" si="8"/>
        <v>7.9321094561828884E-2</v>
      </c>
      <c r="N135" s="822">
        <f t="shared" si="8"/>
        <v>0</v>
      </c>
      <c r="O135" s="821">
        <f t="shared" si="8"/>
        <v>3.5440216526030889E-2</v>
      </c>
      <c r="P135" s="821">
        <f t="shared" si="8"/>
        <v>0</v>
      </c>
      <c r="Q135" s="822">
        <f t="shared" si="8"/>
        <v>0</v>
      </c>
      <c r="R135" s="823">
        <f t="shared" si="8"/>
        <v>0</v>
      </c>
      <c r="S135" s="821">
        <f t="shared" si="8"/>
        <v>0</v>
      </c>
      <c r="T135" s="213"/>
      <c r="U135" s="796">
        <f>U141+U147+U153+U159+U165+U171+U177+U183+U189+U195+U201+U207+U213</f>
        <v>9284</v>
      </c>
      <c r="V135" s="796">
        <f t="shared" ref="V135:AK140" si="9">V141+V147+V153+V159+V165+V171+V177+V183+V189+V195+V201+V207+V213</f>
        <v>2978</v>
      </c>
      <c r="W135" s="796">
        <f t="shared" si="9"/>
        <v>4553</v>
      </c>
      <c r="X135" s="796">
        <f t="shared" si="9"/>
        <v>528</v>
      </c>
      <c r="Y135" s="796">
        <f t="shared" si="9"/>
        <v>528</v>
      </c>
      <c r="Z135" s="796">
        <f t="shared" si="9"/>
        <v>951</v>
      </c>
      <c r="AA135" s="801">
        <f t="shared" si="9"/>
        <v>18822</v>
      </c>
      <c r="AB135" s="801">
        <f t="shared" ref="AB135:AE138" si="10">AB141+AB147+AB153+AB159+AB165+AB171+AB177+AB183+AB189+AB195+AB201+AB207+AB213</f>
        <v>0</v>
      </c>
      <c r="AC135" s="796">
        <f t="shared" si="10"/>
        <v>234</v>
      </c>
      <c r="AD135" s="796">
        <f t="shared" si="10"/>
        <v>650</v>
      </c>
      <c r="AE135" s="796">
        <f t="shared" si="10"/>
        <v>229</v>
      </c>
      <c r="AF135" s="796">
        <f t="shared" si="9"/>
        <v>0</v>
      </c>
      <c r="AG135" s="801">
        <f t="shared" si="9"/>
        <v>1113</v>
      </c>
      <c r="AH135" s="801">
        <f t="shared" si="9"/>
        <v>0</v>
      </c>
      <c r="AI135" s="796">
        <f t="shared" si="9"/>
        <v>0</v>
      </c>
      <c r="AJ135" s="818">
        <f t="shared" si="9"/>
        <v>0</v>
      </c>
      <c r="AK135" s="801">
        <f t="shared" si="9"/>
        <v>0</v>
      </c>
      <c r="AL135" s="209"/>
      <c r="AM135" s="209"/>
    </row>
    <row r="136" spans="1:39" s="80" customFormat="1">
      <c r="A136" s="239"/>
      <c r="B136" s="239" t="s">
        <v>93</v>
      </c>
      <c r="C136" s="824">
        <f>IF(U140&gt;0,(U136/U140),0)</f>
        <v>0.22</v>
      </c>
      <c r="D136" s="822">
        <f t="shared" ref="D136:S136" si="11">IF(V140&gt;0,(V136/V140),0)</f>
        <v>0.26571633678597067</v>
      </c>
      <c r="E136" s="822">
        <f t="shared" si="11"/>
        <v>0.2247003730454798</v>
      </c>
      <c r="F136" s="822">
        <f t="shared" si="11"/>
        <v>0.2422490803993694</v>
      </c>
      <c r="G136" s="822">
        <f t="shared" si="11"/>
        <v>0.20895522388059701</v>
      </c>
      <c r="H136" s="822">
        <f t="shared" si="11"/>
        <v>0.17650876054510059</v>
      </c>
      <c r="I136" s="824">
        <f t="shared" si="11"/>
        <v>0.22754653392473223</v>
      </c>
      <c r="J136" s="824">
        <f t="shared" si="11"/>
        <v>0</v>
      </c>
      <c r="K136" s="822">
        <f t="shared" si="11"/>
        <v>4.5146726862302479E-3</v>
      </c>
      <c r="L136" s="822">
        <f t="shared" si="11"/>
        <v>3.0467538222911587E-2</v>
      </c>
      <c r="M136" s="822">
        <f t="shared" si="11"/>
        <v>4.9186006234845862E-2</v>
      </c>
      <c r="N136" s="822">
        <f t="shared" si="11"/>
        <v>0</v>
      </c>
      <c r="O136" s="824">
        <f t="shared" si="11"/>
        <v>1.6080241999681579E-2</v>
      </c>
      <c r="P136" s="824">
        <f t="shared" si="11"/>
        <v>0</v>
      </c>
      <c r="Q136" s="822">
        <f t="shared" si="11"/>
        <v>0</v>
      </c>
      <c r="R136" s="825">
        <f t="shared" si="11"/>
        <v>0</v>
      </c>
      <c r="S136" s="824">
        <f t="shared" si="11"/>
        <v>0</v>
      </c>
      <c r="T136" s="213"/>
      <c r="U136" s="796">
        <f t="shared" ref="U136:AJ140" si="12">U142+U148+U154+U160+U166+U172+U178+U184+U190+U196+U202+U208+U214</f>
        <v>4873</v>
      </c>
      <c r="V136" s="796">
        <f t="shared" si="12"/>
        <v>2591</v>
      </c>
      <c r="W136" s="796">
        <f t="shared" si="12"/>
        <v>2831</v>
      </c>
      <c r="X136" s="796">
        <f t="shared" si="12"/>
        <v>461</v>
      </c>
      <c r="Y136" s="796">
        <f t="shared" si="12"/>
        <v>448</v>
      </c>
      <c r="Z136" s="796">
        <f t="shared" si="12"/>
        <v>544</v>
      </c>
      <c r="AA136" s="802">
        <f t="shared" si="12"/>
        <v>11748</v>
      </c>
      <c r="AB136" s="802">
        <f t="shared" si="10"/>
        <v>0</v>
      </c>
      <c r="AC136" s="796">
        <f t="shared" si="10"/>
        <v>88</v>
      </c>
      <c r="AD136" s="796">
        <f t="shared" si="10"/>
        <v>275</v>
      </c>
      <c r="AE136" s="796">
        <f t="shared" si="10"/>
        <v>142</v>
      </c>
      <c r="AF136" s="796">
        <f t="shared" si="12"/>
        <v>0</v>
      </c>
      <c r="AG136" s="802">
        <f t="shared" si="12"/>
        <v>505</v>
      </c>
      <c r="AH136" s="802">
        <f t="shared" si="12"/>
        <v>0</v>
      </c>
      <c r="AI136" s="796">
        <f t="shared" si="12"/>
        <v>0</v>
      </c>
      <c r="AJ136" s="819">
        <f t="shared" si="12"/>
        <v>0</v>
      </c>
      <c r="AK136" s="802">
        <f t="shared" si="9"/>
        <v>0</v>
      </c>
      <c r="AL136" s="209"/>
      <c r="AM136" s="209"/>
    </row>
    <row r="137" spans="1:39" s="80" customFormat="1">
      <c r="A137" s="239"/>
      <c r="B137" s="239" t="s">
        <v>55</v>
      </c>
      <c r="C137" s="824">
        <f>IF(U140&gt;0,(U137/U140),0)</f>
        <v>0.21047404063205419</v>
      </c>
      <c r="D137" s="822">
        <f t="shared" ref="D137:S137" si="13">IF(V140&gt;0,(V137/V140),0)</f>
        <v>0.27289508768331455</v>
      </c>
      <c r="E137" s="822">
        <f t="shared" si="13"/>
        <v>0.25613143900309548</v>
      </c>
      <c r="F137" s="822">
        <f t="shared" si="13"/>
        <v>0.26694692590646346</v>
      </c>
      <c r="G137" s="822">
        <f t="shared" si="13"/>
        <v>0.30317164179104478</v>
      </c>
      <c r="H137" s="822">
        <f t="shared" si="13"/>
        <v>0.27449707981829979</v>
      </c>
      <c r="I137" s="824">
        <f t="shared" si="13"/>
        <v>0.24315791512522031</v>
      </c>
      <c r="J137" s="824">
        <f t="shared" si="13"/>
        <v>0</v>
      </c>
      <c r="K137" s="822">
        <f t="shared" si="13"/>
        <v>6.464190437102401E-3</v>
      </c>
      <c r="L137" s="822">
        <f t="shared" si="13"/>
        <v>4.6643031243075561E-2</v>
      </c>
      <c r="M137" s="822">
        <f t="shared" si="13"/>
        <v>7.9667474887426398E-2</v>
      </c>
      <c r="N137" s="822">
        <f t="shared" si="13"/>
        <v>0</v>
      </c>
      <c r="O137" s="824">
        <f t="shared" si="13"/>
        <v>2.4741283235153639E-2</v>
      </c>
      <c r="P137" s="824">
        <f t="shared" si="13"/>
        <v>0</v>
      </c>
      <c r="Q137" s="822">
        <f t="shared" si="13"/>
        <v>0</v>
      </c>
      <c r="R137" s="825">
        <f t="shared" si="13"/>
        <v>0</v>
      </c>
      <c r="S137" s="824">
        <f t="shared" si="13"/>
        <v>0</v>
      </c>
      <c r="T137" s="213"/>
      <c r="U137" s="796">
        <f t="shared" si="12"/>
        <v>4662</v>
      </c>
      <c r="V137" s="796">
        <f t="shared" si="9"/>
        <v>2661</v>
      </c>
      <c r="W137" s="796">
        <f t="shared" si="9"/>
        <v>3227</v>
      </c>
      <c r="X137" s="796">
        <f t="shared" si="9"/>
        <v>508</v>
      </c>
      <c r="Y137" s="796">
        <f t="shared" si="9"/>
        <v>650</v>
      </c>
      <c r="Z137" s="796">
        <f t="shared" si="9"/>
        <v>846</v>
      </c>
      <c r="AA137" s="802">
        <f t="shared" si="9"/>
        <v>12554</v>
      </c>
      <c r="AB137" s="802">
        <f t="shared" si="10"/>
        <v>0</v>
      </c>
      <c r="AC137" s="796">
        <f t="shared" si="10"/>
        <v>126</v>
      </c>
      <c r="AD137" s="796">
        <f t="shared" si="10"/>
        <v>421</v>
      </c>
      <c r="AE137" s="796">
        <f t="shared" si="10"/>
        <v>230</v>
      </c>
      <c r="AF137" s="796">
        <f t="shared" si="9"/>
        <v>0</v>
      </c>
      <c r="AG137" s="802">
        <f t="shared" si="9"/>
        <v>777</v>
      </c>
      <c r="AH137" s="802">
        <f t="shared" si="9"/>
        <v>0</v>
      </c>
      <c r="AI137" s="796">
        <f t="shared" si="9"/>
        <v>0</v>
      </c>
      <c r="AJ137" s="819">
        <f t="shared" si="9"/>
        <v>0</v>
      </c>
      <c r="AK137" s="802">
        <f t="shared" si="9"/>
        <v>0</v>
      </c>
      <c r="AL137" s="209"/>
      <c r="AM137" s="209"/>
    </row>
    <row r="138" spans="1:39" s="80" customFormat="1">
      <c r="A138" s="239"/>
      <c r="B138" s="239" t="s">
        <v>78</v>
      </c>
      <c r="C138" s="824">
        <f>IF(U140&gt;0,(U138/U140),0)</f>
        <v>4.5914221218961625E-2</v>
      </c>
      <c r="D138" s="822">
        <f t="shared" ref="D138:S138" si="14">IF(V140&gt;0,(V138/V140),0)</f>
        <v>8.0709670802994571E-2</v>
      </c>
      <c r="E138" s="822">
        <f t="shared" si="14"/>
        <v>1.3175648861020716E-2</v>
      </c>
      <c r="F138" s="822">
        <f t="shared" si="14"/>
        <v>5.3074093536521282E-2</v>
      </c>
      <c r="G138" s="822">
        <f t="shared" si="14"/>
        <v>7.742537313432836E-2</v>
      </c>
      <c r="H138" s="822">
        <f t="shared" si="14"/>
        <v>0.12329656067488644</v>
      </c>
      <c r="I138" s="824">
        <f t="shared" si="14"/>
        <v>5.0688566503321777E-2</v>
      </c>
      <c r="J138" s="824">
        <f t="shared" si="14"/>
        <v>0</v>
      </c>
      <c r="K138" s="822">
        <f t="shared" si="14"/>
        <v>0.84542376359532112</v>
      </c>
      <c r="L138" s="822">
        <f t="shared" si="14"/>
        <v>0.53822291158874358</v>
      </c>
      <c r="M138" s="822">
        <f t="shared" si="14"/>
        <v>0.57741600277104266</v>
      </c>
      <c r="N138" s="822">
        <f t="shared" si="14"/>
        <v>0</v>
      </c>
      <c r="O138" s="824">
        <f t="shared" si="14"/>
        <v>0.73249482566470303</v>
      </c>
      <c r="P138" s="824">
        <f t="shared" si="14"/>
        <v>0</v>
      </c>
      <c r="Q138" s="822">
        <f t="shared" si="14"/>
        <v>0</v>
      </c>
      <c r="R138" s="825">
        <f t="shared" si="14"/>
        <v>0</v>
      </c>
      <c r="S138" s="824">
        <f t="shared" si="14"/>
        <v>0</v>
      </c>
      <c r="T138" s="213"/>
      <c r="U138" s="796">
        <f t="shared" si="12"/>
        <v>1017</v>
      </c>
      <c r="V138" s="796">
        <f t="shared" si="9"/>
        <v>787</v>
      </c>
      <c r="W138" s="796">
        <f t="shared" si="9"/>
        <v>166</v>
      </c>
      <c r="X138" s="796">
        <f t="shared" si="9"/>
        <v>101</v>
      </c>
      <c r="Y138" s="796">
        <f t="shared" si="9"/>
        <v>166</v>
      </c>
      <c r="Z138" s="796">
        <f t="shared" si="9"/>
        <v>380</v>
      </c>
      <c r="AA138" s="802">
        <f t="shared" si="9"/>
        <v>2617</v>
      </c>
      <c r="AB138" s="802">
        <f t="shared" si="10"/>
        <v>0</v>
      </c>
      <c r="AC138" s="796">
        <f t="shared" si="10"/>
        <v>16479</v>
      </c>
      <c r="AD138" s="796">
        <f t="shared" si="10"/>
        <v>4858</v>
      </c>
      <c r="AE138" s="796">
        <f t="shared" si="10"/>
        <v>1667</v>
      </c>
      <c r="AF138" s="796">
        <f t="shared" si="9"/>
        <v>0</v>
      </c>
      <c r="AG138" s="802">
        <f t="shared" si="9"/>
        <v>23004</v>
      </c>
      <c r="AH138" s="802">
        <f t="shared" si="9"/>
        <v>0</v>
      </c>
      <c r="AI138" s="796">
        <f t="shared" si="9"/>
        <v>0</v>
      </c>
      <c r="AJ138" s="819">
        <f t="shared" si="9"/>
        <v>0</v>
      </c>
      <c r="AK138" s="802">
        <f t="shared" si="9"/>
        <v>0</v>
      </c>
      <c r="AL138" s="209"/>
      <c r="AM138" s="209"/>
    </row>
    <row r="139" spans="1:39" s="80" customFormat="1">
      <c r="A139" s="580"/>
      <c r="B139" s="580" t="s">
        <v>131</v>
      </c>
      <c r="C139" s="824">
        <f>IF(U140&gt;0,(U139/U140),0)</f>
        <v>0.10446952595936794</v>
      </c>
      <c r="D139" s="822">
        <f t="shared" ref="D139:S139" si="15">IF(V140&gt;0,(V139/V140),0)</f>
        <v>7.527433083786278E-2</v>
      </c>
      <c r="E139" s="822">
        <f t="shared" si="15"/>
        <v>0.1446146519565045</v>
      </c>
      <c r="F139" s="822">
        <f t="shared" si="15"/>
        <v>0.16027325275880189</v>
      </c>
      <c r="G139" s="822">
        <f t="shared" si="15"/>
        <v>0.16417910447761194</v>
      </c>
      <c r="H139" s="822">
        <f t="shared" si="15"/>
        <v>0.11713173264114211</v>
      </c>
      <c r="I139" s="824">
        <f t="shared" si="15"/>
        <v>0.11404443239264754</v>
      </c>
      <c r="J139" s="824">
        <f t="shared" si="15"/>
        <v>0</v>
      </c>
      <c r="K139" s="822">
        <f t="shared" si="15"/>
        <v>5.7562076749435663E-2</v>
      </c>
      <c r="L139" s="822">
        <f t="shared" si="15"/>
        <v>0.40471969864834922</v>
      </c>
      <c r="M139" s="822">
        <f t="shared" si="15"/>
        <v>0.42639418081052999</v>
      </c>
      <c r="N139" s="822">
        <f t="shared" si="15"/>
        <v>0</v>
      </c>
      <c r="O139" s="824">
        <f t="shared" si="15"/>
        <v>0.19124343257443083</v>
      </c>
      <c r="P139" s="824">
        <f t="shared" si="15"/>
        <v>0</v>
      </c>
      <c r="Q139" s="822">
        <f t="shared" si="15"/>
        <v>0</v>
      </c>
      <c r="R139" s="825">
        <f t="shared" si="15"/>
        <v>0</v>
      </c>
      <c r="S139" s="824">
        <f t="shared" si="15"/>
        <v>0</v>
      </c>
      <c r="T139" s="213"/>
      <c r="U139" s="796">
        <f t="shared" si="12"/>
        <v>2314</v>
      </c>
      <c r="V139" s="796">
        <f t="shared" si="9"/>
        <v>734</v>
      </c>
      <c r="W139" s="796">
        <f t="shared" si="9"/>
        <v>1822</v>
      </c>
      <c r="X139" s="796">
        <f t="shared" si="9"/>
        <v>305</v>
      </c>
      <c r="Y139" s="796">
        <f t="shared" si="9"/>
        <v>352</v>
      </c>
      <c r="Z139" s="796">
        <f t="shared" si="9"/>
        <v>361</v>
      </c>
      <c r="AA139" s="802">
        <f t="shared" si="9"/>
        <v>5888</v>
      </c>
      <c r="AB139" s="802">
        <f t="shared" si="9"/>
        <v>0</v>
      </c>
      <c r="AC139" s="796">
        <f t="shared" ref="AC139:AG140" si="16">AC145+AC151+AC157+AC163+AC169+AC175+AC181+AC187+AC193+AC199+AC205+AC211+AC217</f>
        <v>1122</v>
      </c>
      <c r="AD139" s="796">
        <f t="shared" si="16"/>
        <v>3653</v>
      </c>
      <c r="AE139" s="796">
        <f t="shared" si="16"/>
        <v>1231</v>
      </c>
      <c r="AF139" s="796">
        <f t="shared" si="16"/>
        <v>0</v>
      </c>
      <c r="AG139" s="802">
        <f t="shared" si="16"/>
        <v>6006</v>
      </c>
      <c r="AH139" s="802">
        <f t="shared" si="9"/>
        <v>0</v>
      </c>
      <c r="AI139" s="796">
        <f t="shared" si="9"/>
        <v>0</v>
      </c>
      <c r="AJ139" s="819">
        <f t="shared" si="9"/>
        <v>0</v>
      </c>
      <c r="AK139" s="802">
        <f t="shared" si="9"/>
        <v>0</v>
      </c>
      <c r="AL139" s="209"/>
      <c r="AM139" s="209"/>
    </row>
    <row r="140" spans="1:39" s="80" customFormat="1">
      <c r="A140" s="436" t="s">
        <v>86</v>
      </c>
      <c r="B140" s="435" t="s">
        <v>59</v>
      </c>
      <c r="C140" s="826">
        <f>IF(U140&gt;0,(U140/U140),0)</f>
        <v>1</v>
      </c>
      <c r="D140" s="827">
        <f t="shared" ref="D140:S140" si="17">IF(V140&gt;0,(V140/V140),0)</f>
        <v>1</v>
      </c>
      <c r="E140" s="827">
        <f t="shared" si="17"/>
        <v>1</v>
      </c>
      <c r="F140" s="827">
        <f t="shared" si="17"/>
        <v>1</v>
      </c>
      <c r="G140" s="827">
        <f t="shared" si="17"/>
        <v>1</v>
      </c>
      <c r="H140" s="827">
        <f t="shared" si="17"/>
        <v>1</v>
      </c>
      <c r="I140" s="826">
        <f t="shared" si="17"/>
        <v>1</v>
      </c>
      <c r="J140" s="826">
        <f t="shared" si="17"/>
        <v>0</v>
      </c>
      <c r="K140" s="827">
        <f t="shared" si="17"/>
        <v>1</v>
      </c>
      <c r="L140" s="827">
        <f t="shared" si="17"/>
        <v>1</v>
      </c>
      <c r="M140" s="827">
        <f t="shared" si="17"/>
        <v>1</v>
      </c>
      <c r="N140" s="827">
        <f t="shared" si="17"/>
        <v>0</v>
      </c>
      <c r="O140" s="826">
        <f t="shared" si="17"/>
        <v>1</v>
      </c>
      <c r="P140" s="826">
        <f t="shared" si="17"/>
        <v>0</v>
      </c>
      <c r="Q140" s="827">
        <f t="shared" si="17"/>
        <v>0</v>
      </c>
      <c r="R140" s="828">
        <f t="shared" si="17"/>
        <v>0</v>
      </c>
      <c r="S140" s="826">
        <f t="shared" si="17"/>
        <v>0</v>
      </c>
      <c r="T140" s="213"/>
      <c r="U140" s="814">
        <f t="shared" si="12"/>
        <v>22150</v>
      </c>
      <c r="V140" s="814">
        <f t="shared" si="9"/>
        <v>9751</v>
      </c>
      <c r="W140" s="814">
        <f t="shared" si="9"/>
        <v>12599</v>
      </c>
      <c r="X140" s="814">
        <f t="shared" si="9"/>
        <v>1903</v>
      </c>
      <c r="Y140" s="814">
        <f t="shared" si="9"/>
        <v>2144</v>
      </c>
      <c r="Z140" s="814">
        <f t="shared" si="9"/>
        <v>3082</v>
      </c>
      <c r="AA140" s="815">
        <f t="shared" si="9"/>
        <v>51629</v>
      </c>
      <c r="AB140" s="815">
        <f t="shared" si="9"/>
        <v>0</v>
      </c>
      <c r="AC140" s="814">
        <f t="shared" si="16"/>
        <v>19492</v>
      </c>
      <c r="AD140" s="814">
        <f t="shared" si="16"/>
        <v>9026</v>
      </c>
      <c r="AE140" s="814">
        <f t="shared" si="16"/>
        <v>2887</v>
      </c>
      <c r="AF140" s="796">
        <f t="shared" si="16"/>
        <v>0</v>
      </c>
      <c r="AG140" s="802">
        <f t="shared" si="16"/>
        <v>31405</v>
      </c>
      <c r="AH140" s="815">
        <f t="shared" si="9"/>
        <v>0</v>
      </c>
      <c r="AI140" s="814">
        <f t="shared" si="9"/>
        <v>0</v>
      </c>
      <c r="AJ140" s="820">
        <f t="shared" si="9"/>
        <v>0</v>
      </c>
      <c r="AK140" s="815">
        <f t="shared" si="9"/>
        <v>0</v>
      </c>
      <c r="AL140" s="209"/>
      <c r="AM140" s="209"/>
    </row>
    <row r="141" spans="1:39" s="80" customFormat="1">
      <c r="A141" s="240" t="s">
        <v>136</v>
      </c>
      <c r="B141" s="240" t="s">
        <v>53</v>
      </c>
      <c r="C141" s="821">
        <f>IF(U146&gt;0,(U141/U146),0)</f>
        <v>0</v>
      </c>
      <c r="D141" s="822">
        <f t="shared" ref="D141:S141" si="18">IF(V146&gt;0,(V141/V146),0)</f>
        <v>0.21212121212121213</v>
      </c>
      <c r="E141" s="822">
        <f t="shared" si="18"/>
        <v>0.21848739495798319</v>
      </c>
      <c r="F141" s="822">
        <f t="shared" si="18"/>
        <v>0</v>
      </c>
      <c r="G141" s="822">
        <f t="shared" si="18"/>
        <v>0.11578947368421053</v>
      </c>
      <c r="H141" s="822">
        <f t="shared" si="18"/>
        <v>0</v>
      </c>
      <c r="I141" s="821">
        <f t="shared" si="18"/>
        <v>0.20599999999999999</v>
      </c>
      <c r="J141" s="821">
        <f t="shared" si="18"/>
        <v>0</v>
      </c>
      <c r="K141" s="822">
        <f t="shared" si="18"/>
        <v>0</v>
      </c>
      <c r="L141" s="822">
        <f t="shared" si="18"/>
        <v>0</v>
      </c>
      <c r="M141" s="822">
        <f t="shared" si="18"/>
        <v>0.17391304347826086</v>
      </c>
      <c r="N141" s="822">
        <f t="shared" si="18"/>
        <v>0</v>
      </c>
      <c r="O141" s="821">
        <f t="shared" si="18"/>
        <v>0.17391304347826086</v>
      </c>
      <c r="P141" s="821">
        <f t="shared" si="18"/>
        <v>0</v>
      </c>
      <c r="Q141" s="822">
        <f t="shared" si="18"/>
        <v>0</v>
      </c>
      <c r="R141" s="823">
        <f t="shared" si="18"/>
        <v>0</v>
      </c>
      <c r="S141" s="821">
        <f t="shared" si="18"/>
        <v>0</v>
      </c>
      <c r="T141" s="213"/>
      <c r="U141" s="858"/>
      <c r="V141" s="858">
        <v>91</v>
      </c>
      <c r="W141" s="858">
        <v>104</v>
      </c>
      <c r="X141" s="858"/>
      <c r="Y141" s="858">
        <v>11</v>
      </c>
      <c r="Z141" s="858"/>
      <c r="AA141" s="857">
        <v>206</v>
      </c>
      <c r="AB141" s="857"/>
      <c r="AC141" s="858"/>
      <c r="AD141" s="858"/>
      <c r="AE141" s="858">
        <v>4</v>
      </c>
      <c r="AF141" s="858"/>
      <c r="AG141" s="857">
        <v>4</v>
      </c>
      <c r="AH141" s="861">
        <f t="shared" ref="AH141:AK141" si="19">AH147+AH153+AH159+AH165+AH171+AH177+AH183+AH189+AH195+AH201+AH207+AH213+AH219</f>
        <v>0</v>
      </c>
      <c r="AI141" s="862">
        <f t="shared" si="19"/>
        <v>0</v>
      </c>
      <c r="AJ141" s="869">
        <f t="shared" si="19"/>
        <v>0</v>
      </c>
      <c r="AK141" s="861">
        <f t="shared" si="19"/>
        <v>0</v>
      </c>
      <c r="AL141" s="209"/>
      <c r="AM141" s="209"/>
    </row>
    <row r="142" spans="1:39" s="80" customFormat="1">
      <c r="A142" s="239"/>
      <c r="B142" s="239" t="s">
        <v>93</v>
      </c>
      <c r="C142" s="824">
        <f>IF(U146&gt;0,(U142/U146),0)</f>
        <v>0</v>
      </c>
      <c r="D142" s="822">
        <f t="shared" ref="D142:S142" si="20">IF(V146&gt;0,(V142/V146),0)</f>
        <v>0.26107226107226106</v>
      </c>
      <c r="E142" s="822">
        <f t="shared" si="20"/>
        <v>0.28151260504201681</v>
      </c>
      <c r="F142" s="822">
        <f t="shared" si="20"/>
        <v>0</v>
      </c>
      <c r="G142" s="822">
        <f t="shared" si="20"/>
        <v>0.18947368421052632</v>
      </c>
      <c r="H142" s="822">
        <f t="shared" si="20"/>
        <v>0</v>
      </c>
      <c r="I142" s="824">
        <f t="shared" si="20"/>
        <v>0.26400000000000001</v>
      </c>
      <c r="J142" s="824">
        <f t="shared" si="20"/>
        <v>0</v>
      </c>
      <c r="K142" s="822">
        <f t="shared" si="20"/>
        <v>0</v>
      </c>
      <c r="L142" s="822">
        <f t="shared" si="20"/>
        <v>0</v>
      </c>
      <c r="M142" s="822">
        <f t="shared" si="20"/>
        <v>0.17391304347826086</v>
      </c>
      <c r="N142" s="822">
        <f t="shared" si="20"/>
        <v>0</v>
      </c>
      <c r="O142" s="824">
        <f t="shared" si="20"/>
        <v>0.17391304347826086</v>
      </c>
      <c r="P142" s="824">
        <f t="shared" si="20"/>
        <v>0</v>
      </c>
      <c r="Q142" s="822">
        <f t="shared" si="20"/>
        <v>0</v>
      </c>
      <c r="R142" s="825">
        <f t="shared" si="20"/>
        <v>0</v>
      </c>
      <c r="S142" s="824">
        <f t="shared" si="20"/>
        <v>0</v>
      </c>
      <c r="T142" s="213"/>
      <c r="U142" s="858"/>
      <c r="V142" s="858">
        <v>112</v>
      </c>
      <c r="W142" s="858">
        <v>134</v>
      </c>
      <c r="X142" s="858"/>
      <c r="Y142" s="858">
        <v>18</v>
      </c>
      <c r="Z142" s="858"/>
      <c r="AA142" s="859">
        <v>264</v>
      </c>
      <c r="AB142" s="859"/>
      <c r="AC142" s="858"/>
      <c r="AD142" s="858"/>
      <c r="AE142" s="858">
        <v>4</v>
      </c>
      <c r="AF142" s="858"/>
      <c r="AG142" s="859">
        <v>4</v>
      </c>
      <c r="AH142" s="863">
        <f t="shared" ref="AH142:AK142" si="21">AH148+AH154+AH160+AH166+AH172+AH178+AH184+AH190+AH196+AH202+AH208+AH214+AH220</f>
        <v>0</v>
      </c>
      <c r="AI142" s="862">
        <f t="shared" si="21"/>
        <v>0</v>
      </c>
      <c r="AJ142" s="870">
        <f t="shared" si="21"/>
        <v>0</v>
      </c>
      <c r="AK142" s="863">
        <f t="shared" si="21"/>
        <v>0</v>
      </c>
      <c r="AL142" s="209"/>
      <c r="AM142" s="209"/>
    </row>
    <row r="143" spans="1:39" s="80" customFormat="1">
      <c r="A143" s="239"/>
      <c r="B143" s="239" t="s">
        <v>55</v>
      </c>
      <c r="C143" s="824">
        <f>IF(U146&gt;0,(U143/U146),0)</f>
        <v>0</v>
      </c>
      <c r="D143" s="822">
        <f t="shared" ref="D143:S143" si="22">IF(V146&gt;0,(V143/V146),0)</f>
        <v>0.42657342657342656</v>
      </c>
      <c r="E143" s="822">
        <f t="shared" si="22"/>
        <v>0.41386554621848737</v>
      </c>
      <c r="F143" s="822">
        <f t="shared" si="22"/>
        <v>0</v>
      </c>
      <c r="G143" s="822">
        <f t="shared" si="22"/>
        <v>0.69473684210526321</v>
      </c>
      <c r="H143" s="822">
        <f t="shared" si="22"/>
        <v>0</v>
      </c>
      <c r="I143" s="824">
        <f t="shared" si="22"/>
        <v>0.44600000000000001</v>
      </c>
      <c r="J143" s="824">
        <f t="shared" si="22"/>
        <v>0</v>
      </c>
      <c r="K143" s="822">
        <f t="shared" si="22"/>
        <v>0</v>
      </c>
      <c r="L143" s="822">
        <f t="shared" si="22"/>
        <v>0</v>
      </c>
      <c r="M143" s="822">
        <f t="shared" si="22"/>
        <v>0.52173913043478259</v>
      </c>
      <c r="N143" s="822">
        <f t="shared" si="22"/>
        <v>0</v>
      </c>
      <c r="O143" s="824">
        <f t="shared" si="22"/>
        <v>0.52173913043478259</v>
      </c>
      <c r="P143" s="824">
        <f t="shared" si="22"/>
        <v>0</v>
      </c>
      <c r="Q143" s="822">
        <f t="shared" si="22"/>
        <v>0</v>
      </c>
      <c r="R143" s="825">
        <f t="shared" si="22"/>
        <v>0</v>
      </c>
      <c r="S143" s="824">
        <f t="shared" si="22"/>
        <v>0</v>
      </c>
      <c r="T143" s="213"/>
      <c r="U143" s="858"/>
      <c r="V143" s="858">
        <v>183</v>
      </c>
      <c r="W143" s="858">
        <v>197</v>
      </c>
      <c r="X143" s="858"/>
      <c r="Y143" s="858">
        <v>66</v>
      </c>
      <c r="Z143" s="858"/>
      <c r="AA143" s="859">
        <v>446</v>
      </c>
      <c r="AB143" s="859"/>
      <c r="AC143" s="858"/>
      <c r="AD143" s="858"/>
      <c r="AE143" s="858">
        <v>12</v>
      </c>
      <c r="AF143" s="858"/>
      <c r="AG143" s="859">
        <v>12</v>
      </c>
      <c r="AH143" s="863">
        <f t="shared" ref="AH143:AK143" si="23">AH149+AH155+AH161+AH167+AH173+AH179+AH185+AH191+AH197+AH203+AH209+AH215+AH221</f>
        <v>0</v>
      </c>
      <c r="AI143" s="862">
        <f t="shared" si="23"/>
        <v>0</v>
      </c>
      <c r="AJ143" s="870">
        <f t="shared" si="23"/>
        <v>0</v>
      </c>
      <c r="AK143" s="863">
        <f t="shared" si="23"/>
        <v>0</v>
      </c>
      <c r="AL143" s="209"/>
      <c r="AM143" s="209"/>
    </row>
    <row r="144" spans="1:39" s="80" customFormat="1">
      <c r="A144" s="239"/>
      <c r="B144" s="239" t="s">
        <v>78</v>
      </c>
      <c r="C144" s="824">
        <f>IF(U146&gt;0,(U144/U146),0)</f>
        <v>0</v>
      </c>
      <c r="D144" s="822">
        <f t="shared" ref="D144:S144" si="24">IF(V146&gt;0,(V144/V146),0)</f>
        <v>5.8275058275058272E-2</v>
      </c>
      <c r="E144" s="822">
        <f t="shared" si="24"/>
        <v>8.6134453781512604E-2</v>
      </c>
      <c r="F144" s="822">
        <f t="shared" si="24"/>
        <v>0</v>
      </c>
      <c r="G144" s="822">
        <f t="shared" si="24"/>
        <v>0</v>
      </c>
      <c r="H144" s="822">
        <f t="shared" si="24"/>
        <v>0</v>
      </c>
      <c r="I144" s="824">
        <f t="shared" si="24"/>
        <v>6.6000000000000003E-2</v>
      </c>
      <c r="J144" s="824">
        <f t="shared" si="24"/>
        <v>0</v>
      </c>
      <c r="K144" s="822">
        <f t="shared" si="24"/>
        <v>0</v>
      </c>
      <c r="L144" s="822">
        <f t="shared" si="24"/>
        <v>0</v>
      </c>
      <c r="M144" s="822">
        <f t="shared" si="24"/>
        <v>0.13043478260869565</v>
      </c>
      <c r="N144" s="822">
        <f t="shared" si="24"/>
        <v>0</v>
      </c>
      <c r="O144" s="824">
        <f t="shared" si="24"/>
        <v>0.13043478260869565</v>
      </c>
      <c r="P144" s="824">
        <f t="shared" si="24"/>
        <v>0</v>
      </c>
      <c r="Q144" s="822">
        <f t="shared" si="24"/>
        <v>0</v>
      </c>
      <c r="R144" s="825">
        <f t="shared" si="24"/>
        <v>0</v>
      </c>
      <c r="S144" s="824">
        <f t="shared" si="24"/>
        <v>0</v>
      </c>
      <c r="T144" s="213"/>
      <c r="U144" s="858"/>
      <c r="V144" s="858">
        <v>25</v>
      </c>
      <c r="W144" s="858">
        <v>41</v>
      </c>
      <c r="X144" s="858"/>
      <c r="Y144" s="858"/>
      <c r="Z144" s="858"/>
      <c r="AA144" s="859">
        <v>66</v>
      </c>
      <c r="AB144" s="859"/>
      <c r="AC144" s="858"/>
      <c r="AD144" s="858"/>
      <c r="AE144" s="858">
        <v>3</v>
      </c>
      <c r="AF144" s="858"/>
      <c r="AG144" s="859">
        <v>3</v>
      </c>
      <c r="AH144" s="863">
        <f t="shared" ref="AH144:AK144" si="25">AH150+AH156+AH162+AH168+AH174+AH180+AH186+AH192+AH198+AH204+AH210+AH216+AH222</f>
        <v>0</v>
      </c>
      <c r="AI144" s="862">
        <f t="shared" si="25"/>
        <v>0</v>
      </c>
      <c r="AJ144" s="870">
        <f t="shared" si="25"/>
        <v>0</v>
      </c>
      <c r="AK144" s="863">
        <f t="shared" si="25"/>
        <v>0</v>
      </c>
      <c r="AL144" s="209"/>
      <c r="AM144" s="209"/>
    </row>
    <row r="145" spans="1:39" s="80" customFormat="1">
      <c r="A145" s="580"/>
      <c r="B145" s="580" t="s">
        <v>131</v>
      </c>
      <c r="C145" s="824">
        <f>IF(U146&gt;0,(U145/U146),0)</f>
        <v>0</v>
      </c>
      <c r="D145" s="822">
        <f t="shared" ref="D145:S145" si="26">IF(V146&gt;0,(V145/V146),0)</f>
        <v>4.195804195804196E-2</v>
      </c>
      <c r="E145" s="822">
        <f t="shared" si="26"/>
        <v>0</v>
      </c>
      <c r="F145" s="822">
        <f t="shared" si="26"/>
        <v>0</v>
      </c>
      <c r="G145" s="822">
        <f t="shared" si="26"/>
        <v>0</v>
      </c>
      <c r="H145" s="822">
        <f t="shared" si="26"/>
        <v>0</v>
      </c>
      <c r="I145" s="824">
        <f t="shared" si="26"/>
        <v>1.7999999999999999E-2</v>
      </c>
      <c r="J145" s="824">
        <f t="shared" si="26"/>
        <v>0</v>
      </c>
      <c r="K145" s="822">
        <f t="shared" si="26"/>
        <v>0</v>
      </c>
      <c r="L145" s="822">
        <f t="shared" si="26"/>
        <v>0</v>
      </c>
      <c r="M145" s="822">
        <f t="shared" si="26"/>
        <v>0</v>
      </c>
      <c r="N145" s="822">
        <f t="shared" si="26"/>
        <v>0</v>
      </c>
      <c r="O145" s="824">
        <f t="shared" si="26"/>
        <v>0</v>
      </c>
      <c r="P145" s="824">
        <f t="shared" si="26"/>
        <v>0</v>
      </c>
      <c r="Q145" s="822">
        <f t="shared" si="26"/>
        <v>0</v>
      </c>
      <c r="R145" s="825">
        <f t="shared" si="26"/>
        <v>0</v>
      </c>
      <c r="S145" s="824">
        <f t="shared" si="26"/>
        <v>0</v>
      </c>
      <c r="T145" s="213"/>
      <c r="U145" s="858"/>
      <c r="V145" s="858">
        <v>18</v>
      </c>
      <c r="W145" s="858"/>
      <c r="X145" s="858"/>
      <c r="Y145" s="858"/>
      <c r="Z145" s="858"/>
      <c r="AA145" s="859">
        <v>18</v>
      </c>
      <c r="AB145" s="859"/>
      <c r="AC145" s="858"/>
      <c r="AD145" s="858"/>
      <c r="AE145" s="858"/>
      <c r="AF145" s="858"/>
      <c r="AG145" s="859"/>
      <c r="AH145" s="863">
        <f t="shared" ref="AH145:AK145" si="27">AH151+AH157+AH163+AH169+AH175+AH181+AH187+AH193+AH199+AH205+AH211+AH217+AH223</f>
        <v>0</v>
      </c>
      <c r="AI145" s="862">
        <f t="shared" si="27"/>
        <v>0</v>
      </c>
      <c r="AJ145" s="870">
        <f t="shared" si="27"/>
        <v>0</v>
      </c>
      <c r="AK145" s="863">
        <f t="shared" si="27"/>
        <v>0</v>
      </c>
      <c r="AL145" s="209"/>
      <c r="AM145" s="209"/>
    </row>
    <row r="146" spans="1:39" s="80" customFormat="1">
      <c r="A146" s="436"/>
      <c r="B146" s="435" t="s">
        <v>59</v>
      </c>
      <c r="C146" s="826">
        <f>IF(U146&gt;0,(U146/U146),0)</f>
        <v>0</v>
      </c>
      <c r="D146" s="827">
        <f t="shared" ref="D146:S146" si="28">IF(V146&gt;0,(V146/V146),0)</f>
        <v>1</v>
      </c>
      <c r="E146" s="827">
        <f t="shared" si="28"/>
        <v>1</v>
      </c>
      <c r="F146" s="827">
        <f t="shared" si="28"/>
        <v>0</v>
      </c>
      <c r="G146" s="827">
        <f t="shared" si="28"/>
        <v>1</v>
      </c>
      <c r="H146" s="827">
        <f t="shared" si="28"/>
        <v>0</v>
      </c>
      <c r="I146" s="826">
        <f t="shared" si="28"/>
        <v>1</v>
      </c>
      <c r="J146" s="826">
        <f t="shared" si="28"/>
        <v>0</v>
      </c>
      <c r="K146" s="827">
        <f t="shared" si="28"/>
        <v>0</v>
      </c>
      <c r="L146" s="827">
        <f t="shared" si="28"/>
        <v>0</v>
      </c>
      <c r="M146" s="827">
        <f t="shared" si="28"/>
        <v>1</v>
      </c>
      <c r="N146" s="827">
        <f t="shared" si="28"/>
        <v>0</v>
      </c>
      <c r="O146" s="826">
        <f t="shared" si="28"/>
        <v>1</v>
      </c>
      <c r="P146" s="826">
        <f t="shared" si="28"/>
        <v>0</v>
      </c>
      <c r="Q146" s="827">
        <f t="shared" si="28"/>
        <v>0</v>
      </c>
      <c r="R146" s="828">
        <f t="shared" si="28"/>
        <v>0</v>
      </c>
      <c r="S146" s="826">
        <f t="shared" si="28"/>
        <v>0</v>
      </c>
      <c r="T146" s="213"/>
      <c r="U146" s="871"/>
      <c r="V146" s="871">
        <v>429</v>
      </c>
      <c r="W146" s="871">
        <v>476</v>
      </c>
      <c r="X146" s="871"/>
      <c r="Y146" s="871">
        <v>95</v>
      </c>
      <c r="Z146" s="871"/>
      <c r="AA146" s="864">
        <v>1000</v>
      </c>
      <c r="AB146" s="864"/>
      <c r="AC146" s="871"/>
      <c r="AD146" s="871"/>
      <c r="AE146" s="871">
        <v>23</v>
      </c>
      <c r="AF146" s="871"/>
      <c r="AG146" s="864">
        <v>23</v>
      </c>
      <c r="AH146" s="872">
        <f t="shared" ref="AH146:AK146" si="29">AH152+AH158+AH164+AH170+AH176+AH182+AH188+AH194+AH200+AH206+AH212+AH218+AH224</f>
        <v>0</v>
      </c>
      <c r="AI146" s="873">
        <f t="shared" si="29"/>
        <v>0</v>
      </c>
      <c r="AJ146" s="874">
        <f t="shared" si="29"/>
        <v>0</v>
      </c>
      <c r="AK146" s="872">
        <f t="shared" si="29"/>
        <v>0</v>
      </c>
      <c r="AL146" s="209"/>
      <c r="AM146" s="209"/>
    </row>
    <row r="147" spans="1:39" s="80" customFormat="1">
      <c r="A147" s="240" t="s">
        <v>137</v>
      </c>
      <c r="B147" s="240" t="s">
        <v>53</v>
      </c>
      <c r="C147" s="829">
        <f>IF(U152&gt;0,(U147/U152),0)</f>
        <v>0.39485627836611198</v>
      </c>
      <c r="D147" s="830">
        <f t="shared" ref="D147:S147" si="30">IF(V152&gt;0,(V147/V152),0)</f>
        <v>0.32855280312907431</v>
      </c>
      <c r="E147" s="830">
        <f t="shared" si="30"/>
        <v>0</v>
      </c>
      <c r="F147" s="830">
        <f t="shared" si="30"/>
        <v>0.16190476190476191</v>
      </c>
      <c r="G147" s="830">
        <f t="shared" si="30"/>
        <v>0.17948717948717949</v>
      </c>
      <c r="H147" s="830">
        <f t="shared" si="30"/>
        <v>0</v>
      </c>
      <c r="I147" s="829">
        <f t="shared" si="30"/>
        <v>0.35563683304647159</v>
      </c>
      <c r="J147" s="829">
        <f t="shared" si="30"/>
        <v>0</v>
      </c>
      <c r="K147" s="830">
        <f t="shared" si="30"/>
        <v>0</v>
      </c>
      <c r="L147" s="830">
        <f t="shared" si="30"/>
        <v>0.11382113821138211</v>
      </c>
      <c r="M147" s="830">
        <f t="shared" si="30"/>
        <v>0</v>
      </c>
      <c r="N147" s="830">
        <f>IF(AF152&gt;0,(AF147/AF152),0)</f>
        <v>0</v>
      </c>
      <c r="O147" s="829">
        <f>IF(AG152&gt;0,(AG147/AG152),0)</f>
        <v>4.4007858546168961E-2</v>
      </c>
      <c r="P147" s="829">
        <f t="shared" si="30"/>
        <v>0</v>
      </c>
      <c r="Q147" s="830">
        <f t="shared" si="30"/>
        <v>0</v>
      </c>
      <c r="R147" s="831">
        <f t="shared" si="30"/>
        <v>0</v>
      </c>
      <c r="S147" s="829">
        <f t="shared" si="30"/>
        <v>0</v>
      </c>
      <c r="T147" s="213"/>
      <c r="U147" s="858">
        <v>1305</v>
      </c>
      <c r="V147" s="858">
        <v>252</v>
      </c>
      <c r="W147" s="858"/>
      <c r="X147" s="858">
        <v>68</v>
      </c>
      <c r="Y147" s="858">
        <v>28</v>
      </c>
      <c r="Z147" s="858"/>
      <c r="AA147" s="857">
        <v>1653</v>
      </c>
      <c r="AB147" s="857"/>
      <c r="AC147" s="858"/>
      <c r="AD147" s="858">
        <v>112</v>
      </c>
      <c r="AE147" s="858"/>
      <c r="AF147" s="858"/>
      <c r="AG147" s="857">
        <v>112</v>
      </c>
      <c r="AH147" s="861">
        <f t="shared" ref="AH147:AK147" si="31">AH153+AH159+AH165+AH171+AH177+AH183+AH189+AH195+AH201+AH207+AH213+AH219+AH225</f>
        <v>0</v>
      </c>
      <c r="AI147" s="862">
        <f t="shared" si="31"/>
        <v>0</v>
      </c>
      <c r="AJ147" s="869">
        <f t="shared" si="31"/>
        <v>0</v>
      </c>
      <c r="AK147" s="861">
        <f t="shared" si="31"/>
        <v>0</v>
      </c>
      <c r="AL147" s="209"/>
      <c r="AM147" s="209"/>
    </row>
    <row r="148" spans="1:39" s="80" customFormat="1">
      <c r="A148" s="239"/>
      <c r="B148" s="239" t="s">
        <v>93</v>
      </c>
      <c r="C148" s="832">
        <f>IF(U152&gt;0,(U148/U152),0)</f>
        <v>0.24296520423600604</v>
      </c>
      <c r="D148" s="830">
        <f t="shared" ref="D148:S148" si="32">IF(V152&gt;0,(V148/V152),0)</f>
        <v>0.26727509778357234</v>
      </c>
      <c r="E148" s="830">
        <f t="shared" si="32"/>
        <v>0</v>
      </c>
      <c r="F148" s="830">
        <f t="shared" si="32"/>
        <v>0.26904761904761904</v>
      </c>
      <c r="G148" s="830">
        <f t="shared" si="32"/>
        <v>0.27564102564102566</v>
      </c>
      <c r="H148" s="830">
        <f t="shared" si="32"/>
        <v>0</v>
      </c>
      <c r="I148" s="832">
        <f t="shared" si="32"/>
        <v>0.25043029259896732</v>
      </c>
      <c r="J148" s="832">
        <f t="shared" si="32"/>
        <v>0</v>
      </c>
      <c r="K148" s="830">
        <f t="shared" si="32"/>
        <v>0</v>
      </c>
      <c r="L148" s="830">
        <f t="shared" si="32"/>
        <v>0</v>
      </c>
      <c r="M148" s="830">
        <f t="shared" si="32"/>
        <v>0</v>
      </c>
      <c r="N148" s="830">
        <f>IF(AF152&gt;0,(AF148/AF152),0)</f>
        <v>0</v>
      </c>
      <c r="O148" s="832">
        <f>IF(AG152&gt;0,(AG148/AG152),0)</f>
        <v>0</v>
      </c>
      <c r="P148" s="832">
        <f t="shared" si="32"/>
        <v>0</v>
      </c>
      <c r="Q148" s="830">
        <f t="shared" si="32"/>
        <v>0</v>
      </c>
      <c r="R148" s="833">
        <f t="shared" si="32"/>
        <v>0</v>
      </c>
      <c r="S148" s="832">
        <f t="shared" si="32"/>
        <v>0</v>
      </c>
      <c r="T148" s="213"/>
      <c r="U148" s="858">
        <v>803</v>
      </c>
      <c r="V148" s="858">
        <v>205</v>
      </c>
      <c r="W148" s="858"/>
      <c r="X148" s="858">
        <v>113</v>
      </c>
      <c r="Y148" s="858">
        <v>43</v>
      </c>
      <c r="Z148" s="858"/>
      <c r="AA148" s="859">
        <v>1164</v>
      </c>
      <c r="AB148" s="859"/>
      <c r="AC148" s="858"/>
      <c r="AD148" s="858"/>
      <c r="AE148" s="858"/>
      <c r="AF148" s="858"/>
      <c r="AG148" s="859"/>
      <c r="AH148" s="863">
        <f t="shared" ref="AH148:AK148" si="33">AH154+AH160+AH166+AH172+AH178+AH184+AH190+AH196+AH202+AH208+AH214+AH220+AH226</f>
        <v>0</v>
      </c>
      <c r="AI148" s="862">
        <f t="shared" si="33"/>
        <v>0</v>
      </c>
      <c r="AJ148" s="870">
        <f t="shared" si="33"/>
        <v>0</v>
      </c>
      <c r="AK148" s="863">
        <f t="shared" si="33"/>
        <v>0</v>
      </c>
      <c r="AL148" s="209"/>
      <c r="AM148" s="209"/>
    </row>
    <row r="149" spans="1:39" s="80" customFormat="1">
      <c r="A149" s="239"/>
      <c r="B149" s="239" t="s">
        <v>55</v>
      </c>
      <c r="C149" s="832">
        <f>IF(U152&gt;0,(U149/U152),0)</f>
        <v>0.21301059001512859</v>
      </c>
      <c r="D149" s="830">
        <f t="shared" ref="D149:S149" si="34">IF(V152&gt;0,(V149/V152),0)</f>
        <v>0.24380704041720991</v>
      </c>
      <c r="E149" s="830">
        <f t="shared" si="34"/>
        <v>0</v>
      </c>
      <c r="F149" s="830">
        <f t="shared" si="34"/>
        <v>0.28809523809523807</v>
      </c>
      <c r="G149" s="830">
        <f t="shared" si="34"/>
        <v>0.27564102564102566</v>
      </c>
      <c r="H149" s="830">
        <f t="shared" si="34"/>
        <v>0</v>
      </c>
      <c r="I149" s="832">
        <f t="shared" si="34"/>
        <v>0.22697934595524957</v>
      </c>
      <c r="J149" s="832">
        <f t="shared" si="34"/>
        <v>0</v>
      </c>
      <c r="K149" s="830">
        <f t="shared" si="34"/>
        <v>0</v>
      </c>
      <c r="L149" s="830">
        <f t="shared" si="34"/>
        <v>0</v>
      </c>
      <c r="M149" s="830">
        <f t="shared" si="34"/>
        <v>0</v>
      </c>
      <c r="N149" s="830">
        <f>IF(AF152&gt;0,(AF149/AF152),0)</f>
        <v>0</v>
      </c>
      <c r="O149" s="832">
        <f>IF(AG152&gt;0,(AG149/AG152),0)</f>
        <v>0</v>
      </c>
      <c r="P149" s="832">
        <f t="shared" si="34"/>
        <v>0</v>
      </c>
      <c r="Q149" s="830">
        <f t="shared" si="34"/>
        <v>0</v>
      </c>
      <c r="R149" s="833">
        <f t="shared" si="34"/>
        <v>0</v>
      </c>
      <c r="S149" s="832">
        <f t="shared" si="34"/>
        <v>0</v>
      </c>
      <c r="T149" s="213"/>
      <c r="U149" s="858">
        <v>704</v>
      </c>
      <c r="V149" s="858">
        <v>187</v>
      </c>
      <c r="W149" s="858"/>
      <c r="X149" s="858">
        <v>121</v>
      </c>
      <c r="Y149" s="858">
        <v>43</v>
      </c>
      <c r="Z149" s="858"/>
      <c r="AA149" s="859">
        <v>1055</v>
      </c>
      <c r="AB149" s="859"/>
      <c r="AC149" s="858"/>
      <c r="AD149" s="858"/>
      <c r="AE149" s="858"/>
      <c r="AF149" s="858"/>
      <c r="AG149" s="859"/>
      <c r="AH149" s="863">
        <f t="shared" ref="AH149:AK149" si="35">AH155+AH161+AH167+AH173+AH179+AH185+AH191+AH197+AH203+AH209+AH215+AH221+AH227</f>
        <v>0</v>
      </c>
      <c r="AI149" s="862">
        <f t="shared" si="35"/>
        <v>0</v>
      </c>
      <c r="AJ149" s="870">
        <f t="shared" si="35"/>
        <v>0</v>
      </c>
      <c r="AK149" s="863">
        <f t="shared" si="35"/>
        <v>0</v>
      </c>
      <c r="AL149" s="209"/>
      <c r="AM149" s="209"/>
    </row>
    <row r="150" spans="1:39" s="80" customFormat="1">
      <c r="A150" s="239"/>
      <c r="B150" s="239" t="s">
        <v>78</v>
      </c>
      <c r="C150" s="832">
        <f>IF(U152&gt;0,(U150/U152),0)</f>
        <v>4.05446293494705E-2</v>
      </c>
      <c r="D150" s="830">
        <f t="shared" ref="D150:S150" si="36">IF(V152&gt;0,(V150/V152),0)</f>
        <v>5.3455019556714473E-2</v>
      </c>
      <c r="E150" s="830">
        <f t="shared" si="36"/>
        <v>0</v>
      </c>
      <c r="F150" s="830">
        <f t="shared" si="36"/>
        <v>0</v>
      </c>
      <c r="G150" s="830">
        <f t="shared" si="36"/>
        <v>5.7692307692307696E-2</v>
      </c>
      <c r="H150" s="830">
        <f t="shared" si="36"/>
        <v>0</v>
      </c>
      <c r="I150" s="832">
        <f t="shared" si="36"/>
        <v>3.9586919104991396E-2</v>
      </c>
      <c r="J150" s="832">
        <f t="shared" si="36"/>
        <v>0</v>
      </c>
      <c r="K150" s="830">
        <f t="shared" si="36"/>
        <v>0</v>
      </c>
      <c r="L150" s="830">
        <f t="shared" si="36"/>
        <v>0.26422764227642276</v>
      </c>
      <c r="M150" s="830">
        <f t="shared" si="36"/>
        <v>1</v>
      </c>
      <c r="N150" s="830">
        <f>IF(AF152&gt;0,(AF150/AF152),0)</f>
        <v>0</v>
      </c>
      <c r="O150" s="832">
        <f>IF(AG152&gt;0,(AG150/AG152),0)</f>
        <v>0.14852652259332025</v>
      </c>
      <c r="P150" s="832">
        <f t="shared" si="36"/>
        <v>0</v>
      </c>
      <c r="Q150" s="830">
        <f t="shared" si="36"/>
        <v>0</v>
      </c>
      <c r="R150" s="833">
        <f t="shared" si="36"/>
        <v>0</v>
      </c>
      <c r="S150" s="832">
        <f t="shared" si="36"/>
        <v>0</v>
      </c>
      <c r="T150" s="213"/>
      <c r="U150" s="858">
        <v>134</v>
      </c>
      <c r="V150" s="858">
        <v>41</v>
      </c>
      <c r="W150" s="858"/>
      <c r="X150" s="858"/>
      <c r="Y150" s="858">
        <v>9</v>
      </c>
      <c r="Z150" s="858"/>
      <c r="AA150" s="859">
        <v>184</v>
      </c>
      <c r="AB150" s="859"/>
      <c r="AC150" s="858"/>
      <c r="AD150" s="858">
        <v>260</v>
      </c>
      <c r="AE150" s="858">
        <v>118</v>
      </c>
      <c r="AF150" s="858"/>
      <c r="AG150" s="859">
        <v>378</v>
      </c>
      <c r="AH150" s="863">
        <f t="shared" ref="AH150:AK150" si="37">AH156+AH162+AH168+AH174+AH180+AH186+AH192+AH198+AH204+AH210+AH216+AH222+AH228</f>
        <v>0</v>
      </c>
      <c r="AI150" s="862">
        <f t="shared" si="37"/>
        <v>0</v>
      </c>
      <c r="AJ150" s="870">
        <f t="shared" si="37"/>
        <v>0</v>
      </c>
      <c r="AK150" s="863">
        <f t="shared" si="37"/>
        <v>0</v>
      </c>
      <c r="AL150" s="209"/>
      <c r="AM150" s="209"/>
    </row>
    <row r="151" spans="1:39" s="80" customFormat="1">
      <c r="A151" s="580"/>
      <c r="B151" s="580" t="s">
        <v>131</v>
      </c>
      <c r="C151" s="832">
        <f>IF(U152&gt;0,(U151/U152),0)</f>
        <v>0.10862329803328291</v>
      </c>
      <c r="D151" s="830">
        <f t="shared" ref="D151:S151" si="38">IF(V152&gt;0,(V151/V152),0)</f>
        <v>0.10691003911342895</v>
      </c>
      <c r="E151" s="830">
        <f t="shared" si="38"/>
        <v>0</v>
      </c>
      <c r="F151" s="830">
        <f t="shared" si="38"/>
        <v>0.28095238095238095</v>
      </c>
      <c r="G151" s="830">
        <f t="shared" si="38"/>
        <v>0.21153846153846154</v>
      </c>
      <c r="H151" s="830">
        <f t="shared" si="38"/>
        <v>0</v>
      </c>
      <c r="I151" s="832">
        <f t="shared" si="38"/>
        <v>0.12736660929432014</v>
      </c>
      <c r="J151" s="832">
        <f t="shared" si="38"/>
        <v>0</v>
      </c>
      <c r="K151" s="830">
        <f t="shared" si="38"/>
        <v>0</v>
      </c>
      <c r="L151" s="830">
        <f t="shared" si="38"/>
        <v>1.4664634146341464</v>
      </c>
      <c r="M151" s="830">
        <f t="shared" si="38"/>
        <v>5.1864406779661021</v>
      </c>
      <c r="N151" s="830">
        <f>IF(AF152&gt;0,(AF151/AF152),0)</f>
        <v>0</v>
      </c>
      <c r="O151" s="832">
        <f>IF(AG152&gt;0,(AG151/AG152),0)</f>
        <v>0.80746561886051083</v>
      </c>
      <c r="P151" s="832">
        <f t="shared" si="38"/>
        <v>0</v>
      </c>
      <c r="Q151" s="830">
        <f t="shared" si="38"/>
        <v>0</v>
      </c>
      <c r="R151" s="833">
        <f t="shared" si="38"/>
        <v>0</v>
      </c>
      <c r="S151" s="832">
        <f t="shared" si="38"/>
        <v>0</v>
      </c>
      <c r="T151" s="213"/>
      <c r="U151" s="875">
        <v>359</v>
      </c>
      <c r="V151" s="772">
        <v>82</v>
      </c>
      <c r="W151" s="772"/>
      <c r="X151" s="772">
        <v>118</v>
      </c>
      <c r="Y151" s="772">
        <v>33</v>
      </c>
      <c r="Z151" s="772"/>
      <c r="AA151" s="875">
        <v>592</v>
      </c>
      <c r="AB151" s="859"/>
      <c r="AC151" s="858"/>
      <c r="AD151" s="858">
        <v>1443</v>
      </c>
      <c r="AE151" s="858">
        <v>612</v>
      </c>
      <c r="AF151" s="858"/>
      <c r="AG151" s="859">
        <v>2055</v>
      </c>
      <c r="AH151" s="863">
        <f t="shared" ref="AH151:AK151" si="39">AH157+AH163+AH169+AH175+AH181+AH187+AH193+AH199+AH205+AH211+AH217+AH223+AH229</f>
        <v>0</v>
      </c>
      <c r="AI151" s="862">
        <f t="shared" si="39"/>
        <v>0</v>
      </c>
      <c r="AJ151" s="870">
        <f t="shared" si="39"/>
        <v>0</v>
      </c>
      <c r="AK151" s="863">
        <f t="shared" si="39"/>
        <v>0</v>
      </c>
      <c r="AL151" s="209"/>
      <c r="AM151" s="209"/>
    </row>
    <row r="152" spans="1:39" s="80" customFormat="1">
      <c r="A152" s="436"/>
      <c r="B152" s="435" t="s">
        <v>59</v>
      </c>
      <c r="C152" s="834">
        <f>IF(U152&gt;0,(U152/U152),0)</f>
        <v>1</v>
      </c>
      <c r="D152" s="835">
        <f t="shared" ref="D152:S152" si="40">IF(V152&gt;0,(V152/V152),0)</f>
        <v>1</v>
      </c>
      <c r="E152" s="835">
        <f t="shared" si="40"/>
        <v>0</v>
      </c>
      <c r="F152" s="835">
        <f t="shared" si="40"/>
        <v>1</v>
      </c>
      <c r="G152" s="835">
        <f t="shared" si="40"/>
        <v>1</v>
      </c>
      <c r="H152" s="835">
        <f t="shared" si="40"/>
        <v>0</v>
      </c>
      <c r="I152" s="834">
        <f t="shared" si="40"/>
        <v>1</v>
      </c>
      <c r="J152" s="834">
        <f t="shared" si="40"/>
        <v>0</v>
      </c>
      <c r="K152" s="835">
        <f t="shared" si="40"/>
        <v>1</v>
      </c>
      <c r="L152" s="835">
        <f t="shared" si="40"/>
        <v>1</v>
      </c>
      <c r="M152" s="835">
        <f t="shared" si="40"/>
        <v>1</v>
      </c>
      <c r="N152" s="835">
        <f>IF(AF152&gt;0,(AF152/AF152),0)</f>
        <v>0</v>
      </c>
      <c r="O152" s="834">
        <f>IF(AG152&gt;0,(AG152/AG152),0)</f>
        <v>1</v>
      </c>
      <c r="P152" s="834">
        <f t="shared" si="40"/>
        <v>0</v>
      </c>
      <c r="Q152" s="835">
        <f t="shared" si="40"/>
        <v>0</v>
      </c>
      <c r="R152" s="836">
        <f t="shared" si="40"/>
        <v>0</v>
      </c>
      <c r="S152" s="834">
        <f t="shared" si="40"/>
        <v>0</v>
      </c>
      <c r="T152" s="213"/>
      <c r="U152" s="871">
        <v>3305</v>
      </c>
      <c r="V152" s="871">
        <v>767</v>
      </c>
      <c r="W152" s="871"/>
      <c r="X152" s="871">
        <v>420</v>
      </c>
      <c r="Y152" s="871">
        <v>156</v>
      </c>
      <c r="Z152" s="871"/>
      <c r="AA152" s="864">
        <v>4648</v>
      </c>
      <c r="AB152" s="864"/>
      <c r="AC152" s="871">
        <v>1443</v>
      </c>
      <c r="AD152" s="871">
        <v>984</v>
      </c>
      <c r="AE152" s="871">
        <v>118</v>
      </c>
      <c r="AF152" s="871"/>
      <c r="AG152" s="864">
        <v>2545</v>
      </c>
      <c r="AH152" s="872">
        <f t="shared" ref="AH152:AK152" si="41">AH158+AH164+AH170+AH176+AH182+AH188+AH194+AH200+AH206+AH212+AH218+AH224+AH230</f>
        <v>0</v>
      </c>
      <c r="AI152" s="873">
        <f t="shared" si="41"/>
        <v>0</v>
      </c>
      <c r="AJ152" s="874">
        <f t="shared" si="41"/>
        <v>0</v>
      </c>
      <c r="AK152" s="872">
        <f t="shared" si="41"/>
        <v>0</v>
      </c>
      <c r="AL152" s="209"/>
      <c r="AM152" s="209"/>
    </row>
    <row r="153" spans="1:39" s="80" customFormat="1">
      <c r="A153" s="240" t="s">
        <v>138</v>
      </c>
      <c r="B153" s="240" t="s">
        <v>53</v>
      </c>
      <c r="C153" s="829">
        <f>IF(U158&gt;0,(U153/U158),0)</f>
        <v>0.5143019943019943</v>
      </c>
      <c r="D153" s="830">
        <f t="shared" ref="D153:S153" si="42">IF(V158&gt;0,(V153/V158),0)</f>
        <v>0.3670490093847758</v>
      </c>
      <c r="E153" s="830">
        <f t="shared" si="42"/>
        <v>0.37965042476320671</v>
      </c>
      <c r="F153" s="830">
        <f t="shared" si="42"/>
        <v>0.33910533910533913</v>
      </c>
      <c r="G153" s="830">
        <f t="shared" si="42"/>
        <v>0</v>
      </c>
      <c r="H153" s="830">
        <f t="shared" si="42"/>
        <v>0.17427385892116182</v>
      </c>
      <c r="I153" s="829">
        <f t="shared" si="42"/>
        <v>0.43187144291931706</v>
      </c>
      <c r="J153" s="829">
        <f t="shared" si="42"/>
        <v>0</v>
      </c>
      <c r="K153" s="830">
        <f t="shared" si="42"/>
        <v>3.811777076761304E-3</v>
      </c>
      <c r="L153" s="830">
        <f t="shared" si="42"/>
        <v>1.2556679455877224E-2</v>
      </c>
      <c r="M153" s="830">
        <f t="shared" si="42"/>
        <v>9.1533180778032037E-3</v>
      </c>
      <c r="N153" s="830">
        <f>IF(AG158&gt;0,(AF153/AG158),0)</f>
        <v>0</v>
      </c>
      <c r="O153" s="829" t="e">
        <f>IF(#REF!&gt;0,(AG153/#REF!),0)</f>
        <v>#REF!</v>
      </c>
      <c r="P153" s="829">
        <f t="shared" si="42"/>
        <v>0</v>
      </c>
      <c r="Q153" s="830">
        <f t="shared" si="42"/>
        <v>0</v>
      </c>
      <c r="R153" s="831">
        <f t="shared" si="42"/>
        <v>0</v>
      </c>
      <c r="S153" s="829">
        <f t="shared" si="42"/>
        <v>0</v>
      </c>
      <c r="T153" s="213"/>
      <c r="U153" s="858">
        <v>4513</v>
      </c>
      <c r="V153" s="858">
        <v>352</v>
      </c>
      <c r="W153" s="858">
        <v>3888</v>
      </c>
      <c r="X153" s="858">
        <v>235</v>
      </c>
      <c r="Y153" s="858"/>
      <c r="Z153" s="858">
        <v>42</v>
      </c>
      <c r="AA153" s="857">
        <v>9030</v>
      </c>
      <c r="AB153" s="857"/>
      <c r="AC153" s="858">
        <v>58</v>
      </c>
      <c r="AD153" s="858">
        <v>36</v>
      </c>
      <c r="AE153" s="858">
        <v>4</v>
      </c>
      <c r="AF153" s="858"/>
      <c r="AG153" s="857">
        <v>98</v>
      </c>
      <c r="AH153" s="861">
        <f t="shared" ref="AH153:AK153" si="43">AH159+AH165+AH171+AH177+AH183+AH189+AH195+AH201+AH207+AH213+AH219+AH225+AH231</f>
        <v>0</v>
      </c>
      <c r="AI153" s="862">
        <f t="shared" si="43"/>
        <v>0</v>
      </c>
      <c r="AJ153" s="869">
        <f t="shared" si="43"/>
        <v>0</v>
      </c>
      <c r="AK153" s="861">
        <f t="shared" si="43"/>
        <v>0</v>
      </c>
      <c r="AL153" s="209"/>
      <c r="AM153" s="209"/>
    </row>
    <row r="154" spans="1:39" s="80" customFormat="1">
      <c r="A154" s="239"/>
      <c r="B154" s="239" t="s">
        <v>93</v>
      </c>
      <c r="C154" s="832">
        <f>IF(U158&gt;0,(U154/U158),0)</f>
        <v>0.17435897435897435</v>
      </c>
      <c r="D154" s="830">
        <f t="shared" ref="D154:S154" si="44">IF(V158&gt;0,(V154/V158),0)</f>
        <v>0.25130344108446301</v>
      </c>
      <c r="E154" s="830">
        <f t="shared" si="44"/>
        <v>0.21550629821306513</v>
      </c>
      <c r="F154" s="830">
        <f t="shared" si="44"/>
        <v>0.22366522366522368</v>
      </c>
      <c r="G154" s="830">
        <f t="shared" si="44"/>
        <v>0</v>
      </c>
      <c r="H154" s="830">
        <f t="shared" si="44"/>
        <v>0.12033195020746888</v>
      </c>
      <c r="I154" s="832">
        <f t="shared" si="44"/>
        <v>0.19905303936104071</v>
      </c>
      <c r="J154" s="832">
        <f t="shared" si="44"/>
        <v>0</v>
      </c>
      <c r="K154" s="830">
        <f t="shared" si="44"/>
        <v>5.2576235541535224E-4</v>
      </c>
      <c r="L154" s="830">
        <f t="shared" si="44"/>
        <v>8.0223229856993365E-3</v>
      </c>
      <c r="M154" s="830">
        <f t="shared" si="44"/>
        <v>0</v>
      </c>
      <c r="N154" s="830">
        <f>IF(AG158&gt;0,(AF154/AG158),0)</f>
        <v>0</v>
      </c>
      <c r="O154" s="832" t="e">
        <f>IF(#REF!&gt;0,(AG154/#REF!),0)</f>
        <v>#REF!</v>
      </c>
      <c r="P154" s="832">
        <f t="shared" si="44"/>
        <v>0</v>
      </c>
      <c r="Q154" s="830">
        <f t="shared" si="44"/>
        <v>0</v>
      </c>
      <c r="R154" s="833">
        <f t="shared" si="44"/>
        <v>0</v>
      </c>
      <c r="S154" s="832">
        <f t="shared" si="44"/>
        <v>0</v>
      </c>
      <c r="T154" s="213"/>
      <c r="U154" s="858">
        <v>1530</v>
      </c>
      <c r="V154" s="858">
        <v>241</v>
      </c>
      <c r="W154" s="858">
        <v>2207</v>
      </c>
      <c r="X154" s="858">
        <v>155</v>
      </c>
      <c r="Y154" s="858"/>
      <c r="Z154" s="858">
        <v>29</v>
      </c>
      <c r="AA154" s="859">
        <v>4162</v>
      </c>
      <c r="AB154" s="859"/>
      <c r="AC154" s="858">
        <v>8</v>
      </c>
      <c r="AD154" s="858">
        <v>23</v>
      </c>
      <c r="AE154" s="858"/>
      <c r="AF154" s="858"/>
      <c r="AG154" s="859">
        <v>31</v>
      </c>
      <c r="AH154" s="863">
        <f t="shared" ref="AH154:AK154" si="45">AH160+AH166+AH172+AH178+AH184+AH190+AH196+AH202+AH208+AH214+AH220+AH226+AH232</f>
        <v>0</v>
      </c>
      <c r="AI154" s="862">
        <f t="shared" si="45"/>
        <v>0</v>
      </c>
      <c r="AJ154" s="870">
        <f t="shared" si="45"/>
        <v>0</v>
      </c>
      <c r="AK154" s="863">
        <f t="shared" si="45"/>
        <v>0</v>
      </c>
      <c r="AL154" s="209"/>
      <c r="AM154" s="209"/>
    </row>
    <row r="155" spans="1:39" s="80" customFormat="1">
      <c r="A155" s="239"/>
      <c r="B155" s="239" t="s">
        <v>55</v>
      </c>
      <c r="C155" s="832">
        <f>IF(U158&gt;0,(U155/U158),0)</f>
        <v>0.19111111111111112</v>
      </c>
      <c r="D155" s="830">
        <f t="shared" ref="D155:S155" si="46">IF(V158&gt;0,(V155/V158),0)</f>
        <v>0.19082377476538059</v>
      </c>
      <c r="E155" s="830">
        <f t="shared" si="46"/>
        <v>0.24997558832145297</v>
      </c>
      <c r="F155" s="830">
        <f t="shared" si="46"/>
        <v>0.25685425685425683</v>
      </c>
      <c r="G155" s="830">
        <f t="shared" si="46"/>
        <v>0</v>
      </c>
      <c r="H155" s="830">
        <f t="shared" si="46"/>
        <v>0.37344398340248963</v>
      </c>
      <c r="I155" s="832">
        <f t="shared" si="46"/>
        <v>0.22420967047682816</v>
      </c>
      <c r="J155" s="832">
        <f t="shared" si="46"/>
        <v>0</v>
      </c>
      <c r="K155" s="830">
        <f t="shared" si="46"/>
        <v>8.5436382754994742E-4</v>
      </c>
      <c r="L155" s="830">
        <f t="shared" si="46"/>
        <v>7.3247296825950468E-3</v>
      </c>
      <c r="M155" s="830">
        <f t="shared" si="46"/>
        <v>0</v>
      </c>
      <c r="N155" s="830">
        <f>IF(AG158&gt;0,(AF155/AG158),0)</f>
        <v>0</v>
      </c>
      <c r="O155" s="832" t="e">
        <f>IF(#REF!&gt;0,(AG155/#REF!),0)</f>
        <v>#REF!</v>
      </c>
      <c r="P155" s="832">
        <f t="shared" si="46"/>
        <v>0</v>
      </c>
      <c r="Q155" s="830">
        <f t="shared" si="46"/>
        <v>0</v>
      </c>
      <c r="R155" s="833">
        <f t="shared" si="46"/>
        <v>0</v>
      </c>
      <c r="S155" s="832">
        <f t="shared" si="46"/>
        <v>0</v>
      </c>
      <c r="T155" s="213"/>
      <c r="U155" s="858">
        <v>1677</v>
      </c>
      <c r="V155" s="858">
        <v>183</v>
      </c>
      <c r="W155" s="858">
        <v>2560</v>
      </c>
      <c r="X155" s="858">
        <v>178</v>
      </c>
      <c r="Y155" s="858"/>
      <c r="Z155" s="858">
        <v>90</v>
      </c>
      <c r="AA155" s="859">
        <v>4688</v>
      </c>
      <c r="AB155" s="859"/>
      <c r="AC155" s="858">
        <v>13</v>
      </c>
      <c r="AD155" s="858">
        <v>21</v>
      </c>
      <c r="AE155" s="858"/>
      <c r="AF155" s="858"/>
      <c r="AG155" s="859">
        <v>34</v>
      </c>
      <c r="AH155" s="863">
        <f t="shared" ref="AH155:AK155" si="47">AH161+AH167+AH173+AH179+AH185+AH191+AH197+AH203+AH209+AH215+AH221+AH227+AH233</f>
        <v>0</v>
      </c>
      <c r="AI155" s="862">
        <f t="shared" si="47"/>
        <v>0</v>
      </c>
      <c r="AJ155" s="870">
        <f t="shared" si="47"/>
        <v>0</v>
      </c>
      <c r="AK155" s="863">
        <f t="shared" si="47"/>
        <v>0</v>
      </c>
      <c r="AL155" s="209"/>
      <c r="AM155" s="209"/>
    </row>
    <row r="156" spans="1:39" s="80" customFormat="1">
      <c r="A156" s="239"/>
      <c r="B156" s="239" t="s">
        <v>78</v>
      </c>
      <c r="C156" s="832">
        <f>IF(U158&gt;0,(U156/U158),0)</f>
        <v>3.4188034188034188E-4</v>
      </c>
      <c r="D156" s="830">
        <f t="shared" ref="D156:S156" si="48">IF(V158&gt;0,(V156/V158),0)</f>
        <v>0</v>
      </c>
      <c r="E156" s="830">
        <f t="shared" si="48"/>
        <v>2.9294014256420274E-4</v>
      </c>
      <c r="F156" s="830">
        <f t="shared" si="48"/>
        <v>0</v>
      </c>
      <c r="G156" s="830">
        <f t="shared" si="48"/>
        <v>0</v>
      </c>
      <c r="H156" s="830">
        <f t="shared" si="48"/>
        <v>0</v>
      </c>
      <c r="I156" s="832">
        <f t="shared" si="48"/>
        <v>2.8695776938160602E-4</v>
      </c>
      <c r="J156" s="832">
        <f t="shared" si="48"/>
        <v>0</v>
      </c>
      <c r="K156" s="830">
        <f t="shared" si="48"/>
        <v>0.99480809674027337</v>
      </c>
      <c r="L156" s="830">
        <f t="shared" si="48"/>
        <v>0.96442274154168117</v>
      </c>
      <c r="M156" s="830">
        <f t="shared" si="48"/>
        <v>0.99084668192219683</v>
      </c>
      <c r="N156" s="830">
        <f>IF(AG158&gt;0,(AF156/AG158),0)</f>
        <v>0</v>
      </c>
      <c r="O156" s="832" t="e">
        <f>IF(#REF!&gt;0,(AG156/#REF!),0)</f>
        <v>#REF!</v>
      </c>
      <c r="P156" s="832">
        <f t="shared" si="48"/>
        <v>0</v>
      </c>
      <c r="Q156" s="830">
        <f t="shared" si="48"/>
        <v>0</v>
      </c>
      <c r="R156" s="833">
        <f t="shared" si="48"/>
        <v>0</v>
      </c>
      <c r="S156" s="832">
        <f t="shared" si="48"/>
        <v>0</v>
      </c>
      <c r="T156" s="213"/>
      <c r="U156" s="858">
        <v>3</v>
      </c>
      <c r="V156" s="858"/>
      <c r="W156" s="858">
        <v>3</v>
      </c>
      <c r="X156" s="858"/>
      <c r="Y156" s="858"/>
      <c r="Z156" s="858"/>
      <c r="AA156" s="859">
        <v>6</v>
      </c>
      <c r="AB156" s="859"/>
      <c r="AC156" s="858">
        <v>15137</v>
      </c>
      <c r="AD156" s="858">
        <v>2765</v>
      </c>
      <c r="AE156" s="858">
        <v>433</v>
      </c>
      <c r="AF156" s="858"/>
      <c r="AG156" s="859">
        <v>18335</v>
      </c>
      <c r="AH156" s="863">
        <f t="shared" ref="AH156:AK156" si="49">AH162+AH168+AH174+AH180+AH186+AH192+AH198+AH204+AH210+AH216+AH222+AH228+AH234</f>
        <v>0</v>
      </c>
      <c r="AI156" s="862">
        <f t="shared" si="49"/>
        <v>0</v>
      </c>
      <c r="AJ156" s="870">
        <f t="shared" si="49"/>
        <v>0</v>
      </c>
      <c r="AK156" s="863">
        <f t="shared" si="49"/>
        <v>0</v>
      </c>
      <c r="AL156" s="209"/>
      <c r="AM156" s="209"/>
    </row>
    <row r="157" spans="1:39" s="80" customFormat="1">
      <c r="A157" s="580"/>
      <c r="B157" s="580" t="s">
        <v>131</v>
      </c>
      <c r="C157" s="832">
        <f>IF(U158&gt;0,(U157/U158),0)</f>
        <v>0.11988603988603988</v>
      </c>
      <c r="D157" s="830">
        <f t="shared" ref="D157:S157" si="50">IF(V158&gt;0,(V157/V158),0)</f>
        <v>0.19082377476538059</v>
      </c>
      <c r="E157" s="830">
        <f t="shared" si="50"/>
        <v>0.15457474855971096</v>
      </c>
      <c r="F157" s="830">
        <f t="shared" si="50"/>
        <v>0.18037518037518038</v>
      </c>
      <c r="G157" s="830">
        <f t="shared" si="50"/>
        <v>0</v>
      </c>
      <c r="H157" s="830">
        <f t="shared" si="50"/>
        <v>0.33195020746887965</v>
      </c>
      <c r="I157" s="832">
        <f t="shared" si="50"/>
        <v>0.1445788894734325</v>
      </c>
      <c r="J157" s="832">
        <f t="shared" si="50"/>
        <v>0</v>
      </c>
      <c r="K157" s="830">
        <f t="shared" si="50"/>
        <v>0</v>
      </c>
      <c r="L157" s="830">
        <f t="shared" si="50"/>
        <v>7.6735263341471925E-3</v>
      </c>
      <c r="M157" s="830">
        <f t="shared" si="50"/>
        <v>0</v>
      </c>
      <c r="N157" s="830">
        <f>IF(AG158&gt;0,(AF157/AG158),0)</f>
        <v>0</v>
      </c>
      <c r="O157" s="832" t="e">
        <f>IF(#REF!&gt;0,(AG157/#REF!),0)</f>
        <v>#REF!</v>
      </c>
      <c r="P157" s="832">
        <f t="shared" si="50"/>
        <v>0</v>
      </c>
      <c r="Q157" s="830">
        <f t="shared" si="50"/>
        <v>0</v>
      </c>
      <c r="R157" s="833">
        <f t="shared" si="50"/>
        <v>0</v>
      </c>
      <c r="S157" s="832">
        <f t="shared" si="50"/>
        <v>0</v>
      </c>
      <c r="T157" s="213"/>
      <c r="U157" s="858">
        <v>1052</v>
      </c>
      <c r="V157" s="858">
        <v>183</v>
      </c>
      <c r="W157" s="858">
        <v>1583</v>
      </c>
      <c r="X157" s="858">
        <v>125</v>
      </c>
      <c r="Y157" s="858"/>
      <c r="Z157" s="858">
        <v>80</v>
      </c>
      <c r="AA157" s="859">
        <v>3023</v>
      </c>
      <c r="AB157" s="859"/>
      <c r="AC157" s="858"/>
      <c r="AD157" s="858">
        <v>22</v>
      </c>
      <c r="AE157" s="858"/>
      <c r="AF157" s="858"/>
      <c r="AG157" s="859">
        <v>22</v>
      </c>
      <c r="AH157" s="863">
        <f t="shared" ref="AH157:AK157" si="51">AH163+AH169+AH175+AH181+AH187+AH193+AH199+AH205+AH211+AH217+AH223+AH229+AH235</f>
        <v>0</v>
      </c>
      <c r="AI157" s="862">
        <f t="shared" si="51"/>
        <v>0</v>
      </c>
      <c r="AJ157" s="870">
        <f t="shared" si="51"/>
        <v>0</v>
      </c>
      <c r="AK157" s="863">
        <f t="shared" si="51"/>
        <v>0</v>
      </c>
      <c r="AL157" s="209"/>
      <c r="AM157" s="209"/>
    </row>
    <row r="158" spans="1:39" s="80" customFormat="1">
      <c r="A158" s="436"/>
      <c r="B158" s="436" t="s">
        <v>59</v>
      </c>
      <c r="C158" s="834">
        <f>IF(U158&gt;0,(U158/U158),0)</f>
        <v>1</v>
      </c>
      <c r="D158" s="835">
        <f t="shared" ref="D158:S158" si="52">IF(V158&gt;0,(V158/V158),0)</f>
        <v>1</v>
      </c>
      <c r="E158" s="835">
        <f t="shared" si="52"/>
        <v>1</v>
      </c>
      <c r="F158" s="835">
        <f t="shared" si="52"/>
        <v>1</v>
      </c>
      <c r="G158" s="835">
        <f t="shared" si="52"/>
        <v>0</v>
      </c>
      <c r="H158" s="835">
        <f t="shared" si="52"/>
        <v>1</v>
      </c>
      <c r="I158" s="834">
        <f t="shared" si="52"/>
        <v>1</v>
      </c>
      <c r="J158" s="834">
        <f t="shared" si="52"/>
        <v>0</v>
      </c>
      <c r="K158" s="835">
        <f t="shared" si="52"/>
        <v>1</v>
      </c>
      <c r="L158" s="835">
        <f t="shared" si="52"/>
        <v>1</v>
      </c>
      <c r="M158" s="835">
        <f t="shared" si="52"/>
        <v>1</v>
      </c>
      <c r="N158" s="835">
        <f>IF(AG158&gt;0,(AG158/AG158),0)</f>
        <v>1</v>
      </c>
      <c r="O158" s="834" t="e">
        <f>IF(#REF!&gt;0,(#REF!/#REF!),0)</f>
        <v>#REF!</v>
      </c>
      <c r="P158" s="834">
        <f t="shared" si="52"/>
        <v>0</v>
      </c>
      <c r="Q158" s="835">
        <f t="shared" si="52"/>
        <v>0</v>
      </c>
      <c r="R158" s="836">
        <f t="shared" si="52"/>
        <v>0</v>
      </c>
      <c r="S158" s="834">
        <f t="shared" si="52"/>
        <v>0</v>
      </c>
      <c r="T158" s="213"/>
      <c r="U158" s="871">
        <v>8775</v>
      </c>
      <c r="V158" s="871">
        <v>959</v>
      </c>
      <c r="W158" s="871">
        <v>10241</v>
      </c>
      <c r="X158" s="871">
        <v>693</v>
      </c>
      <c r="Y158" s="871"/>
      <c r="Z158" s="871">
        <v>241</v>
      </c>
      <c r="AA158" s="864">
        <v>20909</v>
      </c>
      <c r="AB158" s="864"/>
      <c r="AC158" s="871">
        <v>15216</v>
      </c>
      <c r="AD158" s="871">
        <v>2867</v>
      </c>
      <c r="AE158" s="871">
        <v>437</v>
      </c>
      <c r="AF158" s="876"/>
      <c r="AG158" s="871">
        <v>18520</v>
      </c>
      <c r="AH158" s="872">
        <f t="shared" ref="AH158:AK158" si="53">AH164+AH170+AH176+AH182+AH188+AH194+AH200+AH206+AH212+AH218+AH224+AH230+AH236</f>
        <v>0</v>
      </c>
      <c r="AI158" s="873">
        <f t="shared" si="53"/>
        <v>0</v>
      </c>
      <c r="AJ158" s="874">
        <f t="shared" si="53"/>
        <v>0</v>
      </c>
      <c r="AK158" s="872">
        <f t="shared" si="53"/>
        <v>0</v>
      </c>
      <c r="AL158" s="209"/>
      <c r="AM158" s="209"/>
    </row>
    <row r="159" spans="1:39" s="80" customFormat="1">
      <c r="A159" s="240" t="s">
        <v>139</v>
      </c>
      <c r="B159" s="240" t="s">
        <v>53</v>
      </c>
      <c r="C159" s="829">
        <f>IF(U164&gt;0,(U159/U164),0)</f>
        <v>0.34930055108096653</v>
      </c>
      <c r="D159" s="830">
        <f t="shared" ref="D159:S159" si="54">IF(V164&gt;0,(V159/V164),0)</f>
        <v>0.26276694521819871</v>
      </c>
      <c r="E159" s="830">
        <f t="shared" si="54"/>
        <v>0.28136882129277568</v>
      </c>
      <c r="F159" s="830">
        <f t="shared" si="54"/>
        <v>0</v>
      </c>
      <c r="G159" s="830">
        <f t="shared" si="54"/>
        <v>0.28358208955223879</v>
      </c>
      <c r="H159" s="830">
        <f t="shared" si="54"/>
        <v>0.27634194831013914</v>
      </c>
      <c r="I159" s="829">
        <f t="shared" si="54"/>
        <v>0.30866680072390912</v>
      </c>
      <c r="J159" s="829">
        <f t="shared" si="54"/>
        <v>0</v>
      </c>
      <c r="K159" s="830">
        <f>IF(AC164&gt;0,(AC159/AC164),0)</f>
        <v>0</v>
      </c>
      <c r="L159" s="830">
        <f>IF(AD164&gt;0,(AD159/AD164),0)</f>
        <v>0.18164435946462715</v>
      </c>
      <c r="M159" s="830">
        <f>IF(AE164&gt;0,(AE159/AE164),0)</f>
        <v>2.1097046413502109E-2</v>
      </c>
      <c r="N159" s="830">
        <f>IF(AF164&gt;0,(AF159/AF164),0)</f>
        <v>0</v>
      </c>
      <c r="O159" s="829">
        <f>IF(AG164&gt;0,(AG159/AG164),0)</f>
        <v>9.0009000900090008E-2</v>
      </c>
      <c r="P159" s="829">
        <f t="shared" si="54"/>
        <v>0</v>
      </c>
      <c r="Q159" s="830">
        <f t="shared" si="54"/>
        <v>0</v>
      </c>
      <c r="R159" s="831">
        <f t="shared" si="54"/>
        <v>0</v>
      </c>
      <c r="S159" s="829">
        <f t="shared" si="54"/>
        <v>0</v>
      </c>
      <c r="T159" s="213"/>
      <c r="U159" s="858">
        <v>824</v>
      </c>
      <c r="V159" s="858">
        <v>283</v>
      </c>
      <c r="W159" s="858">
        <v>74</v>
      </c>
      <c r="X159" s="858"/>
      <c r="Y159" s="858">
        <v>76</v>
      </c>
      <c r="Z159" s="858">
        <v>278</v>
      </c>
      <c r="AA159" s="857">
        <v>1535</v>
      </c>
      <c r="AB159" s="857"/>
      <c r="AC159" s="858"/>
      <c r="AD159" s="858">
        <v>95</v>
      </c>
      <c r="AE159" s="858">
        <v>5</v>
      </c>
      <c r="AF159" s="858"/>
      <c r="AG159" s="857">
        <v>100</v>
      </c>
      <c r="AH159" s="861">
        <f t="shared" ref="AH159:AK159" si="55">AH165+AH171+AH177+AH183+AH189+AH195+AH201+AH207+AH213+AH219+AH225+AH231+AH237</f>
        <v>0</v>
      </c>
      <c r="AI159" s="862">
        <f t="shared" si="55"/>
        <v>0</v>
      </c>
      <c r="AJ159" s="869">
        <f t="shared" si="55"/>
        <v>0</v>
      </c>
      <c r="AK159" s="861">
        <f t="shared" si="55"/>
        <v>0</v>
      </c>
      <c r="AL159" s="209"/>
      <c r="AM159" s="209"/>
    </row>
    <row r="160" spans="1:39" s="80" customFormat="1">
      <c r="A160" s="239"/>
      <c r="B160" s="239" t="s">
        <v>93</v>
      </c>
      <c r="C160" s="832">
        <f>IF(U164&gt;0,(U160/U164),0)</f>
        <v>0.25604069520983469</v>
      </c>
      <c r="D160" s="830">
        <f t="shared" ref="D160:S160" si="56">IF(V164&gt;0,(V160/V164),0)</f>
        <v>0.23398328690807799</v>
      </c>
      <c r="E160" s="830">
        <f t="shared" si="56"/>
        <v>0.19391634980988592</v>
      </c>
      <c r="F160" s="830">
        <f t="shared" si="56"/>
        <v>0</v>
      </c>
      <c r="G160" s="830">
        <f t="shared" si="56"/>
        <v>0.22388059701492538</v>
      </c>
      <c r="H160" s="830">
        <f t="shared" si="56"/>
        <v>0.19184890656063619</v>
      </c>
      <c r="I160" s="832">
        <f t="shared" si="56"/>
        <v>0.23325960184998995</v>
      </c>
      <c r="J160" s="832">
        <f t="shared" si="56"/>
        <v>0</v>
      </c>
      <c r="K160" s="830">
        <f>IF(AC164&gt;0,(AC160/AC164),0)</f>
        <v>0</v>
      </c>
      <c r="L160" s="830">
        <f>IF(AD164&gt;0,(AD160/AD164),0)</f>
        <v>0.13193116634799235</v>
      </c>
      <c r="M160" s="830">
        <f>IF(AE164&gt;0,(AE160/AE164),0)</f>
        <v>2.5316455696202531E-2</v>
      </c>
      <c r="N160" s="830">
        <f>IF(AF164&gt;0,(AF160/AF164),0)</f>
        <v>0</v>
      </c>
      <c r="O160" s="832">
        <f>IF(AG164&gt;0,(AG160/AG164),0)</f>
        <v>6.7506750675067506E-2</v>
      </c>
      <c r="P160" s="832">
        <f t="shared" si="56"/>
        <v>0</v>
      </c>
      <c r="Q160" s="830">
        <f t="shared" si="56"/>
        <v>0</v>
      </c>
      <c r="R160" s="833">
        <f t="shared" si="56"/>
        <v>0</v>
      </c>
      <c r="S160" s="832">
        <f t="shared" si="56"/>
        <v>0</v>
      </c>
      <c r="T160" s="213"/>
      <c r="U160" s="858">
        <v>604</v>
      </c>
      <c r="V160" s="858">
        <v>252</v>
      </c>
      <c r="W160" s="858">
        <v>51</v>
      </c>
      <c r="X160" s="858"/>
      <c r="Y160" s="858">
        <v>60</v>
      </c>
      <c r="Z160" s="858">
        <v>193</v>
      </c>
      <c r="AA160" s="859">
        <v>1160</v>
      </c>
      <c r="AB160" s="859"/>
      <c r="AC160" s="858"/>
      <c r="AD160" s="858">
        <v>69</v>
      </c>
      <c r="AE160" s="858">
        <v>6</v>
      </c>
      <c r="AF160" s="858"/>
      <c r="AG160" s="859">
        <v>75</v>
      </c>
      <c r="AH160" s="863">
        <f t="shared" ref="AH160:AK160" si="57">AH166+AH172+AH178+AH184+AH190+AH196+AH202+AH208+AH214+AH220+AH226+AH232+AH238</f>
        <v>0</v>
      </c>
      <c r="AI160" s="862">
        <f t="shared" si="57"/>
        <v>0</v>
      </c>
      <c r="AJ160" s="870">
        <f t="shared" si="57"/>
        <v>0</v>
      </c>
      <c r="AK160" s="863">
        <f t="shared" si="57"/>
        <v>0</v>
      </c>
      <c r="AL160" s="209"/>
      <c r="AM160" s="209"/>
    </row>
    <row r="161" spans="1:39" s="80" customFormat="1">
      <c r="A161" s="239"/>
      <c r="B161" s="239" t="s">
        <v>55</v>
      </c>
      <c r="C161" s="832">
        <f>IF(U164&gt;0,(U161/U164),0)</f>
        <v>0.25307333615938959</v>
      </c>
      <c r="D161" s="830">
        <f t="shared" ref="D161:S161" si="58">IF(V164&gt;0,(V161/V164),0)</f>
        <v>0.2414113277623027</v>
      </c>
      <c r="E161" s="830">
        <f t="shared" si="58"/>
        <v>0.2509505703422053</v>
      </c>
      <c r="F161" s="830">
        <f t="shared" si="58"/>
        <v>0</v>
      </c>
      <c r="G161" s="830">
        <f t="shared" si="58"/>
        <v>0.32462686567164178</v>
      </c>
      <c r="H161" s="830">
        <f t="shared" si="58"/>
        <v>0.35785288270377735</v>
      </c>
      <c r="I161" s="832">
        <f t="shared" si="58"/>
        <v>0.27548763321938469</v>
      </c>
      <c r="J161" s="832">
        <f t="shared" si="58"/>
        <v>0</v>
      </c>
      <c r="K161" s="830">
        <f>IF(AC164&gt;0,(AC161/AC164),0)</f>
        <v>0</v>
      </c>
      <c r="L161" s="830">
        <f>IF(AD164&gt;0,(AD161/AD164),0)</f>
        <v>0.21797323135755259</v>
      </c>
      <c r="M161" s="830">
        <f>IF(AE164&gt;0,(AE161/AE164),0)</f>
        <v>0.10970464135021098</v>
      </c>
      <c r="N161" s="830">
        <f>IF(AF164&gt;0,(AF161/AF164),0)</f>
        <v>0</v>
      </c>
      <c r="O161" s="832">
        <f>IF(AG164&gt;0,(AG161/AG164),0)</f>
        <v>0.12601260126012601</v>
      </c>
      <c r="P161" s="832">
        <f t="shared" si="58"/>
        <v>0</v>
      </c>
      <c r="Q161" s="830">
        <f t="shared" si="58"/>
        <v>0</v>
      </c>
      <c r="R161" s="833">
        <f t="shared" si="58"/>
        <v>0</v>
      </c>
      <c r="S161" s="832">
        <f t="shared" si="58"/>
        <v>0</v>
      </c>
      <c r="T161" s="213"/>
      <c r="U161" s="858">
        <v>597</v>
      </c>
      <c r="V161" s="858">
        <v>260</v>
      </c>
      <c r="W161" s="858">
        <v>66</v>
      </c>
      <c r="X161" s="858"/>
      <c r="Y161" s="858">
        <v>87</v>
      </c>
      <c r="Z161" s="858">
        <v>360</v>
      </c>
      <c r="AA161" s="859">
        <v>1370</v>
      </c>
      <c r="AB161" s="859"/>
      <c r="AC161" s="858"/>
      <c r="AD161" s="858">
        <v>114</v>
      </c>
      <c r="AE161" s="858">
        <v>26</v>
      </c>
      <c r="AF161" s="858"/>
      <c r="AG161" s="859">
        <v>140</v>
      </c>
      <c r="AH161" s="863">
        <f t="shared" ref="AH161:AK161" si="59">AH167+AH173+AH179+AH185+AH191+AH197+AH203+AH209+AH215+AH221+AH227+AH233+AH239</f>
        <v>0</v>
      </c>
      <c r="AI161" s="862">
        <f t="shared" si="59"/>
        <v>0</v>
      </c>
      <c r="AJ161" s="870">
        <f t="shared" si="59"/>
        <v>0</v>
      </c>
      <c r="AK161" s="863">
        <f t="shared" si="59"/>
        <v>0</v>
      </c>
      <c r="AL161" s="209"/>
      <c r="AM161" s="209"/>
    </row>
    <row r="162" spans="1:39" s="80" customFormat="1">
      <c r="A162" s="239"/>
      <c r="B162" s="239" t="s">
        <v>78</v>
      </c>
      <c r="C162" s="832">
        <f>IF(U164&gt;0,(U162/U164),0)</f>
        <v>0.14158541754980924</v>
      </c>
      <c r="D162" s="830">
        <f t="shared" ref="D162:S162" si="60">IF(V164&gt;0,(V162/V164),0)</f>
        <v>0.18755803156917364</v>
      </c>
      <c r="E162" s="830">
        <f t="shared" si="60"/>
        <v>0.27376425855513309</v>
      </c>
      <c r="F162" s="830">
        <f t="shared" si="60"/>
        <v>0</v>
      </c>
      <c r="G162" s="830">
        <f t="shared" si="60"/>
        <v>1.1194029850746268E-2</v>
      </c>
      <c r="H162" s="830">
        <f t="shared" si="60"/>
        <v>0.1073558648111332</v>
      </c>
      <c r="I162" s="832">
        <f t="shared" si="60"/>
        <v>0.14458073597426102</v>
      </c>
      <c r="J162" s="832">
        <f t="shared" si="60"/>
        <v>0</v>
      </c>
      <c r="K162" s="830">
        <f>IF(AC164&gt;0,(AC162/AC164),0)</f>
        <v>0.55840455840455838</v>
      </c>
      <c r="L162" s="830">
        <f>IF(AD164&gt;0,(AD162/AD164),0)</f>
        <v>0.26003824091778205</v>
      </c>
      <c r="M162" s="830">
        <f>IF(AE164&gt;0,(AE162/AE164),0)</f>
        <v>0.27848101265822783</v>
      </c>
      <c r="N162" s="830">
        <f>IF(AF164&gt;0,(AF162/AF164),0)</f>
        <v>0</v>
      </c>
      <c r="O162" s="832">
        <f>IF(AG164&gt;0,(AG162/AG164),0)</f>
        <v>0.35823582358235823</v>
      </c>
      <c r="P162" s="832">
        <f t="shared" si="60"/>
        <v>0</v>
      </c>
      <c r="Q162" s="830">
        <f t="shared" si="60"/>
        <v>0</v>
      </c>
      <c r="R162" s="833">
        <f t="shared" si="60"/>
        <v>0</v>
      </c>
      <c r="S162" s="832">
        <f t="shared" si="60"/>
        <v>0</v>
      </c>
      <c r="T162" s="213"/>
      <c r="U162" s="858">
        <v>334</v>
      </c>
      <c r="V162" s="858">
        <v>202</v>
      </c>
      <c r="W162" s="858">
        <v>72</v>
      </c>
      <c r="X162" s="858"/>
      <c r="Y162" s="858">
        <v>3</v>
      </c>
      <c r="Z162" s="858">
        <v>108</v>
      </c>
      <c r="AA162" s="859">
        <v>719</v>
      </c>
      <c r="AB162" s="859"/>
      <c r="AC162" s="858">
        <v>196</v>
      </c>
      <c r="AD162" s="858">
        <v>136</v>
      </c>
      <c r="AE162" s="858">
        <v>66</v>
      </c>
      <c r="AF162" s="858"/>
      <c r="AG162" s="859">
        <v>398</v>
      </c>
      <c r="AH162" s="863">
        <f t="shared" ref="AH162:AK162" si="61">AH168+AH174+AH180+AH186+AH192+AH198+AH204+AH210+AH216+AH222+AH228+AH234+AH240</f>
        <v>0</v>
      </c>
      <c r="AI162" s="862">
        <f t="shared" si="61"/>
        <v>0</v>
      </c>
      <c r="AJ162" s="870">
        <f t="shared" si="61"/>
        <v>0</v>
      </c>
      <c r="AK162" s="863">
        <f t="shared" si="61"/>
        <v>0</v>
      </c>
      <c r="AL162" s="209"/>
      <c r="AM162" s="209"/>
    </row>
    <row r="163" spans="1:39" s="80" customFormat="1">
      <c r="A163" s="580"/>
      <c r="B163" s="580" t="s">
        <v>131</v>
      </c>
      <c r="C163" s="832">
        <f>IF(U164&gt;0,(U163/U164),0)</f>
        <v>0</v>
      </c>
      <c r="D163" s="830">
        <f t="shared" ref="D163:S163" si="62">IF(V164&gt;0,(V163/V164),0)</f>
        <v>7.4280408542246976E-2</v>
      </c>
      <c r="E163" s="830">
        <f t="shared" si="62"/>
        <v>0</v>
      </c>
      <c r="F163" s="830">
        <f t="shared" si="62"/>
        <v>0</v>
      </c>
      <c r="G163" s="830">
        <f t="shared" si="62"/>
        <v>0.15671641791044777</v>
      </c>
      <c r="H163" s="830">
        <f t="shared" si="62"/>
        <v>6.6600397614314119E-2</v>
      </c>
      <c r="I163" s="832">
        <f t="shared" si="62"/>
        <v>3.8005228232455258E-2</v>
      </c>
      <c r="J163" s="832">
        <f t="shared" si="62"/>
        <v>0</v>
      </c>
      <c r="K163" s="830">
        <f>IF(AC164&gt;0,(AC163/AC164),0)</f>
        <v>0.44159544159544162</v>
      </c>
      <c r="L163" s="830">
        <f>IF(AD164&gt;0,(AD163/AD164),0)</f>
        <v>0.2084130019120459</v>
      </c>
      <c r="M163" s="830">
        <f>IF(AE164&gt;0,(AE163/AE164),0)</f>
        <v>0.56540084388185652</v>
      </c>
      <c r="N163" s="830">
        <f>IF(AF164&gt;0,(AF163/AF164),0)</f>
        <v>0</v>
      </c>
      <c r="O163" s="832">
        <f>IF(AG164&gt;0,(AG163/AG164),0)</f>
        <v>0.35823582358235823</v>
      </c>
      <c r="P163" s="832">
        <f t="shared" si="62"/>
        <v>0</v>
      </c>
      <c r="Q163" s="830">
        <f t="shared" si="62"/>
        <v>0</v>
      </c>
      <c r="R163" s="833">
        <f t="shared" si="62"/>
        <v>0</v>
      </c>
      <c r="S163" s="832">
        <f t="shared" si="62"/>
        <v>0</v>
      </c>
      <c r="T163" s="213"/>
      <c r="U163" s="858"/>
      <c r="V163" s="858">
        <v>80</v>
      </c>
      <c r="W163" s="858"/>
      <c r="X163" s="858"/>
      <c r="Y163" s="858">
        <v>42</v>
      </c>
      <c r="Z163" s="858">
        <v>67</v>
      </c>
      <c r="AA163" s="859">
        <v>189</v>
      </c>
      <c r="AB163" s="859"/>
      <c r="AC163" s="858">
        <v>155</v>
      </c>
      <c r="AD163" s="858">
        <v>109</v>
      </c>
      <c r="AE163" s="858">
        <v>134</v>
      </c>
      <c r="AF163" s="858"/>
      <c r="AG163" s="859">
        <v>398</v>
      </c>
      <c r="AH163" s="863">
        <f t="shared" ref="AH163:AK163" si="63">AH169+AH175+AH181+AH187+AH193+AH199+AH205+AH211+AH217+AH223+AH229+AH235+AH241</f>
        <v>0</v>
      </c>
      <c r="AI163" s="862">
        <f t="shared" si="63"/>
        <v>0</v>
      </c>
      <c r="AJ163" s="870">
        <f t="shared" si="63"/>
        <v>0</v>
      </c>
      <c r="AK163" s="863">
        <f t="shared" si="63"/>
        <v>0</v>
      </c>
      <c r="AL163" s="209"/>
      <c r="AM163" s="209"/>
    </row>
    <row r="164" spans="1:39" s="80" customFormat="1">
      <c r="A164" s="436"/>
      <c r="B164" s="436" t="s">
        <v>59</v>
      </c>
      <c r="C164" s="834">
        <f>IF(U164&gt;0,(U164/U164),0)</f>
        <v>1</v>
      </c>
      <c r="D164" s="835">
        <f t="shared" ref="D164:S164" si="64">IF(V164&gt;0,(V164/V164),0)</f>
        <v>1</v>
      </c>
      <c r="E164" s="835">
        <f t="shared" si="64"/>
        <v>1</v>
      </c>
      <c r="F164" s="835">
        <f t="shared" si="64"/>
        <v>0</v>
      </c>
      <c r="G164" s="835">
        <f t="shared" si="64"/>
        <v>1</v>
      </c>
      <c r="H164" s="835">
        <f t="shared" si="64"/>
        <v>1</v>
      </c>
      <c r="I164" s="834">
        <f t="shared" si="64"/>
        <v>1</v>
      </c>
      <c r="J164" s="834">
        <f t="shared" si="64"/>
        <v>0</v>
      </c>
      <c r="K164" s="835">
        <f>IF(AC164&gt;0,(AC164/AC164),0)</f>
        <v>1</v>
      </c>
      <c r="L164" s="835">
        <f>IF(AD164&gt;0,(AD164/AD164),0)</f>
        <v>1</v>
      </c>
      <c r="M164" s="835">
        <f>IF(AE164&gt;0,(AE164/AE164),0)</f>
        <v>1</v>
      </c>
      <c r="N164" s="835">
        <f>IF(AF164&gt;0,(AF164/AF164),0)</f>
        <v>0</v>
      </c>
      <c r="O164" s="834">
        <f>IF(AG164&gt;0,(AG164/AG164),0)</f>
        <v>1</v>
      </c>
      <c r="P164" s="834">
        <f t="shared" si="64"/>
        <v>0</v>
      </c>
      <c r="Q164" s="835">
        <f t="shared" si="64"/>
        <v>0</v>
      </c>
      <c r="R164" s="836">
        <f t="shared" si="64"/>
        <v>0</v>
      </c>
      <c r="S164" s="834">
        <f t="shared" si="64"/>
        <v>0</v>
      </c>
      <c r="T164" s="213"/>
      <c r="U164" s="871">
        <v>2359</v>
      </c>
      <c r="V164" s="871">
        <v>1077</v>
      </c>
      <c r="W164" s="871">
        <v>263</v>
      </c>
      <c r="X164" s="871"/>
      <c r="Y164" s="871">
        <v>268</v>
      </c>
      <c r="Z164" s="871">
        <v>1006</v>
      </c>
      <c r="AA164" s="864">
        <v>4973</v>
      </c>
      <c r="AB164" s="864"/>
      <c r="AC164" s="871">
        <v>351</v>
      </c>
      <c r="AD164" s="871">
        <v>523</v>
      </c>
      <c r="AE164" s="871">
        <v>237</v>
      </c>
      <c r="AF164" s="871"/>
      <c r="AG164" s="864">
        <v>1111</v>
      </c>
      <c r="AH164" s="872">
        <f t="shared" ref="AH164:AK164" si="65">AH170+AH176+AH182+AH188+AH194+AH200+AH206+AH212+AH218+AH224+AH230+AH236+AH242</f>
        <v>0</v>
      </c>
      <c r="AI164" s="873">
        <f t="shared" si="65"/>
        <v>0</v>
      </c>
      <c r="AJ164" s="874">
        <f t="shared" si="65"/>
        <v>0</v>
      </c>
      <c r="AK164" s="872">
        <f t="shared" si="65"/>
        <v>0</v>
      </c>
      <c r="AL164" s="209"/>
      <c r="AM164" s="209"/>
    </row>
    <row r="165" spans="1:39" s="80" customFormat="1">
      <c r="A165" s="240" t="s">
        <v>141</v>
      </c>
      <c r="B165" s="240" t="s">
        <v>53</v>
      </c>
      <c r="C165" s="829">
        <f>IF(U170&gt;0,(U165/U170),0)</f>
        <v>0.41549295774647887</v>
      </c>
      <c r="D165" s="830">
        <f t="shared" ref="D165:S165" si="66">IF(V170&gt;0,(V165/V170),0)</f>
        <v>0</v>
      </c>
      <c r="E165" s="830">
        <f t="shared" si="66"/>
        <v>0</v>
      </c>
      <c r="F165" s="830">
        <f t="shared" si="66"/>
        <v>0</v>
      </c>
      <c r="G165" s="830">
        <f t="shared" si="66"/>
        <v>0</v>
      </c>
      <c r="H165" s="830">
        <f t="shared" si="66"/>
        <v>0.2608695652173913</v>
      </c>
      <c r="I165" s="829">
        <f t="shared" si="66"/>
        <v>0.37947332883187035</v>
      </c>
      <c r="J165" s="829">
        <f t="shared" si="66"/>
        <v>0</v>
      </c>
      <c r="K165" s="830">
        <f t="shared" si="66"/>
        <v>0</v>
      </c>
      <c r="L165" s="830">
        <f t="shared" si="66"/>
        <v>0.30296610169491528</v>
      </c>
      <c r="M165" s="830">
        <f t="shared" si="66"/>
        <v>0.30729166666666669</v>
      </c>
      <c r="N165" s="830">
        <f t="shared" si="66"/>
        <v>0</v>
      </c>
      <c r="O165" s="829">
        <f t="shared" si="66"/>
        <v>0.30421686746987953</v>
      </c>
      <c r="P165" s="829">
        <f t="shared" si="66"/>
        <v>0</v>
      </c>
      <c r="Q165" s="830">
        <f t="shared" si="66"/>
        <v>0</v>
      </c>
      <c r="R165" s="831">
        <f t="shared" si="66"/>
        <v>0</v>
      </c>
      <c r="S165" s="829">
        <f t="shared" si="66"/>
        <v>0</v>
      </c>
      <c r="T165" s="213"/>
      <c r="U165" s="858">
        <v>472</v>
      </c>
      <c r="V165" s="858"/>
      <c r="W165" s="858"/>
      <c r="X165" s="858"/>
      <c r="Y165" s="858"/>
      <c r="Z165" s="858">
        <v>90</v>
      </c>
      <c r="AA165" s="857">
        <v>562</v>
      </c>
      <c r="AB165" s="857"/>
      <c r="AC165" s="858"/>
      <c r="AD165" s="858">
        <v>143</v>
      </c>
      <c r="AE165" s="858">
        <v>59</v>
      </c>
      <c r="AF165" s="858"/>
      <c r="AG165" s="857">
        <v>202</v>
      </c>
      <c r="AH165" s="861">
        <f t="shared" ref="AH165:AK165" si="67">AH171+AH177+AH183+AH189+AH195+AH201+AH207+AH213+AH219+AH225+AH231+AH237+AH243</f>
        <v>0</v>
      </c>
      <c r="AI165" s="862">
        <f t="shared" si="67"/>
        <v>0</v>
      </c>
      <c r="AJ165" s="869">
        <f t="shared" si="67"/>
        <v>0</v>
      </c>
      <c r="AK165" s="861">
        <f t="shared" si="67"/>
        <v>0</v>
      </c>
      <c r="AL165" s="209"/>
      <c r="AM165" s="209"/>
    </row>
    <row r="166" spans="1:39" s="80" customFormat="1">
      <c r="A166" s="239"/>
      <c r="B166" s="239" t="s">
        <v>93</v>
      </c>
      <c r="C166" s="832">
        <f>IF(U170&gt;0,(U166/U170),0)</f>
        <v>0.25880281690140844</v>
      </c>
      <c r="D166" s="830">
        <f t="shared" ref="D166:S166" si="68">IF(V170&gt;0,(V166/V170),0)</f>
        <v>0</v>
      </c>
      <c r="E166" s="830">
        <f t="shared" si="68"/>
        <v>0</v>
      </c>
      <c r="F166" s="830">
        <f t="shared" si="68"/>
        <v>0</v>
      </c>
      <c r="G166" s="830">
        <f t="shared" si="68"/>
        <v>0</v>
      </c>
      <c r="H166" s="830">
        <f t="shared" si="68"/>
        <v>0.2</v>
      </c>
      <c r="I166" s="832">
        <f t="shared" si="68"/>
        <v>0.2451046590141796</v>
      </c>
      <c r="J166" s="832">
        <f t="shared" si="68"/>
        <v>0</v>
      </c>
      <c r="K166" s="830">
        <f t="shared" si="68"/>
        <v>0</v>
      </c>
      <c r="L166" s="830">
        <f t="shared" si="68"/>
        <v>0.15466101694915255</v>
      </c>
      <c r="M166" s="830">
        <f t="shared" si="68"/>
        <v>0.15625</v>
      </c>
      <c r="N166" s="830">
        <f t="shared" si="68"/>
        <v>0</v>
      </c>
      <c r="O166" s="832">
        <f t="shared" si="68"/>
        <v>0.15512048192771086</v>
      </c>
      <c r="P166" s="832">
        <f t="shared" si="68"/>
        <v>0</v>
      </c>
      <c r="Q166" s="830">
        <f t="shared" si="68"/>
        <v>0</v>
      </c>
      <c r="R166" s="833">
        <f t="shared" si="68"/>
        <v>0</v>
      </c>
      <c r="S166" s="832">
        <f t="shared" si="68"/>
        <v>0</v>
      </c>
      <c r="T166" s="213"/>
      <c r="U166" s="858">
        <v>294</v>
      </c>
      <c r="V166" s="858"/>
      <c r="W166" s="858"/>
      <c r="X166" s="858"/>
      <c r="Y166" s="858"/>
      <c r="Z166" s="858">
        <v>69</v>
      </c>
      <c r="AA166" s="859">
        <v>363</v>
      </c>
      <c r="AB166" s="859"/>
      <c r="AC166" s="858"/>
      <c r="AD166" s="858">
        <v>73</v>
      </c>
      <c r="AE166" s="858">
        <v>30</v>
      </c>
      <c r="AF166" s="858"/>
      <c r="AG166" s="859">
        <v>103</v>
      </c>
      <c r="AH166" s="863">
        <f t="shared" ref="AH166:AK166" si="69">AH172+AH178+AH184+AH190+AH196+AH202+AH208+AH214+AH220+AH226+AH232+AH238+AH244</f>
        <v>0</v>
      </c>
      <c r="AI166" s="862">
        <f t="shared" si="69"/>
        <v>0</v>
      </c>
      <c r="AJ166" s="870">
        <f t="shared" si="69"/>
        <v>0</v>
      </c>
      <c r="AK166" s="863">
        <f t="shared" si="69"/>
        <v>0</v>
      </c>
      <c r="AL166" s="209"/>
      <c r="AM166" s="209"/>
    </row>
    <row r="167" spans="1:39" s="80" customFormat="1">
      <c r="A167" s="239"/>
      <c r="B167" s="239" t="s">
        <v>55</v>
      </c>
      <c r="C167" s="832">
        <f>IF(U170&gt;0,(U167/U170),0)</f>
        <v>0.23151408450704225</v>
      </c>
      <c r="D167" s="830">
        <f t="shared" ref="D167:S167" si="70">IF(V170&gt;0,(V167/V170),0)</f>
        <v>0</v>
      </c>
      <c r="E167" s="830">
        <f t="shared" si="70"/>
        <v>0</v>
      </c>
      <c r="F167" s="830">
        <f t="shared" si="70"/>
        <v>0</v>
      </c>
      <c r="G167" s="830">
        <f t="shared" si="70"/>
        <v>0</v>
      </c>
      <c r="H167" s="830">
        <f t="shared" si="70"/>
        <v>0.35072463768115941</v>
      </c>
      <c r="I167" s="832">
        <f t="shared" si="70"/>
        <v>0.25928426738690075</v>
      </c>
      <c r="J167" s="832">
        <f t="shared" si="70"/>
        <v>0</v>
      </c>
      <c r="K167" s="830">
        <f t="shared" si="70"/>
        <v>0</v>
      </c>
      <c r="L167" s="830">
        <f t="shared" si="70"/>
        <v>0.23305084745762711</v>
      </c>
      <c r="M167" s="830">
        <f t="shared" si="70"/>
        <v>0.19270833333333334</v>
      </c>
      <c r="N167" s="830">
        <f t="shared" si="70"/>
        <v>0</v>
      </c>
      <c r="O167" s="832">
        <f t="shared" si="70"/>
        <v>0.2213855421686747</v>
      </c>
      <c r="P167" s="832">
        <f t="shared" si="70"/>
        <v>0</v>
      </c>
      <c r="Q167" s="830">
        <f t="shared" si="70"/>
        <v>0</v>
      </c>
      <c r="R167" s="833">
        <f t="shared" si="70"/>
        <v>0</v>
      </c>
      <c r="S167" s="832">
        <f t="shared" si="70"/>
        <v>0</v>
      </c>
      <c r="T167" s="213"/>
      <c r="U167" s="858">
        <v>263</v>
      </c>
      <c r="V167" s="858"/>
      <c r="W167" s="858"/>
      <c r="X167" s="858"/>
      <c r="Y167" s="858"/>
      <c r="Z167" s="858">
        <v>121</v>
      </c>
      <c r="AA167" s="859">
        <v>384</v>
      </c>
      <c r="AB167" s="859"/>
      <c r="AC167" s="858"/>
      <c r="AD167" s="858">
        <v>110</v>
      </c>
      <c r="AE167" s="858">
        <v>37</v>
      </c>
      <c r="AF167" s="858"/>
      <c r="AG167" s="859">
        <v>147</v>
      </c>
      <c r="AH167" s="863">
        <f t="shared" ref="AH167:AK167" si="71">AH173+AH179+AH185+AH191+AH197+AH203+AH209+AH215+AH221+AH227+AH233+AH239+AH245</f>
        <v>0</v>
      </c>
      <c r="AI167" s="862">
        <f t="shared" si="71"/>
        <v>0</v>
      </c>
      <c r="AJ167" s="870">
        <f t="shared" si="71"/>
        <v>0</v>
      </c>
      <c r="AK167" s="863">
        <f t="shared" si="71"/>
        <v>0</v>
      </c>
      <c r="AL167" s="209"/>
      <c r="AM167" s="209"/>
    </row>
    <row r="168" spans="1:39" s="80" customFormat="1">
      <c r="A168" s="239"/>
      <c r="B168" s="239" t="s">
        <v>78</v>
      </c>
      <c r="C168" s="832">
        <f>IF(U170&gt;0,(U168/U170),0)</f>
        <v>9.4190140845070422E-2</v>
      </c>
      <c r="D168" s="830">
        <f t="shared" ref="D168:S168" si="72">IF(V170&gt;0,(V168/V170),0)</f>
        <v>0</v>
      </c>
      <c r="E168" s="830">
        <f t="shared" si="72"/>
        <v>0</v>
      </c>
      <c r="F168" s="830">
        <f t="shared" si="72"/>
        <v>0</v>
      </c>
      <c r="G168" s="830">
        <f t="shared" si="72"/>
        <v>0</v>
      </c>
      <c r="H168" s="830">
        <f t="shared" si="72"/>
        <v>0.18840579710144928</v>
      </c>
      <c r="I168" s="832">
        <f t="shared" si="72"/>
        <v>0.11613774476704929</v>
      </c>
      <c r="J168" s="832">
        <f t="shared" si="72"/>
        <v>0</v>
      </c>
      <c r="K168" s="830">
        <f t="shared" si="72"/>
        <v>0</v>
      </c>
      <c r="L168" s="830">
        <f t="shared" si="72"/>
        <v>0.30932203389830509</v>
      </c>
      <c r="M168" s="830">
        <f t="shared" si="72"/>
        <v>0.34375</v>
      </c>
      <c r="N168" s="830">
        <f t="shared" si="72"/>
        <v>0</v>
      </c>
      <c r="O168" s="832">
        <f t="shared" si="72"/>
        <v>0.31927710843373491</v>
      </c>
      <c r="P168" s="832">
        <f t="shared" si="72"/>
        <v>0</v>
      </c>
      <c r="Q168" s="830">
        <f t="shared" si="72"/>
        <v>0</v>
      </c>
      <c r="R168" s="833">
        <f t="shared" si="72"/>
        <v>0</v>
      </c>
      <c r="S168" s="832">
        <f t="shared" si="72"/>
        <v>0</v>
      </c>
      <c r="T168" s="213"/>
      <c r="U168" s="858">
        <v>107</v>
      </c>
      <c r="V168" s="858"/>
      <c r="W168" s="858"/>
      <c r="X168" s="858"/>
      <c r="Y168" s="858"/>
      <c r="Z168" s="858">
        <v>65</v>
      </c>
      <c r="AA168" s="859">
        <v>172</v>
      </c>
      <c r="AB168" s="859"/>
      <c r="AC168" s="858"/>
      <c r="AD168" s="858">
        <v>146</v>
      </c>
      <c r="AE168" s="858">
        <v>66</v>
      </c>
      <c r="AF168" s="858"/>
      <c r="AG168" s="859">
        <v>212</v>
      </c>
      <c r="AH168" s="863">
        <f t="shared" ref="AH168:AK168" si="73">AH174+AH180+AH186+AH192+AH198+AH204+AH210+AH216+AH222+AH228+AH234+AH240+AH246</f>
        <v>0</v>
      </c>
      <c r="AI168" s="862">
        <f t="shared" si="73"/>
        <v>0</v>
      </c>
      <c r="AJ168" s="870">
        <f t="shared" si="73"/>
        <v>0</v>
      </c>
      <c r="AK168" s="863">
        <f t="shared" si="73"/>
        <v>0</v>
      </c>
      <c r="AL168" s="209"/>
      <c r="AM168" s="209"/>
    </row>
    <row r="169" spans="1:39" s="80" customFormat="1">
      <c r="A169" s="580"/>
      <c r="B169" s="580" t="s">
        <v>131</v>
      </c>
      <c r="C169" s="832">
        <f>IF(U170&gt;0,(U169/U170),0)</f>
        <v>0</v>
      </c>
      <c r="D169" s="830">
        <f t="shared" ref="D169:S169" si="74">IF(V170&gt;0,(V169/V170),0)</f>
        <v>0</v>
      </c>
      <c r="E169" s="830">
        <f t="shared" si="74"/>
        <v>0</v>
      </c>
      <c r="F169" s="830">
        <f t="shared" si="74"/>
        <v>0</v>
      </c>
      <c r="G169" s="830">
        <f t="shared" si="74"/>
        <v>0</v>
      </c>
      <c r="H169" s="830">
        <f t="shared" si="74"/>
        <v>0</v>
      </c>
      <c r="I169" s="832">
        <f t="shared" si="74"/>
        <v>0</v>
      </c>
      <c r="J169" s="832">
        <f t="shared" si="74"/>
        <v>0</v>
      </c>
      <c r="K169" s="830">
        <f t="shared" si="74"/>
        <v>0</v>
      </c>
      <c r="L169" s="830">
        <f t="shared" si="74"/>
        <v>0</v>
      </c>
      <c r="M169" s="830">
        <f t="shared" si="74"/>
        <v>0</v>
      </c>
      <c r="N169" s="830">
        <f t="shared" si="74"/>
        <v>0</v>
      </c>
      <c r="O169" s="832">
        <f t="shared" si="74"/>
        <v>0</v>
      </c>
      <c r="P169" s="832">
        <f t="shared" si="74"/>
        <v>0</v>
      </c>
      <c r="Q169" s="830">
        <f t="shared" si="74"/>
        <v>0</v>
      </c>
      <c r="R169" s="833">
        <f t="shared" si="74"/>
        <v>0</v>
      </c>
      <c r="S169" s="832">
        <f t="shared" si="74"/>
        <v>0</v>
      </c>
      <c r="T169" s="213"/>
      <c r="U169" s="858"/>
      <c r="V169" s="858"/>
      <c r="W169" s="858"/>
      <c r="X169" s="858"/>
      <c r="Y169" s="858"/>
      <c r="Z169" s="858"/>
      <c r="AA169" s="859"/>
      <c r="AB169" s="859"/>
      <c r="AC169" s="858"/>
      <c r="AD169" s="858"/>
      <c r="AE169" s="858"/>
      <c r="AF169" s="858"/>
      <c r="AG169" s="859"/>
      <c r="AH169" s="863">
        <f t="shared" ref="AH169:AK169" si="75">AH175+AH181+AH187+AH193+AH199+AH205+AH211+AH217+AH223+AH229+AH235+AH241+AH247</f>
        <v>0</v>
      </c>
      <c r="AI169" s="862">
        <f t="shared" si="75"/>
        <v>0</v>
      </c>
      <c r="AJ169" s="870">
        <f t="shared" si="75"/>
        <v>0</v>
      </c>
      <c r="AK169" s="863">
        <f t="shared" si="75"/>
        <v>0</v>
      </c>
      <c r="AL169" s="209"/>
      <c r="AM169" s="209"/>
    </row>
    <row r="170" spans="1:39" s="80" customFormat="1">
      <c r="A170" s="436"/>
      <c r="B170" s="436" t="s">
        <v>59</v>
      </c>
      <c r="C170" s="834">
        <f>IF(U170&gt;0,(U170/U170),0)</f>
        <v>1</v>
      </c>
      <c r="D170" s="835">
        <f t="shared" ref="D170:S170" si="76">IF(V170&gt;0,(V170/V170),0)</f>
        <v>0</v>
      </c>
      <c r="E170" s="835">
        <f t="shared" si="76"/>
        <v>0</v>
      </c>
      <c r="F170" s="835">
        <f t="shared" si="76"/>
        <v>0</v>
      </c>
      <c r="G170" s="835">
        <f t="shared" si="76"/>
        <v>0</v>
      </c>
      <c r="H170" s="835">
        <f t="shared" si="76"/>
        <v>1</v>
      </c>
      <c r="I170" s="834">
        <f t="shared" si="76"/>
        <v>1</v>
      </c>
      <c r="J170" s="834">
        <f t="shared" si="76"/>
        <v>0</v>
      </c>
      <c r="K170" s="835">
        <f t="shared" si="76"/>
        <v>0</v>
      </c>
      <c r="L170" s="835">
        <f t="shared" si="76"/>
        <v>1</v>
      </c>
      <c r="M170" s="835">
        <f t="shared" si="76"/>
        <v>1</v>
      </c>
      <c r="N170" s="835">
        <f t="shared" si="76"/>
        <v>0</v>
      </c>
      <c r="O170" s="834">
        <f t="shared" si="76"/>
        <v>1</v>
      </c>
      <c r="P170" s="834">
        <f t="shared" si="76"/>
        <v>0</v>
      </c>
      <c r="Q170" s="835">
        <f t="shared" si="76"/>
        <v>0</v>
      </c>
      <c r="R170" s="836">
        <f t="shared" si="76"/>
        <v>0</v>
      </c>
      <c r="S170" s="834">
        <f t="shared" si="76"/>
        <v>0</v>
      </c>
      <c r="T170" s="213"/>
      <c r="U170" s="871">
        <v>1136</v>
      </c>
      <c r="V170" s="871"/>
      <c r="W170" s="871"/>
      <c r="X170" s="871"/>
      <c r="Y170" s="871"/>
      <c r="Z170" s="871">
        <v>345</v>
      </c>
      <c r="AA170" s="864">
        <v>1481</v>
      </c>
      <c r="AB170" s="864"/>
      <c r="AC170" s="871"/>
      <c r="AD170" s="871">
        <v>472</v>
      </c>
      <c r="AE170" s="871">
        <v>192</v>
      </c>
      <c r="AF170" s="871"/>
      <c r="AG170" s="864">
        <v>664</v>
      </c>
      <c r="AH170" s="872">
        <f t="shared" ref="AH170:AK170" si="77">AH176+AH182+AH188+AH194+AH200+AH206+AH212+AH218+AH224+AH230+AH236+AH242+AH248</f>
        <v>0</v>
      </c>
      <c r="AI170" s="873">
        <f t="shared" si="77"/>
        <v>0</v>
      </c>
      <c r="AJ170" s="874">
        <f t="shared" si="77"/>
        <v>0</v>
      </c>
      <c r="AK170" s="872">
        <f t="shared" si="77"/>
        <v>0</v>
      </c>
      <c r="AL170" s="209"/>
      <c r="AM170" s="209"/>
    </row>
    <row r="171" spans="1:39" s="80" customFormat="1">
      <c r="A171" s="240" t="s">
        <v>143</v>
      </c>
      <c r="B171" s="240" t="s">
        <v>53</v>
      </c>
      <c r="C171" s="829">
        <f>IF(U176&gt;0,(U171/U176),0)</f>
        <v>0</v>
      </c>
      <c r="D171" s="830">
        <f t="shared" ref="D171:S171" si="78">IF(V176&gt;0,(V171/V176),0)</f>
        <v>0.33241252302025781</v>
      </c>
      <c r="E171" s="830">
        <f t="shared" si="78"/>
        <v>0</v>
      </c>
      <c r="F171" s="830">
        <f t="shared" si="78"/>
        <v>0.27741935483870966</v>
      </c>
      <c r="G171" s="830">
        <f t="shared" si="78"/>
        <v>0.27467811158798283</v>
      </c>
      <c r="H171" s="830">
        <f t="shared" si="78"/>
        <v>0.24590163934426229</v>
      </c>
      <c r="I171" s="829">
        <f t="shared" si="78"/>
        <v>0.31465798045602605</v>
      </c>
      <c r="J171" s="829">
        <f t="shared" si="78"/>
        <v>0</v>
      </c>
      <c r="K171" s="830">
        <f t="shared" si="78"/>
        <v>0</v>
      </c>
      <c r="L171" s="830">
        <f t="shared" si="78"/>
        <v>0.14886731391585761</v>
      </c>
      <c r="M171" s="830">
        <f t="shared" si="78"/>
        <v>0</v>
      </c>
      <c r="N171" s="830">
        <f t="shared" si="78"/>
        <v>0</v>
      </c>
      <c r="O171" s="829">
        <f t="shared" si="78"/>
        <v>0.13105413105413105</v>
      </c>
      <c r="P171" s="829">
        <f t="shared" si="78"/>
        <v>0</v>
      </c>
      <c r="Q171" s="830">
        <f t="shared" si="78"/>
        <v>0</v>
      </c>
      <c r="R171" s="831">
        <f t="shared" si="78"/>
        <v>0</v>
      </c>
      <c r="S171" s="829">
        <f t="shared" si="78"/>
        <v>0</v>
      </c>
      <c r="T171" s="213"/>
      <c r="U171" s="858"/>
      <c r="V171" s="858">
        <v>361</v>
      </c>
      <c r="W171" s="858"/>
      <c r="X171" s="858">
        <v>43</v>
      </c>
      <c r="Y171" s="858">
        <v>64</v>
      </c>
      <c r="Z171" s="858">
        <v>15</v>
      </c>
      <c r="AA171" s="857">
        <v>483</v>
      </c>
      <c r="AB171" s="857"/>
      <c r="AC171" s="858"/>
      <c r="AD171" s="858">
        <v>46</v>
      </c>
      <c r="AE171" s="858"/>
      <c r="AF171" s="858"/>
      <c r="AG171" s="857">
        <v>46</v>
      </c>
      <c r="AH171" s="861">
        <f t="shared" ref="AH171:AK171" si="79">AH177+AH183+AH189+AH195+AH201+AH207+AH213+AH219+AH225+AH231+AH237+AH243+AH249</f>
        <v>0</v>
      </c>
      <c r="AI171" s="862">
        <f t="shared" si="79"/>
        <v>0</v>
      </c>
      <c r="AJ171" s="869">
        <f t="shared" si="79"/>
        <v>0</v>
      </c>
      <c r="AK171" s="861">
        <f t="shared" si="79"/>
        <v>0</v>
      </c>
      <c r="AL171" s="209"/>
      <c r="AM171" s="209"/>
    </row>
    <row r="172" spans="1:39" s="80" customFormat="1">
      <c r="A172" s="239"/>
      <c r="B172" s="239" t="s">
        <v>93</v>
      </c>
      <c r="C172" s="832">
        <f>IF(U176&gt;0,(U172/U176),0)</f>
        <v>0</v>
      </c>
      <c r="D172" s="830">
        <f t="shared" ref="D172:S172" si="80">IF(V176&gt;0,(V172/V176),0)</f>
        <v>0.23572744014732966</v>
      </c>
      <c r="E172" s="830">
        <f t="shared" si="80"/>
        <v>0</v>
      </c>
      <c r="F172" s="830">
        <f t="shared" si="80"/>
        <v>0.14838709677419354</v>
      </c>
      <c r="G172" s="830">
        <f t="shared" si="80"/>
        <v>0.14163090128755365</v>
      </c>
      <c r="H172" s="830">
        <f t="shared" si="80"/>
        <v>0.19672131147540983</v>
      </c>
      <c r="I172" s="832">
        <f t="shared" si="80"/>
        <v>0.21107491856677524</v>
      </c>
      <c r="J172" s="832">
        <f t="shared" si="80"/>
        <v>0</v>
      </c>
      <c r="K172" s="830">
        <f t="shared" si="80"/>
        <v>0</v>
      </c>
      <c r="L172" s="830">
        <f t="shared" si="80"/>
        <v>8.7378640776699032E-2</v>
      </c>
      <c r="M172" s="830">
        <f t="shared" si="80"/>
        <v>0</v>
      </c>
      <c r="N172" s="830">
        <f t="shared" si="80"/>
        <v>0</v>
      </c>
      <c r="O172" s="832">
        <f t="shared" si="80"/>
        <v>7.6923076923076927E-2</v>
      </c>
      <c r="P172" s="832">
        <f t="shared" si="80"/>
        <v>0</v>
      </c>
      <c r="Q172" s="830">
        <f t="shared" si="80"/>
        <v>0</v>
      </c>
      <c r="R172" s="833">
        <f t="shared" si="80"/>
        <v>0</v>
      </c>
      <c r="S172" s="832">
        <f t="shared" si="80"/>
        <v>0</v>
      </c>
      <c r="T172" s="213"/>
      <c r="U172" s="858"/>
      <c r="V172" s="858">
        <v>256</v>
      </c>
      <c r="W172" s="858"/>
      <c r="X172" s="858">
        <v>23</v>
      </c>
      <c r="Y172" s="858">
        <v>33</v>
      </c>
      <c r="Z172" s="858">
        <v>12</v>
      </c>
      <c r="AA172" s="859">
        <v>324</v>
      </c>
      <c r="AB172" s="859"/>
      <c r="AC172" s="858"/>
      <c r="AD172" s="858">
        <v>27</v>
      </c>
      <c r="AE172" s="858"/>
      <c r="AF172" s="858"/>
      <c r="AG172" s="859">
        <v>27</v>
      </c>
      <c r="AH172" s="863">
        <f t="shared" ref="AH172:AK172" si="81">AH178+AH184+AH190+AH196+AH202+AH208+AH214+AH220+AH226+AH232+AH238+AH244+AH250</f>
        <v>0</v>
      </c>
      <c r="AI172" s="862">
        <f t="shared" si="81"/>
        <v>0</v>
      </c>
      <c r="AJ172" s="870">
        <f t="shared" si="81"/>
        <v>0</v>
      </c>
      <c r="AK172" s="863">
        <f t="shared" si="81"/>
        <v>0</v>
      </c>
      <c r="AL172" s="209"/>
      <c r="AM172" s="209"/>
    </row>
    <row r="173" spans="1:39" s="80" customFormat="1">
      <c r="A173" s="239"/>
      <c r="B173" s="239" t="s">
        <v>55</v>
      </c>
      <c r="C173" s="832">
        <f>IF(U176&gt;0,(U173/U176),0)</f>
        <v>0</v>
      </c>
      <c r="D173" s="830">
        <f t="shared" ref="D173:S173" si="82">IF(V176&gt;0,(V173/V176),0)</f>
        <v>0.29465930018416209</v>
      </c>
      <c r="E173" s="830">
        <f t="shared" si="82"/>
        <v>0</v>
      </c>
      <c r="F173" s="830">
        <f t="shared" si="82"/>
        <v>0.27741935483870966</v>
      </c>
      <c r="G173" s="830">
        <f t="shared" si="82"/>
        <v>0.26180257510729615</v>
      </c>
      <c r="H173" s="830">
        <f t="shared" si="82"/>
        <v>0.29508196721311475</v>
      </c>
      <c r="I173" s="832">
        <f t="shared" si="82"/>
        <v>0.28794788273615635</v>
      </c>
      <c r="J173" s="832">
        <f t="shared" si="82"/>
        <v>0</v>
      </c>
      <c r="K173" s="830">
        <f t="shared" si="82"/>
        <v>0</v>
      </c>
      <c r="L173" s="830">
        <f t="shared" si="82"/>
        <v>0.13915857605177995</v>
      </c>
      <c r="M173" s="830">
        <f t="shared" si="82"/>
        <v>0</v>
      </c>
      <c r="N173" s="830">
        <f t="shared" si="82"/>
        <v>0</v>
      </c>
      <c r="O173" s="832">
        <f t="shared" si="82"/>
        <v>0.12250712250712251</v>
      </c>
      <c r="P173" s="832">
        <f t="shared" si="82"/>
        <v>0</v>
      </c>
      <c r="Q173" s="830">
        <f t="shared" si="82"/>
        <v>0</v>
      </c>
      <c r="R173" s="833">
        <f t="shared" si="82"/>
        <v>0</v>
      </c>
      <c r="S173" s="832">
        <f t="shared" si="82"/>
        <v>0</v>
      </c>
      <c r="T173" s="213"/>
      <c r="U173" s="858"/>
      <c r="V173" s="858">
        <v>320</v>
      </c>
      <c r="W173" s="858"/>
      <c r="X173" s="858">
        <v>43</v>
      </c>
      <c r="Y173" s="858">
        <v>61</v>
      </c>
      <c r="Z173" s="858">
        <v>18</v>
      </c>
      <c r="AA173" s="859">
        <v>442</v>
      </c>
      <c r="AB173" s="859"/>
      <c r="AC173" s="858"/>
      <c r="AD173" s="858">
        <v>43</v>
      </c>
      <c r="AE173" s="858"/>
      <c r="AF173" s="858"/>
      <c r="AG173" s="859">
        <v>43</v>
      </c>
      <c r="AH173" s="863">
        <f t="shared" ref="AH173:AK173" si="83">AH179+AH185+AH191+AH197+AH203+AH209+AH215+AH221+AH227+AH233+AH239+AH245+AH251</f>
        <v>0</v>
      </c>
      <c r="AI173" s="862">
        <f t="shared" si="83"/>
        <v>0</v>
      </c>
      <c r="AJ173" s="870">
        <f t="shared" si="83"/>
        <v>0</v>
      </c>
      <c r="AK173" s="863">
        <f t="shared" si="83"/>
        <v>0</v>
      </c>
      <c r="AL173" s="209"/>
      <c r="AM173" s="209"/>
    </row>
    <row r="174" spans="1:39" s="80" customFormat="1">
      <c r="A174" s="239"/>
      <c r="B174" s="239" t="s">
        <v>78</v>
      </c>
      <c r="C174" s="832">
        <f>IF(U176&gt;0,(U174/U176),0)</f>
        <v>0</v>
      </c>
      <c r="D174" s="830">
        <f t="shared" ref="D174:S174" si="84">IF(V176&gt;0,(V174/V176),0)</f>
        <v>0.12430939226519337</v>
      </c>
      <c r="E174" s="830">
        <f t="shared" si="84"/>
        <v>0</v>
      </c>
      <c r="F174" s="830">
        <f t="shared" si="84"/>
        <v>0.18709677419354839</v>
      </c>
      <c r="G174" s="830">
        <f t="shared" si="84"/>
        <v>0.15879828326180256</v>
      </c>
      <c r="H174" s="830">
        <f t="shared" si="84"/>
        <v>0.26229508196721313</v>
      </c>
      <c r="I174" s="832">
        <f t="shared" si="84"/>
        <v>0.14136807817589578</v>
      </c>
      <c r="J174" s="832">
        <f t="shared" si="84"/>
        <v>0</v>
      </c>
      <c r="K174" s="830">
        <f t="shared" si="84"/>
        <v>0</v>
      </c>
      <c r="L174" s="830">
        <f t="shared" si="84"/>
        <v>0.62459546925566345</v>
      </c>
      <c r="M174" s="830">
        <f t="shared" si="84"/>
        <v>1</v>
      </c>
      <c r="N174" s="830">
        <f t="shared" si="84"/>
        <v>0</v>
      </c>
      <c r="O174" s="832">
        <f t="shared" si="84"/>
        <v>0.66951566951566954</v>
      </c>
      <c r="P174" s="832">
        <f t="shared" si="84"/>
        <v>0</v>
      </c>
      <c r="Q174" s="830">
        <f t="shared" si="84"/>
        <v>0</v>
      </c>
      <c r="R174" s="833">
        <f t="shared" si="84"/>
        <v>0</v>
      </c>
      <c r="S174" s="832">
        <f t="shared" si="84"/>
        <v>0</v>
      </c>
      <c r="T174" s="213"/>
      <c r="U174" s="858"/>
      <c r="V174" s="858">
        <v>135</v>
      </c>
      <c r="W174" s="858"/>
      <c r="X174" s="858">
        <v>29</v>
      </c>
      <c r="Y174" s="858">
        <v>37</v>
      </c>
      <c r="Z174" s="858">
        <v>16</v>
      </c>
      <c r="AA174" s="859">
        <v>217</v>
      </c>
      <c r="AB174" s="859"/>
      <c r="AC174" s="858"/>
      <c r="AD174" s="858">
        <v>193</v>
      </c>
      <c r="AE174" s="858">
        <v>42</v>
      </c>
      <c r="AF174" s="858"/>
      <c r="AG174" s="859">
        <v>235</v>
      </c>
      <c r="AH174" s="863">
        <f t="shared" ref="AH174:AK174" si="85">AH180+AH186+AH192+AH198+AH204+AH210+AH216+AH222+AH228+AH234+AH240+AH246+AH252</f>
        <v>0</v>
      </c>
      <c r="AI174" s="862">
        <f t="shared" si="85"/>
        <v>0</v>
      </c>
      <c r="AJ174" s="870">
        <f t="shared" si="85"/>
        <v>0</v>
      </c>
      <c r="AK174" s="863">
        <f t="shared" si="85"/>
        <v>0</v>
      </c>
      <c r="AL174" s="209"/>
      <c r="AM174" s="209"/>
    </row>
    <row r="175" spans="1:39" s="80" customFormat="1">
      <c r="A175" s="580"/>
      <c r="B175" s="580" t="s">
        <v>131</v>
      </c>
      <c r="C175" s="832">
        <f>IF(U176&gt;0,(U175/U176),0)</f>
        <v>0</v>
      </c>
      <c r="D175" s="830">
        <f t="shared" ref="D175:S175" si="86">IF(V176&gt;0,(V175/V176),0)</f>
        <v>1.289134438305709E-2</v>
      </c>
      <c r="E175" s="830">
        <f t="shared" si="86"/>
        <v>0</v>
      </c>
      <c r="F175" s="830">
        <f t="shared" si="86"/>
        <v>0.10967741935483871</v>
      </c>
      <c r="G175" s="830">
        <f t="shared" si="86"/>
        <v>0.1630901287553648</v>
      </c>
      <c r="H175" s="830">
        <f t="shared" si="86"/>
        <v>0</v>
      </c>
      <c r="I175" s="832">
        <f t="shared" si="86"/>
        <v>4.4951140065146583E-2</v>
      </c>
      <c r="J175" s="832">
        <f t="shared" si="86"/>
        <v>0</v>
      </c>
      <c r="K175" s="830">
        <f t="shared" si="86"/>
        <v>0</v>
      </c>
      <c r="L175" s="830">
        <f t="shared" si="86"/>
        <v>0</v>
      </c>
      <c r="M175" s="830">
        <f t="shared" si="86"/>
        <v>0</v>
      </c>
      <c r="N175" s="830">
        <f t="shared" si="86"/>
        <v>0</v>
      </c>
      <c r="O175" s="832">
        <f t="shared" si="86"/>
        <v>0</v>
      </c>
      <c r="P175" s="832">
        <f t="shared" si="86"/>
        <v>0</v>
      </c>
      <c r="Q175" s="830">
        <f t="shared" si="86"/>
        <v>0</v>
      </c>
      <c r="R175" s="833">
        <f t="shared" si="86"/>
        <v>0</v>
      </c>
      <c r="S175" s="832">
        <f t="shared" si="86"/>
        <v>0</v>
      </c>
      <c r="T175" s="213"/>
      <c r="U175" s="858"/>
      <c r="V175" s="858">
        <v>14</v>
      </c>
      <c r="W175" s="858"/>
      <c r="X175" s="858">
        <v>17</v>
      </c>
      <c r="Y175" s="858">
        <v>38</v>
      </c>
      <c r="Z175" s="858"/>
      <c r="AA175" s="859">
        <v>69</v>
      </c>
      <c r="AB175" s="859"/>
      <c r="AC175" s="858"/>
      <c r="AD175" s="858"/>
      <c r="AE175" s="858"/>
      <c r="AF175" s="858"/>
      <c r="AG175" s="859"/>
      <c r="AH175" s="863">
        <f t="shared" ref="AH175:AK175" si="87">AH181+AH187+AH193+AH199+AH205+AH211+AH217+AH223+AH229+AH235+AH241+AH247+AH253</f>
        <v>0</v>
      </c>
      <c r="AI175" s="862">
        <f t="shared" si="87"/>
        <v>0</v>
      </c>
      <c r="AJ175" s="870">
        <f t="shared" si="87"/>
        <v>0</v>
      </c>
      <c r="AK175" s="863">
        <f t="shared" si="87"/>
        <v>0</v>
      </c>
      <c r="AL175" s="209"/>
      <c r="AM175" s="209"/>
    </row>
    <row r="176" spans="1:39" s="80" customFormat="1">
      <c r="A176" s="436"/>
      <c r="B176" s="436" t="s">
        <v>59</v>
      </c>
      <c r="C176" s="834">
        <f>IF(U176&gt;0,(U176/U176),0)</f>
        <v>0</v>
      </c>
      <c r="D176" s="835">
        <f t="shared" ref="D176:S176" si="88">IF(V176&gt;0,(V176/V176),0)</f>
        <v>1</v>
      </c>
      <c r="E176" s="835">
        <f t="shared" si="88"/>
        <v>0</v>
      </c>
      <c r="F176" s="835">
        <f t="shared" si="88"/>
        <v>1</v>
      </c>
      <c r="G176" s="835">
        <f t="shared" si="88"/>
        <v>1</v>
      </c>
      <c r="H176" s="835">
        <f t="shared" si="88"/>
        <v>1</v>
      </c>
      <c r="I176" s="834">
        <f t="shared" si="88"/>
        <v>1</v>
      </c>
      <c r="J176" s="834">
        <f t="shared" si="88"/>
        <v>0</v>
      </c>
      <c r="K176" s="835">
        <f t="shared" si="88"/>
        <v>0</v>
      </c>
      <c r="L176" s="835">
        <f t="shared" si="88"/>
        <v>1</v>
      </c>
      <c r="M176" s="835">
        <f t="shared" si="88"/>
        <v>1</v>
      </c>
      <c r="N176" s="835">
        <f t="shared" si="88"/>
        <v>0</v>
      </c>
      <c r="O176" s="834">
        <f t="shared" si="88"/>
        <v>1</v>
      </c>
      <c r="P176" s="834">
        <f t="shared" si="88"/>
        <v>0</v>
      </c>
      <c r="Q176" s="835">
        <f t="shared" si="88"/>
        <v>0</v>
      </c>
      <c r="R176" s="836">
        <f t="shared" si="88"/>
        <v>0</v>
      </c>
      <c r="S176" s="834">
        <f t="shared" si="88"/>
        <v>0</v>
      </c>
      <c r="T176" s="213"/>
      <c r="U176" s="871"/>
      <c r="V176" s="871">
        <v>1086</v>
      </c>
      <c r="W176" s="871"/>
      <c r="X176" s="871">
        <v>155</v>
      </c>
      <c r="Y176" s="871">
        <v>233</v>
      </c>
      <c r="Z176" s="871">
        <v>61</v>
      </c>
      <c r="AA176" s="864">
        <v>1535</v>
      </c>
      <c r="AB176" s="864"/>
      <c r="AC176" s="871"/>
      <c r="AD176" s="871">
        <v>309</v>
      </c>
      <c r="AE176" s="871">
        <v>42</v>
      </c>
      <c r="AF176" s="871"/>
      <c r="AG176" s="864">
        <v>351</v>
      </c>
      <c r="AH176" s="872">
        <f t="shared" ref="AH176:AK176" si="89">AH182+AH188+AH194+AH200+AH206+AH212+AH218+AH224+AH230+AH236+AH242+AH248+AH254</f>
        <v>0</v>
      </c>
      <c r="AI176" s="873">
        <f t="shared" si="89"/>
        <v>0</v>
      </c>
      <c r="AJ176" s="874">
        <f t="shared" si="89"/>
        <v>0</v>
      </c>
      <c r="AK176" s="872">
        <f t="shared" si="89"/>
        <v>0</v>
      </c>
      <c r="AL176" s="209"/>
      <c r="AM176" s="209"/>
    </row>
    <row r="177" spans="1:39" s="80" customFormat="1">
      <c r="A177" s="240" t="s">
        <v>152</v>
      </c>
      <c r="B177" s="240" t="s">
        <v>53</v>
      </c>
      <c r="C177" s="829">
        <f>IF(U182&gt;0,(U177/U182),0)</f>
        <v>0</v>
      </c>
      <c r="D177" s="830">
        <f t="shared" ref="D177:S177" si="90">IF(V182&gt;0,(V177/V182),0)</f>
        <v>0.33241252302025781</v>
      </c>
      <c r="E177" s="830">
        <f t="shared" si="90"/>
        <v>0</v>
      </c>
      <c r="F177" s="830">
        <f t="shared" si="90"/>
        <v>0.27741935483870966</v>
      </c>
      <c r="G177" s="830">
        <f t="shared" si="90"/>
        <v>0.27467811158798283</v>
      </c>
      <c r="H177" s="830">
        <f t="shared" si="90"/>
        <v>0.24590163934426229</v>
      </c>
      <c r="I177" s="829">
        <f t="shared" si="90"/>
        <v>0.31465798045602605</v>
      </c>
      <c r="J177" s="829">
        <f t="shared" si="90"/>
        <v>0</v>
      </c>
      <c r="K177" s="830">
        <f t="shared" si="90"/>
        <v>0</v>
      </c>
      <c r="L177" s="830">
        <f t="shared" si="90"/>
        <v>0</v>
      </c>
      <c r="M177" s="830">
        <f t="shared" si="90"/>
        <v>4.4843049327354259E-3</v>
      </c>
      <c r="N177" s="830">
        <f t="shared" si="90"/>
        <v>0</v>
      </c>
      <c r="O177" s="829">
        <f t="shared" si="90"/>
        <v>4.4843049327354259E-3</v>
      </c>
      <c r="P177" s="829">
        <f t="shared" si="90"/>
        <v>0</v>
      </c>
      <c r="Q177" s="830">
        <f t="shared" si="90"/>
        <v>0</v>
      </c>
      <c r="R177" s="831">
        <f t="shared" si="90"/>
        <v>0</v>
      </c>
      <c r="S177" s="829">
        <f t="shared" si="90"/>
        <v>0</v>
      </c>
      <c r="T177" s="213"/>
      <c r="U177" s="858"/>
      <c r="V177" s="858">
        <v>361</v>
      </c>
      <c r="W177" s="858"/>
      <c r="X177" s="858">
        <v>43</v>
      </c>
      <c r="Y177" s="858">
        <v>64</v>
      </c>
      <c r="Z177" s="858">
        <v>15</v>
      </c>
      <c r="AA177" s="857">
        <v>483</v>
      </c>
      <c r="AB177" s="857"/>
      <c r="AC177" s="858"/>
      <c r="AD177" s="858"/>
      <c r="AE177" s="858">
        <v>1</v>
      </c>
      <c r="AF177" s="858"/>
      <c r="AG177" s="857">
        <v>1</v>
      </c>
      <c r="AH177" s="861">
        <f t="shared" ref="AH177:AK177" si="91">AH183+AH189+AH195+AH201+AH207+AH213+AH219+AH225+AH231+AH237+AH243+AH249+AH255</f>
        <v>0</v>
      </c>
      <c r="AI177" s="862">
        <f t="shared" si="91"/>
        <v>0</v>
      </c>
      <c r="AJ177" s="869">
        <f t="shared" si="91"/>
        <v>0</v>
      </c>
      <c r="AK177" s="861">
        <f t="shared" si="91"/>
        <v>0</v>
      </c>
      <c r="AL177" s="209"/>
      <c r="AM177" s="209"/>
    </row>
    <row r="178" spans="1:39" s="80" customFormat="1">
      <c r="A178" s="239"/>
      <c r="B178" s="239" t="s">
        <v>93</v>
      </c>
      <c r="C178" s="832">
        <f>IF(U182&gt;0,(U178/U182),0)</f>
        <v>0</v>
      </c>
      <c r="D178" s="830">
        <f t="shared" ref="D178:S178" si="92">IF(V182&gt;0,(V178/V182),0)</f>
        <v>0.23572744014732966</v>
      </c>
      <c r="E178" s="830">
        <f t="shared" si="92"/>
        <v>0</v>
      </c>
      <c r="F178" s="830">
        <f t="shared" si="92"/>
        <v>0.14838709677419354</v>
      </c>
      <c r="G178" s="830">
        <f t="shared" si="92"/>
        <v>0.14163090128755365</v>
      </c>
      <c r="H178" s="830">
        <f t="shared" si="92"/>
        <v>0.19672131147540983</v>
      </c>
      <c r="I178" s="832">
        <f t="shared" si="92"/>
        <v>0.21107491856677524</v>
      </c>
      <c r="J178" s="832">
        <f t="shared" si="92"/>
        <v>0</v>
      </c>
      <c r="K178" s="830">
        <f t="shared" si="92"/>
        <v>0</v>
      </c>
      <c r="L178" s="830">
        <f t="shared" si="92"/>
        <v>0</v>
      </c>
      <c r="M178" s="830">
        <f t="shared" si="92"/>
        <v>0</v>
      </c>
      <c r="N178" s="830">
        <f t="shared" si="92"/>
        <v>0</v>
      </c>
      <c r="O178" s="832">
        <f t="shared" si="92"/>
        <v>0</v>
      </c>
      <c r="P178" s="832">
        <f t="shared" si="92"/>
        <v>0</v>
      </c>
      <c r="Q178" s="830">
        <f t="shared" si="92"/>
        <v>0</v>
      </c>
      <c r="R178" s="833">
        <f t="shared" si="92"/>
        <v>0</v>
      </c>
      <c r="S178" s="832">
        <f t="shared" si="92"/>
        <v>0</v>
      </c>
      <c r="T178" s="213"/>
      <c r="U178" s="858"/>
      <c r="V178" s="858">
        <v>256</v>
      </c>
      <c r="W178" s="858"/>
      <c r="X178" s="858">
        <v>23</v>
      </c>
      <c r="Y178" s="858">
        <v>33</v>
      </c>
      <c r="Z178" s="858">
        <v>12</v>
      </c>
      <c r="AA178" s="859">
        <v>324</v>
      </c>
      <c r="AB178" s="859"/>
      <c r="AC178" s="858"/>
      <c r="AD178" s="858"/>
      <c r="AE178" s="858"/>
      <c r="AF178" s="858"/>
      <c r="AG178" s="859"/>
      <c r="AH178" s="863">
        <f t="shared" ref="AH178:AK178" si="93">AH184+AH190+AH196+AH202+AH208+AH214+AH220+AH226+AH232+AH238+AH244+AH250+AH256</f>
        <v>0</v>
      </c>
      <c r="AI178" s="862">
        <f t="shared" si="93"/>
        <v>0</v>
      </c>
      <c r="AJ178" s="870">
        <f t="shared" si="93"/>
        <v>0</v>
      </c>
      <c r="AK178" s="863">
        <f t="shared" si="93"/>
        <v>0</v>
      </c>
      <c r="AL178" s="209"/>
      <c r="AM178" s="209"/>
    </row>
    <row r="179" spans="1:39" s="80" customFormat="1">
      <c r="A179" s="239"/>
      <c r="B179" s="239" t="s">
        <v>55</v>
      </c>
      <c r="C179" s="832">
        <f>IF(U182&gt;0,(U179/U182),0)</f>
        <v>0</v>
      </c>
      <c r="D179" s="830">
        <f t="shared" ref="D179:S179" si="94">IF(V182&gt;0,(V179/V182),0)</f>
        <v>0.29465930018416209</v>
      </c>
      <c r="E179" s="830">
        <f t="shared" si="94"/>
        <v>0</v>
      </c>
      <c r="F179" s="830">
        <f t="shared" si="94"/>
        <v>0.27741935483870966</v>
      </c>
      <c r="G179" s="830">
        <f t="shared" si="94"/>
        <v>0.26180257510729615</v>
      </c>
      <c r="H179" s="830">
        <f t="shared" si="94"/>
        <v>0.29508196721311475</v>
      </c>
      <c r="I179" s="832">
        <f t="shared" si="94"/>
        <v>0.28794788273615635</v>
      </c>
      <c r="J179" s="832">
        <f t="shared" si="94"/>
        <v>0</v>
      </c>
      <c r="K179" s="830">
        <f t="shared" si="94"/>
        <v>0</v>
      </c>
      <c r="L179" s="830">
        <f t="shared" si="94"/>
        <v>0</v>
      </c>
      <c r="M179" s="830">
        <f t="shared" si="94"/>
        <v>0</v>
      </c>
      <c r="N179" s="830">
        <f t="shared" si="94"/>
        <v>0</v>
      </c>
      <c r="O179" s="832">
        <f t="shared" si="94"/>
        <v>0</v>
      </c>
      <c r="P179" s="832">
        <f t="shared" si="94"/>
        <v>0</v>
      </c>
      <c r="Q179" s="830">
        <f t="shared" si="94"/>
        <v>0</v>
      </c>
      <c r="R179" s="833">
        <f t="shared" si="94"/>
        <v>0</v>
      </c>
      <c r="S179" s="832">
        <f t="shared" si="94"/>
        <v>0</v>
      </c>
      <c r="T179" s="213"/>
      <c r="U179" s="858"/>
      <c r="V179" s="858">
        <v>320</v>
      </c>
      <c r="W179" s="858"/>
      <c r="X179" s="858">
        <v>43</v>
      </c>
      <c r="Y179" s="858">
        <v>61</v>
      </c>
      <c r="Z179" s="858">
        <v>18</v>
      </c>
      <c r="AA179" s="859">
        <v>442</v>
      </c>
      <c r="AB179" s="859"/>
      <c r="AC179" s="858"/>
      <c r="AD179" s="858"/>
      <c r="AE179" s="858"/>
      <c r="AF179" s="858"/>
      <c r="AG179" s="859"/>
      <c r="AH179" s="863">
        <f t="shared" ref="AH179:AK179" si="95">AH185+AH191+AH197+AH203+AH209+AH215+AH221+AH227+AH233+AH239+AH245+AH251+AH257</f>
        <v>0</v>
      </c>
      <c r="AI179" s="862">
        <f t="shared" si="95"/>
        <v>0</v>
      </c>
      <c r="AJ179" s="870">
        <f t="shared" si="95"/>
        <v>0</v>
      </c>
      <c r="AK179" s="863">
        <f t="shared" si="95"/>
        <v>0</v>
      </c>
      <c r="AL179" s="209"/>
      <c r="AM179" s="209"/>
    </row>
    <row r="180" spans="1:39" s="80" customFormat="1">
      <c r="A180" s="239"/>
      <c r="B180" s="239" t="s">
        <v>78</v>
      </c>
      <c r="C180" s="832">
        <f>IF(U182&gt;0,(U180/U182),0)</f>
        <v>0</v>
      </c>
      <c r="D180" s="830">
        <f t="shared" ref="D180:S180" si="96">IF(V182&gt;0,(V180/V182),0)</f>
        <v>0.12430939226519337</v>
      </c>
      <c r="E180" s="830">
        <f t="shared" si="96"/>
        <v>0</v>
      </c>
      <c r="F180" s="830">
        <f t="shared" si="96"/>
        <v>0.18709677419354839</v>
      </c>
      <c r="G180" s="830">
        <f t="shared" si="96"/>
        <v>0.15879828326180256</v>
      </c>
      <c r="H180" s="830">
        <f t="shared" si="96"/>
        <v>0.26229508196721313</v>
      </c>
      <c r="I180" s="832">
        <f t="shared" si="96"/>
        <v>0.14136807817589578</v>
      </c>
      <c r="J180" s="832">
        <f t="shared" si="96"/>
        <v>0</v>
      </c>
      <c r="K180" s="830">
        <f t="shared" si="96"/>
        <v>0</v>
      </c>
      <c r="L180" s="830">
        <f t="shared" si="96"/>
        <v>0</v>
      </c>
      <c r="M180" s="830">
        <f t="shared" si="96"/>
        <v>0.70403587443946192</v>
      </c>
      <c r="N180" s="830">
        <f t="shared" si="96"/>
        <v>0</v>
      </c>
      <c r="O180" s="832">
        <f t="shared" si="96"/>
        <v>0.70403587443946192</v>
      </c>
      <c r="P180" s="832">
        <f t="shared" si="96"/>
        <v>0</v>
      </c>
      <c r="Q180" s="830">
        <f t="shared" si="96"/>
        <v>0</v>
      </c>
      <c r="R180" s="833">
        <f t="shared" si="96"/>
        <v>0</v>
      </c>
      <c r="S180" s="832">
        <f t="shared" si="96"/>
        <v>0</v>
      </c>
      <c r="T180" s="213"/>
      <c r="U180" s="858"/>
      <c r="V180" s="858">
        <v>135</v>
      </c>
      <c r="W180" s="858"/>
      <c r="X180" s="858">
        <v>29</v>
      </c>
      <c r="Y180" s="858">
        <v>37</v>
      </c>
      <c r="Z180" s="858">
        <v>16</v>
      </c>
      <c r="AA180" s="859">
        <v>217</v>
      </c>
      <c r="AB180" s="859"/>
      <c r="AC180" s="858"/>
      <c r="AD180" s="858"/>
      <c r="AE180" s="858">
        <v>157</v>
      </c>
      <c r="AF180" s="858"/>
      <c r="AG180" s="859">
        <v>157</v>
      </c>
      <c r="AH180" s="863">
        <f t="shared" ref="AH180:AK180" si="97">AH186+AH192+AH198+AH204+AH210+AH216+AH222+AH228+AH234+AH240+AH246+AH252+AH258</f>
        <v>0</v>
      </c>
      <c r="AI180" s="862">
        <f t="shared" si="97"/>
        <v>0</v>
      </c>
      <c r="AJ180" s="870">
        <f t="shared" si="97"/>
        <v>0</v>
      </c>
      <c r="AK180" s="863">
        <f t="shared" si="97"/>
        <v>0</v>
      </c>
      <c r="AL180" s="209"/>
      <c r="AM180" s="209"/>
    </row>
    <row r="181" spans="1:39" s="80" customFormat="1">
      <c r="A181" s="580"/>
      <c r="B181" s="580" t="s">
        <v>131</v>
      </c>
      <c r="C181" s="832">
        <f>IF(U182&gt;0,(U181/U182),0)</f>
        <v>0</v>
      </c>
      <c r="D181" s="830">
        <f t="shared" ref="D181:S181" si="98">IF(V182&gt;0,(V181/V182),0)</f>
        <v>1.289134438305709E-2</v>
      </c>
      <c r="E181" s="830">
        <f t="shared" si="98"/>
        <v>0</v>
      </c>
      <c r="F181" s="830">
        <f t="shared" si="98"/>
        <v>0.10967741935483871</v>
      </c>
      <c r="G181" s="830">
        <f t="shared" si="98"/>
        <v>0.1630901287553648</v>
      </c>
      <c r="H181" s="830">
        <f t="shared" si="98"/>
        <v>0</v>
      </c>
      <c r="I181" s="832">
        <f t="shared" si="98"/>
        <v>4.4951140065146583E-2</v>
      </c>
      <c r="J181" s="832">
        <f t="shared" si="98"/>
        <v>0</v>
      </c>
      <c r="K181" s="830">
        <f t="shared" si="98"/>
        <v>0</v>
      </c>
      <c r="L181" s="830">
        <f t="shared" si="98"/>
        <v>0</v>
      </c>
      <c r="M181" s="830">
        <f t="shared" si="98"/>
        <v>0.2914798206278027</v>
      </c>
      <c r="N181" s="830">
        <f t="shared" si="98"/>
        <v>0</v>
      </c>
      <c r="O181" s="832">
        <f t="shared" si="98"/>
        <v>0.2914798206278027</v>
      </c>
      <c r="P181" s="832">
        <f t="shared" si="98"/>
        <v>0</v>
      </c>
      <c r="Q181" s="830">
        <f t="shared" si="98"/>
        <v>0</v>
      </c>
      <c r="R181" s="833">
        <f t="shared" si="98"/>
        <v>0</v>
      </c>
      <c r="S181" s="832">
        <f t="shared" si="98"/>
        <v>0</v>
      </c>
      <c r="T181" s="213"/>
      <c r="U181" s="858"/>
      <c r="V181" s="858">
        <v>14</v>
      </c>
      <c r="W181" s="858"/>
      <c r="X181" s="858">
        <v>17</v>
      </c>
      <c r="Y181" s="858">
        <v>38</v>
      </c>
      <c r="Z181" s="858"/>
      <c r="AA181" s="859">
        <v>69</v>
      </c>
      <c r="AB181" s="859"/>
      <c r="AC181" s="858"/>
      <c r="AD181" s="858"/>
      <c r="AE181" s="858">
        <v>65</v>
      </c>
      <c r="AF181" s="858"/>
      <c r="AG181" s="859">
        <v>65</v>
      </c>
      <c r="AH181" s="863">
        <f t="shared" ref="AH181:AK181" si="99">AH187+AH193+AH199+AH205+AH211+AH217+AH223+AH229+AH235+AH241+AH247+AH253+AH259</f>
        <v>0</v>
      </c>
      <c r="AI181" s="862">
        <f t="shared" si="99"/>
        <v>0</v>
      </c>
      <c r="AJ181" s="870">
        <f t="shared" si="99"/>
        <v>0</v>
      </c>
      <c r="AK181" s="863">
        <f t="shared" si="99"/>
        <v>0</v>
      </c>
      <c r="AL181" s="209"/>
      <c r="AM181" s="209"/>
    </row>
    <row r="182" spans="1:39" s="80" customFormat="1">
      <c r="A182" s="436"/>
      <c r="B182" s="436" t="s">
        <v>59</v>
      </c>
      <c r="C182" s="834">
        <f>IF(U182&gt;0,(U182/U182),0)</f>
        <v>0</v>
      </c>
      <c r="D182" s="835">
        <f t="shared" ref="D182:S182" si="100">IF(V182&gt;0,(V182/V182),0)</f>
        <v>1</v>
      </c>
      <c r="E182" s="835">
        <f t="shared" si="100"/>
        <v>0</v>
      </c>
      <c r="F182" s="835">
        <f t="shared" si="100"/>
        <v>1</v>
      </c>
      <c r="G182" s="835">
        <f t="shared" si="100"/>
        <v>1</v>
      </c>
      <c r="H182" s="835">
        <f t="shared" si="100"/>
        <v>1</v>
      </c>
      <c r="I182" s="834">
        <f t="shared" si="100"/>
        <v>1</v>
      </c>
      <c r="J182" s="834">
        <f t="shared" si="100"/>
        <v>0</v>
      </c>
      <c r="K182" s="835">
        <f t="shared" si="100"/>
        <v>0</v>
      </c>
      <c r="L182" s="835">
        <f t="shared" si="100"/>
        <v>0</v>
      </c>
      <c r="M182" s="835">
        <f t="shared" si="100"/>
        <v>1</v>
      </c>
      <c r="N182" s="835">
        <f t="shared" si="100"/>
        <v>0</v>
      </c>
      <c r="O182" s="834">
        <f t="shared" si="100"/>
        <v>1</v>
      </c>
      <c r="P182" s="834">
        <f t="shared" si="100"/>
        <v>0</v>
      </c>
      <c r="Q182" s="835">
        <f t="shared" si="100"/>
        <v>0</v>
      </c>
      <c r="R182" s="836">
        <f t="shared" si="100"/>
        <v>0</v>
      </c>
      <c r="S182" s="834">
        <f t="shared" si="100"/>
        <v>0</v>
      </c>
      <c r="T182" s="213"/>
      <c r="U182" s="871"/>
      <c r="V182" s="871">
        <v>1086</v>
      </c>
      <c r="W182" s="871"/>
      <c r="X182" s="871">
        <v>155</v>
      </c>
      <c r="Y182" s="871">
        <v>233</v>
      </c>
      <c r="Z182" s="871">
        <v>61</v>
      </c>
      <c r="AA182" s="864">
        <v>1535</v>
      </c>
      <c r="AB182" s="864"/>
      <c r="AC182" s="871"/>
      <c r="AD182" s="871"/>
      <c r="AE182" s="871">
        <v>223</v>
      </c>
      <c r="AF182" s="871"/>
      <c r="AG182" s="864">
        <v>223</v>
      </c>
      <c r="AH182" s="872">
        <f t="shared" ref="AH182:AK182" si="101">AH188+AH194+AH200+AH206+AH212+AH218+AH224+AH230+AH236+AH242+AH248+AH254+AH260</f>
        <v>0</v>
      </c>
      <c r="AI182" s="873">
        <f t="shared" si="101"/>
        <v>0</v>
      </c>
      <c r="AJ182" s="874">
        <f t="shared" si="101"/>
        <v>0</v>
      </c>
      <c r="AK182" s="872">
        <f t="shared" si="101"/>
        <v>0</v>
      </c>
      <c r="AL182" s="209"/>
      <c r="AM182" s="209"/>
    </row>
    <row r="183" spans="1:39" s="80" customFormat="1">
      <c r="A183" s="240" t="s">
        <v>158</v>
      </c>
      <c r="B183" s="240" t="s">
        <v>53</v>
      </c>
      <c r="C183" s="829">
        <f>IF(U188&gt;0,(U183/U188),0)</f>
        <v>0</v>
      </c>
      <c r="D183" s="830">
        <f t="shared" ref="D183:S183" si="102">IF(V188&gt;0,(V183/V188),0)</f>
        <v>0.27503090234857847</v>
      </c>
      <c r="E183" s="830">
        <f t="shared" si="102"/>
        <v>0</v>
      </c>
      <c r="F183" s="830">
        <f t="shared" si="102"/>
        <v>0</v>
      </c>
      <c r="G183" s="830">
        <f t="shared" si="102"/>
        <v>0</v>
      </c>
      <c r="H183" s="830">
        <f t="shared" si="102"/>
        <v>0.57835218093699514</v>
      </c>
      <c r="I183" s="829">
        <f t="shared" si="102"/>
        <v>0.35896289673670095</v>
      </c>
      <c r="J183" s="829">
        <f t="shared" si="102"/>
        <v>0</v>
      </c>
      <c r="K183" s="830">
        <f t="shared" si="102"/>
        <v>0.63934426229508201</v>
      </c>
      <c r="L183" s="830">
        <f t="shared" si="102"/>
        <v>0.62666666666666671</v>
      </c>
      <c r="M183" s="830">
        <f t="shared" si="102"/>
        <v>0</v>
      </c>
      <c r="N183" s="830">
        <f t="shared" si="102"/>
        <v>0</v>
      </c>
      <c r="O183" s="829">
        <f t="shared" si="102"/>
        <v>0.63565891472868219</v>
      </c>
      <c r="P183" s="829">
        <f t="shared" si="102"/>
        <v>0</v>
      </c>
      <c r="Q183" s="830">
        <f t="shared" si="102"/>
        <v>0</v>
      </c>
      <c r="R183" s="831">
        <f t="shared" si="102"/>
        <v>0</v>
      </c>
      <c r="S183" s="829">
        <f t="shared" si="102"/>
        <v>0</v>
      </c>
      <c r="T183" s="213"/>
      <c r="U183" s="858"/>
      <c r="V183" s="858">
        <v>445</v>
      </c>
      <c r="W183" s="858"/>
      <c r="X183" s="858"/>
      <c r="Y183" s="858"/>
      <c r="Z183" s="858">
        <v>358</v>
      </c>
      <c r="AA183" s="857">
        <v>803</v>
      </c>
      <c r="AB183" s="857"/>
      <c r="AC183" s="858">
        <v>117</v>
      </c>
      <c r="AD183" s="858">
        <v>47</v>
      </c>
      <c r="AE183" s="858"/>
      <c r="AF183" s="858"/>
      <c r="AG183" s="857">
        <v>164</v>
      </c>
      <c r="AH183" s="861">
        <f t="shared" ref="AH183:AK183" si="103">AH189+AH195+AH201+AH207+AH213+AH219+AH225+AH231+AH237+AH243+AH249+AH255+AH261</f>
        <v>0</v>
      </c>
      <c r="AI183" s="862">
        <f t="shared" si="103"/>
        <v>0</v>
      </c>
      <c r="AJ183" s="869">
        <f t="shared" si="103"/>
        <v>0</v>
      </c>
      <c r="AK183" s="861">
        <f t="shared" si="103"/>
        <v>0</v>
      </c>
      <c r="AL183" s="209"/>
      <c r="AM183" s="209"/>
    </row>
    <row r="184" spans="1:39" s="80" customFormat="1">
      <c r="A184" s="239"/>
      <c r="B184" s="239" t="s">
        <v>93</v>
      </c>
      <c r="C184" s="832">
        <f>IF(U188&gt;0,(U184/U188),0)</f>
        <v>0</v>
      </c>
      <c r="D184" s="830">
        <f t="shared" ref="D184:S184" si="104">IF(V188&gt;0,(V184/V188),0)</f>
        <v>0.32262051915945611</v>
      </c>
      <c r="E184" s="830">
        <f t="shared" si="104"/>
        <v>0</v>
      </c>
      <c r="F184" s="830">
        <f t="shared" si="104"/>
        <v>0</v>
      </c>
      <c r="G184" s="830">
        <f t="shared" si="104"/>
        <v>0</v>
      </c>
      <c r="H184" s="830">
        <f t="shared" si="104"/>
        <v>6.462035541195477E-3</v>
      </c>
      <c r="I184" s="832">
        <f t="shared" si="104"/>
        <v>0.23513634331694233</v>
      </c>
      <c r="J184" s="832">
        <f t="shared" si="104"/>
        <v>0</v>
      </c>
      <c r="K184" s="830">
        <f t="shared" si="104"/>
        <v>0</v>
      </c>
      <c r="L184" s="830">
        <f t="shared" si="104"/>
        <v>0</v>
      </c>
      <c r="M184" s="830">
        <f t="shared" si="104"/>
        <v>0</v>
      </c>
      <c r="N184" s="830">
        <f t="shared" si="104"/>
        <v>0</v>
      </c>
      <c r="O184" s="832">
        <f t="shared" si="104"/>
        <v>0</v>
      </c>
      <c r="P184" s="832">
        <f t="shared" si="104"/>
        <v>0</v>
      </c>
      <c r="Q184" s="830">
        <f t="shared" si="104"/>
        <v>0</v>
      </c>
      <c r="R184" s="833">
        <f t="shared" si="104"/>
        <v>0</v>
      </c>
      <c r="S184" s="832">
        <f t="shared" si="104"/>
        <v>0</v>
      </c>
      <c r="T184" s="213"/>
      <c r="U184" s="858"/>
      <c r="V184" s="858">
        <v>522</v>
      </c>
      <c r="W184" s="858"/>
      <c r="X184" s="858"/>
      <c r="Y184" s="858"/>
      <c r="Z184" s="858">
        <v>4</v>
      </c>
      <c r="AA184" s="859">
        <v>526</v>
      </c>
      <c r="AB184" s="859"/>
      <c r="AC184" s="858"/>
      <c r="AD184" s="858"/>
      <c r="AE184" s="858"/>
      <c r="AF184" s="858"/>
      <c r="AG184" s="859"/>
      <c r="AH184" s="863">
        <f t="shared" ref="AH184:AK184" si="105">AH190+AH196+AH202+AH208+AH214+AH220+AH226+AH232+AH238+AH244+AH250+AH256+AH262</f>
        <v>0</v>
      </c>
      <c r="AI184" s="862">
        <f t="shared" si="105"/>
        <v>0</v>
      </c>
      <c r="AJ184" s="870">
        <f t="shared" si="105"/>
        <v>0</v>
      </c>
      <c r="AK184" s="863">
        <f t="shared" si="105"/>
        <v>0</v>
      </c>
      <c r="AL184" s="209"/>
      <c r="AM184" s="209"/>
    </row>
    <row r="185" spans="1:39" s="80" customFormat="1">
      <c r="A185" s="239"/>
      <c r="B185" s="239" t="s">
        <v>55</v>
      </c>
      <c r="C185" s="832">
        <f>IF(U188&gt;0,(U185/U188),0)</f>
        <v>0</v>
      </c>
      <c r="D185" s="830">
        <f t="shared" ref="D185:S185" si="106">IF(V188&gt;0,(V185/V188),0)</f>
        <v>0.28924598269468482</v>
      </c>
      <c r="E185" s="830">
        <f t="shared" si="106"/>
        <v>0</v>
      </c>
      <c r="F185" s="830">
        <f t="shared" si="106"/>
        <v>0</v>
      </c>
      <c r="G185" s="830">
        <f t="shared" si="106"/>
        <v>0</v>
      </c>
      <c r="H185" s="830">
        <f t="shared" si="106"/>
        <v>3.7156704361873988E-2</v>
      </c>
      <c r="I185" s="832">
        <f t="shared" si="106"/>
        <v>0.21949038891372374</v>
      </c>
      <c r="J185" s="832">
        <f t="shared" si="106"/>
        <v>0</v>
      </c>
      <c r="K185" s="830">
        <f t="shared" si="106"/>
        <v>0</v>
      </c>
      <c r="L185" s="830">
        <f t="shared" si="106"/>
        <v>0</v>
      </c>
      <c r="M185" s="830">
        <f t="shared" si="106"/>
        <v>0</v>
      </c>
      <c r="N185" s="830">
        <f t="shared" si="106"/>
        <v>0</v>
      </c>
      <c r="O185" s="832">
        <f t="shared" si="106"/>
        <v>0</v>
      </c>
      <c r="P185" s="832">
        <f t="shared" si="106"/>
        <v>0</v>
      </c>
      <c r="Q185" s="830">
        <f t="shared" si="106"/>
        <v>0</v>
      </c>
      <c r="R185" s="833">
        <f t="shared" si="106"/>
        <v>0</v>
      </c>
      <c r="S185" s="832">
        <f t="shared" si="106"/>
        <v>0</v>
      </c>
      <c r="T185" s="213"/>
      <c r="U185" s="858"/>
      <c r="V185" s="858">
        <v>468</v>
      </c>
      <c r="W185" s="858"/>
      <c r="X185" s="858"/>
      <c r="Y185" s="858"/>
      <c r="Z185" s="858">
        <v>23</v>
      </c>
      <c r="AA185" s="859">
        <v>491</v>
      </c>
      <c r="AB185" s="859"/>
      <c r="AC185" s="858"/>
      <c r="AD185" s="858"/>
      <c r="AE185" s="858"/>
      <c r="AF185" s="858"/>
      <c r="AG185" s="859"/>
      <c r="AH185" s="863">
        <f t="shared" ref="AH185:AK185" si="107">AH191+AH197+AH203+AH209+AH215+AH221+AH227+AH233+AH239+AH245+AH251+AH257+AH263</f>
        <v>0</v>
      </c>
      <c r="AI185" s="862">
        <f t="shared" si="107"/>
        <v>0</v>
      </c>
      <c r="AJ185" s="870">
        <f t="shared" si="107"/>
        <v>0</v>
      </c>
      <c r="AK185" s="863">
        <f t="shared" si="107"/>
        <v>0</v>
      </c>
      <c r="AL185" s="209"/>
      <c r="AM185" s="209"/>
    </row>
    <row r="186" spans="1:39" s="80" customFormat="1">
      <c r="A186" s="239"/>
      <c r="B186" s="239" t="s">
        <v>78</v>
      </c>
      <c r="C186" s="832">
        <f>IF(U188&gt;0,(U186/U188),0)</f>
        <v>0</v>
      </c>
      <c r="D186" s="830">
        <f t="shared" ref="D186:S186" si="108">IF(V188&gt;0,(V186/V188),0)</f>
        <v>5.8096415327564897E-2</v>
      </c>
      <c r="E186" s="830">
        <f t="shared" si="108"/>
        <v>0</v>
      </c>
      <c r="F186" s="830">
        <f t="shared" si="108"/>
        <v>0</v>
      </c>
      <c r="G186" s="830">
        <f t="shared" si="108"/>
        <v>0</v>
      </c>
      <c r="H186" s="830">
        <f t="shared" si="108"/>
        <v>0.21324717285945072</v>
      </c>
      <c r="I186" s="832">
        <f t="shared" si="108"/>
        <v>0.10102816271792579</v>
      </c>
      <c r="J186" s="832">
        <f t="shared" si="108"/>
        <v>0</v>
      </c>
      <c r="K186" s="830">
        <f t="shared" si="108"/>
        <v>0.36065573770491804</v>
      </c>
      <c r="L186" s="830">
        <f t="shared" si="108"/>
        <v>0.37333333333333335</v>
      </c>
      <c r="M186" s="830">
        <f t="shared" si="108"/>
        <v>0</v>
      </c>
      <c r="N186" s="830">
        <f t="shared" si="108"/>
        <v>0</v>
      </c>
      <c r="O186" s="832">
        <f t="shared" si="108"/>
        <v>0.36434108527131781</v>
      </c>
      <c r="P186" s="832">
        <f t="shared" si="108"/>
        <v>0</v>
      </c>
      <c r="Q186" s="830">
        <f t="shared" si="108"/>
        <v>0</v>
      </c>
      <c r="R186" s="833">
        <f t="shared" si="108"/>
        <v>0</v>
      </c>
      <c r="S186" s="832">
        <f t="shared" si="108"/>
        <v>0</v>
      </c>
      <c r="T186" s="213"/>
      <c r="U186" s="858"/>
      <c r="V186" s="858">
        <v>94</v>
      </c>
      <c r="W186" s="858"/>
      <c r="X186" s="858"/>
      <c r="Y186" s="858"/>
      <c r="Z186" s="858">
        <v>132</v>
      </c>
      <c r="AA186" s="859">
        <v>226</v>
      </c>
      <c r="AB186" s="859"/>
      <c r="AC186" s="858">
        <v>66</v>
      </c>
      <c r="AD186" s="858">
        <v>28</v>
      </c>
      <c r="AE186" s="858"/>
      <c r="AF186" s="858"/>
      <c r="AG186" s="859">
        <v>94</v>
      </c>
      <c r="AH186" s="863">
        <f t="shared" ref="AH186:AK186" si="109">AH192+AH198+AH204+AH210+AH216+AH222+AH228+AH234+AH240+AH246+AH252+AH258+AH264</f>
        <v>0</v>
      </c>
      <c r="AI186" s="862">
        <f t="shared" si="109"/>
        <v>0</v>
      </c>
      <c r="AJ186" s="870">
        <f t="shared" si="109"/>
        <v>0</v>
      </c>
      <c r="AK186" s="863">
        <f t="shared" si="109"/>
        <v>0</v>
      </c>
      <c r="AL186" s="209"/>
      <c r="AM186" s="209"/>
    </row>
    <row r="187" spans="1:39" s="80" customFormat="1">
      <c r="A187" s="580"/>
      <c r="B187" s="580" t="s">
        <v>131</v>
      </c>
      <c r="C187" s="832">
        <f>IF(U188&gt;0,(U187/U188),0)</f>
        <v>0</v>
      </c>
      <c r="D187" s="830">
        <f t="shared" ref="D187:S187" si="110">IF(V188&gt;0,(V187/V188),0)</f>
        <v>5.5006180469715699E-2</v>
      </c>
      <c r="E187" s="830">
        <f t="shared" si="110"/>
        <v>0</v>
      </c>
      <c r="F187" s="830">
        <f t="shared" si="110"/>
        <v>0</v>
      </c>
      <c r="G187" s="830">
        <f t="shared" si="110"/>
        <v>0</v>
      </c>
      <c r="H187" s="830">
        <f t="shared" si="110"/>
        <v>0.16478190630048464</v>
      </c>
      <c r="I187" s="832">
        <f t="shared" si="110"/>
        <v>8.5382208314707192E-2</v>
      </c>
      <c r="J187" s="832">
        <f t="shared" si="110"/>
        <v>0</v>
      </c>
      <c r="K187" s="830">
        <f t="shared" si="110"/>
        <v>0</v>
      </c>
      <c r="L187" s="830">
        <f t="shared" si="110"/>
        <v>0</v>
      </c>
      <c r="M187" s="830">
        <f t="shared" si="110"/>
        <v>0</v>
      </c>
      <c r="N187" s="830">
        <f t="shared" si="110"/>
        <v>0</v>
      </c>
      <c r="O187" s="832">
        <f t="shared" si="110"/>
        <v>0</v>
      </c>
      <c r="P187" s="832">
        <f t="shared" si="110"/>
        <v>0</v>
      </c>
      <c r="Q187" s="830">
        <f t="shared" si="110"/>
        <v>0</v>
      </c>
      <c r="R187" s="833">
        <f t="shared" si="110"/>
        <v>0</v>
      </c>
      <c r="S187" s="832">
        <f t="shared" si="110"/>
        <v>0</v>
      </c>
      <c r="T187" s="213"/>
      <c r="U187" s="858"/>
      <c r="V187" s="858">
        <v>89</v>
      </c>
      <c r="W187" s="858"/>
      <c r="X187" s="858"/>
      <c r="Y187" s="858"/>
      <c r="Z187" s="858">
        <v>102</v>
      </c>
      <c r="AA187" s="859">
        <v>191</v>
      </c>
      <c r="AB187" s="859"/>
      <c r="AC187" s="858"/>
      <c r="AD187" s="858"/>
      <c r="AE187" s="858"/>
      <c r="AF187" s="858"/>
      <c r="AG187" s="859"/>
      <c r="AH187" s="863">
        <f t="shared" ref="AH187:AK187" si="111">AH193+AH199+AH205+AH211+AH217+AH223+AH229+AH235+AH241+AH247+AH253+AH259+AH265</f>
        <v>0</v>
      </c>
      <c r="AI187" s="862">
        <f t="shared" si="111"/>
        <v>0</v>
      </c>
      <c r="AJ187" s="870">
        <f t="shared" si="111"/>
        <v>0</v>
      </c>
      <c r="AK187" s="863">
        <f t="shared" si="111"/>
        <v>0</v>
      </c>
      <c r="AL187" s="209"/>
      <c r="AM187" s="209"/>
    </row>
    <row r="188" spans="1:39" s="80" customFormat="1">
      <c r="A188" s="436"/>
      <c r="B188" s="436" t="s">
        <v>59</v>
      </c>
      <c r="C188" s="834">
        <f>IF(U188&gt;0,(U188/U188),0)</f>
        <v>0</v>
      </c>
      <c r="D188" s="835">
        <f t="shared" ref="D188:S188" si="112">IF(V188&gt;0,(V188/V188),0)</f>
        <v>1</v>
      </c>
      <c r="E188" s="835">
        <f t="shared" si="112"/>
        <v>0</v>
      </c>
      <c r="F188" s="835">
        <f t="shared" si="112"/>
        <v>0</v>
      </c>
      <c r="G188" s="835">
        <f t="shared" si="112"/>
        <v>0</v>
      </c>
      <c r="H188" s="835">
        <f t="shared" si="112"/>
        <v>1</v>
      </c>
      <c r="I188" s="834">
        <f t="shared" si="112"/>
        <v>1</v>
      </c>
      <c r="J188" s="834">
        <f t="shared" si="112"/>
        <v>0</v>
      </c>
      <c r="K188" s="835">
        <f t="shared" si="112"/>
        <v>1</v>
      </c>
      <c r="L188" s="835">
        <f t="shared" si="112"/>
        <v>1</v>
      </c>
      <c r="M188" s="835">
        <f t="shared" si="112"/>
        <v>0</v>
      </c>
      <c r="N188" s="835">
        <f t="shared" si="112"/>
        <v>0</v>
      </c>
      <c r="O188" s="834">
        <f t="shared" si="112"/>
        <v>1</v>
      </c>
      <c r="P188" s="834">
        <f t="shared" si="112"/>
        <v>0</v>
      </c>
      <c r="Q188" s="835">
        <f t="shared" si="112"/>
        <v>0</v>
      </c>
      <c r="R188" s="836">
        <f t="shared" si="112"/>
        <v>0</v>
      </c>
      <c r="S188" s="834">
        <f t="shared" si="112"/>
        <v>0</v>
      </c>
      <c r="T188" s="213"/>
      <c r="U188" s="871"/>
      <c r="V188" s="871">
        <v>1618</v>
      </c>
      <c r="W188" s="871"/>
      <c r="X188" s="871"/>
      <c r="Y188" s="871"/>
      <c r="Z188" s="871">
        <v>619</v>
      </c>
      <c r="AA188" s="864">
        <v>2237</v>
      </c>
      <c r="AB188" s="864"/>
      <c r="AC188" s="871">
        <v>183</v>
      </c>
      <c r="AD188" s="871">
        <v>75</v>
      </c>
      <c r="AE188" s="871"/>
      <c r="AF188" s="871"/>
      <c r="AG188" s="864">
        <v>258</v>
      </c>
      <c r="AH188" s="872">
        <f t="shared" ref="AH188:AK188" si="113">AH194+AH200+AH206+AH212+AH218+AH224+AH230+AH236+AH242+AH248+AH254+AH260+AH266</f>
        <v>0</v>
      </c>
      <c r="AI188" s="873">
        <f t="shared" si="113"/>
        <v>0</v>
      </c>
      <c r="AJ188" s="874">
        <f t="shared" si="113"/>
        <v>0</v>
      </c>
      <c r="AK188" s="872">
        <f t="shared" si="113"/>
        <v>0</v>
      </c>
      <c r="AL188" s="209"/>
      <c r="AM188" s="209"/>
    </row>
    <row r="189" spans="1:39" s="80" customFormat="1">
      <c r="A189" s="240" t="s">
        <v>157</v>
      </c>
      <c r="B189" s="240" t="s">
        <v>53</v>
      </c>
      <c r="C189" s="829">
        <f>IF(U194&gt;0,(U189/U194),0)</f>
        <v>0.33224400871459697</v>
      </c>
      <c r="D189" s="830">
        <f t="shared" ref="D189:S189" si="114">IF(V194&gt;0,(V189/V194),0)</f>
        <v>0.29307805596465392</v>
      </c>
      <c r="E189" s="830">
        <f t="shared" si="114"/>
        <v>0.22463768115942029</v>
      </c>
      <c r="F189" s="830">
        <f t="shared" si="114"/>
        <v>0</v>
      </c>
      <c r="G189" s="830">
        <f t="shared" si="114"/>
        <v>0.35294117647058826</v>
      </c>
      <c r="H189" s="830">
        <f t="shared" si="114"/>
        <v>0</v>
      </c>
      <c r="I189" s="829">
        <f t="shared" si="114"/>
        <v>0.2974308300395257</v>
      </c>
      <c r="J189" s="829">
        <f>IF(AB194&gt;0,(AB189/AB194),0)</f>
        <v>0</v>
      </c>
      <c r="K189" s="830">
        <f>IF(AC194&gt;0,(AC189/AC194),0)</f>
        <v>0</v>
      </c>
      <c r="L189" s="830">
        <f>IF(AD194&gt;0,(AD189/AD194),0)</f>
        <v>0.10996563573883161</v>
      </c>
      <c r="M189" s="830">
        <f>IF(AE194&gt;0,(AE189/AE194),0)</f>
        <v>0.20079522862823063</v>
      </c>
      <c r="N189" s="830">
        <f t="shared" si="114"/>
        <v>0</v>
      </c>
      <c r="O189" s="829">
        <f t="shared" si="114"/>
        <v>0.11780336581045173</v>
      </c>
      <c r="P189" s="829">
        <f t="shared" si="114"/>
        <v>0</v>
      </c>
      <c r="Q189" s="830">
        <f t="shared" si="114"/>
        <v>0</v>
      </c>
      <c r="R189" s="831">
        <f t="shared" si="114"/>
        <v>0</v>
      </c>
      <c r="S189" s="829">
        <f t="shared" si="114"/>
        <v>0</v>
      </c>
      <c r="T189" s="213"/>
      <c r="U189" s="858">
        <v>305</v>
      </c>
      <c r="V189" s="858">
        <v>199</v>
      </c>
      <c r="W189" s="858">
        <v>62</v>
      </c>
      <c r="X189" s="858"/>
      <c r="Y189" s="858">
        <v>36</v>
      </c>
      <c r="Z189" s="858"/>
      <c r="AA189" s="857">
        <v>602</v>
      </c>
      <c r="AB189" s="857"/>
      <c r="AC189" s="858"/>
      <c r="AD189" s="858">
        <v>32</v>
      </c>
      <c r="AE189" s="858">
        <v>101</v>
      </c>
      <c r="AF189" s="858"/>
      <c r="AG189" s="857">
        <v>133</v>
      </c>
      <c r="AH189" s="861">
        <f t="shared" ref="AH189:AK189" si="115">AH195+AH201+AH207+AH213+AH219+AH225+AH231+AH237+AH243+AH249+AH255+AH261+AH267</f>
        <v>0</v>
      </c>
      <c r="AI189" s="862">
        <f t="shared" si="115"/>
        <v>0</v>
      </c>
      <c r="AJ189" s="869">
        <f t="shared" si="115"/>
        <v>0</v>
      </c>
      <c r="AK189" s="861">
        <f t="shared" si="115"/>
        <v>0</v>
      </c>
      <c r="AL189" s="209"/>
      <c r="AM189" s="209"/>
    </row>
    <row r="190" spans="1:39" s="80" customFormat="1">
      <c r="A190" s="239"/>
      <c r="B190" s="239" t="s">
        <v>93</v>
      </c>
      <c r="C190" s="832">
        <f>IF(U194&gt;0,(U190/U194),0)</f>
        <v>0.27559912854030499</v>
      </c>
      <c r="D190" s="830">
        <f t="shared" ref="D190:S190" si="116">IF(V194&gt;0,(V190/V194),0)</f>
        <v>0.3078055964653903</v>
      </c>
      <c r="E190" s="830">
        <f t="shared" si="116"/>
        <v>0.26811594202898553</v>
      </c>
      <c r="F190" s="830">
        <f t="shared" si="116"/>
        <v>0</v>
      </c>
      <c r="G190" s="830">
        <f t="shared" si="116"/>
        <v>0.23529411764705882</v>
      </c>
      <c r="H190" s="830">
        <f t="shared" si="116"/>
        <v>0</v>
      </c>
      <c r="I190" s="832">
        <f t="shared" si="116"/>
        <v>0.27667984189723321</v>
      </c>
      <c r="J190" s="832">
        <f>IF(AB194&gt;0,(AB190/AB194),0)</f>
        <v>0</v>
      </c>
      <c r="K190" s="830">
        <f>IF(AC194&gt;0,(AC190/AC194),0)</f>
        <v>0</v>
      </c>
      <c r="L190" s="830">
        <f>IF(AD194&gt;0,(AD190/AD194),0)</f>
        <v>9.6219931271477668E-2</v>
      </c>
      <c r="M190" s="830">
        <f>IF(AE194&gt;0,(AE190/AE194),0)</f>
        <v>0.10139165009940358</v>
      </c>
      <c r="N190" s="830">
        <f t="shared" si="116"/>
        <v>0</v>
      </c>
      <c r="O190" s="832">
        <f t="shared" si="116"/>
        <v>6.997342781222321E-2</v>
      </c>
      <c r="P190" s="832">
        <f t="shared" si="116"/>
        <v>0</v>
      </c>
      <c r="Q190" s="830">
        <f t="shared" si="116"/>
        <v>0</v>
      </c>
      <c r="R190" s="833">
        <f t="shared" si="116"/>
        <v>0</v>
      </c>
      <c r="S190" s="832">
        <f t="shared" si="116"/>
        <v>0</v>
      </c>
      <c r="T190" s="213"/>
      <c r="U190" s="858">
        <v>253</v>
      </c>
      <c r="V190" s="858">
        <v>209</v>
      </c>
      <c r="W190" s="858">
        <v>74</v>
      </c>
      <c r="X190" s="858"/>
      <c r="Y190" s="858">
        <v>24</v>
      </c>
      <c r="Z190" s="858"/>
      <c r="AA190" s="859">
        <v>560</v>
      </c>
      <c r="AB190" s="859"/>
      <c r="AC190" s="858"/>
      <c r="AD190" s="858">
        <v>28</v>
      </c>
      <c r="AE190" s="858">
        <v>51</v>
      </c>
      <c r="AF190" s="858"/>
      <c r="AG190" s="859">
        <v>79</v>
      </c>
      <c r="AH190" s="863">
        <f t="shared" ref="AH190:AK190" si="117">AH196+AH202+AH208+AH214+AH220+AH226+AH232+AH238+AH244+AH250+AH256+AH262+AH268</f>
        <v>0</v>
      </c>
      <c r="AI190" s="862">
        <f t="shared" si="117"/>
        <v>0</v>
      </c>
      <c r="AJ190" s="870">
        <f t="shared" si="117"/>
        <v>0</v>
      </c>
      <c r="AK190" s="863">
        <f t="shared" si="117"/>
        <v>0</v>
      </c>
      <c r="AL190" s="209"/>
      <c r="AM190" s="209"/>
    </row>
    <row r="191" spans="1:39" s="80" customFormat="1">
      <c r="A191" s="239"/>
      <c r="B191" s="239" t="s">
        <v>55</v>
      </c>
      <c r="C191" s="832">
        <f>IF(U194&gt;0,(U191/U194),0)</f>
        <v>0.23856209150326799</v>
      </c>
      <c r="D191" s="830">
        <f t="shared" ref="D191:S191" si="118">IF(V194&gt;0,(V191/V194),0)</f>
        <v>0.33431516936671574</v>
      </c>
      <c r="E191" s="830">
        <f t="shared" si="118"/>
        <v>0.36956521739130432</v>
      </c>
      <c r="F191" s="830">
        <f t="shared" si="118"/>
        <v>0</v>
      </c>
      <c r="G191" s="830">
        <f t="shared" si="118"/>
        <v>0.35294117647058826</v>
      </c>
      <c r="H191" s="830">
        <f t="shared" si="118"/>
        <v>0</v>
      </c>
      <c r="I191" s="832">
        <f t="shared" si="118"/>
        <v>0.28853754940711462</v>
      </c>
      <c r="J191" s="832">
        <f>IF(AB194&gt;0,(AB191/AB194),0)</f>
        <v>0</v>
      </c>
      <c r="K191" s="830">
        <f>IF(AC194&gt;0,(AC191/AC194),0)</f>
        <v>0</v>
      </c>
      <c r="L191" s="830">
        <f>IF(AD194&gt;0,(AD191/AD194),0)</f>
        <v>0.27491408934707906</v>
      </c>
      <c r="M191" s="830">
        <f>IF(AE194&gt;0,(AE191/AE194),0)</f>
        <v>0.1709741550695825</v>
      </c>
      <c r="N191" s="830">
        <f t="shared" si="118"/>
        <v>0</v>
      </c>
      <c r="O191" s="832">
        <f t="shared" si="118"/>
        <v>0.14703277236492471</v>
      </c>
      <c r="P191" s="832">
        <f t="shared" si="118"/>
        <v>0</v>
      </c>
      <c r="Q191" s="830">
        <f t="shared" si="118"/>
        <v>0</v>
      </c>
      <c r="R191" s="833">
        <f t="shared" si="118"/>
        <v>0</v>
      </c>
      <c r="S191" s="832">
        <f t="shared" si="118"/>
        <v>0</v>
      </c>
      <c r="T191" s="213"/>
      <c r="U191" s="858">
        <v>219</v>
      </c>
      <c r="V191" s="858">
        <v>227</v>
      </c>
      <c r="W191" s="858">
        <v>102</v>
      </c>
      <c r="X191" s="858"/>
      <c r="Y191" s="858">
        <v>36</v>
      </c>
      <c r="Z191" s="858"/>
      <c r="AA191" s="859">
        <v>584</v>
      </c>
      <c r="AB191" s="859"/>
      <c r="AC191" s="858"/>
      <c r="AD191" s="858">
        <v>80</v>
      </c>
      <c r="AE191" s="858">
        <v>86</v>
      </c>
      <c r="AF191" s="858"/>
      <c r="AG191" s="859">
        <v>166</v>
      </c>
      <c r="AH191" s="863">
        <f t="shared" ref="AH191:AK191" si="119">AH197+AH203+AH209+AH215+AH221+AH227+AH233+AH239+AH245+AH251+AH257+AH263+AH269</f>
        <v>0</v>
      </c>
      <c r="AI191" s="862">
        <f t="shared" si="119"/>
        <v>0</v>
      </c>
      <c r="AJ191" s="870">
        <f t="shared" si="119"/>
        <v>0</v>
      </c>
      <c r="AK191" s="863">
        <f t="shared" si="119"/>
        <v>0</v>
      </c>
      <c r="AL191" s="209"/>
      <c r="AM191" s="209"/>
    </row>
    <row r="192" spans="1:39" s="80" customFormat="1">
      <c r="A192" s="239"/>
      <c r="B192" s="239" t="s">
        <v>78</v>
      </c>
      <c r="C192" s="832">
        <f>IF(U194&gt;0,(U192/U194),0)</f>
        <v>2.0697167755991286E-2</v>
      </c>
      <c r="D192" s="830">
        <f t="shared" ref="D192:S192" si="120">IF(V194&gt;0,(V192/V194),0)</f>
        <v>4.5655375552282766E-2</v>
      </c>
      <c r="E192" s="830">
        <f t="shared" si="120"/>
        <v>0.13768115942028986</v>
      </c>
      <c r="F192" s="830">
        <f t="shared" si="120"/>
        <v>0</v>
      </c>
      <c r="G192" s="830">
        <f t="shared" si="120"/>
        <v>5.8823529411764705E-2</v>
      </c>
      <c r="H192" s="830">
        <f t="shared" si="120"/>
        <v>0</v>
      </c>
      <c r="I192" s="832">
        <f t="shared" si="120"/>
        <v>4.6442687747035576E-2</v>
      </c>
      <c r="J192" s="832">
        <f>IF(AB194&gt;0,(AB192/AB194),0)</f>
        <v>0</v>
      </c>
      <c r="K192" s="830">
        <f>IF(AC194&gt;0,(AC192/AC194),0)</f>
        <v>1</v>
      </c>
      <c r="L192" s="830">
        <f>IF(AD194&gt;0,(AD192/AD194),0)</f>
        <v>0.51202749140893467</v>
      </c>
      <c r="M192" s="830">
        <f>IF(AE194&gt;0,(AE192/AE194),0)</f>
        <v>0.41550695825049699</v>
      </c>
      <c r="N192" s="830">
        <f t="shared" si="120"/>
        <v>0</v>
      </c>
      <c r="O192" s="832">
        <f t="shared" si="120"/>
        <v>0.61381753764393265</v>
      </c>
      <c r="P192" s="832">
        <f t="shared" si="120"/>
        <v>0</v>
      </c>
      <c r="Q192" s="830">
        <f t="shared" si="120"/>
        <v>0</v>
      </c>
      <c r="R192" s="833">
        <f t="shared" si="120"/>
        <v>0</v>
      </c>
      <c r="S192" s="832">
        <f t="shared" si="120"/>
        <v>0</v>
      </c>
      <c r="T192" s="213"/>
      <c r="U192" s="858">
        <v>19</v>
      </c>
      <c r="V192" s="858">
        <v>31</v>
      </c>
      <c r="W192" s="858">
        <v>38</v>
      </c>
      <c r="X192" s="858"/>
      <c r="Y192" s="858">
        <v>6</v>
      </c>
      <c r="Z192" s="858"/>
      <c r="AA192" s="859">
        <v>94</v>
      </c>
      <c r="AB192" s="859"/>
      <c r="AC192" s="858">
        <v>335</v>
      </c>
      <c r="AD192" s="858">
        <v>149</v>
      </c>
      <c r="AE192" s="858">
        <v>209</v>
      </c>
      <c r="AF192" s="858"/>
      <c r="AG192" s="859">
        <v>693</v>
      </c>
      <c r="AH192" s="863">
        <f t="shared" ref="AH192:AK192" si="121">AH198+AH204+AH210+AH216+AH222+AH228+AH234+AH240+AH246+AH252+AH258+AH264+AH270</f>
        <v>0</v>
      </c>
      <c r="AI192" s="862">
        <f t="shared" si="121"/>
        <v>0</v>
      </c>
      <c r="AJ192" s="870">
        <f t="shared" si="121"/>
        <v>0</v>
      </c>
      <c r="AK192" s="863">
        <f t="shared" si="121"/>
        <v>0</v>
      </c>
      <c r="AL192" s="209"/>
      <c r="AM192" s="209"/>
    </row>
    <row r="193" spans="1:39" s="80" customFormat="1">
      <c r="A193" s="580"/>
      <c r="B193" s="580" t="s">
        <v>131</v>
      </c>
      <c r="C193" s="832">
        <f>IF(U194&gt;0,(U193/U194),0)</f>
        <v>0.13289760348583879</v>
      </c>
      <c r="D193" s="830">
        <f t="shared" ref="D193:S193" si="122">IF(V194&gt;0,(V193/V194),0)</f>
        <v>1.9145802650957292E-2</v>
      </c>
      <c r="E193" s="830">
        <f t="shared" si="122"/>
        <v>0</v>
      </c>
      <c r="F193" s="830">
        <f t="shared" si="122"/>
        <v>0</v>
      </c>
      <c r="G193" s="830">
        <f t="shared" si="122"/>
        <v>0</v>
      </c>
      <c r="H193" s="830">
        <f t="shared" si="122"/>
        <v>1</v>
      </c>
      <c r="I193" s="832">
        <f t="shared" si="122"/>
        <v>9.0909090909090912E-2</v>
      </c>
      <c r="J193" s="832">
        <f t="shared" si="122"/>
        <v>0</v>
      </c>
      <c r="K193" s="830">
        <f t="shared" si="122"/>
        <v>0</v>
      </c>
      <c r="L193" s="830">
        <f t="shared" si="122"/>
        <v>6.8728522336769758E-3</v>
      </c>
      <c r="M193" s="830">
        <f t="shared" si="122"/>
        <v>0.11133200795228629</v>
      </c>
      <c r="N193" s="830">
        <f t="shared" si="122"/>
        <v>0</v>
      </c>
      <c r="O193" s="832">
        <f t="shared" si="122"/>
        <v>5.1372896368467667E-2</v>
      </c>
      <c r="P193" s="832">
        <f t="shared" si="122"/>
        <v>0</v>
      </c>
      <c r="Q193" s="830">
        <f t="shared" si="122"/>
        <v>0</v>
      </c>
      <c r="R193" s="833">
        <f t="shared" si="122"/>
        <v>0</v>
      </c>
      <c r="S193" s="832">
        <f t="shared" si="122"/>
        <v>0</v>
      </c>
      <c r="T193" s="213"/>
      <c r="U193" s="858">
        <v>122</v>
      </c>
      <c r="V193" s="858">
        <v>13</v>
      </c>
      <c r="W193" s="858"/>
      <c r="X193" s="858"/>
      <c r="Y193" s="858"/>
      <c r="Z193" s="858">
        <v>49</v>
      </c>
      <c r="AA193" s="859">
        <v>184</v>
      </c>
      <c r="AB193" s="859"/>
      <c r="AC193" s="858"/>
      <c r="AD193" s="858">
        <v>2</v>
      </c>
      <c r="AE193" s="858">
        <v>56</v>
      </c>
      <c r="AF193" s="858"/>
      <c r="AG193" s="859">
        <v>58</v>
      </c>
      <c r="AH193" s="863">
        <f t="shared" ref="AH193:AK193" si="123">AH199+AH205+AH211+AH217+AH223+AH229+AH235+AH241+AH247+AH253+AH259+AH265+AH271</f>
        <v>0</v>
      </c>
      <c r="AI193" s="862">
        <f t="shared" si="123"/>
        <v>0</v>
      </c>
      <c r="AJ193" s="870">
        <f t="shared" si="123"/>
        <v>0</v>
      </c>
      <c r="AK193" s="863">
        <f t="shared" si="123"/>
        <v>0</v>
      </c>
      <c r="AL193" s="209"/>
      <c r="AM193" s="209"/>
    </row>
    <row r="194" spans="1:39" s="80" customFormat="1">
      <c r="A194" s="436"/>
      <c r="B194" s="436" t="s">
        <v>59</v>
      </c>
      <c r="C194" s="834">
        <f>IF(U194&gt;0,(U194/U194),0)</f>
        <v>1</v>
      </c>
      <c r="D194" s="835">
        <f t="shared" ref="D194:S194" si="124">IF(V194&gt;0,(V194/V194),0)</f>
        <v>1</v>
      </c>
      <c r="E194" s="835">
        <f t="shared" si="124"/>
        <v>1</v>
      </c>
      <c r="F194" s="835">
        <f t="shared" si="124"/>
        <v>0</v>
      </c>
      <c r="G194" s="835">
        <f t="shared" si="124"/>
        <v>1</v>
      </c>
      <c r="H194" s="835">
        <f t="shared" si="124"/>
        <v>1</v>
      </c>
      <c r="I194" s="834">
        <f t="shared" si="124"/>
        <v>1</v>
      </c>
      <c r="J194" s="834">
        <f t="shared" si="124"/>
        <v>0</v>
      </c>
      <c r="K194" s="835">
        <f t="shared" si="124"/>
        <v>1</v>
      </c>
      <c r="L194" s="835">
        <f t="shared" si="124"/>
        <v>1</v>
      </c>
      <c r="M194" s="835">
        <f t="shared" si="124"/>
        <v>1</v>
      </c>
      <c r="N194" s="835">
        <f t="shared" si="124"/>
        <v>0</v>
      </c>
      <c r="O194" s="834">
        <f t="shared" si="124"/>
        <v>1</v>
      </c>
      <c r="P194" s="834">
        <f t="shared" si="124"/>
        <v>0</v>
      </c>
      <c r="Q194" s="835">
        <f t="shared" si="124"/>
        <v>0</v>
      </c>
      <c r="R194" s="836">
        <f t="shared" si="124"/>
        <v>0</v>
      </c>
      <c r="S194" s="834">
        <f t="shared" si="124"/>
        <v>0</v>
      </c>
      <c r="T194" s="213"/>
      <c r="U194" s="871">
        <v>918</v>
      </c>
      <c r="V194" s="871">
        <v>679</v>
      </c>
      <c r="W194" s="871">
        <v>276</v>
      </c>
      <c r="X194" s="871"/>
      <c r="Y194" s="871">
        <v>102</v>
      </c>
      <c r="Z194" s="871">
        <v>49</v>
      </c>
      <c r="AA194" s="864">
        <v>2024</v>
      </c>
      <c r="AB194" s="864"/>
      <c r="AC194" s="871">
        <v>335</v>
      </c>
      <c r="AD194" s="871">
        <v>291</v>
      </c>
      <c r="AE194" s="871">
        <v>503</v>
      </c>
      <c r="AF194" s="871"/>
      <c r="AG194" s="864">
        <v>1129</v>
      </c>
      <c r="AH194" s="872">
        <f t="shared" ref="AH194:AK194" si="125">AH200+AH206+AH212+AH218+AH224+AH230+AH236+AH242+AH248+AH254+AH260+AH266+AH272</f>
        <v>0</v>
      </c>
      <c r="AI194" s="873">
        <f t="shared" si="125"/>
        <v>0</v>
      </c>
      <c r="AJ194" s="874">
        <f t="shared" si="125"/>
        <v>0</v>
      </c>
      <c r="AK194" s="872">
        <f t="shared" si="125"/>
        <v>0</v>
      </c>
      <c r="AL194" s="209"/>
      <c r="AM194" s="209"/>
    </row>
    <row r="195" spans="1:39" s="80" customFormat="1">
      <c r="A195" s="240" t="s">
        <v>161</v>
      </c>
      <c r="B195" s="240" t="s">
        <v>53</v>
      </c>
      <c r="C195" s="829">
        <f>IF(U200&gt;0,(U195/U200),0)</f>
        <v>0.27241139680333565</v>
      </c>
      <c r="D195" s="830">
        <f t="shared" ref="D195:S195" si="126">IF(V200&gt;0,(V195/V200),0)</f>
        <v>0.30124223602484473</v>
      </c>
      <c r="E195" s="830">
        <f t="shared" si="126"/>
        <v>0</v>
      </c>
      <c r="F195" s="830">
        <f t="shared" si="126"/>
        <v>0.30193905817174516</v>
      </c>
      <c r="G195" s="830">
        <f t="shared" si="126"/>
        <v>0.26262626262626265</v>
      </c>
      <c r="H195" s="830">
        <f t="shared" si="126"/>
        <v>0.25806451612903225</v>
      </c>
      <c r="I195" s="829">
        <f t="shared" si="126"/>
        <v>0.2823397075365579</v>
      </c>
      <c r="J195" s="829">
        <f t="shared" si="126"/>
        <v>0</v>
      </c>
      <c r="K195" s="830">
        <f t="shared" si="126"/>
        <v>0</v>
      </c>
      <c r="L195" s="830">
        <f t="shared" si="126"/>
        <v>3.1877213695395513E-2</v>
      </c>
      <c r="M195" s="830">
        <f t="shared" si="126"/>
        <v>6.5625000000000003E-2</v>
      </c>
      <c r="N195" s="830">
        <f t="shared" si="126"/>
        <v>0</v>
      </c>
      <c r="O195" s="829">
        <f t="shared" si="126"/>
        <v>2.6460859977949284E-2</v>
      </c>
      <c r="P195" s="829">
        <f t="shared" si="126"/>
        <v>0</v>
      </c>
      <c r="Q195" s="830">
        <f t="shared" si="126"/>
        <v>0</v>
      </c>
      <c r="R195" s="831">
        <f t="shared" si="126"/>
        <v>0</v>
      </c>
      <c r="S195" s="829">
        <f t="shared" si="126"/>
        <v>0</v>
      </c>
      <c r="T195" s="213"/>
      <c r="U195" s="858">
        <v>392</v>
      </c>
      <c r="V195" s="858">
        <v>194</v>
      </c>
      <c r="W195" s="858"/>
      <c r="X195" s="858">
        <v>109</v>
      </c>
      <c r="Y195" s="858">
        <v>26</v>
      </c>
      <c r="Z195" s="858">
        <v>32</v>
      </c>
      <c r="AA195" s="857">
        <v>753</v>
      </c>
      <c r="AB195" s="857"/>
      <c r="AC195" s="858"/>
      <c r="AD195" s="858">
        <v>27</v>
      </c>
      <c r="AE195" s="858">
        <v>21</v>
      </c>
      <c r="AF195" s="858"/>
      <c r="AG195" s="857">
        <v>48</v>
      </c>
      <c r="AH195" s="861">
        <f t="shared" ref="AH195:AK195" si="127">AH201+AH207+AH213+AH219+AH225+AH231+AH237+AH243+AH249+AH255+AH261+AH267+AH273</f>
        <v>0</v>
      </c>
      <c r="AI195" s="862">
        <f t="shared" si="127"/>
        <v>0</v>
      </c>
      <c r="AJ195" s="869">
        <f t="shared" si="127"/>
        <v>0</v>
      </c>
      <c r="AK195" s="861">
        <f t="shared" si="127"/>
        <v>0</v>
      </c>
      <c r="AL195" s="209"/>
      <c r="AM195" s="209"/>
    </row>
    <row r="196" spans="1:39" s="80" customFormat="1">
      <c r="A196" s="239"/>
      <c r="B196" s="239" t="s">
        <v>93</v>
      </c>
      <c r="C196" s="832">
        <f>IF(U200&gt;0,(U196/U200),0)</f>
        <v>0.27936066712995133</v>
      </c>
      <c r="D196" s="830">
        <f t="shared" ref="D196:S196" si="128">IF(V200&gt;0,(V196/V200),0)</f>
        <v>0.25155279503105588</v>
      </c>
      <c r="E196" s="830">
        <f t="shared" si="128"/>
        <v>0</v>
      </c>
      <c r="F196" s="830">
        <f t="shared" si="128"/>
        <v>0.33240997229916897</v>
      </c>
      <c r="G196" s="830">
        <f t="shared" si="128"/>
        <v>0.35353535353535354</v>
      </c>
      <c r="H196" s="830">
        <f t="shared" si="128"/>
        <v>0.34677419354838712</v>
      </c>
      <c r="I196" s="832">
        <f t="shared" si="128"/>
        <v>0.2857142857142857</v>
      </c>
      <c r="J196" s="832">
        <f t="shared" si="128"/>
        <v>0</v>
      </c>
      <c r="K196" s="830">
        <f t="shared" si="128"/>
        <v>0</v>
      </c>
      <c r="L196" s="830">
        <f t="shared" si="128"/>
        <v>3.3057851239669422E-2</v>
      </c>
      <c r="M196" s="830">
        <f t="shared" si="128"/>
        <v>4.0625000000000001E-2</v>
      </c>
      <c r="N196" s="830">
        <f t="shared" si="128"/>
        <v>0</v>
      </c>
      <c r="O196" s="832">
        <f t="shared" si="128"/>
        <v>2.2601984564498346E-2</v>
      </c>
      <c r="P196" s="832">
        <f t="shared" si="128"/>
        <v>0</v>
      </c>
      <c r="Q196" s="830">
        <f t="shared" si="128"/>
        <v>0</v>
      </c>
      <c r="R196" s="833">
        <f t="shared" si="128"/>
        <v>0</v>
      </c>
      <c r="S196" s="832">
        <f t="shared" si="128"/>
        <v>0</v>
      </c>
      <c r="T196" s="213"/>
      <c r="U196" s="858">
        <v>402</v>
      </c>
      <c r="V196" s="858">
        <v>162</v>
      </c>
      <c r="W196" s="858"/>
      <c r="X196" s="858">
        <v>120</v>
      </c>
      <c r="Y196" s="858">
        <v>35</v>
      </c>
      <c r="Z196" s="858">
        <v>43</v>
      </c>
      <c r="AA196" s="859">
        <v>762</v>
      </c>
      <c r="AB196" s="859"/>
      <c r="AC196" s="858"/>
      <c r="AD196" s="858">
        <v>28</v>
      </c>
      <c r="AE196" s="858">
        <v>13</v>
      </c>
      <c r="AF196" s="858"/>
      <c r="AG196" s="859">
        <v>41</v>
      </c>
      <c r="AH196" s="863">
        <f t="shared" ref="AH196:AK196" si="129">AH202+AH208+AH214+AH220+AH226+AH232+AH238+AH244+AH250+AH256+AH262+AH268+AH274</f>
        <v>0</v>
      </c>
      <c r="AI196" s="862">
        <f t="shared" si="129"/>
        <v>0</v>
      </c>
      <c r="AJ196" s="870">
        <f t="shared" si="129"/>
        <v>0</v>
      </c>
      <c r="AK196" s="863">
        <f t="shared" si="129"/>
        <v>0</v>
      </c>
      <c r="AL196" s="209"/>
      <c r="AM196" s="209"/>
    </row>
    <row r="197" spans="1:39" s="80" customFormat="1">
      <c r="A197" s="239"/>
      <c r="B197" s="239" t="s">
        <v>55</v>
      </c>
      <c r="C197" s="832">
        <f>IF(U200&gt;0,(U197/U200),0)</f>
        <v>0.24252953439888811</v>
      </c>
      <c r="D197" s="830">
        <f t="shared" ref="D197:S197" si="130">IF(V200&gt;0,(V197/V200),0)</f>
        <v>0.2608695652173913</v>
      </c>
      <c r="E197" s="830">
        <f t="shared" si="130"/>
        <v>0</v>
      </c>
      <c r="F197" s="830">
        <f t="shared" si="130"/>
        <v>0.22991689750692521</v>
      </c>
      <c r="G197" s="830">
        <f t="shared" si="130"/>
        <v>0.31313131313131315</v>
      </c>
      <c r="H197" s="830">
        <f t="shared" si="130"/>
        <v>0.30645161290322581</v>
      </c>
      <c r="I197" s="832">
        <f t="shared" si="130"/>
        <v>0.25084364454443192</v>
      </c>
      <c r="J197" s="832">
        <f t="shared" si="130"/>
        <v>0</v>
      </c>
      <c r="K197" s="830">
        <f t="shared" si="130"/>
        <v>0</v>
      </c>
      <c r="L197" s="830">
        <f t="shared" si="130"/>
        <v>2.9515938606847699E-2</v>
      </c>
      <c r="M197" s="830">
        <f t="shared" si="130"/>
        <v>1.8749999999999999E-2</v>
      </c>
      <c r="N197" s="830">
        <f t="shared" si="130"/>
        <v>0</v>
      </c>
      <c r="O197" s="832">
        <f t="shared" si="130"/>
        <v>1.7089305402425578E-2</v>
      </c>
      <c r="P197" s="832">
        <f t="shared" si="130"/>
        <v>0</v>
      </c>
      <c r="Q197" s="830">
        <f t="shared" si="130"/>
        <v>0</v>
      </c>
      <c r="R197" s="833">
        <f t="shared" si="130"/>
        <v>0</v>
      </c>
      <c r="S197" s="832">
        <f t="shared" si="130"/>
        <v>0</v>
      </c>
      <c r="T197" s="213"/>
      <c r="U197" s="858">
        <v>349</v>
      </c>
      <c r="V197" s="858">
        <v>168</v>
      </c>
      <c r="W197" s="858"/>
      <c r="X197" s="858">
        <v>83</v>
      </c>
      <c r="Y197" s="858">
        <v>31</v>
      </c>
      <c r="Z197" s="858">
        <v>38</v>
      </c>
      <c r="AA197" s="859">
        <v>669</v>
      </c>
      <c r="AB197" s="859"/>
      <c r="AC197" s="858"/>
      <c r="AD197" s="858">
        <v>25</v>
      </c>
      <c r="AE197" s="858">
        <v>6</v>
      </c>
      <c r="AF197" s="858"/>
      <c r="AG197" s="859">
        <v>31</v>
      </c>
      <c r="AH197" s="863">
        <f t="shared" ref="AH197:AK197" si="131">AH203+AH209+AH215+AH221+AH227+AH233+AH239+AH245+AH251+AH257+AH263+AH269+AH275</f>
        <v>0</v>
      </c>
      <c r="AI197" s="862">
        <f t="shared" si="131"/>
        <v>0</v>
      </c>
      <c r="AJ197" s="870">
        <f t="shared" si="131"/>
        <v>0</v>
      </c>
      <c r="AK197" s="863">
        <f t="shared" si="131"/>
        <v>0</v>
      </c>
      <c r="AL197" s="209"/>
      <c r="AM197" s="209"/>
    </row>
    <row r="198" spans="1:39" s="80" customFormat="1">
      <c r="A198" s="239"/>
      <c r="B198" s="239" t="s">
        <v>78</v>
      </c>
      <c r="C198" s="832">
        <f>IF(U200&gt;0,(U198/U200),0)</f>
        <v>0.17651146629603892</v>
      </c>
      <c r="D198" s="830">
        <f t="shared" ref="D198:S198" si="132">IF(V200&gt;0,(V198/V200),0)</f>
        <v>0.17236024844720496</v>
      </c>
      <c r="E198" s="830">
        <f t="shared" si="132"/>
        <v>0</v>
      </c>
      <c r="F198" s="830">
        <f t="shared" si="132"/>
        <v>0.11911357340720222</v>
      </c>
      <c r="G198" s="830">
        <f t="shared" si="132"/>
        <v>7.0707070707070704E-2</v>
      </c>
      <c r="H198" s="830">
        <f t="shared" si="132"/>
        <v>8.0645161290322578E-2</v>
      </c>
      <c r="I198" s="832">
        <f t="shared" si="132"/>
        <v>0.15935508061492312</v>
      </c>
      <c r="J198" s="832">
        <f t="shared" si="132"/>
        <v>0</v>
      </c>
      <c r="K198" s="830">
        <f t="shared" si="132"/>
        <v>1</v>
      </c>
      <c r="L198" s="830">
        <f t="shared" si="132"/>
        <v>0.70956316410861864</v>
      </c>
      <c r="M198" s="830">
        <f t="shared" si="132"/>
        <v>0.796875</v>
      </c>
      <c r="N198" s="830">
        <f t="shared" si="132"/>
        <v>0</v>
      </c>
      <c r="O198" s="832">
        <f t="shared" si="132"/>
        <v>0.82855567805953689</v>
      </c>
      <c r="P198" s="832">
        <f t="shared" si="132"/>
        <v>0</v>
      </c>
      <c r="Q198" s="830">
        <f t="shared" si="132"/>
        <v>0</v>
      </c>
      <c r="R198" s="833">
        <f t="shared" si="132"/>
        <v>0</v>
      </c>
      <c r="S198" s="832">
        <f t="shared" si="132"/>
        <v>0</v>
      </c>
      <c r="T198" s="213"/>
      <c r="U198" s="858">
        <v>254</v>
      </c>
      <c r="V198" s="858">
        <v>111</v>
      </c>
      <c r="W198" s="858"/>
      <c r="X198" s="858">
        <v>43</v>
      </c>
      <c r="Y198" s="858">
        <v>7</v>
      </c>
      <c r="Z198" s="858">
        <v>10</v>
      </c>
      <c r="AA198" s="859">
        <v>425</v>
      </c>
      <c r="AB198" s="859"/>
      <c r="AC198" s="858">
        <v>647</v>
      </c>
      <c r="AD198" s="858">
        <v>601</v>
      </c>
      <c r="AE198" s="858">
        <v>255</v>
      </c>
      <c r="AF198" s="858"/>
      <c r="AG198" s="859">
        <v>1503</v>
      </c>
      <c r="AH198" s="863">
        <f t="shared" ref="AH198:AK198" si="133">AH204+AH210+AH216+AH222+AH228+AH234+AH240+AH246+AH252+AH258+AH264+AH270+AH276</f>
        <v>0</v>
      </c>
      <c r="AI198" s="862">
        <f t="shared" si="133"/>
        <v>0</v>
      </c>
      <c r="AJ198" s="870">
        <f t="shared" si="133"/>
        <v>0</v>
      </c>
      <c r="AK198" s="863">
        <f t="shared" si="133"/>
        <v>0</v>
      </c>
      <c r="AL198" s="209"/>
      <c r="AM198" s="209"/>
    </row>
    <row r="199" spans="1:39" s="80" customFormat="1">
      <c r="A199" s="580"/>
      <c r="B199" s="580" t="s">
        <v>131</v>
      </c>
      <c r="C199" s="832">
        <f>IF(U200&gt;0,(U199/U200),0)</f>
        <v>2.9186935371785964E-2</v>
      </c>
      <c r="D199" s="830">
        <f t="shared" ref="D199:S199" si="134">IF(V200&gt;0,(V199/V200),0)</f>
        <v>1.3975155279503106E-2</v>
      </c>
      <c r="E199" s="830">
        <f t="shared" si="134"/>
        <v>0</v>
      </c>
      <c r="F199" s="830">
        <f t="shared" si="134"/>
        <v>1.662049861495845E-2</v>
      </c>
      <c r="G199" s="830">
        <f t="shared" si="134"/>
        <v>0</v>
      </c>
      <c r="H199" s="830">
        <f t="shared" si="134"/>
        <v>8.0645161290322578E-3</v>
      </c>
      <c r="I199" s="832">
        <f t="shared" si="134"/>
        <v>2.1747281589801274E-2</v>
      </c>
      <c r="J199" s="832">
        <f t="shared" si="134"/>
        <v>0</v>
      </c>
      <c r="K199" s="830">
        <f t="shared" si="134"/>
        <v>0</v>
      </c>
      <c r="L199" s="830">
        <f t="shared" si="134"/>
        <v>0.1959858323494687</v>
      </c>
      <c r="M199" s="830">
        <f t="shared" si="134"/>
        <v>7.8125E-2</v>
      </c>
      <c r="N199" s="830">
        <f t="shared" si="134"/>
        <v>0</v>
      </c>
      <c r="O199" s="832">
        <f t="shared" si="134"/>
        <v>0.10529217199558985</v>
      </c>
      <c r="P199" s="832">
        <f t="shared" si="134"/>
        <v>0</v>
      </c>
      <c r="Q199" s="830">
        <f t="shared" si="134"/>
        <v>0</v>
      </c>
      <c r="R199" s="833">
        <f t="shared" si="134"/>
        <v>0</v>
      </c>
      <c r="S199" s="832">
        <f t="shared" si="134"/>
        <v>0</v>
      </c>
      <c r="T199" s="213"/>
      <c r="U199" s="858">
        <v>42</v>
      </c>
      <c r="V199" s="858">
        <v>9</v>
      </c>
      <c r="W199" s="858"/>
      <c r="X199" s="858">
        <v>6</v>
      </c>
      <c r="Y199" s="858"/>
      <c r="Z199" s="858">
        <v>1</v>
      </c>
      <c r="AA199" s="859">
        <v>58</v>
      </c>
      <c r="AB199" s="859"/>
      <c r="AC199" s="858"/>
      <c r="AD199" s="858">
        <v>166</v>
      </c>
      <c r="AE199" s="858">
        <v>25</v>
      </c>
      <c r="AF199" s="858"/>
      <c r="AG199" s="859">
        <v>191</v>
      </c>
      <c r="AH199" s="863">
        <f t="shared" ref="AH199:AK199" si="135">AH205+AH211+AH217+AH223+AH229+AH235+AH241+AH247+AH253+AH259+AH265+AH271+AH277</f>
        <v>0</v>
      </c>
      <c r="AI199" s="862">
        <f t="shared" si="135"/>
        <v>0</v>
      </c>
      <c r="AJ199" s="870">
        <f t="shared" si="135"/>
        <v>0</v>
      </c>
      <c r="AK199" s="863">
        <f t="shared" si="135"/>
        <v>0</v>
      </c>
      <c r="AL199" s="209"/>
      <c r="AM199" s="209"/>
    </row>
    <row r="200" spans="1:39" s="80" customFormat="1">
      <c r="A200" s="436"/>
      <c r="B200" s="436" t="s">
        <v>59</v>
      </c>
      <c r="C200" s="834">
        <f>IF(U200&gt;0,(U200/U200),0)</f>
        <v>1</v>
      </c>
      <c r="D200" s="835">
        <f t="shared" ref="D200:S200" si="136">IF(V200&gt;0,(V200/V200),0)</f>
        <v>1</v>
      </c>
      <c r="E200" s="835">
        <f t="shared" si="136"/>
        <v>0</v>
      </c>
      <c r="F200" s="835">
        <f t="shared" si="136"/>
        <v>1</v>
      </c>
      <c r="G200" s="835">
        <f t="shared" si="136"/>
        <v>1</v>
      </c>
      <c r="H200" s="835">
        <f t="shared" si="136"/>
        <v>1</v>
      </c>
      <c r="I200" s="834">
        <f t="shared" si="136"/>
        <v>1</v>
      </c>
      <c r="J200" s="834">
        <f t="shared" si="136"/>
        <v>0</v>
      </c>
      <c r="K200" s="835">
        <f t="shared" si="136"/>
        <v>1</v>
      </c>
      <c r="L200" s="835">
        <f t="shared" si="136"/>
        <v>1</v>
      </c>
      <c r="M200" s="835">
        <f t="shared" si="136"/>
        <v>1</v>
      </c>
      <c r="N200" s="835">
        <f t="shared" si="136"/>
        <v>0</v>
      </c>
      <c r="O200" s="834">
        <f t="shared" si="136"/>
        <v>1</v>
      </c>
      <c r="P200" s="834">
        <f t="shared" si="136"/>
        <v>0</v>
      </c>
      <c r="Q200" s="835">
        <f t="shared" si="136"/>
        <v>0</v>
      </c>
      <c r="R200" s="836">
        <f t="shared" si="136"/>
        <v>0</v>
      </c>
      <c r="S200" s="834">
        <f t="shared" si="136"/>
        <v>0</v>
      </c>
      <c r="T200" s="213"/>
      <c r="U200" s="871">
        <v>1439</v>
      </c>
      <c r="V200" s="871">
        <v>644</v>
      </c>
      <c r="W200" s="871"/>
      <c r="X200" s="871">
        <v>361</v>
      </c>
      <c r="Y200" s="871">
        <v>99</v>
      </c>
      <c r="Z200" s="871">
        <v>124</v>
      </c>
      <c r="AA200" s="864">
        <v>2667</v>
      </c>
      <c r="AB200" s="864"/>
      <c r="AC200" s="871">
        <v>647</v>
      </c>
      <c r="AD200" s="871">
        <v>847</v>
      </c>
      <c r="AE200" s="871">
        <v>320</v>
      </c>
      <c r="AF200" s="871"/>
      <c r="AG200" s="864">
        <v>1814</v>
      </c>
      <c r="AH200" s="872">
        <f t="shared" ref="AH200:AK200" si="137">AH206+AH212+AH218+AH224+AH230+AH236+AH242+AH248+AH254+AH260+AH266+AH272+AH278</f>
        <v>0</v>
      </c>
      <c r="AI200" s="873">
        <f t="shared" si="137"/>
        <v>0</v>
      </c>
      <c r="AJ200" s="874">
        <f t="shared" si="137"/>
        <v>0</v>
      </c>
      <c r="AK200" s="872">
        <f t="shared" si="137"/>
        <v>0</v>
      </c>
      <c r="AL200" s="209"/>
      <c r="AM200" s="209"/>
    </row>
    <row r="201" spans="1:39" s="80" customFormat="1">
      <c r="A201" s="240" t="s">
        <v>165</v>
      </c>
      <c r="B201" s="240" t="s">
        <v>53</v>
      </c>
      <c r="C201" s="829">
        <f>IF(U206&gt;0,(U201/U206),0)</f>
        <v>0.32291666666666669</v>
      </c>
      <c r="D201" s="830">
        <f t="shared" ref="D201:S201" si="138">IF(V206&gt;0,(V201/V206),0)</f>
        <v>0.3123249299719888</v>
      </c>
      <c r="E201" s="830">
        <f t="shared" si="138"/>
        <v>0</v>
      </c>
      <c r="F201" s="830">
        <f t="shared" si="138"/>
        <v>0</v>
      </c>
      <c r="G201" s="830">
        <f t="shared" si="138"/>
        <v>0.28412256267409469</v>
      </c>
      <c r="H201" s="830">
        <f t="shared" si="138"/>
        <v>0.21006944444444445</v>
      </c>
      <c r="I201" s="829">
        <f t="shared" si="138"/>
        <v>0.29207616707616707</v>
      </c>
      <c r="J201" s="829">
        <f t="shared" si="138"/>
        <v>0</v>
      </c>
      <c r="K201" s="830">
        <f t="shared" si="138"/>
        <v>0.16857142857142857</v>
      </c>
      <c r="L201" s="830">
        <f t="shared" si="138"/>
        <v>0.16528925619834711</v>
      </c>
      <c r="M201" s="830">
        <f t="shared" si="138"/>
        <v>0</v>
      </c>
      <c r="N201" s="830">
        <f t="shared" si="138"/>
        <v>0</v>
      </c>
      <c r="O201" s="829">
        <f t="shared" si="138"/>
        <v>0.12042682926829268</v>
      </c>
      <c r="P201" s="829">
        <f t="shared" si="138"/>
        <v>0</v>
      </c>
      <c r="Q201" s="830">
        <f t="shared" si="138"/>
        <v>0</v>
      </c>
      <c r="R201" s="831">
        <f t="shared" si="138"/>
        <v>0</v>
      </c>
      <c r="S201" s="829">
        <f t="shared" si="138"/>
        <v>0</v>
      </c>
      <c r="T201" s="213"/>
      <c r="U201" s="858">
        <v>403</v>
      </c>
      <c r="V201" s="858">
        <v>223</v>
      </c>
      <c r="W201" s="858"/>
      <c r="X201" s="858"/>
      <c r="Y201" s="858">
        <v>204</v>
      </c>
      <c r="Z201" s="858">
        <v>121</v>
      </c>
      <c r="AA201" s="857">
        <v>951</v>
      </c>
      <c r="AB201" s="857"/>
      <c r="AC201" s="858">
        <v>59</v>
      </c>
      <c r="AD201" s="858">
        <v>20</v>
      </c>
      <c r="AE201" s="858"/>
      <c r="AF201" s="858"/>
      <c r="AG201" s="857">
        <v>79</v>
      </c>
      <c r="AH201" s="861">
        <f t="shared" ref="AH201:AK201" si="139">AH207+AH213+AH219+AH225+AH231+AH237+AH243+AH249+AH255+AH261+AH267+AH273+AH279</f>
        <v>0</v>
      </c>
      <c r="AI201" s="862">
        <f t="shared" si="139"/>
        <v>0</v>
      </c>
      <c r="AJ201" s="869">
        <f t="shared" si="139"/>
        <v>0</v>
      </c>
      <c r="AK201" s="861">
        <f t="shared" si="139"/>
        <v>0</v>
      </c>
      <c r="AL201" s="209"/>
      <c r="AM201" s="209"/>
    </row>
    <row r="202" spans="1:39" s="80" customFormat="1">
      <c r="A202" s="239"/>
      <c r="B202" s="239" t="s">
        <v>93</v>
      </c>
      <c r="C202" s="832">
        <f>IF(U206&gt;0,(U202/U206),0)</f>
        <v>0.21394230769230768</v>
      </c>
      <c r="D202" s="830">
        <f t="shared" ref="D202:S202" si="140">IF(V206&gt;0,(V202/V206),0)</f>
        <v>0.28431372549019607</v>
      </c>
      <c r="E202" s="830">
        <f t="shared" si="140"/>
        <v>0</v>
      </c>
      <c r="F202" s="830">
        <f t="shared" si="140"/>
        <v>0</v>
      </c>
      <c r="G202" s="830">
        <f t="shared" si="140"/>
        <v>0.24791086350974931</v>
      </c>
      <c r="H202" s="830">
        <f t="shared" si="140"/>
        <v>0.31597222222222221</v>
      </c>
      <c r="I202" s="832">
        <f t="shared" si="140"/>
        <v>0.2549140049140049</v>
      </c>
      <c r="J202" s="832">
        <f t="shared" si="140"/>
        <v>0</v>
      </c>
      <c r="K202" s="830">
        <f t="shared" si="140"/>
        <v>0.22857142857142856</v>
      </c>
      <c r="L202" s="830">
        <f t="shared" si="140"/>
        <v>0.2231404958677686</v>
      </c>
      <c r="M202" s="830">
        <f t="shared" si="140"/>
        <v>0</v>
      </c>
      <c r="N202" s="830">
        <f t="shared" si="140"/>
        <v>0</v>
      </c>
      <c r="O202" s="832">
        <f t="shared" si="140"/>
        <v>0.16310975609756098</v>
      </c>
      <c r="P202" s="832">
        <f t="shared" si="140"/>
        <v>0</v>
      </c>
      <c r="Q202" s="830">
        <f t="shared" si="140"/>
        <v>0</v>
      </c>
      <c r="R202" s="833">
        <f t="shared" si="140"/>
        <v>0</v>
      </c>
      <c r="S202" s="832">
        <f t="shared" si="140"/>
        <v>0</v>
      </c>
      <c r="T202" s="213"/>
      <c r="U202" s="858">
        <v>267</v>
      </c>
      <c r="V202" s="858">
        <v>203</v>
      </c>
      <c r="W202" s="858"/>
      <c r="X202" s="858"/>
      <c r="Y202" s="858">
        <v>178</v>
      </c>
      <c r="Z202" s="858">
        <v>182</v>
      </c>
      <c r="AA202" s="859">
        <v>830</v>
      </c>
      <c r="AB202" s="859"/>
      <c r="AC202" s="858">
        <v>80</v>
      </c>
      <c r="AD202" s="858">
        <v>27</v>
      </c>
      <c r="AE202" s="858"/>
      <c r="AF202" s="858"/>
      <c r="AG202" s="859">
        <v>107</v>
      </c>
      <c r="AH202" s="863">
        <f t="shared" ref="AH202:AK202" si="141">AH208+AH214+AH220+AH226+AH232+AH238+AH244+AH250+AH256+AH262+AH268+AH274+AH280</f>
        <v>0</v>
      </c>
      <c r="AI202" s="862">
        <f t="shared" si="141"/>
        <v>0</v>
      </c>
      <c r="AJ202" s="870">
        <f t="shared" si="141"/>
        <v>0</v>
      </c>
      <c r="AK202" s="863">
        <f t="shared" si="141"/>
        <v>0</v>
      </c>
      <c r="AL202" s="209"/>
      <c r="AM202" s="209"/>
    </row>
    <row r="203" spans="1:39" s="80" customFormat="1">
      <c r="A203" s="239"/>
      <c r="B203" s="239" t="s">
        <v>55</v>
      </c>
      <c r="C203" s="832">
        <f>IF(U206&gt;0,(U203/U206),0)</f>
        <v>0.1858974358974359</v>
      </c>
      <c r="D203" s="830">
        <f t="shared" ref="D203:S203" si="142">IF(V206&gt;0,(V203/V206),0)</f>
        <v>0.25630252100840334</v>
      </c>
      <c r="E203" s="830">
        <f t="shared" si="142"/>
        <v>0</v>
      </c>
      <c r="F203" s="830">
        <f t="shared" si="142"/>
        <v>0</v>
      </c>
      <c r="G203" s="830">
        <f t="shared" si="142"/>
        <v>0.33844011142061281</v>
      </c>
      <c r="H203" s="830">
        <f t="shared" si="142"/>
        <v>0.30902777777777779</v>
      </c>
      <c r="I203" s="832">
        <f t="shared" si="142"/>
        <v>0.25675675675675674</v>
      </c>
      <c r="J203" s="832">
        <f t="shared" si="142"/>
        <v>0</v>
      </c>
      <c r="K203" s="830">
        <f t="shared" si="142"/>
        <v>0.32285714285714284</v>
      </c>
      <c r="L203" s="830">
        <f t="shared" si="142"/>
        <v>0.23140495867768596</v>
      </c>
      <c r="M203" s="830">
        <f t="shared" si="142"/>
        <v>0</v>
      </c>
      <c r="N203" s="830">
        <f t="shared" si="142"/>
        <v>0</v>
      </c>
      <c r="O203" s="832">
        <f t="shared" si="142"/>
        <v>0.2149390243902439</v>
      </c>
      <c r="P203" s="832">
        <f t="shared" si="142"/>
        <v>0</v>
      </c>
      <c r="Q203" s="830">
        <f t="shared" si="142"/>
        <v>0</v>
      </c>
      <c r="R203" s="833">
        <f t="shared" si="142"/>
        <v>0</v>
      </c>
      <c r="S203" s="832">
        <f t="shared" si="142"/>
        <v>0</v>
      </c>
      <c r="T203" s="213"/>
      <c r="U203" s="858">
        <v>232</v>
      </c>
      <c r="V203" s="858">
        <v>183</v>
      </c>
      <c r="W203" s="858"/>
      <c r="X203" s="858"/>
      <c r="Y203" s="858">
        <v>243</v>
      </c>
      <c r="Z203" s="858">
        <v>178</v>
      </c>
      <c r="AA203" s="859">
        <v>836</v>
      </c>
      <c r="AB203" s="859"/>
      <c r="AC203" s="858">
        <v>113</v>
      </c>
      <c r="AD203" s="858">
        <v>28</v>
      </c>
      <c r="AE203" s="858"/>
      <c r="AF203" s="858"/>
      <c r="AG203" s="859">
        <v>141</v>
      </c>
      <c r="AH203" s="863">
        <f t="shared" ref="AH203:AK203" si="143">AH209+AH215+AH221+AH227+AH233+AH239+AH245+AH251+AH257+AH263+AH269+AH275+AH281</f>
        <v>0</v>
      </c>
      <c r="AI203" s="862">
        <f t="shared" si="143"/>
        <v>0</v>
      </c>
      <c r="AJ203" s="870">
        <f t="shared" si="143"/>
        <v>0</v>
      </c>
      <c r="AK203" s="863">
        <f t="shared" si="143"/>
        <v>0</v>
      </c>
      <c r="AL203" s="209"/>
      <c r="AM203" s="209"/>
    </row>
    <row r="204" spans="1:39" s="80" customFormat="1">
      <c r="A204" s="239"/>
      <c r="B204" s="239" t="s">
        <v>78</v>
      </c>
      <c r="C204" s="832">
        <f>IF(U206&gt;0,(U204/U206),0)</f>
        <v>4.807692307692308E-3</v>
      </c>
      <c r="D204" s="830">
        <f t="shared" ref="D204:S204" si="144">IF(V206&gt;0,(V204/V206),0)</f>
        <v>1.4005602240896359E-2</v>
      </c>
      <c r="E204" s="830">
        <f t="shared" si="144"/>
        <v>0</v>
      </c>
      <c r="F204" s="830">
        <f t="shared" si="144"/>
        <v>0</v>
      </c>
      <c r="G204" s="830">
        <f t="shared" si="144"/>
        <v>9.3314763231197778E-2</v>
      </c>
      <c r="H204" s="830">
        <f t="shared" si="144"/>
        <v>5.7291666666666664E-2</v>
      </c>
      <c r="I204" s="832">
        <f t="shared" si="144"/>
        <v>3.562653562653563E-2</v>
      </c>
      <c r="J204" s="832">
        <f t="shared" si="144"/>
        <v>0</v>
      </c>
      <c r="K204" s="830">
        <f t="shared" si="144"/>
        <v>0.28000000000000003</v>
      </c>
      <c r="L204" s="830">
        <f t="shared" si="144"/>
        <v>0.35537190082644626</v>
      </c>
      <c r="M204" s="830">
        <f t="shared" si="144"/>
        <v>0.54054054054054057</v>
      </c>
      <c r="N204" s="830">
        <f t="shared" si="144"/>
        <v>0</v>
      </c>
      <c r="O204" s="832">
        <f t="shared" si="144"/>
        <v>0.3673780487804878</v>
      </c>
      <c r="P204" s="832">
        <f t="shared" si="144"/>
        <v>0</v>
      </c>
      <c r="Q204" s="830">
        <f t="shared" si="144"/>
        <v>0</v>
      </c>
      <c r="R204" s="833">
        <f t="shared" si="144"/>
        <v>0</v>
      </c>
      <c r="S204" s="832">
        <f t="shared" si="144"/>
        <v>0</v>
      </c>
      <c r="T204" s="213"/>
      <c r="U204" s="858">
        <v>6</v>
      </c>
      <c r="V204" s="858">
        <v>10</v>
      </c>
      <c r="W204" s="858"/>
      <c r="X204" s="858"/>
      <c r="Y204" s="858">
        <v>67</v>
      </c>
      <c r="Z204" s="858">
        <v>33</v>
      </c>
      <c r="AA204" s="859">
        <v>116</v>
      </c>
      <c r="AB204" s="859"/>
      <c r="AC204" s="858">
        <v>98</v>
      </c>
      <c r="AD204" s="858">
        <v>43</v>
      </c>
      <c r="AE204" s="858">
        <v>100</v>
      </c>
      <c r="AF204" s="858"/>
      <c r="AG204" s="859">
        <v>241</v>
      </c>
      <c r="AH204" s="863">
        <f t="shared" ref="AH204:AK204" si="145">AH210+AH216+AH222+AH228+AH234+AH240+AH246+AH252+AH258+AH264+AH270+AH276+AH282</f>
        <v>0</v>
      </c>
      <c r="AI204" s="862">
        <f t="shared" si="145"/>
        <v>0</v>
      </c>
      <c r="AJ204" s="870">
        <f t="shared" si="145"/>
        <v>0</v>
      </c>
      <c r="AK204" s="863">
        <f t="shared" si="145"/>
        <v>0</v>
      </c>
      <c r="AL204" s="209"/>
      <c r="AM204" s="209"/>
    </row>
    <row r="205" spans="1:39" s="80" customFormat="1">
      <c r="A205" s="580"/>
      <c r="B205" s="580" t="s">
        <v>131</v>
      </c>
      <c r="C205" s="832">
        <f>IF(U206&gt;0,(U205/U206),0)</f>
        <v>0.27243589743589741</v>
      </c>
      <c r="D205" s="830">
        <f t="shared" ref="D205:S205" si="146">IF(V206&gt;0,(V205/V206),0)</f>
        <v>0.13305322128851541</v>
      </c>
      <c r="E205" s="830">
        <f t="shared" si="146"/>
        <v>0</v>
      </c>
      <c r="F205" s="830">
        <f t="shared" si="146"/>
        <v>0</v>
      </c>
      <c r="G205" s="830">
        <f t="shared" si="146"/>
        <v>3.6211699164345405E-2</v>
      </c>
      <c r="H205" s="830">
        <f t="shared" si="146"/>
        <v>0.1076388888888889</v>
      </c>
      <c r="I205" s="832">
        <f t="shared" si="146"/>
        <v>0.16062653562653562</v>
      </c>
      <c r="J205" s="832">
        <f t="shared" si="146"/>
        <v>0</v>
      </c>
      <c r="K205" s="830">
        <f t="shared" si="146"/>
        <v>0</v>
      </c>
      <c r="L205" s="830">
        <f t="shared" si="146"/>
        <v>2.4793388429752067E-2</v>
      </c>
      <c r="M205" s="830">
        <f t="shared" si="146"/>
        <v>0.45945945945945948</v>
      </c>
      <c r="N205" s="830">
        <f t="shared" si="146"/>
        <v>0</v>
      </c>
      <c r="O205" s="832">
        <f t="shared" si="146"/>
        <v>0.13414634146341464</v>
      </c>
      <c r="P205" s="832">
        <f t="shared" si="146"/>
        <v>0</v>
      </c>
      <c r="Q205" s="830">
        <f t="shared" si="146"/>
        <v>0</v>
      </c>
      <c r="R205" s="833">
        <f t="shared" si="146"/>
        <v>0</v>
      </c>
      <c r="S205" s="832">
        <f t="shared" si="146"/>
        <v>0</v>
      </c>
      <c r="T205" s="213"/>
      <c r="U205" s="858">
        <v>340</v>
      </c>
      <c r="V205" s="858">
        <v>95</v>
      </c>
      <c r="W205" s="858"/>
      <c r="X205" s="858"/>
      <c r="Y205" s="858">
        <v>26</v>
      </c>
      <c r="Z205" s="858">
        <v>62</v>
      </c>
      <c r="AA205" s="859">
        <v>523</v>
      </c>
      <c r="AB205" s="859"/>
      <c r="AC205" s="858"/>
      <c r="AD205" s="858">
        <v>3</v>
      </c>
      <c r="AE205" s="858">
        <v>85</v>
      </c>
      <c r="AF205" s="858"/>
      <c r="AG205" s="859">
        <v>88</v>
      </c>
      <c r="AH205" s="863">
        <f t="shared" ref="AH205:AK205" si="147">AH211+AH217+AH223+AH229+AH235+AH241+AH247+AH253+AH259+AH265+AH271+AH277+AH283</f>
        <v>0</v>
      </c>
      <c r="AI205" s="862">
        <f t="shared" si="147"/>
        <v>0</v>
      </c>
      <c r="AJ205" s="870">
        <f t="shared" si="147"/>
        <v>0</v>
      </c>
      <c r="AK205" s="863">
        <f t="shared" si="147"/>
        <v>0</v>
      </c>
      <c r="AL205" s="209"/>
      <c r="AM205" s="209"/>
    </row>
    <row r="206" spans="1:39" s="80" customFormat="1">
      <c r="A206" s="436"/>
      <c r="B206" s="436" t="s">
        <v>59</v>
      </c>
      <c r="C206" s="834">
        <f>IF(U206&gt;0,(U206/U206),0)</f>
        <v>1</v>
      </c>
      <c r="D206" s="835">
        <f t="shared" ref="D206:S206" si="148">IF(V206&gt;0,(V206/V206),0)</f>
        <v>1</v>
      </c>
      <c r="E206" s="835">
        <f t="shared" si="148"/>
        <v>0</v>
      </c>
      <c r="F206" s="835">
        <f t="shared" si="148"/>
        <v>0</v>
      </c>
      <c r="G206" s="835">
        <f t="shared" si="148"/>
        <v>1</v>
      </c>
      <c r="H206" s="835">
        <f t="shared" si="148"/>
        <v>1</v>
      </c>
      <c r="I206" s="834">
        <f t="shared" si="148"/>
        <v>1</v>
      </c>
      <c r="J206" s="834">
        <f t="shared" si="148"/>
        <v>0</v>
      </c>
      <c r="K206" s="835">
        <f t="shared" si="148"/>
        <v>1</v>
      </c>
      <c r="L206" s="835">
        <f t="shared" si="148"/>
        <v>1</v>
      </c>
      <c r="M206" s="835">
        <f t="shared" si="148"/>
        <v>1</v>
      </c>
      <c r="N206" s="835">
        <f t="shared" si="148"/>
        <v>0</v>
      </c>
      <c r="O206" s="834">
        <f t="shared" si="148"/>
        <v>1</v>
      </c>
      <c r="P206" s="834">
        <f t="shared" si="148"/>
        <v>0</v>
      </c>
      <c r="Q206" s="835">
        <f t="shared" si="148"/>
        <v>0</v>
      </c>
      <c r="R206" s="836">
        <f t="shared" si="148"/>
        <v>0</v>
      </c>
      <c r="S206" s="834">
        <f t="shared" si="148"/>
        <v>0</v>
      </c>
      <c r="T206" s="213"/>
      <c r="U206" s="871">
        <v>1248</v>
      </c>
      <c r="V206" s="871">
        <v>714</v>
      </c>
      <c r="W206" s="871"/>
      <c r="X206" s="871"/>
      <c r="Y206" s="871">
        <v>718</v>
      </c>
      <c r="Z206" s="871">
        <v>576</v>
      </c>
      <c r="AA206" s="864">
        <v>3256</v>
      </c>
      <c r="AB206" s="864"/>
      <c r="AC206" s="871">
        <v>350</v>
      </c>
      <c r="AD206" s="871">
        <v>121</v>
      </c>
      <c r="AE206" s="871">
        <v>185</v>
      </c>
      <c r="AF206" s="871"/>
      <c r="AG206" s="864">
        <v>656</v>
      </c>
      <c r="AH206" s="872">
        <f t="shared" ref="AH206:AK206" si="149">AH212+AH218+AH224+AH230+AH236+AH242+AH248+AH254+AH260+AH266+AH272+AH278+AH284</f>
        <v>0</v>
      </c>
      <c r="AI206" s="873">
        <f t="shared" si="149"/>
        <v>0</v>
      </c>
      <c r="AJ206" s="874">
        <f t="shared" si="149"/>
        <v>0</v>
      </c>
      <c r="AK206" s="872">
        <f t="shared" si="149"/>
        <v>0</v>
      </c>
      <c r="AL206" s="209"/>
      <c r="AM206" s="209"/>
    </row>
    <row r="207" spans="1:39" s="80" customFormat="1">
      <c r="A207" s="240" t="s">
        <v>167</v>
      </c>
      <c r="B207" s="240" t="s">
        <v>53</v>
      </c>
      <c r="C207" s="829">
        <f>IF(U212&gt;0,(U207/U212),0)</f>
        <v>0.36026936026936029</v>
      </c>
      <c r="D207" s="830">
        <f t="shared" ref="D207:S207" si="150">IF(V212&gt;0,(V207/V212),0)</f>
        <v>0</v>
      </c>
      <c r="E207" s="830">
        <f t="shared" si="150"/>
        <v>0.31645569620253167</v>
      </c>
      <c r="F207" s="830">
        <f t="shared" si="150"/>
        <v>0.25210084033613445</v>
      </c>
      <c r="G207" s="830">
        <f t="shared" si="150"/>
        <v>7.9166666666666663E-2</v>
      </c>
      <c r="H207" s="830">
        <f t="shared" si="150"/>
        <v>0</v>
      </c>
      <c r="I207" s="829">
        <f t="shared" si="150"/>
        <v>0.33047945205479451</v>
      </c>
      <c r="J207" s="829">
        <f t="shared" si="150"/>
        <v>0</v>
      </c>
      <c r="K207" s="830">
        <f t="shared" si="150"/>
        <v>0</v>
      </c>
      <c r="L207" s="830">
        <f t="shared" si="150"/>
        <v>4.0227372103191952E-2</v>
      </c>
      <c r="M207" s="830">
        <f t="shared" si="150"/>
        <v>0</v>
      </c>
      <c r="N207" s="830">
        <f t="shared" si="150"/>
        <v>0</v>
      </c>
      <c r="O207" s="829">
        <f t="shared" si="150"/>
        <v>2.6025459688826025E-2</v>
      </c>
      <c r="P207" s="829">
        <f t="shared" si="150"/>
        <v>0</v>
      </c>
      <c r="Q207" s="830">
        <f t="shared" si="150"/>
        <v>0</v>
      </c>
      <c r="R207" s="831">
        <f t="shared" si="150"/>
        <v>0</v>
      </c>
      <c r="S207" s="829">
        <f t="shared" si="150"/>
        <v>0</v>
      </c>
      <c r="T207" s="213"/>
      <c r="U207" s="858">
        <v>1070</v>
      </c>
      <c r="V207" s="858"/>
      <c r="W207" s="858">
        <v>425</v>
      </c>
      <c r="X207" s="858">
        <v>30</v>
      </c>
      <c r="Y207" s="858">
        <v>19</v>
      </c>
      <c r="Z207" s="858"/>
      <c r="AA207" s="857">
        <v>1544</v>
      </c>
      <c r="AB207" s="857"/>
      <c r="AC207" s="858"/>
      <c r="AD207" s="858">
        <v>92</v>
      </c>
      <c r="AE207" s="858"/>
      <c r="AF207" s="858"/>
      <c r="AG207" s="857">
        <v>92</v>
      </c>
      <c r="AH207" s="861">
        <f t="shared" ref="AH207:AK207" si="151">AH213+AH219+AH225+AH231+AH237+AH243+AH249+AH255+AH261+AH267+AH273+AH279+AH285</f>
        <v>0</v>
      </c>
      <c r="AI207" s="862">
        <f t="shared" si="151"/>
        <v>0</v>
      </c>
      <c r="AJ207" s="869">
        <f t="shared" si="151"/>
        <v>0</v>
      </c>
      <c r="AK207" s="861">
        <f t="shared" si="151"/>
        <v>0</v>
      </c>
      <c r="AL207" s="209"/>
      <c r="AM207" s="209"/>
    </row>
    <row r="208" spans="1:39" s="80" customFormat="1">
      <c r="A208" s="239"/>
      <c r="B208" s="239" t="s">
        <v>93</v>
      </c>
      <c r="C208" s="832">
        <f>IF(U212&gt;0,(U208/U212),0)</f>
        <v>0.24242424242424243</v>
      </c>
      <c r="D208" s="830">
        <f t="shared" ref="D208:S208" si="152">IF(V212&gt;0,(V208/V212),0)</f>
        <v>0</v>
      </c>
      <c r="E208" s="830">
        <f t="shared" si="152"/>
        <v>0.27177959791511541</v>
      </c>
      <c r="F208" s="830">
        <f t="shared" si="152"/>
        <v>0.22689075630252101</v>
      </c>
      <c r="G208" s="830">
        <f t="shared" si="152"/>
        <v>0.1</v>
      </c>
      <c r="H208" s="830">
        <f t="shared" si="152"/>
        <v>0</v>
      </c>
      <c r="I208" s="832">
        <f t="shared" si="152"/>
        <v>0.24315068493150685</v>
      </c>
      <c r="J208" s="832">
        <f t="shared" si="152"/>
        <v>0</v>
      </c>
      <c r="K208" s="830">
        <f t="shared" si="152"/>
        <v>0</v>
      </c>
      <c r="L208" s="830">
        <f t="shared" si="152"/>
        <v>0</v>
      </c>
      <c r="M208" s="830">
        <f t="shared" si="152"/>
        <v>0</v>
      </c>
      <c r="N208" s="830">
        <f t="shared" si="152"/>
        <v>0</v>
      </c>
      <c r="O208" s="832">
        <f t="shared" si="152"/>
        <v>0</v>
      </c>
      <c r="P208" s="832">
        <f t="shared" si="152"/>
        <v>0</v>
      </c>
      <c r="Q208" s="830">
        <f t="shared" si="152"/>
        <v>0</v>
      </c>
      <c r="R208" s="833">
        <f t="shared" si="152"/>
        <v>0</v>
      </c>
      <c r="S208" s="832">
        <f t="shared" si="152"/>
        <v>0</v>
      </c>
      <c r="T208" s="213"/>
      <c r="U208" s="858">
        <v>720</v>
      </c>
      <c r="V208" s="858"/>
      <c r="W208" s="858">
        <v>365</v>
      </c>
      <c r="X208" s="858">
        <v>27</v>
      </c>
      <c r="Y208" s="858">
        <v>24</v>
      </c>
      <c r="Z208" s="858"/>
      <c r="AA208" s="859">
        <v>1136</v>
      </c>
      <c r="AB208" s="859"/>
      <c r="AC208" s="858"/>
      <c r="AD208" s="858"/>
      <c r="AE208" s="858"/>
      <c r="AF208" s="858"/>
      <c r="AG208" s="859"/>
      <c r="AH208" s="863">
        <f t="shared" ref="AH208:AK208" si="153">AH214+AH220+AH226+AH232+AH238+AH244+AH250+AH256+AH262+AH268+AH274+AH280+AH286</f>
        <v>0</v>
      </c>
      <c r="AI208" s="862">
        <f t="shared" si="153"/>
        <v>0</v>
      </c>
      <c r="AJ208" s="870">
        <f t="shared" si="153"/>
        <v>0</v>
      </c>
      <c r="AK208" s="863">
        <f t="shared" si="153"/>
        <v>0</v>
      </c>
      <c r="AL208" s="209"/>
      <c r="AM208" s="209"/>
    </row>
    <row r="209" spans="1:39" s="80" customFormat="1">
      <c r="A209" s="239"/>
      <c r="B209" s="239" t="s">
        <v>55</v>
      </c>
      <c r="C209" s="832">
        <f>IF(U212&gt;0,(U209/U212),0)</f>
        <v>0.20909090909090908</v>
      </c>
      <c r="D209" s="830">
        <f t="shared" ref="D209:S209" si="154">IF(V212&gt;0,(V209/V212),0)</f>
        <v>0</v>
      </c>
      <c r="E209" s="830">
        <f t="shared" si="154"/>
        <v>0.22486969471332838</v>
      </c>
      <c r="F209" s="830">
        <f t="shared" si="154"/>
        <v>0.33613445378151263</v>
      </c>
      <c r="G209" s="830">
        <f t="shared" si="154"/>
        <v>9.166666666666666E-2</v>
      </c>
      <c r="H209" s="830">
        <f t="shared" si="154"/>
        <v>0</v>
      </c>
      <c r="I209" s="832">
        <f t="shared" si="154"/>
        <v>0.2108304794520548</v>
      </c>
      <c r="J209" s="832">
        <f t="shared" si="154"/>
        <v>0</v>
      </c>
      <c r="K209" s="830">
        <f t="shared" si="154"/>
        <v>0</v>
      </c>
      <c r="L209" s="830">
        <f t="shared" si="154"/>
        <v>0</v>
      </c>
      <c r="M209" s="830">
        <f t="shared" si="154"/>
        <v>0</v>
      </c>
      <c r="N209" s="830">
        <f t="shared" si="154"/>
        <v>0</v>
      </c>
      <c r="O209" s="832">
        <f t="shared" si="154"/>
        <v>0</v>
      </c>
      <c r="P209" s="832">
        <f t="shared" si="154"/>
        <v>0</v>
      </c>
      <c r="Q209" s="830">
        <f t="shared" si="154"/>
        <v>0</v>
      </c>
      <c r="R209" s="833">
        <f t="shared" si="154"/>
        <v>0</v>
      </c>
      <c r="S209" s="832">
        <f t="shared" si="154"/>
        <v>0</v>
      </c>
      <c r="T209" s="213"/>
      <c r="U209" s="858">
        <v>621</v>
      </c>
      <c r="V209" s="858"/>
      <c r="W209" s="858">
        <v>302</v>
      </c>
      <c r="X209" s="858">
        <v>40</v>
      </c>
      <c r="Y209" s="858">
        <v>22</v>
      </c>
      <c r="Z209" s="858"/>
      <c r="AA209" s="859">
        <v>985</v>
      </c>
      <c r="AB209" s="859"/>
      <c r="AC209" s="858"/>
      <c r="AD209" s="858"/>
      <c r="AE209" s="858"/>
      <c r="AF209" s="858"/>
      <c r="AG209" s="859"/>
      <c r="AH209" s="863">
        <f t="shared" ref="AH209:AK209" si="155">AH215+AH221+AH227+AH233+AH239+AH245+AH251+AH257+AH263+AH269+AH275+AH281+AH287</f>
        <v>0</v>
      </c>
      <c r="AI209" s="862">
        <f t="shared" si="155"/>
        <v>0</v>
      </c>
      <c r="AJ209" s="870">
        <f t="shared" si="155"/>
        <v>0</v>
      </c>
      <c r="AK209" s="863">
        <f t="shared" si="155"/>
        <v>0</v>
      </c>
      <c r="AL209" s="209"/>
      <c r="AM209" s="209"/>
    </row>
    <row r="210" spans="1:39" s="80" customFormat="1">
      <c r="A210" s="239"/>
      <c r="B210" s="239" t="s">
        <v>78</v>
      </c>
      <c r="C210" s="832">
        <f>IF(U212&gt;0,(U210/U212),0)</f>
        <v>5.387205387205387E-2</v>
      </c>
      <c r="D210" s="830">
        <f t="shared" ref="D210:S210" si="156">IF(V212&gt;0,(V210/V212),0)</f>
        <v>0</v>
      </c>
      <c r="E210" s="830">
        <f t="shared" si="156"/>
        <v>8.9352196574832461E-3</v>
      </c>
      <c r="F210" s="830">
        <f t="shared" si="156"/>
        <v>0</v>
      </c>
      <c r="G210" s="830">
        <f t="shared" si="156"/>
        <v>0</v>
      </c>
      <c r="H210" s="830">
        <f t="shared" si="156"/>
        <v>0</v>
      </c>
      <c r="I210" s="832">
        <f t="shared" si="156"/>
        <v>3.6815068493150686E-2</v>
      </c>
      <c r="J210" s="832">
        <f t="shared" si="156"/>
        <v>0</v>
      </c>
      <c r="K210" s="830">
        <f t="shared" si="156"/>
        <v>0</v>
      </c>
      <c r="L210" s="830">
        <f t="shared" si="156"/>
        <v>0.23480542195015303</v>
      </c>
      <c r="M210" s="830">
        <f t="shared" si="156"/>
        <v>0.40569395017793597</v>
      </c>
      <c r="N210" s="830">
        <f t="shared" si="156"/>
        <v>0</v>
      </c>
      <c r="O210" s="832">
        <f t="shared" si="156"/>
        <v>0.18415841584158416</v>
      </c>
      <c r="P210" s="832">
        <f t="shared" si="156"/>
        <v>0</v>
      </c>
      <c r="Q210" s="830">
        <f t="shared" si="156"/>
        <v>0</v>
      </c>
      <c r="R210" s="833">
        <f t="shared" si="156"/>
        <v>0</v>
      </c>
      <c r="S210" s="832">
        <f t="shared" si="156"/>
        <v>0</v>
      </c>
      <c r="T210" s="213"/>
      <c r="U210" s="858">
        <v>160</v>
      </c>
      <c r="V210" s="858"/>
      <c r="W210" s="858">
        <v>12</v>
      </c>
      <c r="X210" s="858"/>
      <c r="Y210" s="858"/>
      <c r="Z210" s="858"/>
      <c r="AA210" s="859">
        <v>172</v>
      </c>
      <c r="AB210" s="859"/>
      <c r="AC210" s="858"/>
      <c r="AD210" s="858">
        <v>537</v>
      </c>
      <c r="AE210" s="858">
        <v>114</v>
      </c>
      <c r="AF210" s="858"/>
      <c r="AG210" s="859">
        <v>651</v>
      </c>
      <c r="AH210" s="863">
        <f t="shared" ref="AH210:AK210" si="157">AH216+AH222+AH228+AH234+AH240+AH246+AH252+AH258+AH264+AH270+AH276+AH282+AH288</f>
        <v>0</v>
      </c>
      <c r="AI210" s="862">
        <f t="shared" si="157"/>
        <v>0</v>
      </c>
      <c r="AJ210" s="870">
        <f t="shared" si="157"/>
        <v>0</v>
      </c>
      <c r="AK210" s="863">
        <f t="shared" si="157"/>
        <v>0</v>
      </c>
      <c r="AL210" s="209"/>
      <c r="AM210" s="209"/>
    </row>
    <row r="211" spans="1:39" s="80" customFormat="1">
      <c r="A211" s="580"/>
      <c r="B211" s="580" t="s">
        <v>131</v>
      </c>
      <c r="C211" s="832">
        <f>IF(U212&gt;0,(U211/U212),0)</f>
        <v>0.13434343434343435</v>
      </c>
      <c r="D211" s="830">
        <f t="shared" ref="D211:S211" si="158">IF(V212&gt;0,(V211/V212),0)</f>
        <v>0</v>
      </c>
      <c r="E211" s="830">
        <f t="shared" si="158"/>
        <v>0.17795979151154132</v>
      </c>
      <c r="F211" s="830">
        <f t="shared" si="158"/>
        <v>0.18487394957983194</v>
      </c>
      <c r="G211" s="830">
        <f t="shared" si="158"/>
        <v>0.72916666666666663</v>
      </c>
      <c r="H211" s="830">
        <f t="shared" si="158"/>
        <v>0</v>
      </c>
      <c r="I211" s="832">
        <f t="shared" si="158"/>
        <v>0.17872431506849315</v>
      </c>
      <c r="J211" s="832">
        <f t="shared" si="158"/>
        <v>0</v>
      </c>
      <c r="K211" s="830">
        <f t="shared" si="158"/>
        <v>1</v>
      </c>
      <c r="L211" s="830">
        <f t="shared" si="158"/>
        <v>0.72496720594665498</v>
      </c>
      <c r="M211" s="830">
        <f t="shared" si="158"/>
        <v>0.59430604982206403</v>
      </c>
      <c r="N211" s="830">
        <f t="shared" si="158"/>
        <v>0</v>
      </c>
      <c r="O211" s="832">
        <f t="shared" si="158"/>
        <v>0.78981612446958982</v>
      </c>
      <c r="P211" s="832">
        <f t="shared" si="158"/>
        <v>0</v>
      </c>
      <c r="Q211" s="830">
        <f t="shared" si="158"/>
        <v>0</v>
      </c>
      <c r="R211" s="833">
        <f t="shared" si="158"/>
        <v>0</v>
      </c>
      <c r="S211" s="832">
        <f t="shared" si="158"/>
        <v>0</v>
      </c>
      <c r="T211" s="213"/>
      <c r="U211" s="858">
        <v>399</v>
      </c>
      <c r="V211" s="858"/>
      <c r="W211" s="858">
        <v>239</v>
      </c>
      <c r="X211" s="858">
        <v>22</v>
      </c>
      <c r="Y211" s="858">
        <v>175</v>
      </c>
      <c r="Z211" s="858"/>
      <c r="AA211" s="859">
        <v>835</v>
      </c>
      <c r="AB211" s="859"/>
      <c r="AC211" s="858">
        <v>967</v>
      </c>
      <c r="AD211" s="858">
        <v>1658</v>
      </c>
      <c r="AE211" s="858">
        <v>167</v>
      </c>
      <c r="AF211" s="858"/>
      <c r="AG211" s="859">
        <v>2792</v>
      </c>
      <c r="AH211" s="863">
        <f t="shared" ref="AH211:AK211" si="159">AH217+AH223+AH229+AH235+AH241+AH247+AH253+AH259+AH265+AH271+AH277+AH283+AH289</f>
        <v>0</v>
      </c>
      <c r="AI211" s="862">
        <f t="shared" si="159"/>
        <v>0</v>
      </c>
      <c r="AJ211" s="870">
        <f t="shared" si="159"/>
        <v>0</v>
      </c>
      <c r="AK211" s="863">
        <f t="shared" si="159"/>
        <v>0</v>
      </c>
      <c r="AL211" s="209"/>
      <c r="AM211" s="209"/>
    </row>
    <row r="212" spans="1:39" s="80" customFormat="1">
      <c r="A212" s="436"/>
      <c r="B212" s="436" t="s">
        <v>59</v>
      </c>
      <c r="C212" s="834">
        <f>IF(U212&gt;0,(U212/U212),0)</f>
        <v>1</v>
      </c>
      <c r="D212" s="835">
        <f t="shared" ref="D212:S212" si="160">IF(V212&gt;0,(V212/V212),0)</f>
        <v>0</v>
      </c>
      <c r="E212" s="835">
        <f t="shared" si="160"/>
        <v>1</v>
      </c>
      <c r="F212" s="835">
        <f t="shared" si="160"/>
        <v>1</v>
      </c>
      <c r="G212" s="835">
        <f t="shared" si="160"/>
        <v>1</v>
      </c>
      <c r="H212" s="835">
        <f t="shared" si="160"/>
        <v>0</v>
      </c>
      <c r="I212" s="834">
        <f t="shared" si="160"/>
        <v>1</v>
      </c>
      <c r="J212" s="834">
        <f t="shared" si="160"/>
        <v>0</v>
      </c>
      <c r="K212" s="835">
        <f t="shared" si="160"/>
        <v>1</v>
      </c>
      <c r="L212" s="835">
        <f t="shared" si="160"/>
        <v>1</v>
      </c>
      <c r="M212" s="835">
        <f t="shared" si="160"/>
        <v>1</v>
      </c>
      <c r="N212" s="835">
        <f t="shared" si="160"/>
        <v>0</v>
      </c>
      <c r="O212" s="834">
        <f t="shared" si="160"/>
        <v>1</v>
      </c>
      <c r="P212" s="834">
        <f t="shared" si="160"/>
        <v>0</v>
      </c>
      <c r="Q212" s="835">
        <f t="shared" si="160"/>
        <v>0</v>
      </c>
      <c r="R212" s="836">
        <f t="shared" si="160"/>
        <v>0</v>
      </c>
      <c r="S212" s="834">
        <f t="shared" si="160"/>
        <v>0</v>
      </c>
      <c r="T212" s="213"/>
      <c r="U212" s="871">
        <v>2970</v>
      </c>
      <c r="V212" s="871"/>
      <c r="W212" s="871">
        <v>1343</v>
      </c>
      <c r="X212" s="871">
        <v>119</v>
      </c>
      <c r="Y212" s="871">
        <v>240</v>
      </c>
      <c r="Z212" s="871"/>
      <c r="AA212" s="864">
        <v>4672</v>
      </c>
      <c r="AB212" s="864"/>
      <c r="AC212" s="871">
        <v>967</v>
      </c>
      <c r="AD212" s="871">
        <v>2287</v>
      </c>
      <c r="AE212" s="871">
        <v>281</v>
      </c>
      <c r="AF212" s="871"/>
      <c r="AG212" s="864">
        <v>3535</v>
      </c>
      <c r="AH212" s="872">
        <f t="shared" ref="AH212:AK212" si="161">AH218+AH224+AH230+AH236+AH242+AH248+AH254+AH260+AH266+AH272+AH278+AH284+AH290</f>
        <v>0</v>
      </c>
      <c r="AI212" s="873">
        <f t="shared" si="161"/>
        <v>0</v>
      </c>
      <c r="AJ212" s="874">
        <f t="shared" si="161"/>
        <v>0</v>
      </c>
      <c r="AK212" s="872">
        <f t="shared" si="161"/>
        <v>0</v>
      </c>
      <c r="AL212" s="209"/>
      <c r="AM212" s="209"/>
    </row>
    <row r="213" spans="1:39" s="80" customFormat="1">
      <c r="A213" s="240" t="s">
        <v>169</v>
      </c>
      <c r="B213" s="240" t="s">
        <v>53</v>
      </c>
      <c r="C213" s="829">
        <f>IF(U218&gt;0,(U213/U218),0)</f>
        <v>0</v>
      </c>
      <c r="D213" s="830">
        <f t="shared" ref="D213:S213" si="162">IF(V218&gt;0,(V213/V218),0)</f>
        <v>0.31358381502890176</v>
      </c>
      <c r="E213" s="830">
        <f t="shared" si="162"/>
        <v>0</v>
      </c>
      <c r="F213" s="830">
        <f t="shared" si="162"/>
        <v>0</v>
      </c>
      <c r="G213" s="830">
        <f t="shared" si="162"/>
        <v>0</v>
      </c>
      <c r="H213" s="830">
        <f t="shared" si="162"/>
        <v>0</v>
      </c>
      <c r="I213" s="829">
        <f t="shared" si="162"/>
        <v>0.31358381502890176</v>
      </c>
      <c r="J213" s="829">
        <f t="shared" si="162"/>
        <v>0</v>
      </c>
      <c r="K213" s="830">
        <f t="shared" si="162"/>
        <v>0</v>
      </c>
      <c r="L213" s="830">
        <f t="shared" si="162"/>
        <v>0</v>
      </c>
      <c r="M213" s="830">
        <f t="shared" si="162"/>
        <v>0.10429447852760736</v>
      </c>
      <c r="N213" s="830">
        <f t="shared" si="162"/>
        <v>0</v>
      </c>
      <c r="O213" s="829">
        <f t="shared" si="162"/>
        <v>5.9027777777777776E-2</v>
      </c>
      <c r="P213" s="829">
        <f t="shared" si="162"/>
        <v>0</v>
      </c>
      <c r="Q213" s="830">
        <f t="shared" si="162"/>
        <v>0</v>
      </c>
      <c r="R213" s="831">
        <f t="shared" si="162"/>
        <v>0</v>
      </c>
      <c r="S213" s="829">
        <f t="shared" si="162"/>
        <v>0</v>
      </c>
      <c r="T213" s="213"/>
      <c r="U213" s="858"/>
      <c r="V213" s="858">
        <v>217</v>
      </c>
      <c r="W213" s="858"/>
      <c r="X213" s="858"/>
      <c r="Y213" s="858"/>
      <c r="Z213" s="858"/>
      <c r="AA213" s="857">
        <v>217</v>
      </c>
      <c r="AB213" s="857"/>
      <c r="AC213" s="858"/>
      <c r="AD213" s="858"/>
      <c r="AE213" s="858">
        <v>34</v>
      </c>
      <c r="AF213" s="858"/>
      <c r="AG213" s="857">
        <v>34</v>
      </c>
      <c r="AH213" s="861">
        <f t="shared" ref="AH213:AK213" si="163">AH219+AH225+AH231+AH237+AH243+AH249+AH255+AH261+AH267+AH273+AH279+AH285+AH291</f>
        <v>0</v>
      </c>
      <c r="AI213" s="862">
        <f t="shared" si="163"/>
        <v>0</v>
      </c>
      <c r="AJ213" s="869">
        <f t="shared" si="163"/>
        <v>0</v>
      </c>
      <c r="AK213" s="861">
        <f t="shared" si="163"/>
        <v>0</v>
      </c>
      <c r="AL213" s="209"/>
      <c r="AM213" s="209"/>
    </row>
    <row r="214" spans="1:39" s="80" customFormat="1">
      <c r="A214" s="239"/>
      <c r="B214" s="239" t="s">
        <v>93</v>
      </c>
      <c r="C214" s="832">
        <f>IF(U218&gt;0,(U214/U218),0)</f>
        <v>0</v>
      </c>
      <c r="D214" s="830">
        <f t="shared" ref="D214:S214" si="164">IF(V218&gt;0,(V214/V218),0)</f>
        <v>0.25</v>
      </c>
      <c r="E214" s="830">
        <f t="shared" si="164"/>
        <v>0</v>
      </c>
      <c r="F214" s="830">
        <f t="shared" si="164"/>
        <v>0</v>
      </c>
      <c r="G214" s="830">
        <f t="shared" si="164"/>
        <v>0</v>
      </c>
      <c r="H214" s="830">
        <f t="shared" si="164"/>
        <v>0</v>
      </c>
      <c r="I214" s="832">
        <f t="shared" si="164"/>
        <v>0.25</v>
      </c>
      <c r="J214" s="832">
        <f t="shared" si="164"/>
        <v>0</v>
      </c>
      <c r="K214" s="830">
        <f t="shared" si="164"/>
        <v>0</v>
      </c>
      <c r="L214" s="830">
        <f t="shared" si="164"/>
        <v>0</v>
      </c>
      <c r="M214" s="830">
        <f t="shared" si="164"/>
        <v>0.1165644171779141</v>
      </c>
      <c r="N214" s="830">
        <f t="shared" si="164"/>
        <v>0</v>
      </c>
      <c r="O214" s="832">
        <f t="shared" si="164"/>
        <v>6.5972222222222224E-2</v>
      </c>
      <c r="P214" s="832">
        <f t="shared" si="164"/>
        <v>0</v>
      </c>
      <c r="Q214" s="830">
        <f t="shared" si="164"/>
        <v>0</v>
      </c>
      <c r="R214" s="833">
        <f t="shared" si="164"/>
        <v>0</v>
      </c>
      <c r="S214" s="832">
        <f t="shared" si="164"/>
        <v>0</v>
      </c>
      <c r="T214" s="213"/>
      <c r="U214" s="858"/>
      <c r="V214" s="858">
        <v>173</v>
      </c>
      <c r="W214" s="858"/>
      <c r="X214" s="858"/>
      <c r="Y214" s="858"/>
      <c r="Z214" s="858"/>
      <c r="AA214" s="859">
        <v>173</v>
      </c>
      <c r="AB214" s="859"/>
      <c r="AC214" s="858"/>
      <c r="AD214" s="858"/>
      <c r="AE214" s="858">
        <v>38</v>
      </c>
      <c r="AF214" s="858"/>
      <c r="AG214" s="859">
        <v>38</v>
      </c>
      <c r="AH214" s="863">
        <f t="shared" ref="AH214:AK214" si="165">AH220+AH226+AH232+AH238+AH244+AH250+AH256+AH262+AH268+AH274+AH280+AH286+AH292</f>
        <v>0</v>
      </c>
      <c r="AI214" s="862">
        <f t="shared" si="165"/>
        <v>0</v>
      </c>
      <c r="AJ214" s="870">
        <f t="shared" si="165"/>
        <v>0</v>
      </c>
      <c r="AK214" s="863">
        <f t="shared" si="165"/>
        <v>0</v>
      </c>
      <c r="AL214" s="209"/>
      <c r="AM214" s="209"/>
    </row>
    <row r="215" spans="1:39" s="80" customFormat="1">
      <c r="A215" s="239"/>
      <c r="B215" s="239" t="s">
        <v>55</v>
      </c>
      <c r="C215" s="832">
        <f>IF(U218&gt;0,(U215/U218),0)</f>
        <v>0</v>
      </c>
      <c r="D215" s="830">
        <f t="shared" ref="D215:S215" si="166">IF(V218&gt;0,(V215/V218),0)</f>
        <v>0.23410404624277456</v>
      </c>
      <c r="E215" s="830">
        <f t="shared" si="166"/>
        <v>0</v>
      </c>
      <c r="F215" s="830">
        <f t="shared" si="166"/>
        <v>0</v>
      </c>
      <c r="G215" s="830">
        <f t="shared" si="166"/>
        <v>0</v>
      </c>
      <c r="H215" s="830">
        <f t="shared" si="166"/>
        <v>0</v>
      </c>
      <c r="I215" s="832">
        <f t="shared" si="166"/>
        <v>0.23410404624277456</v>
      </c>
      <c r="J215" s="832">
        <f t="shared" si="166"/>
        <v>0</v>
      </c>
      <c r="K215" s="830">
        <f t="shared" si="166"/>
        <v>0</v>
      </c>
      <c r="L215" s="830">
        <f t="shared" si="166"/>
        <v>0</v>
      </c>
      <c r="M215" s="830">
        <f t="shared" si="166"/>
        <v>0.19325153374233128</v>
      </c>
      <c r="N215" s="830">
        <f t="shared" si="166"/>
        <v>0</v>
      </c>
      <c r="O215" s="832">
        <f t="shared" si="166"/>
        <v>0.109375</v>
      </c>
      <c r="P215" s="832">
        <f t="shared" si="166"/>
        <v>0</v>
      </c>
      <c r="Q215" s="830">
        <f t="shared" si="166"/>
        <v>0</v>
      </c>
      <c r="R215" s="833">
        <f t="shared" si="166"/>
        <v>0</v>
      </c>
      <c r="S215" s="832">
        <f t="shared" si="166"/>
        <v>0</v>
      </c>
      <c r="T215" s="213"/>
      <c r="U215" s="858"/>
      <c r="V215" s="858">
        <v>162</v>
      </c>
      <c r="W215" s="858"/>
      <c r="X215" s="858"/>
      <c r="Y215" s="858"/>
      <c r="Z215" s="858"/>
      <c r="AA215" s="859">
        <v>162</v>
      </c>
      <c r="AB215" s="859"/>
      <c r="AC215" s="858"/>
      <c r="AD215" s="858"/>
      <c r="AE215" s="858">
        <v>63</v>
      </c>
      <c r="AF215" s="858"/>
      <c r="AG215" s="859">
        <v>63</v>
      </c>
      <c r="AH215" s="863">
        <f t="shared" ref="AH215:AK215" si="167">AH221+AH227+AH233+AH239+AH245+AH251+AH257+AH263+AH269+AH275+AH281+AH287+AH293</f>
        <v>0</v>
      </c>
      <c r="AI215" s="862">
        <f t="shared" si="167"/>
        <v>0</v>
      </c>
      <c r="AJ215" s="870">
        <f t="shared" si="167"/>
        <v>0</v>
      </c>
      <c r="AK215" s="863">
        <f t="shared" si="167"/>
        <v>0</v>
      </c>
      <c r="AL215" s="209"/>
      <c r="AM215" s="209"/>
    </row>
    <row r="216" spans="1:39" s="80" customFormat="1">
      <c r="A216" s="239"/>
      <c r="B216" s="239" t="s">
        <v>78</v>
      </c>
      <c r="C216" s="832">
        <f>IF(U218&gt;0,(U216/U218),0)</f>
        <v>0</v>
      </c>
      <c r="D216" s="830">
        <f t="shared" ref="D216:S216" si="168">IF(V218&gt;0,(V216/V218),0)</f>
        <v>4.335260115606936E-3</v>
      </c>
      <c r="E216" s="830">
        <f t="shared" si="168"/>
        <v>0</v>
      </c>
      <c r="F216" s="830">
        <f t="shared" si="168"/>
        <v>0</v>
      </c>
      <c r="G216" s="830">
        <f t="shared" si="168"/>
        <v>0</v>
      </c>
      <c r="H216" s="830">
        <f t="shared" si="168"/>
        <v>0</v>
      </c>
      <c r="I216" s="832">
        <f t="shared" si="168"/>
        <v>4.335260115606936E-3</v>
      </c>
      <c r="J216" s="832">
        <f t="shared" si="168"/>
        <v>0</v>
      </c>
      <c r="K216" s="830">
        <f t="shared" si="168"/>
        <v>0</v>
      </c>
      <c r="L216" s="830">
        <f t="shared" si="168"/>
        <v>0</v>
      </c>
      <c r="M216" s="830">
        <f t="shared" si="168"/>
        <v>0.31901840490797545</v>
      </c>
      <c r="N216" s="830">
        <f t="shared" si="168"/>
        <v>0</v>
      </c>
      <c r="O216" s="832">
        <f t="shared" si="168"/>
        <v>0.18055555555555555</v>
      </c>
      <c r="P216" s="832">
        <f t="shared" si="168"/>
        <v>0</v>
      </c>
      <c r="Q216" s="830">
        <f t="shared" si="168"/>
        <v>0</v>
      </c>
      <c r="R216" s="833">
        <f t="shared" si="168"/>
        <v>0</v>
      </c>
      <c r="S216" s="832">
        <f t="shared" si="168"/>
        <v>0</v>
      </c>
      <c r="T216" s="213"/>
      <c r="U216" s="858"/>
      <c r="V216" s="858">
        <v>3</v>
      </c>
      <c r="W216" s="858"/>
      <c r="X216" s="858"/>
      <c r="Y216" s="858"/>
      <c r="Z216" s="858"/>
      <c r="AA216" s="859">
        <v>3</v>
      </c>
      <c r="AB216" s="859"/>
      <c r="AC216" s="858"/>
      <c r="AD216" s="858"/>
      <c r="AE216" s="858">
        <v>104</v>
      </c>
      <c r="AF216" s="858"/>
      <c r="AG216" s="859">
        <v>104</v>
      </c>
      <c r="AH216" s="863">
        <f t="shared" ref="AH216:AK216" si="169">AH222+AH228+AH234+AH240+AH246+AH252+AH258+AH264+AH270+AH276+AH282+AH288+AH294</f>
        <v>0</v>
      </c>
      <c r="AI216" s="862">
        <f t="shared" si="169"/>
        <v>0</v>
      </c>
      <c r="AJ216" s="870">
        <f t="shared" si="169"/>
        <v>0</v>
      </c>
      <c r="AK216" s="863">
        <f t="shared" si="169"/>
        <v>0</v>
      </c>
      <c r="AL216" s="209"/>
      <c r="AM216" s="209"/>
    </row>
    <row r="217" spans="1:39" s="80" customFormat="1">
      <c r="A217" s="580"/>
      <c r="B217" s="580" t="s">
        <v>131</v>
      </c>
      <c r="C217" s="832">
        <f>IF(U218&gt;0,(U217/U218),0)</f>
        <v>0</v>
      </c>
      <c r="D217" s="830">
        <f t="shared" ref="D217:S217" si="170">IF(V218&gt;0,(V217/V218),0)</f>
        <v>0.19797687861271676</v>
      </c>
      <c r="E217" s="830">
        <f t="shared" si="170"/>
        <v>0</v>
      </c>
      <c r="F217" s="830">
        <f t="shared" si="170"/>
        <v>0</v>
      </c>
      <c r="G217" s="830">
        <f t="shared" si="170"/>
        <v>0</v>
      </c>
      <c r="H217" s="830">
        <f t="shared" si="170"/>
        <v>0</v>
      </c>
      <c r="I217" s="832">
        <f t="shared" si="170"/>
        <v>0.19797687861271676</v>
      </c>
      <c r="J217" s="832">
        <f t="shared" si="170"/>
        <v>0</v>
      </c>
      <c r="K217" s="830">
        <f t="shared" si="170"/>
        <v>0</v>
      </c>
      <c r="L217" s="830">
        <f t="shared" si="170"/>
        <v>1</v>
      </c>
      <c r="M217" s="830">
        <f t="shared" si="170"/>
        <v>0.26687116564417179</v>
      </c>
      <c r="N217" s="830">
        <f t="shared" si="170"/>
        <v>0</v>
      </c>
      <c r="O217" s="832">
        <f t="shared" si="170"/>
        <v>0.58506944444444442</v>
      </c>
      <c r="P217" s="832">
        <f t="shared" si="170"/>
        <v>0</v>
      </c>
      <c r="Q217" s="830">
        <f t="shared" si="170"/>
        <v>0</v>
      </c>
      <c r="R217" s="833">
        <f t="shared" si="170"/>
        <v>0</v>
      </c>
      <c r="S217" s="832">
        <f t="shared" si="170"/>
        <v>0</v>
      </c>
      <c r="T217" s="213"/>
      <c r="U217" s="858"/>
      <c r="V217" s="858">
        <v>137</v>
      </c>
      <c r="W217" s="858"/>
      <c r="X217" s="858"/>
      <c r="Y217" s="858"/>
      <c r="Z217" s="858"/>
      <c r="AA217" s="859">
        <v>137</v>
      </c>
      <c r="AB217" s="859"/>
      <c r="AC217" s="858"/>
      <c r="AD217" s="858">
        <v>250</v>
      </c>
      <c r="AE217" s="858">
        <v>87</v>
      </c>
      <c r="AF217" s="858"/>
      <c r="AG217" s="859">
        <v>337</v>
      </c>
      <c r="AH217" s="863">
        <f t="shared" ref="AH217:AK217" si="171">AH223+AH229+AH235+AH241+AH247+AH253+AH259+AH265+AH271+AH277+AH283+AH289+AH295</f>
        <v>0</v>
      </c>
      <c r="AI217" s="862">
        <f t="shared" si="171"/>
        <v>0</v>
      </c>
      <c r="AJ217" s="870">
        <f t="shared" si="171"/>
        <v>0</v>
      </c>
      <c r="AK217" s="863">
        <f t="shared" si="171"/>
        <v>0</v>
      </c>
      <c r="AL217" s="209"/>
      <c r="AM217" s="209"/>
    </row>
    <row r="218" spans="1:39" s="80" customFormat="1">
      <c r="A218" s="436"/>
      <c r="B218" s="436" t="s">
        <v>59</v>
      </c>
      <c r="C218" s="834">
        <f>IF(U218&gt;0,(U218/U218),0)</f>
        <v>0</v>
      </c>
      <c r="D218" s="835">
        <f t="shared" ref="D218:S218" si="172">IF(V218&gt;0,(V218/V218),0)</f>
        <v>1</v>
      </c>
      <c r="E218" s="835">
        <f t="shared" si="172"/>
        <v>0</v>
      </c>
      <c r="F218" s="835">
        <f t="shared" si="172"/>
        <v>0</v>
      </c>
      <c r="G218" s="835">
        <f t="shared" si="172"/>
        <v>0</v>
      </c>
      <c r="H218" s="835">
        <f t="shared" si="172"/>
        <v>0</v>
      </c>
      <c r="I218" s="834">
        <f t="shared" si="172"/>
        <v>1</v>
      </c>
      <c r="J218" s="834">
        <f t="shared" si="172"/>
        <v>0</v>
      </c>
      <c r="K218" s="835">
        <f t="shared" si="172"/>
        <v>0</v>
      </c>
      <c r="L218" s="835">
        <f t="shared" si="172"/>
        <v>1</v>
      </c>
      <c r="M218" s="835">
        <f t="shared" si="172"/>
        <v>1</v>
      </c>
      <c r="N218" s="835">
        <f t="shared" si="172"/>
        <v>0</v>
      </c>
      <c r="O218" s="834">
        <f t="shared" si="172"/>
        <v>1</v>
      </c>
      <c r="P218" s="834">
        <f t="shared" si="172"/>
        <v>0</v>
      </c>
      <c r="Q218" s="835">
        <f t="shared" si="172"/>
        <v>0</v>
      </c>
      <c r="R218" s="836">
        <f t="shared" si="172"/>
        <v>0</v>
      </c>
      <c r="S218" s="834">
        <f t="shared" si="172"/>
        <v>0</v>
      </c>
      <c r="T218" s="213"/>
      <c r="U218" s="871"/>
      <c r="V218" s="871">
        <v>692</v>
      </c>
      <c r="W218" s="871"/>
      <c r="X218" s="871"/>
      <c r="Y218" s="871"/>
      <c r="Z218" s="871"/>
      <c r="AA218" s="864">
        <v>692</v>
      </c>
      <c r="AB218" s="864"/>
      <c r="AC218" s="871"/>
      <c r="AD218" s="871">
        <v>250</v>
      </c>
      <c r="AE218" s="871">
        <v>326</v>
      </c>
      <c r="AF218" s="871"/>
      <c r="AG218" s="864">
        <v>576</v>
      </c>
      <c r="AH218" s="872">
        <f t="shared" ref="AH218:AK218" si="173">AH224+AH230+AH236+AH242+AH248+AH254+AH260+AH266+AH272+AH278+AH284+AH290+AH296</f>
        <v>0</v>
      </c>
      <c r="AI218" s="873">
        <f t="shared" si="173"/>
        <v>0</v>
      </c>
      <c r="AJ218" s="874">
        <f t="shared" si="173"/>
        <v>0</v>
      </c>
      <c r="AK218" s="872">
        <f t="shared" si="173"/>
        <v>0</v>
      </c>
      <c r="AL218" s="209"/>
      <c r="AM218" s="209"/>
    </row>
    <row r="219" spans="1:39" s="80" customFormat="1">
      <c r="A219" s="240" t="s">
        <v>172</v>
      </c>
      <c r="B219" s="240" t="s">
        <v>53</v>
      </c>
      <c r="C219" s="829">
        <f>IF(U224&gt;0,(U219/U224),0)</f>
        <v>0.34616361788617889</v>
      </c>
      <c r="D219" s="830">
        <f t="shared" ref="D219:S219" si="174">IF(V224&gt;0,(V219/V224),0)</f>
        <v>0.26022232962783953</v>
      </c>
      <c r="E219" s="830">
        <f t="shared" si="174"/>
        <v>0.28229987207971452</v>
      </c>
      <c r="F219" s="830">
        <f t="shared" si="174"/>
        <v>0.28150818687096291</v>
      </c>
      <c r="G219" s="830">
        <f t="shared" si="174"/>
        <v>0.30424638357442835</v>
      </c>
      <c r="H219" s="830">
        <f t="shared" si="174"/>
        <v>0.23044217687074831</v>
      </c>
      <c r="I219" s="829">
        <f t="shared" si="174"/>
        <v>0.30739408591055162</v>
      </c>
      <c r="J219" s="829">
        <f t="shared" si="174"/>
        <v>0</v>
      </c>
      <c r="K219" s="830">
        <f t="shared" si="174"/>
        <v>0.14042638374537084</v>
      </c>
      <c r="L219" s="830">
        <f t="shared" si="174"/>
        <v>9.6267803305956967E-2</v>
      </c>
      <c r="M219" s="830">
        <f t="shared" si="174"/>
        <v>0.10385992837246319</v>
      </c>
      <c r="N219" s="830">
        <f t="shared" si="174"/>
        <v>0</v>
      </c>
      <c r="O219" s="829">
        <f t="shared" si="174"/>
        <v>0.12700925474914759</v>
      </c>
      <c r="P219" s="829">
        <f t="shared" si="174"/>
        <v>0</v>
      </c>
      <c r="Q219" s="830">
        <f t="shared" si="174"/>
        <v>0</v>
      </c>
      <c r="R219" s="831">
        <f t="shared" si="174"/>
        <v>0</v>
      </c>
      <c r="S219" s="829">
        <f t="shared" si="174"/>
        <v>0</v>
      </c>
      <c r="T219" s="213"/>
      <c r="U219" s="862">
        <f>U225+U231+U237+U243+U249+U255+U261+U267+U273+U279+U285+U291</f>
        <v>10900</v>
      </c>
      <c r="V219" s="862">
        <f t="shared" ref="V219:AK224" si="175">V225+V231+V237+V243+V249+V255+V261+V267+V273+V279+V285+V291</f>
        <v>2692</v>
      </c>
      <c r="W219" s="862">
        <f t="shared" si="175"/>
        <v>4193</v>
      </c>
      <c r="X219" s="862">
        <f t="shared" si="175"/>
        <v>1874</v>
      </c>
      <c r="Y219" s="862">
        <f t="shared" si="175"/>
        <v>652</v>
      </c>
      <c r="Z219" s="862">
        <f t="shared" si="175"/>
        <v>542</v>
      </c>
      <c r="AA219" s="861">
        <f t="shared" si="175"/>
        <v>20853</v>
      </c>
      <c r="AB219" s="861">
        <f t="shared" si="175"/>
        <v>415</v>
      </c>
      <c r="AC219" s="862">
        <f t="shared" si="175"/>
        <v>1403</v>
      </c>
      <c r="AD219" s="862">
        <f t="shared" si="175"/>
        <v>926</v>
      </c>
      <c r="AE219" s="862">
        <f t="shared" si="175"/>
        <v>522</v>
      </c>
      <c r="AF219" s="862">
        <f t="shared" si="175"/>
        <v>0</v>
      </c>
      <c r="AG219" s="861">
        <f t="shared" si="175"/>
        <v>3129</v>
      </c>
      <c r="AH219" s="861">
        <f t="shared" si="175"/>
        <v>0</v>
      </c>
      <c r="AI219" s="862">
        <f t="shared" si="175"/>
        <v>0</v>
      </c>
      <c r="AJ219" s="869">
        <f t="shared" si="175"/>
        <v>0</v>
      </c>
      <c r="AK219" s="861">
        <f t="shared" si="175"/>
        <v>0</v>
      </c>
      <c r="AL219" s="209"/>
      <c r="AM219" s="209"/>
    </row>
    <row r="220" spans="1:39" s="80" customFormat="1">
      <c r="A220" s="239"/>
      <c r="B220" s="239" t="s">
        <v>93</v>
      </c>
      <c r="C220" s="832">
        <f>IF(U224&gt;0,(U220/U224),0)</f>
        <v>0.26603785569105692</v>
      </c>
      <c r="D220" s="830">
        <f t="shared" ref="D220:S220" si="176">IF(V224&gt;0,(V220/V224),0)</f>
        <v>0.30410826486225229</v>
      </c>
      <c r="E220" s="830">
        <f t="shared" si="176"/>
        <v>0.26344846159025115</v>
      </c>
      <c r="F220" s="830">
        <f t="shared" si="176"/>
        <v>0.26483400931350459</v>
      </c>
      <c r="G220" s="830">
        <f t="shared" si="176"/>
        <v>0.26691553896406905</v>
      </c>
      <c r="H220" s="830">
        <f t="shared" si="176"/>
        <v>0.27465986394557823</v>
      </c>
      <c r="I220" s="832">
        <f t="shared" si="176"/>
        <v>0.27148500840237033</v>
      </c>
      <c r="J220" s="832">
        <f t="shared" si="176"/>
        <v>0</v>
      </c>
      <c r="K220" s="830">
        <f t="shared" si="176"/>
        <v>0.10099089180262236</v>
      </c>
      <c r="L220" s="830">
        <f t="shared" si="176"/>
        <v>9.4916311466888448E-2</v>
      </c>
      <c r="M220" s="830">
        <f t="shared" si="176"/>
        <v>0.10226820533227218</v>
      </c>
      <c r="N220" s="830">
        <f t="shared" si="176"/>
        <v>0</v>
      </c>
      <c r="O220" s="832">
        <f t="shared" si="176"/>
        <v>0.10062510147751258</v>
      </c>
      <c r="P220" s="832">
        <f t="shared" si="176"/>
        <v>0</v>
      </c>
      <c r="Q220" s="830">
        <f t="shared" si="176"/>
        <v>0</v>
      </c>
      <c r="R220" s="833">
        <f t="shared" si="176"/>
        <v>0</v>
      </c>
      <c r="S220" s="832">
        <f t="shared" si="176"/>
        <v>0</v>
      </c>
      <c r="T220" s="213"/>
      <c r="U220" s="862">
        <f t="shared" ref="U220:AJ224" si="177">U226+U232+U238+U244+U250+U256+U262+U268+U274+U280+U286+U292</f>
        <v>8377</v>
      </c>
      <c r="V220" s="862">
        <f t="shared" si="177"/>
        <v>3146</v>
      </c>
      <c r="W220" s="862">
        <f t="shared" si="177"/>
        <v>3913</v>
      </c>
      <c r="X220" s="862">
        <f t="shared" si="177"/>
        <v>1763</v>
      </c>
      <c r="Y220" s="862">
        <f t="shared" si="177"/>
        <v>572</v>
      </c>
      <c r="Z220" s="862">
        <f t="shared" si="177"/>
        <v>646</v>
      </c>
      <c r="AA220" s="863">
        <f t="shared" si="177"/>
        <v>18417</v>
      </c>
      <c r="AB220" s="863">
        <f t="shared" si="177"/>
        <v>328</v>
      </c>
      <c r="AC220" s="862">
        <f t="shared" si="177"/>
        <v>1009</v>
      </c>
      <c r="AD220" s="862">
        <f t="shared" si="177"/>
        <v>913</v>
      </c>
      <c r="AE220" s="862">
        <f t="shared" si="177"/>
        <v>514</v>
      </c>
      <c r="AF220" s="862">
        <f t="shared" si="177"/>
        <v>0</v>
      </c>
      <c r="AG220" s="863">
        <f t="shared" si="177"/>
        <v>2479</v>
      </c>
      <c r="AH220" s="863">
        <f t="shared" si="177"/>
        <v>0</v>
      </c>
      <c r="AI220" s="862">
        <f t="shared" si="177"/>
        <v>0</v>
      </c>
      <c r="AJ220" s="870">
        <f t="shared" si="177"/>
        <v>0</v>
      </c>
      <c r="AK220" s="863">
        <f t="shared" si="175"/>
        <v>0</v>
      </c>
      <c r="AL220" s="209"/>
      <c r="AM220" s="209"/>
    </row>
    <row r="221" spans="1:39" s="80" customFormat="1">
      <c r="A221" s="239"/>
      <c r="B221" s="239" t="s">
        <v>55</v>
      </c>
      <c r="C221" s="832">
        <f>IF(U224&gt;0,(U221/U224),0)</f>
        <v>0.25454141260162599</v>
      </c>
      <c r="D221" s="830">
        <f t="shared" ref="D221:S221" si="178">IF(V224&gt;0,(V221/V224),0)</f>
        <v>0.26766553890768485</v>
      </c>
      <c r="E221" s="830">
        <f t="shared" si="178"/>
        <v>0.273816737359456</v>
      </c>
      <c r="F221" s="830">
        <f t="shared" si="178"/>
        <v>0.26768814781433076</v>
      </c>
      <c r="G221" s="830">
        <f t="shared" si="178"/>
        <v>0.28371441903873074</v>
      </c>
      <c r="H221" s="830">
        <f t="shared" si="178"/>
        <v>0.30782312925170069</v>
      </c>
      <c r="I221" s="832">
        <f t="shared" si="178"/>
        <v>0.26482207612252717</v>
      </c>
      <c r="J221" s="832">
        <f t="shared" si="178"/>
        <v>0</v>
      </c>
      <c r="K221" s="830">
        <f t="shared" si="178"/>
        <v>0.11480332299069163</v>
      </c>
      <c r="L221" s="830">
        <f t="shared" si="178"/>
        <v>0.12028277367709742</v>
      </c>
      <c r="M221" s="830">
        <f t="shared" si="178"/>
        <v>0.11082371667329885</v>
      </c>
      <c r="N221" s="830">
        <f t="shared" si="178"/>
        <v>0</v>
      </c>
      <c r="O221" s="832">
        <f t="shared" si="178"/>
        <v>0.11994641987335607</v>
      </c>
      <c r="P221" s="832">
        <f t="shared" si="178"/>
        <v>0</v>
      </c>
      <c r="Q221" s="830">
        <f t="shared" si="178"/>
        <v>0</v>
      </c>
      <c r="R221" s="833">
        <f t="shared" si="178"/>
        <v>0</v>
      </c>
      <c r="S221" s="832">
        <f t="shared" si="178"/>
        <v>0</v>
      </c>
      <c r="T221" s="213"/>
      <c r="U221" s="862">
        <f t="shared" si="177"/>
        <v>8015</v>
      </c>
      <c r="V221" s="862">
        <f t="shared" si="175"/>
        <v>2769</v>
      </c>
      <c r="W221" s="862">
        <f t="shared" si="175"/>
        <v>4067</v>
      </c>
      <c r="X221" s="862">
        <f t="shared" si="175"/>
        <v>1782</v>
      </c>
      <c r="Y221" s="862">
        <f t="shared" si="175"/>
        <v>608</v>
      </c>
      <c r="Z221" s="862">
        <f t="shared" si="175"/>
        <v>724</v>
      </c>
      <c r="AA221" s="863">
        <f t="shared" si="175"/>
        <v>17965</v>
      </c>
      <c r="AB221" s="863">
        <f t="shared" si="175"/>
        <v>443</v>
      </c>
      <c r="AC221" s="862">
        <f t="shared" si="175"/>
        <v>1147</v>
      </c>
      <c r="AD221" s="862">
        <f t="shared" si="175"/>
        <v>1157</v>
      </c>
      <c r="AE221" s="862">
        <f t="shared" si="175"/>
        <v>557</v>
      </c>
      <c r="AF221" s="862">
        <f t="shared" si="175"/>
        <v>0</v>
      </c>
      <c r="AG221" s="863">
        <f t="shared" si="175"/>
        <v>2955</v>
      </c>
      <c r="AH221" s="863">
        <f t="shared" si="175"/>
        <v>0</v>
      </c>
      <c r="AI221" s="862">
        <f t="shared" si="175"/>
        <v>0</v>
      </c>
      <c r="AJ221" s="870">
        <f t="shared" si="175"/>
        <v>0</v>
      </c>
      <c r="AK221" s="863">
        <f t="shared" si="175"/>
        <v>0</v>
      </c>
      <c r="AL221" s="209"/>
      <c r="AM221" s="209"/>
    </row>
    <row r="222" spans="1:39" s="80" customFormat="1">
      <c r="A222" s="239"/>
      <c r="B222" s="239" t="s">
        <v>78</v>
      </c>
      <c r="C222" s="832">
        <f>IF(U224&gt;0,(U222/U224),0)</f>
        <v>3.125E-2</v>
      </c>
      <c r="D222" s="830">
        <f t="shared" ref="D222:S222" si="179">IF(V224&gt;0,(V222/V224),0)</f>
        <v>9.4441759304011594E-2</v>
      </c>
      <c r="E222" s="830">
        <f t="shared" si="179"/>
        <v>0.12293812697771495</v>
      </c>
      <c r="F222" s="830">
        <f t="shared" si="179"/>
        <v>5.8584948174853539E-2</v>
      </c>
      <c r="G222" s="830">
        <f t="shared" si="179"/>
        <v>7.0928604759682684E-2</v>
      </c>
      <c r="H222" s="830">
        <f t="shared" si="179"/>
        <v>0.11437074829931973</v>
      </c>
      <c r="I222" s="832">
        <f t="shared" si="179"/>
        <v>6.7779120846723079E-2</v>
      </c>
      <c r="J222" s="832">
        <f t="shared" si="179"/>
        <v>0</v>
      </c>
      <c r="K222" s="830">
        <f t="shared" si="179"/>
        <v>0.27965168651786609</v>
      </c>
      <c r="L222" s="830">
        <f t="shared" si="179"/>
        <v>0.3740513566898846</v>
      </c>
      <c r="M222" s="830">
        <f t="shared" si="179"/>
        <v>0.39056904098686829</v>
      </c>
      <c r="N222" s="830">
        <f t="shared" si="179"/>
        <v>0</v>
      </c>
      <c r="O222" s="832">
        <f t="shared" si="179"/>
        <v>0.3410456242896574</v>
      </c>
      <c r="P222" s="832">
        <f t="shared" si="179"/>
        <v>0</v>
      </c>
      <c r="Q222" s="830">
        <f t="shared" si="179"/>
        <v>0</v>
      </c>
      <c r="R222" s="833">
        <f t="shared" si="179"/>
        <v>0</v>
      </c>
      <c r="S222" s="832">
        <f t="shared" si="179"/>
        <v>0</v>
      </c>
      <c r="T222" s="213"/>
      <c r="U222" s="862">
        <f t="shared" si="177"/>
        <v>984</v>
      </c>
      <c r="V222" s="862">
        <f t="shared" si="175"/>
        <v>977</v>
      </c>
      <c r="W222" s="862">
        <f t="shared" si="175"/>
        <v>1826</v>
      </c>
      <c r="X222" s="862">
        <f t="shared" si="175"/>
        <v>390</v>
      </c>
      <c r="Y222" s="862">
        <f t="shared" si="175"/>
        <v>152</v>
      </c>
      <c r="Z222" s="862">
        <f t="shared" si="175"/>
        <v>269</v>
      </c>
      <c r="AA222" s="863">
        <f t="shared" si="175"/>
        <v>4598</v>
      </c>
      <c r="AB222" s="863">
        <f t="shared" si="175"/>
        <v>224</v>
      </c>
      <c r="AC222" s="862">
        <f t="shared" si="175"/>
        <v>2794</v>
      </c>
      <c r="AD222" s="862">
        <f t="shared" si="175"/>
        <v>3598</v>
      </c>
      <c r="AE222" s="862">
        <f t="shared" si="175"/>
        <v>1963</v>
      </c>
      <c r="AF222" s="862">
        <f t="shared" si="175"/>
        <v>0</v>
      </c>
      <c r="AG222" s="863">
        <f t="shared" si="175"/>
        <v>8402</v>
      </c>
      <c r="AH222" s="863">
        <f t="shared" si="175"/>
        <v>0</v>
      </c>
      <c r="AI222" s="862">
        <f t="shared" si="175"/>
        <v>0</v>
      </c>
      <c r="AJ222" s="870">
        <f t="shared" si="175"/>
        <v>0</v>
      </c>
      <c r="AK222" s="863">
        <f t="shared" si="175"/>
        <v>0</v>
      </c>
      <c r="AL222" s="209"/>
      <c r="AM222" s="209"/>
    </row>
    <row r="223" spans="1:39" s="80" customFormat="1">
      <c r="A223" s="580"/>
      <c r="B223" s="580" t="s">
        <v>131</v>
      </c>
      <c r="C223" s="832">
        <f>IF(U224&gt;0,(U223/U224),0)</f>
        <v>0.10200711382113821</v>
      </c>
      <c r="D223" s="830">
        <f t="shared" ref="D223:S223" si="180">IF(V224&gt;0,(V223/V224),0)</f>
        <v>7.3562107298211693E-2</v>
      </c>
      <c r="E223" s="830">
        <f t="shared" si="180"/>
        <v>5.7496801992863396E-2</v>
      </c>
      <c r="F223" s="830">
        <f t="shared" si="180"/>
        <v>0.1273847078263482</v>
      </c>
      <c r="G223" s="830">
        <f t="shared" si="180"/>
        <v>7.4195053663089122E-2</v>
      </c>
      <c r="H223" s="830">
        <f t="shared" si="180"/>
        <v>7.2704081632653059E-2</v>
      </c>
      <c r="I223" s="832">
        <f t="shared" si="180"/>
        <v>8.8519708717827772E-2</v>
      </c>
      <c r="J223" s="832">
        <f t="shared" si="180"/>
        <v>0</v>
      </c>
      <c r="K223" s="830">
        <f t="shared" si="180"/>
        <v>0.28025222700430386</v>
      </c>
      <c r="L223" s="830">
        <f t="shared" si="180"/>
        <v>0.35045222996153447</v>
      </c>
      <c r="M223" s="830">
        <f t="shared" si="180"/>
        <v>0.2966573816155989</v>
      </c>
      <c r="N223" s="830">
        <f t="shared" si="180"/>
        <v>0</v>
      </c>
      <c r="O223" s="832">
        <f t="shared" si="180"/>
        <v>0.31100828056502677</v>
      </c>
      <c r="P223" s="832">
        <f t="shared" si="180"/>
        <v>0</v>
      </c>
      <c r="Q223" s="830">
        <f t="shared" si="180"/>
        <v>0</v>
      </c>
      <c r="R223" s="833">
        <f t="shared" si="180"/>
        <v>0</v>
      </c>
      <c r="S223" s="832">
        <f t="shared" si="180"/>
        <v>0</v>
      </c>
      <c r="T223" s="213"/>
      <c r="U223" s="862">
        <f t="shared" si="177"/>
        <v>3212</v>
      </c>
      <c r="V223" s="862">
        <f t="shared" si="175"/>
        <v>761</v>
      </c>
      <c r="W223" s="862">
        <f t="shared" si="175"/>
        <v>854</v>
      </c>
      <c r="X223" s="862">
        <f t="shared" si="175"/>
        <v>848</v>
      </c>
      <c r="Y223" s="862">
        <f t="shared" si="175"/>
        <v>159</v>
      </c>
      <c r="Z223" s="862">
        <f t="shared" si="175"/>
        <v>171</v>
      </c>
      <c r="AA223" s="863">
        <f t="shared" si="175"/>
        <v>6005</v>
      </c>
      <c r="AB223" s="863">
        <f t="shared" si="175"/>
        <v>0</v>
      </c>
      <c r="AC223" s="862">
        <f t="shared" si="175"/>
        <v>2800</v>
      </c>
      <c r="AD223" s="862">
        <f t="shared" si="175"/>
        <v>3371</v>
      </c>
      <c r="AE223" s="862">
        <f t="shared" si="175"/>
        <v>1491</v>
      </c>
      <c r="AF223" s="862">
        <f t="shared" si="175"/>
        <v>0</v>
      </c>
      <c r="AG223" s="863">
        <f t="shared" si="175"/>
        <v>7662</v>
      </c>
      <c r="AH223" s="863">
        <f t="shared" si="175"/>
        <v>0</v>
      </c>
      <c r="AI223" s="862">
        <f t="shared" si="175"/>
        <v>0</v>
      </c>
      <c r="AJ223" s="870">
        <f t="shared" si="175"/>
        <v>0</v>
      </c>
      <c r="AK223" s="863">
        <f t="shared" si="175"/>
        <v>0</v>
      </c>
      <c r="AL223" s="209"/>
      <c r="AM223" s="209"/>
    </row>
    <row r="224" spans="1:39" s="80" customFormat="1">
      <c r="A224" s="436" t="s">
        <v>86</v>
      </c>
      <c r="B224" s="436" t="s">
        <v>59</v>
      </c>
      <c r="C224" s="834">
        <f>IF(U224&gt;0,(U224/U224),0)</f>
        <v>1</v>
      </c>
      <c r="D224" s="835">
        <f t="shared" ref="D224:S224" si="181">IF(V224&gt;0,(V224/V224),0)</f>
        <v>1</v>
      </c>
      <c r="E224" s="835">
        <f t="shared" si="181"/>
        <v>1</v>
      </c>
      <c r="F224" s="835">
        <f t="shared" si="181"/>
        <v>1</v>
      </c>
      <c r="G224" s="835">
        <f t="shared" si="181"/>
        <v>1</v>
      </c>
      <c r="H224" s="835">
        <f t="shared" si="181"/>
        <v>1</v>
      </c>
      <c r="I224" s="834">
        <f t="shared" si="181"/>
        <v>1</v>
      </c>
      <c r="J224" s="834">
        <f t="shared" si="181"/>
        <v>0</v>
      </c>
      <c r="K224" s="835">
        <f t="shared" si="181"/>
        <v>1</v>
      </c>
      <c r="L224" s="835">
        <f t="shared" si="181"/>
        <v>1</v>
      </c>
      <c r="M224" s="835">
        <f t="shared" si="181"/>
        <v>1</v>
      </c>
      <c r="N224" s="835">
        <f t="shared" si="181"/>
        <v>0</v>
      </c>
      <c r="O224" s="834">
        <f t="shared" si="181"/>
        <v>1</v>
      </c>
      <c r="P224" s="834">
        <f t="shared" si="181"/>
        <v>0</v>
      </c>
      <c r="Q224" s="835">
        <f t="shared" si="181"/>
        <v>0</v>
      </c>
      <c r="R224" s="836">
        <f t="shared" si="181"/>
        <v>0</v>
      </c>
      <c r="S224" s="834">
        <f t="shared" si="181"/>
        <v>0</v>
      </c>
      <c r="T224" s="213"/>
      <c r="U224" s="873">
        <f t="shared" si="177"/>
        <v>31488</v>
      </c>
      <c r="V224" s="873">
        <f t="shared" si="175"/>
        <v>10345</v>
      </c>
      <c r="W224" s="873">
        <f t="shared" si="175"/>
        <v>14853</v>
      </c>
      <c r="X224" s="873">
        <f t="shared" si="175"/>
        <v>6657</v>
      </c>
      <c r="Y224" s="873">
        <f t="shared" si="175"/>
        <v>2143</v>
      </c>
      <c r="Z224" s="873">
        <f t="shared" si="175"/>
        <v>2352</v>
      </c>
      <c r="AA224" s="872">
        <f t="shared" si="175"/>
        <v>67838</v>
      </c>
      <c r="AB224" s="872">
        <f t="shared" si="175"/>
        <v>0</v>
      </c>
      <c r="AC224" s="873">
        <f t="shared" si="175"/>
        <v>9991</v>
      </c>
      <c r="AD224" s="873">
        <f t="shared" si="175"/>
        <v>9619</v>
      </c>
      <c r="AE224" s="873">
        <f t="shared" si="175"/>
        <v>5026</v>
      </c>
      <c r="AF224" s="873">
        <f t="shared" si="175"/>
        <v>0</v>
      </c>
      <c r="AG224" s="872">
        <f t="shared" si="175"/>
        <v>24636</v>
      </c>
      <c r="AH224" s="872">
        <f t="shared" si="175"/>
        <v>0</v>
      </c>
      <c r="AI224" s="873">
        <f t="shared" si="175"/>
        <v>0</v>
      </c>
      <c r="AJ224" s="874">
        <f t="shared" si="175"/>
        <v>0</v>
      </c>
      <c r="AK224" s="872">
        <f t="shared" si="175"/>
        <v>0</v>
      </c>
      <c r="AL224" s="209"/>
      <c r="AM224" s="209"/>
    </row>
    <row r="225" spans="1:39" s="80" customFormat="1">
      <c r="A225" s="240" t="s">
        <v>144</v>
      </c>
      <c r="B225" s="240" t="s">
        <v>53</v>
      </c>
      <c r="C225" s="829">
        <f>IF(U230&gt;0,(U225/U230),0)</f>
        <v>0.31516970676518125</v>
      </c>
      <c r="D225" s="830">
        <f t="shared" ref="D225:S225" si="182">IF(V230&gt;0,(V225/V230),0)</f>
        <v>0.23458149779735682</v>
      </c>
      <c r="E225" s="830">
        <f t="shared" si="182"/>
        <v>0.25105485232067509</v>
      </c>
      <c r="F225" s="830">
        <f t="shared" si="182"/>
        <v>0</v>
      </c>
      <c r="G225" s="830">
        <f t="shared" si="182"/>
        <v>0</v>
      </c>
      <c r="H225" s="830">
        <f t="shared" si="182"/>
        <v>0</v>
      </c>
      <c r="I225" s="829">
        <f t="shared" si="182"/>
        <v>0.28014616321559072</v>
      </c>
      <c r="J225" s="829">
        <f t="shared" si="182"/>
        <v>0</v>
      </c>
      <c r="K225" s="830">
        <f t="shared" si="182"/>
        <v>0.21074043938161108</v>
      </c>
      <c r="L225" s="830">
        <f t="shared" si="182"/>
        <v>0.20243161094224923</v>
      </c>
      <c r="M225" s="830">
        <f t="shared" si="182"/>
        <v>0.28401360544217685</v>
      </c>
      <c r="N225" s="830">
        <f t="shared" si="182"/>
        <v>0</v>
      </c>
      <c r="O225" s="829">
        <f t="shared" si="182"/>
        <v>0.21701129823065443</v>
      </c>
      <c r="P225" s="829">
        <f t="shared" si="182"/>
        <v>0</v>
      </c>
      <c r="Q225" s="830">
        <f t="shared" si="182"/>
        <v>0</v>
      </c>
      <c r="R225" s="831">
        <f t="shared" si="182"/>
        <v>0</v>
      </c>
      <c r="S225" s="829">
        <f t="shared" si="182"/>
        <v>0</v>
      </c>
      <c r="T225" s="213"/>
      <c r="U225" s="858">
        <v>1365</v>
      </c>
      <c r="V225" s="858">
        <v>213</v>
      </c>
      <c r="W225" s="858">
        <v>952</v>
      </c>
      <c r="X225" s="858"/>
      <c r="Y225" s="858"/>
      <c r="Z225" s="858"/>
      <c r="AA225" s="857">
        <v>2530</v>
      </c>
      <c r="AB225" s="857"/>
      <c r="AC225" s="858">
        <v>518</v>
      </c>
      <c r="AD225" s="858">
        <v>333</v>
      </c>
      <c r="AE225" s="858">
        <v>167</v>
      </c>
      <c r="AF225" s="858"/>
      <c r="AG225" s="857">
        <v>1018</v>
      </c>
      <c r="AH225" s="861">
        <f t="shared" ref="AH225:AK225" si="183">AH231+AH237+AH243+AH249+AH255+AH261+AH267+AH273+AH279+AH285+AH291+AH297+AH303</f>
        <v>0</v>
      </c>
      <c r="AI225" s="862">
        <f t="shared" si="183"/>
        <v>0</v>
      </c>
      <c r="AJ225" s="869">
        <f t="shared" si="183"/>
        <v>0</v>
      </c>
      <c r="AK225" s="861">
        <f t="shared" si="183"/>
        <v>0</v>
      </c>
      <c r="AL225" s="209"/>
      <c r="AM225" s="209"/>
    </row>
    <row r="226" spans="1:39" s="80" customFormat="1">
      <c r="A226" s="239"/>
      <c r="B226" s="239" t="s">
        <v>93</v>
      </c>
      <c r="C226" s="832">
        <f>IF(U230&gt;0,(U226/U230),0)</f>
        <v>0.26391133687370122</v>
      </c>
      <c r="D226" s="830">
        <f t="shared" ref="D226:S226" si="184">IF(V230&gt;0,(V226/V230),0)</f>
        <v>0.35022026431718062</v>
      </c>
      <c r="E226" s="830">
        <f t="shared" si="184"/>
        <v>0.25922995780590719</v>
      </c>
      <c r="F226" s="830">
        <f t="shared" si="184"/>
        <v>0</v>
      </c>
      <c r="G226" s="830">
        <f t="shared" si="184"/>
        <v>0</v>
      </c>
      <c r="H226" s="830">
        <f t="shared" si="184"/>
        <v>0</v>
      </c>
      <c r="I226" s="832">
        <f t="shared" si="184"/>
        <v>0.27062340826043629</v>
      </c>
      <c r="J226" s="832">
        <f t="shared" si="184"/>
        <v>0</v>
      </c>
      <c r="K226" s="830">
        <f t="shared" si="184"/>
        <v>0.1822620016273393</v>
      </c>
      <c r="L226" s="830">
        <f t="shared" si="184"/>
        <v>0.12340425531914893</v>
      </c>
      <c r="M226" s="830">
        <f t="shared" si="184"/>
        <v>5.1020408163265307E-2</v>
      </c>
      <c r="N226" s="830">
        <f t="shared" si="184"/>
        <v>0</v>
      </c>
      <c r="O226" s="832">
        <f t="shared" si="184"/>
        <v>0.14517160520144959</v>
      </c>
      <c r="P226" s="832">
        <f t="shared" si="184"/>
        <v>0</v>
      </c>
      <c r="Q226" s="830">
        <f t="shared" si="184"/>
        <v>0</v>
      </c>
      <c r="R226" s="833">
        <f t="shared" si="184"/>
        <v>0</v>
      </c>
      <c r="S226" s="832">
        <f t="shared" si="184"/>
        <v>0</v>
      </c>
      <c r="T226" s="213"/>
      <c r="U226" s="858">
        <v>1143</v>
      </c>
      <c r="V226" s="858">
        <v>318</v>
      </c>
      <c r="W226" s="858">
        <v>983</v>
      </c>
      <c r="X226" s="858"/>
      <c r="Y226" s="858"/>
      <c r="Z226" s="858"/>
      <c r="AA226" s="859">
        <v>2444</v>
      </c>
      <c r="AB226" s="859"/>
      <c r="AC226" s="858">
        <v>448</v>
      </c>
      <c r="AD226" s="858">
        <v>203</v>
      </c>
      <c r="AE226" s="858">
        <v>30</v>
      </c>
      <c r="AF226" s="858"/>
      <c r="AG226" s="859">
        <v>681</v>
      </c>
      <c r="AH226" s="863">
        <f t="shared" ref="AH226:AK226" si="185">AH232+AH238+AH244+AH250+AH256+AH262+AH268+AH274+AH280+AH286+AH292+AH298+AH304</f>
        <v>0</v>
      </c>
      <c r="AI226" s="862">
        <f t="shared" si="185"/>
        <v>0</v>
      </c>
      <c r="AJ226" s="870">
        <f t="shared" si="185"/>
        <v>0</v>
      </c>
      <c r="AK226" s="863">
        <f t="shared" si="185"/>
        <v>0</v>
      </c>
      <c r="AL226" s="209"/>
      <c r="AM226" s="209"/>
    </row>
    <row r="227" spans="1:39" s="80" customFormat="1">
      <c r="A227" s="239"/>
      <c r="B227" s="239" t="s">
        <v>55</v>
      </c>
      <c r="C227" s="832">
        <f>IF(U230&gt;0,(U227/U230),0)</f>
        <v>0.28700069268067419</v>
      </c>
      <c r="D227" s="830">
        <f t="shared" ref="D227:S227" si="186">IF(V230&gt;0,(V227/V230),0)</f>
        <v>0.24008810572687225</v>
      </c>
      <c r="E227" s="830">
        <f t="shared" si="186"/>
        <v>0.26344936708860761</v>
      </c>
      <c r="F227" s="830">
        <f t="shared" si="186"/>
        <v>0</v>
      </c>
      <c r="G227" s="830">
        <f t="shared" si="186"/>
        <v>0</v>
      </c>
      <c r="H227" s="830">
        <f t="shared" si="186"/>
        <v>0</v>
      </c>
      <c r="I227" s="832">
        <f t="shared" si="186"/>
        <v>0.27239508360093012</v>
      </c>
      <c r="J227" s="832">
        <f t="shared" si="186"/>
        <v>0</v>
      </c>
      <c r="K227" s="830">
        <f t="shared" si="186"/>
        <v>0.20748576078112285</v>
      </c>
      <c r="L227" s="830">
        <f t="shared" si="186"/>
        <v>0.15015197568389058</v>
      </c>
      <c r="M227" s="830">
        <f t="shared" si="186"/>
        <v>7.8231292517006806E-2</v>
      </c>
      <c r="N227" s="830">
        <f t="shared" si="186"/>
        <v>0</v>
      </c>
      <c r="O227" s="832">
        <f t="shared" si="186"/>
        <v>0.17117885312300149</v>
      </c>
      <c r="P227" s="832">
        <f t="shared" si="186"/>
        <v>0</v>
      </c>
      <c r="Q227" s="830">
        <f t="shared" si="186"/>
        <v>0</v>
      </c>
      <c r="R227" s="833">
        <f t="shared" si="186"/>
        <v>0</v>
      </c>
      <c r="S227" s="832">
        <f t="shared" si="186"/>
        <v>0</v>
      </c>
      <c r="T227" s="213"/>
      <c r="U227" s="858">
        <v>1243</v>
      </c>
      <c r="V227" s="858">
        <v>218</v>
      </c>
      <c r="W227" s="858">
        <v>999</v>
      </c>
      <c r="X227" s="858"/>
      <c r="Y227" s="858"/>
      <c r="Z227" s="858"/>
      <c r="AA227" s="859">
        <v>2460</v>
      </c>
      <c r="AB227" s="859"/>
      <c r="AC227" s="858">
        <v>510</v>
      </c>
      <c r="AD227" s="858">
        <v>247</v>
      </c>
      <c r="AE227" s="858">
        <v>46</v>
      </c>
      <c r="AF227" s="858"/>
      <c r="AG227" s="859">
        <v>803</v>
      </c>
      <c r="AH227" s="863">
        <f t="shared" ref="AH227:AK227" si="187">AH233+AH239+AH245+AH251+AH257+AH263+AH269+AH275+AH281+AH287+AH293+AH299+AH305</f>
        <v>0</v>
      </c>
      <c r="AI227" s="862">
        <f t="shared" si="187"/>
        <v>0</v>
      </c>
      <c r="AJ227" s="870">
        <f t="shared" si="187"/>
        <v>0</v>
      </c>
      <c r="AK227" s="863">
        <f t="shared" si="187"/>
        <v>0</v>
      </c>
      <c r="AL227" s="209"/>
      <c r="AM227" s="209"/>
    </row>
    <row r="228" spans="1:39" s="80" customFormat="1">
      <c r="A228" s="239"/>
      <c r="B228" s="239" t="s">
        <v>78</v>
      </c>
      <c r="C228" s="832">
        <f>IF(U230&gt;0,(U228/U230),0)</f>
        <v>3.3941353036250288E-2</v>
      </c>
      <c r="D228" s="830">
        <f t="shared" ref="D228:S228" si="188">IF(V230&gt;0,(V228/V230),0)</f>
        <v>0.17511013215859031</v>
      </c>
      <c r="E228" s="830">
        <f t="shared" si="188"/>
        <v>0.14978902953586498</v>
      </c>
      <c r="F228" s="830">
        <f t="shared" si="188"/>
        <v>0</v>
      </c>
      <c r="G228" s="830">
        <f t="shared" si="188"/>
        <v>0</v>
      </c>
      <c r="H228" s="830">
        <f t="shared" si="188"/>
        <v>0</v>
      </c>
      <c r="I228" s="832">
        <f t="shared" si="188"/>
        <v>9.6777765474476807E-2</v>
      </c>
      <c r="J228" s="832">
        <f t="shared" si="188"/>
        <v>0</v>
      </c>
      <c r="K228" s="830">
        <f t="shared" si="188"/>
        <v>0.25874694873881204</v>
      </c>
      <c r="L228" s="830">
        <f t="shared" si="188"/>
        <v>0.27781155015197567</v>
      </c>
      <c r="M228" s="830">
        <f t="shared" si="188"/>
        <v>0.17006802721088435</v>
      </c>
      <c r="N228" s="830">
        <f t="shared" si="188"/>
        <v>0</v>
      </c>
      <c r="O228" s="832">
        <f t="shared" si="188"/>
        <v>0.25431677680665105</v>
      </c>
      <c r="P228" s="832">
        <f t="shared" si="188"/>
        <v>0</v>
      </c>
      <c r="Q228" s="830">
        <f t="shared" si="188"/>
        <v>0</v>
      </c>
      <c r="R228" s="833">
        <f t="shared" si="188"/>
        <v>0</v>
      </c>
      <c r="S228" s="832">
        <f t="shared" si="188"/>
        <v>0</v>
      </c>
      <c r="T228" s="213"/>
      <c r="U228" s="858">
        <v>147</v>
      </c>
      <c r="V228" s="858">
        <v>159</v>
      </c>
      <c r="W228" s="858">
        <v>568</v>
      </c>
      <c r="X228" s="858"/>
      <c r="Y228" s="858"/>
      <c r="Z228" s="858"/>
      <c r="AA228" s="859">
        <v>874</v>
      </c>
      <c r="AB228" s="859"/>
      <c r="AC228" s="858">
        <v>636</v>
      </c>
      <c r="AD228" s="858">
        <v>457</v>
      </c>
      <c r="AE228" s="858">
        <v>100</v>
      </c>
      <c r="AF228" s="858"/>
      <c r="AG228" s="859">
        <v>1193</v>
      </c>
      <c r="AH228" s="863">
        <f t="shared" ref="AH228:AK228" si="189">AH234+AH240+AH246+AH252+AH258+AH264+AH270+AH276+AH282+AH288+AH294+AH300+AH306</f>
        <v>0</v>
      </c>
      <c r="AI228" s="862">
        <f t="shared" si="189"/>
        <v>0</v>
      </c>
      <c r="AJ228" s="870">
        <f t="shared" si="189"/>
        <v>0</v>
      </c>
      <c r="AK228" s="863">
        <f t="shared" si="189"/>
        <v>0</v>
      </c>
      <c r="AL228" s="209"/>
      <c r="AM228" s="209"/>
    </row>
    <row r="229" spans="1:39" s="80" customFormat="1">
      <c r="A229" s="580"/>
      <c r="B229" s="580" t="s">
        <v>131</v>
      </c>
      <c r="C229" s="832">
        <f>IF(U230&gt;0,(U229/U230),0)</f>
        <v>9.9976910644193021E-2</v>
      </c>
      <c r="D229" s="830">
        <f t="shared" ref="D229:S229" si="190">IF(V230&gt;0,(V229/V230),0)</f>
        <v>0</v>
      </c>
      <c r="E229" s="830">
        <f t="shared" si="190"/>
        <v>7.6476793248945144E-2</v>
      </c>
      <c r="F229" s="830">
        <f t="shared" si="190"/>
        <v>0</v>
      </c>
      <c r="G229" s="830">
        <f t="shared" si="190"/>
        <v>0</v>
      </c>
      <c r="H229" s="830">
        <f t="shared" si="190"/>
        <v>0</v>
      </c>
      <c r="I229" s="832">
        <f t="shared" si="190"/>
        <v>8.0057579448566049E-2</v>
      </c>
      <c r="J229" s="832">
        <f t="shared" si="190"/>
        <v>0</v>
      </c>
      <c r="K229" s="830">
        <f t="shared" si="190"/>
        <v>0.14076484947111473</v>
      </c>
      <c r="L229" s="830">
        <f t="shared" si="190"/>
        <v>0.24620060790273557</v>
      </c>
      <c r="M229" s="830">
        <f t="shared" si="190"/>
        <v>0.41666666666666669</v>
      </c>
      <c r="N229" s="830">
        <f t="shared" si="190"/>
        <v>0</v>
      </c>
      <c r="O229" s="832">
        <f t="shared" si="190"/>
        <v>0.21232146663824344</v>
      </c>
      <c r="P229" s="832">
        <f t="shared" si="190"/>
        <v>0</v>
      </c>
      <c r="Q229" s="830">
        <f t="shared" si="190"/>
        <v>0</v>
      </c>
      <c r="R229" s="833">
        <f t="shared" si="190"/>
        <v>0</v>
      </c>
      <c r="S229" s="832">
        <f t="shared" si="190"/>
        <v>0</v>
      </c>
      <c r="T229" s="213"/>
      <c r="U229" s="858">
        <v>433</v>
      </c>
      <c r="V229" s="858"/>
      <c r="W229" s="858">
        <v>290</v>
      </c>
      <c r="X229" s="858"/>
      <c r="Y229" s="858"/>
      <c r="Z229" s="858"/>
      <c r="AA229" s="859">
        <v>723</v>
      </c>
      <c r="AB229" s="859"/>
      <c r="AC229" s="858">
        <v>346</v>
      </c>
      <c r="AD229" s="858">
        <v>405</v>
      </c>
      <c r="AE229" s="858">
        <v>245</v>
      </c>
      <c r="AF229" s="858"/>
      <c r="AG229" s="859">
        <v>996</v>
      </c>
      <c r="AH229" s="863">
        <f t="shared" ref="AH229:AK229" si="191">AH235+AH241+AH247+AH253+AH259+AH265+AH271+AH277+AH283+AH289+AH295+AH301+AH307</f>
        <v>0</v>
      </c>
      <c r="AI229" s="862">
        <f t="shared" si="191"/>
        <v>0</v>
      </c>
      <c r="AJ229" s="870">
        <f t="shared" si="191"/>
        <v>0</v>
      </c>
      <c r="AK229" s="863">
        <f t="shared" si="191"/>
        <v>0</v>
      </c>
      <c r="AL229" s="209"/>
      <c r="AM229" s="209"/>
    </row>
    <row r="230" spans="1:39" s="80" customFormat="1">
      <c r="A230" s="436"/>
      <c r="B230" s="436" t="s">
        <v>59</v>
      </c>
      <c r="C230" s="834">
        <f>IF(U230&gt;0,(U230/U230),0)</f>
        <v>1</v>
      </c>
      <c r="D230" s="835">
        <f t="shared" ref="D230:S230" si="192">IF(V230&gt;0,(V230/V230),0)</f>
        <v>1</v>
      </c>
      <c r="E230" s="835">
        <f t="shared" si="192"/>
        <v>1</v>
      </c>
      <c r="F230" s="835">
        <f t="shared" si="192"/>
        <v>0</v>
      </c>
      <c r="G230" s="835">
        <f t="shared" si="192"/>
        <v>0</v>
      </c>
      <c r="H230" s="835">
        <f t="shared" si="192"/>
        <v>0</v>
      </c>
      <c r="I230" s="834">
        <f t="shared" si="192"/>
        <v>1</v>
      </c>
      <c r="J230" s="834">
        <f t="shared" si="192"/>
        <v>0</v>
      </c>
      <c r="K230" s="835">
        <f t="shared" si="192"/>
        <v>1</v>
      </c>
      <c r="L230" s="835">
        <f t="shared" si="192"/>
        <v>1</v>
      </c>
      <c r="M230" s="835">
        <f t="shared" si="192"/>
        <v>1</v>
      </c>
      <c r="N230" s="835">
        <f t="shared" si="192"/>
        <v>0</v>
      </c>
      <c r="O230" s="834">
        <f t="shared" si="192"/>
        <v>1</v>
      </c>
      <c r="P230" s="834">
        <f t="shared" si="192"/>
        <v>0</v>
      </c>
      <c r="Q230" s="835">
        <f t="shared" si="192"/>
        <v>0</v>
      </c>
      <c r="R230" s="836">
        <f t="shared" si="192"/>
        <v>0</v>
      </c>
      <c r="S230" s="834">
        <f t="shared" si="192"/>
        <v>0</v>
      </c>
      <c r="T230" s="213"/>
      <c r="U230" s="871">
        <v>4331</v>
      </c>
      <c r="V230" s="871">
        <v>908</v>
      </c>
      <c r="W230" s="871">
        <v>3792</v>
      </c>
      <c r="X230" s="871"/>
      <c r="Y230" s="871"/>
      <c r="Z230" s="871"/>
      <c r="AA230" s="864">
        <v>9031</v>
      </c>
      <c r="AB230" s="864"/>
      <c r="AC230" s="871">
        <v>2458</v>
      </c>
      <c r="AD230" s="871">
        <v>1645</v>
      </c>
      <c r="AE230" s="871">
        <v>588</v>
      </c>
      <c r="AF230" s="871"/>
      <c r="AG230" s="864">
        <v>4691</v>
      </c>
      <c r="AH230" s="872">
        <f t="shared" ref="AH230:AK230" si="193">AH236+AH242+AH248+AH254+AH260+AH266+AH272+AH278+AH284+AH290+AH296+AH302+AH308</f>
        <v>0</v>
      </c>
      <c r="AI230" s="873">
        <f t="shared" si="193"/>
        <v>0</v>
      </c>
      <c r="AJ230" s="874">
        <f t="shared" si="193"/>
        <v>0</v>
      </c>
      <c r="AK230" s="872">
        <f t="shared" si="193"/>
        <v>0</v>
      </c>
      <c r="AL230" s="209"/>
      <c r="AM230" s="209"/>
    </row>
    <row r="231" spans="1:39" s="80" customFormat="1">
      <c r="A231" s="240" t="s">
        <v>145</v>
      </c>
      <c r="B231" s="240" t="s">
        <v>53</v>
      </c>
      <c r="C231" s="829">
        <f>IF(U236&gt;0,(U231/U236),0)</f>
        <v>0.34411838475043893</v>
      </c>
      <c r="D231" s="830">
        <f t="shared" ref="D231:S231" si="194">IF(V236&gt;0,(V231/V236),0)</f>
        <v>0.26560232220609581</v>
      </c>
      <c r="E231" s="830">
        <f t="shared" si="194"/>
        <v>0.22361623616236162</v>
      </c>
      <c r="F231" s="830">
        <f t="shared" si="194"/>
        <v>0.13419117647058823</v>
      </c>
      <c r="G231" s="830">
        <f t="shared" si="194"/>
        <v>0.2255813953488372</v>
      </c>
      <c r="H231" s="830">
        <f t="shared" si="194"/>
        <v>0.35079726651480636</v>
      </c>
      <c r="I231" s="829">
        <f t="shared" si="194"/>
        <v>0.29079060617238411</v>
      </c>
      <c r="J231" s="829">
        <f t="shared" si="194"/>
        <v>0</v>
      </c>
      <c r="K231" s="830">
        <f t="shared" si="194"/>
        <v>5.4794520547945202E-2</v>
      </c>
      <c r="L231" s="830">
        <f t="shared" si="194"/>
        <v>7.5391180654338544E-2</v>
      </c>
      <c r="M231" s="830">
        <f t="shared" si="194"/>
        <v>0.11560693641618497</v>
      </c>
      <c r="N231" s="830">
        <f t="shared" si="194"/>
        <v>0</v>
      </c>
      <c r="O231" s="829">
        <f t="shared" si="194"/>
        <v>7.9256360078277882E-2</v>
      </c>
      <c r="P231" s="829">
        <f t="shared" si="194"/>
        <v>0</v>
      </c>
      <c r="Q231" s="830">
        <f t="shared" si="194"/>
        <v>0</v>
      </c>
      <c r="R231" s="831">
        <f t="shared" si="194"/>
        <v>0</v>
      </c>
      <c r="S231" s="829">
        <f t="shared" si="194"/>
        <v>0</v>
      </c>
      <c r="T231" s="213"/>
      <c r="U231" s="858">
        <v>1372</v>
      </c>
      <c r="V231" s="858">
        <v>366</v>
      </c>
      <c r="W231" s="858">
        <v>303</v>
      </c>
      <c r="X231" s="858">
        <v>73</v>
      </c>
      <c r="Y231" s="858">
        <v>97</v>
      </c>
      <c r="Z231" s="858">
        <v>154</v>
      </c>
      <c r="AA231" s="857">
        <v>2365</v>
      </c>
      <c r="AB231" s="857"/>
      <c r="AC231" s="858">
        <v>8</v>
      </c>
      <c r="AD231" s="858">
        <v>53</v>
      </c>
      <c r="AE231" s="858">
        <v>20</v>
      </c>
      <c r="AF231" s="858"/>
      <c r="AG231" s="857">
        <v>81</v>
      </c>
      <c r="AH231" s="861">
        <f t="shared" ref="AH231:AK231" si="195">AH237+AH243+AH249+AH255+AH261+AH267+AH273+AH279+AH285+AH291+AH297+AH303+AH309</f>
        <v>0</v>
      </c>
      <c r="AI231" s="862">
        <f t="shared" si="195"/>
        <v>0</v>
      </c>
      <c r="AJ231" s="869">
        <f t="shared" si="195"/>
        <v>0</v>
      </c>
      <c r="AK231" s="861">
        <f t="shared" si="195"/>
        <v>0</v>
      </c>
      <c r="AL231" s="209"/>
      <c r="AM231" s="209"/>
    </row>
    <row r="232" spans="1:39" s="80" customFormat="1">
      <c r="A232" s="239"/>
      <c r="B232" s="239" t="s">
        <v>93</v>
      </c>
      <c r="C232" s="832">
        <f>IF(U236&gt;0,(U232/U236),0)</f>
        <v>0.25282167042889392</v>
      </c>
      <c r="D232" s="830">
        <f t="shared" ref="D232:S232" si="196">IF(V236&gt;0,(V232/V236),0)</f>
        <v>0.24600870827285923</v>
      </c>
      <c r="E232" s="830">
        <f t="shared" si="196"/>
        <v>0.30996309963099633</v>
      </c>
      <c r="F232" s="830">
        <f t="shared" si="196"/>
        <v>0.26838235294117646</v>
      </c>
      <c r="G232" s="830">
        <f t="shared" si="196"/>
        <v>0.29767441860465116</v>
      </c>
      <c r="H232" s="830">
        <f t="shared" si="196"/>
        <v>0.25512528473804102</v>
      </c>
      <c r="I232" s="832">
        <f t="shared" si="196"/>
        <v>0.2647239640968892</v>
      </c>
      <c r="J232" s="832">
        <f t="shared" si="196"/>
        <v>0</v>
      </c>
      <c r="K232" s="830">
        <f t="shared" si="196"/>
        <v>0.25342465753424659</v>
      </c>
      <c r="L232" s="830">
        <f t="shared" si="196"/>
        <v>0.20910384068278806</v>
      </c>
      <c r="M232" s="830">
        <f t="shared" si="196"/>
        <v>0.18497109826589594</v>
      </c>
      <c r="N232" s="830">
        <f t="shared" si="196"/>
        <v>0</v>
      </c>
      <c r="O232" s="832">
        <f t="shared" si="196"/>
        <v>0.21135029354207435</v>
      </c>
      <c r="P232" s="832">
        <f t="shared" si="196"/>
        <v>0</v>
      </c>
      <c r="Q232" s="830">
        <f t="shared" si="196"/>
        <v>0</v>
      </c>
      <c r="R232" s="833">
        <f t="shared" si="196"/>
        <v>0</v>
      </c>
      <c r="S232" s="832">
        <f t="shared" si="196"/>
        <v>0</v>
      </c>
      <c r="T232" s="213"/>
      <c r="U232" s="858">
        <v>1008</v>
      </c>
      <c r="V232" s="858">
        <v>339</v>
      </c>
      <c r="W232" s="858">
        <v>420</v>
      </c>
      <c r="X232" s="858">
        <v>146</v>
      </c>
      <c r="Y232" s="858">
        <v>128</v>
      </c>
      <c r="Z232" s="858">
        <v>112</v>
      </c>
      <c r="AA232" s="859">
        <v>2153</v>
      </c>
      <c r="AB232" s="859"/>
      <c r="AC232" s="858">
        <v>37</v>
      </c>
      <c r="AD232" s="858">
        <v>147</v>
      </c>
      <c r="AE232" s="858">
        <v>32</v>
      </c>
      <c r="AF232" s="858"/>
      <c r="AG232" s="859">
        <v>216</v>
      </c>
      <c r="AH232" s="863">
        <f t="shared" ref="AH232:AK232" si="197">AH238+AH244+AH250+AH256+AH262+AH268+AH274+AH280+AH286+AH292+AH298+AH304+AH310</f>
        <v>0</v>
      </c>
      <c r="AI232" s="862">
        <f t="shared" si="197"/>
        <v>0</v>
      </c>
      <c r="AJ232" s="870">
        <f t="shared" si="197"/>
        <v>0</v>
      </c>
      <c r="AK232" s="863">
        <f t="shared" si="197"/>
        <v>0</v>
      </c>
      <c r="AL232" s="209"/>
      <c r="AM232" s="209"/>
    </row>
    <row r="233" spans="1:39" s="80" customFormat="1">
      <c r="A233" s="239"/>
      <c r="B233" s="239" t="s">
        <v>55</v>
      </c>
      <c r="C233" s="832">
        <f>IF(U236&gt;0,(U233/U236),0)</f>
        <v>0.23877602207173312</v>
      </c>
      <c r="D233" s="830">
        <f t="shared" ref="D233:S233" si="198">IF(V236&gt;0,(V233/V236),0)</f>
        <v>0.34325108853410741</v>
      </c>
      <c r="E233" s="830">
        <f t="shared" si="198"/>
        <v>0.27306273062730629</v>
      </c>
      <c r="F233" s="830">
        <f t="shared" si="198"/>
        <v>0.29779411764705882</v>
      </c>
      <c r="G233" s="830">
        <f t="shared" si="198"/>
        <v>0.25813953488372093</v>
      </c>
      <c r="H233" s="830">
        <f t="shared" si="198"/>
        <v>0.25968109339407747</v>
      </c>
      <c r="I233" s="832">
        <f t="shared" si="198"/>
        <v>0.26828968400344277</v>
      </c>
      <c r="J233" s="832">
        <f t="shared" si="198"/>
        <v>0</v>
      </c>
      <c r="K233" s="830">
        <f t="shared" si="198"/>
        <v>0.4452054794520548</v>
      </c>
      <c r="L233" s="830">
        <f t="shared" si="198"/>
        <v>0.42247510668563298</v>
      </c>
      <c r="M233" s="830">
        <f t="shared" si="198"/>
        <v>0.39306358381502893</v>
      </c>
      <c r="N233" s="830">
        <f t="shared" si="198"/>
        <v>0</v>
      </c>
      <c r="O233" s="832">
        <f t="shared" si="198"/>
        <v>0.42074363992172209</v>
      </c>
      <c r="P233" s="832">
        <f t="shared" si="198"/>
        <v>0</v>
      </c>
      <c r="Q233" s="830">
        <f t="shared" si="198"/>
        <v>0</v>
      </c>
      <c r="R233" s="833">
        <f t="shared" si="198"/>
        <v>0</v>
      </c>
      <c r="S233" s="832">
        <f t="shared" si="198"/>
        <v>0</v>
      </c>
      <c r="T233" s="213"/>
      <c r="U233" s="858">
        <v>952</v>
      </c>
      <c r="V233" s="858">
        <v>473</v>
      </c>
      <c r="W233" s="858">
        <v>370</v>
      </c>
      <c r="X233" s="858">
        <v>162</v>
      </c>
      <c r="Y233" s="858">
        <v>111</v>
      </c>
      <c r="Z233" s="858">
        <v>114</v>
      </c>
      <c r="AA233" s="859">
        <v>2182</v>
      </c>
      <c r="AB233" s="859"/>
      <c r="AC233" s="858">
        <v>65</v>
      </c>
      <c r="AD233" s="858">
        <v>297</v>
      </c>
      <c r="AE233" s="858">
        <v>68</v>
      </c>
      <c r="AF233" s="858"/>
      <c r="AG233" s="859">
        <v>430</v>
      </c>
      <c r="AH233" s="863">
        <f t="shared" ref="AH233:AK233" si="199">AH239+AH245+AH251+AH257+AH263+AH269+AH275+AH281+AH287+AH293+AH299+AH305+AH311</f>
        <v>0</v>
      </c>
      <c r="AI233" s="862">
        <f t="shared" si="199"/>
        <v>0</v>
      </c>
      <c r="AJ233" s="870">
        <f t="shared" si="199"/>
        <v>0</v>
      </c>
      <c r="AK233" s="863">
        <f t="shared" si="199"/>
        <v>0</v>
      </c>
      <c r="AL233" s="209"/>
      <c r="AM233" s="209"/>
    </row>
    <row r="234" spans="1:39" s="80" customFormat="1">
      <c r="A234" s="239"/>
      <c r="B234" s="239" t="s">
        <v>78</v>
      </c>
      <c r="C234" s="832">
        <f>IF(U236&gt;0,(U234/U236),0)</f>
        <v>4.7654878354652618E-3</v>
      </c>
      <c r="D234" s="830">
        <f t="shared" ref="D234:S234" si="200">IF(V236&gt;0,(V234/V236),0)</f>
        <v>0.14368650217706821</v>
      </c>
      <c r="E234" s="830">
        <f t="shared" si="200"/>
        <v>2.5830258302583026E-2</v>
      </c>
      <c r="F234" s="830">
        <f t="shared" si="200"/>
        <v>0.19485294117647059</v>
      </c>
      <c r="G234" s="830">
        <f t="shared" si="200"/>
        <v>4.6511627906976744E-3</v>
      </c>
      <c r="H234" s="830">
        <f t="shared" si="200"/>
        <v>5.4669703872437359E-2</v>
      </c>
      <c r="I234" s="832">
        <f t="shared" si="200"/>
        <v>4.7215049797122835E-2</v>
      </c>
      <c r="J234" s="832">
        <f t="shared" si="200"/>
        <v>0</v>
      </c>
      <c r="K234" s="830">
        <f t="shared" si="200"/>
        <v>0.24657534246575341</v>
      </c>
      <c r="L234" s="830">
        <f t="shared" si="200"/>
        <v>0.21906116642958748</v>
      </c>
      <c r="M234" s="830">
        <f t="shared" si="200"/>
        <v>0.28901734104046245</v>
      </c>
      <c r="N234" s="830">
        <f t="shared" si="200"/>
        <v>0</v>
      </c>
      <c r="O234" s="832">
        <f t="shared" si="200"/>
        <v>0.23483365949119372</v>
      </c>
      <c r="P234" s="832">
        <f t="shared" si="200"/>
        <v>0</v>
      </c>
      <c r="Q234" s="830">
        <f t="shared" si="200"/>
        <v>0</v>
      </c>
      <c r="R234" s="833">
        <f t="shared" si="200"/>
        <v>0</v>
      </c>
      <c r="S234" s="832">
        <f t="shared" si="200"/>
        <v>0</v>
      </c>
      <c r="T234" s="213"/>
      <c r="U234" s="858">
        <v>19</v>
      </c>
      <c r="V234" s="858">
        <v>198</v>
      </c>
      <c r="W234" s="858">
        <v>35</v>
      </c>
      <c r="X234" s="858">
        <v>106</v>
      </c>
      <c r="Y234" s="858">
        <v>2</v>
      </c>
      <c r="Z234" s="858">
        <v>24</v>
      </c>
      <c r="AA234" s="859">
        <v>384</v>
      </c>
      <c r="AB234" s="859"/>
      <c r="AC234" s="858">
        <v>36</v>
      </c>
      <c r="AD234" s="858">
        <v>154</v>
      </c>
      <c r="AE234" s="858">
        <v>50</v>
      </c>
      <c r="AF234" s="858"/>
      <c r="AG234" s="859">
        <v>240</v>
      </c>
      <c r="AH234" s="863">
        <f t="shared" ref="AH234:AK234" si="201">AH240+AH246+AH252+AH258+AH264+AH270+AH276+AH282+AH288+AH294+AH300+AH306+AH312</f>
        <v>0</v>
      </c>
      <c r="AI234" s="862">
        <f t="shared" si="201"/>
        <v>0</v>
      </c>
      <c r="AJ234" s="870">
        <f t="shared" si="201"/>
        <v>0</v>
      </c>
      <c r="AK234" s="863">
        <f t="shared" si="201"/>
        <v>0</v>
      </c>
      <c r="AL234" s="209"/>
      <c r="AM234" s="209"/>
    </row>
    <row r="235" spans="1:39" s="80" customFormat="1">
      <c r="A235" s="580"/>
      <c r="B235" s="580" t="s">
        <v>131</v>
      </c>
      <c r="C235" s="832">
        <f>IF(U236&gt;0,(U235/U236),0)</f>
        <v>0.15951843491346879</v>
      </c>
      <c r="D235" s="830">
        <f t="shared" ref="D235:S235" si="202">IF(V236&gt;0,(V235/V236),0)</f>
        <v>1.4513788098693759E-3</v>
      </c>
      <c r="E235" s="830">
        <f t="shared" si="202"/>
        <v>0.16752767527675277</v>
      </c>
      <c r="F235" s="830">
        <f t="shared" si="202"/>
        <v>0.10477941176470588</v>
      </c>
      <c r="G235" s="830">
        <f t="shared" si="202"/>
        <v>0.21395348837209302</v>
      </c>
      <c r="H235" s="830">
        <f t="shared" si="202"/>
        <v>7.9726651480637817E-2</v>
      </c>
      <c r="I235" s="832">
        <f t="shared" si="202"/>
        <v>0.12898069593016107</v>
      </c>
      <c r="J235" s="832">
        <f t="shared" si="202"/>
        <v>0</v>
      </c>
      <c r="K235" s="830">
        <f t="shared" si="202"/>
        <v>0</v>
      </c>
      <c r="L235" s="830">
        <f t="shared" si="202"/>
        <v>7.3968705547652919E-2</v>
      </c>
      <c r="M235" s="830">
        <f t="shared" si="202"/>
        <v>1.7341040462427744E-2</v>
      </c>
      <c r="N235" s="830">
        <f t="shared" si="202"/>
        <v>0</v>
      </c>
      <c r="O235" s="832">
        <f t="shared" si="202"/>
        <v>5.3816046966731895E-2</v>
      </c>
      <c r="P235" s="832">
        <f t="shared" si="202"/>
        <v>0</v>
      </c>
      <c r="Q235" s="830">
        <f t="shared" si="202"/>
        <v>0</v>
      </c>
      <c r="R235" s="833">
        <f t="shared" si="202"/>
        <v>0</v>
      </c>
      <c r="S235" s="832">
        <f t="shared" si="202"/>
        <v>0</v>
      </c>
      <c r="T235" s="213"/>
      <c r="U235" s="858">
        <v>636</v>
      </c>
      <c r="V235" s="858">
        <v>2</v>
      </c>
      <c r="W235" s="858">
        <v>227</v>
      </c>
      <c r="X235" s="858">
        <v>57</v>
      </c>
      <c r="Y235" s="858">
        <v>92</v>
      </c>
      <c r="Z235" s="858">
        <v>35</v>
      </c>
      <c r="AA235" s="859">
        <v>1049</v>
      </c>
      <c r="AB235" s="859"/>
      <c r="AC235" s="858"/>
      <c r="AD235" s="858">
        <v>52</v>
      </c>
      <c r="AE235" s="858">
        <v>3</v>
      </c>
      <c r="AF235" s="858"/>
      <c r="AG235" s="859">
        <v>55</v>
      </c>
      <c r="AH235" s="863">
        <f t="shared" ref="AH235:AK235" si="203">AH241+AH247+AH253+AH259+AH265+AH271+AH277+AH283+AH289+AH295+AH301+AH307+AH313</f>
        <v>0</v>
      </c>
      <c r="AI235" s="862">
        <f t="shared" si="203"/>
        <v>0</v>
      </c>
      <c r="AJ235" s="870">
        <f t="shared" si="203"/>
        <v>0</v>
      </c>
      <c r="AK235" s="863">
        <f t="shared" si="203"/>
        <v>0</v>
      </c>
      <c r="AL235" s="209"/>
      <c r="AM235" s="209"/>
    </row>
    <row r="236" spans="1:39" s="80" customFormat="1">
      <c r="A236" s="436"/>
      <c r="B236" s="436" t="s">
        <v>59</v>
      </c>
      <c r="C236" s="834">
        <f>IF(U236&gt;0,(U236/U236),0)</f>
        <v>1</v>
      </c>
      <c r="D236" s="835">
        <f t="shared" ref="D236:S236" si="204">IF(V236&gt;0,(V236/V236),0)</f>
        <v>1</v>
      </c>
      <c r="E236" s="835">
        <f t="shared" si="204"/>
        <v>1</v>
      </c>
      <c r="F236" s="835">
        <f t="shared" si="204"/>
        <v>1</v>
      </c>
      <c r="G236" s="835">
        <f t="shared" si="204"/>
        <v>1</v>
      </c>
      <c r="H236" s="835">
        <f t="shared" si="204"/>
        <v>1</v>
      </c>
      <c r="I236" s="834">
        <f t="shared" si="204"/>
        <v>1</v>
      </c>
      <c r="J236" s="834">
        <f t="shared" si="204"/>
        <v>0</v>
      </c>
      <c r="K236" s="835">
        <f t="shared" si="204"/>
        <v>1</v>
      </c>
      <c r="L236" s="835">
        <f t="shared" si="204"/>
        <v>1</v>
      </c>
      <c r="M236" s="835">
        <f t="shared" si="204"/>
        <v>1</v>
      </c>
      <c r="N236" s="835">
        <f t="shared" si="204"/>
        <v>0</v>
      </c>
      <c r="O236" s="834">
        <f t="shared" si="204"/>
        <v>1</v>
      </c>
      <c r="P236" s="834">
        <f t="shared" si="204"/>
        <v>0</v>
      </c>
      <c r="Q236" s="835">
        <f t="shared" si="204"/>
        <v>0</v>
      </c>
      <c r="R236" s="836">
        <f t="shared" si="204"/>
        <v>0</v>
      </c>
      <c r="S236" s="834">
        <f t="shared" si="204"/>
        <v>0</v>
      </c>
      <c r="T236" s="213"/>
      <c r="U236" s="871">
        <v>3987</v>
      </c>
      <c r="V236" s="871">
        <v>1378</v>
      </c>
      <c r="W236" s="871">
        <v>1355</v>
      </c>
      <c r="X236" s="871">
        <v>544</v>
      </c>
      <c r="Y236" s="871">
        <v>430</v>
      </c>
      <c r="Z236" s="871">
        <v>439</v>
      </c>
      <c r="AA236" s="864">
        <v>8133</v>
      </c>
      <c r="AB236" s="864"/>
      <c r="AC236" s="871">
        <v>146</v>
      </c>
      <c r="AD236" s="871">
        <v>703</v>
      </c>
      <c r="AE236" s="871">
        <v>173</v>
      </c>
      <c r="AF236" s="871"/>
      <c r="AG236" s="864">
        <v>1022</v>
      </c>
      <c r="AH236" s="872">
        <f t="shared" ref="AH236:AK236" si="205">AH242+AH248+AH254+AH260+AH266+AH272+AH278+AH284+AH290+AH296+AH302+AH308+AH314</f>
        <v>0</v>
      </c>
      <c r="AI236" s="873">
        <f t="shared" si="205"/>
        <v>0</v>
      </c>
      <c r="AJ236" s="874">
        <f t="shared" si="205"/>
        <v>0</v>
      </c>
      <c r="AK236" s="872">
        <f t="shared" si="205"/>
        <v>0</v>
      </c>
      <c r="AL236" s="209"/>
      <c r="AM236" s="209"/>
    </row>
    <row r="237" spans="1:39" s="80" customFormat="1">
      <c r="A237" s="240" t="s">
        <v>142</v>
      </c>
      <c r="B237" s="240" t="s">
        <v>53</v>
      </c>
      <c r="C237" s="829">
        <f>IF(U242&gt;0,(U237/U242),0)</f>
        <v>0.34786218347862186</v>
      </c>
      <c r="D237" s="830">
        <f t="shared" ref="D237:S237" si="206">IF(V242&gt;0,(V237/V242),0)</f>
        <v>0</v>
      </c>
      <c r="E237" s="830">
        <f t="shared" si="206"/>
        <v>0.25347222222222221</v>
      </c>
      <c r="F237" s="830">
        <f t="shared" si="206"/>
        <v>0</v>
      </c>
      <c r="G237" s="830">
        <f t="shared" si="206"/>
        <v>0</v>
      </c>
      <c r="H237" s="830">
        <f t="shared" si="206"/>
        <v>0</v>
      </c>
      <c r="I237" s="829">
        <f t="shared" si="206"/>
        <v>0.32964824120603015</v>
      </c>
      <c r="J237" s="829">
        <f t="shared" si="206"/>
        <v>0</v>
      </c>
      <c r="K237" s="830">
        <f t="shared" si="206"/>
        <v>0.14119601328903655</v>
      </c>
      <c r="L237" s="830">
        <f t="shared" si="206"/>
        <v>2.5130890052356022E-2</v>
      </c>
      <c r="M237" s="830">
        <f t="shared" si="206"/>
        <v>0.18352059925093633</v>
      </c>
      <c r="N237" s="830">
        <f t="shared" si="206"/>
        <v>0</v>
      </c>
      <c r="O237" s="829">
        <f t="shared" si="206"/>
        <v>8.6622807017543865E-2</v>
      </c>
      <c r="P237" s="829">
        <f t="shared" si="206"/>
        <v>0</v>
      </c>
      <c r="Q237" s="830">
        <f t="shared" si="206"/>
        <v>0</v>
      </c>
      <c r="R237" s="831">
        <f t="shared" si="206"/>
        <v>0</v>
      </c>
      <c r="S237" s="829">
        <f t="shared" si="206"/>
        <v>0</v>
      </c>
      <c r="T237" s="213"/>
      <c r="U237" s="858">
        <v>838</v>
      </c>
      <c r="V237" s="858"/>
      <c r="W237" s="858">
        <v>146</v>
      </c>
      <c r="X237" s="858"/>
      <c r="Y237" s="858"/>
      <c r="Z237" s="858"/>
      <c r="AA237" s="857">
        <v>984</v>
      </c>
      <c r="AB237" s="857"/>
      <c r="AC237" s="858">
        <v>85</v>
      </c>
      <c r="AD237" s="858">
        <v>24</v>
      </c>
      <c r="AE237" s="858">
        <v>49</v>
      </c>
      <c r="AF237" s="858"/>
      <c r="AG237" s="857">
        <v>158</v>
      </c>
      <c r="AH237" s="861">
        <f t="shared" ref="AH237:AK237" si="207">AH243+AH249+AH255+AH261+AH267+AH273+AH279+AH285+AH291+AH297+AH303+AH309+AH315</f>
        <v>0</v>
      </c>
      <c r="AI237" s="862">
        <f t="shared" si="207"/>
        <v>0</v>
      </c>
      <c r="AJ237" s="869">
        <f t="shared" si="207"/>
        <v>0</v>
      </c>
      <c r="AK237" s="861">
        <f t="shared" si="207"/>
        <v>0</v>
      </c>
      <c r="AL237" s="209"/>
      <c r="AM237" s="209"/>
    </row>
    <row r="238" spans="1:39" s="80" customFormat="1">
      <c r="A238" s="239"/>
      <c r="B238" s="239" t="s">
        <v>93</v>
      </c>
      <c r="C238" s="832">
        <f>IF(U242&gt;0,(U238/U242),0)</f>
        <v>0.3034454130344541</v>
      </c>
      <c r="D238" s="830">
        <f t="shared" ref="D238:S238" si="208">IF(V242&gt;0,(V238/V242),0)</f>
        <v>0</v>
      </c>
      <c r="E238" s="830">
        <f t="shared" si="208"/>
        <v>0.3420138888888889</v>
      </c>
      <c r="F238" s="830">
        <f t="shared" si="208"/>
        <v>0</v>
      </c>
      <c r="G238" s="830">
        <f t="shared" si="208"/>
        <v>0</v>
      </c>
      <c r="H238" s="830">
        <f t="shared" si="208"/>
        <v>0</v>
      </c>
      <c r="I238" s="832">
        <f t="shared" si="208"/>
        <v>0.31088777219430486</v>
      </c>
      <c r="J238" s="832">
        <f t="shared" si="208"/>
        <v>0</v>
      </c>
      <c r="K238" s="830">
        <f t="shared" si="208"/>
        <v>7.3089700996677748E-2</v>
      </c>
      <c r="L238" s="830">
        <f t="shared" si="208"/>
        <v>2.5130890052356022E-2</v>
      </c>
      <c r="M238" s="830">
        <f t="shared" si="208"/>
        <v>0.22097378277153559</v>
      </c>
      <c r="N238" s="830">
        <f t="shared" si="208"/>
        <v>0</v>
      </c>
      <c r="O238" s="832">
        <f t="shared" si="208"/>
        <v>6.9627192982456135E-2</v>
      </c>
      <c r="P238" s="832">
        <f t="shared" si="208"/>
        <v>0</v>
      </c>
      <c r="Q238" s="830">
        <f t="shared" si="208"/>
        <v>0</v>
      </c>
      <c r="R238" s="833">
        <f t="shared" si="208"/>
        <v>0</v>
      </c>
      <c r="S238" s="832">
        <f t="shared" si="208"/>
        <v>0</v>
      </c>
      <c r="T238" s="213"/>
      <c r="U238" s="858">
        <v>731</v>
      </c>
      <c r="V238" s="858"/>
      <c r="W238" s="858">
        <v>197</v>
      </c>
      <c r="X238" s="858"/>
      <c r="Y238" s="858"/>
      <c r="Z238" s="858"/>
      <c r="AA238" s="859">
        <v>928</v>
      </c>
      <c r="AB238" s="859"/>
      <c r="AC238" s="858">
        <v>44</v>
      </c>
      <c r="AD238" s="858">
        <v>24</v>
      </c>
      <c r="AE238" s="858">
        <v>59</v>
      </c>
      <c r="AF238" s="858"/>
      <c r="AG238" s="859">
        <v>127</v>
      </c>
      <c r="AH238" s="863">
        <f t="shared" ref="AH238:AK238" si="209">AH244+AH250+AH256+AH262+AH268+AH274+AH280+AH286+AH292+AH298+AH304+AH310+AH316</f>
        <v>0</v>
      </c>
      <c r="AI238" s="862">
        <f t="shared" si="209"/>
        <v>0</v>
      </c>
      <c r="AJ238" s="870">
        <f t="shared" si="209"/>
        <v>0</v>
      </c>
      <c r="AK238" s="863">
        <f t="shared" si="209"/>
        <v>0</v>
      </c>
      <c r="AL238" s="209"/>
      <c r="AM238" s="209"/>
    </row>
    <row r="239" spans="1:39" s="80" customFormat="1">
      <c r="A239" s="239"/>
      <c r="B239" s="239" t="s">
        <v>55</v>
      </c>
      <c r="C239" s="832">
        <f>IF(U242&gt;0,(U239/U242),0)</f>
        <v>0.24159402241594022</v>
      </c>
      <c r="D239" s="830">
        <f t="shared" ref="D239:S239" si="210">IF(V242&gt;0,(V239/V242),0)</f>
        <v>0</v>
      </c>
      <c r="E239" s="830">
        <f t="shared" si="210"/>
        <v>0.21180555555555555</v>
      </c>
      <c r="F239" s="830">
        <f t="shared" si="210"/>
        <v>0</v>
      </c>
      <c r="G239" s="830">
        <f t="shared" si="210"/>
        <v>0</v>
      </c>
      <c r="H239" s="830">
        <f t="shared" si="210"/>
        <v>0</v>
      </c>
      <c r="I239" s="832">
        <f t="shared" si="210"/>
        <v>0.23584589614740367</v>
      </c>
      <c r="J239" s="832">
        <f t="shared" si="210"/>
        <v>0</v>
      </c>
      <c r="K239" s="830">
        <f t="shared" si="210"/>
        <v>0.15448504983388706</v>
      </c>
      <c r="L239" s="830">
        <f t="shared" si="210"/>
        <v>4.0837696335078534E-2</v>
      </c>
      <c r="M239" s="830">
        <f t="shared" si="210"/>
        <v>0.11235955056179775</v>
      </c>
      <c r="N239" s="830">
        <f t="shared" si="210"/>
        <v>0</v>
      </c>
      <c r="O239" s="832">
        <f t="shared" si="210"/>
        <v>8.8815789473684209E-2</v>
      </c>
      <c r="P239" s="832">
        <f t="shared" si="210"/>
        <v>0</v>
      </c>
      <c r="Q239" s="830">
        <f t="shared" si="210"/>
        <v>0</v>
      </c>
      <c r="R239" s="833">
        <f t="shared" si="210"/>
        <v>0</v>
      </c>
      <c r="S239" s="832">
        <f t="shared" si="210"/>
        <v>0</v>
      </c>
      <c r="T239" s="213"/>
      <c r="U239" s="858">
        <v>582</v>
      </c>
      <c r="V239" s="858"/>
      <c r="W239" s="858">
        <v>122</v>
      </c>
      <c r="X239" s="858"/>
      <c r="Y239" s="858"/>
      <c r="Z239" s="858"/>
      <c r="AA239" s="859">
        <v>704</v>
      </c>
      <c r="AB239" s="859"/>
      <c r="AC239" s="858">
        <v>93</v>
      </c>
      <c r="AD239" s="858">
        <v>39</v>
      </c>
      <c r="AE239" s="858">
        <v>30</v>
      </c>
      <c r="AF239" s="858"/>
      <c r="AG239" s="859">
        <v>162</v>
      </c>
      <c r="AH239" s="863">
        <f t="shared" ref="AH239:AK239" si="211">AH245+AH251+AH257+AH263+AH269+AH275+AH281+AH287+AH293+AH299+AH305+AH311+AH317</f>
        <v>0</v>
      </c>
      <c r="AI239" s="862">
        <f t="shared" si="211"/>
        <v>0</v>
      </c>
      <c r="AJ239" s="870">
        <f t="shared" si="211"/>
        <v>0</v>
      </c>
      <c r="AK239" s="863">
        <f t="shared" si="211"/>
        <v>0</v>
      </c>
      <c r="AL239" s="209"/>
      <c r="AM239" s="209"/>
    </row>
    <row r="240" spans="1:39" s="80" customFormat="1">
      <c r="A240" s="239"/>
      <c r="B240" s="239" t="s">
        <v>78</v>
      </c>
      <c r="C240" s="832">
        <f>IF(U242&gt;0,(U240/U242),0)</f>
        <v>5.811540058115401E-3</v>
      </c>
      <c r="D240" s="830">
        <f t="shared" ref="D240:S240" si="212">IF(V242&gt;0,(V240/V242),0)</f>
        <v>0</v>
      </c>
      <c r="E240" s="830">
        <f t="shared" si="212"/>
        <v>0.19270833333333334</v>
      </c>
      <c r="F240" s="830">
        <f t="shared" si="212"/>
        <v>0</v>
      </c>
      <c r="G240" s="830">
        <f t="shared" si="212"/>
        <v>0</v>
      </c>
      <c r="H240" s="830">
        <f t="shared" si="212"/>
        <v>0</v>
      </c>
      <c r="I240" s="832">
        <f t="shared" si="212"/>
        <v>4.1876046901172533E-2</v>
      </c>
      <c r="J240" s="832">
        <f t="shared" si="212"/>
        <v>0</v>
      </c>
      <c r="K240" s="830">
        <f t="shared" si="212"/>
        <v>7.9734219269102985E-2</v>
      </c>
      <c r="L240" s="830">
        <f t="shared" si="212"/>
        <v>0.78534031413612571</v>
      </c>
      <c r="M240" s="830">
        <f t="shared" si="212"/>
        <v>0.33333333333333331</v>
      </c>
      <c r="N240" s="830">
        <f t="shared" si="212"/>
        <v>0</v>
      </c>
      <c r="O240" s="832">
        <f t="shared" si="212"/>
        <v>0.48629385964912281</v>
      </c>
      <c r="P240" s="832">
        <f t="shared" si="212"/>
        <v>0</v>
      </c>
      <c r="Q240" s="830">
        <f t="shared" si="212"/>
        <v>0</v>
      </c>
      <c r="R240" s="833">
        <f t="shared" si="212"/>
        <v>0</v>
      </c>
      <c r="S240" s="832">
        <f t="shared" si="212"/>
        <v>0</v>
      </c>
      <c r="T240" s="213"/>
      <c r="U240" s="858">
        <v>14</v>
      </c>
      <c r="V240" s="858"/>
      <c r="W240" s="858">
        <v>111</v>
      </c>
      <c r="X240" s="858"/>
      <c r="Y240" s="858"/>
      <c r="Z240" s="858"/>
      <c r="AA240" s="859">
        <v>125</v>
      </c>
      <c r="AB240" s="859"/>
      <c r="AC240" s="858">
        <v>48</v>
      </c>
      <c r="AD240" s="858">
        <v>750</v>
      </c>
      <c r="AE240" s="858">
        <v>89</v>
      </c>
      <c r="AF240" s="858"/>
      <c r="AG240" s="859">
        <v>887</v>
      </c>
      <c r="AH240" s="863">
        <f t="shared" ref="AH240:AK240" si="213">AH246+AH252+AH258+AH264+AH270+AH276+AH282+AH288+AH294+AH300+AH306+AH312+AH318</f>
        <v>0</v>
      </c>
      <c r="AI240" s="862">
        <f t="shared" si="213"/>
        <v>0</v>
      </c>
      <c r="AJ240" s="870">
        <f t="shared" si="213"/>
        <v>0</v>
      </c>
      <c r="AK240" s="863">
        <f t="shared" si="213"/>
        <v>0</v>
      </c>
      <c r="AL240" s="209"/>
      <c r="AM240" s="209"/>
    </row>
    <row r="241" spans="1:39" s="80" customFormat="1">
      <c r="A241" s="580"/>
      <c r="B241" s="580" t="s">
        <v>131</v>
      </c>
      <c r="C241" s="832">
        <f>IF(U242&gt;0,(U241/U242),0)</f>
        <v>0.1012868410128684</v>
      </c>
      <c r="D241" s="830">
        <f t="shared" ref="D241:S241" si="214">IF(V242&gt;0,(V241/V242),0)</f>
        <v>0</v>
      </c>
      <c r="E241" s="830">
        <f t="shared" si="214"/>
        <v>0</v>
      </c>
      <c r="F241" s="830">
        <f t="shared" si="214"/>
        <v>0</v>
      </c>
      <c r="G241" s="830">
        <f t="shared" si="214"/>
        <v>0</v>
      </c>
      <c r="H241" s="830">
        <f t="shared" si="214"/>
        <v>0</v>
      </c>
      <c r="I241" s="832">
        <f t="shared" si="214"/>
        <v>8.1742043551088772E-2</v>
      </c>
      <c r="J241" s="832">
        <f t="shared" si="214"/>
        <v>0</v>
      </c>
      <c r="K241" s="830">
        <f t="shared" si="214"/>
        <v>0.55149501661129563</v>
      </c>
      <c r="L241" s="830">
        <f t="shared" si="214"/>
        <v>0.12356020942408377</v>
      </c>
      <c r="M241" s="830">
        <f t="shared" si="214"/>
        <v>0.14981273408239701</v>
      </c>
      <c r="N241" s="830">
        <f t="shared" si="214"/>
        <v>0</v>
      </c>
      <c r="O241" s="832">
        <f t="shared" si="214"/>
        <v>0.26864035087719296</v>
      </c>
      <c r="P241" s="832">
        <f t="shared" si="214"/>
        <v>0</v>
      </c>
      <c r="Q241" s="830">
        <f t="shared" si="214"/>
        <v>0</v>
      </c>
      <c r="R241" s="833">
        <f t="shared" si="214"/>
        <v>0</v>
      </c>
      <c r="S241" s="832">
        <f t="shared" si="214"/>
        <v>0</v>
      </c>
      <c r="T241" s="213"/>
      <c r="U241" s="858">
        <v>244</v>
      </c>
      <c r="V241" s="858"/>
      <c r="W241" s="858"/>
      <c r="X241" s="858"/>
      <c r="Y241" s="858"/>
      <c r="Z241" s="858"/>
      <c r="AA241" s="859">
        <v>244</v>
      </c>
      <c r="AB241" s="859"/>
      <c r="AC241" s="858">
        <v>332</v>
      </c>
      <c r="AD241" s="858">
        <v>118</v>
      </c>
      <c r="AE241" s="858">
        <v>40</v>
      </c>
      <c r="AF241" s="858"/>
      <c r="AG241" s="859">
        <v>490</v>
      </c>
      <c r="AH241" s="863">
        <f t="shared" ref="AH241:AK241" si="215">AH247+AH253+AH259+AH265+AH271+AH277+AH283+AH289+AH295+AH301+AH307+AH313+AH319</f>
        <v>0</v>
      </c>
      <c r="AI241" s="862">
        <f t="shared" si="215"/>
        <v>0</v>
      </c>
      <c r="AJ241" s="870">
        <f t="shared" si="215"/>
        <v>0</v>
      </c>
      <c r="AK241" s="863">
        <f t="shared" si="215"/>
        <v>0</v>
      </c>
      <c r="AL241" s="209"/>
      <c r="AM241" s="209"/>
    </row>
    <row r="242" spans="1:39" s="80" customFormat="1">
      <c r="A242" s="436"/>
      <c r="B242" s="436" t="s">
        <v>59</v>
      </c>
      <c r="C242" s="834">
        <f>IF(U242&gt;0,(U242/U242),0)</f>
        <v>1</v>
      </c>
      <c r="D242" s="835">
        <f t="shared" ref="D242:S242" si="216">IF(V242&gt;0,(V242/V242),0)</f>
        <v>0</v>
      </c>
      <c r="E242" s="835">
        <f t="shared" si="216"/>
        <v>1</v>
      </c>
      <c r="F242" s="835">
        <f t="shared" si="216"/>
        <v>0</v>
      </c>
      <c r="G242" s="835">
        <f t="shared" si="216"/>
        <v>0</v>
      </c>
      <c r="H242" s="835">
        <f t="shared" si="216"/>
        <v>0</v>
      </c>
      <c r="I242" s="834">
        <f t="shared" si="216"/>
        <v>1</v>
      </c>
      <c r="J242" s="834">
        <f t="shared" si="216"/>
        <v>0</v>
      </c>
      <c r="K242" s="835">
        <f t="shared" si="216"/>
        <v>1</v>
      </c>
      <c r="L242" s="835">
        <f t="shared" si="216"/>
        <v>1</v>
      </c>
      <c r="M242" s="835">
        <f t="shared" si="216"/>
        <v>1</v>
      </c>
      <c r="N242" s="835">
        <f t="shared" si="216"/>
        <v>0</v>
      </c>
      <c r="O242" s="834">
        <f t="shared" si="216"/>
        <v>1</v>
      </c>
      <c r="P242" s="834">
        <f t="shared" si="216"/>
        <v>0</v>
      </c>
      <c r="Q242" s="835">
        <f t="shared" si="216"/>
        <v>0</v>
      </c>
      <c r="R242" s="836">
        <f t="shared" si="216"/>
        <v>0</v>
      </c>
      <c r="S242" s="834">
        <f t="shared" si="216"/>
        <v>0</v>
      </c>
      <c r="T242" s="213"/>
      <c r="U242" s="871">
        <v>2409</v>
      </c>
      <c r="V242" s="871"/>
      <c r="W242" s="871">
        <v>576</v>
      </c>
      <c r="X242" s="871"/>
      <c r="Y242" s="871"/>
      <c r="Z242" s="871"/>
      <c r="AA242" s="864">
        <v>2985</v>
      </c>
      <c r="AB242" s="864"/>
      <c r="AC242" s="871">
        <v>602</v>
      </c>
      <c r="AD242" s="871">
        <v>955</v>
      </c>
      <c r="AE242" s="871">
        <v>267</v>
      </c>
      <c r="AF242" s="871"/>
      <c r="AG242" s="864">
        <v>1824</v>
      </c>
      <c r="AH242" s="872">
        <f t="shared" ref="AH242:AK242" si="217">AH248+AH254+AH260+AH266+AH272+AH278+AH284+AH290+AH296+AH302+AH308+AH314+AH320</f>
        <v>0</v>
      </c>
      <c r="AI242" s="873">
        <f t="shared" si="217"/>
        <v>0</v>
      </c>
      <c r="AJ242" s="874">
        <f t="shared" si="217"/>
        <v>0</v>
      </c>
      <c r="AK242" s="872">
        <f t="shared" si="217"/>
        <v>0</v>
      </c>
      <c r="AL242" s="209"/>
      <c r="AM242" s="209"/>
    </row>
    <row r="243" spans="1:39" s="80" customFormat="1">
      <c r="A243" s="240" t="s">
        <v>146</v>
      </c>
      <c r="B243" s="240" t="s">
        <v>53</v>
      </c>
      <c r="C243" s="829">
        <f>IF(U248&gt;0,(U243/U248),0)</f>
        <v>0.31736526946107785</v>
      </c>
      <c r="D243" s="830">
        <f t="shared" ref="D243:S243" si="218">IF(V248&gt;0,(V243/V248),0)</f>
        <v>0</v>
      </c>
      <c r="E243" s="830">
        <f t="shared" si="218"/>
        <v>0.2638888888888889</v>
      </c>
      <c r="F243" s="830">
        <f t="shared" si="218"/>
        <v>0.22137404580152673</v>
      </c>
      <c r="G243" s="830">
        <f t="shared" si="218"/>
        <v>0</v>
      </c>
      <c r="H243" s="830">
        <f t="shared" si="218"/>
        <v>0</v>
      </c>
      <c r="I243" s="829">
        <f t="shared" si="218"/>
        <v>0.29203539823008851</v>
      </c>
      <c r="J243" s="829">
        <f t="shared" si="218"/>
        <v>0</v>
      </c>
      <c r="K243" s="830">
        <f t="shared" si="218"/>
        <v>0.35607675906183367</v>
      </c>
      <c r="L243" s="830">
        <f t="shared" si="218"/>
        <v>0.20477815699658702</v>
      </c>
      <c r="M243" s="830">
        <f t="shared" si="218"/>
        <v>7.2104018912529558E-2</v>
      </c>
      <c r="N243" s="830">
        <f t="shared" si="218"/>
        <v>0</v>
      </c>
      <c r="O243" s="829">
        <f t="shared" si="218"/>
        <v>0.17910447761194029</v>
      </c>
      <c r="P243" s="829">
        <f t="shared" si="218"/>
        <v>0</v>
      </c>
      <c r="Q243" s="830">
        <f t="shared" si="218"/>
        <v>0</v>
      </c>
      <c r="R243" s="831">
        <f t="shared" si="218"/>
        <v>0</v>
      </c>
      <c r="S243" s="829">
        <f t="shared" si="218"/>
        <v>0</v>
      </c>
      <c r="T243" s="213"/>
      <c r="U243" s="858">
        <v>689</v>
      </c>
      <c r="V243" s="858"/>
      <c r="W243" s="858">
        <v>342</v>
      </c>
      <c r="X243" s="858">
        <v>58</v>
      </c>
      <c r="Y243" s="858"/>
      <c r="Z243" s="858"/>
      <c r="AA243" s="857">
        <v>1089</v>
      </c>
      <c r="AB243" s="857"/>
      <c r="AC243" s="858">
        <v>167</v>
      </c>
      <c r="AD243" s="858">
        <v>60</v>
      </c>
      <c r="AE243" s="858">
        <v>61</v>
      </c>
      <c r="AF243" s="858"/>
      <c r="AG243" s="857">
        <v>288</v>
      </c>
      <c r="AH243" s="861">
        <f t="shared" ref="AH243:AK243" si="219">AH249+AH255+AH261+AH267+AH273+AH279+AH285+AH291+AH297+AH303+AH309+AH315+AH321</f>
        <v>0</v>
      </c>
      <c r="AI243" s="862">
        <f t="shared" si="219"/>
        <v>0</v>
      </c>
      <c r="AJ243" s="869">
        <f t="shared" si="219"/>
        <v>0</v>
      </c>
      <c r="AK243" s="861">
        <f t="shared" si="219"/>
        <v>0</v>
      </c>
      <c r="AL243" s="209"/>
      <c r="AM243" s="209"/>
    </row>
    <row r="244" spans="1:39" s="80" customFormat="1">
      <c r="A244" s="239"/>
      <c r="B244" s="239" t="s">
        <v>93</v>
      </c>
      <c r="C244" s="832">
        <f>IF(U248&gt;0,(U244/U248),0)</f>
        <v>0.29525564256103176</v>
      </c>
      <c r="D244" s="830">
        <f t="shared" ref="D244:S244" si="220">IF(V248&gt;0,(V244/V248),0)</f>
        <v>0</v>
      </c>
      <c r="E244" s="830">
        <f t="shared" si="220"/>
        <v>0.28009259259259262</v>
      </c>
      <c r="F244" s="830">
        <f t="shared" si="220"/>
        <v>0.30916030534351147</v>
      </c>
      <c r="G244" s="830">
        <f t="shared" si="220"/>
        <v>0</v>
      </c>
      <c r="H244" s="830">
        <f t="shared" si="220"/>
        <v>0</v>
      </c>
      <c r="I244" s="832">
        <f t="shared" si="220"/>
        <v>0.29096272459104316</v>
      </c>
      <c r="J244" s="832">
        <f t="shared" si="220"/>
        <v>0</v>
      </c>
      <c r="K244" s="830">
        <f t="shared" si="220"/>
        <v>0.21748400852878466</v>
      </c>
      <c r="L244" s="830">
        <f t="shared" si="220"/>
        <v>9.556313993174062E-2</v>
      </c>
      <c r="M244" s="830">
        <f t="shared" si="220"/>
        <v>3.664302600472813E-2</v>
      </c>
      <c r="N244" s="830">
        <f t="shared" si="220"/>
        <v>0</v>
      </c>
      <c r="O244" s="832">
        <f t="shared" si="220"/>
        <v>0.10012437810945274</v>
      </c>
      <c r="P244" s="832">
        <f t="shared" si="220"/>
        <v>0</v>
      </c>
      <c r="Q244" s="830">
        <f t="shared" si="220"/>
        <v>0</v>
      </c>
      <c r="R244" s="833">
        <f t="shared" si="220"/>
        <v>0</v>
      </c>
      <c r="S244" s="832">
        <f t="shared" si="220"/>
        <v>0</v>
      </c>
      <c r="T244" s="213"/>
      <c r="U244" s="858">
        <v>641</v>
      </c>
      <c r="V244" s="858"/>
      <c r="W244" s="858">
        <v>363</v>
      </c>
      <c r="X244" s="858">
        <v>81</v>
      </c>
      <c r="Y244" s="858"/>
      <c r="Z244" s="858"/>
      <c r="AA244" s="859">
        <v>1085</v>
      </c>
      <c r="AB244" s="859"/>
      <c r="AC244" s="858">
        <v>102</v>
      </c>
      <c r="AD244" s="858">
        <v>28</v>
      </c>
      <c r="AE244" s="858">
        <v>31</v>
      </c>
      <c r="AF244" s="858"/>
      <c r="AG244" s="859">
        <v>161</v>
      </c>
      <c r="AH244" s="863">
        <f t="shared" ref="AH244:AK244" si="221">AH250+AH256+AH262+AH268+AH274+AH280+AH286+AH292+AH298+AH304+AH310+AH316+AH322</f>
        <v>0</v>
      </c>
      <c r="AI244" s="862">
        <f t="shared" si="221"/>
        <v>0</v>
      </c>
      <c r="AJ244" s="870">
        <f t="shared" si="221"/>
        <v>0</v>
      </c>
      <c r="AK244" s="863">
        <f t="shared" si="221"/>
        <v>0</v>
      </c>
      <c r="AL244" s="209"/>
      <c r="AM244" s="209"/>
    </row>
    <row r="245" spans="1:39" s="80" customFormat="1">
      <c r="A245" s="239"/>
      <c r="B245" s="239" t="s">
        <v>55</v>
      </c>
      <c r="C245" s="832">
        <f>IF(U248&gt;0,(U245/U248),0)</f>
        <v>0.28466144633809304</v>
      </c>
      <c r="D245" s="830">
        <f t="shared" ref="D245:S245" si="222">IF(V248&gt;0,(V245/V248),0)</f>
        <v>0</v>
      </c>
      <c r="E245" s="830">
        <f t="shared" si="222"/>
        <v>0.26543209876543211</v>
      </c>
      <c r="F245" s="830">
        <f t="shared" si="222"/>
        <v>0.25572519083969464</v>
      </c>
      <c r="G245" s="830">
        <f t="shared" si="222"/>
        <v>0</v>
      </c>
      <c r="H245" s="830">
        <f t="shared" si="222"/>
        <v>0</v>
      </c>
      <c r="I245" s="832">
        <f t="shared" si="222"/>
        <v>0.27594529364440867</v>
      </c>
      <c r="J245" s="832">
        <f t="shared" si="222"/>
        <v>0</v>
      </c>
      <c r="K245" s="830">
        <f t="shared" si="222"/>
        <v>0.1023454157782516</v>
      </c>
      <c r="L245" s="830">
        <f t="shared" si="222"/>
        <v>5.8020477815699661E-2</v>
      </c>
      <c r="M245" s="830">
        <f t="shared" si="222"/>
        <v>1.6548463356973995E-2</v>
      </c>
      <c r="N245" s="830">
        <f t="shared" si="222"/>
        <v>0</v>
      </c>
      <c r="O245" s="832">
        <f t="shared" si="222"/>
        <v>4.9129353233830844E-2</v>
      </c>
      <c r="P245" s="832">
        <f t="shared" si="222"/>
        <v>0</v>
      </c>
      <c r="Q245" s="830">
        <f t="shared" si="222"/>
        <v>0</v>
      </c>
      <c r="R245" s="833">
        <f t="shared" si="222"/>
        <v>0</v>
      </c>
      <c r="S245" s="832">
        <f t="shared" si="222"/>
        <v>0</v>
      </c>
      <c r="T245" s="213"/>
      <c r="U245" s="858">
        <v>618</v>
      </c>
      <c r="V245" s="858"/>
      <c r="W245" s="858">
        <v>344</v>
      </c>
      <c r="X245" s="858">
        <v>67</v>
      </c>
      <c r="Y245" s="858"/>
      <c r="Z245" s="858"/>
      <c r="AA245" s="859">
        <v>1029</v>
      </c>
      <c r="AB245" s="859"/>
      <c r="AC245" s="858">
        <v>48</v>
      </c>
      <c r="AD245" s="858">
        <v>17</v>
      </c>
      <c r="AE245" s="858">
        <v>14</v>
      </c>
      <c r="AF245" s="858"/>
      <c r="AG245" s="859">
        <v>79</v>
      </c>
      <c r="AH245" s="863">
        <f t="shared" ref="AH245:AK245" si="223">AH251+AH257+AH263+AH269+AH275+AH281+AH287+AH293+AH299+AH305+AH311+AH317+AH323</f>
        <v>0</v>
      </c>
      <c r="AI245" s="862">
        <f t="shared" si="223"/>
        <v>0</v>
      </c>
      <c r="AJ245" s="870">
        <f t="shared" si="223"/>
        <v>0</v>
      </c>
      <c r="AK245" s="863">
        <f t="shared" si="223"/>
        <v>0</v>
      </c>
      <c r="AL245" s="209"/>
      <c r="AM245" s="209"/>
    </row>
    <row r="246" spans="1:39" s="80" customFormat="1">
      <c r="A246" s="239"/>
      <c r="B246" s="239" t="s">
        <v>78</v>
      </c>
      <c r="C246" s="832">
        <f>IF(U248&gt;0,(U246/U248),0)</f>
        <v>7.8304928604329804E-2</v>
      </c>
      <c r="D246" s="830">
        <f t="shared" ref="D246:S246" si="224">IF(V248&gt;0,(V246/V248),0)</f>
        <v>0</v>
      </c>
      <c r="E246" s="830">
        <f t="shared" si="224"/>
        <v>0.16049382716049382</v>
      </c>
      <c r="F246" s="830">
        <f t="shared" si="224"/>
        <v>1.5267175572519083E-2</v>
      </c>
      <c r="G246" s="830">
        <f t="shared" si="224"/>
        <v>0</v>
      </c>
      <c r="H246" s="830">
        <f t="shared" si="224"/>
        <v>0</v>
      </c>
      <c r="I246" s="832">
        <f t="shared" si="224"/>
        <v>0.1024403325288281</v>
      </c>
      <c r="J246" s="832">
        <f t="shared" si="224"/>
        <v>0</v>
      </c>
      <c r="K246" s="830">
        <f t="shared" si="224"/>
        <v>0.32409381663113007</v>
      </c>
      <c r="L246" s="830">
        <f t="shared" si="224"/>
        <v>0.63822525597269619</v>
      </c>
      <c r="M246" s="830">
        <f t="shared" si="224"/>
        <v>0.73522458628841603</v>
      </c>
      <c r="N246" s="830">
        <f t="shared" si="224"/>
        <v>0</v>
      </c>
      <c r="O246" s="832">
        <f t="shared" si="224"/>
        <v>0.59763681592039797</v>
      </c>
      <c r="P246" s="832">
        <f t="shared" si="224"/>
        <v>0</v>
      </c>
      <c r="Q246" s="830">
        <f t="shared" si="224"/>
        <v>0</v>
      </c>
      <c r="R246" s="833">
        <f t="shared" si="224"/>
        <v>0</v>
      </c>
      <c r="S246" s="832">
        <f t="shared" si="224"/>
        <v>0</v>
      </c>
      <c r="T246" s="213"/>
      <c r="U246" s="858">
        <v>170</v>
      </c>
      <c r="V246" s="858"/>
      <c r="W246" s="858">
        <v>208</v>
      </c>
      <c r="X246" s="858">
        <v>4</v>
      </c>
      <c r="Y246" s="858"/>
      <c r="Z246" s="858"/>
      <c r="AA246" s="859">
        <v>382</v>
      </c>
      <c r="AB246" s="859"/>
      <c r="AC246" s="858">
        <v>152</v>
      </c>
      <c r="AD246" s="858">
        <v>187</v>
      </c>
      <c r="AE246" s="858">
        <v>622</v>
      </c>
      <c r="AF246" s="858"/>
      <c r="AG246" s="859">
        <v>961</v>
      </c>
      <c r="AH246" s="863">
        <f t="shared" ref="AH246:AK246" si="225">AH252+AH258+AH264+AH270+AH276+AH282+AH288+AH294+AH300+AH306+AH312+AH318+AH324</f>
        <v>0</v>
      </c>
      <c r="AI246" s="862">
        <f t="shared" si="225"/>
        <v>0</v>
      </c>
      <c r="AJ246" s="870">
        <f t="shared" si="225"/>
        <v>0</v>
      </c>
      <c r="AK246" s="863">
        <f t="shared" si="225"/>
        <v>0</v>
      </c>
      <c r="AL246" s="209"/>
      <c r="AM246" s="209"/>
    </row>
    <row r="247" spans="1:39" s="80" customFormat="1">
      <c r="A247" s="580"/>
      <c r="B247" s="580" t="s">
        <v>131</v>
      </c>
      <c r="C247" s="832">
        <f>IF(U248&gt;0,(U247/U248),0)</f>
        <v>2.4412713035467527E-2</v>
      </c>
      <c r="D247" s="830">
        <f t="shared" ref="D247:S247" si="226">IF(V248&gt;0,(V247/V248),0)</f>
        <v>0</v>
      </c>
      <c r="E247" s="830">
        <f t="shared" si="226"/>
        <v>3.0092592592592591E-2</v>
      </c>
      <c r="F247" s="830">
        <f t="shared" si="226"/>
        <v>0.19847328244274809</v>
      </c>
      <c r="G247" s="830">
        <f t="shared" si="226"/>
        <v>0</v>
      </c>
      <c r="H247" s="830">
        <f t="shared" si="226"/>
        <v>0</v>
      </c>
      <c r="I247" s="832">
        <f t="shared" si="226"/>
        <v>3.8616251005631534E-2</v>
      </c>
      <c r="J247" s="832">
        <f t="shared" si="226"/>
        <v>0</v>
      </c>
      <c r="K247" s="830">
        <f t="shared" si="226"/>
        <v>0</v>
      </c>
      <c r="L247" s="830">
        <f t="shared" si="226"/>
        <v>3.4129692832764505E-3</v>
      </c>
      <c r="M247" s="830">
        <f t="shared" si="226"/>
        <v>0.13947990543735225</v>
      </c>
      <c r="N247" s="830">
        <f t="shared" si="226"/>
        <v>0</v>
      </c>
      <c r="O247" s="832">
        <f t="shared" si="226"/>
        <v>7.4004975124378106E-2</v>
      </c>
      <c r="P247" s="832">
        <f t="shared" si="226"/>
        <v>0</v>
      </c>
      <c r="Q247" s="830">
        <f t="shared" si="226"/>
        <v>0</v>
      </c>
      <c r="R247" s="833">
        <f t="shared" si="226"/>
        <v>0</v>
      </c>
      <c r="S247" s="832">
        <f t="shared" si="226"/>
        <v>0</v>
      </c>
      <c r="T247" s="213"/>
      <c r="U247" s="858">
        <v>53</v>
      </c>
      <c r="V247" s="858"/>
      <c r="W247" s="858">
        <v>39</v>
      </c>
      <c r="X247" s="858">
        <v>52</v>
      </c>
      <c r="Y247" s="858"/>
      <c r="Z247" s="858"/>
      <c r="AA247" s="859">
        <v>144</v>
      </c>
      <c r="AB247" s="859"/>
      <c r="AC247" s="858"/>
      <c r="AD247" s="858">
        <v>1</v>
      </c>
      <c r="AE247" s="858">
        <v>118</v>
      </c>
      <c r="AF247" s="858"/>
      <c r="AG247" s="859">
        <v>119</v>
      </c>
      <c r="AH247" s="863">
        <f t="shared" ref="AH247:AK247" si="227">AH253+AH259+AH265+AH271+AH277+AH283+AH289+AH295+AH301+AH307+AH313+AH319+AH325</f>
        <v>0</v>
      </c>
      <c r="AI247" s="862">
        <f t="shared" si="227"/>
        <v>0</v>
      </c>
      <c r="AJ247" s="870">
        <f t="shared" si="227"/>
        <v>0</v>
      </c>
      <c r="AK247" s="863">
        <f t="shared" si="227"/>
        <v>0</v>
      </c>
      <c r="AL247" s="209"/>
      <c r="AM247" s="209"/>
    </row>
    <row r="248" spans="1:39" s="80" customFormat="1">
      <c r="A248" s="436"/>
      <c r="B248" s="436" t="s">
        <v>59</v>
      </c>
      <c r="C248" s="834">
        <f>IF(U248&gt;0,(U248/U248),0)</f>
        <v>1</v>
      </c>
      <c r="D248" s="835">
        <f t="shared" ref="D248:S248" si="228">IF(V248&gt;0,(V248/V248),0)</f>
        <v>0</v>
      </c>
      <c r="E248" s="835">
        <f t="shared" si="228"/>
        <v>1</v>
      </c>
      <c r="F248" s="835">
        <f t="shared" si="228"/>
        <v>1</v>
      </c>
      <c r="G248" s="835">
        <f t="shared" si="228"/>
        <v>0</v>
      </c>
      <c r="H248" s="835">
        <f t="shared" si="228"/>
        <v>0</v>
      </c>
      <c r="I248" s="834">
        <f t="shared" si="228"/>
        <v>1</v>
      </c>
      <c r="J248" s="834">
        <f t="shared" si="228"/>
        <v>0</v>
      </c>
      <c r="K248" s="835">
        <f t="shared" si="228"/>
        <v>1</v>
      </c>
      <c r="L248" s="835">
        <f t="shared" si="228"/>
        <v>1</v>
      </c>
      <c r="M248" s="835">
        <f t="shared" si="228"/>
        <v>1</v>
      </c>
      <c r="N248" s="835">
        <f t="shared" si="228"/>
        <v>0</v>
      </c>
      <c r="O248" s="834">
        <f t="shared" si="228"/>
        <v>1</v>
      </c>
      <c r="P248" s="834">
        <f t="shared" si="228"/>
        <v>0</v>
      </c>
      <c r="Q248" s="835">
        <f t="shared" si="228"/>
        <v>0</v>
      </c>
      <c r="R248" s="836">
        <f t="shared" si="228"/>
        <v>0</v>
      </c>
      <c r="S248" s="834">
        <f t="shared" si="228"/>
        <v>0</v>
      </c>
      <c r="T248" s="213"/>
      <c r="U248" s="871">
        <v>2171</v>
      </c>
      <c r="V248" s="871"/>
      <c r="W248" s="871">
        <v>1296</v>
      </c>
      <c r="X248" s="871">
        <v>262</v>
      </c>
      <c r="Y248" s="871"/>
      <c r="Z248" s="871"/>
      <c r="AA248" s="864">
        <v>3729</v>
      </c>
      <c r="AB248" s="864"/>
      <c r="AC248" s="871">
        <v>469</v>
      </c>
      <c r="AD248" s="871">
        <v>293</v>
      </c>
      <c r="AE248" s="871">
        <v>846</v>
      </c>
      <c r="AF248" s="871"/>
      <c r="AG248" s="864">
        <v>1608</v>
      </c>
      <c r="AH248" s="872">
        <f t="shared" ref="AH248:AK248" si="229">AH254+AH260+AH266+AH272+AH278+AH284+AH290+AH296+AH302+AH308+AH314+AH320+AH326</f>
        <v>0</v>
      </c>
      <c r="AI248" s="873">
        <f t="shared" si="229"/>
        <v>0</v>
      </c>
      <c r="AJ248" s="874">
        <f t="shared" si="229"/>
        <v>0</v>
      </c>
      <c r="AK248" s="872">
        <f t="shared" si="229"/>
        <v>0</v>
      </c>
      <c r="AL248" s="209"/>
      <c r="AM248" s="209"/>
    </row>
    <row r="249" spans="1:39" s="80" customFormat="1">
      <c r="A249" s="240" t="s">
        <v>149</v>
      </c>
      <c r="B249" s="240" t="s">
        <v>53</v>
      </c>
      <c r="C249" s="829">
        <f>IF(U254&gt;0,(U249/U254),0)</f>
        <v>0.34339562370228399</v>
      </c>
      <c r="D249" s="830">
        <f t="shared" ref="D249:S249" si="230">IF(V254&gt;0,(V249/V254),0)</f>
        <v>0.29275362318840581</v>
      </c>
      <c r="E249" s="830">
        <f t="shared" si="230"/>
        <v>0.29846938775510207</v>
      </c>
      <c r="F249" s="830">
        <f t="shared" si="230"/>
        <v>0.31222385861561119</v>
      </c>
      <c r="G249" s="830">
        <f t="shared" si="230"/>
        <v>0</v>
      </c>
      <c r="H249" s="830">
        <f t="shared" si="230"/>
        <v>0.28846153846153844</v>
      </c>
      <c r="I249" s="829">
        <f t="shared" si="230"/>
        <v>0.32217847769028873</v>
      </c>
      <c r="J249" s="829">
        <f t="shared" si="230"/>
        <v>0</v>
      </c>
      <c r="K249" s="830">
        <f t="shared" si="230"/>
        <v>0.20530451866404714</v>
      </c>
      <c r="L249" s="830">
        <f t="shared" si="230"/>
        <v>0.23809523809523808</v>
      </c>
      <c r="M249" s="830">
        <f t="shared" si="230"/>
        <v>0.21902017291066284</v>
      </c>
      <c r="N249" s="830">
        <f t="shared" si="230"/>
        <v>0</v>
      </c>
      <c r="O249" s="829">
        <f t="shared" si="230"/>
        <v>0.21339616290811175</v>
      </c>
      <c r="P249" s="829">
        <f t="shared" si="230"/>
        <v>0</v>
      </c>
      <c r="Q249" s="830">
        <f t="shared" si="230"/>
        <v>0</v>
      </c>
      <c r="R249" s="831">
        <f t="shared" si="230"/>
        <v>0</v>
      </c>
      <c r="S249" s="829">
        <f t="shared" si="230"/>
        <v>0</v>
      </c>
      <c r="T249" s="213"/>
      <c r="U249" s="858">
        <v>2150</v>
      </c>
      <c r="V249" s="858">
        <v>505</v>
      </c>
      <c r="W249" s="858">
        <v>819</v>
      </c>
      <c r="X249" s="858">
        <v>424</v>
      </c>
      <c r="Y249" s="858"/>
      <c r="Z249" s="858">
        <v>30</v>
      </c>
      <c r="AA249" s="857">
        <v>3928</v>
      </c>
      <c r="AB249" s="857"/>
      <c r="AC249" s="858">
        <v>418</v>
      </c>
      <c r="AD249" s="858">
        <v>140</v>
      </c>
      <c r="AE249" s="858">
        <v>76</v>
      </c>
      <c r="AF249" s="858"/>
      <c r="AG249" s="857">
        <v>634</v>
      </c>
      <c r="AH249" s="861">
        <f t="shared" ref="AH249:AK249" si="231">AH255+AH261+AH267+AH273+AH279+AH285+AH291+AH297+AH303+AH309+AH315+AH321+AH327</f>
        <v>0</v>
      </c>
      <c r="AI249" s="862">
        <f t="shared" si="231"/>
        <v>0</v>
      </c>
      <c r="AJ249" s="869">
        <f t="shared" si="231"/>
        <v>0</v>
      </c>
      <c r="AK249" s="861">
        <f t="shared" si="231"/>
        <v>0</v>
      </c>
      <c r="AL249" s="209"/>
      <c r="AM249" s="209"/>
    </row>
    <row r="250" spans="1:39" s="80" customFormat="1">
      <c r="A250" s="239"/>
      <c r="B250" s="239" t="s">
        <v>93</v>
      </c>
      <c r="C250" s="832">
        <f>IF(U254&gt;0,(U250/U254),0)</f>
        <v>0.21785657243251877</v>
      </c>
      <c r="D250" s="830">
        <f t="shared" ref="D250:S250" si="232">IF(V254&gt;0,(V250/V254),0)</f>
        <v>0.34898550724637684</v>
      </c>
      <c r="E250" s="830">
        <f t="shared" si="232"/>
        <v>0.26166180758017493</v>
      </c>
      <c r="F250" s="830">
        <f t="shared" si="232"/>
        <v>0.25846833578792344</v>
      </c>
      <c r="G250" s="830">
        <f t="shared" si="232"/>
        <v>0</v>
      </c>
      <c r="H250" s="830">
        <f t="shared" si="232"/>
        <v>0.26923076923076922</v>
      </c>
      <c r="I250" s="832">
        <f t="shared" si="232"/>
        <v>0.25123031496062992</v>
      </c>
      <c r="J250" s="832">
        <f t="shared" si="232"/>
        <v>0</v>
      </c>
      <c r="K250" s="830">
        <f t="shared" si="232"/>
        <v>5.5992141453831044E-2</v>
      </c>
      <c r="L250" s="830">
        <f t="shared" si="232"/>
        <v>5.2721088435374153E-2</v>
      </c>
      <c r="M250" s="830">
        <f t="shared" si="232"/>
        <v>0</v>
      </c>
      <c r="N250" s="830">
        <f t="shared" si="232"/>
        <v>0</v>
      </c>
      <c r="O250" s="832">
        <f t="shared" si="232"/>
        <v>4.8805116122517672E-2</v>
      </c>
      <c r="P250" s="832">
        <f t="shared" si="232"/>
        <v>0</v>
      </c>
      <c r="Q250" s="830">
        <f t="shared" si="232"/>
        <v>0</v>
      </c>
      <c r="R250" s="833">
        <f t="shared" si="232"/>
        <v>0</v>
      </c>
      <c r="S250" s="832">
        <f t="shared" si="232"/>
        <v>0</v>
      </c>
      <c r="T250" s="213"/>
      <c r="U250" s="858">
        <v>1364</v>
      </c>
      <c r="V250" s="858">
        <v>602</v>
      </c>
      <c r="W250" s="858">
        <v>718</v>
      </c>
      <c r="X250" s="858">
        <v>351</v>
      </c>
      <c r="Y250" s="858"/>
      <c r="Z250" s="858">
        <v>28</v>
      </c>
      <c r="AA250" s="859">
        <v>3063</v>
      </c>
      <c r="AB250" s="859"/>
      <c r="AC250" s="858">
        <v>114</v>
      </c>
      <c r="AD250" s="858">
        <v>31</v>
      </c>
      <c r="AE250" s="858"/>
      <c r="AF250" s="858"/>
      <c r="AG250" s="859">
        <v>145</v>
      </c>
      <c r="AH250" s="863">
        <f t="shared" ref="AH250:AK250" si="233">AH256+AH262+AH268+AH274+AH280+AH286+AH292+AH298+AH304+AH310+AH316+AH322+AH328</f>
        <v>0</v>
      </c>
      <c r="AI250" s="862">
        <f t="shared" si="233"/>
        <v>0</v>
      </c>
      <c r="AJ250" s="870">
        <f t="shared" si="233"/>
        <v>0</v>
      </c>
      <c r="AK250" s="863">
        <f t="shared" si="233"/>
        <v>0</v>
      </c>
      <c r="AL250" s="209"/>
      <c r="AM250" s="209"/>
    </row>
    <row r="251" spans="1:39" s="80" customFormat="1">
      <c r="A251" s="239"/>
      <c r="B251" s="239" t="s">
        <v>55</v>
      </c>
      <c r="C251" s="832">
        <f>IF(U254&gt;0,(U251/U254),0)</f>
        <v>0.23494649417026034</v>
      </c>
      <c r="D251" s="830">
        <f t="shared" ref="D251:S251" si="234">IF(V254&gt;0,(V251/V254),0)</f>
        <v>0.25449275362318841</v>
      </c>
      <c r="E251" s="830">
        <f t="shared" si="234"/>
        <v>0.28717201166180756</v>
      </c>
      <c r="F251" s="830">
        <f t="shared" si="234"/>
        <v>0.26877761413843887</v>
      </c>
      <c r="G251" s="830">
        <f t="shared" si="234"/>
        <v>0</v>
      </c>
      <c r="H251" s="830">
        <f t="shared" si="234"/>
        <v>0.41346153846153844</v>
      </c>
      <c r="I251" s="832">
        <f t="shared" si="234"/>
        <v>0.254757217847769</v>
      </c>
      <c r="J251" s="832">
        <f t="shared" si="234"/>
        <v>0</v>
      </c>
      <c r="K251" s="830">
        <f t="shared" si="234"/>
        <v>4.6660117878192534E-2</v>
      </c>
      <c r="L251" s="830">
        <f t="shared" si="234"/>
        <v>7.6530612244897961E-2</v>
      </c>
      <c r="M251" s="830">
        <f t="shared" si="234"/>
        <v>0</v>
      </c>
      <c r="N251" s="830">
        <f t="shared" si="234"/>
        <v>0</v>
      </c>
      <c r="O251" s="832">
        <f t="shared" si="234"/>
        <v>4.7122181083810166E-2</v>
      </c>
      <c r="P251" s="832">
        <f t="shared" si="234"/>
        <v>0</v>
      </c>
      <c r="Q251" s="830">
        <f t="shared" si="234"/>
        <v>0</v>
      </c>
      <c r="R251" s="833">
        <f t="shared" si="234"/>
        <v>0</v>
      </c>
      <c r="S251" s="832">
        <f t="shared" si="234"/>
        <v>0</v>
      </c>
      <c r="T251" s="213"/>
      <c r="U251" s="858">
        <v>1471</v>
      </c>
      <c r="V251" s="858">
        <v>439</v>
      </c>
      <c r="W251" s="858">
        <v>788</v>
      </c>
      <c r="X251" s="858">
        <v>365</v>
      </c>
      <c r="Y251" s="858"/>
      <c r="Z251" s="858">
        <v>43</v>
      </c>
      <c r="AA251" s="859">
        <v>3106</v>
      </c>
      <c r="AB251" s="859"/>
      <c r="AC251" s="858">
        <v>95</v>
      </c>
      <c r="AD251" s="858">
        <v>45</v>
      </c>
      <c r="AE251" s="858"/>
      <c r="AF251" s="858"/>
      <c r="AG251" s="859">
        <v>140</v>
      </c>
      <c r="AH251" s="863">
        <f t="shared" ref="AH251:AK251" si="235">AH257+AH263+AH269+AH275+AH281+AH287+AH293+AH299+AH305+AH311+AH317+AH323+AH329</f>
        <v>0</v>
      </c>
      <c r="AI251" s="862">
        <f t="shared" si="235"/>
        <v>0</v>
      </c>
      <c r="AJ251" s="870">
        <f t="shared" si="235"/>
        <v>0</v>
      </c>
      <c r="AK251" s="863">
        <f t="shared" si="235"/>
        <v>0</v>
      </c>
      <c r="AL251" s="209"/>
      <c r="AM251" s="209"/>
    </row>
    <row r="252" spans="1:39" s="80" customFormat="1">
      <c r="A252" s="239"/>
      <c r="B252" s="239" t="s">
        <v>78</v>
      </c>
      <c r="C252" s="832">
        <f>IF(U254&gt;0,(U252/U254),0)</f>
        <v>3.1943778949049671E-2</v>
      </c>
      <c r="D252" s="830">
        <f t="shared" ref="D252:S252" si="236">IF(V254&gt;0,(V252/V254),0)</f>
        <v>8.2898550724637685E-2</v>
      </c>
      <c r="E252" s="830">
        <f t="shared" si="236"/>
        <v>6.8513119533527692E-2</v>
      </c>
      <c r="F252" s="830">
        <f t="shared" si="236"/>
        <v>5.0810014727540501E-2</v>
      </c>
      <c r="G252" s="830">
        <f t="shared" si="236"/>
        <v>0</v>
      </c>
      <c r="H252" s="830">
        <f t="shared" si="236"/>
        <v>2.8846153846153848E-2</v>
      </c>
      <c r="I252" s="832">
        <f t="shared" si="236"/>
        <v>4.9458661417322837E-2</v>
      </c>
      <c r="J252" s="832">
        <f t="shared" si="236"/>
        <v>0</v>
      </c>
      <c r="K252" s="830">
        <f t="shared" si="236"/>
        <v>0.16895874263261296</v>
      </c>
      <c r="L252" s="830">
        <f t="shared" si="236"/>
        <v>0.48809523809523808</v>
      </c>
      <c r="M252" s="830">
        <f t="shared" si="236"/>
        <v>0.38328530259365995</v>
      </c>
      <c r="N252" s="830">
        <f t="shared" si="236"/>
        <v>0</v>
      </c>
      <c r="O252" s="832">
        <f t="shared" si="236"/>
        <v>0.25715247391450691</v>
      </c>
      <c r="P252" s="832">
        <f t="shared" si="236"/>
        <v>0</v>
      </c>
      <c r="Q252" s="830">
        <f t="shared" si="236"/>
        <v>0</v>
      </c>
      <c r="R252" s="833">
        <f t="shared" si="236"/>
        <v>0</v>
      </c>
      <c r="S252" s="832">
        <f t="shared" si="236"/>
        <v>0</v>
      </c>
      <c r="T252" s="213"/>
      <c r="U252" s="858">
        <v>200</v>
      </c>
      <c r="V252" s="858">
        <v>143</v>
      </c>
      <c r="W252" s="858">
        <v>188</v>
      </c>
      <c r="X252" s="858">
        <v>69</v>
      </c>
      <c r="Y252" s="858"/>
      <c r="Z252" s="858">
        <v>3</v>
      </c>
      <c r="AA252" s="859">
        <v>603</v>
      </c>
      <c r="AB252" s="859"/>
      <c r="AC252" s="858">
        <v>344</v>
      </c>
      <c r="AD252" s="858">
        <v>287</v>
      </c>
      <c r="AE252" s="858">
        <v>133</v>
      </c>
      <c r="AF252" s="858"/>
      <c r="AG252" s="859">
        <v>764</v>
      </c>
      <c r="AH252" s="863">
        <f t="shared" ref="AH252:AK252" si="237">AH258+AH264+AH270+AH276+AH282+AH288+AH294+AH300+AH306+AH312+AH318+AH324+AH330</f>
        <v>0</v>
      </c>
      <c r="AI252" s="862">
        <f t="shared" si="237"/>
        <v>0</v>
      </c>
      <c r="AJ252" s="870">
        <f t="shared" si="237"/>
        <v>0</v>
      </c>
      <c r="AK252" s="863">
        <f t="shared" si="237"/>
        <v>0</v>
      </c>
      <c r="AL252" s="209"/>
      <c r="AM252" s="209"/>
    </row>
    <row r="253" spans="1:39" s="80" customFormat="1">
      <c r="A253" s="580"/>
      <c r="B253" s="580" t="s">
        <v>131</v>
      </c>
      <c r="C253" s="832">
        <f>IF(U254&gt;0,(U253/U254),0)</f>
        <v>0.17185753074588725</v>
      </c>
      <c r="D253" s="830">
        <f t="shared" ref="D253:S253" si="238">IF(V254&gt;0,(V253/V254),0)</f>
        <v>2.0869565217391306E-2</v>
      </c>
      <c r="E253" s="830">
        <f t="shared" si="238"/>
        <v>8.4183673469387751E-2</v>
      </c>
      <c r="F253" s="830">
        <f t="shared" si="238"/>
        <v>0.10972017673048601</v>
      </c>
      <c r="G253" s="830">
        <f t="shared" si="238"/>
        <v>0</v>
      </c>
      <c r="H253" s="830">
        <f t="shared" si="238"/>
        <v>0</v>
      </c>
      <c r="I253" s="832">
        <f t="shared" si="238"/>
        <v>0.1223753280839895</v>
      </c>
      <c r="J253" s="832">
        <f t="shared" si="238"/>
        <v>0</v>
      </c>
      <c r="K253" s="830">
        <f t="shared" si="238"/>
        <v>0.5230844793713163</v>
      </c>
      <c r="L253" s="830">
        <f t="shared" si="238"/>
        <v>0.14455782312925169</v>
      </c>
      <c r="M253" s="830">
        <f t="shared" si="238"/>
        <v>0.39769452449567722</v>
      </c>
      <c r="N253" s="830">
        <f t="shared" si="238"/>
        <v>0</v>
      </c>
      <c r="O253" s="832">
        <f t="shared" si="238"/>
        <v>0.43352406597105353</v>
      </c>
      <c r="P253" s="832">
        <f t="shared" si="238"/>
        <v>0</v>
      </c>
      <c r="Q253" s="830">
        <f t="shared" si="238"/>
        <v>0</v>
      </c>
      <c r="R253" s="833">
        <f t="shared" si="238"/>
        <v>0</v>
      </c>
      <c r="S253" s="832">
        <f t="shared" si="238"/>
        <v>0</v>
      </c>
      <c r="T253" s="213"/>
      <c r="U253" s="858">
        <v>1076</v>
      </c>
      <c r="V253" s="858">
        <v>36</v>
      </c>
      <c r="W253" s="858">
        <v>231</v>
      </c>
      <c r="X253" s="858">
        <v>149</v>
      </c>
      <c r="Y253" s="858"/>
      <c r="Z253" s="858"/>
      <c r="AA253" s="859">
        <v>1492</v>
      </c>
      <c r="AB253" s="859"/>
      <c r="AC253" s="858">
        <v>1065</v>
      </c>
      <c r="AD253" s="858">
        <v>85</v>
      </c>
      <c r="AE253" s="858">
        <v>138</v>
      </c>
      <c r="AF253" s="858"/>
      <c r="AG253" s="859">
        <v>1288</v>
      </c>
      <c r="AH253" s="863">
        <f t="shared" ref="AH253:AK253" si="239">AH259+AH265+AH271+AH277+AH283+AH289+AH295+AH301+AH307+AH313+AH319+AH325+AH331</f>
        <v>0</v>
      </c>
      <c r="AI253" s="862">
        <f t="shared" si="239"/>
        <v>0</v>
      </c>
      <c r="AJ253" s="870">
        <f t="shared" si="239"/>
        <v>0</v>
      </c>
      <c r="AK253" s="863">
        <f t="shared" si="239"/>
        <v>0</v>
      </c>
      <c r="AL253" s="209"/>
      <c r="AM253" s="209"/>
    </row>
    <row r="254" spans="1:39" s="80" customFormat="1">
      <c r="A254" s="436"/>
      <c r="B254" s="436" t="s">
        <v>59</v>
      </c>
      <c r="C254" s="834">
        <f>IF(U254&gt;0,(U254/U254),0)</f>
        <v>1</v>
      </c>
      <c r="D254" s="835">
        <f t="shared" ref="D254:S254" si="240">IF(V254&gt;0,(V254/V254),0)</f>
        <v>1</v>
      </c>
      <c r="E254" s="835">
        <f t="shared" si="240"/>
        <v>1</v>
      </c>
      <c r="F254" s="835">
        <f t="shared" si="240"/>
        <v>1</v>
      </c>
      <c r="G254" s="835">
        <f t="shared" si="240"/>
        <v>0</v>
      </c>
      <c r="H254" s="835">
        <f t="shared" si="240"/>
        <v>1</v>
      </c>
      <c r="I254" s="834">
        <f t="shared" si="240"/>
        <v>1</v>
      </c>
      <c r="J254" s="834">
        <f t="shared" si="240"/>
        <v>0</v>
      </c>
      <c r="K254" s="835">
        <f t="shared" si="240"/>
        <v>1</v>
      </c>
      <c r="L254" s="835">
        <f t="shared" si="240"/>
        <v>1</v>
      </c>
      <c r="M254" s="835">
        <f t="shared" si="240"/>
        <v>1</v>
      </c>
      <c r="N254" s="835">
        <f t="shared" si="240"/>
        <v>0</v>
      </c>
      <c r="O254" s="834">
        <f t="shared" si="240"/>
        <v>1</v>
      </c>
      <c r="P254" s="834">
        <f t="shared" si="240"/>
        <v>0</v>
      </c>
      <c r="Q254" s="835">
        <f t="shared" si="240"/>
        <v>0</v>
      </c>
      <c r="R254" s="836">
        <f t="shared" si="240"/>
        <v>0</v>
      </c>
      <c r="S254" s="834">
        <f t="shared" si="240"/>
        <v>0</v>
      </c>
      <c r="T254" s="213"/>
      <c r="U254" s="871">
        <v>6261</v>
      </c>
      <c r="V254" s="871">
        <v>1725</v>
      </c>
      <c r="W254" s="871">
        <v>2744</v>
      </c>
      <c r="X254" s="871">
        <v>1358</v>
      </c>
      <c r="Y254" s="871"/>
      <c r="Z254" s="871">
        <v>104</v>
      </c>
      <c r="AA254" s="864">
        <v>12192</v>
      </c>
      <c r="AB254" s="864"/>
      <c r="AC254" s="871">
        <v>2036</v>
      </c>
      <c r="AD254" s="871">
        <v>588</v>
      </c>
      <c r="AE254" s="871">
        <v>347</v>
      </c>
      <c r="AF254" s="871"/>
      <c r="AG254" s="864">
        <v>2971</v>
      </c>
      <c r="AH254" s="872">
        <f t="shared" ref="AH254:AK254" si="241">AH260+AH266+AH272+AH278+AH284+AH290+AH296+AH302+AH308+AH314+AH320+AH326+AH332</f>
        <v>0</v>
      </c>
      <c r="AI254" s="873">
        <f t="shared" si="241"/>
        <v>0</v>
      </c>
      <c r="AJ254" s="874">
        <f t="shared" si="241"/>
        <v>0</v>
      </c>
      <c r="AK254" s="872">
        <f t="shared" si="241"/>
        <v>0</v>
      </c>
      <c r="AL254" s="209"/>
      <c r="AM254" s="209"/>
    </row>
    <row r="255" spans="1:39" s="80" customFormat="1">
      <c r="A255" s="240" t="s">
        <v>150</v>
      </c>
      <c r="B255" s="240" t="s">
        <v>53</v>
      </c>
      <c r="C255" s="829">
        <f>IF(U260&gt;0,(U255/U260),0)</f>
        <v>0.39833414992650662</v>
      </c>
      <c r="D255" s="830">
        <f t="shared" ref="D255:S255" si="242">IF(V260&gt;0,(V255/V260),0)</f>
        <v>0</v>
      </c>
      <c r="E255" s="830">
        <f t="shared" si="242"/>
        <v>0.31882116543871397</v>
      </c>
      <c r="F255" s="830">
        <f t="shared" si="242"/>
        <v>0.37366548042704628</v>
      </c>
      <c r="G255" s="830">
        <f t="shared" si="242"/>
        <v>0.37605042016806722</v>
      </c>
      <c r="H255" s="830">
        <f t="shared" si="242"/>
        <v>0.19774011299435029</v>
      </c>
      <c r="I255" s="829">
        <f t="shared" si="242"/>
        <v>0.36070751737207835</v>
      </c>
      <c r="J255" s="829">
        <f t="shared" si="242"/>
        <v>0</v>
      </c>
      <c r="K255" s="830">
        <f t="shared" si="242"/>
        <v>0</v>
      </c>
      <c r="L255" s="830">
        <f t="shared" si="242"/>
        <v>0</v>
      </c>
      <c r="M255" s="830">
        <f t="shared" si="242"/>
        <v>0</v>
      </c>
      <c r="N255" s="830">
        <f t="shared" si="242"/>
        <v>0</v>
      </c>
      <c r="O255" s="829">
        <f t="shared" si="242"/>
        <v>0</v>
      </c>
      <c r="P255" s="829">
        <f t="shared" si="242"/>
        <v>0</v>
      </c>
      <c r="Q255" s="830">
        <f t="shared" si="242"/>
        <v>0</v>
      </c>
      <c r="R255" s="831">
        <f t="shared" si="242"/>
        <v>0</v>
      </c>
      <c r="S255" s="829">
        <f t="shared" si="242"/>
        <v>0</v>
      </c>
      <c r="T255" s="213"/>
      <c r="U255" s="858">
        <v>813</v>
      </c>
      <c r="V255" s="858"/>
      <c r="W255" s="858">
        <v>476</v>
      </c>
      <c r="X255" s="858">
        <v>210</v>
      </c>
      <c r="Y255" s="858">
        <v>179</v>
      </c>
      <c r="Z255" s="858">
        <v>35</v>
      </c>
      <c r="AA255" s="857">
        <v>1713</v>
      </c>
      <c r="AB255" s="857"/>
      <c r="AC255" s="858"/>
      <c r="AD255" s="858"/>
      <c r="AE255" s="858"/>
      <c r="AF255" s="858"/>
      <c r="AG255" s="857"/>
      <c r="AH255" s="861">
        <f t="shared" ref="AH255:AK255" si="243">AH261+AH267+AH273+AH279+AH285+AH291+AH297+AH303+AH309+AH315+AH321+AH327+AH333</f>
        <v>0</v>
      </c>
      <c r="AI255" s="862">
        <f t="shared" si="243"/>
        <v>0</v>
      </c>
      <c r="AJ255" s="869">
        <f t="shared" si="243"/>
        <v>0</v>
      </c>
      <c r="AK255" s="861">
        <f t="shared" si="243"/>
        <v>0</v>
      </c>
      <c r="AL255" s="209"/>
      <c r="AM255" s="209"/>
    </row>
    <row r="256" spans="1:39" s="80" customFormat="1">
      <c r="A256" s="239"/>
      <c r="B256" s="239" t="s">
        <v>93</v>
      </c>
      <c r="C256" s="832">
        <f>IF(U260&gt;0,(U256/U260),0)</f>
        <v>0.25722684958353748</v>
      </c>
      <c r="D256" s="830">
        <f t="shared" ref="D256:S256" si="244">IF(V260&gt;0,(V256/V260),0)</f>
        <v>0</v>
      </c>
      <c r="E256" s="830">
        <f t="shared" si="244"/>
        <v>0.24112525117213665</v>
      </c>
      <c r="F256" s="830">
        <f t="shared" si="244"/>
        <v>0.26512455516014233</v>
      </c>
      <c r="G256" s="830">
        <f t="shared" si="244"/>
        <v>0.24159663865546219</v>
      </c>
      <c r="H256" s="830">
        <f t="shared" si="244"/>
        <v>0.31638418079096048</v>
      </c>
      <c r="I256" s="832">
        <f t="shared" si="244"/>
        <v>0.25373762897452096</v>
      </c>
      <c r="J256" s="832">
        <f t="shared" si="244"/>
        <v>0</v>
      </c>
      <c r="K256" s="830">
        <f t="shared" si="244"/>
        <v>0</v>
      </c>
      <c r="L256" s="830">
        <f t="shared" si="244"/>
        <v>0</v>
      </c>
      <c r="M256" s="830">
        <f t="shared" si="244"/>
        <v>0</v>
      </c>
      <c r="N256" s="830">
        <f t="shared" si="244"/>
        <v>0</v>
      </c>
      <c r="O256" s="832">
        <f t="shared" si="244"/>
        <v>0</v>
      </c>
      <c r="P256" s="832">
        <f t="shared" si="244"/>
        <v>0</v>
      </c>
      <c r="Q256" s="830">
        <f t="shared" si="244"/>
        <v>0</v>
      </c>
      <c r="R256" s="833">
        <f t="shared" si="244"/>
        <v>0</v>
      </c>
      <c r="S256" s="832">
        <f t="shared" si="244"/>
        <v>0</v>
      </c>
      <c r="T256" s="213"/>
      <c r="U256" s="858">
        <v>525</v>
      </c>
      <c r="V256" s="858"/>
      <c r="W256" s="858">
        <v>360</v>
      </c>
      <c r="X256" s="858">
        <v>149</v>
      </c>
      <c r="Y256" s="858">
        <v>115</v>
      </c>
      <c r="Z256" s="858">
        <v>56</v>
      </c>
      <c r="AA256" s="859">
        <v>1205</v>
      </c>
      <c r="AB256" s="859"/>
      <c r="AC256" s="858"/>
      <c r="AD256" s="858"/>
      <c r="AE256" s="858"/>
      <c r="AF256" s="858"/>
      <c r="AG256" s="859"/>
      <c r="AH256" s="863">
        <f t="shared" ref="AH256:AK256" si="245">AH262+AH268+AH274+AH280+AH286+AH292+AH298+AH304+AH310+AH316+AH322+AH328+AH334</f>
        <v>0</v>
      </c>
      <c r="AI256" s="862">
        <f t="shared" si="245"/>
        <v>0</v>
      </c>
      <c r="AJ256" s="870">
        <f t="shared" si="245"/>
        <v>0</v>
      </c>
      <c r="AK256" s="863">
        <f t="shared" si="245"/>
        <v>0</v>
      </c>
      <c r="AL256" s="209"/>
      <c r="AM256" s="209"/>
    </row>
    <row r="257" spans="1:39" s="80" customFormat="1">
      <c r="A257" s="239"/>
      <c r="B257" s="239" t="s">
        <v>55</v>
      </c>
      <c r="C257" s="832">
        <f>IF(U260&gt;0,(U257/U260),0)</f>
        <v>0.20186183243508085</v>
      </c>
      <c r="D257" s="830">
        <f t="shared" ref="D257:S257" si="246">IF(V260&gt;0,(V257/V260),0)</f>
        <v>0</v>
      </c>
      <c r="E257" s="830">
        <f t="shared" si="246"/>
        <v>0.35164099129269927</v>
      </c>
      <c r="F257" s="830">
        <f t="shared" si="246"/>
        <v>0.29715302491103202</v>
      </c>
      <c r="G257" s="830">
        <f t="shared" si="246"/>
        <v>0.29621848739495799</v>
      </c>
      <c r="H257" s="830">
        <f t="shared" si="246"/>
        <v>0.30508474576271188</v>
      </c>
      <c r="I257" s="832">
        <f t="shared" si="246"/>
        <v>0.27353126974099812</v>
      </c>
      <c r="J257" s="832">
        <f t="shared" si="246"/>
        <v>0</v>
      </c>
      <c r="K257" s="830">
        <f t="shared" si="246"/>
        <v>0</v>
      </c>
      <c r="L257" s="830">
        <f t="shared" si="246"/>
        <v>0</v>
      </c>
      <c r="M257" s="830">
        <f t="shared" si="246"/>
        <v>0</v>
      </c>
      <c r="N257" s="830">
        <f t="shared" si="246"/>
        <v>0</v>
      </c>
      <c r="O257" s="832">
        <f t="shared" si="246"/>
        <v>0</v>
      </c>
      <c r="P257" s="832">
        <f t="shared" si="246"/>
        <v>0</v>
      </c>
      <c r="Q257" s="830">
        <f t="shared" si="246"/>
        <v>0</v>
      </c>
      <c r="R257" s="833">
        <f t="shared" si="246"/>
        <v>0</v>
      </c>
      <c r="S257" s="832">
        <f t="shared" si="246"/>
        <v>0</v>
      </c>
      <c r="T257" s="213"/>
      <c r="U257" s="858">
        <v>412</v>
      </c>
      <c r="V257" s="858"/>
      <c r="W257" s="858">
        <v>525</v>
      </c>
      <c r="X257" s="858">
        <v>167</v>
      </c>
      <c r="Y257" s="858">
        <v>141</v>
      </c>
      <c r="Z257" s="858">
        <v>54</v>
      </c>
      <c r="AA257" s="859">
        <v>1299</v>
      </c>
      <c r="AB257" s="859"/>
      <c r="AC257" s="858"/>
      <c r="AD257" s="858"/>
      <c r="AE257" s="858"/>
      <c r="AF257" s="858"/>
      <c r="AG257" s="859"/>
      <c r="AH257" s="863">
        <f t="shared" ref="AH257:AK257" si="247">AH263+AH269+AH275+AH281+AH287+AH293+AH299+AH305+AH311+AH317+AH323+AH329+AH335</f>
        <v>0</v>
      </c>
      <c r="AI257" s="862">
        <f t="shared" si="247"/>
        <v>0</v>
      </c>
      <c r="AJ257" s="870">
        <f t="shared" si="247"/>
        <v>0</v>
      </c>
      <c r="AK257" s="863">
        <f t="shared" si="247"/>
        <v>0</v>
      </c>
      <c r="AL257" s="209"/>
      <c r="AM257" s="209"/>
    </row>
    <row r="258" spans="1:39" s="80" customFormat="1">
      <c r="A258" s="239"/>
      <c r="B258" s="239" t="s">
        <v>78</v>
      </c>
      <c r="C258" s="832">
        <f>IF(U260&gt;0,(U258/U260),0)</f>
        <v>6.8103870651641349E-2</v>
      </c>
      <c r="D258" s="830">
        <f t="shared" ref="D258:S258" si="248">IF(V260&gt;0,(V258/V260),0)</f>
        <v>0</v>
      </c>
      <c r="E258" s="830">
        <f t="shared" si="248"/>
        <v>8.7742799732083057E-2</v>
      </c>
      <c r="F258" s="830">
        <f t="shared" si="248"/>
        <v>6.4056939501779361E-2</v>
      </c>
      <c r="G258" s="830">
        <f t="shared" si="248"/>
        <v>8.6134453781512604E-2</v>
      </c>
      <c r="H258" s="830">
        <f t="shared" si="248"/>
        <v>0.12429378531073447</v>
      </c>
      <c r="I258" s="832">
        <f t="shared" si="248"/>
        <v>7.7700568540745418E-2</v>
      </c>
      <c r="J258" s="832">
        <f t="shared" si="248"/>
        <v>0</v>
      </c>
      <c r="K258" s="830">
        <f t="shared" si="248"/>
        <v>0</v>
      </c>
      <c r="L258" s="830">
        <f t="shared" si="248"/>
        <v>0</v>
      </c>
      <c r="M258" s="830">
        <f t="shared" si="248"/>
        <v>0</v>
      </c>
      <c r="N258" s="830">
        <f t="shared" si="248"/>
        <v>0</v>
      </c>
      <c r="O258" s="832">
        <f t="shared" si="248"/>
        <v>0</v>
      </c>
      <c r="P258" s="832">
        <f t="shared" si="248"/>
        <v>0</v>
      </c>
      <c r="Q258" s="830">
        <f t="shared" si="248"/>
        <v>0</v>
      </c>
      <c r="R258" s="833">
        <f t="shared" si="248"/>
        <v>0</v>
      </c>
      <c r="S258" s="832">
        <f t="shared" si="248"/>
        <v>0</v>
      </c>
      <c r="T258" s="213"/>
      <c r="U258" s="858">
        <v>139</v>
      </c>
      <c r="V258" s="858"/>
      <c r="W258" s="858">
        <v>131</v>
      </c>
      <c r="X258" s="858">
        <v>36</v>
      </c>
      <c r="Y258" s="858">
        <v>41</v>
      </c>
      <c r="Z258" s="858">
        <v>22</v>
      </c>
      <c r="AA258" s="859">
        <v>369</v>
      </c>
      <c r="AB258" s="859"/>
      <c r="AC258" s="858"/>
      <c r="AD258" s="858"/>
      <c r="AE258" s="858"/>
      <c r="AF258" s="858"/>
      <c r="AG258" s="859"/>
      <c r="AH258" s="863">
        <f t="shared" ref="AH258:AK258" si="249">AH264+AH270+AH276+AH282+AH288+AH294+AH300+AH306+AH312+AH318+AH324+AH330+AH336</f>
        <v>0</v>
      </c>
      <c r="AI258" s="862">
        <f t="shared" si="249"/>
        <v>0</v>
      </c>
      <c r="AJ258" s="870">
        <f t="shared" si="249"/>
        <v>0</v>
      </c>
      <c r="AK258" s="863">
        <f t="shared" si="249"/>
        <v>0</v>
      </c>
      <c r="AL258" s="209"/>
      <c r="AM258" s="209"/>
    </row>
    <row r="259" spans="1:39" s="80" customFormat="1">
      <c r="A259" s="580"/>
      <c r="B259" s="580" t="s">
        <v>131</v>
      </c>
      <c r="C259" s="832">
        <f>IF(U260&gt;0,(U259/U260),0)</f>
        <v>7.4473297403233704E-2</v>
      </c>
      <c r="D259" s="830">
        <f t="shared" ref="D259:S259" si="250">IF(V260&gt;0,(V259/V260),0)</f>
        <v>0</v>
      </c>
      <c r="E259" s="830">
        <f t="shared" si="250"/>
        <v>6.6979236436704619E-4</v>
      </c>
      <c r="F259" s="830">
        <f t="shared" si="250"/>
        <v>0</v>
      </c>
      <c r="G259" s="830">
        <f t="shared" si="250"/>
        <v>0</v>
      </c>
      <c r="H259" s="830">
        <f t="shared" si="250"/>
        <v>5.6497175141242938E-2</v>
      </c>
      <c r="I259" s="832">
        <f t="shared" si="250"/>
        <v>3.432301537165719E-2</v>
      </c>
      <c r="J259" s="832">
        <f t="shared" si="250"/>
        <v>0</v>
      </c>
      <c r="K259" s="830">
        <f t="shared" si="250"/>
        <v>1</v>
      </c>
      <c r="L259" s="830">
        <f t="shared" si="250"/>
        <v>1</v>
      </c>
      <c r="M259" s="830">
        <f t="shared" si="250"/>
        <v>1</v>
      </c>
      <c r="N259" s="830">
        <f t="shared" si="250"/>
        <v>0</v>
      </c>
      <c r="O259" s="832">
        <f t="shared" si="250"/>
        <v>1</v>
      </c>
      <c r="P259" s="832">
        <f t="shared" si="250"/>
        <v>0</v>
      </c>
      <c r="Q259" s="830">
        <f t="shared" si="250"/>
        <v>0</v>
      </c>
      <c r="R259" s="833">
        <f t="shared" si="250"/>
        <v>0</v>
      </c>
      <c r="S259" s="832">
        <f t="shared" si="250"/>
        <v>0</v>
      </c>
      <c r="T259" s="213"/>
      <c r="U259" s="858">
        <v>152</v>
      </c>
      <c r="V259" s="858"/>
      <c r="W259" s="858">
        <v>1</v>
      </c>
      <c r="X259" s="858"/>
      <c r="Y259" s="858"/>
      <c r="Z259" s="858">
        <v>10</v>
      </c>
      <c r="AA259" s="859">
        <v>163</v>
      </c>
      <c r="AB259" s="859"/>
      <c r="AC259" s="858">
        <v>497</v>
      </c>
      <c r="AD259" s="858">
        <v>1571</v>
      </c>
      <c r="AE259" s="858">
        <v>551</v>
      </c>
      <c r="AF259" s="858"/>
      <c r="AG259" s="859">
        <v>2619</v>
      </c>
      <c r="AH259" s="863">
        <f t="shared" ref="AH259:AK259" si="251">AH265+AH271+AH277+AH283+AH289+AH295+AH301+AH307+AH313+AH319+AH325+AH331+AH337</f>
        <v>0</v>
      </c>
      <c r="AI259" s="862">
        <f t="shared" si="251"/>
        <v>0</v>
      </c>
      <c r="AJ259" s="870">
        <f t="shared" si="251"/>
        <v>0</v>
      </c>
      <c r="AK259" s="863">
        <f t="shared" si="251"/>
        <v>0</v>
      </c>
      <c r="AL259" s="209"/>
      <c r="AM259" s="209"/>
    </row>
    <row r="260" spans="1:39" s="80" customFormat="1">
      <c r="A260" s="436"/>
      <c r="B260" s="436" t="s">
        <v>59</v>
      </c>
      <c r="C260" s="834">
        <f>IF(U260&gt;0,(U260/U260),0)</f>
        <v>1</v>
      </c>
      <c r="D260" s="835">
        <f t="shared" ref="D260:S260" si="252">IF(V260&gt;0,(V260/V260),0)</f>
        <v>0</v>
      </c>
      <c r="E260" s="835">
        <f t="shared" si="252"/>
        <v>1</v>
      </c>
      <c r="F260" s="835">
        <f t="shared" si="252"/>
        <v>1</v>
      </c>
      <c r="G260" s="835">
        <f t="shared" si="252"/>
        <v>1</v>
      </c>
      <c r="H260" s="835">
        <f t="shared" si="252"/>
        <v>1</v>
      </c>
      <c r="I260" s="834">
        <f t="shared" si="252"/>
        <v>1</v>
      </c>
      <c r="J260" s="834">
        <f t="shared" si="252"/>
        <v>0</v>
      </c>
      <c r="K260" s="835">
        <f t="shared" si="252"/>
        <v>1</v>
      </c>
      <c r="L260" s="835">
        <f t="shared" si="252"/>
        <v>1</v>
      </c>
      <c r="M260" s="835">
        <f t="shared" si="252"/>
        <v>1</v>
      </c>
      <c r="N260" s="835">
        <f t="shared" si="252"/>
        <v>0</v>
      </c>
      <c r="O260" s="834">
        <f t="shared" si="252"/>
        <v>1</v>
      </c>
      <c r="P260" s="834">
        <f t="shared" si="252"/>
        <v>0</v>
      </c>
      <c r="Q260" s="835">
        <f t="shared" si="252"/>
        <v>0</v>
      </c>
      <c r="R260" s="836">
        <f t="shared" si="252"/>
        <v>0</v>
      </c>
      <c r="S260" s="834">
        <f t="shared" si="252"/>
        <v>0</v>
      </c>
      <c r="T260" s="213"/>
      <c r="U260" s="871">
        <v>2041</v>
      </c>
      <c r="V260" s="871"/>
      <c r="W260" s="871">
        <v>1493</v>
      </c>
      <c r="X260" s="871">
        <v>562</v>
      </c>
      <c r="Y260" s="871">
        <v>476</v>
      </c>
      <c r="Z260" s="871">
        <v>177</v>
      </c>
      <c r="AA260" s="864">
        <v>4749</v>
      </c>
      <c r="AB260" s="864"/>
      <c r="AC260" s="871">
        <v>497</v>
      </c>
      <c r="AD260" s="871">
        <v>1571</v>
      </c>
      <c r="AE260" s="871">
        <v>551</v>
      </c>
      <c r="AF260" s="871"/>
      <c r="AG260" s="864">
        <v>2619</v>
      </c>
      <c r="AH260" s="872">
        <f t="shared" ref="AH260:AK260" si="253">AH266+AH272+AH278+AH284+AH290+AH296+AH302+AH308+AH314+AH320+AH326+AH332+AH338</f>
        <v>0</v>
      </c>
      <c r="AI260" s="873">
        <f t="shared" si="253"/>
        <v>0</v>
      </c>
      <c r="AJ260" s="874">
        <f t="shared" si="253"/>
        <v>0</v>
      </c>
      <c r="AK260" s="872">
        <f t="shared" si="253"/>
        <v>0</v>
      </c>
      <c r="AL260" s="209"/>
      <c r="AM260" s="209"/>
    </row>
    <row r="261" spans="1:39" s="80" customFormat="1">
      <c r="A261" s="240" t="s">
        <v>151</v>
      </c>
      <c r="B261" s="240" t="s">
        <v>53</v>
      </c>
      <c r="C261" s="829">
        <f>IF(U266&gt;0,(U261/U266),0)</f>
        <v>0.2678018575851393</v>
      </c>
      <c r="D261" s="830">
        <f t="shared" ref="D261:S261" si="254">IF(V266&gt;0,(V261/V266),0)</f>
        <v>0.22055137844611528</v>
      </c>
      <c r="E261" s="830">
        <f t="shared" si="254"/>
        <v>0.33891752577319589</v>
      </c>
      <c r="F261" s="830">
        <f t="shared" si="254"/>
        <v>0.31297709923664124</v>
      </c>
      <c r="G261" s="830">
        <f t="shared" si="254"/>
        <v>0.24</v>
      </c>
      <c r="H261" s="830">
        <f t="shared" si="254"/>
        <v>0.28097345132743362</v>
      </c>
      <c r="I261" s="829">
        <f t="shared" si="254"/>
        <v>0.28545618789521227</v>
      </c>
      <c r="J261" s="829">
        <f t="shared" si="254"/>
        <v>0</v>
      </c>
      <c r="K261" s="830">
        <f t="shared" si="254"/>
        <v>0.16766467065868262</v>
      </c>
      <c r="L261" s="830">
        <f t="shared" si="254"/>
        <v>0.16396568160152525</v>
      </c>
      <c r="M261" s="830">
        <f t="shared" si="254"/>
        <v>2.2099447513812154E-2</v>
      </c>
      <c r="N261" s="830">
        <f t="shared" si="254"/>
        <v>0</v>
      </c>
      <c r="O261" s="829">
        <f t="shared" si="254"/>
        <v>0.14833759590792839</v>
      </c>
      <c r="P261" s="829">
        <f t="shared" si="254"/>
        <v>0</v>
      </c>
      <c r="Q261" s="830">
        <f t="shared" si="254"/>
        <v>0</v>
      </c>
      <c r="R261" s="831">
        <f t="shared" si="254"/>
        <v>0</v>
      </c>
      <c r="S261" s="829">
        <f t="shared" si="254"/>
        <v>0</v>
      </c>
      <c r="T261" s="213"/>
      <c r="U261" s="858">
        <v>346</v>
      </c>
      <c r="V261" s="858">
        <v>264</v>
      </c>
      <c r="W261" s="858">
        <v>526</v>
      </c>
      <c r="X261" s="858">
        <v>287</v>
      </c>
      <c r="Y261" s="858">
        <v>30</v>
      </c>
      <c r="Z261" s="858">
        <v>127</v>
      </c>
      <c r="AA261" s="857">
        <v>1580</v>
      </c>
      <c r="AB261" s="857"/>
      <c r="AC261" s="858">
        <v>56</v>
      </c>
      <c r="AD261" s="858">
        <v>172</v>
      </c>
      <c r="AE261" s="858">
        <v>4</v>
      </c>
      <c r="AF261" s="858"/>
      <c r="AG261" s="857">
        <v>232</v>
      </c>
      <c r="AH261" s="861">
        <f t="shared" ref="AH261:AK261" si="255">AH267+AH273+AH279+AH285+AH291+AH297+AH303+AH309+AH315+AH321+AH327+AH333+AH339</f>
        <v>0</v>
      </c>
      <c r="AI261" s="862">
        <f t="shared" si="255"/>
        <v>0</v>
      </c>
      <c r="AJ261" s="869">
        <f t="shared" si="255"/>
        <v>0</v>
      </c>
      <c r="AK261" s="861">
        <f t="shared" si="255"/>
        <v>0</v>
      </c>
      <c r="AL261" s="209"/>
      <c r="AM261" s="209"/>
    </row>
    <row r="262" spans="1:39" s="80" customFormat="1">
      <c r="A262" s="239"/>
      <c r="B262" s="239" t="s">
        <v>93</v>
      </c>
      <c r="C262" s="832">
        <f>IF(U266&gt;0,(U262/U266),0)</f>
        <v>0.27321981424148606</v>
      </c>
      <c r="D262" s="830">
        <f t="shared" ref="D262:S262" si="256">IF(V266&gt;0,(V262/V266),0)</f>
        <v>0.29657477025898077</v>
      </c>
      <c r="E262" s="830">
        <f t="shared" si="256"/>
        <v>0.22358247422680413</v>
      </c>
      <c r="F262" s="830">
        <f t="shared" si="256"/>
        <v>0.27699018538713194</v>
      </c>
      <c r="G262" s="830">
        <f t="shared" si="256"/>
        <v>0.248</v>
      </c>
      <c r="H262" s="830">
        <f t="shared" si="256"/>
        <v>0.23672566371681417</v>
      </c>
      <c r="I262" s="832">
        <f t="shared" si="256"/>
        <v>0.26142728093947604</v>
      </c>
      <c r="J262" s="832">
        <f t="shared" si="256"/>
        <v>0</v>
      </c>
      <c r="K262" s="830">
        <f t="shared" si="256"/>
        <v>0.1467065868263473</v>
      </c>
      <c r="L262" s="830">
        <f t="shared" si="256"/>
        <v>0.13918017159199236</v>
      </c>
      <c r="M262" s="830">
        <f t="shared" si="256"/>
        <v>1.6574585635359115E-2</v>
      </c>
      <c r="N262" s="830">
        <f t="shared" si="256"/>
        <v>0</v>
      </c>
      <c r="O262" s="832">
        <f t="shared" si="256"/>
        <v>0.12659846547314579</v>
      </c>
      <c r="P262" s="832">
        <f t="shared" si="256"/>
        <v>0</v>
      </c>
      <c r="Q262" s="830">
        <f t="shared" si="256"/>
        <v>0</v>
      </c>
      <c r="R262" s="833">
        <f t="shared" si="256"/>
        <v>0</v>
      </c>
      <c r="S262" s="832">
        <f t="shared" si="256"/>
        <v>0</v>
      </c>
      <c r="T262" s="213"/>
      <c r="U262" s="858">
        <v>353</v>
      </c>
      <c r="V262" s="858">
        <v>355</v>
      </c>
      <c r="W262" s="858">
        <v>347</v>
      </c>
      <c r="X262" s="858">
        <v>254</v>
      </c>
      <c r="Y262" s="858">
        <v>31</v>
      </c>
      <c r="Z262" s="858">
        <v>107</v>
      </c>
      <c r="AA262" s="859">
        <v>1447</v>
      </c>
      <c r="AB262" s="859"/>
      <c r="AC262" s="858">
        <v>49</v>
      </c>
      <c r="AD262" s="858">
        <v>146</v>
      </c>
      <c r="AE262" s="858">
        <v>3</v>
      </c>
      <c r="AF262" s="858"/>
      <c r="AG262" s="859">
        <v>198</v>
      </c>
      <c r="AH262" s="863">
        <f t="shared" ref="AH262:AK262" si="257">AH268+AH274+AH280+AH286+AH292+AH298+AH304+AH310+AH316+AH322+AH328+AH334+AH340</f>
        <v>0</v>
      </c>
      <c r="AI262" s="862">
        <f t="shared" si="257"/>
        <v>0</v>
      </c>
      <c r="AJ262" s="870">
        <f t="shared" si="257"/>
        <v>0</v>
      </c>
      <c r="AK262" s="863">
        <f t="shared" si="257"/>
        <v>0</v>
      </c>
      <c r="AL262" s="209"/>
      <c r="AM262" s="209"/>
    </row>
    <row r="263" spans="1:39" s="80" customFormat="1">
      <c r="A263" s="239"/>
      <c r="B263" s="239" t="s">
        <v>55</v>
      </c>
      <c r="C263" s="832">
        <f>IF(U266&gt;0,(U263/U266),0)</f>
        <v>0.31501547987616096</v>
      </c>
      <c r="D263" s="830">
        <f t="shared" ref="D263:S263" si="258">IF(V266&gt;0,(V263/V266),0)</f>
        <v>0.30576441102756891</v>
      </c>
      <c r="E263" s="830">
        <f t="shared" si="258"/>
        <v>0.23002577319587628</v>
      </c>
      <c r="F263" s="830">
        <f t="shared" si="258"/>
        <v>0.24754634678298801</v>
      </c>
      <c r="G263" s="830">
        <f t="shared" si="258"/>
        <v>0.41599999999999998</v>
      </c>
      <c r="H263" s="830">
        <f t="shared" si="258"/>
        <v>0.31415929203539822</v>
      </c>
      <c r="I263" s="832">
        <f t="shared" si="258"/>
        <v>0.28021680216802169</v>
      </c>
      <c r="J263" s="832">
        <f t="shared" si="258"/>
        <v>0</v>
      </c>
      <c r="K263" s="830">
        <f t="shared" si="258"/>
        <v>0.12874251497005987</v>
      </c>
      <c r="L263" s="830">
        <f t="shared" si="258"/>
        <v>0.13822688274547187</v>
      </c>
      <c r="M263" s="830">
        <f t="shared" si="258"/>
        <v>8.2872928176795577E-2</v>
      </c>
      <c r="N263" s="830">
        <f t="shared" si="258"/>
        <v>0</v>
      </c>
      <c r="O263" s="832">
        <f t="shared" si="258"/>
        <v>0.12979539641943735</v>
      </c>
      <c r="P263" s="832">
        <f t="shared" si="258"/>
        <v>0</v>
      </c>
      <c r="Q263" s="830">
        <f t="shared" si="258"/>
        <v>0</v>
      </c>
      <c r="R263" s="833">
        <f t="shared" si="258"/>
        <v>0</v>
      </c>
      <c r="S263" s="832">
        <f t="shared" si="258"/>
        <v>0</v>
      </c>
      <c r="T263" s="213"/>
      <c r="U263" s="858">
        <v>407</v>
      </c>
      <c r="V263" s="858">
        <v>366</v>
      </c>
      <c r="W263" s="858">
        <v>357</v>
      </c>
      <c r="X263" s="858">
        <v>227</v>
      </c>
      <c r="Y263" s="858">
        <v>52</v>
      </c>
      <c r="Z263" s="858">
        <v>142</v>
      </c>
      <c r="AA263" s="859">
        <v>1551</v>
      </c>
      <c r="AB263" s="859"/>
      <c r="AC263" s="858">
        <v>43</v>
      </c>
      <c r="AD263" s="858">
        <v>145</v>
      </c>
      <c r="AE263" s="858">
        <v>15</v>
      </c>
      <c r="AF263" s="858"/>
      <c r="AG263" s="859">
        <v>203</v>
      </c>
      <c r="AH263" s="863">
        <f t="shared" ref="AH263:AK263" si="259">AH269+AH275+AH281+AH287+AH293+AH299+AH305+AH311+AH317+AH323+AH329+AH335+AH341</f>
        <v>0</v>
      </c>
      <c r="AI263" s="862">
        <f t="shared" si="259"/>
        <v>0</v>
      </c>
      <c r="AJ263" s="870">
        <f t="shared" si="259"/>
        <v>0</v>
      </c>
      <c r="AK263" s="863">
        <f t="shared" si="259"/>
        <v>0</v>
      </c>
      <c r="AL263" s="209"/>
      <c r="AM263" s="209"/>
    </row>
    <row r="264" spans="1:39" s="80" customFormat="1">
      <c r="A264" s="239"/>
      <c r="B264" s="239" t="s">
        <v>78</v>
      </c>
      <c r="C264" s="832">
        <f>IF(U266&gt;0,(U264/U266),0)</f>
        <v>7.1207430340557279E-2</v>
      </c>
      <c r="D264" s="830">
        <f t="shared" ref="D264:S264" si="260">IF(V266&gt;0,(V264/V266),0)</f>
        <v>3.4252297410192145E-2</v>
      </c>
      <c r="E264" s="830">
        <f t="shared" si="260"/>
        <v>0.20038659793814434</v>
      </c>
      <c r="F264" s="830">
        <f t="shared" si="260"/>
        <v>0.11232279171210469</v>
      </c>
      <c r="G264" s="830">
        <f t="shared" si="260"/>
        <v>9.6000000000000002E-2</v>
      </c>
      <c r="H264" s="830">
        <f t="shared" si="260"/>
        <v>0.16814159292035399</v>
      </c>
      <c r="I264" s="832">
        <f t="shared" si="260"/>
        <v>0.11472448057813911</v>
      </c>
      <c r="J264" s="832">
        <f t="shared" si="260"/>
        <v>0</v>
      </c>
      <c r="K264" s="830">
        <f t="shared" si="260"/>
        <v>0.55688622754491013</v>
      </c>
      <c r="L264" s="830">
        <f t="shared" si="260"/>
        <v>0.19351763584366063</v>
      </c>
      <c r="M264" s="830">
        <f t="shared" si="260"/>
        <v>0.66850828729281764</v>
      </c>
      <c r="N264" s="830">
        <f t="shared" si="260"/>
        <v>0</v>
      </c>
      <c r="O264" s="832">
        <f t="shared" si="260"/>
        <v>0.32608695652173914</v>
      </c>
      <c r="P264" s="832">
        <f t="shared" si="260"/>
        <v>0</v>
      </c>
      <c r="Q264" s="830">
        <f t="shared" si="260"/>
        <v>0</v>
      </c>
      <c r="R264" s="833">
        <f t="shared" si="260"/>
        <v>0</v>
      </c>
      <c r="S264" s="832">
        <f t="shared" si="260"/>
        <v>0</v>
      </c>
      <c r="T264" s="213"/>
      <c r="U264" s="858">
        <v>92</v>
      </c>
      <c r="V264" s="858">
        <v>41</v>
      </c>
      <c r="W264" s="858">
        <v>311</v>
      </c>
      <c r="X264" s="858">
        <v>103</v>
      </c>
      <c r="Y264" s="858">
        <v>12</v>
      </c>
      <c r="Z264" s="858">
        <v>76</v>
      </c>
      <c r="AA264" s="859">
        <v>635</v>
      </c>
      <c r="AB264" s="859"/>
      <c r="AC264" s="858">
        <v>186</v>
      </c>
      <c r="AD264" s="858">
        <v>203</v>
      </c>
      <c r="AE264" s="858">
        <v>121</v>
      </c>
      <c r="AF264" s="858"/>
      <c r="AG264" s="859">
        <v>510</v>
      </c>
      <c r="AH264" s="863">
        <f t="shared" ref="AH264:AK264" si="261">AH270+AH276+AH282+AH288+AH294+AH300+AH306+AH312+AH318+AH324+AH330+AH336+AH342</f>
        <v>0</v>
      </c>
      <c r="AI264" s="862">
        <f t="shared" si="261"/>
        <v>0</v>
      </c>
      <c r="AJ264" s="870">
        <f t="shared" si="261"/>
        <v>0</v>
      </c>
      <c r="AK264" s="863">
        <f t="shared" si="261"/>
        <v>0</v>
      </c>
      <c r="AL264" s="209"/>
      <c r="AM264" s="209"/>
    </row>
    <row r="265" spans="1:39" s="80" customFormat="1">
      <c r="A265" s="580"/>
      <c r="B265" s="580" t="s">
        <v>131</v>
      </c>
      <c r="C265" s="832">
        <f>IF(U266&gt;0,(U265/U266),0)</f>
        <v>7.275541795665634E-2</v>
      </c>
      <c r="D265" s="830">
        <f t="shared" ref="D265:S265" si="262">IF(V266&gt;0,(V265/V266),0)</f>
        <v>0.14285714285714285</v>
      </c>
      <c r="E265" s="830">
        <f t="shared" si="262"/>
        <v>7.0876288659793814E-3</v>
      </c>
      <c r="F265" s="830">
        <f t="shared" si="262"/>
        <v>5.0163576881134132E-2</v>
      </c>
      <c r="G265" s="830">
        <f t="shared" si="262"/>
        <v>0</v>
      </c>
      <c r="H265" s="830">
        <f t="shared" si="262"/>
        <v>0</v>
      </c>
      <c r="I265" s="832">
        <f t="shared" si="262"/>
        <v>5.8175248419150859E-2</v>
      </c>
      <c r="J265" s="832">
        <f t="shared" si="262"/>
        <v>0</v>
      </c>
      <c r="K265" s="830">
        <f t="shared" si="262"/>
        <v>0</v>
      </c>
      <c r="L265" s="830">
        <f t="shared" si="262"/>
        <v>0.36510962821734988</v>
      </c>
      <c r="M265" s="830">
        <f t="shared" si="262"/>
        <v>0.20994475138121546</v>
      </c>
      <c r="N265" s="830">
        <f t="shared" si="262"/>
        <v>0</v>
      </c>
      <c r="O265" s="832">
        <f t="shared" si="262"/>
        <v>0.26918158567774936</v>
      </c>
      <c r="P265" s="832">
        <f t="shared" si="262"/>
        <v>0</v>
      </c>
      <c r="Q265" s="830">
        <f t="shared" si="262"/>
        <v>0</v>
      </c>
      <c r="R265" s="833">
        <f t="shared" si="262"/>
        <v>0</v>
      </c>
      <c r="S265" s="832">
        <f t="shared" si="262"/>
        <v>0</v>
      </c>
      <c r="T265" s="213"/>
      <c r="U265" s="858">
        <v>94</v>
      </c>
      <c r="V265" s="858">
        <v>171</v>
      </c>
      <c r="W265" s="858">
        <v>11</v>
      </c>
      <c r="X265" s="858">
        <v>46</v>
      </c>
      <c r="Y265" s="858"/>
      <c r="Z265" s="858"/>
      <c r="AA265" s="859">
        <v>322</v>
      </c>
      <c r="AB265" s="859"/>
      <c r="AC265" s="858"/>
      <c r="AD265" s="858">
        <v>383</v>
      </c>
      <c r="AE265" s="858">
        <v>38</v>
      </c>
      <c r="AF265" s="858"/>
      <c r="AG265" s="859">
        <v>421</v>
      </c>
      <c r="AH265" s="863">
        <f t="shared" ref="AH265:AK265" si="263">AH271+AH277+AH283+AH289+AH295+AH301+AH307+AH313+AH319+AH325+AH331+AH337+AH343</f>
        <v>0</v>
      </c>
      <c r="AI265" s="862">
        <f t="shared" si="263"/>
        <v>0</v>
      </c>
      <c r="AJ265" s="870">
        <f t="shared" si="263"/>
        <v>0</v>
      </c>
      <c r="AK265" s="863">
        <f t="shared" si="263"/>
        <v>0</v>
      </c>
      <c r="AL265" s="209"/>
      <c r="AM265" s="209"/>
    </row>
    <row r="266" spans="1:39" s="80" customFormat="1">
      <c r="A266" s="436"/>
      <c r="B266" s="436" t="s">
        <v>59</v>
      </c>
      <c r="C266" s="834">
        <f>IF(U266&gt;0,(U266/U266),0)</f>
        <v>1</v>
      </c>
      <c r="D266" s="835">
        <f t="shared" ref="D266:S266" si="264">IF(V266&gt;0,(V266/V266),0)</f>
        <v>1</v>
      </c>
      <c r="E266" s="835">
        <f t="shared" si="264"/>
        <v>1</v>
      </c>
      <c r="F266" s="835">
        <f t="shared" si="264"/>
        <v>1</v>
      </c>
      <c r="G266" s="835">
        <f t="shared" si="264"/>
        <v>1</v>
      </c>
      <c r="H266" s="835">
        <f t="shared" si="264"/>
        <v>1</v>
      </c>
      <c r="I266" s="834">
        <f t="shared" si="264"/>
        <v>1</v>
      </c>
      <c r="J266" s="834">
        <f t="shared" si="264"/>
        <v>0</v>
      </c>
      <c r="K266" s="835">
        <f t="shared" si="264"/>
        <v>1</v>
      </c>
      <c r="L266" s="835">
        <f t="shared" si="264"/>
        <v>1</v>
      </c>
      <c r="M266" s="835">
        <f t="shared" si="264"/>
        <v>1</v>
      </c>
      <c r="N266" s="835">
        <f t="shared" si="264"/>
        <v>0</v>
      </c>
      <c r="O266" s="834">
        <f t="shared" si="264"/>
        <v>1</v>
      </c>
      <c r="P266" s="834">
        <f t="shared" si="264"/>
        <v>0</v>
      </c>
      <c r="Q266" s="835">
        <f t="shared" si="264"/>
        <v>0</v>
      </c>
      <c r="R266" s="836">
        <f t="shared" si="264"/>
        <v>0</v>
      </c>
      <c r="S266" s="834">
        <f t="shared" si="264"/>
        <v>0</v>
      </c>
      <c r="T266" s="213"/>
      <c r="U266" s="871">
        <v>1292</v>
      </c>
      <c r="V266" s="871">
        <v>1197</v>
      </c>
      <c r="W266" s="871">
        <v>1552</v>
      </c>
      <c r="X266" s="871">
        <v>917</v>
      </c>
      <c r="Y266" s="871">
        <v>125</v>
      </c>
      <c r="Z266" s="871">
        <v>452</v>
      </c>
      <c r="AA266" s="864">
        <v>5535</v>
      </c>
      <c r="AB266" s="864"/>
      <c r="AC266" s="871">
        <v>334</v>
      </c>
      <c r="AD266" s="871">
        <v>1049</v>
      </c>
      <c r="AE266" s="871">
        <v>181</v>
      </c>
      <c r="AF266" s="871"/>
      <c r="AG266" s="864">
        <v>1564</v>
      </c>
      <c r="AH266" s="872">
        <f t="shared" ref="AH266:AK266" si="265">AH272+AH278+AH284+AH290+AH296+AH302+AH308+AH314+AH320+AH326+AH332+AH338+AH344</f>
        <v>0</v>
      </c>
      <c r="AI266" s="873">
        <f t="shared" si="265"/>
        <v>0</v>
      </c>
      <c r="AJ266" s="874">
        <f t="shared" si="265"/>
        <v>0</v>
      </c>
      <c r="AK266" s="872">
        <f t="shared" si="265"/>
        <v>0</v>
      </c>
      <c r="AL266" s="209"/>
      <c r="AM266" s="209"/>
    </row>
    <row r="267" spans="1:39" s="80" customFormat="1">
      <c r="A267" s="240" t="s">
        <v>154</v>
      </c>
      <c r="B267" s="240" t="s">
        <v>53</v>
      </c>
      <c r="C267" s="829">
        <f>IF(U272&gt;0,(U267/U272),0)</f>
        <v>0.40807560137457044</v>
      </c>
      <c r="D267" s="830">
        <f t="shared" ref="D267:S267" si="266">IF(V272&gt;0,(V267/V272),0)</f>
        <v>0</v>
      </c>
      <c r="E267" s="830">
        <f t="shared" si="266"/>
        <v>0.31434599156118143</v>
      </c>
      <c r="F267" s="830">
        <f t="shared" si="266"/>
        <v>0.29180327868852457</v>
      </c>
      <c r="G267" s="830">
        <f t="shared" si="266"/>
        <v>0.35036496350364965</v>
      </c>
      <c r="H267" s="830">
        <f t="shared" si="266"/>
        <v>0</v>
      </c>
      <c r="I267" s="829">
        <f t="shared" si="266"/>
        <v>0.36490753270184934</v>
      </c>
      <c r="J267" s="829">
        <f t="shared" si="266"/>
        <v>0</v>
      </c>
      <c r="K267" s="830">
        <f t="shared" si="266"/>
        <v>0</v>
      </c>
      <c r="L267" s="830">
        <f t="shared" si="266"/>
        <v>0</v>
      </c>
      <c r="M267" s="830">
        <f t="shared" si="266"/>
        <v>0</v>
      </c>
      <c r="N267" s="830">
        <f t="shared" si="266"/>
        <v>0</v>
      </c>
      <c r="O267" s="829">
        <f t="shared" si="266"/>
        <v>0</v>
      </c>
      <c r="P267" s="829">
        <f t="shared" si="266"/>
        <v>0</v>
      </c>
      <c r="Q267" s="830">
        <f t="shared" si="266"/>
        <v>0</v>
      </c>
      <c r="R267" s="831">
        <f t="shared" si="266"/>
        <v>0</v>
      </c>
      <c r="S267" s="829">
        <f t="shared" si="266"/>
        <v>0</v>
      </c>
      <c r="T267" s="213"/>
      <c r="U267" s="858">
        <v>475</v>
      </c>
      <c r="V267" s="858"/>
      <c r="W267" s="858">
        <v>149</v>
      </c>
      <c r="X267" s="858">
        <v>89</v>
      </c>
      <c r="Y267" s="858">
        <v>96</v>
      </c>
      <c r="Z267" s="858"/>
      <c r="AA267" s="857">
        <v>809</v>
      </c>
      <c r="AB267" s="857"/>
      <c r="AC267" s="858"/>
      <c r="AD267" s="858"/>
      <c r="AE267" s="858"/>
      <c r="AF267" s="858"/>
      <c r="AG267" s="857"/>
      <c r="AH267" s="861">
        <f t="shared" ref="AH267:AK267" si="267">AH273+AH279+AH285+AH291+AH297+AH303+AH309+AH315+AH321+AH327+AH333+AH339+AH345</f>
        <v>0</v>
      </c>
      <c r="AI267" s="862">
        <f t="shared" si="267"/>
        <v>0</v>
      </c>
      <c r="AJ267" s="869">
        <f t="shared" si="267"/>
        <v>0</v>
      </c>
      <c r="AK267" s="861">
        <f t="shared" si="267"/>
        <v>0</v>
      </c>
      <c r="AL267" s="209"/>
      <c r="AM267" s="209"/>
    </row>
    <row r="268" spans="1:39" s="80" customFormat="1">
      <c r="A268" s="239"/>
      <c r="B268" s="239" t="s">
        <v>93</v>
      </c>
      <c r="C268" s="832">
        <f>IF(U272&gt;0,(U268/U272),0)</f>
        <v>0.2766323024054983</v>
      </c>
      <c r="D268" s="830">
        <f t="shared" ref="D268:S268" si="268">IF(V272&gt;0,(V268/V272),0)</f>
        <v>0</v>
      </c>
      <c r="E268" s="830">
        <f t="shared" si="268"/>
        <v>0.29746835443037972</v>
      </c>
      <c r="F268" s="830">
        <f t="shared" si="268"/>
        <v>0.29180327868852457</v>
      </c>
      <c r="G268" s="830">
        <f t="shared" si="268"/>
        <v>0.21897810218978103</v>
      </c>
      <c r="H268" s="830">
        <f t="shared" si="268"/>
        <v>0</v>
      </c>
      <c r="I268" s="832">
        <f t="shared" si="268"/>
        <v>0.27604871447902574</v>
      </c>
      <c r="J268" s="832">
        <f t="shared" si="268"/>
        <v>0</v>
      </c>
      <c r="K268" s="830">
        <f t="shared" si="268"/>
        <v>0</v>
      </c>
      <c r="L268" s="830">
        <f t="shared" si="268"/>
        <v>0</v>
      </c>
      <c r="M268" s="830">
        <f t="shared" si="268"/>
        <v>0</v>
      </c>
      <c r="N268" s="830">
        <f t="shared" si="268"/>
        <v>0</v>
      </c>
      <c r="O268" s="832">
        <f t="shared" si="268"/>
        <v>0</v>
      </c>
      <c r="P268" s="832">
        <f t="shared" si="268"/>
        <v>0</v>
      </c>
      <c r="Q268" s="830">
        <f t="shared" si="268"/>
        <v>0</v>
      </c>
      <c r="R268" s="833">
        <f t="shared" si="268"/>
        <v>0</v>
      </c>
      <c r="S268" s="832">
        <f t="shared" si="268"/>
        <v>0</v>
      </c>
      <c r="T268" s="213"/>
      <c r="U268" s="858">
        <v>322</v>
      </c>
      <c r="V268" s="858"/>
      <c r="W268" s="858">
        <v>141</v>
      </c>
      <c r="X268" s="858">
        <v>89</v>
      </c>
      <c r="Y268" s="858">
        <v>60</v>
      </c>
      <c r="Z268" s="858"/>
      <c r="AA268" s="859">
        <v>612</v>
      </c>
      <c r="AB268" s="859"/>
      <c r="AC268" s="858"/>
      <c r="AD268" s="858"/>
      <c r="AE268" s="858"/>
      <c r="AF268" s="858"/>
      <c r="AG268" s="859"/>
      <c r="AH268" s="863">
        <f t="shared" ref="AH268:AK268" si="269">AH274+AH280+AH286+AH292+AH298+AH304+AH310+AH316+AH322+AH328+AH334+AH340+AH346</f>
        <v>0</v>
      </c>
      <c r="AI268" s="862">
        <f t="shared" si="269"/>
        <v>0</v>
      </c>
      <c r="AJ268" s="870">
        <f t="shared" si="269"/>
        <v>0</v>
      </c>
      <c r="AK268" s="863">
        <f t="shared" si="269"/>
        <v>0</v>
      </c>
      <c r="AL268" s="209"/>
      <c r="AM268" s="209"/>
    </row>
    <row r="269" spans="1:39" s="80" customFormat="1">
      <c r="A269" s="239"/>
      <c r="B269" s="239" t="s">
        <v>55</v>
      </c>
      <c r="C269" s="832">
        <f>IF(U272&gt;0,(U269/U272),0)</f>
        <v>0.19931271477663232</v>
      </c>
      <c r="D269" s="830">
        <f t="shared" ref="D269:S269" si="270">IF(V272&gt;0,(V269/V272),0)</f>
        <v>0</v>
      </c>
      <c r="E269" s="830">
        <f t="shared" si="270"/>
        <v>0.25949367088607594</v>
      </c>
      <c r="F269" s="830">
        <f t="shared" si="270"/>
        <v>0.22950819672131148</v>
      </c>
      <c r="G269" s="830">
        <f t="shared" si="270"/>
        <v>0.28832116788321166</v>
      </c>
      <c r="H269" s="830">
        <f t="shared" si="270"/>
        <v>0</v>
      </c>
      <c r="I269" s="832">
        <f t="shared" si="270"/>
        <v>0.2273342354533153</v>
      </c>
      <c r="J269" s="832">
        <f t="shared" si="270"/>
        <v>0</v>
      </c>
      <c r="K269" s="830">
        <f t="shared" si="270"/>
        <v>0</v>
      </c>
      <c r="L269" s="830">
        <f t="shared" si="270"/>
        <v>0</v>
      </c>
      <c r="M269" s="830">
        <f t="shared" si="270"/>
        <v>0</v>
      </c>
      <c r="N269" s="830">
        <f t="shared" si="270"/>
        <v>0</v>
      </c>
      <c r="O269" s="832">
        <f t="shared" si="270"/>
        <v>0</v>
      </c>
      <c r="P269" s="832">
        <f t="shared" si="270"/>
        <v>0</v>
      </c>
      <c r="Q269" s="830">
        <f t="shared" si="270"/>
        <v>0</v>
      </c>
      <c r="R269" s="833">
        <f t="shared" si="270"/>
        <v>0</v>
      </c>
      <c r="S269" s="832">
        <f t="shared" si="270"/>
        <v>0</v>
      </c>
      <c r="T269" s="213"/>
      <c r="U269" s="858">
        <v>232</v>
      </c>
      <c r="V269" s="858"/>
      <c r="W269" s="858">
        <v>123</v>
      </c>
      <c r="X269" s="858">
        <v>70</v>
      </c>
      <c r="Y269" s="858">
        <v>79</v>
      </c>
      <c r="Z269" s="858"/>
      <c r="AA269" s="859">
        <v>504</v>
      </c>
      <c r="AB269" s="859"/>
      <c r="AC269" s="858"/>
      <c r="AD269" s="858"/>
      <c r="AE269" s="858"/>
      <c r="AF269" s="858"/>
      <c r="AG269" s="859"/>
      <c r="AH269" s="863">
        <f t="shared" ref="AH269:AK269" si="271">AH275+AH281+AH287+AH293+AH299+AH305+AH311+AH317+AH323+AH329+AH335+AH341+AH347</f>
        <v>0</v>
      </c>
      <c r="AI269" s="862">
        <f t="shared" si="271"/>
        <v>0</v>
      </c>
      <c r="AJ269" s="870">
        <f t="shared" si="271"/>
        <v>0</v>
      </c>
      <c r="AK269" s="863">
        <f t="shared" si="271"/>
        <v>0</v>
      </c>
      <c r="AL269" s="209"/>
      <c r="AM269" s="209"/>
    </row>
    <row r="270" spans="1:39" s="80" customFormat="1">
      <c r="A270" s="239"/>
      <c r="B270" s="239" t="s">
        <v>78</v>
      </c>
      <c r="C270" s="832">
        <f>IF(U272&gt;0,(U270/U272),0)</f>
        <v>1.718213058419244E-3</v>
      </c>
      <c r="D270" s="830">
        <f t="shared" ref="D270:S270" si="272">IF(V272&gt;0,(V270/V272),0)</f>
        <v>0</v>
      </c>
      <c r="E270" s="830">
        <f t="shared" si="272"/>
        <v>8.2278481012658222E-2</v>
      </c>
      <c r="F270" s="830">
        <f t="shared" si="272"/>
        <v>3.2786885245901639E-3</v>
      </c>
      <c r="G270" s="830">
        <f t="shared" si="272"/>
        <v>0.12773722627737227</v>
      </c>
      <c r="H270" s="830">
        <f t="shared" si="272"/>
        <v>0</v>
      </c>
      <c r="I270" s="832">
        <f t="shared" si="272"/>
        <v>3.4731619305367611E-2</v>
      </c>
      <c r="J270" s="832">
        <f t="shared" si="272"/>
        <v>0</v>
      </c>
      <c r="K270" s="830">
        <f t="shared" si="272"/>
        <v>0.41666666666666669</v>
      </c>
      <c r="L270" s="830">
        <f t="shared" si="272"/>
        <v>0</v>
      </c>
      <c r="M270" s="830">
        <f t="shared" si="272"/>
        <v>5.4794520547945202E-2</v>
      </c>
      <c r="N270" s="830">
        <f t="shared" si="272"/>
        <v>0</v>
      </c>
      <c r="O270" s="832">
        <f t="shared" si="272"/>
        <v>0.24088397790055249</v>
      </c>
      <c r="P270" s="832">
        <f t="shared" si="272"/>
        <v>0</v>
      </c>
      <c r="Q270" s="830">
        <f t="shared" si="272"/>
        <v>0</v>
      </c>
      <c r="R270" s="833">
        <f t="shared" si="272"/>
        <v>0</v>
      </c>
      <c r="S270" s="832">
        <f t="shared" si="272"/>
        <v>0</v>
      </c>
      <c r="T270" s="213"/>
      <c r="U270" s="858">
        <v>2</v>
      </c>
      <c r="V270" s="858"/>
      <c r="W270" s="858">
        <v>39</v>
      </c>
      <c r="X270" s="858">
        <v>1</v>
      </c>
      <c r="Y270" s="858">
        <v>35</v>
      </c>
      <c r="Z270" s="858"/>
      <c r="AA270" s="859">
        <v>77</v>
      </c>
      <c r="AB270" s="859"/>
      <c r="AC270" s="858">
        <v>210</v>
      </c>
      <c r="AD270" s="858"/>
      <c r="AE270" s="858">
        <v>8</v>
      </c>
      <c r="AF270" s="858"/>
      <c r="AG270" s="859">
        <v>218</v>
      </c>
      <c r="AH270" s="863">
        <f t="shared" ref="AH270:AK270" si="273">AH276+AH282+AH288+AH294+AH300+AH306+AH312+AH318+AH324+AH330+AH336+AH342+AH348</f>
        <v>0</v>
      </c>
      <c r="AI270" s="862">
        <f t="shared" si="273"/>
        <v>0</v>
      </c>
      <c r="AJ270" s="870">
        <f t="shared" si="273"/>
        <v>0</v>
      </c>
      <c r="AK270" s="863">
        <f t="shared" si="273"/>
        <v>0</v>
      </c>
      <c r="AL270" s="209"/>
      <c r="AM270" s="209"/>
    </row>
    <row r="271" spans="1:39" s="80" customFormat="1">
      <c r="A271" s="580"/>
      <c r="B271" s="580" t="s">
        <v>131</v>
      </c>
      <c r="C271" s="832">
        <f>IF(U272&gt;0,(U271/U272),0)</f>
        <v>0.11426116838487972</v>
      </c>
      <c r="D271" s="830">
        <f t="shared" ref="D271:S271" si="274">IF(V272&gt;0,(V271/V272),0)</f>
        <v>0</v>
      </c>
      <c r="E271" s="830">
        <f t="shared" si="274"/>
        <v>4.6413502109704644E-2</v>
      </c>
      <c r="F271" s="830">
        <f t="shared" si="274"/>
        <v>0.18360655737704917</v>
      </c>
      <c r="G271" s="830">
        <f t="shared" si="274"/>
        <v>1.4598540145985401E-2</v>
      </c>
      <c r="H271" s="830">
        <f t="shared" si="274"/>
        <v>0</v>
      </c>
      <c r="I271" s="832">
        <f t="shared" si="274"/>
        <v>9.6977898060442033E-2</v>
      </c>
      <c r="J271" s="832">
        <f t="shared" si="274"/>
        <v>0</v>
      </c>
      <c r="K271" s="830">
        <f t="shared" si="274"/>
        <v>0.58333333333333337</v>
      </c>
      <c r="L271" s="830">
        <f t="shared" si="274"/>
        <v>1</v>
      </c>
      <c r="M271" s="830">
        <f t="shared" si="274"/>
        <v>0.9452054794520548</v>
      </c>
      <c r="N271" s="830">
        <f t="shared" si="274"/>
        <v>0</v>
      </c>
      <c r="O271" s="832">
        <f t="shared" si="274"/>
        <v>0.75911602209944751</v>
      </c>
      <c r="P271" s="832">
        <f t="shared" si="274"/>
        <v>0</v>
      </c>
      <c r="Q271" s="830">
        <f t="shared" si="274"/>
        <v>0</v>
      </c>
      <c r="R271" s="833">
        <f t="shared" si="274"/>
        <v>0</v>
      </c>
      <c r="S271" s="832">
        <f t="shared" si="274"/>
        <v>0</v>
      </c>
      <c r="T271" s="213"/>
      <c r="U271" s="858">
        <v>133</v>
      </c>
      <c r="V271" s="858"/>
      <c r="W271" s="858">
        <v>22</v>
      </c>
      <c r="X271" s="858">
        <v>56</v>
      </c>
      <c r="Y271" s="858">
        <v>4</v>
      </c>
      <c r="Z271" s="858"/>
      <c r="AA271" s="859">
        <v>215</v>
      </c>
      <c r="AB271" s="859"/>
      <c r="AC271" s="858">
        <v>294</v>
      </c>
      <c r="AD271" s="858">
        <v>255</v>
      </c>
      <c r="AE271" s="858">
        <v>138</v>
      </c>
      <c r="AF271" s="858"/>
      <c r="AG271" s="859">
        <v>687</v>
      </c>
      <c r="AH271" s="863">
        <f t="shared" ref="AH271:AK271" si="275">AH277+AH283+AH289+AH295+AH301+AH307+AH313+AH319+AH325+AH331+AH337+AH343+AH349</f>
        <v>0</v>
      </c>
      <c r="AI271" s="862">
        <f t="shared" si="275"/>
        <v>0</v>
      </c>
      <c r="AJ271" s="870">
        <f t="shared" si="275"/>
        <v>0</v>
      </c>
      <c r="AK271" s="863">
        <f t="shared" si="275"/>
        <v>0</v>
      </c>
      <c r="AL271" s="209"/>
      <c r="AM271" s="209"/>
    </row>
    <row r="272" spans="1:39" s="80" customFormat="1">
      <c r="A272" s="436"/>
      <c r="B272" s="436" t="s">
        <v>59</v>
      </c>
      <c r="C272" s="834">
        <f>IF(U272&gt;0,(U272/U272),0)</f>
        <v>1</v>
      </c>
      <c r="D272" s="835">
        <f t="shared" ref="D272:S272" si="276">IF(V272&gt;0,(V272/V272),0)</f>
        <v>0</v>
      </c>
      <c r="E272" s="835">
        <f t="shared" si="276"/>
        <v>1</v>
      </c>
      <c r="F272" s="835">
        <f t="shared" si="276"/>
        <v>1</v>
      </c>
      <c r="G272" s="835">
        <f t="shared" si="276"/>
        <v>1</v>
      </c>
      <c r="H272" s="835">
        <f t="shared" si="276"/>
        <v>0</v>
      </c>
      <c r="I272" s="834">
        <f t="shared" si="276"/>
        <v>1</v>
      </c>
      <c r="J272" s="834">
        <f t="shared" si="276"/>
        <v>0</v>
      </c>
      <c r="K272" s="835">
        <f t="shared" si="276"/>
        <v>1</v>
      </c>
      <c r="L272" s="835">
        <f t="shared" si="276"/>
        <v>1</v>
      </c>
      <c r="M272" s="835">
        <f t="shared" si="276"/>
        <v>1</v>
      </c>
      <c r="N272" s="835">
        <f t="shared" si="276"/>
        <v>0</v>
      </c>
      <c r="O272" s="834">
        <f t="shared" si="276"/>
        <v>1</v>
      </c>
      <c r="P272" s="834">
        <f t="shared" si="276"/>
        <v>0</v>
      </c>
      <c r="Q272" s="835">
        <f t="shared" si="276"/>
        <v>0</v>
      </c>
      <c r="R272" s="836">
        <f t="shared" si="276"/>
        <v>0</v>
      </c>
      <c r="S272" s="834">
        <f t="shared" si="276"/>
        <v>0</v>
      </c>
      <c r="T272" s="213"/>
      <c r="U272" s="871">
        <v>1164</v>
      </c>
      <c r="V272" s="871"/>
      <c r="W272" s="871">
        <v>474</v>
      </c>
      <c r="X272" s="871">
        <v>305</v>
      </c>
      <c r="Y272" s="871">
        <v>274</v>
      </c>
      <c r="Z272" s="871"/>
      <c r="AA272" s="864">
        <v>2217</v>
      </c>
      <c r="AB272" s="864"/>
      <c r="AC272" s="871">
        <v>504</v>
      </c>
      <c r="AD272" s="871">
        <v>255</v>
      </c>
      <c r="AE272" s="871">
        <v>146</v>
      </c>
      <c r="AF272" s="871"/>
      <c r="AG272" s="864">
        <v>905</v>
      </c>
      <c r="AH272" s="872">
        <f t="shared" ref="AH272:AK272" si="277">AH278+AH284+AH290+AH296+AH302+AH308+AH314+AH320+AH326+AH332+AH338+AH344+AH350</f>
        <v>0</v>
      </c>
      <c r="AI272" s="873">
        <f t="shared" si="277"/>
        <v>0</v>
      </c>
      <c r="AJ272" s="874">
        <f t="shared" si="277"/>
        <v>0</v>
      </c>
      <c r="AK272" s="872">
        <f t="shared" si="277"/>
        <v>0</v>
      </c>
      <c r="AL272" s="209"/>
      <c r="AM272" s="209"/>
    </row>
    <row r="273" spans="1:39" s="80" customFormat="1">
      <c r="A273" s="240" t="s">
        <v>153</v>
      </c>
      <c r="B273" s="240" t="s">
        <v>53</v>
      </c>
      <c r="C273" s="829">
        <f>IF(U278&gt;0,(U273/U278),0)</f>
        <v>0</v>
      </c>
      <c r="D273" s="830">
        <f t="shared" ref="D273:S273" si="278">IF(V278&gt;0,(V273/V278),0)</f>
        <v>0.22333637192342753</v>
      </c>
      <c r="E273" s="830">
        <f t="shared" si="278"/>
        <v>0</v>
      </c>
      <c r="F273" s="830">
        <f t="shared" si="278"/>
        <v>0.17777777777777778</v>
      </c>
      <c r="G273" s="830">
        <f t="shared" si="278"/>
        <v>0</v>
      </c>
      <c r="H273" s="830">
        <f t="shared" si="278"/>
        <v>0.14634146341463414</v>
      </c>
      <c r="I273" s="829">
        <f t="shared" si="278"/>
        <v>0.20715249662618085</v>
      </c>
      <c r="J273" s="829">
        <f t="shared" si="278"/>
        <v>0</v>
      </c>
      <c r="K273" s="830">
        <f t="shared" si="278"/>
        <v>0</v>
      </c>
      <c r="L273" s="830">
        <f t="shared" si="278"/>
        <v>5.4545454545454543E-2</v>
      </c>
      <c r="M273" s="830">
        <f t="shared" si="278"/>
        <v>3.9130434782608699E-2</v>
      </c>
      <c r="N273" s="830">
        <f t="shared" si="278"/>
        <v>0</v>
      </c>
      <c r="O273" s="829">
        <f t="shared" si="278"/>
        <v>4.1176470588235294E-2</v>
      </c>
      <c r="P273" s="829">
        <f t="shared" si="278"/>
        <v>0</v>
      </c>
      <c r="Q273" s="830">
        <f t="shared" si="278"/>
        <v>0</v>
      </c>
      <c r="R273" s="831">
        <f t="shared" si="278"/>
        <v>0</v>
      </c>
      <c r="S273" s="829">
        <f t="shared" si="278"/>
        <v>0</v>
      </c>
      <c r="T273" s="213"/>
      <c r="U273" s="858"/>
      <c r="V273" s="858">
        <v>245</v>
      </c>
      <c r="W273" s="858"/>
      <c r="X273" s="858">
        <v>32</v>
      </c>
      <c r="Y273" s="858"/>
      <c r="Z273" s="858">
        <v>30</v>
      </c>
      <c r="AA273" s="857">
        <v>307</v>
      </c>
      <c r="AB273" s="857"/>
      <c r="AC273" s="858"/>
      <c r="AD273" s="858">
        <v>6</v>
      </c>
      <c r="AE273" s="858">
        <v>9</v>
      </c>
      <c r="AF273" s="858"/>
      <c r="AG273" s="857">
        <v>14</v>
      </c>
      <c r="AH273" s="861">
        <f t="shared" ref="AH273:AK273" si="279">AH279+AH285+AH291+AH297+AH303+AH309+AH315+AH321+AH327+AH333+AH339+AH345+AH351</f>
        <v>0</v>
      </c>
      <c r="AI273" s="862">
        <f t="shared" si="279"/>
        <v>0</v>
      </c>
      <c r="AJ273" s="869">
        <f t="shared" si="279"/>
        <v>0</v>
      </c>
      <c r="AK273" s="861">
        <f t="shared" si="279"/>
        <v>0</v>
      </c>
      <c r="AL273" s="209"/>
      <c r="AM273" s="209"/>
    </row>
    <row r="274" spans="1:39" s="80" customFormat="1">
      <c r="A274" s="239"/>
      <c r="B274" s="239" t="s">
        <v>93</v>
      </c>
      <c r="C274" s="832">
        <f>IF(U278&gt;0,(U274/U278),0)</f>
        <v>0</v>
      </c>
      <c r="D274" s="830">
        <f t="shared" ref="D274:S274" si="280">IF(V278&gt;0,(V274/V278),0)</f>
        <v>0.27256153144940748</v>
      </c>
      <c r="E274" s="830">
        <f t="shared" si="280"/>
        <v>0</v>
      </c>
      <c r="F274" s="830">
        <f t="shared" si="280"/>
        <v>0.22777777777777777</v>
      </c>
      <c r="G274" s="830">
        <f t="shared" si="280"/>
        <v>0</v>
      </c>
      <c r="H274" s="830">
        <f t="shared" si="280"/>
        <v>0.24390243902439024</v>
      </c>
      <c r="I274" s="832">
        <f t="shared" si="280"/>
        <v>0.26315789473684209</v>
      </c>
      <c r="J274" s="832">
        <f t="shared" si="280"/>
        <v>0</v>
      </c>
      <c r="K274" s="830">
        <f t="shared" si="280"/>
        <v>0</v>
      </c>
      <c r="L274" s="830">
        <f t="shared" si="280"/>
        <v>0.30909090909090908</v>
      </c>
      <c r="M274" s="830">
        <f t="shared" si="280"/>
        <v>0.33478260869565218</v>
      </c>
      <c r="N274" s="830">
        <f t="shared" si="280"/>
        <v>0</v>
      </c>
      <c r="O274" s="832">
        <f t="shared" si="280"/>
        <v>0.31764705882352939</v>
      </c>
      <c r="P274" s="832">
        <f t="shared" si="280"/>
        <v>0</v>
      </c>
      <c r="Q274" s="830">
        <f t="shared" si="280"/>
        <v>0</v>
      </c>
      <c r="R274" s="833">
        <f t="shared" si="280"/>
        <v>0</v>
      </c>
      <c r="S274" s="832">
        <f t="shared" si="280"/>
        <v>0</v>
      </c>
      <c r="T274" s="213"/>
      <c r="U274" s="858"/>
      <c r="V274" s="858">
        <v>299</v>
      </c>
      <c r="W274" s="858"/>
      <c r="X274" s="858">
        <v>41</v>
      </c>
      <c r="Y274" s="858"/>
      <c r="Z274" s="858">
        <v>50</v>
      </c>
      <c r="AA274" s="859">
        <v>390</v>
      </c>
      <c r="AB274" s="859"/>
      <c r="AC274" s="858"/>
      <c r="AD274" s="858">
        <v>34</v>
      </c>
      <c r="AE274" s="858">
        <v>77</v>
      </c>
      <c r="AF274" s="858"/>
      <c r="AG274" s="859">
        <v>108</v>
      </c>
      <c r="AH274" s="863">
        <f t="shared" ref="AH274:AK274" si="281">AH280+AH286+AH292+AH298+AH304+AH310+AH316+AH322+AH328+AH334+AH340+AH346+AH352</f>
        <v>0</v>
      </c>
      <c r="AI274" s="862">
        <f t="shared" si="281"/>
        <v>0</v>
      </c>
      <c r="AJ274" s="870">
        <f t="shared" si="281"/>
        <v>0</v>
      </c>
      <c r="AK274" s="863">
        <f t="shared" si="281"/>
        <v>0</v>
      </c>
      <c r="AL274" s="209"/>
      <c r="AM274" s="209"/>
    </row>
    <row r="275" spans="1:39" s="80" customFormat="1">
      <c r="A275" s="239"/>
      <c r="B275" s="239" t="s">
        <v>55</v>
      </c>
      <c r="C275" s="832">
        <f>IF(U278&gt;0,(U275/U278),0)</f>
        <v>0</v>
      </c>
      <c r="D275" s="830">
        <f t="shared" ref="D275:S275" si="282">IF(V278&gt;0,(V275/V278),0)</f>
        <v>0.35916134913400183</v>
      </c>
      <c r="E275" s="830">
        <f t="shared" si="282"/>
        <v>0</v>
      </c>
      <c r="F275" s="830">
        <f t="shared" si="282"/>
        <v>0.3611111111111111</v>
      </c>
      <c r="G275" s="830">
        <f t="shared" si="282"/>
        <v>0</v>
      </c>
      <c r="H275" s="830">
        <f t="shared" si="282"/>
        <v>0.34634146341463412</v>
      </c>
      <c r="I275" s="832">
        <f t="shared" si="282"/>
        <v>0.35762483130904182</v>
      </c>
      <c r="J275" s="832">
        <f t="shared" si="282"/>
        <v>0</v>
      </c>
      <c r="K275" s="830">
        <f t="shared" si="282"/>
        <v>0</v>
      </c>
      <c r="L275" s="830">
        <f t="shared" si="282"/>
        <v>0.47272727272727272</v>
      </c>
      <c r="M275" s="830">
        <f t="shared" si="282"/>
        <v>0.20869565217391303</v>
      </c>
      <c r="N275" s="830">
        <f t="shared" si="282"/>
        <v>0</v>
      </c>
      <c r="O275" s="832">
        <f t="shared" si="282"/>
        <v>0.25588235294117645</v>
      </c>
      <c r="P275" s="832">
        <f t="shared" si="282"/>
        <v>0</v>
      </c>
      <c r="Q275" s="830">
        <f t="shared" si="282"/>
        <v>0</v>
      </c>
      <c r="R275" s="833">
        <f t="shared" si="282"/>
        <v>0</v>
      </c>
      <c r="S275" s="832">
        <f t="shared" si="282"/>
        <v>0</v>
      </c>
      <c r="T275" s="213"/>
      <c r="U275" s="858"/>
      <c r="V275" s="858">
        <v>394</v>
      </c>
      <c r="W275" s="858"/>
      <c r="X275" s="858">
        <v>65</v>
      </c>
      <c r="Y275" s="858"/>
      <c r="Z275" s="858">
        <v>71</v>
      </c>
      <c r="AA275" s="859">
        <v>530</v>
      </c>
      <c r="AB275" s="859"/>
      <c r="AC275" s="858"/>
      <c r="AD275" s="858">
        <v>52</v>
      </c>
      <c r="AE275" s="858">
        <v>48</v>
      </c>
      <c r="AF275" s="858"/>
      <c r="AG275" s="859">
        <v>87</v>
      </c>
      <c r="AH275" s="863">
        <f t="shared" ref="AH275:AK275" si="283">AH281+AH287+AH293+AH299+AH305+AH311+AH317+AH323+AH329+AH335+AH341+AH347+AH353</f>
        <v>0</v>
      </c>
      <c r="AI275" s="862">
        <f t="shared" si="283"/>
        <v>0</v>
      </c>
      <c r="AJ275" s="870">
        <f t="shared" si="283"/>
        <v>0</v>
      </c>
      <c r="AK275" s="863">
        <f t="shared" si="283"/>
        <v>0</v>
      </c>
      <c r="AL275" s="209"/>
      <c r="AM275" s="209"/>
    </row>
    <row r="276" spans="1:39" s="80" customFormat="1">
      <c r="A276" s="239"/>
      <c r="B276" s="239" t="s">
        <v>78</v>
      </c>
      <c r="C276" s="832">
        <f>IF(U278&gt;0,(U276/U278),0)</f>
        <v>0</v>
      </c>
      <c r="D276" s="830">
        <f t="shared" ref="D276:S276" si="284">IF(V278&gt;0,(V276/V278),0)</f>
        <v>2.3701002734731084E-2</v>
      </c>
      <c r="E276" s="830">
        <f t="shared" si="284"/>
        <v>0</v>
      </c>
      <c r="F276" s="830">
        <f t="shared" si="284"/>
        <v>0.23333333333333334</v>
      </c>
      <c r="G276" s="830">
        <f t="shared" si="284"/>
        <v>0</v>
      </c>
      <c r="H276" s="830">
        <f t="shared" si="284"/>
        <v>0.11219512195121951</v>
      </c>
      <c r="I276" s="832">
        <f t="shared" si="284"/>
        <v>6.1403508771929821E-2</v>
      </c>
      <c r="J276" s="832">
        <f t="shared" si="284"/>
        <v>0</v>
      </c>
      <c r="K276" s="830">
        <f t="shared" si="284"/>
        <v>0</v>
      </c>
      <c r="L276" s="830">
        <f t="shared" si="284"/>
        <v>0.16363636363636364</v>
      </c>
      <c r="M276" s="830">
        <f t="shared" si="284"/>
        <v>0.40434782608695652</v>
      </c>
      <c r="N276" s="830">
        <f t="shared" si="284"/>
        <v>0</v>
      </c>
      <c r="O276" s="832">
        <f t="shared" si="284"/>
        <v>0.35</v>
      </c>
      <c r="P276" s="832">
        <f t="shared" si="284"/>
        <v>0</v>
      </c>
      <c r="Q276" s="830">
        <f t="shared" si="284"/>
        <v>0</v>
      </c>
      <c r="R276" s="833">
        <f t="shared" si="284"/>
        <v>0</v>
      </c>
      <c r="S276" s="832">
        <f t="shared" si="284"/>
        <v>0</v>
      </c>
      <c r="T276" s="213"/>
      <c r="U276" s="858"/>
      <c r="V276" s="858">
        <v>26</v>
      </c>
      <c r="W276" s="858"/>
      <c r="X276" s="858">
        <v>42</v>
      </c>
      <c r="Y276" s="858"/>
      <c r="Z276" s="858">
        <v>23</v>
      </c>
      <c r="AA276" s="859">
        <v>91</v>
      </c>
      <c r="AB276" s="859"/>
      <c r="AC276" s="858"/>
      <c r="AD276" s="858">
        <v>18</v>
      </c>
      <c r="AE276" s="858">
        <v>93</v>
      </c>
      <c r="AF276" s="858"/>
      <c r="AG276" s="859">
        <v>119</v>
      </c>
      <c r="AH276" s="863">
        <f t="shared" ref="AH276:AK276" si="285">AH282+AH288+AH294+AH300+AH306+AH312+AH318+AH324+AH330+AH336+AH342+AH348+AH354</f>
        <v>0</v>
      </c>
      <c r="AI276" s="862">
        <f t="shared" si="285"/>
        <v>0</v>
      </c>
      <c r="AJ276" s="870">
        <f t="shared" si="285"/>
        <v>0</v>
      </c>
      <c r="AK276" s="863">
        <f t="shared" si="285"/>
        <v>0</v>
      </c>
      <c r="AL276" s="209"/>
      <c r="AM276" s="209"/>
    </row>
    <row r="277" spans="1:39" s="80" customFormat="1">
      <c r="A277" s="580"/>
      <c r="B277" s="580" t="s">
        <v>131</v>
      </c>
      <c r="C277" s="832">
        <f>IF(U278&gt;0,(U277/U278),0)</f>
        <v>0</v>
      </c>
      <c r="D277" s="830">
        <f t="shared" ref="D277:S277" si="286">IF(V278&gt;0,(V277/V278),0)</f>
        <v>0.12123974475843209</v>
      </c>
      <c r="E277" s="830">
        <f t="shared" si="286"/>
        <v>0</v>
      </c>
      <c r="F277" s="830">
        <f t="shared" si="286"/>
        <v>0</v>
      </c>
      <c r="G277" s="830">
        <f t="shared" si="286"/>
        <v>0</v>
      </c>
      <c r="H277" s="830">
        <f t="shared" si="286"/>
        <v>0.15121951219512195</v>
      </c>
      <c r="I277" s="832">
        <f t="shared" si="286"/>
        <v>0.1106612685560054</v>
      </c>
      <c r="J277" s="832">
        <f t="shared" si="286"/>
        <v>0</v>
      </c>
      <c r="K277" s="830">
        <f t="shared" si="286"/>
        <v>0</v>
      </c>
      <c r="L277" s="830">
        <f t="shared" si="286"/>
        <v>0</v>
      </c>
      <c r="M277" s="830">
        <f t="shared" si="286"/>
        <v>1.3043478260869565E-2</v>
      </c>
      <c r="N277" s="830">
        <f t="shared" si="286"/>
        <v>0</v>
      </c>
      <c r="O277" s="832">
        <f t="shared" si="286"/>
        <v>8.8235294117647058E-3</v>
      </c>
      <c r="P277" s="832">
        <f t="shared" si="286"/>
        <v>0</v>
      </c>
      <c r="Q277" s="830">
        <f t="shared" si="286"/>
        <v>0</v>
      </c>
      <c r="R277" s="833">
        <f t="shared" si="286"/>
        <v>0</v>
      </c>
      <c r="S277" s="832">
        <f t="shared" si="286"/>
        <v>0</v>
      </c>
      <c r="T277" s="213"/>
      <c r="U277" s="858"/>
      <c r="V277" s="858">
        <v>133</v>
      </c>
      <c r="W277" s="858"/>
      <c r="X277" s="858"/>
      <c r="Y277" s="858"/>
      <c r="Z277" s="858">
        <v>31</v>
      </c>
      <c r="AA277" s="859">
        <v>164</v>
      </c>
      <c r="AB277" s="859"/>
      <c r="AC277" s="858"/>
      <c r="AD277" s="858"/>
      <c r="AE277" s="858">
        <v>3</v>
      </c>
      <c r="AF277" s="858"/>
      <c r="AG277" s="859">
        <v>3</v>
      </c>
      <c r="AH277" s="863">
        <f t="shared" ref="AH277:AK277" si="287">AH283+AH289+AH295+AH301+AH307+AH313+AH319+AH325+AH331+AH337+AH343+AH349+AH355</f>
        <v>0</v>
      </c>
      <c r="AI277" s="862">
        <f t="shared" si="287"/>
        <v>0</v>
      </c>
      <c r="AJ277" s="870">
        <f t="shared" si="287"/>
        <v>0</v>
      </c>
      <c r="AK277" s="863">
        <f t="shared" si="287"/>
        <v>0</v>
      </c>
      <c r="AL277" s="209"/>
      <c r="AM277" s="209"/>
    </row>
    <row r="278" spans="1:39" s="80" customFormat="1">
      <c r="A278" s="436"/>
      <c r="B278" s="436" t="s">
        <v>59</v>
      </c>
      <c r="C278" s="834">
        <f>IF(U278&gt;0,(U278/U278),0)</f>
        <v>0</v>
      </c>
      <c r="D278" s="835">
        <f t="shared" ref="D278:S278" si="288">IF(V278&gt;0,(V278/V278),0)</f>
        <v>1</v>
      </c>
      <c r="E278" s="835">
        <f t="shared" si="288"/>
        <v>0</v>
      </c>
      <c r="F278" s="835">
        <f t="shared" si="288"/>
        <v>1</v>
      </c>
      <c r="G278" s="835">
        <f t="shared" si="288"/>
        <v>0</v>
      </c>
      <c r="H278" s="835">
        <f t="shared" si="288"/>
        <v>1</v>
      </c>
      <c r="I278" s="834">
        <f t="shared" si="288"/>
        <v>1</v>
      </c>
      <c r="J278" s="834">
        <f t="shared" si="288"/>
        <v>0</v>
      </c>
      <c r="K278" s="835">
        <f t="shared" si="288"/>
        <v>0</v>
      </c>
      <c r="L278" s="835">
        <f t="shared" si="288"/>
        <v>1</v>
      </c>
      <c r="M278" s="835">
        <f t="shared" si="288"/>
        <v>1</v>
      </c>
      <c r="N278" s="835">
        <f t="shared" si="288"/>
        <v>0</v>
      </c>
      <c r="O278" s="834">
        <f t="shared" si="288"/>
        <v>1</v>
      </c>
      <c r="P278" s="834">
        <f t="shared" si="288"/>
        <v>0</v>
      </c>
      <c r="Q278" s="835">
        <f t="shared" si="288"/>
        <v>0</v>
      </c>
      <c r="R278" s="836">
        <f t="shared" si="288"/>
        <v>0</v>
      </c>
      <c r="S278" s="834">
        <f t="shared" si="288"/>
        <v>0</v>
      </c>
      <c r="T278" s="213"/>
      <c r="U278" s="871"/>
      <c r="V278" s="871">
        <v>1097</v>
      </c>
      <c r="W278" s="871"/>
      <c r="X278" s="871">
        <v>180</v>
      </c>
      <c r="Y278" s="871"/>
      <c r="Z278" s="871">
        <v>205</v>
      </c>
      <c r="AA278" s="864">
        <v>1482</v>
      </c>
      <c r="AB278" s="864"/>
      <c r="AC278" s="871"/>
      <c r="AD278" s="871">
        <v>110</v>
      </c>
      <c r="AE278" s="871">
        <v>230</v>
      </c>
      <c r="AF278" s="871"/>
      <c r="AG278" s="864">
        <v>340</v>
      </c>
      <c r="AH278" s="872">
        <f t="shared" ref="AH278:AK278" si="289">AH284+AH290+AH296+AH302+AH308+AH314+AH320+AH326+AH332+AH338+AH344+AH350+AH356</f>
        <v>0</v>
      </c>
      <c r="AI278" s="873">
        <f t="shared" si="289"/>
        <v>0</v>
      </c>
      <c r="AJ278" s="874">
        <f t="shared" si="289"/>
        <v>0</v>
      </c>
      <c r="AK278" s="872">
        <f t="shared" si="289"/>
        <v>0</v>
      </c>
      <c r="AL278" s="209"/>
      <c r="AM278" s="209"/>
    </row>
    <row r="279" spans="1:39" s="80" customFormat="1">
      <c r="A279" s="240" t="s">
        <v>160</v>
      </c>
      <c r="B279" s="240" t="s">
        <v>53</v>
      </c>
      <c r="C279" s="829">
        <f>IF(U284&gt;0,(U279/U284),0)</f>
        <v>0.33860393366756653</v>
      </c>
      <c r="D279" s="830">
        <f t="shared" ref="D279:S279" si="290">IF(V284&gt;0,(V279/V284),0)</f>
        <v>0.27707342842049659</v>
      </c>
      <c r="E279" s="830">
        <f t="shared" si="290"/>
        <v>0.30333951762523192</v>
      </c>
      <c r="F279" s="830">
        <f t="shared" si="290"/>
        <v>0</v>
      </c>
      <c r="G279" s="830">
        <f t="shared" si="290"/>
        <v>0</v>
      </c>
      <c r="H279" s="830">
        <f t="shared" si="290"/>
        <v>0.17765814266487215</v>
      </c>
      <c r="I279" s="829">
        <f t="shared" si="290"/>
        <v>0.30241823404058188</v>
      </c>
      <c r="J279" s="829">
        <f t="shared" si="290"/>
        <v>0</v>
      </c>
      <c r="K279" s="830">
        <f t="shared" si="290"/>
        <v>5.2504526252263123E-2</v>
      </c>
      <c r="L279" s="830">
        <f t="shared" si="290"/>
        <v>0.22294022617124395</v>
      </c>
      <c r="M279" s="830">
        <f t="shared" si="290"/>
        <v>0.13751263902932254</v>
      </c>
      <c r="N279" s="830">
        <f t="shared" si="290"/>
        <v>0</v>
      </c>
      <c r="O279" s="829">
        <f t="shared" si="290"/>
        <v>0.19601837672281777</v>
      </c>
      <c r="P279" s="829">
        <f t="shared" si="290"/>
        <v>0</v>
      </c>
      <c r="Q279" s="830">
        <f t="shared" si="290"/>
        <v>0</v>
      </c>
      <c r="R279" s="831">
        <f t="shared" si="290"/>
        <v>0</v>
      </c>
      <c r="S279" s="829">
        <f t="shared" si="290"/>
        <v>0</v>
      </c>
      <c r="T279" s="213"/>
      <c r="U279" s="858">
        <v>1756</v>
      </c>
      <c r="V279" s="858">
        <v>1049</v>
      </c>
      <c r="W279" s="858">
        <v>327</v>
      </c>
      <c r="X279" s="858"/>
      <c r="Y279" s="858"/>
      <c r="Z279" s="858">
        <v>132</v>
      </c>
      <c r="AA279" s="857">
        <v>3264</v>
      </c>
      <c r="AB279" s="857">
        <v>415</v>
      </c>
      <c r="AC279" s="858">
        <v>87</v>
      </c>
      <c r="AD279" s="858">
        <v>138</v>
      </c>
      <c r="AE279" s="858">
        <v>136</v>
      </c>
      <c r="AF279" s="858"/>
      <c r="AG279" s="857">
        <v>640</v>
      </c>
      <c r="AH279" s="861">
        <f t="shared" ref="AH279:AK279" si="291">AH285+AH291+AH297+AH303+AH309+AH315+AH321+AH327+AH333+AH339+AH345+AH351+AH357</f>
        <v>0</v>
      </c>
      <c r="AI279" s="862">
        <f t="shared" si="291"/>
        <v>0</v>
      </c>
      <c r="AJ279" s="869">
        <f t="shared" si="291"/>
        <v>0</v>
      </c>
      <c r="AK279" s="861">
        <f t="shared" si="291"/>
        <v>0</v>
      </c>
      <c r="AL279" s="209"/>
      <c r="AM279" s="209"/>
    </row>
    <row r="280" spans="1:39" s="80" customFormat="1">
      <c r="A280" s="239"/>
      <c r="B280" s="239" t="s">
        <v>93</v>
      </c>
      <c r="C280" s="832">
        <f>IF(U284&gt;0,(U280/U284),0)</f>
        <v>0.32722715001928271</v>
      </c>
      <c r="D280" s="830">
        <f t="shared" ref="D280:S280" si="292">IF(V284&gt;0,(V280/V284),0)</f>
        <v>0.30903328050713152</v>
      </c>
      <c r="E280" s="830">
        <f t="shared" si="292"/>
        <v>0.26623376623376621</v>
      </c>
      <c r="F280" s="830">
        <f t="shared" si="292"/>
        <v>0</v>
      </c>
      <c r="G280" s="830">
        <f t="shared" si="292"/>
        <v>0</v>
      </c>
      <c r="H280" s="830">
        <f t="shared" si="292"/>
        <v>0.3243606998654105</v>
      </c>
      <c r="I280" s="832">
        <f t="shared" si="292"/>
        <v>0.31455573056610764</v>
      </c>
      <c r="J280" s="832">
        <f t="shared" si="292"/>
        <v>0</v>
      </c>
      <c r="K280" s="830">
        <f t="shared" si="292"/>
        <v>7.4834037417018703E-2</v>
      </c>
      <c r="L280" s="830">
        <f t="shared" si="292"/>
        <v>0.48465266558966075</v>
      </c>
      <c r="M280" s="830">
        <f t="shared" si="292"/>
        <v>0.28513650151668352</v>
      </c>
      <c r="N280" s="830">
        <f t="shared" si="292"/>
        <v>0</v>
      </c>
      <c r="O280" s="832">
        <f t="shared" si="292"/>
        <v>0.23032159264931087</v>
      </c>
      <c r="P280" s="832">
        <f t="shared" si="292"/>
        <v>0</v>
      </c>
      <c r="Q280" s="830">
        <f t="shared" si="292"/>
        <v>0</v>
      </c>
      <c r="R280" s="833">
        <f t="shared" si="292"/>
        <v>0</v>
      </c>
      <c r="S280" s="832">
        <f t="shared" si="292"/>
        <v>0</v>
      </c>
      <c r="T280" s="213"/>
      <c r="U280" s="858">
        <v>1697</v>
      </c>
      <c r="V280" s="858">
        <v>1170</v>
      </c>
      <c r="W280" s="858">
        <v>287</v>
      </c>
      <c r="X280" s="858"/>
      <c r="Y280" s="858"/>
      <c r="Z280" s="858">
        <v>241</v>
      </c>
      <c r="AA280" s="859">
        <v>3395</v>
      </c>
      <c r="AB280" s="859">
        <v>328</v>
      </c>
      <c r="AC280" s="858">
        <v>124</v>
      </c>
      <c r="AD280" s="858">
        <v>300</v>
      </c>
      <c r="AE280" s="858">
        <v>282</v>
      </c>
      <c r="AF280" s="858"/>
      <c r="AG280" s="859">
        <v>752</v>
      </c>
      <c r="AH280" s="863">
        <f t="shared" ref="AH280:AK280" si="293">AH286+AH292+AH298+AH304+AH310+AH316+AH322+AH328+AH334+AH340+AH346+AH352+AH358</f>
        <v>0</v>
      </c>
      <c r="AI280" s="862">
        <f t="shared" si="293"/>
        <v>0</v>
      </c>
      <c r="AJ280" s="870">
        <f t="shared" si="293"/>
        <v>0</v>
      </c>
      <c r="AK280" s="863">
        <f t="shared" si="293"/>
        <v>0</v>
      </c>
      <c r="AL280" s="209"/>
      <c r="AM280" s="209"/>
    </row>
    <row r="281" spans="1:39" s="80" customFormat="1">
      <c r="A281" s="239"/>
      <c r="B281" s="239" t="s">
        <v>55</v>
      </c>
      <c r="C281" s="832">
        <f>IF(U284&gt;0,(U281/U284),0)</f>
        <v>0.27651369070574622</v>
      </c>
      <c r="D281" s="830">
        <f t="shared" ref="D281:S281" si="294">IF(V284&gt;0,(V281/V284),0)</f>
        <v>0.20655044902271527</v>
      </c>
      <c r="E281" s="830">
        <f t="shared" si="294"/>
        <v>0.29499072356215211</v>
      </c>
      <c r="F281" s="830">
        <f t="shared" si="294"/>
        <v>0</v>
      </c>
      <c r="G281" s="830">
        <f t="shared" si="294"/>
        <v>0</v>
      </c>
      <c r="H281" s="830">
        <f t="shared" si="294"/>
        <v>0.36608344549125166</v>
      </c>
      <c r="I281" s="832">
        <f t="shared" si="294"/>
        <v>0.25998332252385803</v>
      </c>
      <c r="J281" s="832">
        <f t="shared" si="294"/>
        <v>0</v>
      </c>
      <c r="K281" s="830">
        <f t="shared" si="294"/>
        <v>0.10681955340977671</v>
      </c>
      <c r="L281" s="830">
        <f t="shared" si="294"/>
        <v>0.5088852988691438</v>
      </c>
      <c r="M281" s="830">
        <f t="shared" si="294"/>
        <v>0.33973710819009101</v>
      </c>
      <c r="N281" s="830">
        <f t="shared" si="294"/>
        <v>0</v>
      </c>
      <c r="O281" s="832">
        <f t="shared" si="294"/>
        <v>0.28637059724349156</v>
      </c>
      <c r="P281" s="832">
        <f t="shared" si="294"/>
        <v>0</v>
      </c>
      <c r="Q281" s="830">
        <f t="shared" si="294"/>
        <v>0</v>
      </c>
      <c r="R281" s="833">
        <f t="shared" si="294"/>
        <v>0</v>
      </c>
      <c r="S281" s="832">
        <f t="shared" si="294"/>
        <v>0</v>
      </c>
      <c r="T281" s="213"/>
      <c r="U281" s="858">
        <v>1434</v>
      </c>
      <c r="V281" s="858">
        <v>782</v>
      </c>
      <c r="W281" s="858">
        <v>318</v>
      </c>
      <c r="X281" s="858"/>
      <c r="Y281" s="858"/>
      <c r="Z281" s="858">
        <v>272</v>
      </c>
      <c r="AA281" s="859">
        <v>2806</v>
      </c>
      <c r="AB281" s="859">
        <v>443</v>
      </c>
      <c r="AC281" s="858">
        <v>177</v>
      </c>
      <c r="AD281" s="858">
        <v>315</v>
      </c>
      <c r="AE281" s="858">
        <v>336</v>
      </c>
      <c r="AF281" s="858"/>
      <c r="AG281" s="859">
        <v>935</v>
      </c>
      <c r="AH281" s="863">
        <f t="shared" ref="AH281:AK281" si="295">AH287+AH293+AH299+AH305+AH311+AH317+AH323+AH329+AH335+AH341+AH347+AH353+AH359</f>
        <v>0</v>
      </c>
      <c r="AI281" s="862">
        <f t="shared" si="295"/>
        <v>0</v>
      </c>
      <c r="AJ281" s="870">
        <f t="shared" si="295"/>
        <v>0</v>
      </c>
      <c r="AK281" s="863">
        <f t="shared" si="295"/>
        <v>0</v>
      </c>
      <c r="AL281" s="209"/>
      <c r="AM281" s="209"/>
    </row>
    <row r="282" spans="1:39" s="80" customFormat="1">
      <c r="A282" s="239"/>
      <c r="B282" s="239" t="s">
        <v>78</v>
      </c>
      <c r="C282" s="832">
        <f>IF(U284&gt;0,(U282/U284),0)</f>
        <v>3.413035094485152E-2</v>
      </c>
      <c r="D282" s="830">
        <f t="shared" ref="D282:S282" si="296">IF(V284&gt;0,(V282/V284),0)</f>
        <v>9.9841521394611721E-2</v>
      </c>
      <c r="E282" s="830">
        <f t="shared" si="296"/>
        <v>0.11224489795918367</v>
      </c>
      <c r="F282" s="830">
        <f t="shared" si="296"/>
        <v>0</v>
      </c>
      <c r="G282" s="830">
        <f t="shared" si="296"/>
        <v>0</v>
      </c>
      <c r="H282" s="830">
        <f t="shared" si="296"/>
        <v>8.0753701211305512E-2</v>
      </c>
      <c r="I282" s="832">
        <f t="shared" si="296"/>
        <v>6.8192346891503747E-2</v>
      </c>
      <c r="J282" s="832">
        <f t="shared" si="296"/>
        <v>0</v>
      </c>
      <c r="K282" s="830">
        <f t="shared" si="296"/>
        <v>0.11104405552202776</v>
      </c>
      <c r="L282" s="830">
        <f t="shared" si="296"/>
        <v>0.2665589660743134</v>
      </c>
      <c r="M282" s="830">
        <f t="shared" si="296"/>
        <v>0.18705763397371081</v>
      </c>
      <c r="N282" s="830">
        <f t="shared" si="296"/>
        <v>0</v>
      </c>
      <c r="O282" s="832">
        <f t="shared" si="296"/>
        <v>0.17549770290964778</v>
      </c>
      <c r="P282" s="832">
        <f t="shared" si="296"/>
        <v>0</v>
      </c>
      <c r="Q282" s="830">
        <f t="shared" si="296"/>
        <v>0</v>
      </c>
      <c r="R282" s="833">
        <f t="shared" si="296"/>
        <v>0</v>
      </c>
      <c r="S282" s="832">
        <f t="shared" si="296"/>
        <v>0</v>
      </c>
      <c r="T282" s="213"/>
      <c r="U282" s="858">
        <v>177</v>
      </c>
      <c r="V282" s="858">
        <v>378</v>
      </c>
      <c r="W282" s="858">
        <v>121</v>
      </c>
      <c r="X282" s="858"/>
      <c r="Y282" s="858"/>
      <c r="Z282" s="858">
        <v>60</v>
      </c>
      <c r="AA282" s="859">
        <v>736</v>
      </c>
      <c r="AB282" s="859">
        <v>224</v>
      </c>
      <c r="AC282" s="858">
        <v>184</v>
      </c>
      <c r="AD282" s="858">
        <v>165</v>
      </c>
      <c r="AE282" s="858">
        <v>185</v>
      </c>
      <c r="AF282" s="858"/>
      <c r="AG282" s="859">
        <v>573</v>
      </c>
      <c r="AH282" s="863">
        <f t="shared" ref="AH282:AK282" si="297">AH288+AH294+AH300+AH306+AH312+AH318+AH324+AH330+AH336+AH342+AH348+AH354+AH360</f>
        <v>0</v>
      </c>
      <c r="AI282" s="862">
        <f t="shared" si="297"/>
        <v>0</v>
      </c>
      <c r="AJ282" s="870">
        <f t="shared" si="297"/>
        <v>0</v>
      </c>
      <c r="AK282" s="863">
        <f t="shared" si="297"/>
        <v>0</v>
      </c>
      <c r="AL282" s="209"/>
      <c r="AM282" s="209"/>
    </row>
    <row r="283" spans="1:39" s="80" customFormat="1">
      <c r="A283" s="580"/>
      <c r="B283" s="580" t="s">
        <v>131</v>
      </c>
      <c r="C283" s="832">
        <f>IF(U284&gt;0,(U283/U284),0)</f>
        <v>2.3524874662553028E-2</v>
      </c>
      <c r="D283" s="830">
        <f t="shared" ref="D283:S283" si="298">IF(V284&gt;0,(V283/V284),0)</f>
        <v>0.1075013206550449</v>
      </c>
      <c r="E283" s="830">
        <f t="shared" si="298"/>
        <v>2.3191094619666047E-2</v>
      </c>
      <c r="F283" s="830">
        <f t="shared" si="298"/>
        <v>0</v>
      </c>
      <c r="G283" s="830">
        <f t="shared" si="298"/>
        <v>0</v>
      </c>
      <c r="H283" s="830">
        <f t="shared" si="298"/>
        <v>5.1144010767160158E-2</v>
      </c>
      <c r="I283" s="832">
        <f t="shared" si="298"/>
        <v>5.4850365977948672E-2</v>
      </c>
      <c r="J283" s="832">
        <f t="shared" si="298"/>
        <v>0</v>
      </c>
      <c r="K283" s="830">
        <f t="shared" si="298"/>
        <v>0.14906457453228728</v>
      </c>
      <c r="L283" s="830">
        <f t="shared" si="298"/>
        <v>7.5928917609046853E-2</v>
      </c>
      <c r="M283" s="830">
        <f t="shared" si="298"/>
        <v>7.1789686552072796E-2</v>
      </c>
      <c r="N283" s="830">
        <f t="shared" si="298"/>
        <v>0</v>
      </c>
      <c r="O283" s="832">
        <f t="shared" si="298"/>
        <v>0.11179173047473201</v>
      </c>
      <c r="P283" s="832">
        <f t="shared" si="298"/>
        <v>0</v>
      </c>
      <c r="Q283" s="830">
        <f t="shared" si="298"/>
        <v>0</v>
      </c>
      <c r="R283" s="833">
        <f t="shared" si="298"/>
        <v>0</v>
      </c>
      <c r="S283" s="832">
        <f t="shared" si="298"/>
        <v>0</v>
      </c>
      <c r="T283" s="213"/>
      <c r="U283" s="858">
        <v>122</v>
      </c>
      <c r="V283" s="858">
        <v>407</v>
      </c>
      <c r="W283" s="858">
        <v>25</v>
      </c>
      <c r="X283" s="858"/>
      <c r="Y283" s="858"/>
      <c r="Z283" s="858">
        <v>38</v>
      </c>
      <c r="AA283" s="859">
        <v>592</v>
      </c>
      <c r="AB283" s="859"/>
      <c r="AC283" s="858">
        <v>247</v>
      </c>
      <c r="AD283" s="858">
        <v>47</v>
      </c>
      <c r="AE283" s="858">
        <v>71</v>
      </c>
      <c r="AF283" s="858"/>
      <c r="AG283" s="859">
        <v>365</v>
      </c>
      <c r="AH283" s="863">
        <f t="shared" ref="AH283:AK283" si="299">AH289+AH295+AH301+AH307+AH313+AH319+AH325+AH331+AH337+AH343+AH349+AH355+AH361</f>
        <v>0</v>
      </c>
      <c r="AI283" s="862">
        <f t="shared" si="299"/>
        <v>0</v>
      </c>
      <c r="AJ283" s="870">
        <f t="shared" si="299"/>
        <v>0</v>
      </c>
      <c r="AK283" s="863">
        <f t="shared" si="299"/>
        <v>0</v>
      </c>
      <c r="AL283" s="209"/>
      <c r="AM283" s="209"/>
    </row>
    <row r="284" spans="1:39" s="80" customFormat="1">
      <c r="A284" s="436"/>
      <c r="B284" s="436" t="s">
        <v>59</v>
      </c>
      <c r="C284" s="834">
        <f>IF(U284&gt;0,(U284/U284),0)</f>
        <v>1</v>
      </c>
      <c r="D284" s="835">
        <f t="shared" ref="D284:S284" si="300">IF(V284&gt;0,(V284/V284),0)</f>
        <v>1</v>
      </c>
      <c r="E284" s="835">
        <f t="shared" si="300"/>
        <v>1</v>
      </c>
      <c r="F284" s="835">
        <f t="shared" si="300"/>
        <v>0</v>
      </c>
      <c r="G284" s="835">
        <f t="shared" si="300"/>
        <v>0</v>
      </c>
      <c r="H284" s="835">
        <f t="shared" si="300"/>
        <v>1</v>
      </c>
      <c r="I284" s="834">
        <f t="shared" si="300"/>
        <v>1</v>
      </c>
      <c r="J284" s="834">
        <f t="shared" si="300"/>
        <v>0</v>
      </c>
      <c r="K284" s="835">
        <f t="shared" si="300"/>
        <v>1</v>
      </c>
      <c r="L284" s="835">
        <f t="shared" si="300"/>
        <v>1</v>
      </c>
      <c r="M284" s="835">
        <f t="shared" si="300"/>
        <v>1</v>
      </c>
      <c r="N284" s="835">
        <f t="shared" si="300"/>
        <v>0</v>
      </c>
      <c r="O284" s="834">
        <f t="shared" si="300"/>
        <v>1</v>
      </c>
      <c r="P284" s="834">
        <f t="shared" si="300"/>
        <v>0</v>
      </c>
      <c r="Q284" s="835">
        <f t="shared" si="300"/>
        <v>0</v>
      </c>
      <c r="R284" s="836">
        <f t="shared" si="300"/>
        <v>0</v>
      </c>
      <c r="S284" s="834">
        <f t="shared" si="300"/>
        <v>0</v>
      </c>
      <c r="T284" s="213"/>
      <c r="U284" s="871">
        <v>5186</v>
      </c>
      <c r="V284" s="871">
        <v>3786</v>
      </c>
      <c r="W284" s="871">
        <v>1078</v>
      </c>
      <c r="X284" s="871"/>
      <c r="Y284" s="871"/>
      <c r="Z284" s="871">
        <v>743</v>
      </c>
      <c r="AA284" s="864">
        <v>10793</v>
      </c>
      <c r="AB284" s="864"/>
      <c r="AC284" s="871">
        <v>1657</v>
      </c>
      <c r="AD284" s="871">
        <v>619</v>
      </c>
      <c r="AE284" s="871">
        <v>989</v>
      </c>
      <c r="AF284" s="871"/>
      <c r="AG284" s="864">
        <v>3265</v>
      </c>
      <c r="AH284" s="872">
        <f t="shared" ref="AH284:AK284" si="301">AH290+AH296+AH302+AH308+AH314+AH320+AH326+AH332+AH338+AH344+AH350+AH356+AH362</f>
        <v>0</v>
      </c>
      <c r="AI284" s="873">
        <f t="shared" si="301"/>
        <v>0</v>
      </c>
      <c r="AJ284" s="874">
        <f t="shared" si="301"/>
        <v>0</v>
      </c>
      <c r="AK284" s="872">
        <f t="shared" si="301"/>
        <v>0</v>
      </c>
      <c r="AL284" s="209"/>
      <c r="AM284" s="209"/>
    </row>
    <row r="285" spans="1:39" s="80" customFormat="1">
      <c r="A285" s="240" t="s">
        <v>164</v>
      </c>
      <c r="B285" s="240" t="s">
        <v>53</v>
      </c>
      <c r="C285" s="829">
        <f>IF(U290&gt;0,(U285/U290),0)</f>
        <v>0</v>
      </c>
      <c r="D285" s="830">
        <f t="shared" ref="D285:S285" si="302">IF(V290&gt;0,(V285/V290),0)</f>
        <v>0.19685039370078741</v>
      </c>
      <c r="E285" s="830">
        <f t="shared" si="302"/>
        <v>0.31034482758620691</v>
      </c>
      <c r="F285" s="830">
        <f t="shared" si="302"/>
        <v>0</v>
      </c>
      <c r="G285" s="830">
        <f t="shared" si="302"/>
        <v>0.19155844155844157</v>
      </c>
      <c r="H285" s="830">
        <f t="shared" si="302"/>
        <v>0</v>
      </c>
      <c r="I285" s="829">
        <f t="shared" si="302"/>
        <v>0.23476702508960573</v>
      </c>
      <c r="J285" s="829">
        <f t="shared" si="302"/>
        <v>0</v>
      </c>
      <c r="K285" s="830">
        <f t="shared" si="302"/>
        <v>0</v>
      </c>
      <c r="L285" s="830">
        <f t="shared" si="302"/>
        <v>0</v>
      </c>
      <c r="M285" s="830">
        <f t="shared" si="302"/>
        <v>0</v>
      </c>
      <c r="N285" s="830">
        <f t="shared" si="302"/>
        <v>0</v>
      </c>
      <c r="O285" s="829">
        <f t="shared" si="302"/>
        <v>0</v>
      </c>
      <c r="P285" s="829">
        <f t="shared" si="302"/>
        <v>0</v>
      </c>
      <c r="Q285" s="830">
        <f t="shared" si="302"/>
        <v>0</v>
      </c>
      <c r="R285" s="831">
        <f t="shared" si="302"/>
        <v>0</v>
      </c>
      <c r="S285" s="829">
        <f t="shared" si="302"/>
        <v>0</v>
      </c>
      <c r="T285" s="213"/>
      <c r="U285" s="858"/>
      <c r="V285" s="858">
        <v>50</v>
      </c>
      <c r="W285" s="858">
        <v>153</v>
      </c>
      <c r="X285" s="858"/>
      <c r="Y285" s="858">
        <v>59</v>
      </c>
      <c r="Z285" s="858"/>
      <c r="AA285" s="857">
        <v>262</v>
      </c>
      <c r="AB285" s="857"/>
      <c r="AC285" s="858"/>
      <c r="AD285" s="858"/>
      <c r="AE285" s="858"/>
      <c r="AF285" s="858"/>
      <c r="AG285" s="857"/>
      <c r="AH285" s="861">
        <f t="shared" ref="AH285:AK285" si="303">AH291+AH297+AH303+AH309+AH315+AH321+AH327+AH333+AH339+AH345+AH351+AH357+AH363</f>
        <v>0</v>
      </c>
      <c r="AI285" s="862">
        <f t="shared" si="303"/>
        <v>0</v>
      </c>
      <c r="AJ285" s="869">
        <f t="shared" si="303"/>
        <v>0</v>
      </c>
      <c r="AK285" s="861">
        <f t="shared" si="303"/>
        <v>0</v>
      </c>
      <c r="AL285" s="209"/>
      <c r="AM285" s="209"/>
    </row>
    <row r="286" spans="1:39" s="80" customFormat="1">
      <c r="A286" s="239"/>
      <c r="B286" s="239" t="s">
        <v>93</v>
      </c>
      <c r="C286" s="832">
        <f>IF(U290&gt;0,(U286/U290),0)</f>
        <v>0</v>
      </c>
      <c r="D286" s="830">
        <f t="shared" ref="D286:S286" si="304">IF(V290&gt;0,(V286/V290),0)</f>
        <v>0.24803149606299213</v>
      </c>
      <c r="E286" s="830">
        <f t="shared" si="304"/>
        <v>0.19675456389452334</v>
      </c>
      <c r="F286" s="830">
        <f t="shared" si="304"/>
        <v>0</v>
      </c>
      <c r="G286" s="830">
        <f t="shared" si="304"/>
        <v>0.29870129870129869</v>
      </c>
      <c r="H286" s="830">
        <f t="shared" si="304"/>
        <v>0</v>
      </c>
      <c r="I286" s="832">
        <f t="shared" si="304"/>
        <v>0.22580645161290322</v>
      </c>
      <c r="J286" s="832">
        <f t="shared" si="304"/>
        <v>0</v>
      </c>
      <c r="K286" s="830">
        <f t="shared" si="304"/>
        <v>0</v>
      </c>
      <c r="L286" s="830">
        <f t="shared" si="304"/>
        <v>0</v>
      </c>
      <c r="M286" s="830">
        <f t="shared" si="304"/>
        <v>0</v>
      </c>
      <c r="N286" s="830">
        <f t="shared" si="304"/>
        <v>0</v>
      </c>
      <c r="O286" s="832">
        <f t="shared" si="304"/>
        <v>0</v>
      </c>
      <c r="P286" s="832">
        <f t="shared" si="304"/>
        <v>0</v>
      </c>
      <c r="Q286" s="830">
        <f t="shared" si="304"/>
        <v>0</v>
      </c>
      <c r="R286" s="833">
        <f t="shared" si="304"/>
        <v>0</v>
      </c>
      <c r="S286" s="832">
        <f t="shared" si="304"/>
        <v>0</v>
      </c>
      <c r="T286" s="213"/>
      <c r="U286" s="858"/>
      <c r="V286" s="858">
        <v>63</v>
      </c>
      <c r="W286" s="858">
        <v>97</v>
      </c>
      <c r="X286" s="858"/>
      <c r="Y286" s="858">
        <v>92</v>
      </c>
      <c r="Z286" s="858"/>
      <c r="AA286" s="859">
        <v>252</v>
      </c>
      <c r="AB286" s="859"/>
      <c r="AC286" s="858"/>
      <c r="AD286" s="858"/>
      <c r="AE286" s="858"/>
      <c r="AF286" s="858"/>
      <c r="AG286" s="859"/>
      <c r="AH286" s="863">
        <f t="shared" ref="AH286:AK286" si="305">AH292+AH298+AH304+AH310+AH316+AH322+AH328+AH334+AH340+AH346+AH352+AH358+AH364</f>
        <v>0</v>
      </c>
      <c r="AI286" s="862">
        <f t="shared" si="305"/>
        <v>0</v>
      </c>
      <c r="AJ286" s="870">
        <f t="shared" si="305"/>
        <v>0</v>
      </c>
      <c r="AK286" s="863">
        <f t="shared" si="305"/>
        <v>0</v>
      </c>
      <c r="AL286" s="209"/>
      <c r="AM286" s="209"/>
    </row>
    <row r="287" spans="1:39" s="80" customFormat="1">
      <c r="A287" s="239"/>
      <c r="B287" s="239" t="s">
        <v>55</v>
      </c>
      <c r="C287" s="832">
        <f>IF(U290&gt;0,(U287/U290),0)</f>
        <v>0</v>
      </c>
      <c r="D287" s="830">
        <f t="shared" ref="D287:S287" si="306">IF(V290&gt;0,(V287/V290),0)</f>
        <v>0.38188976377952755</v>
      </c>
      <c r="E287" s="830">
        <f t="shared" si="306"/>
        <v>0.24543610547667344</v>
      </c>
      <c r="F287" s="830">
        <f t="shared" si="306"/>
        <v>0</v>
      </c>
      <c r="G287" s="830">
        <f t="shared" si="306"/>
        <v>0.32467532467532467</v>
      </c>
      <c r="H287" s="830">
        <f t="shared" si="306"/>
        <v>0</v>
      </c>
      <c r="I287" s="832">
        <f t="shared" si="306"/>
        <v>0.28494623655913981</v>
      </c>
      <c r="J287" s="832">
        <f t="shared" si="306"/>
        <v>0</v>
      </c>
      <c r="K287" s="830">
        <f t="shared" si="306"/>
        <v>0</v>
      </c>
      <c r="L287" s="830">
        <f t="shared" si="306"/>
        <v>0</v>
      </c>
      <c r="M287" s="830">
        <f t="shared" si="306"/>
        <v>0</v>
      </c>
      <c r="N287" s="830">
        <f t="shared" si="306"/>
        <v>0</v>
      </c>
      <c r="O287" s="832">
        <f t="shared" si="306"/>
        <v>0</v>
      </c>
      <c r="P287" s="832">
        <f t="shared" si="306"/>
        <v>0</v>
      </c>
      <c r="Q287" s="830">
        <f t="shared" si="306"/>
        <v>0</v>
      </c>
      <c r="R287" s="833">
        <f t="shared" si="306"/>
        <v>0</v>
      </c>
      <c r="S287" s="832">
        <f t="shared" si="306"/>
        <v>0</v>
      </c>
      <c r="T287" s="213"/>
      <c r="U287" s="858"/>
      <c r="V287" s="858">
        <v>97</v>
      </c>
      <c r="W287" s="858">
        <v>121</v>
      </c>
      <c r="X287" s="858"/>
      <c r="Y287" s="858">
        <v>100</v>
      </c>
      <c r="Z287" s="858"/>
      <c r="AA287" s="859">
        <v>318</v>
      </c>
      <c r="AB287" s="859"/>
      <c r="AC287" s="858"/>
      <c r="AD287" s="858"/>
      <c r="AE287" s="858"/>
      <c r="AF287" s="858"/>
      <c r="AG287" s="859"/>
      <c r="AH287" s="863">
        <f t="shared" ref="AH287:AK287" si="307">AH293+AH299+AH305+AH311+AH317+AH323+AH329+AH335+AH341+AH347+AH353+AH359+AH365</f>
        <v>0</v>
      </c>
      <c r="AI287" s="862">
        <f t="shared" si="307"/>
        <v>0</v>
      </c>
      <c r="AJ287" s="870">
        <f t="shared" si="307"/>
        <v>0</v>
      </c>
      <c r="AK287" s="863">
        <f t="shared" si="307"/>
        <v>0</v>
      </c>
      <c r="AL287" s="209"/>
      <c r="AM287" s="209"/>
    </row>
    <row r="288" spans="1:39" s="80" customFormat="1">
      <c r="A288" s="239"/>
      <c r="B288" s="239" t="s">
        <v>78</v>
      </c>
      <c r="C288" s="832">
        <f>IF(U290&gt;0,(U288/U290),0)</f>
        <v>0</v>
      </c>
      <c r="D288" s="830">
        <f t="shared" ref="D288:S288" si="308">IF(V290&gt;0,(V288/V290),0)</f>
        <v>0.12598425196850394</v>
      </c>
      <c r="E288" s="830">
        <f t="shared" si="308"/>
        <v>0.23123732251521298</v>
      </c>
      <c r="F288" s="830">
        <f t="shared" si="308"/>
        <v>0</v>
      </c>
      <c r="G288" s="830">
        <f t="shared" si="308"/>
        <v>0.18506493506493507</v>
      </c>
      <c r="H288" s="830">
        <f t="shared" si="308"/>
        <v>1</v>
      </c>
      <c r="I288" s="832">
        <f t="shared" si="308"/>
        <v>0.23655913978494625</v>
      </c>
      <c r="J288" s="832">
        <f t="shared" si="308"/>
        <v>0</v>
      </c>
      <c r="K288" s="830">
        <f t="shared" si="308"/>
        <v>0</v>
      </c>
      <c r="L288" s="830">
        <f t="shared" si="308"/>
        <v>0</v>
      </c>
      <c r="M288" s="830">
        <f t="shared" si="308"/>
        <v>0.80241935483870963</v>
      </c>
      <c r="N288" s="830">
        <f t="shared" si="308"/>
        <v>0</v>
      </c>
      <c r="O288" s="832">
        <f t="shared" si="308"/>
        <v>0.80241935483870963</v>
      </c>
      <c r="P288" s="832">
        <f t="shared" si="308"/>
        <v>0</v>
      </c>
      <c r="Q288" s="830">
        <f t="shared" si="308"/>
        <v>0</v>
      </c>
      <c r="R288" s="833">
        <f t="shared" si="308"/>
        <v>0</v>
      </c>
      <c r="S288" s="832">
        <f t="shared" si="308"/>
        <v>0</v>
      </c>
      <c r="T288" s="213"/>
      <c r="U288" s="858"/>
      <c r="V288" s="858">
        <v>32</v>
      </c>
      <c r="W288" s="858">
        <v>114</v>
      </c>
      <c r="X288" s="858"/>
      <c r="Y288" s="858">
        <v>57</v>
      </c>
      <c r="Z288" s="858">
        <v>61</v>
      </c>
      <c r="AA288" s="859">
        <v>264</v>
      </c>
      <c r="AB288" s="859"/>
      <c r="AC288" s="858"/>
      <c r="AD288" s="858"/>
      <c r="AE288" s="858">
        <v>199</v>
      </c>
      <c r="AF288" s="858"/>
      <c r="AG288" s="859">
        <v>199</v>
      </c>
      <c r="AH288" s="863">
        <f t="shared" ref="AH288:AK288" si="309">AH294+AH300+AH306+AH312+AH318+AH324+AH330+AH336+AH342+AH348+AH354+AH360+AH366</f>
        <v>0</v>
      </c>
      <c r="AI288" s="862">
        <f t="shared" si="309"/>
        <v>0</v>
      </c>
      <c r="AJ288" s="870">
        <f t="shared" si="309"/>
        <v>0</v>
      </c>
      <c r="AK288" s="863">
        <f t="shared" si="309"/>
        <v>0</v>
      </c>
      <c r="AL288" s="209"/>
      <c r="AM288" s="209"/>
    </row>
    <row r="289" spans="1:39" s="80" customFormat="1">
      <c r="A289" s="580"/>
      <c r="B289" s="580" t="s">
        <v>131</v>
      </c>
      <c r="C289" s="832">
        <f>IF(U290&gt;0,(U289/U290),0)</f>
        <v>0</v>
      </c>
      <c r="D289" s="830">
        <f t="shared" ref="D289:S289" si="310">IF(V290&gt;0,(V289/V290),0)</f>
        <v>4.7244094488188976E-2</v>
      </c>
      <c r="E289" s="830">
        <f t="shared" si="310"/>
        <v>1.6227180527383367E-2</v>
      </c>
      <c r="F289" s="830">
        <f t="shared" si="310"/>
        <v>0</v>
      </c>
      <c r="G289" s="830">
        <f t="shared" si="310"/>
        <v>0</v>
      </c>
      <c r="H289" s="830">
        <f t="shared" si="310"/>
        <v>0</v>
      </c>
      <c r="I289" s="832">
        <f t="shared" si="310"/>
        <v>1.7921146953405017E-2</v>
      </c>
      <c r="J289" s="832">
        <f t="shared" si="310"/>
        <v>0</v>
      </c>
      <c r="K289" s="830">
        <f t="shared" si="310"/>
        <v>0</v>
      </c>
      <c r="L289" s="830">
        <f t="shared" si="310"/>
        <v>0</v>
      </c>
      <c r="M289" s="830">
        <f t="shared" si="310"/>
        <v>0.19758064516129031</v>
      </c>
      <c r="N289" s="830">
        <f t="shared" si="310"/>
        <v>0</v>
      </c>
      <c r="O289" s="832">
        <f t="shared" si="310"/>
        <v>0.19758064516129031</v>
      </c>
      <c r="P289" s="832">
        <f t="shared" si="310"/>
        <v>0</v>
      </c>
      <c r="Q289" s="830">
        <f t="shared" si="310"/>
        <v>0</v>
      </c>
      <c r="R289" s="833">
        <f t="shared" si="310"/>
        <v>0</v>
      </c>
      <c r="S289" s="832">
        <f t="shared" si="310"/>
        <v>0</v>
      </c>
      <c r="T289" s="213"/>
      <c r="U289" s="858"/>
      <c r="V289" s="858">
        <v>12</v>
      </c>
      <c r="W289" s="858">
        <v>8</v>
      </c>
      <c r="X289" s="858"/>
      <c r="Y289" s="858"/>
      <c r="Z289" s="858"/>
      <c r="AA289" s="859">
        <v>20</v>
      </c>
      <c r="AB289" s="859"/>
      <c r="AC289" s="858"/>
      <c r="AD289" s="858"/>
      <c r="AE289" s="858">
        <v>49</v>
      </c>
      <c r="AF289" s="858"/>
      <c r="AG289" s="859">
        <v>49</v>
      </c>
      <c r="AH289" s="863">
        <f t="shared" ref="AH289:AK289" si="311">AH295+AH301+AH307+AH313+AH319+AH325+AH331+AH337+AH343+AH349+AH355+AH361+AH367</f>
        <v>0</v>
      </c>
      <c r="AI289" s="862">
        <f t="shared" si="311"/>
        <v>0</v>
      </c>
      <c r="AJ289" s="870">
        <f t="shared" si="311"/>
        <v>0</v>
      </c>
      <c r="AK289" s="863">
        <f t="shared" si="311"/>
        <v>0</v>
      </c>
      <c r="AL289" s="209"/>
      <c r="AM289" s="209"/>
    </row>
    <row r="290" spans="1:39" s="80" customFormat="1">
      <c r="A290" s="436"/>
      <c r="B290" s="436" t="s">
        <v>59</v>
      </c>
      <c r="C290" s="834">
        <f>IF(U290&gt;0,(U290/U290),0)</f>
        <v>0</v>
      </c>
      <c r="D290" s="835">
        <f t="shared" ref="D290:S290" si="312">IF(V290&gt;0,(V290/V290),0)</f>
        <v>1</v>
      </c>
      <c r="E290" s="835">
        <f t="shared" si="312"/>
        <v>1</v>
      </c>
      <c r="F290" s="835">
        <f t="shared" si="312"/>
        <v>0</v>
      </c>
      <c r="G290" s="835">
        <f t="shared" si="312"/>
        <v>1</v>
      </c>
      <c r="H290" s="835">
        <f t="shared" si="312"/>
        <v>1</v>
      </c>
      <c r="I290" s="834">
        <f t="shared" si="312"/>
        <v>1</v>
      </c>
      <c r="J290" s="834">
        <f t="shared" si="312"/>
        <v>0</v>
      </c>
      <c r="K290" s="835">
        <f t="shared" si="312"/>
        <v>0</v>
      </c>
      <c r="L290" s="835">
        <f t="shared" si="312"/>
        <v>0</v>
      </c>
      <c r="M290" s="835">
        <f t="shared" si="312"/>
        <v>1</v>
      </c>
      <c r="N290" s="835">
        <f t="shared" si="312"/>
        <v>0</v>
      </c>
      <c r="O290" s="834">
        <f t="shared" si="312"/>
        <v>1</v>
      </c>
      <c r="P290" s="834">
        <f t="shared" si="312"/>
        <v>0</v>
      </c>
      <c r="Q290" s="835">
        <f t="shared" si="312"/>
        <v>0</v>
      </c>
      <c r="R290" s="836">
        <f t="shared" si="312"/>
        <v>0</v>
      </c>
      <c r="S290" s="834">
        <f t="shared" si="312"/>
        <v>0</v>
      </c>
      <c r="T290" s="213"/>
      <c r="U290" s="871"/>
      <c r="V290" s="871">
        <v>254</v>
      </c>
      <c r="W290" s="871">
        <v>493</v>
      </c>
      <c r="X290" s="871"/>
      <c r="Y290" s="871">
        <v>308</v>
      </c>
      <c r="Z290" s="871">
        <v>61</v>
      </c>
      <c r="AA290" s="864">
        <v>1116</v>
      </c>
      <c r="AB290" s="864"/>
      <c r="AC290" s="871"/>
      <c r="AD290" s="871"/>
      <c r="AE290" s="871">
        <v>248</v>
      </c>
      <c r="AF290" s="871"/>
      <c r="AG290" s="864">
        <v>248</v>
      </c>
      <c r="AH290" s="872">
        <f t="shared" ref="AH290:AK290" si="313">AH296+AH302+AH308+AH314+AH320+AH326+AH332+AH338+AH344+AH350+AH356+AH362+AH368</f>
        <v>0</v>
      </c>
      <c r="AI290" s="873">
        <f t="shared" si="313"/>
        <v>0</v>
      </c>
      <c r="AJ290" s="874">
        <f t="shared" si="313"/>
        <v>0</v>
      </c>
      <c r="AK290" s="872">
        <f t="shared" si="313"/>
        <v>0</v>
      </c>
      <c r="AL290" s="209"/>
      <c r="AM290" s="209"/>
    </row>
    <row r="291" spans="1:39" s="80" customFormat="1">
      <c r="A291" s="240" t="s">
        <v>168</v>
      </c>
      <c r="B291" s="240" t="s">
        <v>53</v>
      </c>
      <c r="C291" s="829">
        <f>IF(U296&gt;0,(U291/U296),0)</f>
        <v>0.41421012849584277</v>
      </c>
      <c r="D291" s="830">
        <f t="shared" ref="D291:S291" si="314">IF(V296&gt;0,(V291/V296),0)</f>
        <v>0</v>
      </c>
      <c r="E291" s="830">
        <f t="shared" si="314"/>
        <v>0</v>
      </c>
      <c r="F291" s="830">
        <f t="shared" si="314"/>
        <v>0.27718465796757613</v>
      </c>
      <c r="G291" s="830">
        <f t="shared" si="314"/>
        <v>0.36037735849056601</v>
      </c>
      <c r="H291" s="830">
        <f t="shared" si="314"/>
        <v>0.19883040935672514</v>
      </c>
      <c r="I291" s="829">
        <f t="shared" si="314"/>
        <v>0.34411164057181759</v>
      </c>
      <c r="J291" s="829">
        <f t="shared" si="314"/>
        <v>0</v>
      </c>
      <c r="K291" s="830">
        <f t="shared" si="314"/>
        <v>4.9689440993788817E-2</v>
      </c>
      <c r="L291" s="830">
        <f t="shared" si="314"/>
        <v>0</v>
      </c>
      <c r="M291" s="830">
        <f t="shared" si="314"/>
        <v>0</v>
      </c>
      <c r="N291" s="830">
        <f t="shared" si="314"/>
        <v>0</v>
      </c>
      <c r="O291" s="829">
        <f t="shared" si="314"/>
        <v>1.7882089969265158E-2</v>
      </c>
      <c r="P291" s="829">
        <f t="shared" si="314"/>
        <v>0</v>
      </c>
      <c r="Q291" s="830">
        <f t="shared" si="314"/>
        <v>0</v>
      </c>
      <c r="R291" s="831">
        <f t="shared" si="314"/>
        <v>0</v>
      </c>
      <c r="S291" s="829">
        <f t="shared" si="314"/>
        <v>0</v>
      </c>
      <c r="T291" s="213"/>
      <c r="U291" s="858">
        <v>1096</v>
      </c>
      <c r="V291" s="858"/>
      <c r="W291" s="858"/>
      <c r="X291" s="858">
        <v>701</v>
      </c>
      <c r="Y291" s="858">
        <v>191</v>
      </c>
      <c r="Z291" s="858">
        <v>34</v>
      </c>
      <c r="AA291" s="857">
        <v>2022</v>
      </c>
      <c r="AB291" s="857"/>
      <c r="AC291" s="858">
        <v>64</v>
      </c>
      <c r="AD291" s="858"/>
      <c r="AE291" s="858"/>
      <c r="AF291" s="858"/>
      <c r="AG291" s="857">
        <v>64</v>
      </c>
      <c r="AH291" s="861">
        <f t="shared" ref="AH291:AK291" si="315">AH297+AH303+AH309+AH315+AH321+AH327+AH333+AH339+AH345+AH351+AH357+AH363+AH369</f>
        <v>0</v>
      </c>
      <c r="AI291" s="862">
        <f t="shared" si="315"/>
        <v>0</v>
      </c>
      <c r="AJ291" s="869">
        <f t="shared" si="315"/>
        <v>0</v>
      </c>
      <c r="AK291" s="861">
        <f t="shared" si="315"/>
        <v>0</v>
      </c>
      <c r="AL291" s="209"/>
      <c r="AM291" s="209"/>
    </row>
    <row r="292" spans="1:39" s="80" customFormat="1">
      <c r="A292" s="239"/>
      <c r="B292" s="239" t="s">
        <v>93</v>
      </c>
      <c r="C292" s="832">
        <f>IF(U296&gt;0,(U292/U296),0)</f>
        <v>0.22411186696900984</v>
      </c>
      <c r="D292" s="830">
        <f t="shared" ref="D292:S292" si="316">IF(V296&gt;0,(V292/V296),0)</f>
        <v>0</v>
      </c>
      <c r="E292" s="830">
        <f t="shared" si="316"/>
        <v>0</v>
      </c>
      <c r="F292" s="830">
        <f t="shared" si="316"/>
        <v>0.25780941083432185</v>
      </c>
      <c r="G292" s="830">
        <f t="shared" si="316"/>
        <v>0.27547169811320754</v>
      </c>
      <c r="H292" s="830">
        <f t="shared" si="316"/>
        <v>0.30409356725146197</v>
      </c>
      <c r="I292" s="832">
        <f t="shared" si="316"/>
        <v>0.24557522123893805</v>
      </c>
      <c r="J292" s="832">
        <f t="shared" si="316"/>
        <v>0</v>
      </c>
      <c r="K292" s="830">
        <f t="shared" si="316"/>
        <v>7.0652173913043473E-2</v>
      </c>
      <c r="L292" s="830">
        <f t="shared" si="316"/>
        <v>0</v>
      </c>
      <c r="M292" s="830">
        <f t="shared" si="316"/>
        <v>0</v>
      </c>
      <c r="N292" s="830">
        <f t="shared" si="316"/>
        <v>0</v>
      </c>
      <c r="O292" s="832">
        <f t="shared" si="316"/>
        <v>2.5426096675048897E-2</v>
      </c>
      <c r="P292" s="832">
        <f t="shared" si="316"/>
        <v>0</v>
      </c>
      <c r="Q292" s="830">
        <f t="shared" si="316"/>
        <v>0</v>
      </c>
      <c r="R292" s="833">
        <f t="shared" si="316"/>
        <v>0</v>
      </c>
      <c r="S292" s="832">
        <f t="shared" si="316"/>
        <v>0</v>
      </c>
      <c r="T292" s="213"/>
      <c r="U292" s="858">
        <v>593</v>
      </c>
      <c r="V292" s="858"/>
      <c r="W292" s="858"/>
      <c r="X292" s="858">
        <v>652</v>
      </c>
      <c r="Y292" s="858">
        <v>146</v>
      </c>
      <c r="Z292" s="858">
        <v>52</v>
      </c>
      <c r="AA292" s="859">
        <v>1443</v>
      </c>
      <c r="AB292" s="859"/>
      <c r="AC292" s="858">
        <v>91</v>
      </c>
      <c r="AD292" s="858"/>
      <c r="AE292" s="858"/>
      <c r="AF292" s="858"/>
      <c r="AG292" s="859">
        <v>91</v>
      </c>
      <c r="AH292" s="863">
        <f t="shared" ref="AH292:AK292" si="317">AH298+AH304+AH310+AH316+AH322+AH328+AH334+AH340+AH346+AH352+AH358+AH364+AH370</f>
        <v>0</v>
      </c>
      <c r="AI292" s="862">
        <f t="shared" si="317"/>
        <v>0</v>
      </c>
      <c r="AJ292" s="870">
        <f t="shared" si="317"/>
        <v>0</v>
      </c>
      <c r="AK292" s="863">
        <f t="shared" si="317"/>
        <v>0</v>
      </c>
      <c r="AL292" s="209"/>
      <c r="AM292" s="209"/>
    </row>
    <row r="293" spans="1:39" s="80" customFormat="1">
      <c r="A293" s="239"/>
      <c r="B293" s="239" t="s">
        <v>55</v>
      </c>
      <c r="C293" s="832">
        <f>IF(U296&gt;0,(U293/U296),0)</f>
        <v>0.25094482237339383</v>
      </c>
      <c r="D293" s="830">
        <f t="shared" ref="D293:S293" si="318">IF(V296&gt;0,(V293/V296),0)</f>
        <v>0</v>
      </c>
      <c r="E293" s="830">
        <f t="shared" si="318"/>
        <v>0</v>
      </c>
      <c r="F293" s="830">
        <f t="shared" si="318"/>
        <v>0.26057730328192963</v>
      </c>
      <c r="G293" s="830">
        <f t="shared" si="318"/>
        <v>0.23584905660377359</v>
      </c>
      <c r="H293" s="830">
        <f t="shared" si="318"/>
        <v>0.16374269005847952</v>
      </c>
      <c r="I293" s="832">
        <f t="shared" si="318"/>
        <v>0.25119128658951667</v>
      </c>
      <c r="J293" s="832">
        <f t="shared" si="318"/>
        <v>0</v>
      </c>
      <c r="K293" s="830">
        <f t="shared" si="318"/>
        <v>9.0062111801242239E-2</v>
      </c>
      <c r="L293" s="830">
        <f t="shared" si="318"/>
        <v>0</v>
      </c>
      <c r="M293" s="830">
        <f t="shared" si="318"/>
        <v>0</v>
      </c>
      <c r="N293" s="830">
        <f t="shared" si="318"/>
        <v>0</v>
      </c>
      <c r="O293" s="832">
        <f t="shared" si="318"/>
        <v>3.2411288069293095E-2</v>
      </c>
      <c r="P293" s="832">
        <f t="shared" si="318"/>
        <v>0</v>
      </c>
      <c r="Q293" s="830">
        <f t="shared" si="318"/>
        <v>0</v>
      </c>
      <c r="R293" s="833">
        <f t="shared" si="318"/>
        <v>0</v>
      </c>
      <c r="S293" s="832">
        <f t="shared" si="318"/>
        <v>0</v>
      </c>
      <c r="T293" s="213"/>
      <c r="U293" s="858">
        <v>664</v>
      </c>
      <c r="V293" s="858"/>
      <c r="W293" s="858"/>
      <c r="X293" s="858">
        <v>659</v>
      </c>
      <c r="Y293" s="858">
        <v>125</v>
      </c>
      <c r="Z293" s="858">
        <v>28</v>
      </c>
      <c r="AA293" s="859">
        <v>1476</v>
      </c>
      <c r="AB293" s="859"/>
      <c r="AC293" s="858">
        <v>116</v>
      </c>
      <c r="AD293" s="858"/>
      <c r="AE293" s="858"/>
      <c r="AF293" s="858"/>
      <c r="AG293" s="859">
        <v>116</v>
      </c>
      <c r="AH293" s="863">
        <f t="shared" ref="AH293:AK293" si="319">AH299+AH305+AH311+AH317+AH323+AH329+AH335+AH341+AH347+AH353+AH359+AH365+AH371</f>
        <v>0</v>
      </c>
      <c r="AI293" s="862">
        <f t="shared" si="319"/>
        <v>0</v>
      </c>
      <c r="AJ293" s="870">
        <f t="shared" si="319"/>
        <v>0</v>
      </c>
      <c r="AK293" s="863">
        <f t="shared" si="319"/>
        <v>0</v>
      </c>
      <c r="AL293" s="209"/>
      <c r="AM293" s="209"/>
    </row>
    <row r="294" spans="1:39" s="80" customFormat="1">
      <c r="A294" s="239"/>
      <c r="B294" s="239" t="s">
        <v>78</v>
      </c>
      <c r="C294" s="832">
        <f>IF(U296&gt;0,(U294/U296),0)</f>
        <v>9.0702947845804991E-3</v>
      </c>
      <c r="D294" s="830">
        <f t="shared" ref="D294:S294" si="320">IF(V296&gt;0,(V294/V296),0)</f>
        <v>0</v>
      </c>
      <c r="E294" s="830">
        <f t="shared" si="320"/>
        <v>0</v>
      </c>
      <c r="F294" s="830">
        <f t="shared" si="320"/>
        <v>1.1466982997232108E-2</v>
      </c>
      <c r="G294" s="830">
        <f t="shared" si="320"/>
        <v>9.433962264150943E-3</v>
      </c>
      <c r="H294" s="830">
        <f t="shared" si="320"/>
        <v>0</v>
      </c>
      <c r="I294" s="832">
        <f t="shared" si="320"/>
        <v>9.8706603131381888E-3</v>
      </c>
      <c r="J294" s="832">
        <f t="shared" si="320"/>
        <v>0</v>
      </c>
      <c r="K294" s="830">
        <f t="shared" si="320"/>
        <v>0.77484472049689446</v>
      </c>
      <c r="L294" s="830">
        <f t="shared" si="320"/>
        <v>0.75204806116876022</v>
      </c>
      <c r="M294" s="830">
        <f t="shared" si="320"/>
        <v>0.78913043478260869</v>
      </c>
      <c r="N294" s="830">
        <f t="shared" si="320"/>
        <v>0</v>
      </c>
      <c r="O294" s="832">
        <f t="shared" si="320"/>
        <v>0.76501816149762503</v>
      </c>
      <c r="P294" s="832">
        <f t="shared" si="320"/>
        <v>0</v>
      </c>
      <c r="Q294" s="830">
        <f t="shared" si="320"/>
        <v>0</v>
      </c>
      <c r="R294" s="833">
        <f t="shared" si="320"/>
        <v>0</v>
      </c>
      <c r="S294" s="832">
        <f t="shared" si="320"/>
        <v>0</v>
      </c>
      <c r="T294" s="213"/>
      <c r="U294" s="858">
        <v>24</v>
      </c>
      <c r="V294" s="858"/>
      <c r="W294" s="858"/>
      <c r="X294" s="858">
        <v>29</v>
      </c>
      <c r="Y294" s="858">
        <v>5</v>
      </c>
      <c r="Z294" s="858"/>
      <c r="AA294" s="859">
        <v>58</v>
      </c>
      <c r="AB294" s="859"/>
      <c r="AC294" s="858">
        <v>998</v>
      </c>
      <c r="AD294" s="858">
        <v>1377</v>
      </c>
      <c r="AE294" s="858">
        <v>363</v>
      </c>
      <c r="AF294" s="858"/>
      <c r="AG294" s="859">
        <v>2738</v>
      </c>
      <c r="AH294" s="863">
        <f t="shared" ref="AH294:AK294" si="321">AH300+AH306+AH312+AH318+AH324+AH330+AH336+AH342+AH348+AH354+AH360+AH366+AH372</f>
        <v>0</v>
      </c>
      <c r="AI294" s="862">
        <f t="shared" si="321"/>
        <v>0</v>
      </c>
      <c r="AJ294" s="870">
        <f t="shared" si="321"/>
        <v>0</v>
      </c>
      <c r="AK294" s="863">
        <f t="shared" si="321"/>
        <v>0</v>
      </c>
      <c r="AL294" s="209"/>
      <c r="AM294" s="209"/>
    </row>
    <row r="295" spans="1:39" s="80" customFormat="1">
      <c r="A295" s="580"/>
      <c r="B295" s="580" t="s">
        <v>131</v>
      </c>
      <c r="C295" s="832">
        <f>IF(U296&gt;0,(U295/U296),0)</f>
        <v>0.10166288737717309</v>
      </c>
      <c r="D295" s="830">
        <f t="shared" ref="D295:S295" si="322">IF(V296&gt;0,(V295/V296),0)</f>
        <v>0</v>
      </c>
      <c r="E295" s="830">
        <f t="shared" si="322"/>
        <v>0</v>
      </c>
      <c r="F295" s="830">
        <f t="shared" si="322"/>
        <v>0.1929616449189403</v>
      </c>
      <c r="G295" s="830">
        <f t="shared" si="322"/>
        <v>0.11886792452830189</v>
      </c>
      <c r="H295" s="830">
        <f t="shared" si="322"/>
        <v>0.33333333333333331</v>
      </c>
      <c r="I295" s="832">
        <f t="shared" si="322"/>
        <v>0.14925119128658951</v>
      </c>
      <c r="J295" s="832">
        <f t="shared" si="322"/>
        <v>0</v>
      </c>
      <c r="K295" s="830">
        <f t="shared" si="322"/>
        <v>1.4751552795031056E-2</v>
      </c>
      <c r="L295" s="830">
        <f t="shared" si="322"/>
        <v>0.24795193883123975</v>
      </c>
      <c r="M295" s="830">
        <f t="shared" si="322"/>
        <v>0.21086956521739131</v>
      </c>
      <c r="N295" s="830">
        <f t="shared" si="322"/>
        <v>0</v>
      </c>
      <c r="O295" s="832">
        <f t="shared" si="322"/>
        <v>0.15926236378876782</v>
      </c>
      <c r="P295" s="832">
        <f t="shared" si="322"/>
        <v>0</v>
      </c>
      <c r="Q295" s="830">
        <f t="shared" si="322"/>
        <v>0</v>
      </c>
      <c r="R295" s="833">
        <f t="shared" si="322"/>
        <v>0</v>
      </c>
      <c r="S295" s="832">
        <f t="shared" si="322"/>
        <v>0</v>
      </c>
      <c r="T295" s="213"/>
      <c r="U295" s="858">
        <v>269</v>
      </c>
      <c r="V295" s="858"/>
      <c r="W295" s="858"/>
      <c r="X295" s="858">
        <v>488</v>
      </c>
      <c r="Y295" s="858">
        <v>63</v>
      </c>
      <c r="Z295" s="858">
        <v>57</v>
      </c>
      <c r="AA295" s="859">
        <v>877</v>
      </c>
      <c r="AB295" s="859"/>
      <c r="AC295" s="858">
        <v>19</v>
      </c>
      <c r="AD295" s="858">
        <v>454</v>
      </c>
      <c r="AE295" s="858">
        <v>97</v>
      </c>
      <c r="AF295" s="858"/>
      <c r="AG295" s="859">
        <v>570</v>
      </c>
      <c r="AH295" s="863">
        <f t="shared" ref="AH295:AK295" si="323">AH301+AH307+AH313+AH319+AH325+AH331+AH337+AH343+AH349+AH355+AH361+AH367+AH373</f>
        <v>0</v>
      </c>
      <c r="AI295" s="862">
        <f t="shared" si="323"/>
        <v>0</v>
      </c>
      <c r="AJ295" s="870">
        <f t="shared" si="323"/>
        <v>0</v>
      </c>
      <c r="AK295" s="863">
        <f t="shared" si="323"/>
        <v>0</v>
      </c>
      <c r="AL295" s="209"/>
      <c r="AM295" s="209"/>
    </row>
    <row r="296" spans="1:39" s="80" customFormat="1">
      <c r="A296" s="436"/>
      <c r="B296" s="436" t="s">
        <v>59</v>
      </c>
      <c r="C296" s="834">
        <f>IF(U296&gt;0,(U296/U296),0)</f>
        <v>1</v>
      </c>
      <c r="D296" s="835">
        <f t="shared" ref="D296:S296" si="324">IF(V296&gt;0,(V296/V296),0)</f>
        <v>0</v>
      </c>
      <c r="E296" s="835">
        <f t="shared" si="324"/>
        <v>0</v>
      </c>
      <c r="F296" s="835">
        <f t="shared" si="324"/>
        <v>1</v>
      </c>
      <c r="G296" s="835">
        <f t="shared" si="324"/>
        <v>1</v>
      </c>
      <c r="H296" s="835">
        <f t="shared" si="324"/>
        <v>1</v>
      </c>
      <c r="I296" s="834">
        <f t="shared" si="324"/>
        <v>1</v>
      </c>
      <c r="J296" s="834">
        <f t="shared" si="324"/>
        <v>0</v>
      </c>
      <c r="K296" s="835">
        <f t="shared" si="324"/>
        <v>1</v>
      </c>
      <c r="L296" s="835">
        <f t="shared" si="324"/>
        <v>1</v>
      </c>
      <c r="M296" s="835">
        <f t="shared" si="324"/>
        <v>1</v>
      </c>
      <c r="N296" s="835">
        <f t="shared" si="324"/>
        <v>0</v>
      </c>
      <c r="O296" s="834">
        <f t="shared" si="324"/>
        <v>1</v>
      </c>
      <c r="P296" s="834">
        <f t="shared" si="324"/>
        <v>0</v>
      </c>
      <c r="Q296" s="835">
        <f t="shared" si="324"/>
        <v>0</v>
      </c>
      <c r="R296" s="836">
        <f t="shared" si="324"/>
        <v>0</v>
      </c>
      <c r="S296" s="834">
        <f t="shared" si="324"/>
        <v>0</v>
      </c>
      <c r="T296" s="213"/>
      <c r="U296" s="871">
        <v>2646</v>
      </c>
      <c r="V296" s="871"/>
      <c r="W296" s="871"/>
      <c r="X296" s="871">
        <v>2529</v>
      </c>
      <c r="Y296" s="871">
        <v>530</v>
      </c>
      <c r="Z296" s="871">
        <v>171</v>
      </c>
      <c r="AA296" s="864">
        <v>5876</v>
      </c>
      <c r="AB296" s="864"/>
      <c r="AC296" s="871">
        <v>1288</v>
      </c>
      <c r="AD296" s="871">
        <v>1831</v>
      </c>
      <c r="AE296" s="871">
        <v>460</v>
      </c>
      <c r="AF296" s="871"/>
      <c r="AG296" s="864">
        <v>3579</v>
      </c>
      <c r="AH296" s="872">
        <f t="shared" ref="AH296:AK296" si="325">AH302+AH308+AH314+AH320+AH326+AH332+AH338+AH344+AH350+AH356+AH362+AH368+AH374</f>
        <v>0</v>
      </c>
      <c r="AI296" s="873">
        <f t="shared" si="325"/>
        <v>0</v>
      </c>
      <c r="AJ296" s="874">
        <f t="shared" si="325"/>
        <v>0</v>
      </c>
      <c r="AK296" s="872">
        <f t="shared" si="325"/>
        <v>0</v>
      </c>
      <c r="AL296" s="209"/>
      <c r="AM296" s="209"/>
    </row>
    <row r="297" spans="1:39" s="80" customFormat="1">
      <c r="A297" s="240" t="s">
        <v>173</v>
      </c>
      <c r="B297" s="240" t="s">
        <v>53</v>
      </c>
      <c r="C297" s="829">
        <f>IF(U302&gt;0,(U297/U302),0)</f>
        <v>0.34067535832860962</v>
      </c>
      <c r="D297" s="830">
        <f t="shared" ref="D297:S297" si="326">IF(V302&gt;0,(V297/V302),0)</f>
        <v>0.36825726141078841</v>
      </c>
      <c r="E297" s="830">
        <f t="shared" si="326"/>
        <v>0.3177479892761394</v>
      </c>
      <c r="F297" s="830">
        <f t="shared" si="326"/>
        <v>0.32747729964469008</v>
      </c>
      <c r="G297" s="830">
        <f t="shared" si="326"/>
        <v>0.26812139453222977</v>
      </c>
      <c r="H297" s="830">
        <f t="shared" si="326"/>
        <v>0.19343832020997376</v>
      </c>
      <c r="I297" s="829">
        <f t="shared" si="326"/>
        <v>0.31531874888838074</v>
      </c>
      <c r="J297" s="829">
        <f t="shared" si="326"/>
        <v>0</v>
      </c>
      <c r="K297" s="830">
        <f t="shared" si="326"/>
        <v>0.3148608025094759</v>
      </c>
      <c r="L297" s="830">
        <f t="shared" si="326"/>
        <v>0.39377208480565373</v>
      </c>
      <c r="M297" s="830">
        <f t="shared" si="326"/>
        <v>0.36211031175059955</v>
      </c>
      <c r="N297" s="830">
        <f t="shared" si="326"/>
        <v>0</v>
      </c>
      <c r="O297" s="829">
        <f t="shared" si="326"/>
        <v>0.34586746090841403</v>
      </c>
      <c r="P297" s="829">
        <f t="shared" si="326"/>
        <v>0</v>
      </c>
      <c r="Q297" s="830">
        <f t="shared" si="326"/>
        <v>0</v>
      </c>
      <c r="R297" s="831">
        <f t="shared" si="326"/>
        <v>0</v>
      </c>
      <c r="S297" s="829">
        <f t="shared" si="326"/>
        <v>0</v>
      </c>
      <c r="T297" s="213"/>
      <c r="U297" s="862">
        <f>U303+U309+U315+U321+U327+U333+U339+U345+U351</f>
        <v>4207</v>
      </c>
      <c r="V297" s="862">
        <f t="shared" ref="V297:AK302" si="327">V303+V309+V315+V321+V327+V333+V339+V345+V351</f>
        <v>1775</v>
      </c>
      <c r="W297" s="862">
        <f t="shared" si="327"/>
        <v>2963</v>
      </c>
      <c r="X297" s="862">
        <f t="shared" si="327"/>
        <v>1659</v>
      </c>
      <c r="Y297" s="862">
        <f t="shared" si="327"/>
        <v>1069</v>
      </c>
      <c r="Z297" s="862">
        <f t="shared" si="327"/>
        <v>737</v>
      </c>
      <c r="AA297" s="861">
        <f t="shared" si="327"/>
        <v>12410</v>
      </c>
      <c r="AB297" s="861">
        <f t="shared" si="327"/>
        <v>0</v>
      </c>
      <c r="AC297" s="862">
        <f t="shared" si="327"/>
        <v>2409</v>
      </c>
      <c r="AD297" s="862">
        <f t="shared" si="327"/>
        <v>1783</v>
      </c>
      <c r="AE297" s="862">
        <f t="shared" si="327"/>
        <v>453</v>
      </c>
      <c r="AF297" s="862">
        <f t="shared" si="327"/>
        <v>0</v>
      </c>
      <c r="AG297" s="861">
        <f t="shared" si="327"/>
        <v>4645</v>
      </c>
      <c r="AH297" s="861">
        <f t="shared" si="327"/>
        <v>0</v>
      </c>
      <c r="AI297" s="862">
        <f t="shared" si="327"/>
        <v>0</v>
      </c>
      <c r="AJ297" s="869">
        <f t="shared" si="327"/>
        <v>0</v>
      </c>
      <c r="AK297" s="861">
        <f t="shared" si="327"/>
        <v>0</v>
      </c>
      <c r="AL297" s="209"/>
      <c r="AM297" s="209"/>
    </row>
    <row r="298" spans="1:39" s="80" customFormat="1">
      <c r="A298" s="239"/>
      <c r="B298" s="239" t="s">
        <v>93</v>
      </c>
      <c r="C298" s="832">
        <f>IF(U302&gt;0,(U298/U302),0)</f>
        <v>0.2639080087456474</v>
      </c>
      <c r="D298" s="830">
        <f t="shared" ref="D298:S298" si="328">IF(V302&gt;0,(V298/V302),0)</f>
        <v>0.27987551867219918</v>
      </c>
      <c r="E298" s="830">
        <f t="shared" si="328"/>
        <v>0.29351206434316351</v>
      </c>
      <c r="F298" s="830">
        <f t="shared" si="328"/>
        <v>0.28187919463087246</v>
      </c>
      <c r="G298" s="830">
        <f t="shared" si="328"/>
        <v>0.31527464258841231</v>
      </c>
      <c r="H298" s="830">
        <f t="shared" si="328"/>
        <v>0.26036745406824147</v>
      </c>
      <c r="I298" s="832">
        <f t="shared" si="328"/>
        <v>0.28005183321899535</v>
      </c>
      <c r="J298" s="832">
        <f t="shared" si="328"/>
        <v>0</v>
      </c>
      <c r="K298" s="830">
        <f t="shared" si="328"/>
        <v>0.20755456803032282</v>
      </c>
      <c r="L298" s="830">
        <f t="shared" si="328"/>
        <v>0.1877208480565371</v>
      </c>
      <c r="M298" s="830">
        <f t="shared" si="328"/>
        <v>0.15667466027178256</v>
      </c>
      <c r="N298" s="830">
        <f t="shared" si="328"/>
        <v>0</v>
      </c>
      <c r="O298" s="832">
        <f t="shared" si="328"/>
        <v>0.19612807148175726</v>
      </c>
      <c r="P298" s="832">
        <f t="shared" si="328"/>
        <v>0</v>
      </c>
      <c r="Q298" s="830">
        <f t="shared" si="328"/>
        <v>0</v>
      </c>
      <c r="R298" s="833">
        <f t="shared" si="328"/>
        <v>0</v>
      </c>
      <c r="S298" s="832">
        <f t="shared" si="328"/>
        <v>0</v>
      </c>
      <c r="T298" s="213"/>
      <c r="U298" s="862">
        <f t="shared" ref="U298:AJ302" si="329">U304+U310+U316+U322+U328+U334+U340+U346+U352</f>
        <v>3259</v>
      </c>
      <c r="V298" s="862">
        <f t="shared" si="329"/>
        <v>1349</v>
      </c>
      <c r="W298" s="862">
        <f t="shared" si="329"/>
        <v>2737</v>
      </c>
      <c r="X298" s="862">
        <f t="shared" si="329"/>
        <v>1428</v>
      </c>
      <c r="Y298" s="862">
        <f t="shared" si="329"/>
        <v>1257</v>
      </c>
      <c r="Z298" s="862">
        <f t="shared" si="329"/>
        <v>992</v>
      </c>
      <c r="AA298" s="863">
        <f t="shared" si="329"/>
        <v>11022</v>
      </c>
      <c r="AB298" s="863">
        <f t="shared" si="329"/>
        <v>0</v>
      </c>
      <c r="AC298" s="862">
        <f t="shared" si="329"/>
        <v>1588</v>
      </c>
      <c r="AD298" s="862">
        <f t="shared" si="329"/>
        <v>850</v>
      </c>
      <c r="AE298" s="862">
        <f t="shared" si="329"/>
        <v>196</v>
      </c>
      <c r="AF298" s="862">
        <f t="shared" si="329"/>
        <v>0</v>
      </c>
      <c r="AG298" s="863">
        <f t="shared" si="329"/>
        <v>2634</v>
      </c>
      <c r="AH298" s="863">
        <f t="shared" si="329"/>
        <v>0</v>
      </c>
      <c r="AI298" s="862">
        <f t="shared" si="329"/>
        <v>0</v>
      </c>
      <c r="AJ298" s="870">
        <f t="shared" si="329"/>
        <v>0</v>
      </c>
      <c r="AK298" s="863">
        <f t="shared" si="327"/>
        <v>0</v>
      </c>
      <c r="AL298" s="209"/>
      <c r="AM298" s="209"/>
    </row>
    <row r="299" spans="1:39" s="80" customFormat="1">
      <c r="A299" s="239"/>
      <c r="B299" s="239" t="s">
        <v>55</v>
      </c>
      <c r="C299" s="832">
        <f>IF(U302&gt;0,(U299/U302),0)</f>
        <v>0.23621345857964207</v>
      </c>
      <c r="D299" s="830">
        <f t="shared" ref="D299:S299" si="330">IF(V302&gt;0,(V299/V302),0)</f>
        <v>0.22489626556016598</v>
      </c>
      <c r="E299" s="830">
        <f t="shared" si="330"/>
        <v>0.29136729222520108</v>
      </c>
      <c r="F299" s="830">
        <f t="shared" si="330"/>
        <v>0.33241215949467035</v>
      </c>
      <c r="G299" s="830">
        <f t="shared" si="330"/>
        <v>0.31151241534988711</v>
      </c>
      <c r="H299" s="830">
        <f t="shared" si="330"/>
        <v>0.33280839895013126</v>
      </c>
      <c r="I299" s="832">
        <f t="shared" si="330"/>
        <v>0.27725690474375586</v>
      </c>
      <c r="J299" s="832">
        <f t="shared" si="330"/>
        <v>0</v>
      </c>
      <c r="K299" s="830">
        <f t="shared" si="330"/>
        <v>0.2991765782250686</v>
      </c>
      <c r="L299" s="830">
        <f t="shared" si="330"/>
        <v>0.24536219081272084</v>
      </c>
      <c r="M299" s="830">
        <f t="shared" si="330"/>
        <v>0.1750599520383693</v>
      </c>
      <c r="N299" s="830">
        <f t="shared" si="330"/>
        <v>0</v>
      </c>
      <c r="O299" s="832">
        <f t="shared" si="330"/>
        <v>0.26947133283693225</v>
      </c>
      <c r="P299" s="832">
        <f t="shared" si="330"/>
        <v>0</v>
      </c>
      <c r="Q299" s="830">
        <f t="shared" si="330"/>
        <v>0</v>
      </c>
      <c r="R299" s="833">
        <f t="shared" si="330"/>
        <v>0</v>
      </c>
      <c r="S299" s="832">
        <f t="shared" si="330"/>
        <v>0</v>
      </c>
      <c r="T299" s="213"/>
      <c r="U299" s="862">
        <f t="shared" si="329"/>
        <v>2917</v>
      </c>
      <c r="V299" s="862">
        <f t="shared" si="327"/>
        <v>1084</v>
      </c>
      <c r="W299" s="862">
        <f t="shared" si="327"/>
        <v>2717</v>
      </c>
      <c r="X299" s="862">
        <f t="shared" si="327"/>
        <v>1684</v>
      </c>
      <c r="Y299" s="862">
        <f t="shared" si="327"/>
        <v>1242</v>
      </c>
      <c r="Z299" s="862">
        <f t="shared" si="327"/>
        <v>1268</v>
      </c>
      <c r="AA299" s="863">
        <f t="shared" si="327"/>
        <v>10912</v>
      </c>
      <c r="AB299" s="863">
        <f t="shared" si="327"/>
        <v>0</v>
      </c>
      <c r="AC299" s="862">
        <f t="shared" si="327"/>
        <v>2289</v>
      </c>
      <c r="AD299" s="862">
        <f t="shared" si="327"/>
        <v>1111</v>
      </c>
      <c r="AE299" s="862">
        <f t="shared" si="327"/>
        <v>219</v>
      </c>
      <c r="AF299" s="862">
        <f t="shared" si="327"/>
        <v>0</v>
      </c>
      <c r="AG299" s="863">
        <f t="shared" si="327"/>
        <v>3619</v>
      </c>
      <c r="AH299" s="863">
        <f t="shared" si="327"/>
        <v>0</v>
      </c>
      <c r="AI299" s="862">
        <f t="shared" si="327"/>
        <v>0</v>
      </c>
      <c r="AJ299" s="870">
        <f t="shared" si="327"/>
        <v>0</v>
      </c>
      <c r="AK299" s="863">
        <f t="shared" si="327"/>
        <v>0</v>
      </c>
      <c r="AL299" s="209"/>
      <c r="AM299" s="209"/>
    </row>
    <row r="300" spans="1:39" s="80" customFormat="1">
      <c r="A300" s="239"/>
      <c r="B300" s="239" t="s">
        <v>78</v>
      </c>
      <c r="C300" s="832">
        <f>IF(U302&gt;0,(U300/U302),0)</f>
        <v>5.0044538019272819E-2</v>
      </c>
      <c r="D300" s="830">
        <f t="shared" ref="D300:S300" si="331">IF(V302&gt;0,(V300/V302),0)</f>
        <v>3.029045643153527E-2</v>
      </c>
      <c r="E300" s="830">
        <f t="shared" si="331"/>
        <v>4.6648793565683647E-2</v>
      </c>
      <c r="F300" s="830">
        <f t="shared" si="331"/>
        <v>4.757204895380971E-2</v>
      </c>
      <c r="G300" s="830">
        <f t="shared" si="331"/>
        <v>3.0097817908201655E-2</v>
      </c>
      <c r="H300" s="830">
        <f t="shared" si="331"/>
        <v>0.15275590551181104</v>
      </c>
      <c r="I300" s="832">
        <f t="shared" si="331"/>
        <v>5.4424879945117771E-2</v>
      </c>
      <c r="J300" s="832">
        <f t="shared" si="331"/>
        <v>0</v>
      </c>
      <c r="K300" s="830">
        <f t="shared" si="331"/>
        <v>0.13475362697686577</v>
      </c>
      <c r="L300" s="830">
        <f t="shared" si="331"/>
        <v>0.15591872791519434</v>
      </c>
      <c r="M300" s="830">
        <f t="shared" si="331"/>
        <v>0.29096722621902477</v>
      </c>
      <c r="N300" s="830">
        <f t="shared" si="331"/>
        <v>0</v>
      </c>
      <c r="O300" s="832">
        <f t="shared" si="331"/>
        <v>0.15644080416976916</v>
      </c>
      <c r="P300" s="832">
        <f t="shared" si="331"/>
        <v>0</v>
      </c>
      <c r="Q300" s="830">
        <f t="shared" si="331"/>
        <v>0</v>
      </c>
      <c r="R300" s="833">
        <f t="shared" si="331"/>
        <v>0</v>
      </c>
      <c r="S300" s="832">
        <f t="shared" si="331"/>
        <v>0</v>
      </c>
      <c r="T300" s="213"/>
      <c r="U300" s="862">
        <f t="shared" si="329"/>
        <v>618</v>
      </c>
      <c r="V300" s="862">
        <f t="shared" si="327"/>
        <v>146</v>
      </c>
      <c r="W300" s="862">
        <f t="shared" si="327"/>
        <v>435</v>
      </c>
      <c r="X300" s="862">
        <f t="shared" si="327"/>
        <v>241</v>
      </c>
      <c r="Y300" s="862">
        <f t="shared" si="327"/>
        <v>120</v>
      </c>
      <c r="Z300" s="862">
        <f t="shared" si="327"/>
        <v>582</v>
      </c>
      <c r="AA300" s="863">
        <f t="shared" si="327"/>
        <v>2142</v>
      </c>
      <c r="AB300" s="863">
        <f t="shared" si="327"/>
        <v>0</v>
      </c>
      <c r="AC300" s="862">
        <f t="shared" si="327"/>
        <v>1031</v>
      </c>
      <c r="AD300" s="862">
        <f t="shared" si="327"/>
        <v>706</v>
      </c>
      <c r="AE300" s="862">
        <f t="shared" si="327"/>
        <v>364</v>
      </c>
      <c r="AF300" s="862">
        <f t="shared" si="327"/>
        <v>0</v>
      </c>
      <c r="AG300" s="863">
        <f t="shared" si="327"/>
        <v>2101</v>
      </c>
      <c r="AH300" s="863">
        <f t="shared" si="327"/>
        <v>0</v>
      </c>
      <c r="AI300" s="862">
        <f t="shared" si="327"/>
        <v>0</v>
      </c>
      <c r="AJ300" s="870">
        <f t="shared" si="327"/>
        <v>0</v>
      </c>
      <c r="AK300" s="863">
        <f t="shared" si="327"/>
        <v>0</v>
      </c>
      <c r="AL300" s="209"/>
      <c r="AM300" s="209"/>
    </row>
    <row r="301" spans="1:39" s="80" customFormat="1">
      <c r="A301" s="580"/>
      <c r="B301" s="580" t="s">
        <v>131</v>
      </c>
      <c r="C301" s="832">
        <f>IF(U302&gt;0,(U301/U302),0)</f>
        <v>0.10915863632682808</v>
      </c>
      <c r="D301" s="830">
        <f t="shared" ref="D301:S301" si="332">IF(V302&gt;0,(V301/V302),0)</f>
        <v>9.6680497925311207E-2</v>
      </c>
      <c r="E301" s="830">
        <f t="shared" si="332"/>
        <v>5.0723860589812333E-2</v>
      </c>
      <c r="F301" s="830">
        <f t="shared" si="332"/>
        <v>1.0659297275957363E-2</v>
      </c>
      <c r="G301" s="830">
        <f t="shared" si="332"/>
        <v>7.4993729621269128E-2</v>
      </c>
      <c r="H301" s="830">
        <f t="shared" si="332"/>
        <v>6.0629921259842519E-2</v>
      </c>
      <c r="I301" s="832">
        <f t="shared" si="332"/>
        <v>7.2947633203750292E-2</v>
      </c>
      <c r="J301" s="832">
        <f t="shared" si="332"/>
        <v>0</v>
      </c>
      <c r="K301" s="830">
        <f t="shared" si="332"/>
        <v>4.3654424258266891E-2</v>
      </c>
      <c r="L301" s="830">
        <f t="shared" si="332"/>
        <v>1.7446996466431094E-2</v>
      </c>
      <c r="M301" s="830">
        <f t="shared" si="332"/>
        <v>1.5187849720223821E-2</v>
      </c>
      <c r="N301" s="830">
        <f t="shared" si="332"/>
        <v>0</v>
      </c>
      <c r="O301" s="832">
        <f t="shared" si="332"/>
        <v>3.2092330603127328E-2</v>
      </c>
      <c r="P301" s="832">
        <f t="shared" si="332"/>
        <v>0</v>
      </c>
      <c r="Q301" s="830">
        <f t="shared" si="332"/>
        <v>0</v>
      </c>
      <c r="R301" s="833">
        <f t="shared" si="332"/>
        <v>0</v>
      </c>
      <c r="S301" s="832">
        <f t="shared" si="332"/>
        <v>0</v>
      </c>
      <c r="T301" s="213"/>
      <c r="U301" s="862">
        <f t="shared" si="329"/>
        <v>1348</v>
      </c>
      <c r="V301" s="862">
        <f t="shared" si="327"/>
        <v>466</v>
      </c>
      <c r="W301" s="862">
        <f t="shared" si="327"/>
        <v>473</v>
      </c>
      <c r="X301" s="862">
        <f t="shared" si="327"/>
        <v>54</v>
      </c>
      <c r="Y301" s="862">
        <f t="shared" si="327"/>
        <v>299</v>
      </c>
      <c r="Z301" s="862">
        <f t="shared" si="327"/>
        <v>231</v>
      </c>
      <c r="AA301" s="863">
        <f t="shared" si="327"/>
        <v>2871</v>
      </c>
      <c r="AB301" s="863">
        <f t="shared" si="327"/>
        <v>0</v>
      </c>
      <c r="AC301" s="862">
        <f t="shared" si="327"/>
        <v>334</v>
      </c>
      <c r="AD301" s="862">
        <f t="shared" si="327"/>
        <v>79</v>
      </c>
      <c r="AE301" s="862">
        <f t="shared" si="327"/>
        <v>19</v>
      </c>
      <c r="AF301" s="862">
        <f t="shared" si="327"/>
        <v>0</v>
      </c>
      <c r="AG301" s="863">
        <f t="shared" si="327"/>
        <v>431</v>
      </c>
      <c r="AH301" s="863">
        <f t="shared" si="327"/>
        <v>0</v>
      </c>
      <c r="AI301" s="862">
        <f t="shared" si="327"/>
        <v>0</v>
      </c>
      <c r="AJ301" s="870">
        <f t="shared" si="327"/>
        <v>0</v>
      </c>
      <c r="AK301" s="863">
        <f t="shared" si="327"/>
        <v>0</v>
      </c>
      <c r="AL301" s="209"/>
      <c r="AM301" s="209"/>
    </row>
    <row r="302" spans="1:39" s="80" customFormat="1">
      <c r="A302" s="436" t="s">
        <v>86</v>
      </c>
      <c r="B302" s="436" t="s">
        <v>59</v>
      </c>
      <c r="C302" s="834">
        <f>IF(U302&gt;0,(U302/U302),0)</f>
        <v>1</v>
      </c>
      <c r="D302" s="835">
        <f t="shared" ref="D302:S302" si="333">IF(V302&gt;0,(V302/V302),0)</f>
        <v>1</v>
      </c>
      <c r="E302" s="835">
        <f t="shared" si="333"/>
        <v>1</v>
      </c>
      <c r="F302" s="835">
        <f t="shared" si="333"/>
        <v>1</v>
      </c>
      <c r="G302" s="835">
        <f t="shared" si="333"/>
        <v>1</v>
      </c>
      <c r="H302" s="835">
        <f t="shared" si="333"/>
        <v>1</v>
      </c>
      <c r="I302" s="834">
        <f t="shared" si="333"/>
        <v>1</v>
      </c>
      <c r="J302" s="834">
        <f t="shared" si="333"/>
        <v>0</v>
      </c>
      <c r="K302" s="835">
        <f t="shared" si="333"/>
        <v>1</v>
      </c>
      <c r="L302" s="835">
        <f t="shared" si="333"/>
        <v>1</v>
      </c>
      <c r="M302" s="835">
        <f t="shared" si="333"/>
        <v>1</v>
      </c>
      <c r="N302" s="835">
        <f t="shared" si="333"/>
        <v>0</v>
      </c>
      <c r="O302" s="834">
        <f t="shared" si="333"/>
        <v>1</v>
      </c>
      <c r="P302" s="834">
        <f t="shared" si="333"/>
        <v>0</v>
      </c>
      <c r="Q302" s="835">
        <f t="shared" si="333"/>
        <v>0</v>
      </c>
      <c r="R302" s="836">
        <f t="shared" si="333"/>
        <v>0</v>
      </c>
      <c r="S302" s="834">
        <f t="shared" si="333"/>
        <v>0</v>
      </c>
      <c r="T302" s="213"/>
      <c r="U302" s="873">
        <f t="shared" si="329"/>
        <v>12349</v>
      </c>
      <c r="V302" s="873">
        <f t="shared" si="327"/>
        <v>4820</v>
      </c>
      <c r="W302" s="873">
        <f t="shared" si="327"/>
        <v>9325</v>
      </c>
      <c r="X302" s="873">
        <f t="shared" si="327"/>
        <v>5066</v>
      </c>
      <c r="Y302" s="873">
        <f t="shared" si="327"/>
        <v>3987</v>
      </c>
      <c r="Z302" s="873">
        <f t="shared" si="327"/>
        <v>3810</v>
      </c>
      <c r="AA302" s="872">
        <f t="shared" si="327"/>
        <v>39357</v>
      </c>
      <c r="AB302" s="872">
        <f t="shared" si="327"/>
        <v>0</v>
      </c>
      <c r="AC302" s="873">
        <f t="shared" si="327"/>
        <v>7651</v>
      </c>
      <c r="AD302" s="873">
        <f t="shared" si="327"/>
        <v>4528</v>
      </c>
      <c r="AE302" s="873">
        <f t="shared" si="327"/>
        <v>1251</v>
      </c>
      <c r="AF302" s="873">
        <f t="shared" si="327"/>
        <v>0</v>
      </c>
      <c r="AG302" s="872">
        <f t="shared" si="327"/>
        <v>13430</v>
      </c>
      <c r="AH302" s="872">
        <f t="shared" si="327"/>
        <v>0</v>
      </c>
      <c r="AI302" s="873">
        <f t="shared" si="327"/>
        <v>0</v>
      </c>
      <c r="AJ302" s="874">
        <f t="shared" si="327"/>
        <v>0</v>
      </c>
      <c r="AK302" s="872">
        <f t="shared" si="327"/>
        <v>0</v>
      </c>
      <c r="AL302" s="209"/>
      <c r="AM302" s="209"/>
    </row>
    <row r="303" spans="1:39" s="80" customFormat="1">
      <c r="A303" s="240" t="s">
        <v>140</v>
      </c>
      <c r="B303" s="240" t="s">
        <v>53</v>
      </c>
      <c r="C303" s="829">
        <f>IF(U308&gt;0,(U303/U308),0)</f>
        <v>0.35442011354420111</v>
      </c>
      <c r="D303" s="830">
        <f t="shared" ref="D303:S303" si="334">IF(V308&gt;0,(V303/V308),0)</f>
        <v>0</v>
      </c>
      <c r="E303" s="830">
        <f t="shared" si="334"/>
        <v>0.40229885057471265</v>
      </c>
      <c r="F303" s="830">
        <f t="shared" si="334"/>
        <v>0.43396226415094341</v>
      </c>
      <c r="G303" s="830">
        <f t="shared" si="334"/>
        <v>0.34170854271356782</v>
      </c>
      <c r="H303" s="830">
        <f t="shared" si="334"/>
        <v>0</v>
      </c>
      <c r="I303" s="829">
        <f t="shared" si="334"/>
        <v>0.37669053301511535</v>
      </c>
      <c r="J303" s="829">
        <f t="shared" si="334"/>
        <v>0</v>
      </c>
      <c r="K303" s="830">
        <f t="shared" si="334"/>
        <v>0</v>
      </c>
      <c r="L303" s="830">
        <f t="shared" si="334"/>
        <v>0.42903225806451611</v>
      </c>
      <c r="M303" s="830">
        <f t="shared" si="334"/>
        <v>0.49468085106382981</v>
      </c>
      <c r="N303" s="830">
        <f t="shared" si="334"/>
        <v>0</v>
      </c>
      <c r="O303" s="829">
        <f t="shared" si="334"/>
        <v>0.44430693069306931</v>
      </c>
      <c r="P303" s="829">
        <f t="shared" si="334"/>
        <v>0</v>
      </c>
      <c r="Q303" s="830">
        <f t="shared" si="334"/>
        <v>0</v>
      </c>
      <c r="R303" s="831">
        <f t="shared" si="334"/>
        <v>0</v>
      </c>
      <c r="S303" s="829">
        <f t="shared" si="334"/>
        <v>0</v>
      </c>
      <c r="T303" s="213"/>
      <c r="U303" s="858">
        <v>437</v>
      </c>
      <c r="V303" s="858"/>
      <c r="W303" s="858">
        <v>350</v>
      </c>
      <c r="X303" s="858">
        <v>92</v>
      </c>
      <c r="Y303" s="858">
        <v>68</v>
      </c>
      <c r="Z303" s="858"/>
      <c r="AA303" s="857">
        <v>947</v>
      </c>
      <c r="AB303" s="857"/>
      <c r="AC303" s="858"/>
      <c r="AD303" s="858">
        <v>266</v>
      </c>
      <c r="AE303" s="858">
        <v>93</v>
      </c>
      <c r="AF303" s="858"/>
      <c r="AG303" s="857">
        <v>359</v>
      </c>
      <c r="AH303" s="861">
        <f t="shared" ref="AH303:AK303" si="335">AH309+AH315+AH321+AH327+AH333+AH339+AH345+AH351+AH357+AH363+AH369+AH375+AH381</f>
        <v>0</v>
      </c>
      <c r="AI303" s="862">
        <f t="shared" si="335"/>
        <v>0</v>
      </c>
      <c r="AJ303" s="869">
        <f t="shared" si="335"/>
        <v>0</v>
      </c>
      <c r="AK303" s="861">
        <f t="shared" si="335"/>
        <v>0</v>
      </c>
      <c r="AL303" s="209"/>
      <c r="AM303" s="209"/>
    </row>
    <row r="304" spans="1:39" s="80" customFormat="1">
      <c r="A304" s="239"/>
      <c r="B304" s="239" t="s">
        <v>93</v>
      </c>
      <c r="C304" s="832">
        <f>IF(U308&gt;0,(U304/U308),0)</f>
        <v>0.31630170316301703</v>
      </c>
      <c r="D304" s="830">
        <f t="shared" ref="D304:S304" si="336">IF(V308&gt;0,(V304/V308),0)</f>
        <v>0</v>
      </c>
      <c r="E304" s="830">
        <f t="shared" si="336"/>
        <v>0.31149425287356319</v>
      </c>
      <c r="F304" s="830">
        <f t="shared" si="336"/>
        <v>0.25471698113207547</v>
      </c>
      <c r="G304" s="830">
        <f t="shared" si="336"/>
        <v>0.33165829145728642</v>
      </c>
      <c r="H304" s="830">
        <f t="shared" si="336"/>
        <v>0</v>
      </c>
      <c r="I304" s="832">
        <f t="shared" si="336"/>
        <v>0.31066030230708036</v>
      </c>
      <c r="J304" s="832">
        <f t="shared" si="336"/>
        <v>0</v>
      </c>
      <c r="K304" s="830">
        <f t="shared" si="336"/>
        <v>0</v>
      </c>
      <c r="L304" s="830">
        <f t="shared" si="336"/>
        <v>0.21612903225806451</v>
      </c>
      <c r="M304" s="830">
        <f t="shared" si="336"/>
        <v>0.16489361702127658</v>
      </c>
      <c r="N304" s="830">
        <f t="shared" si="336"/>
        <v>0</v>
      </c>
      <c r="O304" s="832">
        <f t="shared" si="336"/>
        <v>0.2042079207920792</v>
      </c>
      <c r="P304" s="832">
        <f t="shared" si="336"/>
        <v>0</v>
      </c>
      <c r="Q304" s="830">
        <f t="shared" si="336"/>
        <v>0</v>
      </c>
      <c r="R304" s="833">
        <f t="shared" si="336"/>
        <v>0</v>
      </c>
      <c r="S304" s="832">
        <f t="shared" si="336"/>
        <v>0</v>
      </c>
      <c r="T304" s="213"/>
      <c r="U304" s="858">
        <v>390</v>
      </c>
      <c r="V304" s="858"/>
      <c r="W304" s="858">
        <v>271</v>
      </c>
      <c r="X304" s="858">
        <v>54</v>
      </c>
      <c r="Y304" s="858">
        <v>66</v>
      </c>
      <c r="Z304" s="858"/>
      <c r="AA304" s="859">
        <v>781</v>
      </c>
      <c r="AB304" s="859"/>
      <c r="AC304" s="858"/>
      <c r="AD304" s="858">
        <v>134</v>
      </c>
      <c r="AE304" s="858">
        <v>31</v>
      </c>
      <c r="AF304" s="858"/>
      <c r="AG304" s="859">
        <v>165</v>
      </c>
      <c r="AH304" s="863">
        <f t="shared" ref="AH304:AK304" si="337">AH310+AH316+AH322+AH328+AH334+AH340+AH346+AH352+AH358+AH364+AH370+AH376+AH382</f>
        <v>0</v>
      </c>
      <c r="AI304" s="862">
        <f t="shared" si="337"/>
        <v>0</v>
      </c>
      <c r="AJ304" s="870">
        <f t="shared" si="337"/>
        <v>0</v>
      </c>
      <c r="AK304" s="863">
        <f t="shared" si="337"/>
        <v>0</v>
      </c>
      <c r="AL304" s="209"/>
      <c r="AM304" s="209"/>
    </row>
    <row r="305" spans="1:39" s="80" customFormat="1">
      <c r="A305" s="239"/>
      <c r="B305" s="239" t="s">
        <v>55</v>
      </c>
      <c r="C305" s="832">
        <f>IF(U308&gt;0,(U305/U308),0)</f>
        <v>0.25223033252230331</v>
      </c>
      <c r="D305" s="830">
        <f t="shared" ref="D305:S305" si="338">IF(V308&gt;0,(V305/V308),0)</f>
        <v>0</v>
      </c>
      <c r="E305" s="830">
        <f t="shared" si="338"/>
        <v>0.25402298850574712</v>
      </c>
      <c r="F305" s="830">
        <f t="shared" si="338"/>
        <v>0.28773584905660377</v>
      </c>
      <c r="G305" s="830">
        <f t="shared" si="338"/>
        <v>0.30150753768844218</v>
      </c>
      <c r="H305" s="830">
        <f t="shared" si="338"/>
        <v>0</v>
      </c>
      <c r="I305" s="832">
        <f t="shared" si="338"/>
        <v>0.25974542561654734</v>
      </c>
      <c r="J305" s="832">
        <f t="shared" si="338"/>
        <v>0</v>
      </c>
      <c r="K305" s="830">
        <f t="shared" si="338"/>
        <v>0</v>
      </c>
      <c r="L305" s="830">
        <f t="shared" si="338"/>
        <v>0.17903225806451614</v>
      </c>
      <c r="M305" s="830">
        <f t="shared" si="338"/>
        <v>0.20212765957446807</v>
      </c>
      <c r="N305" s="830">
        <f t="shared" si="338"/>
        <v>0</v>
      </c>
      <c r="O305" s="832">
        <f t="shared" si="338"/>
        <v>0.1844059405940594</v>
      </c>
      <c r="P305" s="832">
        <f t="shared" si="338"/>
        <v>0</v>
      </c>
      <c r="Q305" s="830">
        <f t="shared" si="338"/>
        <v>0</v>
      </c>
      <c r="R305" s="833">
        <f t="shared" si="338"/>
        <v>0</v>
      </c>
      <c r="S305" s="832">
        <f t="shared" si="338"/>
        <v>0</v>
      </c>
      <c r="T305" s="213"/>
      <c r="U305" s="858">
        <v>311</v>
      </c>
      <c r="V305" s="858"/>
      <c r="W305" s="858">
        <v>221</v>
      </c>
      <c r="X305" s="858">
        <v>61</v>
      </c>
      <c r="Y305" s="858">
        <v>60</v>
      </c>
      <c r="Z305" s="858"/>
      <c r="AA305" s="859">
        <v>653</v>
      </c>
      <c r="AB305" s="859"/>
      <c r="AC305" s="858"/>
      <c r="AD305" s="858">
        <v>111</v>
      </c>
      <c r="AE305" s="858">
        <v>38</v>
      </c>
      <c r="AF305" s="858"/>
      <c r="AG305" s="859">
        <v>149</v>
      </c>
      <c r="AH305" s="863">
        <f t="shared" ref="AH305:AK305" si="339">AH311+AH317+AH323+AH329+AH335+AH341+AH347+AH353+AH359+AH365+AH371+AH377+AH383</f>
        <v>0</v>
      </c>
      <c r="AI305" s="862">
        <f t="shared" si="339"/>
        <v>0</v>
      </c>
      <c r="AJ305" s="870">
        <f t="shared" si="339"/>
        <v>0</v>
      </c>
      <c r="AK305" s="863">
        <f t="shared" si="339"/>
        <v>0</v>
      </c>
      <c r="AL305" s="209"/>
      <c r="AM305" s="209"/>
    </row>
    <row r="306" spans="1:39" s="80" customFormat="1">
      <c r="A306" s="239"/>
      <c r="B306" s="239" t="s">
        <v>78</v>
      </c>
      <c r="C306" s="832">
        <f>IF(U308&gt;0,(U306/U308),0)</f>
        <v>3.8118410381184104E-2</v>
      </c>
      <c r="D306" s="830">
        <f t="shared" ref="D306:S306" si="340">IF(V308&gt;0,(V306/V308),0)</f>
        <v>0</v>
      </c>
      <c r="E306" s="830">
        <f t="shared" si="340"/>
        <v>3.2183908045977011E-2</v>
      </c>
      <c r="F306" s="830">
        <f t="shared" si="340"/>
        <v>2.358490566037736E-2</v>
      </c>
      <c r="G306" s="830">
        <f t="shared" si="340"/>
        <v>2.5125628140703519E-2</v>
      </c>
      <c r="H306" s="830">
        <f t="shared" si="340"/>
        <v>0</v>
      </c>
      <c r="I306" s="832">
        <f t="shared" si="340"/>
        <v>3.3810660302307081E-2</v>
      </c>
      <c r="J306" s="832">
        <f t="shared" si="340"/>
        <v>0</v>
      </c>
      <c r="K306" s="830">
        <f t="shared" si="340"/>
        <v>0</v>
      </c>
      <c r="L306" s="830">
        <f t="shared" si="340"/>
        <v>0.15806451612903225</v>
      </c>
      <c r="M306" s="830">
        <f t="shared" si="340"/>
        <v>0.11702127659574468</v>
      </c>
      <c r="N306" s="830">
        <f t="shared" si="340"/>
        <v>0</v>
      </c>
      <c r="O306" s="832">
        <f t="shared" si="340"/>
        <v>0.14851485148514851</v>
      </c>
      <c r="P306" s="832">
        <f t="shared" si="340"/>
        <v>0</v>
      </c>
      <c r="Q306" s="830">
        <f t="shared" si="340"/>
        <v>0</v>
      </c>
      <c r="R306" s="833">
        <f t="shared" si="340"/>
        <v>0</v>
      </c>
      <c r="S306" s="832">
        <f t="shared" si="340"/>
        <v>0</v>
      </c>
      <c r="T306" s="213"/>
      <c r="U306" s="858">
        <v>47</v>
      </c>
      <c r="V306" s="858"/>
      <c r="W306" s="858">
        <v>28</v>
      </c>
      <c r="X306" s="858">
        <v>5</v>
      </c>
      <c r="Y306" s="858">
        <v>5</v>
      </c>
      <c r="Z306" s="858"/>
      <c r="AA306" s="859">
        <v>85</v>
      </c>
      <c r="AB306" s="859"/>
      <c r="AC306" s="858"/>
      <c r="AD306" s="858">
        <v>98</v>
      </c>
      <c r="AE306" s="858">
        <v>22</v>
      </c>
      <c r="AF306" s="858"/>
      <c r="AG306" s="859">
        <v>120</v>
      </c>
      <c r="AH306" s="863">
        <f t="shared" ref="AH306:AK306" si="341">AH312+AH318+AH324+AH330+AH336+AH342+AH348+AH354+AH360+AH366+AH372+AH378+AH384</f>
        <v>0</v>
      </c>
      <c r="AI306" s="862">
        <f t="shared" si="341"/>
        <v>0</v>
      </c>
      <c r="AJ306" s="870">
        <f t="shared" si="341"/>
        <v>0</v>
      </c>
      <c r="AK306" s="863">
        <f t="shared" si="341"/>
        <v>0</v>
      </c>
      <c r="AL306" s="209"/>
      <c r="AM306" s="209"/>
    </row>
    <row r="307" spans="1:39" s="80" customFormat="1">
      <c r="A307" s="580"/>
      <c r="B307" s="580" t="s">
        <v>131</v>
      </c>
      <c r="C307" s="832">
        <f>IF(U308&gt;0,(U307/U308),0)</f>
        <v>3.8929440389294405E-2</v>
      </c>
      <c r="D307" s="830">
        <f t="shared" ref="D307:S307" si="342">IF(V308&gt;0,(V307/V308),0)</f>
        <v>0</v>
      </c>
      <c r="E307" s="830">
        <f t="shared" si="342"/>
        <v>0</v>
      </c>
      <c r="F307" s="830">
        <f t="shared" si="342"/>
        <v>0</v>
      </c>
      <c r="G307" s="830">
        <f t="shared" si="342"/>
        <v>0</v>
      </c>
      <c r="H307" s="830">
        <f t="shared" si="342"/>
        <v>0</v>
      </c>
      <c r="I307" s="832">
        <f t="shared" si="342"/>
        <v>1.9093078758949882E-2</v>
      </c>
      <c r="J307" s="832">
        <f t="shared" si="342"/>
        <v>0</v>
      </c>
      <c r="K307" s="830">
        <f t="shared" si="342"/>
        <v>0</v>
      </c>
      <c r="L307" s="830">
        <f t="shared" si="342"/>
        <v>1.7741935483870968E-2</v>
      </c>
      <c r="M307" s="830">
        <f t="shared" si="342"/>
        <v>2.1276595744680851E-2</v>
      </c>
      <c r="N307" s="830">
        <f t="shared" si="342"/>
        <v>0</v>
      </c>
      <c r="O307" s="832">
        <f t="shared" si="342"/>
        <v>1.8564356435643563E-2</v>
      </c>
      <c r="P307" s="832">
        <f t="shared" si="342"/>
        <v>0</v>
      </c>
      <c r="Q307" s="830">
        <f t="shared" si="342"/>
        <v>0</v>
      </c>
      <c r="R307" s="833">
        <f t="shared" si="342"/>
        <v>0</v>
      </c>
      <c r="S307" s="832">
        <f t="shared" si="342"/>
        <v>0</v>
      </c>
      <c r="T307" s="213"/>
      <c r="U307" s="858">
        <v>48</v>
      </c>
      <c r="V307" s="858"/>
      <c r="W307" s="858"/>
      <c r="X307" s="858"/>
      <c r="Y307" s="858"/>
      <c r="Z307" s="858"/>
      <c r="AA307" s="859">
        <v>48</v>
      </c>
      <c r="AB307" s="859"/>
      <c r="AC307" s="858"/>
      <c r="AD307" s="858">
        <v>11</v>
      </c>
      <c r="AE307" s="858">
        <v>4</v>
      </c>
      <c r="AF307" s="858"/>
      <c r="AG307" s="859">
        <v>15</v>
      </c>
      <c r="AH307" s="863">
        <f t="shared" ref="AH307:AK307" si="343">AH313+AH319+AH325+AH331+AH337+AH343+AH349+AH355+AH361+AH367+AH373+AH379+AH385</f>
        <v>0</v>
      </c>
      <c r="AI307" s="862">
        <f t="shared" si="343"/>
        <v>0</v>
      </c>
      <c r="AJ307" s="870">
        <f t="shared" si="343"/>
        <v>0</v>
      </c>
      <c r="AK307" s="863">
        <f t="shared" si="343"/>
        <v>0</v>
      </c>
      <c r="AL307" s="209"/>
      <c r="AM307" s="209"/>
    </row>
    <row r="308" spans="1:39" s="80" customFormat="1">
      <c r="A308" s="436"/>
      <c r="B308" s="436" t="s">
        <v>59</v>
      </c>
      <c r="C308" s="834">
        <f>IF(U308&gt;0,(U308/U308),0)</f>
        <v>1</v>
      </c>
      <c r="D308" s="835">
        <f t="shared" ref="D308:S308" si="344">IF(V308&gt;0,(V308/V308),0)</f>
        <v>0</v>
      </c>
      <c r="E308" s="835">
        <f t="shared" si="344"/>
        <v>1</v>
      </c>
      <c r="F308" s="835">
        <f t="shared" si="344"/>
        <v>1</v>
      </c>
      <c r="G308" s="835">
        <f t="shared" si="344"/>
        <v>1</v>
      </c>
      <c r="H308" s="835">
        <f t="shared" si="344"/>
        <v>0</v>
      </c>
      <c r="I308" s="834">
        <f t="shared" si="344"/>
        <v>1</v>
      </c>
      <c r="J308" s="834">
        <f t="shared" si="344"/>
        <v>0</v>
      </c>
      <c r="K308" s="835">
        <f t="shared" si="344"/>
        <v>0</v>
      </c>
      <c r="L308" s="835">
        <f t="shared" si="344"/>
        <v>1</v>
      </c>
      <c r="M308" s="835">
        <f t="shared" si="344"/>
        <v>1</v>
      </c>
      <c r="N308" s="835">
        <f t="shared" si="344"/>
        <v>0</v>
      </c>
      <c r="O308" s="834">
        <f t="shared" si="344"/>
        <v>1</v>
      </c>
      <c r="P308" s="834">
        <f t="shared" si="344"/>
        <v>0</v>
      </c>
      <c r="Q308" s="835">
        <f t="shared" si="344"/>
        <v>0</v>
      </c>
      <c r="R308" s="836">
        <f t="shared" si="344"/>
        <v>0</v>
      </c>
      <c r="S308" s="834">
        <f t="shared" si="344"/>
        <v>0</v>
      </c>
      <c r="T308" s="213"/>
      <c r="U308" s="871">
        <v>1233</v>
      </c>
      <c r="V308" s="871"/>
      <c r="W308" s="871">
        <v>870</v>
      </c>
      <c r="X308" s="871">
        <v>212</v>
      </c>
      <c r="Y308" s="871">
        <v>199</v>
      </c>
      <c r="Z308" s="871"/>
      <c r="AA308" s="864">
        <v>2514</v>
      </c>
      <c r="AB308" s="864"/>
      <c r="AC308" s="871"/>
      <c r="AD308" s="871">
        <v>620</v>
      </c>
      <c r="AE308" s="871">
        <v>188</v>
      </c>
      <c r="AF308" s="871"/>
      <c r="AG308" s="864">
        <v>808</v>
      </c>
      <c r="AH308" s="872">
        <f t="shared" ref="AH308:AK308" si="345">AH314+AH320+AH326+AH332+AH338+AH344+AH350+AH356+AH362+AH368+AH374+AH380+AH386</f>
        <v>0</v>
      </c>
      <c r="AI308" s="873">
        <f t="shared" si="345"/>
        <v>0</v>
      </c>
      <c r="AJ308" s="874">
        <f t="shared" si="345"/>
        <v>0</v>
      </c>
      <c r="AK308" s="872">
        <f t="shared" si="345"/>
        <v>0</v>
      </c>
      <c r="AL308" s="209"/>
      <c r="AM308" s="209"/>
    </row>
    <row r="309" spans="1:39" s="80" customFormat="1">
      <c r="A309" s="240" t="s">
        <v>148</v>
      </c>
      <c r="B309" s="240" t="s">
        <v>53</v>
      </c>
      <c r="C309" s="829">
        <f>IF(U314&gt;0,(U309/U314),0)</f>
        <v>0</v>
      </c>
      <c r="D309" s="830">
        <f t="shared" ref="D309:S309" si="346">IF(V314&gt;0,(V309/V314),0)</f>
        <v>0.35284810126582278</v>
      </c>
      <c r="E309" s="830">
        <f t="shared" si="346"/>
        <v>0.28385416666666669</v>
      </c>
      <c r="F309" s="830">
        <f t="shared" si="346"/>
        <v>0</v>
      </c>
      <c r="G309" s="830">
        <f t="shared" si="346"/>
        <v>0</v>
      </c>
      <c r="H309" s="830">
        <f t="shared" si="346"/>
        <v>0.28925619834710742</v>
      </c>
      <c r="I309" s="829">
        <f t="shared" si="346"/>
        <v>0.31689630166787525</v>
      </c>
      <c r="J309" s="829">
        <f t="shared" si="346"/>
        <v>0</v>
      </c>
      <c r="K309" s="830">
        <f t="shared" si="346"/>
        <v>0</v>
      </c>
      <c r="L309" s="830">
        <f t="shared" si="346"/>
        <v>0.36559139784946237</v>
      </c>
      <c r="M309" s="830">
        <f t="shared" si="346"/>
        <v>0</v>
      </c>
      <c r="N309" s="830">
        <f t="shared" si="346"/>
        <v>0</v>
      </c>
      <c r="O309" s="829">
        <f t="shared" si="346"/>
        <v>0.10658307210031348</v>
      </c>
      <c r="P309" s="829">
        <f t="shared" si="346"/>
        <v>0</v>
      </c>
      <c r="Q309" s="830">
        <f t="shared" si="346"/>
        <v>0</v>
      </c>
      <c r="R309" s="831">
        <f t="shared" si="346"/>
        <v>0</v>
      </c>
      <c r="S309" s="829">
        <f t="shared" si="346"/>
        <v>0</v>
      </c>
      <c r="T309" s="213"/>
      <c r="U309" s="858"/>
      <c r="V309" s="858">
        <v>223</v>
      </c>
      <c r="W309" s="858">
        <v>109</v>
      </c>
      <c r="X309" s="858"/>
      <c r="Y309" s="858"/>
      <c r="Z309" s="858">
        <v>105</v>
      </c>
      <c r="AA309" s="857">
        <v>437</v>
      </c>
      <c r="AB309" s="857"/>
      <c r="AC309" s="858"/>
      <c r="AD309" s="858">
        <v>34</v>
      </c>
      <c r="AE309" s="858"/>
      <c r="AF309" s="858"/>
      <c r="AG309" s="857">
        <v>34</v>
      </c>
      <c r="AH309" s="861">
        <f t="shared" ref="AH309:AK309" si="347">AH315+AH321+AH327+AH333+AH339+AH345+AH351+AH357+AH363+AH369+AH375+AH381+AH387</f>
        <v>0</v>
      </c>
      <c r="AI309" s="862">
        <f t="shared" si="347"/>
        <v>0</v>
      </c>
      <c r="AJ309" s="869">
        <f t="shared" si="347"/>
        <v>0</v>
      </c>
      <c r="AK309" s="861">
        <f t="shared" si="347"/>
        <v>0</v>
      </c>
      <c r="AL309" s="209"/>
      <c r="AM309" s="209"/>
    </row>
    <row r="310" spans="1:39" s="80" customFormat="1">
      <c r="A310" s="239"/>
      <c r="B310" s="239" t="s">
        <v>93</v>
      </c>
      <c r="C310" s="832">
        <f>IF(U314&gt;0,(U310/U314),0)</f>
        <v>0</v>
      </c>
      <c r="D310" s="830">
        <f t="shared" ref="D310:S310" si="348">IF(V314&gt;0,(V310/V314),0)</f>
        <v>0.33386075949367089</v>
      </c>
      <c r="E310" s="830">
        <f t="shared" si="348"/>
        <v>0.44791666666666669</v>
      </c>
      <c r="F310" s="830">
        <f t="shared" si="348"/>
        <v>0</v>
      </c>
      <c r="G310" s="830">
        <f t="shared" si="348"/>
        <v>0</v>
      </c>
      <c r="H310" s="830">
        <f t="shared" si="348"/>
        <v>0.30853994490358128</v>
      </c>
      <c r="I310" s="832">
        <f t="shared" si="348"/>
        <v>0.35895576504713561</v>
      </c>
      <c r="J310" s="832">
        <f t="shared" si="348"/>
        <v>0</v>
      </c>
      <c r="K310" s="830">
        <f t="shared" si="348"/>
        <v>0</v>
      </c>
      <c r="L310" s="830">
        <f t="shared" si="348"/>
        <v>0.10752688172043011</v>
      </c>
      <c r="M310" s="830">
        <f t="shared" si="348"/>
        <v>0</v>
      </c>
      <c r="N310" s="830">
        <f t="shared" si="348"/>
        <v>0</v>
      </c>
      <c r="O310" s="832">
        <f t="shared" si="348"/>
        <v>3.1347962382445138E-2</v>
      </c>
      <c r="P310" s="832">
        <f t="shared" si="348"/>
        <v>0</v>
      </c>
      <c r="Q310" s="830">
        <f t="shared" si="348"/>
        <v>0</v>
      </c>
      <c r="R310" s="833">
        <f t="shared" si="348"/>
        <v>0</v>
      </c>
      <c r="S310" s="832">
        <f t="shared" si="348"/>
        <v>0</v>
      </c>
      <c r="T310" s="213"/>
      <c r="U310" s="858"/>
      <c r="V310" s="858">
        <v>211</v>
      </c>
      <c r="W310" s="858">
        <v>172</v>
      </c>
      <c r="X310" s="858"/>
      <c r="Y310" s="858"/>
      <c r="Z310" s="858">
        <v>112</v>
      </c>
      <c r="AA310" s="859">
        <v>495</v>
      </c>
      <c r="AB310" s="859"/>
      <c r="AC310" s="858"/>
      <c r="AD310" s="858">
        <v>10</v>
      </c>
      <c r="AE310" s="858"/>
      <c r="AF310" s="858"/>
      <c r="AG310" s="859">
        <v>10</v>
      </c>
      <c r="AH310" s="863">
        <f t="shared" ref="AH310:AK310" si="349">AH316+AH322+AH328+AH334+AH340+AH346+AH352+AH358+AH364+AH370+AH376+AH382+AH388</f>
        <v>0</v>
      </c>
      <c r="AI310" s="862">
        <f t="shared" si="349"/>
        <v>0</v>
      </c>
      <c r="AJ310" s="870">
        <f t="shared" si="349"/>
        <v>0</v>
      </c>
      <c r="AK310" s="863">
        <f t="shared" si="349"/>
        <v>0</v>
      </c>
      <c r="AL310" s="209"/>
      <c r="AM310" s="209"/>
    </row>
    <row r="311" spans="1:39" s="80" customFormat="1">
      <c r="A311" s="239"/>
      <c r="B311" s="239" t="s">
        <v>55</v>
      </c>
      <c r="C311" s="832">
        <f>IF(U314&gt;0,(U311/U314),0)</f>
        <v>0</v>
      </c>
      <c r="D311" s="830">
        <f t="shared" ref="D311:S311" si="350">IF(V314&gt;0,(V311/V314),0)</f>
        <v>0.16297468354430381</v>
      </c>
      <c r="E311" s="830">
        <f t="shared" si="350"/>
        <v>0.140625</v>
      </c>
      <c r="F311" s="830">
        <f t="shared" si="350"/>
        <v>0</v>
      </c>
      <c r="G311" s="830">
        <f t="shared" si="350"/>
        <v>0</v>
      </c>
      <c r="H311" s="830">
        <f t="shared" si="350"/>
        <v>0.27823691460055094</v>
      </c>
      <c r="I311" s="832">
        <f t="shared" si="350"/>
        <v>0.18709209572153734</v>
      </c>
      <c r="J311" s="832">
        <f t="shared" si="350"/>
        <v>0</v>
      </c>
      <c r="K311" s="830">
        <f t="shared" si="350"/>
        <v>0</v>
      </c>
      <c r="L311" s="830">
        <f t="shared" si="350"/>
        <v>0.20430107526881722</v>
      </c>
      <c r="M311" s="830">
        <f t="shared" si="350"/>
        <v>0</v>
      </c>
      <c r="N311" s="830">
        <f t="shared" si="350"/>
        <v>0</v>
      </c>
      <c r="O311" s="832">
        <f t="shared" si="350"/>
        <v>5.9561128526645767E-2</v>
      </c>
      <c r="P311" s="832">
        <f t="shared" si="350"/>
        <v>0</v>
      </c>
      <c r="Q311" s="830">
        <f t="shared" si="350"/>
        <v>0</v>
      </c>
      <c r="R311" s="833">
        <f t="shared" si="350"/>
        <v>0</v>
      </c>
      <c r="S311" s="832">
        <f t="shared" si="350"/>
        <v>0</v>
      </c>
      <c r="T311" s="213"/>
      <c r="U311" s="858"/>
      <c r="V311" s="858">
        <v>103</v>
      </c>
      <c r="W311" s="858">
        <v>54</v>
      </c>
      <c r="X311" s="858"/>
      <c r="Y311" s="858"/>
      <c r="Z311" s="858">
        <v>101</v>
      </c>
      <c r="AA311" s="859">
        <v>258</v>
      </c>
      <c r="AB311" s="859"/>
      <c r="AC311" s="858"/>
      <c r="AD311" s="858">
        <v>19</v>
      </c>
      <c r="AE311" s="858"/>
      <c r="AF311" s="858"/>
      <c r="AG311" s="859">
        <v>19</v>
      </c>
      <c r="AH311" s="863">
        <f t="shared" ref="AH311:AK311" si="351">AH317+AH323+AH329+AH335+AH341+AH347+AH353+AH359+AH365+AH371+AH377+AH383+AH389</f>
        <v>0</v>
      </c>
      <c r="AI311" s="862">
        <f t="shared" si="351"/>
        <v>0</v>
      </c>
      <c r="AJ311" s="870">
        <f t="shared" si="351"/>
        <v>0</v>
      </c>
      <c r="AK311" s="863">
        <f t="shared" si="351"/>
        <v>0</v>
      </c>
      <c r="AL311" s="209"/>
      <c r="AM311" s="209"/>
    </row>
    <row r="312" spans="1:39" s="80" customFormat="1">
      <c r="A312" s="239"/>
      <c r="B312" s="239" t="s">
        <v>78</v>
      </c>
      <c r="C312" s="832">
        <f>IF(U314&gt;0,(U312/U314),0)</f>
        <v>0</v>
      </c>
      <c r="D312" s="830">
        <f t="shared" ref="D312:S312" si="352">IF(V314&gt;0,(V312/V314),0)</f>
        <v>2.0569620253164556E-2</v>
      </c>
      <c r="E312" s="830">
        <f t="shared" si="352"/>
        <v>3.3854166666666664E-2</v>
      </c>
      <c r="F312" s="830">
        <f t="shared" si="352"/>
        <v>0</v>
      </c>
      <c r="G312" s="830">
        <f t="shared" si="352"/>
        <v>0</v>
      </c>
      <c r="H312" s="830">
        <f t="shared" si="352"/>
        <v>5.5096418732782371E-2</v>
      </c>
      <c r="I312" s="832">
        <f t="shared" si="352"/>
        <v>3.3357505438723713E-2</v>
      </c>
      <c r="J312" s="832">
        <f t="shared" si="352"/>
        <v>0</v>
      </c>
      <c r="K312" s="830">
        <f t="shared" si="352"/>
        <v>0</v>
      </c>
      <c r="L312" s="830">
        <f t="shared" si="352"/>
        <v>0.32258064516129031</v>
      </c>
      <c r="M312" s="830">
        <f t="shared" si="352"/>
        <v>0.94247787610619471</v>
      </c>
      <c r="N312" s="830">
        <f t="shared" si="352"/>
        <v>0</v>
      </c>
      <c r="O312" s="832">
        <f t="shared" si="352"/>
        <v>0.76175548589341691</v>
      </c>
      <c r="P312" s="832">
        <f t="shared" si="352"/>
        <v>0</v>
      </c>
      <c r="Q312" s="830">
        <f t="shared" si="352"/>
        <v>0</v>
      </c>
      <c r="R312" s="833">
        <f t="shared" si="352"/>
        <v>0</v>
      </c>
      <c r="S312" s="832">
        <f t="shared" si="352"/>
        <v>0</v>
      </c>
      <c r="T312" s="213"/>
      <c r="U312" s="858"/>
      <c r="V312" s="858">
        <v>13</v>
      </c>
      <c r="W312" s="858">
        <v>13</v>
      </c>
      <c r="X312" s="858"/>
      <c r="Y312" s="858"/>
      <c r="Z312" s="858">
        <v>20</v>
      </c>
      <c r="AA312" s="859">
        <v>46</v>
      </c>
      <c r="AB312" s="859"/>
      <c r="AC312" s="858"/>
      <c r="AD312" s="858">
        <v>30</v>
      </c>
      <c r="AE312" s="858">
        <v>213</v>
      </c>
      <c r="AF312" s="858"/>
      <c r="AG312" s="859">
        <v>243</v>
      </c>
      <c r="AH312" s="863">
        <f t="shared" ref="AH312:AK312" si="353">AH318+AH324+AH330+AH336+AH342+AH348+AH354+AH360+AH366+AH372+AH378+AH384+AH390</f>
        <v>0</v>
      </c>
      <c r="AI312" s="862">
        <f t="shared" si="353"/>
        <v>0</v>
      </c>
      <c r="AJ312" s="870">
        <f t="shared" si="353"/>
        <v>0</v>
      </c>
      <c r="AK312" s="863">
        <f t="shared" si="353"/>
        <v>0</v>
      </c>
      <c r="AL312" s="209"/>
      <c r="AM312" s="209"/>
    </row>
    <row r="313" spans="1:39" s="80" customFormat="1">
      <c r="A313" s="580"/>
      <c r="B313" s="580" t="s">
        <v>131</v>
      </c>
      <c r="C313" s="832">
        <f>IF(U314&gt;0,(U313/U314),0)</f>
        <v>0</v>
      </c>
      <c r="D313" s="830">
        <f t="shared" ref="D313:S313" si="354">IF(V314&gt;0,(V313/V314),0)</f>
        <v>0.12974683544303797</v>
      </c>
      <c r="E313" s="830">
        <f t="shared" si="354"/>
        <v>9.375E-2</v>
      </c>
      <c r="F313" s="830">
        <f t="shared" si="354"/>
        <v>0</v>
      </c>
      <c r="G313" s="830">
        <f t="shared" si="354"/>
        <v>0</v>
      </c>
      <c r="H313" s="830">
        <f t="shared" si="354"/>
        <v>6.8870523415977963E-2</v>
      </c>
      <c r="I313" s="832">
        <f t="shared" si="354"/>
        <v>0.10369833212472807</v>
      </c>
      <c r="J313" s="832">
        <f t="shared" si="354"/>
        <v>0</v>
      </c>
      <c r="K313" s="830">
        <f t="shared" si="354"/>
        <v>0</v>
      </c>
      <c r="L313" s="830">
        <f t="shared" si="354"/>
        <v>1.0752688172043012E-2</v>
      </c>
      <c r="M313" s="830">
        <f t="shared" si="354"/>
        <v>5.7522123893805309E-2</v>
      </c>
      <c r="N313" s="830">
        <f t="shared" si="354"/>
        <v>0</v>
      </c>
      <c r="O313" s="832">
        <f t="shared" si="354"/>
        <v>4.0752351097178681E-2</v>
      </c>
      <c r="P313" s="832">
        <f t="shared" si="354"/>
        <v>0</v>
      </c>
      <c r="Q313" s="830">
        <f t="shared" si="354"/>
        <v>0</v>
      </c>
      <c r="R313" s="833">
        <f t="shared" si="354"/>
        <v>0</v>
      </c>
      <c r="S313" s="832">
        <f t="shared" si="354"/>
        <v>0</v>
      </c>
      <c r="T313" s="213"/>
      <c r="U313" s="858"/>
      <c r="V313" s="858">
        <v>82</v>
      </c>
      <c r="W313" s="858">
        <v>36</v>
      </c>
      <c r="X313" s="858"/>
      <c r="Y313" s="858"/>
      <c r="Z313" s="858">
        <v>25</v>
      </c>
      <c r="AA313" s="859">
        <v>143</v>
      </c>
      <c r="AB313" s="859"/>
      <c r="AC313" s="858"/>
      <c r="AD313" s="858">
        <v>1</v>
      </c>
      <c r="AE313" s="858">
        <v>13</v>
      </c>
      <c r="AF313" s="858"/>
      <c r="AG313" s="859">
        <v>13</v>
      </c>
      <c r="AH313" s="863">
        <f t="shared" ref="AH313:AK313" si="355">AH319+AH325+AH331+AH337+AH343+AH349+AH355+AH361+AH367+AH373+AH379+AH385+AH391</f>
        <v>0</v>
      </c>
      <c r="AI313" s="862">
        <f t="shared" si="355"/>
        <v>0</v>
      </c>
      <c r="AJ313" s="870">
        <f t="shared" si="355"/>
        <v>0</v>
      </c>
      <c r="AK313" s="863">
        <f t="shared" si="355"/>
        <v>0</v>
      </c>
      <c r="AL313" s="209"/>
      <c r="AM313" s="209"/>
    </row>
    <row r="314" spans="1:39" s="80" customFormat="1">
      <c r="A314" s="436"/>
      <c r="B314" s="436" t="s">
        <v>59</v>
      </c>
      <c r="C314" s="834">
        <f>IF(U314&gt;0,(U314/U314),0)</f>
        <v>0</v>
      </c>
      <c r="D314" s="835">
        <f t="shared" ref="D314:S314" si="356">IF(V314&gt;0,(V314/V314),0)</f>
        <v>1</v>
      </c>
      <c r="E314" s="835">
        <f t="shared" si="356"/>
        <v>1</v>
      </c>
      <c r="F314" s="835">
        <f t="shared" si="356"/>
        <v>0</v>
      </c>
      <c r="G314" s="835">
        <f t="shared" si="356"/>
        <v>0</v>
      </c>
      <c r="H314" s="835">
        <f t="shared" si="356"/>
        <v>1</v>
      </c>
      <c r="I314" s="834">
        <f t="shared" si="356"/>
        <v>1</v>
      </c>
      <c r="J314" s="834">
        <f t="shared" si="356"/>
        <v>0</v>
      </c>
      <c r="K314" s="835">
        <f t="shared" si="356"/>
        <v>0</v>
      </c>
      <c r="L314" s="835">
        <f t="shared" si="356"/>
        <v>1</v>
      </c>
      <c r="M314" s="835">
        <f t="shared" si="356"/>
        <v>1</v>
      </c>
      <c r="N314" s="835">
        <f t="shared" si="356"/>
        <v>0</v>
      </c>
      <c r="O314" s="834">
        <f t="shared" si="356"/>
        <v>1</v>
      </c>
      <c r="P314" s="834">
        <f t="shared" si="356"/>
        <v>0</v>
      </c>
      <c r="Q314" s="835">
        <f t="shared" si="356"/>
        <v>0</v>
      </c>
      <c r="R314" s="836">
        <f t="shared" si="356"/>
        <v>0</v>
      </c>
      <c r="S314" s="834">
        <f t="shared" si="356"/>
        <v>0</v>
      </c>
      <c r="T314" s="213"/>
      <c r="U314" s="871"/>
      <c r="V314" s="871">
        <v>632</v>
      </c>
      <c r="W314" s="871">
        <v>384</v>
      </c>
      <c r="X314" s="871"/>
      <c r="Y314" s="871"/>
      <c r="Z314" s="871">
        <v>363</v>
      </c>
      <c r="AA314" s="864">
        <v>1379</v>
      </c>
      <c r="AB314" s="864"/>
      <c r="AC314" s="871"/>
      <c r="AD314" s="871">
        <v>93</v>
      </c>
      <c r="AE314" s="871">
        <v>226</v>
      </c>
      <c r="AF314" s="871"/>
      <c r="AG314" s="864">
        <v>319</v>
      </c>
      <c r="AH314" s="872">
        <f t="shared" ref="AH314:AK314" si="357">AH320+AH326+AH332+AH338+AH344+AH350+AH356+AH362+AH368+AH374+AH380+AH386+AH392</f>
        <v>0</v>
      </c>
      <c r="AI314" s="873">
        <f t="shared" si="357"/>
        <v>0</v>
      </c>
      <c r="AJ314" s="874">
        <f t="shared" si="357"/>
        <v>0</v>
      </c>
      <c r="AK314" s="872">
        <f t="shared" si="357"/>
        <v>0</v>
      </c>
      <c r="AL314" s="209"/>
      <c r="AM314" s="209"/>
    </row>
    <row r="315" spans="1:39" s="80" customFormat="1">
      <c r="A315" s="240" t="s">
        <v>147</v>
      </c>
      <c r="B315" s="240" t="s">
        <v>53</v>
      </c>
      <c r="C315" s="829">
        <f>IF(U320&gt;0,(U315/U320),0)</f>
        <v>0.38978723404255317</v>
      </c>
      <c r="D315" s="830">
        <f t="shared" ref="D315:S315" si="358">IF(V320&gt;0,(V315/V320),0)</f>
        <v>0.37647058823529411</v>
      </c>
      <c r="E315" s="830">
        <f t="shared" si="358"/>
        <v>0.38356164383561642</v>
      </c>
      <c r="F315" s="830">
        <f t="shared" si="358"/>
        <v>0.35026269702276708</v>
      </c>
      <c r="G315" s="830">
        <f t="shared" si="358"/>
        <v>0.27472527472527475</v>
      </c>
      <c r="H315" s="830">
        <f t="shared" si="358"/>
        <v>0.5357142857142857</v>
      </c>
      <c r="I315" s="829">
        <f t="shared" si="358"/>
        <v>0.37203791469194314</v>
      </c>
      <c r="J315" s="829">
        <f t="shared" si="358"/>
        <v>0</v>
      </c>
      <c r="K315" s="830">
        <f t="shared" si="358"/>
        <v>0.62222222222222223</v>
      </c>
      <c r="L315" s="830">
        <f t="shared" si="358"/>
        <v>0.58293075684380036</v>
      </c>
      <c r="M315" s="830">
        <f t="shared" si="358"/>
        <v>0.57792207792207795</v>
      </c>
      <c r="N315" s="830">
        <f t="shared" si="358"/>
        <v>0</v>
      </c>
      <c r="O315" s="829">
        <f t="shared" si="358"/>
        <v>0.58589157413455262</v>
      </c>
      <c r="P315" s="829">
        <f t="shared" si="358"/>
        <v>0</v>
      </c>
      <c r="Q315" s="830">
        <f t="shared" si="358"/>
        <v>0</v>
      </c>
      <c r="R315" s="831">
        <f t="shared" si="358"/>
        <v>0</v>
      </c>
      <c r="S315" s="829">
        <f t="shared" si="358"/>
        <v>0</v>
      </c>
      <c r="T315" s="213"/>
      <c r="U315" s="858">
        <v>458</v>
      </c>
      <c r="V315" s="858">
        <v>320</v>
      </c>
      <c r="W315" s="858">
        <v>140</v>
      </c>
      <c r="X315" s="858">
        <v>400</v>
      </c>
      <c r="Y315" s="858">
        <v>50</v>
      </c>
      <c r="Z315" s="858">
        <v>45</v>
      </c>
      <c r="AA315" s="857">
        <v>1413</v>
      </c>
      <c r="AB315" s="857"/>
      <c r="AC315" s="858">
        <v>84</v>
      </c>
      <c r="AD315" s="858">
        <v>724</v>
      </c>
      <c r="AE315" s="858">
        <v>89</v>
      </c>
      <c r="AF315" s="858"/>
      <c r="AG315" s="857">
        <v>897</v>
      </c>
      <c r="AH315" s="861">
        <f t="shared" ref="AH315:AK315" si="359">AH321+AH327+AH333+AH339+AH345+AH351+AH357+AH363+AH369+AH375+AH381+AH387+AH393</f>
        <v>0</v>
      </c>
      <c r="AI315" s="862">
        <f t="shared" si="359"/>
        <v>0</v>
      </c>
      <c r="AJ315" s="869">
        <f t="shared" si="359"/>
        <v>0</v>
      </c>
      <c r="AK315" s="861">
        <f t="shared" si="359"/>
        <v>0</v>
      </c>
      <c r="AL315" s="209"/>
      <c r="AM315" s="209"/>
    </row>
    <row r="316" spans="1:39" s="80" customFormat="1">
      <c r="A316" s="239"/>
      <c r="B316" s="239" t="s">
        <v>93</v>
      </c>
      <c r="C316" s="832">
        <f>IF(U320&gt;0,(U316/U320),0)</f>
        <v>0.23574468085106384</v>
      </c>
      <c r="D316" s="830">
        <f t="shared" ref="D316:S316" si="360">IF(V320&gt;0,(V316/V320),0)</f>
        <v>0.24823529411764705</v>
      </c>
      <c r="E316" s="830">
        <f t="shared" si="360"/>
        <v>0.23287671232876711</v>
      </c>
      <c r="F316" s="830">
        <f t="shared" si="360"/>
        <v>0.25919439579684761</v>
      </c>
      <c r="G316" s="830">
        <f t="shared" si="360"/>
        <v>0.37362637362637363</v>
      </c>
      <c r="H316" s="830">
        <f t="shared" si="360"/>
        <v>0.15476190476190477</v>
      </c>
      <c r="I316" s="832">
        <f t="shared" si="360"/>
        <v>0.25013164823591366</v>
      </c>
      <c r="J316" s="832">
        <f t="shared" si="360"/>
        <v>0</v>
      </c>
      <c r="K316" s="830">
        <f t="shared" si="360"/>
        <v>0.12592592592592591</v>
      </c>
      <c r="L316" s="830">
        <f t="shared" si="360"/>
        <v>0.15217391304347827</v>
      </c>
      <c r="M316" s="830">
        <f t="shared" si="360"/>
        <v>0.16233766233766234</v>
      </c>
      <c r="N316" s="830">
        <f t="shared" si="360"/>
        <v>0</v>
      </c>
      <c r="O316" s="832">
        <f t="shared" si="360"/>
        <v>0.15088177661659047</v>
      </c>
      <c r="P316" s="832">
        <f t="shared" si="360"/>
        <v>0</v>
      </c>
      <c r="Q316" s="830">
        <f t="shared" si="360"/>
        <v>0</v>
      </c>
      <c r="R316" s="833">
        <f t="shared" si="360"/>
        <v>0</v>
      </c>
      <c r="S316" s="832">
        <f t="shared" si="360"/>
        <v>0</v>
      </c>
      <c r="T316" s="213"/>
      <c r="U316" s="858">
        <v>277</v>
      </c>
      <c r="V316" s="858">
        <v>211</v>
      </c>
      <c r="W316" s="858">
        <v>85</v>
      </c>
      <c r="X316" s="858">
        <v>296</v>
      </c>
      <c r="Y316" s="858">
        <v>68</v>
      </c>
      <c r="Z316" s="858">
        <v>13</v>
      </c>
      <c r="AA316" s="859">
        <v>950</v>
      </c>
      <c r="AB316" s="859"/>
      <c r="AC316" s="858">
        <v>17</v>
      </c>
      <c r="AD316" s="858">
        <v>189</v>
      </c>
      <c r="AE316" s="858">
        <v>25</v>
      </c>
      <c r="AF316" s="858"/>
      <c r="AG316" s="859">
        <v>231</v>
      </c>
      <c r="AH316" s="863">
        <f t="shared" ref="AH316:AK316" si="361">AH322+AH328+AH334+AH340+AH346+AH352+AH358+AH364+AH370+AH376+AH382+AH388+AH394</f>
        <v>0</v>
      </c>
      <c r="AI316" s="862">
        <f t="shared" si="361"/>
        <v>0</v>
      </c>
      <c r="AJ316" s="870">
        <f t="shared" si="361"/>
        <v>0</v>
      </c>
      <c r="AK316" s="863">
        <f t="shared" si="361"/>
        <v>0</v>
      </c>
      <c r="AL316" s="209"/>
      <c r="AM316" s="209"/>
    </row>
    <row r="317" spans="1:39" s="80" customFormat="1">
      <c r="A317" s="239"/>
      <c r="B317" s="239" t="s">
        <v>55</v>
      </c>
      <c r="C317" s="832">
        <f>IF(U320&gt;0,(U317/U320),0)</f>
        <v>0.22127659574468084</v>
      </c>
      <c r="D317" s="830">
        <f t="shared" ref="D317:S317" si="362">IF(V320&gt;0,(V317/V320),0)</f>
        <v>0.29058823529411765</v>
      </c>
      <c r="E317" s="830">
        <f t="shared" si="362"/>
        <v>0.26575342465753427</v>
      </c>
      <c r="F317" s="830">
        <f t="shared" si="362"/>
        <v>0.36164623467600698</v>
      </c>
      <c r="G317" s="830">
        <f t="shared" si="362"/>
        <v>0.2857142857142857</v>
      </c>
      <c r="H317" s="830">
        <f t="shared" si="362"/>
        <v>0.27380952380952384</v>
      </c>
      <c r="I317" s="832">
        <f t="shared" si="362"/>
        <v>0.28751974723538704</v>
      </c>
      <c r="J317" s="832">
        <f t="shared" si="362"/>
        <v>0</v>
      </c>
      <c r="K317" s="830">
        <f t="shared" si="362"/>
        <v>0.19259259259259259</v>
      </c>
      <c r="L317" s="830">
        <f t="shared" si="362"/>
        <v>0.17230273752012881</v>
      </c>
      <c r="M317" s="830">
        <f t="shared" si="362"/>
        <v>0.22077922077922077</v>
      </c>
      <c r="N317" s="830">
        <f t="shared" si="362"/>
        <v>0</v>
      </c>
      <c r="O317" s="832">
        <f t="shared" si="362"/>
        <v>0.17896799477465708</v>
      </c>
      <c r="P317" s="832">
        <f t="shared" si="362"/>
        <v>0</v>
      </c>
      <c r="Q317" s="830">
        <f t="shared" si="362"/>
        <v>0</v>
      </c>
      <c r="R317" s="833">
        <f t="shared" si="362"/>
        <v>0</v>
      </c>
      <c r="S317" s="832">
        <f t="shared" si="362"/>
        <v>0</v>
      </c>
      <c r="T317" s="213"/>
      <c r="U317" s="858">
        <v>260</v>
      </c>
      <c r="V317" s="858">
        <v>247</v>
      </c>
      <c r="W317" s="858">
        <v>97</v>
      </c>
      <c r="X317" s="858">
        <v>413</v>
      </c>
      <c r="Y317" s="858">
        <v>52</v>
      </c>
      <c r="Z317" s="858">
        <v>23</v>
      </c>
      <c r="AA317" s="859">
        <v>1092</v>
      </c>
      <c r="AB317" s="859"/>
      <c r="AC317" s="858">
        <v>26</v>
      </c>
      <c r="AD317" s="858">
        <v>214</v>
      </c>
      <c r="AE317" s="858">
        <v>34</v>
      </c>
      <c r="AF317" s="858"/>
      <c r="AG317" s="859">
        <v>274</v>
      </c>
      <c r="AH317" s="863">
        <f t="shared" ref="AH317:AK317" si="363">AH323+AH329+AH335+AH341+AH347+AH353+AH359+AH365+AH371+AH377+AH383+AH389+AH395</f>
        <v>0</v>
      </c>
      <c r="AI317" s="862">
        <f t="shared" si="363"/>
        <v>0</v>
      </c>
      <c r="AJ317" s="870">
        <f t="shared" si="363"/>
        <v>0</v>
      </c>
      <c r="AK317" s="863">
        <f t="shared" si="363"/>
        <v>0</v>
      </c>
      <c r="AL317" s="209"/>
      <c r="AM317" s="209"/>
    </row>
    <row r="318" spans="1:39" s="80" customFormat="1">
      <c r="A318" s="239"/>
      <c r="B318" s="239" t="s">
        <v>78</v>
      </c>
      <c r="C318" s="832">
        <f>IF(U320&gt;0,(U318/U320),0)</f>
        <v>3.4042553191489361E-3</v>
      </c>
      <c r="D318" s="830">
        <f t="shared" ref="D318:S318" si="364">IF(V320&gt;0,(V318/V320),0)</f>
        <v>1.176470588235294E-3</v>
      </c>
      <c r="E318" s="830">
        <f t="shared" si="364"/>
        <v>0</v>
      </c>
      <c r="F318" s="830">
        <f t="shared" si="364"/>
        <v>2.8896672504378284E-2</v>
      </c>
      <c r="G318" s="830">
        <f t="shared" si="364"/>
        <v>6.5934065934065936E-2</v>
      </c>
      <c r="H318" s="830">
        <f t="shared" si="364"/>
        <v>3.5714285714285712E-2</v>
      </c>
      <c r="I318" s="832">
        <f t="shared" si="364"/>
        <v>1.3954713006845709E-2</v>
      </c>
      <c r="J318" s="832">
        <f t="shared" si="364"/>
        <v>0</v>
      </c>
      <c r="K318" s="830">
        <f t="shared" si="364"/>
        <v>0</v>
      </c>
      <c r="L318" s="830">
        <f t="shared" si="364"/>
        <v>8.6151368760064406E-2</v>
      </c>
      <c r="M318" s="830">
        <f t="shared" si="364"/>
        <v>3.896103896103896E-2</v>
      </c>
      <c r="N318" s="830">
        <f t="shared" si="364"/>
        <v>0</v>
      </c>
      <c r="O318" s="832">
        <f t="shared" si="364"/>
        <v>7.3807968647942521E-2</v>
      </c>
      <c r="P318" s="832">
        <f t="shared" si="364"/>
        <v>0</v>
      </c>
      <c r="Q318" s="830">
        <f t="shared" si="364"/>
        <v>0</v>
      </c>
      <c r="R318" s="833">
        <f t="shared" si="364"/>
        <v>0</v>
      </c>
      <c r="S318" s="832">
        <f t="shared" si="364"/>
        <v>0</v>
      </c>
      <c r="T318" s="213"/>
      <c r="U318" s="858">
        <v>4</v>
      </c>
      <c r="V318" s="858">
        <v>1</v>
      </c>
      <c r="W318" s="858"/>
      <c r="X318" s="858">
        <v>33</v>
      </c>
      <c r="Y318" s="858">
        <v>12</v>
      </c>
      <c r="Z318" s="858">
        <v>3</v>
      </c>
      <c r="AA318" s="859">
        <v>53</v>
      </c>
      <c r="AB318" s="859"/>
      <c r="AC318" s="858"/>
      <c r="AD318" s="858">
        <v>107</v>
      </c>
      <c r="AE318" s="858">
        <v>6</v>
      </c>
      <c r="AF318" s="858"/>
      <c r="AG318" s="859">
        <v>113</v>
      </c>
      <c r="AH318" s="863">
        <f t="shared" ref="AH318:AK318" si="365">AH324+AH330+AH336+AH342+AH348+AH354+AH360+AH366+AH372+AH378+AH384+AH390+AH396</f>
        <v>0</v>
      </c>
      <c r="AI318" s="862">
        <f t="shared" si="365"/>
        <v>0</v>
      </c>
      <c r="AJ318" s="870">
        <f t="shared" si="365"/>
        <v>0</v>
      </c>
      <c r="AK318" s="863">
        <f t="shared" si="365"/>
        <v>0</v>
      </c>
      <c r="AL318" s="209"/>
      <c r="AM318" s="209"/>
    </row>
    <row r="319" spans="1:39" s="80" customFormat="1">
      <c r="A319" s="580"/>
      <c r="B319" s="580" t="s">
        <v>131</v>
      </c>
      <c r="C319" s="832">
        <f>IF(U320&gt;0,(U319/U320),0)</f>
        <v>0.1497872340425532</v>
      </c>
      <c r="D319" s="830">
        <f t="shared" ref="D319:S319" si="366">IF(V320&gt;0,(V319/V320),0)</f>
        <v>8.352941176470588E-2</v>
      </c>
      <c r="E319" s="830">
        <f t="shared" si="366"/>
        <v>0.11780821917808219</v>
      </c>
      <c r="F319" s="830">
        <f t="shared" si="366"/>
        <v>0</v>
      </c>
      <c r="G319" s="830">
        <f t="shared" si="366"/>
        <v>0</v>
      </c>
      <c r="H319" s="830">
        <f t="shared" si="366"/>
        <v>0</v>
      </c>
      <c r="I319" s="832">
        <f t="shared" si="366"/>
        <v>7.635597682991048E-2</v>
      </c>
      <c r="J319" s="832">
        <f t="shared" si="366"/>
        <v>0</v>
      </c>
      <c r="K319" s="830">
        <f t="shared" si="366"/>
        <v>5.9259259259259262E-2</v>
      </c>
      <c r="L319" s="830">
        <f t="shared" si="366"/>
        <v>6.4412238325281803E-3</v>
      </c>
      <c r="M319" s="830">
        <f t="shared" si="366"/>
        <v>0</v>
      </c>
      <c r="N319" s="830">
        <f t="shared" si="366"/>
        <v>0</v>
      </c>
      <c r="O319" s="832">
        <f t="shared" si="366"/>
        <v>1.0450685826257348E-2</v>
      </c>
      <c r="P319" s="832">
        <f t="shared" si="366"/>
        <v>0</v>
      </c>
      <c r="Q319" s="830">
        <f t="shared" si="366"/>
        <v>0</v>
      </c>
      <c r="R319" s="833">
        <f t="shared" si="366"/>
        <v>0</v>
      </c>
      <c r="S319" s="832">
        <f t="shared" si="366"/>
        <v>0</v>
      </c>
      <c r="T319" s="213"/>
      <c r="U319" s="858">
        <v>176</v>
      </c>
      <c r="V319" s="858">
        <v>71</v>
      </c>
      <c r="W319" s="858">
        <v>43</v>
      </c>
      <c r="X319" s="858"/>
      <c r="Y319" s="858"/>
      <c r="Z319" s="858"/>
      <c r="AA319" s="859">
        <v>290</v>
      </c>
      <c r="AB319" s="859"/>
      <c r="AC319" s="858">
        <v>8</v>
      </c>
      <c r="AD319" s="858">
        <v>8</v>
      </c>
      <c r="AE319" s="858"/>
      <c r="AF319" s="858"/>
      <c r="AG319" s="859">
        <v>16</v>
      </c>
      <c r="AH319" s="863">
        <f t="shared" ref="AH319:AK319" si="367">AH325+AH331+AH337+AH343+AH349+AH355+AH361+AH367+AH373+AH379+AH385+AH391+AH397</f>
        <v>0</v>
      </c>
      <c r="AI319" s="862">
        <f t="shared" si="367"/>
        <v>0</v>
      </c>
      <c r="AJ319" s="870">
        <f t="shared" si="367"/>
        <v>0</v>
      </c>
      <c r="AK319" s="863">
        <f t="shared" si="367"/>
        <v>0</v>
      </c>
      <c r="AL319" s="209"/>
      <c r="AM319" s="209"/>
    </row>
    <row r="320" spans="1:39" s="80" customFormat="1">
      <c r="A320" s="436"/>
      <c r="B320" s="436" t="s">
        <v>59</v>
      </c>
      <c r="C320" s="834">
        <f>IF(U320&gt;0,(U320/U320),0)</f>
        <v>1</v>
      </c>
      <c r="D320" s="835">
        <f t="shared" ref="D320:S320" si="368">IF(V320&gt;0,(V320/V320),0)</f>
        <v>1</v>
      </c>
      <c r="E320" s="835">
        <f t="shared" si="368"/>
        <v>1</v>
      </c>
      <c r="F320" s="835">
        <f t="shared" si="368"/>
        <v>1</v>
      </c>
      <c r="G320" s="835">
        <f t="shared" si="368"/>
        <v>1</v>
      </c>
      <c r="H320" s="835">
        <f t="shared" si="368"/>
        <v>1</v>
      </c>
      <c r="I320" s="834">
        <f t="shared" si="368"/>
        <v>1</v>
      </c>
      <c r="J320" s="834">
        <f t="shared" si="368"/>
        <v>0</v>
      </c>
      <c r="K320" s="835">
        <f t="shared" si="368"/>
        <v>1</v>
      </c>
      <c r="L320" s="835">
        <f t="shared" si="368"/>
        <v>1</v>
      </c>
      <c r="M320" s="835">
        <f t="shared" si="368"/>
        <v>1</v>
      </c>
      <c r="N320" s="835">
        <f t="shared" si="368"/>
        <v>0</v>
      </c>
      <c r="O320" s="834">
        <f t="shared" si="368"/>
        <v>1</v>
      </c>
      <c r="P320" s="834">
        <f t="shared" si="368"/>
        <v>0</v>
      </c>
      <c r="Q320" s="835">
        <f t="shared" si="368"/>
        <v>0</v>
      </c>
      <c r="R320" s="836">
        <f t="shared" si="368"/>
        <v>0</v>
      </c>
      <c r="S320" s="834">
        <f t="shared" si="368"/>
        <v>0</v>
      </c>
      <c r="T320" s="213"/>
      <c r="U320" s="871">
        <v>1175</v>
      </c>
      <c r="V320" s="871">
        <v>850</v>
      </c>
      <c r="W320" s="871">
        <v>365</v>
      </c>
      <c r="X320" s="871">
        <v>1142</v>
      </c>
      <c r="Y320" s="871">
        <v>182</v>
      </c>
      <c r="Z320" s="871">
        <v>84</v>
      </c>
      <c r="AA320" s="864">
        <v>3798</v>
      </c>
      <c r="AB320" s="864"/>
      <c r="AC320" s="871">
        <v>135</v>
      </c>
      <c r="AD320" s="871">
        <v>1242</v>
      </c>
      <c r="AE320" s="871">
        <v>154</v>
      </c>
      <c r="AF320" s="871"/>
      <c r="AG320" s="864">
        <v>1531</v>
      </c>
      <c r="AH320" s="872">
        <f t="shared" ref="AH320:AK320" si="369">AH326+AH332+AH338+AH344+AH350+AH356+AH362+AH368+AH374+AH380+AH386+AH392+AH398</f>
        <v>0</v>
      </c>
      <c r="AI320" s="873">
        <f t="shared" si="369"/>
        <v>0</v>
      </c>
      <c r="AJ320" s="874">
        <f t="shared" si="369"/>
        <v>0</v>
      </c>
      <c r="AK320" s="872">
        <f t="shared" si="369"/>
        <v>0</v>
      </c>
      <c r="AL320" s="209"/>
      <c r="AM320" s="209"/>
    </row>
    <row r="321" spans="1:39" s="80" customFormat="1">
      <c r="A321" s="240" t="s">
        <v>155</v>
      </c>
      <c r="B321" s="240" t="s">
        <v>53</v>
      </c>
      <c r="C321" s="829">
        <f>IF(U326&gt;0,(U321/U326),0)</f>
        <v>0</v>
      </c>
      <c r="D321" s="830">
        <f t="shared" ref="D321:S321" si="370">IF(V326&gt;0,(V321/V326),0)</f>
        <v>0.38808373590982287</v>
      </c>
      <c r="E321" s="830">
        <f t="shared" si="370"/>
        <v>0</v>
      </c>
      <c r="F321" s="830">
        <f t="shared" si="370"/>
        <v>0</v>
      </c>
      <c r="G321" s="830">
        <f t="shared" si="370"/>
        <v>0.38709677419354838</v>
      </c>
      <c r="H321" s="830">
        <f t="shared" si="370"/>
        <v>0.21428571428571427</v>
      </c>
      <c r="I321" s="829">
        <f t="shared" si="370"/>
        <v>0.38295788442703232</v>
      </c>
      <c r="J321" s="829">
        <f t="shared" si="370"/>
        <v>0</v>
      </c>
      <c r="K321" s="830">
        <f t="shared" si="370"/>
        <v>0</v>
      </c>
      <c r="L321" s="830">
        <f t="shared" si="370"/>
        <v>0.73394495412844041</v>
      </c>
      <c r="M321" s="830">
        <f t="shared" si="370"/>
        <v>0.7186147186147186</v>
      </c>
      <c r="N321" s="830">
        <f t="shared" si="370"/>
        <v>0</v>
      </c>
      <c r="O321" s="829">
        <f t="shared" si="370"/>
        <v>0.72352941176470587</v>
      </c>
      <c r="P321" s="829">
        <f t="shared" si="370"/>
        <v>0</v>
      </c>
      <c r="Q321" s="830">
        <f t="shared" si="370"/>
        <v>0</v>
      </c>
      <c r="R321" s="831">
        <f t="shared" si="370"/>
        <v>0</v>
      </c>
      <c r="S321" s="829">
        <f t="shared" si="370"/>
        <v>0</v>
      </c>
      <c r="T321" s="213"/>
      <c r="U321" s="858"/>
      <c r="V321" s="858">
        <v>241</v>
      </c>
      <c r="W321" s="858"/>
      <c r="X321" s="858"/>
      <c r="Y321" s="858">
        <v>144</v>
      </c>
      <c r="Z321" s="858">
        <v>6</v>
      </c>
      <c r="AA321" s="857">
        <v>391</v>
      </c>
      <c r="AB321" s="857"/>
      <c r="AC321" s="858"/>
      <c r="AD321" s="858">
        <v>80</v>
      </c>
      <c r="AE321" s="858">
        <v>166</v>
      </c>
      <c r="AF321" s="858"/>
      <c r="AG321" s="857">
        <v>246</v>
      </c>
      <c r="AH321" s="861">
        <f t="shared" ref="AH321:AK321" si="371">AH327+AH333+AH339+AH345+AH351+AH357+AH363+AH369+AH375+AH381+AH387+AH393+AH399</f>
        <v>0</v>
      </c>
      <c r="AI321" s="862">
        <f t="shared" si="371"/>
        <v>0</v>
      </c>
      <c r="AJ321" s="869">
        <f t="shared" si="371"/>
        <v>0</v>
      </c>
      <c r="AK321" s="861">
        <f t="shared" si="371"/>
        <v>0</v>
      </c>
      <c r="AL321" s="209"/>
      <c r="AM321" s="209"/>
    </row>
    <row r="322" spans="1:39" s="80" customFormat="1">
      <c r="A322" s="239"/>
      <c r="B322" s="239" t="s">
        <v>93</v>
      </c>
      <c r="C322" s="832">
        <f>IF(U326&gt;0,(U322/U326),0)</f>
        <v>0</v>
      </c>
      <c r="D322" s="830">
        <f t="shared" ref="D322:S322" si="372">IF(V326&gt;0,(V322/V326),0)</f>
        <v>0.39774557165861513</v>
      </c>
      <c r="E322" s="830">
        <f t="shared" si="372"/>
        <v>0</v>
      </c>
      <c r="F322" s="830">
        <f t="shared" si="372"/>
        <v>0</v>
      </c>
      <c r="G322" s="830">
        <f t="shared" si="372"/>
        <v>0.2661290322580645</v>
      </c>
      <c r="H322" s="830">
        <f t="shared" si="372"/>
        <v>0.6071428571428571</v>
      </c>
      <c r="I322" s="832">
        <f t="shared" si="372"/>
        <v>0.35553379040156707</v>
      </c>
      <c r="J322" s="832">
        <f t="shared" si="372"/>
        <v>0</v>
      </c>
      <c r="K322" s="830">
        <f t="shared" si="372"/>
        <v>0</v>
      </c>
      <c r="L322" s="830">
        <f t="shared" si="372"/>
        <v>0.16513761467889909</v>
      </c>
      <c r="M322" s="830">
        <f t="shared" si="372"/>
        <v>0.16017316017316016</v>
      </c>
      <c r="N322" s="830">
        <f t="shared" si="372"/>
        <v>0</v>
      </c>
      <c r="O322" s="832">
        <f t="shared" si="372"/>
        <v>0.16176470588235295</v>
      </c>
      <c r="P322" s="832">
        <f t="shared" si="372"/>
        <v>0</v>
      </c>
      <c r="Q322" s="830">
        <f t="shared" si="372"/>
        <v>0</v>
      </c>
      <c r="R322" s="833">
        <f t="shared" si="372"/>
        <v>0</v>
      </c>
      <c r="S322" s="832">
        <f t="shared" si="372"/>
        <v>0</v>
      </c>
      <c r="T322" s="213"/>
      <c r="U322" s="858"/>
      <c r="V322" s="858">
        <v>247</v>
      </c>
      <c r="W322" s="858"/>
      <c r="X322" s="858"/>
      <c r="Y322" s="858">
        <v>99</v>
      </c>
      <c r="Z322" s="858">
        <v>17</v>
      </c>
      <c r="AA322" s="859">
        <v>363</v>
      </c>
      <c r="AB322" s="859"/>
      <c r="AC322" s="858"/>
      <c r="AD322" s="858">
        <v>18</v>
      </c>
      <c r="AE322" s="858">
        <v>37</v>
      </c>
      <c r="AF322" s="858"/>
      <c r="AG322" s="859">
        <v>55</v>
      </c>
      <c r="AH322" s="863">
        <f t="shared" ref="AH322:AK322" si="373">AH328+AH334+AH340+AH346+AH352+AH358+AH364+AH370+AH376+AH382+AH388+AH394+AH400</f>
        <v>0</v>
      </c>
      <c r="AI322" s="862">
        <f t="shared" si="373"/>
        <v>0</v>
      </c>
      <c r="AJ322" s="870">
        <f t="shared" si="373"/>
        <v>0</v>
      </c>
      <c r="AK322" s="863">
        <f t="shared" si="373"/>
        <v>0</v>
      </c>
      <c r="AL322" s="209"/>
      <c r="AM322" s="209"/>
    </row>
    <row r="323" spans="1:39" s="80" customFormat="1">
      <c r="A323" s="239"/>
      <c r="B323" s="239" t="s">
        <v>55</v>
      </c>
      <c r="C323" s="832">
        <f>IF(U326&gt;0,(U323/U326),0)</f>
        <v>0</v>
      </c>
      <c r="D323" s="830">
        <f t="shared" ref="D323:S323" si="374">IF(V326&gt;0,(V323/V326),0)</f>
        <v>0.19967793880837359</v>
      </c>
      <c r="E323" s="830">
        <f t="shared" si="374"/>
        <v>0</v>
      </c>
      <c r="F323" s="830">
        <f t="shared" si="374"/>
        <v>0</v>
      </c>
      <c r="G323" s="830">
        <f t="shared" si="374"/>
        <v>0.22311827956989247</v>
      </c>
      <c r="H323" s="830">
        <f t="shared" si="374"/>
        <v>0.10714285714285714</v>
      </c>
      <c r="I323" s="832">
        <f t="shared" si="374"/>
        <v>0.20568070519098922</v>
      </c>
      <c r="J323" s="832">
        <f t="shared" si="374"/>
        <v>0</v>
      </c>
      <c r="K323" s="830">
        <f t="shared" si="374"/>
        <v>0</v>
      </c>
      <c r="L323" s="830">
        <f t="shared" si="374"/>
        <v>0.10091743119266056</v>
      </c>
      <c r="M323" s="830">
        <f t="shared" si="374"/>
        <v>7.3593073593073599E-2</v>
      </c>
      <c r="N323" s="830">
        <f t="shared" si="374"/>
        <v>0</v>
      </c>
      <c r="O323" s="832">
        <f t="shared" si="374"/>
        <v>8.2352941176470587E-2</v>
      </c>
      <c r="P323" s="832">
        <f t="shared" si="374"/>
        <v>0</v>
      </c>
      <c r="Q323" s="830">
        <f t="shared" si="374"/>
        <v>0</v>
      </c>
      <c r="R323" s="833">
        <f t="shared" si="374"/>
        <v>0</v>
      </c>
      <c r="S323" s="832">
        <f t="shared" si="374"/>
        <v>0</v>
      </c>
      <c r="T323" s="213"/>
      <c r="U323" s="858"/>
      <c r="V323" s="858">
        <v>124</v>
      </c>
      <c r="W323" s="858"/>
      <c r="X323" s="858"/>
      <c r="Y323" s="858">
        <v>83</v>
      </c>
      <c r="Z323" s="858">
        <v>3</v>
      </c>
      <c r="AA323" s="859">
        <v>210</v>
      </c>
      <c r="AB323" s="859"/>
      <c r="AC323" s="858"/>
      <c r="AD323" s="858">
        <v>11</v>
      </c>
      <c r="AE323" s="858">
        <v>17</v>
      </c>
      <c r="AF323" s="858"/>
      <c r="AG323" s="859">
        <v>28</v>
      </c>
      <c r="AH323" s="863">
        <f t="shared" ref="AH323:AK323" si="375">AH329+AH335+AH341+AH347+AH353+AH359+AH365+AH371+AH377+AH383+AH389+AH395+AH401</f>
        <v>0</v>
      </c>
      <c r="AI323" s="862">
        <f t="shared" si="375"/>
        <v>0</v>
      </c>
      <c r="AJ323" s="870">
        <f t="shared" si="375"/>
        <v>0</v>
      </c>
      <c r="AK323" s="863">
        <f t="shared" si="375"/>
        <v>0</v>
      </c>
      <c r="AL323" s="209"/>
      <c r="AM323" s="209"/>
    </row>
    <row r="324" spans="1:39" s="80" customFormat="1">
      <c r="A324" s="239"/>
      <c r="B324" s="239" t="s">
        <v>78</v>
      </c>
      <c r="C324" s="832">
        <f>IF(U326&gt;0,(U324/U326),0)</f>
        <v>0</v>
      </c>
      <c r="D324" s="830">
        <f t="shared" ref="D324:S324" si="376">IF(V326&gt;0,(V324/V326),0)</f>
        <v>1.6103059581320451E-3</v>
      </c>
      <c r="E324" s="830">
        <f t="shared" si="376"/>
        <v>0</v>
      </c>
      <c r="F324" s="830">
        <f t="shared" si="376"/>
        <v>0</v>
      </c>
      <c r="G324" s="830">
        <f t="shared" si="376"/>
        <v>2.6881720430107527E-2</v>
      </c>
      <c r="H324" s="830">
        <f t="shared" si="376"/>
        <v>3.5714285714285712E-2</v>
      </c>
      <c r="I324" s="832">
        <f t="shared" si="376"/>
        <v>1.1753183153770812E-2</v>
      </c>
      <c r="J324" s="832">
        <f t="shared" si="376"/>
        <v>0</v>
      </c>
      <c r="K324" s="830">
        <f t="shared" si="376"/>
        <v>0</v>
      </c>
      <c r="L324" s="830">
        <f t="shared" si="376"/>
        <v>0</v>
      </c>
      <c r="M324" s="830">
        <f t="shared" si="376"/>
        <v>4.7619047619047616E-2</v>
      </c>
      <c r="N324" s="830">
        <f t="shared" si="376"/>
        <v>0</v>
      </c>
      <c r="O324" s="832">
        <f t="shared" si="376"/>
        <v>3.2352941176470591E-2</v>
      </c>
      <c r="P324" s="832">
        <f t="shared" si="376"/>
        <v>0</v>
      </c>
      <c r="Q324" s="830">
        <f t="shared" si="376"/>
        <v>0</v>
      </c>
      <c r="R324" s="833">
        <f t="shared" si="376"/>
        <v>0</v>
      </c>
      <c r="S324" s="832">
        <f t="shared" si="376"/>
        <v>0</v>
      </c>
      <c r="T324" s="213"/>
      <c r="U324" s="858"/>
      <c r="V324" s="858">
        <v>1</v>
      </c>
      <c r="W324" s="858"/>
      <c r="X324" s="858"/>
      <c r="Y324" s="858">
        <v>10</v>
      </c>
      <c r="Z324" s="858">
        <v>1</v>
      </c>
      <c r="AA324" s="859">
        <v>12</v>
      </c>
      <c r="AB324" s="859"/>
      <c r="AC324" s="858"/>
      <c r="AD324" s="858"/>
      <c r="AE324" s="858">
        <v>11</v>
      </c>
      <c r="AF324" s="858"/>
      <c r="AG324" s="859">
        <v>11</v>
      </c>
      <c r="AH324" s="863">
        <f t="shared" ref="AH324:AK324" si="377">AH330+AH336+AH342+AH348+AH354+AH360+AH366+AH372+AH378+AH384+AH390+AH396+AH402</f>
        <v>0</v>
      </c>
      <c r="AI324" s="862">
        <f t="shared" si="377"/>
        <v>0</v>
      </c>
      <c r="AJ324" s="870">
        <f t="shared" si="377"/>
        <v>0</v>
      </c>
      <c r="AK324" s="863">
        <f t="shared" si="377"/>
        <v>0</v>
      </c>
      <c r="AL324" s="209"/>
      <c r="AM324" s="209"/>
    </row>
    <row r="325" spans="1:39" s="80" customFormat="1">
      <c r="A325" s="580"/>
      <c r="B325" s="580" t="s">
        <v>131</v>
      </c>
      <c r="C325" s="832">
        <f>IF(U326&gt;0,(U325/U326),0)</f>
        <v>0</v>
      </c>
      <c r="D325" s="830">
        <f t="shared" ref="D325:S325" si="378">IF(V326&gt;0,(V325/V326),0)</f>
        <v>1.2882447665056361E-2</v>
      </c>
      <c r="E325" s="830">
        <f t="shared" si="378"/>
        <v>0</v>
      </c>
      <c r="F325" s="830">
        <f t="shared" si="378"/>
        <v>0</v>
      </c>
      <c r="G325" s="830">
        <f t="shared" si="378"/>
        <v>9.6774193548387094E-2</v>
      </c>
      <c r="H325" s="830">
        <f t="shared" si="378"/>
        <v>3.5714285714285712E-2</v>
      </c>
      <c r="I325" s="832">
        <f t="shared" si="378"/>
        <v>4.4074436826640549E-2</v>
      </c>
      <c r="J325" s="832">
        <f t="shared" si="378"/>
        <v>0</v>
      </c>
      <c r="K325" s="830">
        <f t="shared" si="378"/>
        <v>0</v>
      </c>
      <c r="L325" s="830">
        <f t="shared" si="378"/>
        <v>0</v>
      </c>
      <c r="M325" s="830">
        <f t="shared" si="378"/>
        <v>0</v>
      </c>
      <c r="N325" s="830">
        <f t="shared" si="378"/>
        <v>0</v>
      </c>
      <c r="O325" s="832">
        <f t="shared" si="378"/>
        <v>0</v>
      </c>
      <c r="P325" s="832">
        <f t="shared" si="378"/>
        <v>0</v>
      </c>
      <c r="Q325" s="830">
        <f t="shared" si="378"/>
        <v>0</v>
      </c>
      <c r="R325" s="833">
        <f t="shared" si="378"/>
        <v>0</v>
      </c>
      <c r="S325" s="832">
        <f t="shared" si="378"/>
        <v>0</v>
      </c>
      <c r="T325" s="213"/>
      <c r="U325" s="858"/>
      <c r="V325" s="858">
        <v>8</v>
      </c>
      <c r="W325" s="858"/>
      <c r="X325" s="858"/>
      <c r="Y325" s="858">
        <v>36</v>
      </c>
      <c r="Z325" s="858">
        <v>1</v>
      </c>
      <c r="AA325" s="859">
        <v>45</v>
      </c>
      <c r="AB325" s="859"/>
      <c r="AC325" s="858"/>
      <c r="AD325" s="858"/>
      <c r="AE325" s="858"/>
      <c r="AF325" s="858"/>
      <c r="AG325" s="859"/>
      <c r="AH325" s="863">
        <f t="shared" ref="AH325:AK325" si="379">AH331+AH337+AH343+AH349+AH355+AH361+AH367+AH373+AH379+AH385+AH391+AH397+AH403</f>
        <v>0</v>
      </c>
      <c r="AI325" s="862">
        <f t="shared" si="379"/>
        <v>0</v>
      </c>
      <c r="AJ325" s="870">
        <f t="shared" si="379"/>
        <v>0</v>
      </c>
      <c r="AK325" s="863">
        <f t="shared" si="379"/>
        <v>0</v>
      </c>
      <c r="AL325" s="209"/>
      <c r="AM325" s="209"/>
    </row>
    <row r="326" spans="1:39" s="80" customFormat="1">
      <c r="A326" s="436"/>
      <c r="B326" s="436" t="s">
        <v>59</v>
      </c>
      <c r="C326" s="834">
        <f>IF(U326&gt;0,(U326/U326),0)</f>
        <v>0</v>
      </c>
      <c r="D326" s="835">
        <f t="shared" ref="D326:S326" si="380">IF(V326&gt;0,(V326/V326),0)</f>
        <v>1</v>
      </c>
      <c r="E326" s="835">
        <f t="shared" si="380"/>
        <v>0</v>
      </c>
      <c r="F326" s="835">
        <f t="shared" si="380"/>
        <v>0</v>
      </c>
      <c r="G326" s="835">
        <f t="shared" si="380"/>
        <v>1</v>
      </c>
      <c r="H326" s="835">
        <f t="shared" si="380"/>
        <v>1</v>
      </c>
      <c r="I326" s="834">
        <f t="shared" si="380"/>
        <v>1</v>
      </c>
      <c r="J326" s="834">
        <f t="shared" si="380"/>
        <v>0</v>
      </c>
      <c r="K326" s="835">
        <f t="shared" si="380"/>
        <v>0</v>
      </c>
      <c r="L326" s="835">
        <f t="shared" si="380"/>
        <v>1</v>
      </c>
      <c r="M326" s="835">
        <f t="shared" si="380"/>
        <v>1</v>
      </c>
      <c r="N326" s="835">
        <f t="shared" si="380"/>
        <v>0</v>
      </c>
      <c r="O326" s="834">
        <f t="shared" si="380"/>
        <v>1</v>
      </c>
      <c r="P326" s="834">
        <f t="shared" si="380"/>
        <v>0</v>
      </c>
      <c r="Q326" s="835">
        <f t="shared" si="380"/>
        <v>0</v>
      </c>
      <c r="R326" s="836">
        <f t="shared" si="380"/>
        <v>0</v>
      </c>
      <c r="S326" s="834">
        <f t="shared" si="380"/>
        <v>0</v>
      </c>
      <c r="T326" s="213"/>
      <c r="U326" s="871"/>
      <c r="V326" s="871">
        <v>621</v>
      </c>
      <c r="W326" s="871"/>
      <c r="X326" s="871"/>
      <c r="Y326" s="871">
        <v>372</v>
      </c>
      <c r="Z326" s="871">
        <v>28</v>
      </c>
      <c r="AA326" s="864">
        <v>1021</v>
      </c>
      <c r="AB326" s="864"/>
      <c r="AC326" s="871"/>
      <c r="AD326" s="871">
        <v>109</v>
      </c>
      <c r="AE326" s="871">
        <v>231</v>
      </c>
      <c r="AF326" s="871"/>
      <c r="AG326" s="864">
        <v>340</v>
      </c>
      <c r="AH326" s="872">
        <f t="shared" ref="AH326:AK326" si="381">AH332+AH338+AH344+AH350+AH356+AH362+AH368+AH374+AH380+AH386+AH392+AH398+AH404</f>
        <v>0</v>
      </c>
      <c r="AI326" s="873">
        <f t="shared" si="381"/>
        <v>0</v>
      </c>
      <c r="AJ326" s="874">
        <f t="shared" si="381"/>
        <v>0</v>
      </c>
      <c r="AK326" s="872">
        <f t="shared" si="381"/>
        <v>0</v>
      </c>
      <c r="AL326" s="209"/>
      <c r="AM326" s="209"/>
    </row>
    <row r="327" spans="1:39" s="80" customFormat="1">
      <c r="A327" s="240" t="s">
        <v>156</v>
      </c>
      <c r="B327" s="240" t="s">
        <v>53</v>
      </c>
      <c r="C327" s="829">
        <f>IF(U332&gt;0,(U327/U332),0)</f>
        <v>0.45012626262626265</v>
      </c>
      <c r="D327" s="830">
        <f t="shared" ref="D327:S327" si="382">IF(V332&gt;0,(V327/V332),0)</f>
        <v>0.37686567164179102</v>
      </c>
      <c r="E327" s="830">
        <f t="shared" si="382"/>
        <v>0.36090727151434288</v>
      </c>
      <c r="F327" s="830">
        <f t="shared" si="382"/>
        <v>0.29618320610687021</v>
      </c>
      <c r="G327" s="830">
        <f t="shared" si="382"/>
        <v>0.27686472819216185</v>
      </c>
      <c r="H327" s="830">
        <f t="shared" si="382"/>
        <v>0</v>
      </c>
      <c r="I327" s="829">
        <f t="shared" si="382"/>
        <v>0.36939808738046126</v>
      </c>
      <c r="J327" s="829">
        <f t="shared" si="382"/>
        <v>0</v>
      </c>
      <c r="K327" s="830">
        <f t="shared" si="382"/>
        <v>0.29415384615384615</v>
      </c>
      <c r="L327" s="830">
        <f t="shared" si="382"/>
        <v>0.13390928725701945</v>
      </c>
      <c r="M327" s="830">
        <f t="shared" si="382"/>
        <v>0.16666666666666666</v>
      </c>
      <c r="N327" s="830">
        <f t="shared" si="382"/>
        <v>0</v>
      </c>
      <c r="O327" s="829">
        <f t="shared" si="382"/>
        <v>0.25655430711610488</v>
      </c>
      <c r="P327" s="829">
        <f t="shared" si="382"/>
        <v>0</v>
      </c>
      <c r="Q327" s="830">
        <f t="shared" si="382"/>
        <v>0</v>
      </c>
      <c r="R327" s="831">
        <f t="shared" si="382"/>
        <v>0</v>
      </c>
      <c r="S327" s="829">
        <f t="shared" si="382"/>
        <v>0</v>
      </c>
      <c r="T327" s="213"/>
      <c r="U327" s="858">
        <v>713</v>
      </c>
      <c r="V327" s="858">
        <v>303</v>
      </c>
      <c r="W327" s="858">
        <v>541</v>
      </c>
      <c r="X327" s="858">
        <v>194</v>
      </c>
      <c r="Y327" s="858">
        <v>219</v>
      </c>
      <c r="Z327" s="858"/>
      <c r="AA327" s="857">
        <v>1970</v>
      </c>
      <c r="AB327" s="857"/>
      <c r="AC327" s="858">
        <v>478</v>
      </c>
      <c r="AD327" s="858">
        <v>62</v>
      </c>
      <c r="AE327" s="858">
        <v>8</v>
      </c>
      <c r="AF327" s="858"/>
      <c r="AG327" s="857">
        <v>548</v>
      </c>
      <c r="AH327" s="861">
        <f t="shared" ref="AH327:AK327" si="383">AH333+AH339+AH345+AH351+AH357+AH363+AH369+AH375+AH381+AH387+AH393+AH399+AH405</f>
        <v>0</v>
      </c>
      <c r="AI327" s="862">
        <f t="shared" si="383"/>
        <v>0</v>
      </c>
      <c r="AJ327" s="869">
        <f t="shared" si="383"/>
        <v>0</v>
      </c>
      <c r="AK327" s="861">
        <f t="shared" si="383"/>
        <v>0</v>
      </c>
      <c r="AL327" s="209"/>
      <c r="AM327" s="209"/>
    </row>
    <row r="328" spans="1:39" s="80" customFormat="1">
      <c r="A328" s="239"/>
      <c r="B328" s="239" t="s">
        <v>93</v>
      </c>
      <c r="C328" s="832">
        <f>IF(U332&gt;0,(U328/U332),0)</f>
        <v>0.27714646464646464</v>
      </c>
      <c r="D328" s="830">
        <f t="shared" ref="D328:S328" si="384">IF(V332&gt;0,(V328/V332),0)</f>
        <v>0.26243781094527363</v>
      </c>
      <c r="E328" s="830">
        <f t="shared" si="384"/>
        <v>0.29019346230820547</v>
      </c>
      <c r="F328" s="830">
        <f t="shared" si="384"/>
        <v>0.35877862595419846</v>
      </c>
      <c r="G328" s="830">
        <f t="shared" si="384"/>
        <v>0.32490518331226298</v>
      </c>
      <c r="H328" s="830">
        <f t="shared" si="384"/>
        <v>0</v>
      </c>
      <c r="I328" s="832">
        <f t="shared" si="384"/>
        <v>0.29570598162385148</v>
      </c>
      <c r="J328" s="832">
        <f t="shared" si="384"/>
        <v>0</v>
      </c>
      <c r="K328" s="830">
        <f t="shared" si="384"/>
        <v>0.24246153846153845</v>
      </c>
      <c r="L328" s="830">
        <f t="shared" si="384"/>
        <v>0.17494600431965443</v>
      </c>
      <c r="M328" s="830">
        <f t="shared" si="384"/>
        <v>0.29166666666666669</v>
      </c>
      <c r="N328" s="830">
        <f t="shared" si="384"/>
        <v>0</v>
      </c>
      <c r="O328" s="832">
        <f t="shared" si="384"/>
        <v>0.22893258426966293</v>
      </c>
      <c r="P328" s="832">
        <f t="shared" si="384"/>
        <v>0</v>
      </c>
      <c r="Q328" s="830">
        <f t="shared" si="384"/>
        <v>0</v>
      </c>
      <c r="R328" s="833">
        <f t="shared" si="384"/>
        <v>0</v>
      </c>
      <c r="S328" s="832">
        <f t="shared" si="384"/>
        <v>0</v>
      </c>
      <c r="T328" s="213"/>
      <c r="U328" s="858">
        <v>439</v>
      </c>
      <c r="V328" s="858">
        <v>211</v>
      </c>
      <c r="W328" s="858">
        <v>435</v>
      </c>
      <c r="X328" s="858">
        <v>235</v>
      </c>
      <c r="Y328" s="858">
        <v>257</v>
      </c>
      <c r="Z328" s="858"/>
      <c r="AA328" s="859">
        <v>1577</v>
      </c>
      <c r="AB328" s="859"/>
      <c r="AC328" s="858">
        <v>394</v>
      </c>
      <c r="AD328" s="858">
        <v>81</v>
      </c>
      <c r="AE328" s="858">
        <v>14</v>
      </c>
      <c r="AF328" s="858"/>
      <c r="AG328" s="859">
        <v>489</v>
      </c>
      <c r="AH328" s="863">
        <f t="shared" ref="AH328:AK328" si="385">AH334+AH340+AH346+AH352+AH358+AH364+AH370+AH376+AH382+AH388+AH394+AH400+AH406</f>
        <v>0</v>
      </c>
      <c r="AI328" s="862">
        <f t="shared" si="385"/>
        <v>0</v>
      </c>
      <c r="AJ328" s="870">
        <f t="shared" si="385"/>
        <v>0</v>
      </c>
      <c r="AK328" s="863">
        <f t="shared" si="385"/>
        <v>0</v>
      </c>
      <c r="AL328" s="209"/>
      <c r="AM328" s="209"/>
    </row>
    <row r="329" spans="1:39" s="80" customFormat="1">
      <c r="A329" s="239"/>
      <c r="B329" s="239" t="s">
        <v>55</v>
      </c>
      <c r="C329" s="832">
        <f>IF(U332&gt;0,(U329/U332),0)</f>
        <v>0.1736111111111111</v>
      </c>
      <c r="D329" s="830">
        <f t="shared" ref="D329:S329" si="386">IF(V332&gt;0,(V329/V332),0)</f>
        <v>0.14676616915422885</v>
      </c>
      <c r="E329" s="830">
        <f t="shared" si="386"/>
        <v>0.31621080720480321</v>
      </c>
      <c r="F329" s="830">
        <f t="shared" si="386"/>
        <v>0.30381679389312977</v>
      </c>
      <c r="G329" s="830">
        <f t="shared" si="386"/>
        <v>0.38938053097345132</v>
      </c>
      <c r="H329" s="830">
        <f t="shared" si="386"/>
        <v>0</v>
      </c>
      <c r="I329" s="832">
        <f t="shared" si="386"/>
        <v>0.25764110256891054</v>
      </c>
      <c r="J329" s="832">
        <f t="shared" si="386"/>
        <v>0</v>
      </c>
      <c r="K329" s="830">
        <f t="shared" si="386"/>
        <v>0.28553846153846152</v>
      </c>
      <c r="L329" s="830">
        <f t="shared" si="386"/>
        <v>0.42764578833693306</v>
      </c>
      <c r="M329" s="830">
        <f t="shared" si="386"/>
        <v>0.45833333333333331</v>
      </c>
      <c r="N329" s="830">
        <f t="shared" si="386"/>
        <v>0</v>
      </c>
      <c r="O329" s="832">
        <f t="shared" si="386"/>
        <v>0.3202247191011236</v>
      </c>
      <c r="P329" s="832">
        <f t="shared" si="386"/>
        <v>0</v>
      </c>
      <c r="Q329" s="830">
        <f t="shared" si="386"/>
        <v>0</v>
      </c>
      <c r="R329" s="833">
        <f t="shared" si="386"/>
        <v>0</v>
      </c>
      <c r="S329" s="832">
        <f t="shared" si="386"/>
        <v>0</v>
      </c>
      <c r="T329" s="213"/>
      <c r="U329" s="858">
        <v>275</v>
      </c>
      <c r="V329" s="858">
        <v>118</v>
      </c>
      <c r="W329" s="858">
        <v>474</v>
      </c>
      <c r="X329" s="858">
        <v>199</v>
      </c>
      <c r="Y329" s="858">
        <v>308</v>
      </c>
      <c r="Z329" s="858"/>
      <c r="AA329" s="859">
        <v>1374</v>
      </c>
      <c r="AB329" s="859"/>
      <c r="AC329" s="858">
        <v>464</v>
      </c>
      <c r="AD329" s="858">
        <v>198</v>
      </c>
      <c r="AE329" s="858">
        <v>22</v>
      </c>
      <c r="AF329" s="858"/>
      <c r="AG329" s="859">
        <v>684</v>
      </c>
      <c r="AH329" s="863">
        <f t="shared" ref="AH329:AK329" si="387">AH335+AH341+AH347+AH353+AH359+AH365+AH371+AH377+AH383+AH389+AH395+AH401+AH407</f>
        <v>0</v>
      </c>
      <c r="AI329" s="862">
        <f t="shared" si="387"/>
        <v>0</v>
      </c>
      <c r="AJ329" s="870">
        <f t="shared" si="387"/>
        <v>0</v>
      </c>
      <c r="AK329" s="863">
        <f t="shared" si="387"/>
        <v>0</v>
      </c>
      <c r="AL329" s="209"/>
      <c r="AM329" s="209"/>
    </row>
    <row r="330" spans="1:39" s="80" customFormat="1">
      <c r="A330" s="239"/>
      <c r="B330" s="239" t="s">
        <v>78</v>
      </c>
      <c r="C330" s="832">
        <f>IF(U332&gt;0,(U330/U332),0)</f>
        <v>7.3232323232323232E-2</v>
      </c>
      <c r="D330" s="830">
        <f t="shared" ref="D330:S330" si="388">IF(V332&gt;0,(V330/V332),0)</f>
        <v>8.45771144278607E-2</v>
      </c>
      <c r="E330" s="830">
        <f t="shared" si="388"/>
        <v>3.2688458972648431E-2</v>
      </c>
      <c r="F330" s="830">
        <f t="shared" si="388"/>
        <v>3.0534351145038167E-2</v>
      </c>
      <c r="G330" s="830">
        <f t="shared" si="388"/>
        <v>2.5284450063211127E-3</v>
      </c>
      <c r="H330" s="830">
        <f t="shared" si="388"/>
        <v>0</v>
      </c>
      <c r="I330" s="832">
        <f t="shared" si="388"/>
        <v>4.7815488468029251E-2</v>
      </c>
      <c r="J330" s="832">
        <f t="shared" si="388"/>
        <v>0</v>
      </c>
      <c r="K330" s="830">
        <f t="shared" si="388"/>
        <v>0.14830769230769231</v>
      </c>
      <c r="L330" s="830">
        <f t="shared" si="388"/>
        <v>0.2224622030237581</v>
      </c>
      <c r="M330" s="830">
        <f t="shared" si="388"/>
        <v>6.25E-2</v>
      </c>
      <c r="N330" s="830">
        <f t="shared" si="388"/>
        <v>0</v>
      </c>
      <c r="O330" s="832">
        <f t="shared" si="388"/>
        <v>0.16245318352059926</v>
      </c>
      <c r="P330" s="832">
        <f t="shared" si="388"/>
        <v>0</v>
      </c>
      <c r="Q330" s="830">
        <f t="shared" si="388"/>
        <v>0</v>
      </c>
      <c r="R330" s="833">
        <f t="shared" si="388"/>
        <v>0</v>
      </c>
      <c r="S330" s="832">
        <f t="shared" si="388"/>
        <v>0</v>
      </c>
      <c r="T330" s="213"/>
      <c r="U330" s="858">
        <v>116</v>
      </c>
      <c r="V330" s="858">
        <v>68</v>
      </c>
      <c r="W330" s="858">
        <v>49</v>
      </c>
      <c r="X330" s="858">
        <v>20</v>
      </c>
      <c r="Y330" s="858">
        <v>2</v>
      </c>
      <c r="Z330" s="858"/>
      <c r="AA330" s="859">
        <v>255</v>
      </c>
      <c r="AB330" s="859"/>
      <c r="AC330" s="858">
        <v>241</v>
      </c>
      <c r="AD330" s="858">
        <v>103</v>
      </c>
      <c r="AE330" s="858">
        <v>3</v>
      </c>
      <c r="AF330" s="858"/>
      <c r="AG330" s="859">
        <v>347</v>
      </c>
      <c r="AH330" s="863">
        <f t="shared" ref="AH330:AK330" si="389">AH336+AH342+AH348+AH354+AH360+AH366+AH372+AH378+AH384+AH390+AH396+AH402+AH408</f>
        <v>0</v>
      </c>
      <c r="AI330" s="862">
        <f t="shared" si="389"/>
        <v>0</v>
      </c>
      <c r="AJ330" s="870">
        <f t="shared" si="389"/>
        <v>0</v>
      </c>
      <c r="AK330" s="863">
        <f t="shared" si="389"/>
        <v>0</v>
      </c>
      <c r="AL330" s="209"/>
      <c r="AM330" s="209"/>
    </row>
    <row r="331" spans="1:39" s="80" customFormat="1">
      <c r="A331" s="580"/>
      <c r="B331" s="580" t="s">
        <v>131</v>
      </c>
      <c r="C331" s="832">
        <f>IF(U332&gt;0,(U331/U332),0)</f>
        <v>2.5883838383838384E-2</v>
      </c>
      <c r="D331" s="830">
        <f t="shared" ref="D331:S331" si="390">IF(V332&gt;0,(V331/V332),0)</f>
        <v>0.12935323383084577</v>
      </c>
      <c r="E331" s="830">
        <f t="shared" si="390"/>
        <v>0</v>
      </c>
      <c r="F331" s="830">
        <f t="shared" si="390"/>
        <v>1.0687022900763359E-2</v>
      </c>
      <c r="G331" s="830">
        <f t="shared" si="390"/>
        <v>6.321112515802781E-3</v>
      </c>
      <c r="H331" s="830">
        <f t="shared" si="390"/>
        <v>0</v>
      </c>
      <c r="I331" s="832">
        <f t="shared" si="390"/>
        <v>2.943933995874742E-2</v>
      </c>
      <c r="J331" s="832">
        <f t="shared" si="390"/>
        <v>0</v>
      </c>
      <c r="K331" s="830">
        <f t="shared" si="390"/>
        <v>2.9538461538461538E-2</v>
      </c>
      <c r="L331" s="830">
        <f t="shared" si="390"/>
        <v>4.1036717062634988E-2</v>
      </c>
      <c r="M331" s="830">
        <f t="shared" si="390"/>
        <v>2.0833333333333332E-2</v>
      </c>
      <c r="N331" s="830">
        <f t="shared" si="390"/>
        <v>0</v>
      </c>
      <c r="O331" s="832">
        <f t="shared" si="390"/>
        <v>3.1835205992509365E-2</v>
      </c>
      <c r="P331" s="832">
        <f t="shared" si="390"/>
        <v>0</v>
      </c>
      <c r="Q331" s="830">
        <f t="shared" si="390"/>
        <v>0</v>
      </c>
      <c r="R331" s="833">
        <f t="shared" si="390"/>
        <v>0</v>
      </c>
      <c r="S331" s="832">
        <f t="shared" si="390"/>
        <v>0</v>
      </c>
      <c r="T331" s="213"/>
      <c r="U331" s="858">
        <v>41</v>
      </c>
      <c r="V331" s="858">
        <v>104</v>
      </c>
      <c r="W331" s="858"/>
      <c r="X331" s="858">
        <v>7</v>
      </c>
      <c r="Y331" s="858">
        <v>5</v>
      </c>
      <c r="Z331" s="858"/>
      <c r="AA331" s="859">
        <v>157</v>
      </c>
      <c r="AB331" s="859"/>
      <c r="AC331" s="858">
        <v>48</v>
      </c>
      <c r="AD331" s="858">
        <v>19</v>
      </c>
      <c r="AE331" s="858">
        <v>1</v>
      </c>
      <c r="AF331" s="858"/>
      <c r="AG331" s="859">
        <v>68</v>
      </c>
      <c r="AH331" s="863">
        <f t="shared" ref="AH331:AK331" si="391">AH337+AH343+AH349+AH355+AH361+AH367+AH373+AH379+AH385+AH391+AH397+AH403+AH409</f>
        <v>0</v>
      </c>
      <c r="AI331" s="862">
        <f t="shared" si="391"/>
        <v>0</v>
      </c>
      <c r="AJ331" s="870">
        <f t="shared" si="391"/>
        <v>0</v>
      </c>
      <c r="AK331" s="863">
        <f t="shared" si="391"/>
        <v>0</v>
      </c>
      <c r="AL331" s="209"/>
      <c r="AM331" s="209"/>
    </row>
    <row r="332" spans="1:39" s="80" customFormat="1">
      <c r="A332" s="436"/>
      <c r="B332" s="436" t="s">
        <v>59</v>
      </c>
      <c r="C332" s="834">
        <f>IF(U332&gt;0,(U332/U332),0)</f>
        <v>1</v>
      </c>
      <c r="D332" s="835">
        <f t="shared" ref="D332:S332" si="392">IF(V332&gt;0,(V332/V332),0)</f>
        <v>1</v>
      </c>
      <c r="E332" s="835">
        <f t="shared" si="392"/>
        <v>1</v>
      </c>
      <c r="F332" s="835">
        <f t="shared" si="392"/>
        <v>1</v>
      </c>
      <c r="G332" s="835">
        <f t="shared" si="392"/>
        <v>1</v>
      </c>
      <c r="H332" s="835">
        <f t="shared" si="392"/>
        <v>0</v>
      </c>
      <c r="I332" s="834">
        <f t="shared" si="392"/>
        <v>1</v>
      </c>
      <c r="J332" s="834">
        <f t="shared" si="392"/>
        <v>0</v>
      </c>
      <c r="K332" s="835">
        <f t="shared" si="392"/>
        <v>1</v>
      </c>
      <c r="L332" s="835">
        <f t="shared" si="392"/>
        <v>1</v>
      </c>
      <c r="M332" s="835">
        <f t="shared" si="392"/>
        <v>1</v>
      </c>
      <c r="N332" s="835">
        <f t="shared" si="392"/>
        <v>0</v>
      </c>
      <c r="O332" s="834">
        <f t="shared" si="392"/>
        <v>1</v>
      </c>
      <c r="P332" s="834">
        <f t="shared" si="392"/>
        <v>0</v>
      </c>
      <c r="Q332" s="835">
        <f t="shared" si="392"/>
        <v>0</v>
      </c>
      <c r="R332" s="836">
        <f t="shared" si="392"/>
        <v>0</v>
      </c>
      <c r="S332" s="834">
        <f t="shared" si="392"/>
        <v>0</v>
      </c>
      <c r="T332" s="213"/>
      <c r="U332" s="871">
        <v>1584</v>
      </c>
      <c r="V332" s="871">
        <v>804</v>
      </c>
      <c r="W332" s="871">
        <v>1499</v>
      </c>
      <c r="X332" s="871">
        <v>655</v>
      </c>
      <c r="Y332" s="871">
        <v>791</v>
      </c>
      <c r="Z332" s="871"/>
      <c r="AA332" s="864">
        <v>5333</v>
      </c>
      <c r="AB332" s="864"/>
      <c r="AC332" s="871">
        <v>1625</v>
      </c>
      <c r="AD332" s="871">
        <v>463</v>
      </c>
      <c r="AE332" s="871">
        <v>48</v>
      </c>
      <c r="AF332" s="871"/>
      <c r="AG332" s="864">
        <v>2136</v>
      </c>
      <c r="AH332" s="872">
        <f t="shared" ref="AH332:AK332" si="393">AH338+AH344+AH350+AH356+AH362+AH368+AH374+AH380+AH386+AH392+AH398+AH404+AH410</f>
        <v>0</v>
      </c>
      <c r="AI332" s="873">
        <f t="shared" si="393"/>
        <v>0</v>
      </c>
      <c r="AJ332" s="874">
        <f t="shared" si="393"/>
        <v>0</v>
      </c>
      <c r="AK332" s="872">
        <f t="shared" si="393"/>
        <v>0</v>
      </c>
      <c r="AL332" s="209"/>
      <c r="AM332" s="209"/>
    </row>
    <row r="333" spans="1:39" s="80" customFormat="1">
      <c r="A333" s="240" t="s">
        <v>159</v>
      </c>
      <c r="B333" s="240" t="s">
        <v>53</v>
      </c>
      <c r="C333" s="829">
        <f>IF(U338&gt;0,(U333/U338),0)</f>
        <v>0.34249329758713137</v>
      </c>
      <c r="D333" s="830">
        <f t="shared" ref="D333:S333" si="394">IF(V338&gt;0,(V333/V338),0)</f>
        <v>0</v>
      </c>
      <c r="E333" s="830">
        <f t="shared" si="394"/>
        <v>0.30849262037261072</v>
      </c>
      <c r="F333" s="830">
        <f t="shared" si="394"/>
        <v>0.31336805555555558</v>
      </c>
      <c r="G333" s="830">
        <f t="shared" si="394"/>
        <v>0.24533001245330013</v>
      </c>
      <c r="H333" s="830">
        <f t="shared" si="394"/>
        <v>0.23311258278145697</v>
      </c>
      <c r="I333" s="829">
        <f t="shared" si="394"/>
        <v>0.29898989898989897</v>
      </c>
      <c r="J333" s="829">
        <f t="shared" si="394"/>
        <v>0</v>
      </c>
      <c r="K333" s="830">
        <f t="shared" si="394"/>
        <v>0.29689042448173741</v>
      </c>
      <c r="L333" s="830">
        <f t="shared" si="394"/>
        <v>0.32061068702290074</v>
      </c>
      <c r="M333" s="830">
        <f t="shared" si="394"/>
        <v>0.21484375</v>
      </c>
      <c r="N333" s="830">
        <f t="shared" si="394"/>
        <v>0</v>
      </c>
      <c r="O333" s="829">
        <f t="shared" si="394"/>
        <v>0.29965986394557825</v>
      </c>
      <c r="P333" s="829">
        <f t="shared" si="394"/>
        <v>0</v>
      </c>
      <c r="Q333" s="830">
        <f t="shared" si="394"/>
        <v>0</v>
      </c>
      <c r="R333" s="831">
        <f t="shared" si="394"/>
        <v>0</v>
      </c>
      <c r="S333" s="829">
        <f t="shared" si="394"/>
        <v>0</v>
      </c>
      <c r="T333" s="213"/>
      <c r="U333" s="858">
        <v>1022</v>
      </c>
      <c r="V333" s="858"/>
      <c r="W333" s="858">
        <v>1275</v>
      </c>
      <c r="X333" s="858">
        <v>361</v>
      </c>
      <c r="Y333" s="858">
        <v>394</v>
      </c>
      <c r="Z333" s="858">
        <v>352</v>
      </c>
      <c r="AA333" s="857">
        <v>3404</v>
      </c>
      <c r="AB333" s="857"/>
      <c r="AC333" s="858">
        <v>1203</v>
      </c>
      <c r="AD333" s="858">
        <v>504</v>
      </c>
      <c r="AE333" s="858">
        <v>55</v>
      </c>
      <c r="AF333" s="858"/>
      <c r="AG333" s="857">
        <v>1762</v>
      </c>
      <c r="AH333" s="861">
        <f t="shared" ref="AH333:AK333" si="395">AH339+AH345+AH351+AH357+AH363+AH369+AH375+AH381+AH387+AH393+AH399+AH405+AH411</f>
        <v>0</v>
      </c>
      <c r="AI333" s="862">
        <f t="shared" si="395"/>
        <v>0</v>
      </c>
      <c r="AJ333" s="869">
        <f t="shared" si="395"/>
        <v>0</v>
      </c>
      <c r="AK333" s="861">
        <f t="shared" si="395"/>
        <v>0</v>
      </c>
      <c r="AL333" s="209"/>
      <c r="AM333" s="209"/>
    </row>
    <row r="334" spans="1:39" s="80" customFormat="1">
      <c r="A334" s="239"/>
      <c r="B334" s="239" t="s">
        <v>93</v>
      </c>
      <c r="C334" s="832">
        <f>IF(U338&gt;0,(U334/U338),0)</f>
        <v>0.29993297587131368</v>
      </c>
      <c r="D334" s="830">
        <f t="shared" ref="D334:S334" si="396">IF(V338&gt;0,(V334/V338),0)</f>
        <v>0</v>
      </c>
      <c r="E334" s="830">
        <f t="shared" si="396"/>
        <v>0.28962013065569803</v>
      </c>
      <c r="F334" s="830">
        <f t="shared" si="396"/>
        <v>0.2890625</v>
      </c>
      <c r="G334" s="830">
        <f t="shared" si="396"/>
        <v>0.33001245330012452</v>
      </c>
      <c r="H334" s="830">
        <f t="shared" si="396"/>
        <v>0.22781456953642384</v>
      </c>
      <c r="I334" s="832">
        <f t="shared" si="396"/>
        <v>0.28976723759332457</v>
      </c>
      <c r="J334" s="832">
        <f t="shared" si="396"/>
        <v>0</v>
      </c>
      <c r="K334" s="830">
        <f t="shared" si="396"/>
        <v>0.19422507403751235</v>
      </c>
      <c r="L334" s="830">
        <f t="shared" si="396"/>
        <v>0.20356234096692111</v>
      </c>
      <c r="M334" s="830">
        <f t="shared" si="396"/>
        <v>0.24609375</v>
      </c>
      <c r="N334" s="830">
        <f t="shared" si="396"/>
        <v>0</v>
      </c>
      <c r="O334" s="832">
        <f t="shared" si="396"/>
        <v>0.19897959183673469</v>
      </c>
      <c r="P334" s="832">
        <f t="shared" si="396"/>
        <v>0</v>
      </c>
      <c r="Q334" s="830">
        <f t="shared" si="396"/>
        <v>0</v>
      </c>
      <c r="R334" s="833">
        <f t="shared" si="396"/>
        <v>0</v>
      </c>
      <c r="S334" s="832">
        <f t="shared" si="396"/>
        <v>0</v>
      </c>
      <c r="T334" s="213"/>
      <c r="U334" s="858">
        <v>895</v>
      </c>
      <c r="V334" s="858"/>
      <c r="W334" s="858">
        <v>1197</v>
      </c>
      <c r="X334" s="858">
        <v>333</v>
      </c>
      <c r="Y334" s="858">
        <v>530</v>
      </c>
      <c r="Z334" s="858">
        <v>344</v>
      </c>
      <c r="AA334" s="859">
        <v>3299</v>
      </c>
      <c r="AB334" s="859"/>
      <c r="AC334" s="858">
        <v>787</v>
      </c>
      <c r="AD334" s="858">
        <v>320</v>
      </c>
      <c r="AE334" s="858">
        <v>63</v>
      </c>
      <c r="AF334" s="858"/>
      <c r="AG334" s="859">
        <v>1170</v>
      </c>
      <c r="AH334" s="863">
        <f t="shared" ref="AH334:AK334" si="397">AH340+AH346+AH352+AH358+AH364+AH370+AH376+AH382+AH388+AH394+AH400+AH406+AH412</f>
        <v>0</v>
      </c>
      <c r="AI334" s="862">
        <f t="shared" si="397"/>
        <v>0</v>
      </c>
      <c r="AJ334" s="870">
        <f t="shared" si="397"/>
        <v>0</v>
      </c>
      <c r="AK334" s="863">
        <f t="shared" si="397"/>
        <v>0</v>
      </c>
      <c r="AL334" s="209"/>
      <c r="AM334" s="209"/>
    </row>
    <row r="335" spans="1:39" s="80" customFormat="1">
      <c r="A335" s="239"/>
      <c r="B335" s="239" t="s">
        <v>55</v>
      </c>
      <c r="C335" s="832">
        <f>IF(U338&gt;0,(U335/U338),0)</f>
        <v>0.28016085790884721</v>
      </c>
      <c r="D335" s="830">
        <f t="shared" ref="D335:S335" si="398">IF(V338&gt;0,(V335/V338),0)</f>
        <v>0</v>
      </c>
      <c r="E335" s="830">
        <f t="shared" si="398"/>
        <v>0.28550689571739657</v>
      </c>
      <c r="F335" s="830">
        <f t="shared" si="398"/>
        <v>0.33333333333333331</v>
      </c>
      <c r="G335" s="830">
        <f t="shared" si="398"/>
        <v>0.3107098381070984</v>
      </c>
      <c r="H335" s="830">
        <f t="shared" si="398"/>
        <v>0.39072847682119205</v>
      </c>
      <c r="I335" s="832">
        <f t="shared" si="398"/>
        <v>0.30645586297760213</v>
      </c>
      <c r="J335" s="832">
        <f t="shared" si="398"/>
        <v>0</v>
      </c>
      <c r="K335" s="830">
        <f t="shared" si="398"/>
        <v>0.30330700888450146</v>
      </c>
      <c r="L335" s="830">
        <f t="shared" si="398"/>
        <v>0.2741730279898219</v>
      </c>
      <c r="M335" s="830">
        <f t="shared" si="398"/>
        <v>0.26171875</v>
      </c>
      <c r="N335" s="830">
        <f t="shared" si="398"/>
        <v>0</v>
      </c>
      <c r="O335" s="832">
        <f t="shared" si="398"/>
        <v>0.29370748299319727</v>
      </c>
      <c r="P335" s="832">
        <f t="shared" si="398"/>
        <v>0</v>
      </c>
      <c r="Q335" s="830">
        <f t="shared" si="398"/>
        <v>0</v>
      </c>
      <c r="R335" s="833">
        <f t="shared" si="398"/>
        <v>0</v>
      </c>
      <c r="S335" s="832">
        <f t="shared" si="398"/>
        <v>0</v>
      </c>
      <c r="T335" s="213"/>
      <c r="U335" s="858">
        <v>836</v>
      </c>
      <c r="V335" s="858"/>
      <c r="W335" s="858">
        <v>1180</v>
      </c>
      <c r="X335" s="858">
        <v>384</v>
      </c>
      <c r="Y335" s="858">
        <v>499</v>
      </c>
      <c r="Z335" s="858">
        <v>590</v>
      </c>
      <c r="AA335" s="859">
        <v>3489</v>
      </c>
      <c r="AB335" s="859"/>
      <c r="AC335" s="858">
        <v>1229</v>
      </c>
      <c r="AD335" s="858">
        <v>431</v>
      </c>
      <c r="AE335" s="858">
        <v>67</v>
      </c>
      <c r="AF335" s="858"/>
      <c r="AG335" s="859">
        <v>1727</v>
      </c>
      <c r="AH335" s="863">
        <f t="shared" ref="AH335:AK335" si="399">AH341+AH347+AH353+AH359+AH365+AH371+AH377+AH383+AH389+AH395+AH401+AH407+AH413</f>
        <v>0</v>
      </c>
      <c r="AI335" s="862">
        <f t="shared" si="399"/>
        <v>0</v>
      </c>
      <c r="AJ335" s="870">
        <f t="shared" si="399"/>
        <v>0</v>
      </c>
      <c r="AK335" s="863">
        <f t="shared" si="399"/>
        <v>0</v>
      </c>
      <c r="AL335" s="209"/>
      <c r="AM335" s="209"/>
    </row>
    <row r="336" spans="1:39" s="80" customFormat="1">
      <c r="A336" s="239"/>
      <c r="B336" s="239" t="s">
        <v>78</v>
      </c>
      <c r="C336" s="832">
        <f>IF(U338&gt;0,(U336/U338),0)</f>
        <v>6.3672922252010723E-3</v>
      </c>
      <c r="D336" s="830">
        <f t="shared" ref="D336:S336" si="400">IF(V338&gt;0,(V336/V338),0)</f>
        <v>0</v>
      </c>
      <c r="E336" s="830">
        <f t="shared" si="400"/>
        <v>2.1292039680619403E-2</v>
      </c>
      <c r="F336" s="830">
        <f t="shared" si="400"/>
        <v>2.34375E-2</v>
      </c>
      <c r="G336" s="830">
        <f t="shared" si="400"/>
        <v>1.4943960149439602E-2</v>
      </c>
      <c r="H336" s="830">
        <f t="shared" si="400"/>
        <v>7.3509933774834432E-2</v>
      </c>
      <c r="I336" s="832">
        <f t="shared" si="400"/>
        <v>2.3627580149319281E-2</v>
      </c>
      <c r="J336" s="832">
        <f t="shared" si="400"/>
        <v>0</v>
      </c>
      <c r="K336" s="830">
        <f t="shared" si="400"/>
        <v>0.13845014807502468</v>
      </c>
      <c r="L336" s="830">
        <f t="shared" si="400"/>
        <v>0.17875318066157761</v>
      </c>
      <c r="M336" s="830">
        <f t="shared" si="400"/>
        <v>0.2734375</v>
      </c>
      <c r="N336" s="830">
        <f t="shared" si="400"/>
        <v>0</v>
      </c>
      <c r="O336" s="832">
        <f t="shared" si="400"/>
        <v>0.15510204081632653</v>
      </c>
      <c r="P336" s="832">
        <f t="shared" si="400"/>
        <v>0</v>
      </c>
      <c r="Q336" s="830">
        <f t="shared" si="400"/>
        <v>0</v>
      </c>
      <c r="R336" s="833">
        <f t="shared" si="400"/>
        <v>0</v>
      </c>
      <c r="S336" s="832">
        <f t="shared" si="400"/>
        <v>0</v>
      </c>
      <c r="T336" s="213"/>
      <c r="U336" s="858">
        <v>19</v>
      </c>
      <c r="V336" s="858"/>
      <c r="W336" s="858">
        <v>88</v>
      </c>
      <c r="X336" s="858">
        <v>27</v>
      </c>
      <c r="Y336" s="858">
        <v>24</v>
      </c>
      <c r="Z336" s="858">
        <v>111</v>
      </c>
      <c r="AA336" s="859">
        <v>269</v>
      </c>
      <c r="AB336" s="859"/>
      <c r="AC336" s="858">
        <v>561</v>
      </c>
      <c r="AD336" s="858">
        <v>281</v>
      </c>
      <c r="AE336" s="858">
        <v>70</v>
      </c>
      <c r="AF336" s="858"/>
      <c r="AG336" s="859">
        <v>912</v>
      </c>
      <c r="AH336" s="863">
        <f t="shared" ref="AH336:AK336" si="401">AH342+AH348+AH354+AH360+AH366+AH372+AH378+AH384+AH390+AH396+AH402+AH408+AH414</f>
        <v>0</v>
      </c>
      <c r="AI336" s="862">
        <f t="shared" si="401"/>
        <v>0</v>
      </c>
      <c r="AJ336" s="870">
        <f t="shared" si="401"/>
        <v>0</v>
      </c>
      <c r="AK336" s="863">
        <f t="shared" si="401"/>
        <v>0</v>
      </c>
      <c r="AL336" s="209"/>
      <c r="AM336" s="209"/>
    </row>
    <row r="337" spans="1:39" s="80" customFormat="1">
      <c r="A337" s="580"/>
      <c r="B337" s="580" t="s">
        <v>131</v>
      </c>
      <c r="C337" s="832">
        <f>IF(U338&gt;0,(U337/U338),0)</f>
        <v>7.1045576407506708E-2</v>
      </c>
      <c r="D337" s="830">
        <f t="shared" ref="D337:S337" si="402">IF(V338&gt;0,(V337/V338),0)</f>
        <v>0</v>
      </c>
      <c r="E337" s="830">
        <f t="shared" si="402"/>
        <v>9.5088313573675295E-2</v>
      </c>
      <c r="F337" s="830">
        <f t="shared" si="402"/>
        <v>4.0798611111111112E-2</v>
      </c>
      <c r="G337" s="830">
        <f t="shared" si="402"/>
        <v>9.9003735990037353E-2</v>
      </c>
      <c r="H337" s="830">
        <f t="shared" si="402"/>
        <v>7.483443708609272E-2</v>
      </c>
      <c r="I337" s="832">
        <f t="shared" si="402"/>
        <v>8.1159420289855067E-2</v>
      </c>
      <c r="J337" s="832">
        <f t="shared" si="402"/>
        <v>0</v>
      </c>
      <c r="K337" s="830">
        <f t="shared" si="402"/>
        <v>6.7127344521224083E-2</v>
      </c>
      <c r="L337" s="830">
        <f t="shared" si="402"/>
        <v>2.2900763358778626E-2</v>
      </c>
      <c r="M337" s="830">
        <f t="shared" si="402"/>
        <v>3.90625E-3</v>
      </c>
      <c r="N337" s="830">
        <f t="shared" si="402"/>
        <v>0</v>
      </c>
      <c r="O337" s="832">
        <f t="shared" si="402"/>
        <v>5.2551020408163264E-2</v>
      </c>
      <c r="P337" s="832">
        <f t="shared" si="402"/>
        <v>0</v>
      </c>
      <c r="Q337" s="830">
        <f t="shared" si="402"/>
        <v>0</v>
      </c>
      <c r="R337" s="833">
        <f t="shared" si="402"/>
        <v>0</v>
      </c>
      <c r="S337" s="832">
        <f t="shared" si="402"/>
        <v>0</v>
      </c>
      <c r="T337" s="213"/>
      <c r="U337" s="858">
        <v>212</v>
      </c>
      <c r="V337" s="858"/>
      <c r="W337" s="858">
        <v>393</v>
      </c>
      <c r="X337" s="858">
        <v>47</v>
      </c>
      <c r="Y337" s="858">
        <v>159</v>
      </c>
      <c r="Z337" s="858">
        <v>113</v>
      </c>
      <c r="AA337" s="859">
        <v>924</v>
      </c>
      <c r="AB337" s="859"/>
      <c r="AC337" s="858">
        <v>272</v>
      </c>
      <c r="AD337" s="858">
        <v>36</v>
      </c>
      <c r="AE337" s="858">
        <v>1</v>
      </c>
      <c r="AF337" s="858"/>
      <c r="AG337" s="859">
        <v>309</v>
      </c>
      <c r="AH337" s="863">
        <f t="shared" ref="AH337:AK337" si="403">AH343+AH349+AH355+AH361+AH367+AH373+AH379+AH385+AH391+AH397+AH403+AH409+AH415</f>
        <v>0</v>
      </c>
      <c r="AI337" s="862">
        <f t="shared" si="403"/>
        <v>0</v>
      </c>
      <c r="AJ337" s="870">
        <f t="shared" si="403"/>
        <v>0</v>
      </c>
      <c r="AK337" s="863">
        <f t="shared" si="403"/>
        <v>0</v>
      </c>
      <c r="AL337" s="209"/>
      <c r="AM337" s="209"/>
    </row>
    <row r="338" spans="1:39" s="80" customFormat="1">
      <c r="A338" s="436"/>
      <c r="B338" s="436" t="s">
        <v>59</v>
      </c>
      <c r="C338" s="834">
        <f>IF(U338&gt;0,(U338/U338),0)</f>
        <v>1</v>
      </c>
      <c r="D338" s="835">
        <f t="shared" ref="D338:S338" si="404">IF(V338&gt;0,(V338/V338),0)</f>
        <v>0</v>
      </c>
      <c r="E338" s="835">
        <f t="shared" si="404"/>
        <v>1</v>
      </c>
      <c r="F338" s="835">
        <f t="shared" si="404"/>
        <v>1</v>
      </c>
      <c r="G338" s="835">
        <f t="shared" si="404"/>
        <v>1</v>
      </c>
      <c r="H338" s="835">
        <f t="shared" si="404"/>
        <v>1</v>
      </c>
      <c r="I338" s="834">
        <f t="shared" si="404"/>
        <v>1</v>
      </c>
      <c r="J338" s="834">
        <f t="shared" si="404"/>
        <v>0</v>
      </c>
      <c r="K338" s="835">
        <f t="shared" si="404"/>
        <v>1</v>
      </c>
      <c r="L338" s="835">
        <f t="shared" si="404"/>
        <v>1</v>
      </c>
      <c r="M338" s="835">
        <f t="shared" si="404"/>
        <v>1</v>
      </c>
      <c r="N338" s="835">
        <f t="shared" si="404"/>
        <v>0</v>
      </c>
      <c r="O338" s="834">
        <f t="shared" si="404"/>
        <v>1</v>
      </c>
      <c r="P338" s="834">
        <f t="shared" si="404"/>
        <v>0</v>
      </c>
      <c r="Q338" s="835">
        <f t="shared" si="404"/>
        <v>0</v>
      </c>
      <c r="R338" s="836">
        <f t="shared" si="404"/>
        <v>0</v>
      </c>
      <c r="S338" s="834">
        <f t="shared" si="404"/>
        <v>0</v>
      </c>
      <c r="T338" s="213"/>
      <c r="U338" s="871">
        <v>2984</v>
      </c>
      <c r="V338" s="871"/>
      <c r="W338" s="871">
        <v>4133</v>
      </c>
      <c r="X338" s="871">
        <v>1152</v>
      </c>
      <c r="Y338" s="871">
        <v>1606</v>
      </c>
      <c r="Z338" s="871">
        <v>1510</v>
      </c>
      <c r="AA338" s="864">
        <v>11385</v>
      </c>
      <c r="AB338" s="864"/>
      <c r="AC338" s="871">
        <v>4052</v>
      </c>
      <c r="AD338" s="871">
        <v>1572</v>
      </c>
      <c r="AE338" s="871">
        <v>256</v>
      </c>
      <c r="AF338" s="871"/>
      <c r="AG338" s="864">
        <v>5880</v>
      </c>
      <c r="AH338" s="872">
        <f t="shared" ref="AH338:AK338" si="405">AH344+AH350+AH356+AH362+AH368+AH374+AH380+AH386+AH392+AH398+AH404+AH410+AH416</f>
        <v>0</v>
      </c>
      <c r="AI338" s="873">
        <f t="shared" si="405"/>
        <v>0</v>
      </c>
      <c r="AJ338" s="874">
        <f t="shared" si="405"/>
        <v>0</v>
      </c>
      <c r="AK338" s="872">
        <f t="shared" si="405"/>
        <v>0</v>
      </c>
      <c r="AL338" s="209"/>
      <c r="AM338" s="209"/>
    </row>
    <row r="339" spans="1:39" s="80" customFormat="1">
      <c r="A339" s="240" t="s">
        <v>162</v>
      </c>
      <c r="B339" s="240" t="s">
        <v>53</v>
      </c>
      <c r="C339" s="829">
        <f>IF(U344&gt;0,(U339/U344),0)</f>
        <v>0.29350455983621815</v>
      </c>
      <c r="D339" s="830">
        <f t="shared" ref="D339:S339" si="406">IF(V344&gt;0,(V339/V344),0)</f>
        <v>0.33491311216429698</v>
      </c>
      <c r="E339" s="830">
        <f t="shared" si="406"/>
        <v>0.26422372227579555</v>
      </c>
      <c r="F339" s="830">
        <f t="shared" si="406"/>
        <v>0.31377551020408162</v>
      </c>
      <c r="G339" s="830">
        <f t="shared" si="406"/>
        <v>0.20817369093231161</v>
      </c>
      <c r="H339" s="830">
        <f t="shared" si="406"/>
        <v>8.4269662921348312E-2</v>
      </c>
      <c r="I339" s="829">
        <f t="shared" si="406"/>
        <v>0.25986869442366822</v>
      </c>
      <c r="J339" s="829">
        <f t="shared" si="406"/>
        <v>0</v>
      </c>
      <c r="K339" s="830">
        <f t="shared" si="406"/>
        <v>0.33442408376963351</v>
      </c>
      <c r="L339" s="830">
        <f t="shared" si="406"/>
        <v>0.26340326340326342</v>
      </c>
      <c r="M339" s="830">
        <f t="shared" si="406"/>
        <v>0.28378378378378377</v>
      </c>
      <c r="N339" s="830">
        <f t="shared" si="406"/>
        <v>0</v>
      </c>
      <c r="O339" s="829">
        <f t="shared" si="406"/>
        <v>0.31638954869358671</v>
      </c>
      <c r="P339" s="829">
        <f t="shared" si="406"/>
        <v>0</v>
      </c>
      <c r="Q339" s="830">
        <f t="shared" si="406"/>
        <v>0</v>
      </c>
      <c r="R339" s="831">
        <f t="shared" si="406"/>
        <v>0</v>
      </c>
      <c r="S339" s="829">
        <f t="shared" si="406"/>
        <v>0</v>
      </c>
      <c r="T339" s="213"/>
      <c r="U339" s="858">
        <v>1577</v>
      </c>
      <c r="V339" s="858">
        <v>212</v>
      </c>
      <c r="W339" s="858">
        <v>548</v>
      </c>
      <c r="X339" s="858">
        <v>492</v>
      </c>
      <c r="Y339" s="858">
        <v>163</v>
      </c>
      <c r="Z339" s="858">
        <v>135</v>
      </c>
      <c r="AA339" s="857">
        <v>3127</v>
      </c>
      <c r="AB339" s="857"/>
      <c r="AC339" s="858">
        <v>511</v>
      </c>
      <c r="AD339" s="858">
        <v>113</v>
      </c>
      <c r="AE339" s="858">
        <v>42</v>
      </c>
      <c r="AF339" s="858"/>
      <c r="AG339" s="857">
        <v>666</v>
      </c>
      <c r="AH339" s="861">
        <f t="shared" ref="AH339:AK339" si="407">AH345+AH351+AH357+AH363+AH369+AH375+AH381+AH387+AH393+AH399+AH405+AH411+AH417</f>
        <v>0</v>
      </c>
      <c r="AI339" s="862">
        <f t="shared" si="407"/>
        <v>0</v>
      </c>
      <c r="AJ339" s="869">
        <f t="shared" si="407"/>
        <v>0</v>
      </c>
      <c r="AK339" s="861">
        <f t="shared" si="407"/>
        <v>0</v>
      </c>
      <c r="AL339" s="209"/>
      <c r="AM339" s="209"/>
    </row>
    <row r="340" spans="1:39" s="80" customFormat="1">
      <c r="A340" s="239"/>
      <c r="B340" s="239" t="s">
        <v>93</v>
      </c>
      <c r="C340" s="832">
        <f>IF(U344&gt;0,(U340/U344),0)</f>
        <v>0.23413363111855573</v>
      </c>
      <c r="D340" s="830">
        <f t="shared" ref="D340:S340" si="408">IF(V344&gt;0,(V340/V344),0)</f>
        <v>0.27962085308056872</v>
      </c>
      <c r="E340" s="830">
        <f t="shared" si="408"/>
        <v>0.27820636451301833</v>
      </c>
      <c r="F340" s="830">
        <f t="shared" si="408"/>
        <v>0.26147959183673469</v>
      </c>
      <c r="G340" s="830">
        <f t="shared" si="408"/>
        <v>0.28863346104725413</v>
      </c>
      <c r="H340" s="830">
        <f t="shared" si="408"/>
        <v>0.29026217228464418</v>
      </c>
      <c r="I340" s="832">
        <f t="shared" si="408"/>
        <v>0.25870522729161471</v>
      </c>
      <c r="J340" s="832">
        <f t="shared" si="408"/>
        <v>0</v>
      </c>
      <c r="K340" s="830">
        <f t="shared" si="408"/>
        <v>0.22120418848167539</v>
      </c>
      <c r="L340" s="830">
        <f t="shared" si="408"/>
        <v>0.22843822843822845</v>
      </c>
      <c r="M340" s="830">
        <f t="shared" si="408"/>
        <v>0.17567567567567569</v>
      </c>
      <c r="N340" s="830">
        <f t="shared" si="408"/>
        <v>0</v>
      </c>
      <c r="O340" s="832">
        <f t="shared" si="408"/>
        <v>0.21947743467933492</v>
      </c>
      <c r="P340" s="832">
        <f t="shared" si="408"/>
        <v>0</v>
      </c>
      <c r="Q340" s="830">
        <f t="shared" si="408"/>
        <v>0</v>
      </c>
      <c r="R340" s="833">
        <f t="shared" si="408"/>
        <v>0</v>
      </c>
      <c r="S340" s="832">
        <f t="shared" si="408"/>
        <v>0</v>
      </c>
      <c r="T340" s="213"/>
      <c r="U340" s="858">
        <v>1258</v>
      </c>
      <c r="V340" s="858">
        <v>177</v>
      </c>
      <c r="W340" s="858">
        <v>577</v>
      </c>
      <c r="X340" s="858">
        <v>410</v>
      </c>
      <c r="Y340" s="858">
        <v>226</v>
      </c>
      <c r="Z340" s="858">
        <v>465</v>
      </c>
      <c r="AA340" s="859">
        <v>3113</v>
      </c>
      <c r="AB340" s="859"/>
      <c r="AC340" s="858">
        <v>338</v>
      </c>
      <c r="AD340" s="858">
        <v>98</v>
      </c>
      <c r="AE340" s="858">
        <v>26</v>
      </c>
      <c r="AF340" s="858"/>
      <c r="AG340" s="859">
        <v>462</v>
      </c>
      <c r="AH340" s="863">
        <f t="shared" ref="AH340:AK340" si="409">AH346+AH352+AH358+AH364+AH370+AH376+AH382+AH388+AH394+AH400+AH406+AH412+AH418</f>
        <v>0</v>
      </c>
      <c r="AI340" s="862">
        <f t="shared" si="409"/>
        <v>0</v>
      </c>
      <c r="AJ340" s="870">
        <f t="shared" si="409"/>
        <v>0</v>
      </c>
      <c r="AK340" s="863">
        <f t="shared" si="409"/>
        <v>0</v>
      </c>
      <c r="AL340" s="209"/>
      <c r="AM340" s="209"/>
    </row>
    <row r="341" spans="1:39" s="80" customFormat="1">
      <c r="A341" s="239"/>
      <c r="B341" s="239" t="s">
        <v>55</v>
      </c>
      <c r="C341" s="832">
        <f>IF(U344&gt;0,(U341/U344),0)</f>
        <v>0.22985296854643589</v>
      </c>
      <c r="D341" s="830">
        <f t="shared" ref="D341:S341" si="410">IF(V344&gt;0,(V341/V344),0)</f>
        <v>0.29857819905213268</v>
      </c>
      <c r="E341" s="830">
        <f t="shared" si="410"/>
        <v>0.3331726133076181</v>
      </c>
      <c r="F341" s="830">
        <f t="shared" si="410"/>
        <v>0.33163265306122447</v>
      </c>
      <c r="G341" s="830">
        <f t="shared" si="410"/>
        <v>0.29118773946360155</v>
      </c>
      <c r="H341" s="830">
        <f t="shared" si="410"/>
        <v>0.28963795255930086</v>
      </c>
      <c r="I341" s="832">
        <f t="shared" si="410"/>
        <v>0.27648965345300425</v>
      </c>
      <c r="J341" s="832">
        <f t="shared" si="410"/>
        <v>0</v>
      </c>
      <c r="K341" s="830">
        <f t="shared" si="410"/>
        <v>0.29057591623036649</v>
      </c>
      <c r="L341" s="830">
        <f t="shared" si="410"/>
        <v>0.29603729603729606</v>
      </c>
      <c r="M341" s="830">
        <f t="shared" si="410"/>
        <v>0.27702702702702703</v>
      </c>
      <c r="N341" s="830">
        <f t="shared" si="410"/>
        <v>0</v>
      </c>
      <c r="O341" s="832">
        <f t="shared" si="410"/>
        <v>0.29073634204275534</v>
      </c>
      <c r="P341" s="832">
        <f t="shared" si="410"/>
        <v>0</v>
      </c>
      <c r="Q341" s="830">
        <f t="shared" si="410"/>
        <v>0</v>
      </c>
      <c r="R341" s="833">
        <f t="shared" si="410"/>
        <v>0</v>
      </c>
      <c r="S341" s="832">
        <f t="shared" si="410"/>
        <v>0</v>
      </c>
      <c r="T341" s="213"/>
      <c r="U341" s="858">
        <v>1235</v>
      </c>
      <c r="V341" s="858">
        <v>189</v>
      </c>
      <c r="W341" s="858">
        <v>691</v>
      </c>
      <c r="X341" s="858">
        <v>520</v>
      </c>
      <c r="Y341" s="858">
        <v>228</v>
      </c>
      <c r="Z341" s="858">
        <v>464</v>
      </c>
      <c r="AA341" s="859">
        <v>3327</v>
      </c>
      <c r="AB341" s="859"/>
      <c r="AC341" s="858">
        <v>444</v>
      </c>
      <c r="AD341" s="858">
        <v>127</v>
      </c>
      <c r="AE341" s="858">
        <v>41</v>
      </c>
      <c r="AF341" s="858"/>
      <c r="AG341" s="859">
        <v>612</v>
      </c>
      <c r="AH341" s="863">
        <f t="shared" ref="AH341:AK341" si="411">AH347+AH353+AH359+AH365+AH371+AH377+AH383+AH389+AH395+AH401+AH407+AH413+AH419</f>
        <v>0</v>
      </c>
      <c r="AI341" s="862">
        <f t="shared" si="411"/>
        <v>0</v>
      </c>
      <c r="AJ341" s="870">
        <f t="shared" si="411"/>
        <v>0</v>
      </c>
      <c r="AK341" s="863">
        <f t="shared" si="411"/>
        <v>0</v>
      </c>
      <c r="AL341" s="209"/>
      <c r="AM341" s="209"/>
    </row>
    <row r="342" spans="1:39" s="80" customFormat="1">
      <c r="A342" s="239"/>
      <c r="B342" s="239" t="s">
        <v>78</v>
      </c>
      <c r="C342" s="832">
        <f>IF(U344&gt;0,(U342/U344),0)</f>
        <v>8.0402010050251257E-2</v>
      </c>
      <c r="D342" s="830">
        <f t="shared" ref="D342:S342" si="412">IF(V344&gt;0,(V342/V344),0)</f>
        <v>8.6887835703001584E-2</v>
      </c>
      <c r="E342" s="830">
        <f t="shared" si="412"/>
        <v>0.12391513982642237</v>
      </c>
      <c r="F342" s="830">
        <f t="shared" si="412"/>
        <v>9.311224489795919E-2</v>
      </c>
      <c r="G342" s="830">
        <f t="shared" si="412"/>
        <v>8.5568326947637288E-2</v>
      </c>
      <c r="H342" s="830">
        <f t="shared" si="412"/>
        <v>0.27840199750312111</v>
      </c>
      <c r="I342" s="832">
        <f t="shared" si="412"/>
        <v>0.11659602759079199</v>
      </c>
      <c r="J342" s="832">
        <f t="shared" si="412"/>
        <v>0</v>
      </c>
      <c r="K342" s="830">
        <f t="shared" si="412"/>
        <v>0.14986910994764399</v>
      </c>
      <c r="L342" s="830">
        <f t="shared" si="412"/>
        <v>0.20279720279720279</v>
      </c>
      <c r="M342" s="830">
        <f t="shared" si="412"/>
        <v>0.26351351351351349</v>
      </c>
      <c r="N342" s="830">
        <f t="shared" si="412"/>
        <v>0</v>
      </c>
      <c r="O342" s="832">
        <f t="shared" si="412"/>
        <v>0.16864608076009502</v>
      </c>
      <c r="P342" s="832">
        <f t="shared" si="412"/>
        <v>0</v>
      </c>
      <c r="Q342" s="830">
        <f t="shared" si="412"/>
        <v>0</v>
      </c>
      <c r="R342" s="833">
        <f t="shared" si="412"/>
        <v>0</v>
      </c>
      <c r="S342" s="832">
        <f t="shared" si="412"/>
        <v>0</v>
      </c>
      <c r="T342" s="213"/>
      <c r="U342" s="858">
        <v>432</v>
      </c>
      <c r="V342" s="858">
        <v>55</v>
      </c>
      <c r="W342" s="858">
        <v>257</v>
      </c>
      <c r="X342" s="858">
        <v>146</v>
      </c>
      <c r="Y342" s="858">
        <v>67</v>
      </c>
      <c r="Z342" s="858">
        <v>446</v>
      </c>
      <c r="AA342" s="859">
        <v>1403</v>
      </c>
      <c r="AB342" s="859"/>
      <c r="AC342" s="858">
        <v>229</v>
      </c>
      <c r="AD342" s="858">
        <v>87</v>
      </c>
      <c r="AE342" s="858">
        <v>39</v>
      </c>
      <c r="AF342" s="858"/>
      <c r="AG342" s="859">
        <v>355</v>
      </c>
      <c r="AH342" s="863">
        <f t="shared" ref="AH342:AK342" si="413">AH348+AH354+AH360+AH366+AH372+AH378+AH384+AH390+AH396+AH402+AH408+AH414+AH420</f>
        <v>0</v>
      </c>
      <c r="AI342" s="862">
        <f t="shared" si="413"/>
        <v>0</v>
      </c>
      <c r="AJ342" s="870">
        <f t="shared" si="413"/>
        <v>0</v>
      </c>
      <c r="AK342" s="863">
        <f t="shared" si="413"/>
        <v>0</v>
      </c>
      <c r="AL342" s="209"/>
      <c r="AM342" s="209"/>
    </row>
    <row r="343" spans="1:39" s="80" customFormat="1">
      <c r="A343" s="580"/>
      <c r="B343" s="580" t="s">
        <v>131</v>
      </c>
      <c r="C343" s="832">
        <f>IF(U344&gt;0,(U343/U344),0)</f>
        <v>0.16210683044853899</v>
      </c>
      <c r="D343" s="830">
        <f t="shared" ref="D343:S343" si="414">IF(V344&gt;0,(V343/V344),0)</f>
        <v>0</v>
      </c>
      <c r="E343" s="830">
        <f t="shared" si="414"/>
        <v>4.8216007714561236E-4</v>
      </c>
      <c r="F343" s="830">
        <f t="shared" si="414"/>
        <v>0</v>
      </c>
      <c r="G343" s="830">
        <f t="shared" si="414"/>
        <v>0.12643678160919541</v>
      </c>
      <c r="H343" s="830">
        <f t="shared" si="414"/>
        <v>5.742821473158552E-2</v>
      </c>
      <c r="I343" s="832">
        <f t="shared" si="414"/>
        <v>8.8340397240920798E-2</v>
      </c>
      <c r="J343" s="832">
        <f t="shared" si="414"/>
        <v>0</v>
      </c>
      <c r="K343" s="830">
        <f t="shared" si="414"/>
        <v>3.9267015706806281E-3</v>
      </c>
      <c r="L343" s="830">
        <f t="shared" si="414"/>
        <v>9.324009324009324E-3</v>
      </c>
      <c r="M343" s="830">
        <f t="shared" si="414"/>
        <v>0</v>
      </c>
      <c r="N343" s="830">
        <f t="shared" si="414"/>
        <v>0</v>
      </c>
      <c r="O343" s="832">
        <f t="shared" si="414"/>
        <v>4.7505938242280287E-3</v>
      </c>
      <c r="P343" s="832">
        <f t="shared" si="414"/>
        <v>0</v>
      </c>
      <c r="Q343" s="830">
        <f t="shared" si="414"/>
        <v>0</v>
      </c>
      <c r="R343" s="833">
        <f t="shared" si="414"/>
        <v>0</v>
      </c>
      <c r="S343" s="832">
        <f t="shared" si="414"/>
        <v>0</v>
      </c>
      <c r="T343" s="213"/>
      <c r="U343" s="858">
        <v>871</v>
      </c>
      <c r="V343" s="858"/>
      <c r="W343" s="858">
        <v>1</v>
      </c>
      <c r="X343" s="858"/>
      <c r="Y343" s="858">
        <v>99</v>
      </c>
      <c r="Z343" s="858">
        <v>92</v>
      </c>
      <c r="AA343" s="859">
        <v>1063</v>
      </c>
      <c r="AB343" s="859"/>
      <c r="AC343" s="858">
        <v>6</v>
      </c>
      <c r="AD343" s="858">
        <v>4</v>
      </c>
      <c r="AE343" s="858"/>
      <c r="AF343" s="858"/>
      <c r="AG343" s="859">
        <v>10</v>
      </c>
      <c r="AH343" s="863">
        <f t="shared" ref="AH343:AK343" si="415">AH349+AH355+AH361+AH367+AH373+AH379+AH385+AH391+AH397+AH403+AH409+AH415+AH421</f>
        <v>0</v>
      </c>
      <c r="AI343" s="862">
        <f t="shared" si="415"/>
        <v>0</v>
      </c>
      <c r="AJ343" s="870">
        <f t="shared" si="415"/>
        <v>0</v>
      </c>
      <c r="AK343" s="863">
        <f t="shared" si="415"/>
        <v>0</v>
      </c>
      <c r="AL343" s="209"/>
      <c r="AM343" s="209"/>
    </row>
    <row r="344" spans="1:39" s="80" customFormat="1">
      <c r="A344" s="436"/>
      <c r="B344" s="436" t="s">
        <v>59</v>
      </c>
      <c r="C344" s="834">
        <f>IF(U344&gt;0,(U344/U344),0)</f>
        <v>1</v>
      </c>
      <c r="D344" s="835">
        <f t="shared" ref="D344:S344" si="416">IF(V344&gt;0,(V344/V344),0)</f>
        <v>1</v>
      </c>
      <c r="E344" s="835">
        <f t="shared" si="416"/>
        <v>1</v>
      </c>
      <c r="F344" s="835">
        <f t="shared" si="416"/>
        <v>1</v>
      </c>
      <c r="G344" s="835">
        <f t="shared" si="416"/>
        <v>1</v>
      </c>
      <c r="H344" s="835">
        <f t="shared" si="416"/>
        <v>1</v>
      </c>
      <c r="I344" s="834">
        <f t="shared" si="416"/>
        <v>1</v>
      </c>
      <c r="J344" s="834">
        <f t="shared" si="416"/>
        <v>0</v>
      </c>
      <c r="K344" s="835">
        <f t="shared" si="416"/>
        <v>1</v>
      </c>
      <c r="L344" s="835">
        <f t="shared" si="416"/>
        <v>1</v>
      </c>
      <c r="M344" s="835">
        <f t="shared" si="416"/>
        <v>1</v>
      </c>
      <c r="N344" s="835">
        <f t="shared" si="416"/>
        <v>0</v>
      </c>
      <c r="O344" s="834">
        <f t="shared" si="416"/>
        <v>1</v>
      </c>
      <c r="P344" s="834">
        <f t="shared" si="416"/>
        <v>0</v>
      </c>
      <c r="Q344" s="835">
        <f t="shared" si="416"/>
        <v>0</v>
      </c>
      <c r="R344" s="836">
        <f t="shared" si="416"/>
        <v>0</v>
      </c>
      <c r="S344" s="834">
        <f t="shared" si="416"/>
        <v>0</v>
      </c>
      <c r="T344" s="213"/>
      <c r="U344" s="871">
        <v>5373</v>
      </c>
      <c r="V344" s="871">
        <v>633</v>
      </c>
      <c r="W344" s="871">
        <v>2074</v>
      </c>
      <c r="X344" s="871">
        <v>1568</v>
      </c>
      <c r="Y344" s="871">
        <v>783</v>
      </c>
      <c r="Z344" s="871">
        <v>1602</v>
      </c>
      <c r="AA344" s="864">
        <v>12033</v>
      </c>
      <c r="AB344" s="864"/>
      <c r="AC344" s="871">
        <v>1528</v>
      </c>
      <c r="AD344" s="871">
        <v>429</v>
      </c>
      <c r="AE344" s="871">
        <v>148</v>
      </c>
      <c r="AF344" s="871"/>
      <c r="AG344" s="864">
        <v>2105</v>
      </c>
      <c r="AH344" s="872">
        <f t="shared" ref="AH344:AK344" si="417">AH350+AH356+AH362+AH368+AH374+AH380+AH386+AH392+AH398+AH404+AH410+AH416+AH422</f>
        <v>0</v>
      </c>
      <c r="AI344" s="873">
        <f t="shared" si="417"/>
        <v>0</v>
      </c>
      <c r="AJ344" s="874">
        <f t="shared" si="417"/>
        <v>0</v>
      </c>
      <c r="AK344" s="872">
        <f t="shared" si="417"/>
        <v>0</v>
      </c>
      <c r="AL344" s="209"/>
      <c r="AM344" s="209"/>
    </row>
    <row r="345" spans="1:39" s="80" customFormat="1">
      <c r="A345" s="240" t="s">
        <v>163</v>
      </c>
      <c r="B345" s="240" t="s">
        <v>53</v>
      </c>
      <c r="C345" s="829">
        <f>IF(U350&gt;0,(U345/U350),0)</f>
        <v>0</v>
      </c>
      <c r="D345" s="830">
        <f t="shared" ref="D345:S345" si="418">IF(V350&gt;0,(V345/V350),0)</f>
        <v>0.48780487804878048</v>
      </c>
      <c r="E345" s="830">
        <f t="shared" si="418"/>
        <v>0</v>
      </c>
      <c r="F345" s="830">
        <f t="shared" si="418"/>
        <v>0.35608308605341249</v>
      </c>
      <c r="G345" s="830">
        <f t="shared" si="418"/>
        <v>0</v>
      </c>
      <c r="H345" s="830">
        <f t="shared" si="418"/>
        <v>0</v>
      </c>
      <c r="I345" s="829">
        <f t="shared" si="418"/>
        <v>0.4448742746615087</v>
      </c>
      <c r="J345" s="829">
        <f t="shared" si="418"/>
        <v>0</v>
      </c>
      <c r="K345" s="830">
        <f t="shared" si="418"/>
        <v>0.42765273311897106</v>
      </c>
      <c r="L345" s="830">
        <f t="shared" si="418"/>
        <v>0</v>
      </c>
      <c r="M345" s="830">
        <f t="shared" si="418"/>
        <v>0</v>
      </c>
      <c r="N345" s="830">
        <f t="shared" si="418"/>
        <v>0</v>
      </c>
      <c r="O345" s="829">
        <f t="shared" si="418"/>
        <v>0.42765273311897106</v>
      </c>
      <c r="P345" s="829">
        <f t="shared" si="418"/>
        <v>0</v>
      </c>
      <c r="Q345" s="830">
        <f t="shared" si="418"/>
        <v>0</v>
      </c>
      <c r="R345" s="831">
        <f t="shared" si="418"/>
        <v>0</v>
      </c>
      <c r="S345" s="829">
        <f t="shared" si="418"/>
        <v>0</v>
      </c>
      <c r="T345" s="213"/>
      <c r="U345" s="858"/>
      <c r="V345" s="858">
        <v>340</v>
      </c>
      <c r="W345" s="858"/>
      <c r="X345" s="858">
        <v>120</v>
      </c>
      <c r="Y345" s="858"/>
      <c r="Z345" s="858"/>
      <c r="AA345" s="857">
        <v>460</v>
      </c>
      <c r="AB345" s="857"/>
      <c r="AC345" s="858">
        <v>133</v>
      </c>
      <c r="AD345" s="858"/>
      <c r="AE345" s="858"/>
      <c r="AF345" s="858"/>
      <c r="AG345" s="857">
        <v>133</v>
      </c>
      <c r="AH345" s="862">
        <f t="shared" ref="AH345:AK345" si="419">AH351+AH357+AH363+AH369+AH375+AH381+AH387+AH393+AH399+AH405+AH411+AH417+AH423</f>
        <v>0</v>
      </c>
      <c r="AI345" s="862">
        <f t="shared" si="419"/>
        <v>0</v>
      </c>
      <c r="AJ345" s="862">
        <f t="shared" si="419"/>
        <v>0</v>
      </c>
      <c r="AK345" s="862">
        <f t="shared" si="419"/>
        <v>0</v>
      </c>
      <c r="AL345" s="209"/>
      <c r="AM345" s="209"/>
    </row>
    <row r="346" spans="1:39" s="80" customFormat="1">
      <c r="A346" s="239"/>
      <c r="B346" s="239" t="s">
        <v>93</v>
      </c>
      <c r="C346" s="832">
        <f>IF(U350&gt;0,(U346/U350),0)</f>
        <v>0</v>
      </c>
      <c r="D346" s="830">
        <f t="shared" ref="D346:S346" si="420">IF(V350&gt;0,(V346/V350),0)</f>
        <v>0.17647058823529413</v>
      </c>
      <c r="E346" s="830">
        <f t="shared" si="420"/>
        <v>0</v>
      </c>
      <c r="F346" s="830">
        <f t="shared" si="420"/>
        <v>0.29673590504451036</v>
      </c>
      <c r="G346" s="830">
        <f t="shared" si="420"/>
        <v>0</v>
      </c>
      <c r="H346" s="830">
        <f t="shared" si="420"/>
        <v>0</v>
      </c>
      <c r="I346" s="832">
        <f t="shared" si="420"/>
        <v>0.21566731141199227</v>
      </c>
      <c r="J346" s="832">
        <f t="shared" si="420"/>
        <v>0</v>
      </c>
      <c r="K346" s="830">
        <f t="shared" si="420"/>
        <v>0.16720257234726688</v>
      </c>
      <c r="L346" s="830">
        <f t="shared" si="420"/>
        <v>0</v>
      </c>
      <c r="M346" s="830">
        <f t="shared" si="420"/>
        <v>0</v>
      </c>
      <c r="N346" s="830">
        <f t="shared" si="420"/>
        <v>0</v>
      </c>
      <c r="O346" s="832">
        <f t="shared" si="420"/>
        <v>0.16720257234726688</v>
      </c>
      <c r="P346" s="832">
        <f t="shared" si="420"/>
        <v>0</v>
      </c>
      <c r="Q346" s="830">
        <f t="shared" si="420"/>
        <v>0</v>
      </c>
      <c r="R346" s="833">
        <f t="shared" si="420"/>
        <v>0</v>
      </c>
      <c r="S346" s="832">
        <f t="shared" si="420"/>
        <v>0</v>
      </c>
      <c r="T346" s="213"/>
      <c r="U346" s="858"/>
      <c r="V346" s="858">
        <v>123</v>
      </c>
      <c r="W346" s="858"/>
      <c r="X346" s="858">
        <v>100</v>
      </c>
      <c r="Y346" s="858"/>
      <c r="Z346" s="858"/>
      <c r="AA346" s="859">
        <v>223</v>
      </c>
      <c r="AB346" s="859"/>
      <c r="AC346" s="858">
        <v>52</v>
      </c>
      <c r="AD346" s="858"/>
      <c r="AE346" s="858"/>
      <c r="AF346" s="858"/>
      <c r="AG346" s="859">
        <v>52</v>
      </c>
      <c r="AH346" s="862">
        <f t="shared" ref="AH346:AK346" si="421">AH352+AH358+AH364+AH370+AH376+AH382+AH388+AH394+AH400+AH406+AH412+AH418+AH424</f>
        <v>0</v>
      </c>
      <c r="AI346" s="862">
        <f t="shared" si="421"/>
        <v>0</v>
      </c>
      <c r="AJ346" s="862">
        <f t="shared" si="421"/>
        <v>0</v>
      </c>
      <c r="AK346" s="862">
        <f t="shared" si="421"/>
        <v>0</v>
      </c>
      <c r="AL346" s="209"/>
      <c r="AM346" s="209"/>
    </row>
    <row r="347" spans="1:39" s="80" customFormat="1">
      <c r="A347" s="239"/>
      <c r="B347" s="239" t="s">
        <v>55</v>
      </c>
      <c r="C347" s="832">
        <f>IF(U350&gt;0,(U347/U350),0)</f>
        <v>0</v>
      </c>
      <c r="D347" s="830">
        <f t="shared" ref="D347:S347" si="422">IF(V350&gt;0,(V347/V350),0)</f>
        <v>0.21377331420373027</v>
      </c>
      <c r="E347" s="830">
        <f t="shared" si="422"/>
        <v>0</v>
      </c>
      <c r="F347" s="830">
        <f t="shared" si="422"/>
        <v>0.31750741839762614</v>
      </c>
      <c r="G347" s="830">
        <f t="shared" si="422"/>
        <v>0</v>
      </c>
      <c r="H347" s="830">
        <f t="shared" si="422"/>
        <v>0</v>
      </c>
      <c r="I347" s="832">
        <f t="shared" si="422"/>
        <v>0.24758220502901354</v>
      </c>
      <c r="J347" s="832">
        <f t="shared" si="422"/>
        <v>0</v>
      </c>
      <c r="K347" s="830">
        <f t="shared" si="422"/>
        <v>0.40514469453376206</v>
      </c>
      <c r="L347" s="830">
        <f t="shared" si="422"/>
        <v>0</v>
      </c>
      <c r="M347" s="830">
        <f t="shared" si="422"/>
        <v>0</v>
      </c>
      <c r="N347" s="830">
        <f t="shared" si="422"/>
        <v>0</v>
      </c>
      <c r="O347" s="832">
        <f t="shared" si="422"/>
        <v>0.40514469453376206</v>
      </c>
      <c r="P347" s="832">
        <f t="shared" si="422"/>
        <v>0</v>
      </c>
      <c r="Q347" s="830">
        <f t="shared" si="422"/>
        <v>0</v>
      </c>
      <c r="R347" s="833">
        <f t="shared" si="422"/>
        <v>0</v>
      </c>
      <c r="S347" s="832">
        <f t="shared" si="422"/>
        <v>0</v>
      </c>
      <c r="T347" s="213"/>
      <c r="U347" s="858"/>
      <c r="V347" s="858">
        <v>149</v>
      </c>
      <c r="W347" s="858"/>
      <c r="X347" s="858">
        <v>107</v>
      </c>
      <c r="Y347" s="858"/>
      <c r="Z347" s="858"/>
      <c r="AA347" s="859">
        <v>256</v>
      </c>
      <c r="AB347" s="859"/>
      <c r="AC347" s="858">
        <v>126</v>
      </c>
      <c r="AD347" s="858"/>
      <c r="AE347" s="858"/>
      <c r="AF347" s="858"/>
      <c r="AG347" s="859">
        <v>126</v>
      </c>
      <c r="AH347" s="862">
        <f t="shared" ref="AH347:AK347" si="423">AH353+AH359+AH365+AH371+AH377+AH383+AH389+AH395+AH401+AH407+AH413+AH419+AH425</f>
        <v>0</v>
      </c>
      <c r="AI347" s="862">
        <f t="shared" si="423"/>
        <v>0</v>
      </c>
      <c r="AJ347" s="862">
        <f t="shared" si="423"/>
        <v>0</v>
      </c>
      <c r="AK347" s="862">
        <f t="shared" si="423"/>
        <v>0</v>
      </c>
      <c r="AL347" s="209"/>
      <c r="AM347" s="209"/>
    </row>
    <row r="348" spans="1:39" s="80" customFormat="1">
      <c r="A348" s="239"/>
      <c r="B348" s="239" t="s">
        <v>78</v>
      </c>
      <c r="C348" s="832">
        <f>IF(U350&gt;0,(U348/U350),0)</f>
        <v>0</v>
      </c>
      <c r="D348" s="830">
        <f t="shared" ref="D348:S348" si="424">IF(V350&gt;0,(V348/V350),0)</f>
        <v>8.60832137733142E-3</v>
      </c>
      <c r="E348" s="830">
        <f t="shared" si="424"/>
        <v>0</v>
      </c>
      <c r="F348" s="830">
        <f t="shared" si="424"/>
        <v>2.967359050445104E-2</v>
      </c>
      <c r="G348" s="830">
        <f t="shared" si="424"/>
        <v>0</v>
      </c>
      <c r="H348" s="830">
        <f t="shared" si="424"/>
        <v>0</v>
      </c>
      <c r="I348" s="832">
        <f t="shared" si="424"/>
        <v>1.5473887814313346E-2</v>
      </c>
      <c r="J348" s="832">
        <f t="shared" si="424"/>
        <v>0</v>
      </c>
      <c r="K348" s="830">
        <f t="shared" si="424"/>
        <v>0</v>
      </c>
      <c r="L348" s="830">
        <f t="shared" si="424"/>
        <v>0</v>
      </c>
      <c r="M348" s="830">
        <f t="shared" si="424"/>
        <v>0</v>
      </c>
      <c r="N348" s="830">
        <f t="shared" si="424"/>
        <v>0</v>
      </c>
      <c r="O348" s="832">
        <f t="shared" si="424"/>
        <v>0</v>
      </c>
      <c r="P348" s="832">
        <f t="shared" si="424"/>
        <v>0</v>
      </c>
      <c r="Q348" s="830">
        <f t="shared" si="424"/>
        <v>0</v>
      </c>
      <c r="R348" s="833">
        <f t="shared" si="424"/>
        <v>0</v>
      </c>
      <c r="S348" s="832">
        <f t="shared" si="424"/>
        <v>0</v>
      </c>
      <c r="T348" s="213"/>
      <c r="U348" s="858"/>
      <c r="V348" s="858">
        <v>6</v>
      </c>
      <c r="W348" s="858"/>
      <c r="X348" s="858">
        <v>10</v>
      </c>
      <c r="Y348" s="858"/>
      <c r="Z348" s="858"/>
      <c r="AA348" s="859">
        <v>16</v>
      </c>
      <c r="AB348" s="859"/>
      <c r="AC348" s="858"/>
      <c r="AD348" s="858"/>
      <c r="AE348" s="858"/>
      <c r="AF348" s="858"/>
      <c r="AG348" s="859"/>
      <c r="AH348" s="862">
        <f t="shared" ref="AH348:AK348" si="425">AH354+AH360+AH366+AH372+AH378+AH384+AH390+AH396+AH402+AH408+AH414+AH420+AH426</f>
        <v>0</v>
      </c>
      <c r="AI348" s="862">
        <f t="shared" si="425"/>
        <v>0</v>
      </c>
      <c r="AJ348" s="862">
        <f t="shared" si="425"/>
        <v>0</v>
      </c>
      <c r="AK348" s="862">
        <f t="shared" si="425"/>
        <v>0</v>
      </c>
      <c r="AL348" s="209"/>
      <c r="AM348" s="209"/>
    </row>
    <row r="349" spans="1:39" s="80" customFormat="1">
      <c r="A349" s="580"/>
      <c r="B349" s="580" t="s">
        <v>131</v>
      </c>
      <c r="C349" s="832">
        <f>IF(U350&gt;0,(U349/U350),0)</f>
        <v>0</v>
      </c>
      <c r="D349" s="830">
        <f t="shared" ref="D349:S349" si="426">IF(V350&gt;0,(V349/V350),0)</f>
        <v>0.1133428981348637</v>
      </c>
      <c r="E349" s="830">
        <f t="shared" si="426"/>
        <v>0</v>
      </c>
      <c r="F349" s="830">
        <f t="shared" si="426"/>
        <v>0</v>
      </c>
      <c r="G349" s="830">
        <f t="shared" si="426"/>
        <v>0</v>
      </c>
      <c r="H349" s="830">
        <f t="shared" si="426"/>
        <v>0</v>
      </c>
      <c r="I349" s="832">
        <f t="shared" si="426"/>
        <v>7.6402321083172145E-2</v>
      </c>
      <c r="J349" s="832">
        <f t="shared" si="426"/>
        <v>0</v>
      </c>
      <c r="K349" s="830">
        <f t="shared" si="426"/>
        <v>0</v>
      </c>
      <c r="L349" s="830">
        <f t="shared" si="426"/>
        <v>0</v>
      </c>
      <c r="M349" s="830">
        <f t="shared" si="426"/>
        <v>0</v>
      </c>
      <c r="N349" s="830">
        <f t="shared" si="426"/>
        <v>0</v>
      </c>
      <c r="O349" s="832">
        <f t="shared" si="426"/>
        <v>0</v>
      </c>
      <c r="P349" s="832">
        <f t="shared" si="426"/>
        <v>0</v>
      </c>
      <c r="Q349" s="830">
        <f t="shared" si="426"/>
        <v>0</v>
      </c>
      <c r="R349" s="833">
        <f t="shared" si="426"/>
        <v>0</v>
      </c>
      <c r="S349" s="832">
        <f t="shared" si="426"/>
        <v>0</v>
      </c>
      <c r="T349" s="213"/>
      <c r="U349" s="858"/>
      <c r="V349" s="858">
        <v>79</v>
      </c>
      <c r="W349" s="858"/>
      <c r="X349" s="858"/>
      <c r="Y349" s="858"/>
      <c r="Z349" s="858"/>
      <c r="AA349" s="859">
        <v>79</v>
      </c>
      <c r="AB349" s="859"/>
      <c r="AC349" s="858"/>
      <c r="AD349" s="858"/>
      <c r="AE349" s="858"/>
      <c r="AF349" s="858"/>
      <c r="AG349" s="859"/>
      <c r="AH349" s="862">
        <f t="shared" ref="AH349:AK349" si="427">AH355+AH361+AH367+AH373+AH379+AH385+AH391+AH397+AH403+AH409+AH415+AH421+AH427</f>
        <v>0</v>
      </c>
      <c r="AI349" s="862">
        <f t="shared" si="427"/>
        <v>0</v>
      </c>
      <c r="AJ349" s="862">
        <f t="shared" si="427"/>
        <v>0</v>
      </c>
      <c r="AK349" s="862">
        <f t="shared" si="427"/>
        <v>0</v>
      </c>
      <c r="AL349" s="209"/>
      <c r="AM349" s="209"/>
    </row>
    <row r="350" spans="1:39" s="80" customFormat="1">
      <c r="A350" s="436"/>
      <c r="B350" s="436" t="s">
        <v>59</v>
      </c>
      <c r="C350" s="834">
        <f>IF(U350&gt;0,(U350/U350),0)</f>
        <v>0</v>
      </c>
      <c r="D350" s="835">
        <f t="shared" ref="D350:S350" si="428">IF(V350&gt;0,(V350/V350),0)</f>
        <v>1</v>
      </c>
      <c r="E350" s="835">
        <f t="shared" si="428"/>
        <v>0</v>
      </c>
      <c r="F350" s="835">
        <f t="shared" si="428"/>
        <v>1</v>
      </c>
      <c r="G350" s="835">
        <f t="shared" si="428"/>
        <v>0</v>
      </c>
      <c r="H350" s="835">
        <f t="shared" si="428"/>
        <v>0</v>
      </c>
      <c r="I350" s="834">
        <f t="shared" si="428"/>
        <v>1</v>
      </c>
      <c r="J350" s="834">
        <f t="shared" si="428"/>
        <v>0</v>
      </c>
      <c r="K350" s="835">
        <f t="shared" si="428"/>
        <v>1</v>
      </c>
      <c r="L350" s="835">
        <f t="shared" si="428"/>
        <v>0</v>
      </c>
      <c r="M350" s="835">
        <f t="shared" si="428"/>
        <v>0</v>
      </c>
      <c r="N350" s="835">
        <f t="shared" si="428"/>
        <v>0</v>
      </c>
      <c r="O350" s="834">
        <f t="shared" si="428"/>
        <v>1</v>
      </c>
      <c r="P350" s="834">
        <f t="shared" si="428"/>
        <v>0</v>
      </c>
      <c r="Q350" s="835">
        <f t="shared" si="428"/>
        <v>0</v>
      </c>
      <c r="R350" s="836">
        <f t="shared" si="428"/>
        <v>0</v>
      </c>
      <c r="S350" s="834">
        <f t="shared" si="428"/>
        <v>0</v>
      </c>
      <c r="T350" s="213"/>
      <c r="U350" s="871"/>
      <c r="V350" s="871">
        <v>697</v>
      </c>
      <c r="W350" s="871"/>
      <c r="X350" s="871">
        <v>337</v>
      </c>
      <c r="Y350" s="871"/>
      <c r="Z350" s="871"/>
      <c r="AA350" s="864">
        <v>1034</v>
      </c>
      <c r="AB350" s="864"/>
      <c r="AC350" s="871">
        <v>311</v>
      </c>
      <c r="AD350" s="871"/>
      <c r="AE350" s="871"/>
      <c r="AF350" s="871"/>
      <c r="AG350" s="864">
        <v>311</v>
      </c>
      <c r="AH350" s="862">
        <f t="shared" ref="AH350:AK350" si="429">AH356+AH362+AH368+AH374+AH380+AH386+AH392+AH398+AH404+AH410+AH416+AH422+AH428</f>
        <v>0</v>
      </c>
      <c r="AI350" s="862">
        <f t="shared" si="429"/>
        <v>0</v>
      </c>
      <c r="AJ350" s="862">
        <f t="shared" si="429"/>
        <v>0</v>
      </c>
      <c r="AK350" s="862">
        <f t="shared" si="429"/>
        <v>0</v>
      </c>
      <c r="AL350" s="209"/>
      <c r="AM350" s="209"/>
    </row>
    <row r="351" spans="1:39" s="80" customFormat="1">
      <c r="A351" s="240" t="s">
        <v>166</v>
      </c>
      <c r="B351" s="240" t="s">
        <v>53</v>
      </c>
      <c r="C351" s="829">
        <f>IF(U356&gt;0,(U351/U356),0)</f>
        <v>0</v>
      </c>
      <c r="D351" s="830">
        <f t="shared" ref="D351:S351" si="430">IF(V356&gt;0,(V351/V356),0)</f>
        <v>0.23327615780445971</v>
      </c>
      <c r="E351" s="830">
        <f t="shared" si="430"/>
        <v>0</v>
      </c>
      <c r="F351" s="830">
        <f t="shared" si="430"/>
        <v>0</v>
      </c>
      <c r="G351" s="830">
        <f t="shared" si="430"/>
        <v>0.57407407407407407</v>
      </c>
      <c r="H351" s="830">
        <f t="shared" si="430"/>
        <v>0.42152466367713004</v>
      </c>
      <c r="I351" s="829">
        <f t="shared" si="430"/>
        <v>0.30348837209302326</v>
      </c>
      <c r="J351" s="829">
        <f t="shared" si="430"/>
        <v>0</v>
      </c>
      <c r="K351" s="830">
        <f t="shared" si="430"/>
        <v>0</v>
      </c>
      <c r="L351" s="830">
        <f t="shared" si="430"/>
        <v>0</v>
      </c>
      <c r="M351" s="830">
        <f t="shared" si="430"/>
        <v>0</v>
      </c>
      <c r="N351" s="830">
        <f t="shared" si="430"/>
        <v>0</v>
      </c>
      <c r="O351" s="829">
        <f t="shared" si="430"/>
        <v>0</v>
      </c>
      <c r="P351" s="829">
        <f t="shared" si="430"/>
        <v>0</v>
      </c>
      <c r="Q351" s="830">
        <f t="shared" si="430"/>
        <v>0</v>
      </c>
      <c r="R351" s="831">
        <f t="shared" si="430"/>
        <v>0</v>
      </c>
      <c r="S351" s="829">
        <f t="shared" si="430"/>
        <v>0</v>
      </c>
      <c r="T351" s="213"/>
      <c r="U351" s="858"/>
      <c r="V351" s="858">
        <v>136</v>
      </c>
      <c r="W351" s="858"/>
      <c r="X351" s="858"/>
      <c r="Y351" s="858">
        <v>31</v>
      </c>
      <c r="Z351" s="858">
        <v>94</v>
      </c>
      <c r="AA351" s="857">
        <v>261</v>
      </c>
      <c r="AB351" s="857"/>
      <c r="AC351" s="858"/>
      <c r="AD351" s="858"/>
      <c r="AE351" s="858"/>
      <c r="AF351" s="858"/>
      <c r="AG351" s="857"/>
      <c r="AH351" s="862">
        <f t="shared" ref="AH351:AK351" si="431">AH357+AH363+AH369+AH375+AH381+AH387+AH393+AH399+AH405+AH411+AH417+AH423+AH429</f>
        <v>0</v>
      </c>
      <c r="AI351" s="862">
        <f t="shared" si="431"/>
        <v>0</v>
      </c>
      <c r="AJ351" s="862">
        <f t="shared" si="431"/>
        <v>0</v>
      </c>
      <c r="AK351" s="862">
        <f t="shared" si="431"/>
        <v>0</v>
      </c>
      <c r="AL351" s="209"/>
      <c r="AM351" s="209"/>
    </row>
    <row r="352" spans="1:39" s="80" customFormat="1">
      <c r="A352" s="239"/>
      <c r="B352" s="239" t="s">
        <v>93</v>
      </c>
      <c r="C352" s="832">
        <f>IF(U356&gt;0,(U352/U356),0)</f>
        <v>0</v>
      </c>
      <c r="D352" s="830">
        <f t="shared" ref="D352:S352" si="432">IF(V356&gt;0,(V352/V356),0)</f>
        <v>0.28987993138936535</v>
      </c>
      <c r="E352" s="830">
        <f t="shared" si="432"/>
        <v>0</v>
      </c>
      <c r="F352" s="830">
        <f t="shared" si="432"/>
        <v>0</v>
      </c>
      <c r="G352" s="830">
        <f t="shared" si="432"/>
        <v>0.20370370370370369</v>
      </c>
      <c r="H352" s="830">
        <f t="shared" si="432"/>
        <v>0.18385650224215247</v>
      </c>
      <c r="I352" s="832">
        <f t="shared" si="432"/>
        <v>0.25697674418604649</v>
      </c>
      <c r="J352" s="832">
        <f t="shared" si="432"/>
        <v>0</v>
      </c>
      <c r="K352" s="830">
        <f t="shared" si="432"/>
        <v>0</v>
      </c>
      <c r="L352" s="830">
        <f t="shared" si="432"/>
        <v>0</v>
      </c>
      <c r="M352" s="830">
        <f t="shared" si="432"/>
        <v>0</v>
      </c>
      <c r="N352" s="830">
        <f t="shared" si="432"/>
        <v>0</v>
      </c>
      <c r="O352" s="832">
        <f t="shared" si="432"/>
        <v>0</v>
      </c>
      <c r="P352" s="832">
        <f t="shared" si="432"/>
        <v>0</v>
      </c>
      <c r="Q352" s="830">
        <f t="shared" si="432"/>
        <v>0</v>
      </c>
      <c r="R352" s="833">
        <f t="shared" si="432"/>
        <v>0</v>
      </c>
      <c r="S352" s="832">
        <f t="shared" si="432"/>
        <v>0</v>
      </c>
      <c r="T352" s="213"/>
      <c r="U352" s="858"/>
      <c r="V352" s="858">
        <v>169</v>
      </c>
      <c r="W352" s="858"/>
      <c r="X352" s="858"/>
      <c r="Y352" s="858">
        <v>11</v>
      </c>
      <c r="Z352" s="858">
        <v>41</v>
      </c>
      <c r="AA352" s="859">
        <v>221</v>
      </c>
      <c r="AB352" s="859"/>
      <c r="AC352" s="858"/>
      <c r="AD352" s="858"/>
      <c r="AE352" s="858"/>
      <c r="AF352" s="858"/>
      <c r="AG352" s="859"/>
      <c r="AH352" s="862">
        <f t="shared" ref="AH352:AK352" si="433">AH358+AH364+AH370+AH376+AH382+AH388+AH394+AH400+AH406+AH412+AH418+AH424+AH430</f>
        <v>0</v>
      </c>
      <c r="AI352" s="862">
        <f t="shared" si="433"/>
        <v>0</v>
      </c>
      <c r="AJ352" s="862">
        <f t="shared" si="433"/>
        <v>0</v>
      </c>
      <c r="AK352" s="862">
        <f t="shared" si="433"/>
        <v>0</v>
      </c>
      <c r="AL352" s="209"/>
      <c r="AM352" s="209"/>
    </row>
    <row r="353" spans="1:39" s="80" customFormat="1">
      <c r="A353" s="239"/>
      <c r="B353" s="239" t="s">
        <v>55</v>
      </c>
      <c r="C353" s="832">
        <f>IF(U356&gt;0,(U353/U356),0)</f>
        <v>0</v>
      </c>
      <c r="D353" s="830">
        <f t="shared" ref="D353:S353" si="434">IF(V356&gt;0,(V353/V356),0)</f>
        <v>0.26415094339622641</v>
      </c>
      <c r="E353" s="830">
        <f t="shared" si="434"/>
        <v>0</v>
      </c>
      <c r="F353" s="830">
        <f t="shared" si="434"/>
        <v>0</v>
      </c>
      <c r="G353" s="830">
        <f t="shared" si="434"/>
        <v>0.22222222222222221</v>
      </c>
      <c r="H353" s="830">
        <f t="shared" si="434"/>
        <v>0.39013452914798208</v>
      </c>
      <c r="I353" s="832">
        <f t="shared" si="434"/>
        <v>0.29418604651162789</v>
      </c>
      <c r="J353" s="832">
        <f t="shared" si="434"/>
        <v>0</v>
      </c>
      <c r="K353" s="830">
        <f t="shared" si="434"/>
        <v>0</v>
      </c>
      <c r="L353" s="830">
        <f t="shared" si="434"/>
        <v>0</v>
      </c>
      <c r="M353" s="830">
        <f t="shared" si="434"/>
        <v>0</v>
      </c>
      <c r="N353" s="830">
        <f t="shared" si="434"/>
        <v>0</v>
      </c>
      <c r="O353" s="832">
        <f t="shared" si="434"/>
        <v>0</v>
      </c>
      <c r="P353" s="832">
        <f t="shared" si="434"/>
        <v>0</v>
      </c>
      <c r="Q353" s="830">
        <f t="shared" si="434"/>
        <v>0</v>
      </c>
      <c r="R353" s="833">
        <f t="shared" si="434"/>
        <v>0</v>
      </c>
      <c r="S353" s="832">
        <f t="shared" si="434"/>
        <v>0</v>
      </c>
      <c r="T353" s="213"/>
      <c r="U353" s="858"/>
      <c r="V353" s="858">
        <v>154</v>
      </c>
      <c r="W353" s="858"/>
      <c r="X353" s="858"/>
      <c r="Y353" s="858">
        <v>12</v>
      </c>
      <c r="Z353" s="858">
        <v>87</v>
      </c>
      <c r="AA353" s="859">
        <v>253</v>
      </c>
      <c r="AB353" s="859"/>
      <c r="AC353" s="858"/>
      <c r="AD353" s="858"/>
      <c r="AE353" s="858"/>
      <c r="AF353" s="858"/>
      <c r="AG353" s="859"/>
      <c r="AH353" s="862">
        <f t="shared" ref="AH353:AK353" si="435">AH359+AH365+AH371+AH377+AH383+AH389+AH395+AH401+AH407+AH413+AH419+AH425+AH431</f>
        <v>0</v>
      </c>
      <c r="AI353" s="862">
        <f t="shared" si="435"/>
        <v>0</v>
      </c>
      <c r="AJ353" s="862">
        <f t="shared" si="435"/>
        <v>0</v>
      </c>
      <c r="AK353" s="862">
        <f t="shared" si="435"/>
        <v>0</v>
      </c>
      <c r="AL353" s="209"/>
      <c r="AM353" s="209"/>
    </row>
    <row r="354" spans="1:39" s="80" customFormat="1">
      <c r="A354" s="239"/>
      <c r="B354" s="239" t="s">
        <v>78</v>
      </c>
      <c r="C354" s="832">
        <f>IF(U356&gt;0,(U354/U356),0)</f>
        <v>0</v>
      </c>
      <c r="D354" s="830">
        <f t="shared" ref="D354:S354" si="436">IF(V356&gt;0,(V354/V356),0)</f>
        <v>3.4305317324185248E-3</v>
      </c>
      <c r="E354" s="830">
        <f t="shared" si="436"/>
        <v>0</v>
      </c>
      <c r="F354" s="830">
        <f t="shared" si="436"/>
        <v>0</v>
      </c>
      <c r="G354" s="830">
        <f t="shared" si="436"/>
        <v>0</v>
      </c>
      <c r="H354" s="830">
        <f t="shared" si="436"/>
        <v>4.4843049327354259E-3</v>
      </c>
      <c r="I354" s="832">
        <f t="shared" si="436"/>
        <v>3.4883720930232558E-3</v>
      </c>
      <c r="J354" s="832">
        <f t="shared" si="436"/>
        <v>0</v>
      </c>
      <c r="K354" s="830">
        <f t="shared" si="436"/>
        <v>0</v>
      </c>
      <c r="L354" s="830">
        <f t="shared" si="436"/>
        <v>0</v>
      </c>
      <c r="M354" s="830">
        <f t="shared" si="436"/>
        <v>0</v>
      </c>
      <c r="N354" s="830">
        <f t="shared" si="436"/>
        <v>0</v>
      </c>
      <c r="O354" s="832">
        <f t="shared" si="436"/>
        <v>0</v>
      </c>
      <c r="P354" s="832">
        <f t="shared" si="436"/>
        <v>0</v>
      </c>
      <c r="Q354" s="830">
        <f t="shared" si="436"/>
        <v>0</v>
      </c>
      <c r="R354" s="833">
        <f t="shared" si="436"/>
        <v>0</v>
      </c>
      <c r="S354" s="832">
        <f t="shared" si="436"/>
        <v>0</v>
      </c>
      <c r="T354" s="213"/>
      <c r="U354" s="858"/>
      <c r="V354" s="858">
        <v>2</v>
      </c>
      <c r="W354" s="858"/>
      <c r="X354" s="858"/>
      <c r="Y354" s="858"/>
      <c r="Z354" s="858">
        <v>1</v>
      </c>
      <c r="AA354" s="859">
        <v>3</v>
      </c>
      <c r="AB354" s="859"/>
      <c r="AC354" s="858"/>
      <c r="AD354" s="858"/>
      <c r="AE354" s="858"/>
      <c r="AF354" s="858"/>
      <c r="AG354" s="859"/>
      <c r="AH354" s="862">
        <f t="shared" ref="AH354:AK354" si="437">AH360+AH366+AH372+AH378+AH384+AH390+AH396+AH402+AH408+AH414+AH420+AH426+AH432</f>
        <v>0</v>
      </c>
      <c r="AI354" s="862">
        <f t="shared" si="437"/>
        <v>0</v>
      </c>
      <c r="AJ354" s="862">
        <f t="shared" si="437"/>
        <v>0</v>
      </c>
      <c r="AK354" s="862">
        <f t="shared" si="437"/>
        <v>0</v>
      </c>
      <c r="AL354" s="209"/>
      <c r="AM354" s="209"/>
    </row>
    <row r="355" spans="1:39" s="80" customFormat="1">
      <c r="A355" s="580"/>
      <c r="B355" s="580" t="s">
        <v>131</v>
      </c>
      <c r="C355" s="832">
        <f>IF(U356&gt;0,(U355/U356),0)</f>
        <v>0</v>
      </c>
      <c r="D355" s="830">
        <f t="shared" ref="D355:S355" si="438">IF(V356&gt;0,(V355/V356),0)</f>
        <v>0.20926243567753003</v>
      </c>
      <c r="E355" s="830">
        <f t="shared" si="438"/>
        <v>0</v>
      </c>
      <c r="F355" s="830">
        <f t="shared" si="438"/>
        <v>0</v>
      </c>
      <c r="G355" s="830">
        <f t="shared" si="438"/>
        <v>0</v>
      </c>
      <c r="H355" s="830">
        <f t="shared" si="438"/>
        <v>0</v>
      </c>
      <c r="I355" s="832">
        <f t="shared" si="438"/>
        <v>0.14186046511627906</v>
      </c>
      <c r="J355" s="832">
        <f t="shared" si="438"/>
        <v>0</v>
      </c>
      <c r="K355" s="830">
        <f t="shared" si="438"/>
        <v>0</v>
      </c>
      <c r="L355" s="830">
        <f t="shared" si="438"/>
        <v>0</v>
      </c>
      <c r="M355" s="830">
        <f t="shared" si="438"/>
        <v>0</v>
      </c>
      <c r="N355" s="830">
        <f t="shared" si="438"/>
        <v>0</v>
      </c>
      <c r="O355" s="832">
        <f t="shared" si="438"/>
        <v>0</v>
      </c>
      <c r="P355" s="832">
        <f t="shared" si="438"/>
        <v>0</v>
      </c>
      <c r="Q355" s="830">
        <f t="shared" si="438"/>
        <v>0</v>
      </c>
      <c r="R355" s="833">
        <f t="shared" si="438"/>
        <v>0</v>
      </c>
      <c r="S355" s="832">
        <f t="shared" si="438"/>
        <v>0</v>
      </c>
      <c r="T355" s="213"/>
      <c r="U355" s="858"/>
      <c r="V355" s="858">
        <v>122</v>
      </c>
      <c r="W355" s="858"/>
      <c r="X355" s="858"/>
      <c r="Y355" s="858"/>
      <c r="Z355" s="858"/>
      <c r="AA355" s="859">
        <v>122</v>
      </c>
      <c r="AB355" s="859"/>
      <c r="AC355" s="858"/>
      <c r="AD355" s="858"/>
      <c r="AE355" s="858"/>
      <c r="AF355" s="858"/>
      <c r="AG355" s="859"/>
      <c r="AH355" s="862">
        <f t="shared" ref="AH355:AK355" si="439">AH361+AH367+AH373+AH379+AH385+AH391+AH397+AH403+AH409+AH415+AH421+AH427+AH433</f>
        <v>0</v>
      </c>
      <c r="AI355" s="862">
        <f t="shared" si="439"/>
        <v>0</v>
      </c>
      <c r="AJ355" s="862">
        <f t="shared" si="439"/>
        <v>0</v>
      </c>
      <c r="AK355" s="862">
        <f t="shared" si="439"/>
        <v>0</v>
      </c>
      <c r="AL355" s="209"/>
      <c r="AM355" s="209"/>
    </row>
    <row r="356" spans="1:39" s="80" customFormat="1">
      <c r="A356" s="436"/>
      <c r="B356" s="436" t="s">
        <v>59</v>
      </c>
      <c r="C356" s="834">
        <f>IF(U356&gt;0,(U356/U356),0)</f>
        <v>0</v>
      </c>
      <c r="D356" s="835">
        <f t="shared" ref="D356:S356" si="440">IF(V356&gt;0,(V356/V356),0)</f>
        <v>1</v>
      </c>
      <c r="E356" s="835">
        <f t="shared" si="440"/>
        <v>0</v>
      </c>
      <c r="F356" s="835">
        <f t="shared" si="440"/>
        <v>0</v>
      </c>
      <c r="G356" s="835">
        <f t="shared" si="440"/>
        <v>1</v>
      </c>
      <c r="H356" s="835">
        <f t="shared" si="440"/>
        <v>1</v>
      </c>
      <c r="I356" s="834">
        <f t="shared" si="440"/>
        <v>1</v>
      </c>
      <c r="J356" s="834">
        <f t="shared" si="440"/>
        <v>0</v>
      </c>
      <c r="K356" s="835">
        <f t="shared" si="440"/>
        <v>0</v>
      </c>
      <c r="L356" s="835">
        <f t="shared" si="440"/>
        <v>0</v>
      </c>
      <c r="M356" s="835">
        <f t="shared" si="440"/>
        <v>0</v>
      </c>
      <c r="N356" s="835">
        <f t="shared" si="440"/>
        <v>0</v>
      </c>
      <c r="O356" s="834">
        <f t="shared" si="440"/>
        <v>0</v>
      </c>
      <c r="P356" s="834">
        <f t="shared" si="440"/>
        <v>0</v>
      </c>
      <c r="Q356" s="835">
        <f t="shared" si="440"/>
        <v>0</v>
      </c>
      <c r="R356" s="836">
        <f t="shared" si="440"/>
        <v>0</v>
      </c>
      <c r="S356" s="834">
        <f t="shared" si="440"/>
        <v>0</v>
      </c>
      <c r="T356" s="213"/>
      <c r="U356" s="871"/>
      <c r="V356" s="871">
        <v>583</v>
      </c>
      <c r="W356" s="871"/>
      <c r="X356" s="871"/>
      <c r="Y356" s="871">
        <v>54</v>
      </c>
      <c r="Z356" s="871">
        <v>223</v>
      </c>
      <c r="AA356" s="864">
        <v>860</v>
      </c>
      <c r="AB356" s="864"/>
      <c r="AC356" s="871"/>
      <c r="AD356" s="871"/>
      <c r="AE356" s="871"/>
      <c r="AF356" s="871"/>
      <c r="AG356" s="864"/>
      <c r="AH356" s="862">
        <f t="shared" ref="AH356:AK356" si="441">AH362+AH368+AH374+AH380+AH386+AH392+AH398+AH404+AH410+AH416+AH422+AH428+AH434</f>
        <v>0</v>
      </c>
      <c r="AI356" s="862">
        <f t="shared" si="441"/>
        <v>0</v>
      </c>
      <c r="AJ356" s="862">
        <f t="shared" si="441"/>
        <v>0</v>
      </c>
      <c r="AK356" s="862">
        <f t="shared" si="441"/>
        <v>0</v>
      </c>
      <c r="AL356" s="209"/>
      <c r="AM356" s="209"/>
    </row>
    <row r="357" spans="1:39" s="80" customFormat="1">
      <c r="A357" s="240" t="s">
        <v>170</v>
      </c>
      <c r="B357" s="240" t="s">
        <v>53</v>
      </c>
      <c r="C357" s="829">
        <f>IF(U362&gt;0,(U357/U362),0)</f>
        <v>0</v>
      </c>
      <c r="D357" s="830">
        <f t="shared" ref="D357:S357" si="442">IF(V362&gt;0,(V357/V362),0)</f>
        <v>0</v>
      </c>
      <c r="E357" s="830">
        <f t="shared" si="442"/>
        <v>0</v>
      </c>
      <c r="F357" s="830">
        <f t="shared" si="442"/>
        <v>0.3925619834710744</v>
      </c>
      <c r="G357" s="830">
        <f t="shared" si="442"/>
        <v>0</v>
      </c>
      <c r="H357" s="830">
        <f t="shared" si="442"/>
        <v>0</v>
      </c>
      <c r="I357" s="829">
        <f t="shared" si="442"/>
        <v>0.3925619834710744</v>
      </c>
      <c r="J357" s="829">
        <f t="shared" si="442"/>
        <v>0</v>
      </c>
      <c r="K357" s="830">
        <f t="shared" si="442"/>
        <v>0</v>
      </c>
      <c r="L357" s="830">
        <f t="shared" si="442"/>
        <v>0</v>
      </c>
      <c r="M357" s="830">
        <f t="shared" si="442"/>
        <v>0</v>
      </c>
      <c r="N357" s="830">
        <f t="shared" si="442"/>
        <v>0</v>
      </c>
      <c r="O357" s="829">
        <f t="shared" si="442"/>
        <v>0</v>
      </c>
      <c r="P357" s="829">
        <f t="shared" si="442"/>
        <v>0</v>
      </c>
      <c r="Q357" s="830">
        <f t="shared" si="442"/>
        <v>0</v>
      </c>
      <c r="R357" s="831">
        <f t="shared" si="442"/>
        <v>0</v>
      </c>
      <c r="S357" s="829">
        <f t="shared" si="442"/>
        <v>0</v>
      </c>
      <c r="T357" s="213"/>
      <c r="U357" s="858"/>
      <c r="V357" s="858"/>
      <c r="W357" s="858"/>
      <c r="X357" s="858">
        <v>95</v>
      </c>
      <c r="Y357" s="858"/>
      <c r="Z357" s="858"/>
      <c r="AA357" s="857">
        <v>95</v>
      </c>
      <c r="AB357" s="857"/>
      <c r="AC357" s="858"/>
      <c r="AD357" s="858"/>
      <c r="AE357" s="858"/>
      <c r="AF357" s="858"/>
      <c r="AG357" s="857"/>
      <c r="AH357" s="862">
        <f t="shared" ref="AH357:AK357" si="443">AH363+AH369+AH375+AH381+AH387+AH393+AH399+AH405+AH411+AH417+AH423+AH429+AH435</f>
        <v>0</v>
      </c>
      <c r="AI357" s="862">
        <f t="shared" si="443"/>
        <v>0</v>
      </c>
      <c r="AJ357" s="862">
        <f t="shared" si="443"/>
        <v>0</v>
      </c>
      <c r="AK357" s="862">
        <f t="shared" si="443"/>
        <v>0</v>
      </c>
      <c r="AL357" s="209"/>
      <c r="AM357" s="209"/>
    </row>
    <row r="358" spans="1:39" s="80" customFormat="1">
      <c r="A358" s="239"/>
      <c r="B358" s="239" t="s">
        <v>93</v>
      </c>
      <c r="C358" s="832">
        <f>IF(U362&gt;0,(U358/U362),0)</f>
        <v>0</v>
      </c>
      <c r="D358" s="830">
        <f t="shared" ref="D358:S358" si="444">IF(V362&gt;0,(V358/V362),0)</f>
        <v>0</v>
      </c>
      <c r="E358" s="830">
        <f t="shared" si="444"/>
        <v>0</v>
      </c>
      <c r="F358" s="830">
        <f t="shared" si="444"/>
        <v>0.36776859504132231</v>
      </c>
      <c r="G358" s="830">
        <f t="shared" si="444"/>
        <v>0</v>
      </c>
      <c r="H358" s="830">
        <f t="shared" si="444"/>
        <v>0</v>
      </c>
      <c r="I358" s="832">
        <f t="shared" si="444"/>
        <v>0.36776859504132231</v>
      </c>
      <c r="J358" s="832">
        <f t="shared" si="444"/>
        <v>0</v>
      </c>
      <c r="K358" s="830">
        <f t="shared" si="444"/>
        <v>0</v>
      </c>
      <c r="L358" s="830">
        <f t="shared" si="444"/>
        <v>0</v>
      </c>
      <c r="M358" s="830">
        <f t="shared" si="444"/>
        <v>0</v>
      </c>
      <c r="N358" s="830">
        <f t="shared" si="444"/>
        <v>0</v>
      </c>
      <c r="O358" s="832">
        <f t="shared" si="444"/>
        <v>0</v>
      </c>
      <c r="P358" s="832">
        <f t="shared" si="444"/>
        <v>0</v>
      </c>
      <c r="Q358" s="830">
        <f t="shared" si="444"/>
        <v>0</v>
      </c>
      <c r="R358" s="833">
        <f t="shared" si="444"/>
        <v>0</v>
      </c>
      <c r="S358" s="832">
        <f t="shared" si="444"/>
        <v>0</v>
      </c>
      <c r="T358" s="213"/>
      <c r="U358" s="858"/>
      <c r="V358" s="858"/>
      <c r="W358" s="858"/>
      <c r="X358" s="858">
        <v>89</v>
      </c>
      <c r="Y358" s="858"/>
      <c r="Z358" s="858"/>
      <c r="AA358" s="859">
        <v>89</v>
      </c>
      <c r="AB358" s="859"/>
      <c r="AC358" s="858"/>
      <c r="AD358" s="858"/>
      <c r="AE358" s="858"/>
      <c r="AF358" s="858"/>
      <c r="AG358" s="859"/>
      <c r="AH358" s="862">
        <f t="shared" ref="AH358:AK358" si="445">AH364+AH370+AH376+AH382+AH388+AH394+AH400+AH406+AH412+AH418+AH424+AH430+AH436</f>
        <v>0</v>
      </c>
      <c r="AI358" s="862">
        <f t="shared" si="445"/>
        <v>0</v>
      </c>
      <c r="AJ358" s="862">
        <f t="shared" si="445"/>
        <v>0</v>
      </c>
      <c r="AK358" s="862">
        <f t="shared" si="445"/>
        <v>0</v>
      </c>
      <c r="AL358" s="209"/>
      <c r="AM358" s="209"/>
    </row>
    <row r="359" spans="1:39" s="80" customFormat="1">
      <c r="A359" s="239"/>
      <c r="B359" s="239" t="s">
        <v>55</v>
      </c>
      <c r="C359" s="832">
        <f>IF(U362&gt;0,(U359/U362),0)</f>
        <v>0</v>
      </c>
      <c r="D359" s="830">
        <f t="shared" ref="D359:S359" si="446">IF(V362&gt;0,(V359/V362),0)</f>
        <v>0</v>
      </c>
      <c r="E359" s="830">
        <f t="shared" si="446"/>
        <v>0</v>
      </c>
      <c r="F359" s="830">
        <f t="shared" si="446"/>
        <v>0.20661157024793389</v>
      </c>
      <c r="G359" s="830">
        <f t="shared" si="446"/>
        <v>0</v>
      </c>
      <c r="H359" s="830">
        <f t="shared" si="446"/>
        <v>0</v>
      </c>
      <c r="I359" s="832">
        <f t="shared" si="446"/>
        <v>0.20661157024793389</v>
      </c>
      <c r="J359" s="832">
        <f t="shared" si="446"/>
        <v>0</v>
      </c>
      <c r="K359" s="830">
        <f t="shared" si="446"/>
        <v>0</v>
      </c>
      <c r="L359" s="830">
        <f t="shared" si="446"/>
        <v>0</v>
      </c>
      <c r="M359" s="830">
        <f t="shared" si="446"/>
        <v>0</v>
      </c>
      <c r="N359" s="830">
        <f t="shared" si="446"/>
        <v>0</v>
      </c>
      <c r="O359" s="832">
        <f t="shared" si="446"/>
        <v>0</v>
      </c>
      <c r="P359" s="832">
        <f t="shared" si="446"/>
        <v>0</v>
      </c>
      <c r="Q359" s="830">
        <f t="shared" si="446"/>
        <v>0</v>
      </c>
      <c r="R359" s="833">
        <f t="shared" si="446"/>
        <v>0</v>
      </c>
      <c r="S359" s="832">
        <f t="shared" si="446"/>
        <v>0</v>
      </c>
      <c r="T359" s="213"/>
      <c r="U359" s="858"/>
      <c r="V359" s="858"/>
      <c r="W359" s="858"/>
      <c r="X359" s="858">
        <v>50</v>
      </c>
      <c r="Y359" s="858"/>
      <c r="Z359" s="858"/>
      <c r="AA359" s="859">
        <v>50</v>
      </c>
      <c r="AB359" s="859"/>
      <c r="AC359" s="858"/>
      <c r="AD359" s="858"/>
      <c r="AE359" s="858"/>
      <c r="AF359" s="858"/>
      <c r="AG359" s="859"/>
      <c r="AH359" s="862">
        <f t="shared" ref="AH359:AK359" si="447">AH365+AH371+AH377+AH383+AH389+AH395+AH401+AH407+AH413+AH419+AH425+AH431+AH437</f>
        <v>0</v>
      </c>
      <c r="AI359" s="862">
        <f t="shared" si="447"/>
        <v>0</v>
      </c>
      <c r="AJ359" s="862">
        <f t="shared" si="447"/>
        <v>0</v>
      </c>
      <c r="AK359" s="862">
        <f t="shared" si="447"/>
        <v>0</v>
      </c>
      <c r="AL359" s="209"/>
      <c r="AM359" s="209"/>
    </row>
    <row r="360" spans="1:39" s="80" customFormat="1">
      <c r="A360" s="239"/>
      <c r="B360" s="239" t="s">
        <v>78</v>
      </c>
      <c r="C360" s="832">
        <f>IF(U362&gt;0,(U360/U362),0)</f>
        <v>0</v>
      </c>
      <c r="D360" s="830">
        <f t="shared" ref="D360:S360" si="448">IF(V362&gt;0,(V360/V362),0)</f>
        <v>0</v>
      </c>
      <c r="E360" s="830">
        <f t="shared" si="448"/>
        <v>0</v>
      </c>
      <c r="F360" s="830">
        <f t="shared" si="448"/>
        <v>3.3057851239669422E-2</v>
      </c>
      <c r="G360" s="830">
        <f t="shared" si="448"/>
        <v>0</v>
      </c>
      <c r="H360" s="830">
        <f t="shared" si="448"/>
        <v>0</v>
      </c>
      <c r="I360" s="832">
        <f t="shared" si="448"/>
        <v>3.3057851239669422E-2</v>
      </c>
      <c r="J360" s="832">
        <f t="shared" si="448"/>
        <v>0</v>
      </c>
      <c r="K360" s="830">
        <f t="shared" si="448"/>
        <v>0</v>
      </c>
      <c r="L360" s="830">
        <f t="shared" si="448"/>
        <v>0</v>
      </c>
      <c r="M360" s="830">
        <f t="shared" si="448"/>
        <v>0</v>
      </c>
      <c r="N360" s="830">
        <f t="shared" si="448"/>
        <v>0</v>
      </c>
      <c r="O360" s="832">
        <f t="shared" si="448"/>
        <v>0</v>
      </c>
      <c r="P360" s="832">
        <f t="shared" si="448"/>
        <v>0</v>
      </c>
      <c r="Q360" s="830">
        <f t="shared" si="448"/>
        <v>0</v>
      </c>
      <c r="R360" s="833">
        <f t="shared" si="448"/>
        <v>0</v>
      </c>
      <c r="S360" s="832">
        <f t="shared" si="448"/>
        <v>0</v>
      </c>
      <c r="T360" s="213"/>
      <c r="U360" s="858"/>
      <c r="V360" s="858"/>
      <c r="W360" s="858"/>
      <c r="X360" s="858">
        <v>8</v>
      </c>
      <c r="Y360" s="858"/>
      <c r="Z360" s="858"/>
      <c r="AA360" s="859">
        <v>8</v>
      </c>
      <c r="AB360" s="859"/>
      <c r="AC360" s="858"/>
      <c r="AD360" s="858"/>
      <c r="AE360" s="858"/>
      <c r="AF360" s="858"/>
      <c r="AG360" s="859"/>
      <c r="AH360" s="862">
        <f t="shared" ref="AH360:AK360" si="449">AH366+AH372+AH378+AH384+AH390+AH396+AH402+AH408+AH414+AH420+AH426+AH432+AH438</f>
        <v>0</v>
      </c>
      <c r="AI360" s="862">
        <f t="shared" si="449"/>
        <v>0</v>
      </c>
      <c r="AJ360" s="862">
        <f t="shared" si="449"/>
        <v>0</v>
      </c>
      <c r="AK360" s="862">
        <f t="shared" si="449"/>
        <v>0</v>
      </c>
      <c r="AL360" s="209"/>
      <c r="AM360" s="209"/>
    </row>
    <row r="361" spans="1:39" s="80" customFormat="1">
      <c r="A361" s="580"/>
      <c r="B361" s="580" t="s">
        <v>131</v>
      </c>
      <c r="C361" s="832">
        <f>IF(U362&gt;0,(U361/U362),0)</f>
        <v>0</v>
      </c>
      <c r="D361" s="830">
        <f t="shared" ref="D361:S361" si="450">IF(V362&gt;0,(V361/V362),0)</f>
        <v>0</v>
      </c>
      <c r="E361" s="830">
        <f t="shared" si="450"/>
        <v>0</v>
      </c>
      <c r="F361" s="830">
        <f t="shared" si="450"/>
        <v>0</v>
      </c>
      <c r="G361" s="830">
        <f t="shared" si="450"/>
        <v>0</v>
      </c>
      <c r="H361" s="830">
        <f t="shared" si="450"/>
        <v>0</v>
      </c>
      <c r="I361" s="832">
        <f t="shared" si="450"/>
        <v>0</v>
      </c>
      <c r="J361" s="832">
        <f t="shared" si="450"/>
        <v>0</v>
      </c>
      <c r="K361" s="830">
        <f t="shared" si="450"/>
        <v>0</v>
      </c>
      <c r="L361" s="830">
        <f t="shared" si="450"/>
        <v>0</v>
      </c>
      <c r="M361" s="830">
        <f t="shared" si="450"/>
        <v>0</v>
      </c>
      <c r="N361" s="830">
        <f t="shared" si="450"/>
        <v>0</v>
      </c>
      <c r="O361" s="832">
        <f t="shared" si="450"/>
        <v>0</v>
      </c>
      <c r="P361" s="832">
        <f t="shared" si="450"/>
        <v>0</v>
      </c>
      <c r="Q361" s="830">
        <f t="shared" si="450"/>
        <v>0</v>
      </c>
      <c r="R361" s="833">
        <f t="shared" si="450"/>
        <v>0</v>
      </c>
      <c r="S361" s="832">
        <f t="shared" si="450"/>
        <v>0</v>
      </c>
      <c r="T361" s="213"/>
      <c r="U361" s="858"/>
      <c r="V361" s="858"/>
      <c r="W361" s="858"/>
      <c r="X361" s="858"/>
      <c r="Y361" s="858"/>
      <c r="Z361" s="858"/>
      <c r="AA361" s="859"/>
      <c r="AB361" s="859"/>
      <c r="AC361" s="858"/>
      <c r="AD361" s="858"/>
      <c r="AE361" s="858"/>
      <c r="AF361" s="858"/>
      <c r="AG361" s="859"/>
      <c r="AH361" s="862">
        <f t="shared" ref="AH361:AK361" si="451">AH367+AH373+AH379+AH385+AH391+AH397+AH403+AH409+AH415+AH421+AH427+AH433+AH439</f>
        <v>0</v>
      </c>
      <c r="AI361" s="862">
        <f t="shared" si="451"/>
        <v>0</v>
      </c>
      <c r="AJ361" s="862">
        <f t="shared" si="451"/>
        <v>0</v>
      </c>
      <c r="AK361" s="862">
        <f t="shared" si="451"/>
        <v>0</v>
      </c>
      <c r="AL361" s="209"/>
      <c r="AM361" s="209"/>
    </row>
    <row r="362" spans="1:39" s="80" customFormat="1">
      <c r="A362" s="436"/>
      <c r="B362" s="436" t="s">
        <v>59</v>
      </c>
      <c r="C362" s="834">
        <f>IF(U362&gt;0,(U362/U362),0)</f>
        <v>0</v>
      </c>
      <c r="D362" s="835">
        <f t="shared" ref="D362:S362" si="452">IF(V362&gt;0,(V362/V362),0)</f>
        <v>0</v>
      </c>
      <c r="E362" s="835">
        <f t="shared" si="452"/>
        <v>0</v>
      </c>
      <c r="F362" s="835">
        <f t="shared" si="452"/>
        <v>1</v>
      </c>
      <c r="G362" s="835">
        <f t="shared" si="452"/>
        <v>0</v>
      </c>
      <c r="H362" s="835">
        <f t="shared" si="452"/>
        <v>0</v>
      </c>
      <c r="I362" s="834">
        <f t="shared" si="452"/>
        <v>1</v>
      </c>
      <c r="J362" s="834">
        <f t="shared" si="452"/>
        <v>0</v>
      </c>
      <c r="K362" s="835">
        <f t="shared" si="452"/>
        <v>0</v>
      </c>
      <c r="L362" s="835">
        <f t="shared" si="452"/>
        <v>0</v>
      </c>
      <c r="M362" s="835">
        <f t="shared" si="452"/>
        <v>0</v>
      </c>
      <c r="N362" s="835">
        <f t="shared" si="452"/>
        <v>0</v>
      </c>
      <c r="O362" s="834">
        <f t="shared" si="452"/>
        <v>0</v>
      </c>
      <c r="P362" s="834">
        <f t="shared" si="452"/>
        <v>0</v>
      </c>
      <c r="Q362" s="835">
        <f t="shared" si="452"/>
        <v>0</v>
      </c>
      <c r="R362" s="836">
        <f t="shared" si="452"/>
        <v>0</v>
      </c>
      <c r="S362" s="834">
        <f t="shared" si="452"/>
        <v>0</v>
      </c>
      <c r="T362" s="213"/>
      <c r="U362" s="871"/>
      <c r="V362" s="871"/>
      <c r="W362" s="871"/>
      <c r="X362" s="871">
        <v>242</v>
      </c>
      <c r="Y362" s="871"/>
      <c r="Z362" s="871"/>
      <c r="AA362" s="864">
        <v>242</v>
      </c>
      <c r="AB362" s="864"/>
      <c r="AC362" s="871"/>
      <c r="AD362" s="871"/>
      <c r="AE362" s="871"/>
      <c r="AF362" s="871"/>
      <c r="AG362" s="864"/>
      <c r="AH362" s="862">
        <f t="shared" ref="AH362:AK362" si="453">AH368+AH374+AH380+AH386+AH392+AH398+AH404+AH410+AH416+AH422+AH428+AH434+AH440</f>
        <v>0</v>
      </c>
      <c r="AI362" s="862">
        <f t="shared" si="453"/>
        <v>0</v>
      </c>
      <c r="AJ362" s="862">
        <f t="shared" si="453"/>
        <v>0</v>
      </c>
      <c r="AK362" s="862">
        <f t="shared" si="453"/>
        <v>0</v>
      </c>
      <c r="AL362" s="209"/>
      <c r="AM362" s="209"/>
    </row>
  </sheetData>
  <phoneticPr fontId="44" type="noConversion"/>
  <conditionalFormatting sqref="C22:S22 C29:S29 C36:S36 C43:S43 C50:S50 C57:S57 C64:S64 C71:S71 C78:S78 C85:S85 C92:S92 C99:S99 C106:S106 C113:S113 C120:S120 C127:S127 C134:S134 I15:S15">
    <cfRule type="cellIs" dxfId="1" priority="1" stopIfTrue="1" operator="notEqual">
      <formula>1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M367"/>
  <sheetViews>
    <sheetView topLeftCell="A339" workbookViewId="0">
      <selection activeCell="A134" sqref="A134:XFD361"/>
    </sheetView>
  </sheetViews>
  <sheetFormatPr defaultColWidth="7.88671875" defaultRowHeight="15"/>
  <cols>
    <col min="1" max="1" width="5" style="80" customWidth="1"/>
    <col min="2" max="2" width="13.88671875" style="84" customWidth="1"/>
    <col min="3" max="3" width="5.5546875" style="80" bestFit="1" customWidth="1"/>
    <col min="4" max="4" width="5.21875" style="80" customWidth="1"/>
    <col min="5" max="5" width="5.109375" style="80" customWidth="1"/>
    <col min="6" max="6" width="4.6640625" style="80" customWidth="1"/>
    <col min="7" max="7" width="5.109375" style="80" customWidth="1"/>
    <col min="8" max="8" width="4.88671875" style="80" customWidth="1"/>
    <col min="9" max="9" width="5.77734375" style="80" bestFit="1" customWidth="1"/>
    <col min="10" max="10" width="5.21875" style="80" customWidth="1"/>
    <col min="11" max="13" width="4.88671875" style="80" bestFit="1" customWidth="1"/>
    <col min="14" max="14" width="5.109375" style="80" customWidth="1"/>
    <col min="15" max="15" width="5.21875" style="80" customWidth="1"/>
    <col min="16" max="17" width="4.88671875" style="80" bestFit="1" customWidth="1"/>
    <col min="18" max="18" width="5" style="80" customWidth="1"/>
    <col min="19" max="19" width="4.6640625" style="84" customWidth="1"/>
    <col min="20" max="20" width="3.21875" style="213" customWidth="1"/>
    <col min="21" max="21" width="6.6640625" style="209" bestFit="1" customWidth="1"/>
    <col min="22" max="22" width="6.6640625" style="209" customWidth="1"/>
    <col min="23" max="23" width="6.6640625" style="209" bestFit="1" customWidth="1"/>
    <col min="24" max="24" width="6.44140625" style="209" customWidth="1"/>
    <col min="25" max="26" width="6.6640625" style="209" bestFit="1" customWidth="1"/>
    <col min="27" max="27" width="7.44140625" style="209" bestFit="1" customWidth="1"/>
    <col min="28" max="28" width="5.6640625" style="209" bestFit="1" customWidth="1"/>
    <col min="29" max="31" width="6.6640625" style="209" bestFit="1" customWidth="1"/>
    <col min="32" max="32" width="6.109375" style="209" bestFit="1" customWidth="1"/>
    <col min="33" max="33" width="7.44140625" style="209" bestFit="1" customWidth="1"/>
    <col min="34" max="34" width="6" style="209" customWidth="1"/>
    <col min="35" max="35" width="5.77734375" style="209" bestFit="1" customWidth="1"/>
    <col min="36" max="36" width="4.77734375" style="209" customWidth="1"/>
    <col min="37" max="37" width="5.6640625" style="214" customWidth="1"/>
    <col min="38" max="38" width="4.77734375" style="209" customWidth="1"/>
    <col min="39" max="39" width="7.88671875" style="209" customWidth="1"/>
    <col min="40" max="16384" width="7.88671875" style="80"/>
  </cols>
  <sheetData>
    <row r="1" spans="1:39" ht="18">
      <c r="A1" s="203" t="s">
        <v>49</v>
      </c>
      <c r="B1" s="204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4"/>
      <c r="T1" s="206" t="s">
        <v>86</v>
      </c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8"/>
    </row>
    <row r="2" spans="1:39" ht="18">
      <c r="A2" s="203" t="s">
        <v>127</v>
      </c>
      <c r="B2" s="204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4"/>
      <c r="T2" s="206" t="s">
        <v>86</v>
      </c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  <c r="AK2" s="208"/>
    </row>
    <row r="3" spans="1:39" s="55" customFormat="1" ht="18.75" customHeight="1">
      <c r="A3" s="143" t="s">
        <v>129</v>
      </c>
      <c r="B3" s="82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2"/>
      <c r="T3" s="210" t="s">
        <v>86</v>
      </c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2"/>
      <c r="AL3" s="64"/>
      <c r="AM3" s="64"/>
    </row>
    <row r="4" spans="1:39" s="55" customFormat="1" ht="15.75" customHeight="1">
      <c r="A4" s="81"/>
      <c r="B4" s="82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2"/>
      <c r="T4" s="210" t="s">
        <v>86</v>
      </c>
      <c r="U4" s="432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2"/>
      <c r="AL4" s="64"/>
      <c r="AM4" s="64"/>
    </row>
    <row r="5" spans="1:39" ht="15.75" customHeight="1">
      <c r="A5" s="57"/>
      <c r="T5" s="213" t="s">
        <v>86</v>
      </c>
    </row>
    <row r="6" spans="1:39">
      <c r="A6" s="215"/>
      <c r="B6" s="60"/>
      <c r="C6" s="87" t="s">
        <v>95</v>
      </c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216"/>
      <c r="U6" s="87" t="s">
        <v>52</v>
      </c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</row>
    <row r="7" spans="1:39">
      <c r="A7" s="218"/>
      <c r="B7" s="219"/>
      <c r="C7" s="90" t="s">
        <v>96</v>
      </c>
      <c r="D7" s="91"/>
      <c r="E7" s="91"/>
      <c r="F7" s="91"/>
      <c r="G7" s="91"/>
      <c r="H7" s="91"/>
      <c r="I7" s="91"/>
      <c r="J7" s="92" t="s">
        <v>97</v>
      </c>
      <c r="K7" s="220"/>
      <c r="L7" s="220"/>
      <c r="M7" s="220"/>
      <c r="N7" s="221"/>
      <c r="O7" s="222"/>
      <c r="P7" s="92" t="s">
        <v>110</v>
      </c>
      <c r="Q7" s="220"/>
      <c r="R7" s="220"/>
      <c r="S7" s="91"/>
      <c r="U7" s="90" t="s">
        <v>96</v>
      </c>
      <c r="V7" s="223"/>
      <c r="W7" s="223"/>
      <c r="X7" s="223"/>
      <c r="Y7" s="223"/>
      <c r="Z7" s="223"/>
      <c r="AA7" s="223"/>
      <c r="AB7" s="224" t="s">
        <v>97</v>
      </c>
      <c r="AC7" s="225"/>
      <c r="AD7" s="225"/>
      <c r="AE7" s="225"/>
      <c r="AF7" s="226"/>
      <c r="AG7" s="227"/>
      <c r="AH7" s="224" t="s">
        <v>110</v>
      </c>
      <c r="AI7" s="225"/>
      <c r="AJ7" s="225"/>
      <c r="AK7" s="223"/>
    </row>
    <row r="8" spans="1:39" ht="54" customHeight="1">
      <c r="A8" s="228"/>
      <c r="B8" s="229"/>
      <c r="C8" s="230">
        <v>1</v>
      </c>
      <c r="D8" s="93">
        <v>2</v>
      </c>
      <c r="E8" s="93">
        <v>3</v>
      </c>
      <c r="F8" s="93">
        <v>4</v>
      </c>
      <c r="G8" s="93">
        <v>5</v>
      </c>
      <c r="H8" s="93">
        <v>6</v>
      </c>
      <c r="I8" s="231" t="s">
        <v>119</v>
      </c>
      <c r="J8" s="232" t="s">
        <v>111</v>
      </c>
      <c r="K8" s="93">
        <v>1</v>
      </c>
      <c r="L8" s="93">
        <v>2</v>
      </c>
      <c r="M8" s="93">
        <v>3</v>
      </c>
      <c r="N8" s="232" t="s">
        <v>120</v>
      </c>
      <c r="O8" s="231" t="s">
        <v>121</v>
      </c>
      <c r="P8" s="232">
        <v>1</v>
      </c>
      <c r="Q8" s="232">
        <v>2</v>
      </c>
      <c r="R8" s="232" t="s">
        <v>120</v>
      </c>
      <c r="S8" s="233" t="s">
        <v>113</v>
      </c>
      <c r="T8" s="234"/>
      <c r="U8" s="235">
        <v>1</v>
      </c>
      <c r="V8" s="236">
        <v>2</v>
      </c>
      <c r="W8" s="236">
        <v>3</v>
      </c>
      <c r="X8" s="236">
        <v>4</v>
      </c>
      <c r="Y8" s="236">
        <v>5</v>
      </c>
      <c r="Z8" s="236">
        <v>6</v>
      </c>
      <c r="AA8" s="341" t="s">
        <v>98</v>
      </c>
      <c r="AB8" s="237" t="s">
        <v>111</v>
      </c>
      <c r="AC8" s="236">
        <v>1</v>
      </c>
      <c r="AD8" s="236">
        <v>2</v>
      </c>
      <c r="AE8" s="236">
        <v>3</v>
      </c>
      <c r="AF8" s="237" t="s">
        <v>114</v>
      </c>
      <c r="AG8" s="341" t="s">
        <v>113</v>
      </c>
      <c r="AH8" s="237">
        <v>1</v>
      </c>
      <c r="AI8" s="237">
        <v>2</v>
      </c>
      <c r="AJ8" s="237" t="s">
        <v>114</v>
      </c>
      <c r="AK8" s="238" t="s">
        <v>113</v>
      </c>
    </row>
    <row r="9" spans="1:39" ht="18" customHeight="1">
      <c r="A9" s="239" t="s">
        <v>128</v>
      </c>
      <c r="B9" s="240" t="s">
        <v>53</v>
      </c>
      <c r="C9" s="821">
        <f>IF(U14&gt;0,(U9/U14),0)</f>
        <v>0.37325666871418933</v>
      </c>
      <c r="D9" s="822">
        <f t="shared" ref="D9:S9" si="0">IF(V14&gt;0,(V9/V14),0)</f>
        <v>0.2935565651748287</v>
      </c>
      <c r="E9" s="822">
        <f t="shared" si="0"/>
        <v>0.29007596884315801</v>
      </c>
      <c r="F9" s="822">
        <f t="shared" si="0"/>
        <v>0.26828370418848169</v>
      </c>
      <c r="G9" s="822">
        <f t="shared" si="0"/>
        <v>0.25314453566317691</v>
      </c>
      <c r="H9" s="822">
        <f t="shared" si="0"/>
        <v>0.21750188394875658</v>
      </c>
      <c r="I9" s="821">
        <f t="shared" si="0"/>
        <v>0.31651065907371911</v>
      </c>
      <c r="J9" s="821">
        <f t="shared" si="0"/>
        <v>7.1926999463231348E-2</v>
      </c>
      <c r="K9" s="822">
        <f t="shared" si="0"/>
        <v>0.12554302411415103</v>
      </c>
      <c r="L9" s="822">
        <f t="shared" si="0"/>
        <v>0.12857372043810303</v>
      </c>
      <c r="M9" s="822">
        <f t="shared" si="0"/>
        <v>0.105699718438475</v>
      </c>
      <c r="N9" s="822">
        <f t="shared" si="0"/>
        <v>0.20588235294117646</v>
      </c>
      <c r="O9" s="821">
        <f t="shared" si="0"/>
        <v>0.12511753465376566</v>
      </c>
      <c r="P9" s="821">
        <f t="shared" si="0"/>
        <v>1.9896538002387586E-3</v>
      </c>
      <c r="Q9" s="822">
        <f t="shared" si="0"/>
        <v>2.942907592701589E-3</v>
      </c>
      <c r="R9" s="823">
        <f t="shared" si="0"/>
        <v>0</v>
      </c>
      <c r="S9" s="821">
        <f t="shared" si="0"/>
        <v>2.1190930281839372E-3</v>
      </c>
      <c r="T9" s="274"/>
      <c r="U9" s="796">
        <f>U15+U134+U218+U296+U356</f>
        <v>37067</v>
      </c>
      <c r="V9" s="796">
        <f t="shared" ref="V9:AK9" si="1">V15+V134+V218+V296+V356</f>
        <v>11695</v>
      </c>
      <c r="W9" s="796">
        <f t="shared" si="1"/>
        <v>18099</v>
      </c>
      <c r="X9" s="796">
        <f t="shared" si="1"/>
        <v>6559</v>
      </c>
      <c r="Y9" s="796">
        <f t="shared" si="1"/>
        <v>3361</v>
      </c>
      <c r="Z9" s="796">
        <f t="shared" si="1"/>
        <v>2309</v>
      </c>
      <c r="AA9" s="801">
        <f t="shared" si="1"/>
        <v>79090</v>
      </c>
      <c r="AB9" s="801">
        <f t="shared" si="1"/>
        <v>134</v>
      </c>
      <c r="AC9" s="796">
        <f t="shared" si="1"/>
        <v>6956</v>
      </c>
      <c r="AD9" s="796">
        <f t="shared" si="1"/>
        <v>5049</v>
      </c>
      <c r="AE9" s="796">
        <f t="shared" si="1"/>
        <v>1389</v>
      </c>
      <c r="AF9" s="796">
        <f t="shared" si="1"/>
        <v>497</v>
      </c>
      <c r="AG9" s="801">
        <f t="shared" si="1"/>
        <v>14025</v>
      </c>
      <c r="AH9" s="801">
        <f t="shared" si="1"/>
        <v>5</v>
      </c>
      <c r="AI9" s="796">
        <f t="shared" si="1"/>
        <v>5</v>
      </c>
      <c r="AJ9" s="818">
        <f t="shared" si="1"/>
        <v>0</v>
      </c>
      <c r="AK9" s="801">
        <f t="shared" si="1"/>
        <v>10</v>
      </c>
    </row>
    <row r="10" spans="1:39" ht="18" customHeight="1">
      <c r="A10" s="249"/>
      <c r="B10" s="239" t="s">
        <v>93</v>
      </c>
      <c r="C10" s="824">
        <f>IF(U14&gt;0,(U10/U14),0)</f>
        <v>0.25377868629603151</v>
      </c>
      <c r="D10" s="822">
        <f t="shared" ref="D10:S10" si="2">IF(V14&gt;0,(V10/V14),0)</f>
        <v>0.27809432967694975</v>
      </c>
      <c r="E10" s="822">
        <f t="shared" si="2"/>
        <v>0.24979966022373945</v>
      </c>
      <c r="F10" s="822">
        <f t="shared" si="2"/>
        <v>0.26668848167539266</v>
      </c>
      <c r="G10" s="822">
        <f t="shared" si="2"/>
        <v>0.25721171951495064</v>
      </c>
      <c r="H10" s="822">
        <f t="shared" si="2"/>
        <v>0.25706480783722685</v>
      </c>
      <c r="I10" s="824">
        <f t="shared" si="2"/>
        <v>0.25824692553655543</v>
      </c>
      <c r="J10" s="824">
        <f t="shared" si="2"/>
        <v>9.1250670960815891E-2</v>
      </c>
      <c r="K10" s="822">
        <f t="shared" si="2"/>
        <v>8.2732780698572206E-2</v>
      </c>
      <c r="L10" s="822">
        <f t="shared" si="2"/>
        <v>8.5664883254858118E-2</v>
      </c>
      <c r="M10" s="822">
        <f t="shared" si="2"/>
        <v>8.5609923141313451E-2</v>
      </c>
      <c r="N10" s="822">
        <f t="shared" si="2"/>
        <v>0.28583264291632143</v>
      </c>
      <c r="O10" s="824">
        <f t="shared" si="2"/>
        <v>8.8612653954784612E-2</v>
      </c>
      <c r="P10" s="824">
        <f t="shared" si="2"/>
        <v>5.1730998806207721E-3</v>
      </c>
      <c r="Q10" s="822">
        <f t="shared" si="2"/>
        <v>7.6515597410241314E-3</v>
      </c>
      <c r="R10" s="825">
        <f t="shared" si="2"/>
        <v>0</v>
      </c>
      <c r="S10" s="824">
        <f t="shared" si="2"/>
        <v>5.5096418732782371E-3</v>
      </c>
      <c r="T10" s="274"/>
      <c r="U10" s="796">
        <f>U16+U135+U219+U297+U357</f>
        <v>25202</v>
      </c>
      <c r="V10" s="796">
        <f t="shared" ref="V10:AK10" si="3">V16+V135+V219+V297+V357</f>
        <v>11079</v>
      </c>
      <c r="W10" s="796">
        <f t="shared" si="3"/>
        <v>15586</v>
      </c>
      <c r="X10" s="796">
        <f t="shared" si="3"/>
        <v>6520</v>
      </c>
      <c r="Y10" s="796">
        <f t="shared" si="3"/>
        <v>3415</v>
      </c>
      <c r="Z10" s="796">
        <f t="shared" si="3"/>
        <v>2729</v>
      </c>
      <c r="AA10" s="802">
        <f t="shared" si="3"/>
        <v>64531</v>
      </c>
      <c r="AB10" s="802">
        <f t="shared" si="3"/>
        <v>170</v>
      </c>
      <c r="AC10" s="796">
        <f t="shared" si="3"/>
        <v>4584</v>
      </c>
      <c r="AD10" s="796">
        <f t="shared" si="3"/>
        <v>3364</v>
      </c>
      <c r="AE10" s="796">
        <f t="shared" si="3"/>
        <v>1125</v>
      </c>
      <c r="AF10" s="796">
        <f t="shared" si="3"/>
        <v>690</v>
      </c>
      <c r="AG10" s="802">
        <f t="shared" si="3"/>
        <v>9933</v>
      </c>
      <c r="AH10" s="802">
        <f t="shared" si="3"/>
        <v>13</v>
      </c>
      <c r="AI10" s="796">
        <f t="shared" si="3"/>
        <v>13</v>
      </c>
      <c r="AJ10" s="819">
        <f t="shared" si="3"/>
        <v>0</v>
      </c>
      <c r="AK10" s="802">
        <f t="shared" si="3"/>
        <v>26</v>
      </c>
    </row>
    <row r="11" spans="1:39" ht="18" customHeight="1">
      <c r="A11" s="249"/>
      <c r="B11" s="239" t="s">
        <v>55</v>
      </c>
      <c r="C11" s="824">
        <f>IF(U14&gt;0,(U11/U14),0)</f>
        <v>0.23753612534866625</v>
      </c>
      <c r="D11" s="822">
        <f t="shared" ref="D11:S11" si="4">IF(V14&gt;0,(V11/V14),0)</f>
        <v>0.26451467155300085</v>
      </c>
      <c r="E11" s="822">
        <f t="shared" si="4"/>
        <v>0.28879379427509055</v>
      </c>
      <c r="F11" s="822">
        <f t="shared" si="4"/>
        <v>0.31123200261780104</v>
      </c>
      <c r="G11" s="822">
        <f t="shared" si="4"/>
        <v>0.32454620772764931</v>
      </c>
      <c r="H11" s="822">
        <f t="shared" si="4"/>
        <v>0.32206103993971363</v>
      </c>
      <c r="I11" s="824">
        <f t="shared" si="4"/>
        <v>0.27006054882123892</v>
      </c>
      <c r="J11" s="824">
        <f t="shared" si="4"/>
        <v>0.1529790660225443</v>
      </c>
      <c r="K11" s="822">
        <f t="shared" si="4"/>
        <v>9.2045632976160183E-2</v>
      </c>
      <c r="L11" s="822">
        <f t="shared" si="4"/>
        <v>9.7073286256694147E-2</v>
      </c>
      <c r="M11" s="822">
        <f t="shared" si="4"/>
        <v>0.1088958222357507</v>
      </c>
      <c r="N11" s="822">
        <f t="shared" si="4"/>
        <v>0.26677713338856668</v>
      </c>
      <c r="O11" s="824">
        <f t="shared" si="4"/>
        <v>0.10055792161263789</v>
      </c>
      <c r="P11" s="824">
        <f t="shared" si="4"/>
        <v>9.9482690011937925E-3</v>
      </c>
      <c r="Q11" s="822">
        <f t="shared" si="4"/>
        <v>1.0005885815185403E-2</v>
      </c>
      <c r="R11" s="825">
        <f t="shared" si="4"/>
        <v>0</v>
      </c>
      <c r="S11" s="824">
        <f t="shared" si="4"/>
        <v>8.9001907183725373E-3</v>
      </c>
      <c r="T11" s="274"/>
      <c r="U11" s="796">
        <f>U17+U136+U220+U298+U358</f>
        <v>23589</v>
      </c>
      <c r="V11" s="796">
        <f t="shared" ref="V11:AK11" si="5">V17+V136+V220+V298+V358</f>
        <v>10538</v>
      </c>
      <c r="W11" s="796">
        <f t="shared" si="5"/>
        <v>18019</v>
      </c>
      <c r="X11" s="796">
        <f t="shared" si="5"/>
        <v>7609</v>
      </c>
      <c r="Y11" s="796">
        <f t="shared" si="5"/>
        <v>4309</v>
      </c>
      <c r="Z11" s="796">
        <f t="shared" si="5"/>
        <v>3419</v>
      </c>
      <c r="AA11" s="802">
        <f t="shared" si="5"/>
        <v>67483</v>
      </c>
      <c r="AB11" s="802">
        <f t="shared" si="5"/>
        <v>285</v>
      </c>
      <c r="AC11" s="796">
        <f t="shared" si="5"/>
        <v>5100</v>
      </c>
      <c r="AD11" s="796">
        <f t="shared" si="5"/>
        <v>3812</v>
      </c>
      <c r="AE11" s="796">
        <f t="shared" si="5"/>
        <v>1431</v>
      </c>
      <c r="AF11" s="796">
        <f t="shared" si="5"/>
        <v>644</v>
      </c>
      <c r="AG11" s="802">
        <f t="shared" si="5"/>
        <v>11272</v>
      </c>
      <c r="AH11" s="802">
        <f t="shared" si="5"/>
        <v>25</v>
      </c>
      <c r="AI11" s="796">
        <f t="shared" si="5"/>
        <v>17</v>
      </c>
      <c r="AJ11" s="819">
        <f t="shared" si="5"/>
        <v>0</v>
      </c>
      <c r="AK11" s="802">
        <f t="shared" si="5"/>
        <v>42</v>
      </c>
    </row>
    <row r="12" spans="1:39" ht="18" customHeight="1">
      <c r="A12" s="249"/>
      <c r="B12" s="239" t="s">
        <v>78</v>
      </c>
      <c r="C12" s="824">
        <f>IF(U14&gt;0,(U12/U14),0)</f>
        <v>4.3874047146726818E-2</v>
      </c>
      <c r="D12" s="822">
        <f t="shared" ref="D12:S12" si="6">IF(V14&gt;0,(V12/V14),0)</f>
        <v>8.8179924194884407E-2</v>
      </c>
      <c r="E12" s="822">
        <f t="shared" si="6"/>
        <v>7.8276757380517356E-2</v>
      </c>
      <c r="F12" s="822">
        <f t="shared" si="6"/>
        <v>7.1662303664921462E-2</v>
      </c>
      <c r="G12" s="822">
        <f t="shared" si="6"/>
        <v>8.1117722377043011E-2</v>
      </c>
      <c r="H12" s="822">
        <f t="shared" si="6"/>
        <v>0.12886209495101733</v>
      </c>
      <c r="I12" s="824">
        <f t="shared" si="6"/>
        <v>6.7836290074075253E-2</v>
      </c>
      <c r="J12" s="824">
        <f t="shared" si="6"/>
        <v>8.8030059044551801E-2</v>
      </c>
      <c r="K12" s="822">
        <f t="shared" si="6"/>
        <v>0.42440256067341303</v>
      </c>
      <c r="L12" s="822">
        <f t="shared" si="6"/>
        <v>0.29501417137560382</v>
      </c>
      <c r="M12" s="822">
        <f t="shared" si="6"/>
        <v>0.34441823301118635</v>
      </c>
      <c r="N12" s="822">
        <f t="shared" si="6"/>
        <v>0.24109362054681027</v>
      </c>
      <c r="O12" s="824">
        <f t="shared" si="6"/>
        <v>0.36016007907606606</v>
      </c>
      <c r="P12" s="824">
        <f t="shared" si="6"/>
        <v>0.10943095901313171</v>
      </c>
      <c r="Q12" s="822">
        <f t="shared" si="6"/>
        <v>0.3372572101236021</v>
      </c>
      <c r="R12" s="825">
        <f t="shared" si="6"/>
        <v>0.99605522682445757</v>
      </c>
      <c r="S12" s="824">
        <f t="shared" si="6"/>
        <v>0.28671328671328672</v>
      </c>
      <c r="T12" s="274"/>
      <c r="U12" s="796">
        <f>U18+U137+U221+U299+U359</f>
        <v>4357</v>
      </c>
      <c r="V12" s="796">
        <f t="shared" ref="V12:AK12" si="7">V18+V137+V221+V299+V359</f>
        <v>3513</v>
      </c>
      <c r="W12" s="796">
        <f t="shared" si="7"/>
        <v>4884</v>
      </c>
      <c r="X12" s="796">
        <f t="shared" si="7"/>
        <v>1752</v>
      </c>
      <c r="Y12" s="796">
        <f t="shared" si="7"/>
        <v>1077</v>
      </c>
      <c r="Z12" s="796">
        <f t="shared" si="7"/>
        <v>1368</v>
      </c>
      <c r="AA12" s="802">
        <f t="shared" si="7"/>
        <v>16951</v>
      </c>
      <c r="AB12" s="802">
        <f t="shared" si="7"/>
        <v>164</v>
      </c>
      <c r="AC12" s="796">
        <f t="shared" si="7"/>
        <v>23515</v>
      </c>
      <c r="AD12" s="796">
        <f t="shared" si="7"/>
        <v>11585</v>
      </c>
      <c r="AE12" s="796">
        <f t="shared" si="7"/>
        <v>4526</v>
      </c>
      <c r="AF12" s="796">
        <f t="shared" si="7"/>
        <v>582</v>
      </c>
      <c r="AG12" s="802">
        <f t="shared" si="7"/>
        <v>40372</v>
      </c>
      <c r="AH12" s="802">
        <f t="shared" si="7"/>
        <v>275</v>
      </c>
      <c r="AI12" s="796">
        <f t="shared" si="7"/>
        <v>573</v>
      </c>
      <c r="AJ12" s="819">
        <f t="shared" si="7"/>
        <v>505</v>
      </c>
      <c r="AK12" s="802">
        <f t="shared" si="7"/>
        <v>1353</v>
      </c>
    </row>
    <row r="13" spans="1:39" ht="18" customHeight="1">
      <c r="A13" s="249"/>
      <c r="B13" s="580" t="s">
        <v>131</v>
      </c>
      <c r="C13" s="824">
        <f>IF(U14&gt;0,(U13/U14),0)</f>
        <v>9.1554472494386099E-2</v>
      </c>
      <c r="D13" s="822">
        <f t="shared" ref="D13:S13" si="8">IF(V14&gt;0,(V13/V14),0)</f>
        <v>7.5654509400336356E-2</v>
      </c>
      <c r="E13" s="822">
        <f t="shared" si="8"/>
        <v>9.3053819277494634E-2</v>
      </c>
      <c r="F13" s="822">
        <f t="shared" si="8"/>
        <v>8.2133507853403148E-2</v>
      </c>
      <c r="G13" s="822">
        <f t="shared" si="8"/>
        <v>8.3979814717180079E-2</v>
      </c>
      <c r="H13" s="822">
        <f t="shared" si="8"/>
        <v>7.4510173323285606E-2</v>
      </c>
      <c r="I13" s="824">
        <f t="shared" si="8"/>
        <v>8.7345576494411339E-2</v>
      </c>
      <c r="J13" s="824">
        <f t="shared" si="8"/>
        <v>0.59581320450885666</v>
      </c>
      <c r="K13" s="822">
        <f t="shared" si="8"/>
        <v>0.27527600153770349</v>
      </c>
      <c r="L13" s="822">
        <f t="shared" si="8"/>
        <v>0.39367393867474076</v>
      </c>
      <c r="M13" s="822">
        <f t="shared" si="8"/>
        <v>0.35537630317327451</v>
      </c>
      <c r="N13" s="822">
        <f t="shared" si="8"/>
        <v>4.1425020712510354E-4</v>
      </c>
      <c r="O13" s="824">
        <f t="shared" si="8"/>
        <v>0.32555181070274569</v>
      </c>
      <c r="P13" s="824">
        <f t="shared" si="8"/>
        <v>0.87345801830481495</v>
      </c>
      <c r="Q13" s="822">
        <f t="shared" si="8"/>
        <v>0.64214243672748672</v>
      </c>
      <c r="R13" s="825">
        <f t="shared" si="8"/>
        <v>3.9447731755424065E-3</v>
      </c>
      <c r="S13" s="824">
        <f t="shared" si="8"/>
        <v>0.69675778766687857</v>
      </c>
      <c r="T13" s="274"/>
      <c r="U13" s="796">
        <f>U19+U20+U138+U222+U300+U360</f>
        <v>9092</v>
      </c>
      <c r="V13" s="796">
        <f t="shared" ref="V13:AK13" si="9">V19+V20+V138+V222+V300+V360</f>
        <v>3014</v>
      </c>
      <c r="W13" s="796">
        <f t="shared" si="9"/>
        <v>5806</v>
      </c>
      <c r="X13" s="796">
        <f t="shared" si="9"/>
        <v>2008</v>
      </c>
      <c r="Y13" s="796">
        <f t="shared" si="9"/>
        <v>1115</v>
      </c>
      <c r="Z13" s="796">
        <f t="shared" si="9"/>
        <v>791</v>
      </c>
      <c r="AA13" s="802">
        <f t="shared" si="9"/>
        <v>21826</v>
      </c>
      <c r="AB13" s="802">
        <f t="shared" si="9"/>
        <v>1110</v>
      </c>
      <c r="AC13" s="796">
        <f t="shared" si="9"/>
        <v>15252.3</v>
      </c>
      <c r="AD13" s="796">
        <f t="shared" si="9"/>
        <v>15459.3</v>
      </c>
      <c r="AE13" s="796">
        <f t="shared" si="9"/>
        <v>4670</v>
      </c>
      <c r="AF13" s="796">
        <f t="shared" si="9"/>
        <v>1</v>
      </c>
      <c r="AG13" s="802">
        <f t="shared" si="9"/>
        <v>36492.6</v>
      </c>
      <c r="AH13" s="802">
        <f t="shared" si="9"/>
        <v>2195</v>
      </c>
      <c r="AI13" s="796">
        <f t="shared" si="9"/>
        <v>1091</v>
      </c>
      <c r="AJ13" s="819">
        <f t="shared" si="9"/>
        <v>2</v>
      </c>
      <c r="AK13" s="802">
        <f t="shared" si="9"/>
        <v>3288</v>
      </c>
    </row>
    <row r="14" spans="1:39" ht="18" customHeight="1">
      <c r="A14" s="435" t="s">
        <v>86</v>
      </c>
      <c r="B14" s="435" t="s">
        <v>59</v>
      </c>
      <c r="C14" s="826">
        <f>IF(U14&gt;0,(U14/U14),0)</f>
        <v>1</v>
      </c>
      <c r="D14" s="827">
        <f t="shared" ref="D14:S14" si="10">IF(V14&gt;0,(V14/V14),0)</f>
        <v>1</v>
      </c>
      <c r="E14" s="827">
        <f t="shared" si="10"/>
        <v>1</v>
      </c>
      <c r="F14" s="827">
        <f t="shared" si="10"/>
        <v>1</v>
      </c>
      <c r="G14" s="827">
        <f t="shared" si="10"/>
        <v>1</v>
      </c>
      <c r="H14" s="827">
        <f t="shared" si="10"/>
        <v>1</v>
      </c>
      <c r="I14" s="826">
        <f t="shared" si="10"/>
        <v>1</v>
      </c>
      <c r="J14" s="826">
        <f t="shared" si="10"/>
        <v>1</v>
      </c>
      <c r="K14" s="827">
        <f t="shared" si="10"/>
        <v>1</v>
      </c>
      <c r="L14" s="827">
        <f t="shared" si="10"/>
        <v>1</v>
      </c>
      <c r="M14" s="827">
        <f t="shared" si="10"/>
        <v>1</v>
      </c>
      <c r="N14" s="827">
        <f t="shared" si="10"/>
        <v>1</v>
      </c>
      <c r="O14" s="826">
        <f t="shared" si="10"/>
        <v>1</v>
      </c>
      <c r="P14" s="826">
        <f t="shared" si="10"/>
        <v>1</v>
      </c>
      <c r="Q14" s="827">
        <f t="shared" si="10"/>
        <v>1</v>
      </c>
      <c r="R14" s="828">
        <f t="shared" si="10"/>
        <v>1</v>
      </c>
      <c r="S14" s="826">
        <f t="shared" si="10"/>
        <v>1</v>
      </c>
      <c r="T14" s="274"/>
      <c r="U14" s="814">
        <f>U21+U139+U223+U301+U361</f>
        <v>99307</v>
      </c>
      <c r="V14" s="814">
        <f t="shared" ref="V14:AK14" si="11">V21+V139+V223+V301+V361</f>
        <v>39839</v>
      </c>
      <c r="W14" s="814">
        <f t="shared" si="11"/>
        <v>62394</v>
      </c>
      <c r="X14" s="814">
        <f t="shared" si="11"/>
        <v>24448</v>
      </c>
      <c r="Y14" s="814">
        <f t="shared" si="11"/>
        <v>13277</v>
      </c>
      <c r="Z14" s="814">
        <f t="shared" si="11"/>
        <v>10616</v>
      </c>
      <c r="AA14" s="815">
        <f t="shared" si="11"/>
        <v>249881</v>
      </c>
      <c r="AB14" s="815">
        <f t="shared" si="11"/>
        <v>1863</v>
      </c>
      <c r="AC14" s="814">
        <f t="shared" si="11"/>
        <v>55407.3</v>
      </c>
      <c r="AD14" s="814">
        <f t="shared" si="11"/>
        <v>39269.300000000003</v>
      </c>
      <c r="AE14" s="814">
        <f t="shared" si="11"/>
        <v>13141</v>
      </c>
      <c r="AF14" s="814">
        <f t="shared" si="11"/>
        <v>2414</v>
      </c>
      <c r="AG14" s="815">
        <f t="shared" si="11"/>
        <v>112094.6</v>
      </c>
      <c r="AH14" s="815">
        <f t="shared" si="11"/>
        <v>2513</v>
      </c>
      <c r="AI14" s="814">
        <f t="shared" si="11"/>
        <v>1699</v>
      </c>
      <c r="AJ14" s="820">
        <f t="shared" si="11"/>
        <v>507</v>
      </c>
      <c r="AK14" s="815">
        <f t="shared" si="11"/>
        <v>4719</v>
      </c>
    </row>
    <row r="15" spans="1:39">
      <c r="A15" s="239" t="s">
        <v>3</v>
      </c>
      <c r="B15" s="240" t="s">
        <v>53</v>
      </c>
      <c r="C15" s="241">
        <v>0.35624519811217209</v>
      </c>
      <c r="D15" s="242">
        <v>0.27855697909642618</v>
      </c>
      <c r="E15" s="242">
        <v>0.24236874236874237</v>
      </c>
      <c r="F15" s="242">
        <v>0.22672639860139859</v>
      </c>
      <c r="G15" s="242">
        <v>0.20936693788450089</v>
      </c>
      <c r="H15" s="243">
        <v>0.22888968738771109</v>
      </c>
      <c r="I15" s="462">
        <v>0.28831413568222242</v>
      </c>
      <c r="J15" s="241">
        <v>5.5200464846019759E-2</v>
      </c>
      <c r="K15" s="242">
        <v>0.12016727199674339</v>
      </c>
      <c r="L15" s="242">
        <v>9.9568015395849405E-2</v>
      </c>
      <c r="M15" s="242">
        <v>7.8532901833872709E-2</v>
      </c>
      <c r="N15" s="243">
        <v>0.20227920227920229</v>
      </c>
      <c r="O15" s="241">
        <v>0.10984853892164281</v>
      </c>
      <c r="P15" s="342">
        <v>1.9896538002387586E-3</v>
      </c>
      <c r="Q15" s="433">
        <v>2.942907592701589E-3</v>
      </c>
      <c r="R15" s="243">
        <v>0</v>
      </c>
      <c r="S15" s="342">
        <v>2.1190930281839372E-3</v>
      </c>
      <c r="T15" s="244"/>
      <c r="U15" s="245">
        <v>12983</v>
      </c>
      <c r="V15" s="246">
        <v>4131</v>
      </c>
      <c r="W15" s="246">
        <v>6352</v>
      </c>
      <c r="X15" s="246">
        <v>2075</v>
      </c>
      <c r="Y15" s="246">
        <v>1055</v>
      </c>
      <c r="Z15" s="246">
        <v>637</v>
      </c>
      <c r="AA15" s="247">
        <v>27233</v>
      </c>
      <c r="AB15" s="245">
        <v>95</v>
      </c>
      <c r="AC15" s="246">
        <v>2273</v>
      </c>
      <c r="AD15" s="246">
        <v>1459</v>
      </c>
      <c r="AE15" s="246">
        <v>364</v>
      </c>
      <c r="AF15" s="248">
        <v>426</v>
      </c>
      <c r="AG15" s="248">
        <v>4617</v>
      </c>
      <c r="AH15" s="245">
        <v>5</v>
      </c>
      <c r="AI15" s="246">
        <v>5</v>
      </c>
      <c r="AJ15" s="248">
        <v>0</v>
      </c>
      <c r="AK15" s="245">
        <v>10</v>
      </c>
    </row>
    <row r="16" spans="1:39">
      <c r="A16" s="249"/>
      <c r="B16" s="239" t="s">
        <v>93</v>
      </c>
      <c r="C16" s="250">
        <v>0.25982329052793329</v>
      </c>
      <c r="D16" s="251">
        <v>0.26972353337828725</v>
      </c>
      <c r="E16" s="251">
        <v>0.2425976800976801</v>
      </c>
      <c r="F16" s="251">
        <v>0.25579108391608391</v>
      </c>
      <c r="G16" s="251">
        <v>0.23476880333399483</v>
      </c>
      <c r="H16" s="252">
        <v>0.24829320876751707</v>
      </c>
      <c r="I16" s="437">
        <v>0.25453121029897519</v>
      </c>
      <c r="J16" s="250">
        <v>7.4375363160952931E-2</v>
      </c>
      <c r="K16" s="251">
        <v>0.10071212193303834</v>
      </c>
      <c r="L16" s="251">
        <v>8.7830045109292793E-2</v>
      </c>
      <c r="M16" s="251">
        <v>8.6084142394822011E-2</v>
      </c>
      <c r="N16" s="252">
        <v>0.30389363722697055</v>
      </c>
      <c r="O16" s="250">
        <v>0.10371015403063483</v>
      </c>
      <c r="P16" s="250">
        <v>5.1730998806207721E-3</v>
      </c>
      <c r="Q16" s="251">
        <v>7.6515597410241314E-3</v>
      </c>
      <c r="R16" s="252">
        <v>0</v>
      </c>
      <c r="S16" s="250">
        <v>5.5096418732782371E-3</v>
      </c>
      <c r="T16" s="253"/>
      <c r="U16" s="254">
        <v>9469</v>
      </c>
      <c r="V16" s="255">
        <v>4000</v>
      </c>
      <c r="W16" s="255">
        <v>6358</v>
      </c>
      <c r="X16" s="255">
        <v>2341</v>
      </c>
      <c r="Y16" s="255">
        <v>1183</v>
      </c>
      <c r="Z16" s="255">
        <v>691</v>
      </c>
      <c r="AA16" s="256">
        <v>24042</v>
      </c>
      <c r="AB16" s="254">
        <v>128</v>
      </c>
      <c r="AC16" s="255">
        <v>1905</v>
      </c>
      <c r="AD16" s="255">
        <v>1287</v>
      </c>
      <c r="AE16" s="255">
        <v>399</v>
      </c>
      <c r="AF16" s="257">
        <v>640</v>
      </c>
      <c r="AG16" s="257">
        <v>4359</v>
      </c>
      <c r="AH16" s="254">
        <v>13</v>
      </c>
      <c r="AI16" s="255">
        <v>13</v>
      </c>
      <c r="AJ16" s="257">
        <v>0</v>
      </c>
      <c r="AK16" s="254">
        <v>26</v>
      </c>
    </row>
    <row r="17" spans="1:39">
      <c r="A17" s="249"/>
      <c r="B17" s="239" t="s">
        <v>55</v>
      </c>
      <c r="C17" s="250">
        <v>0.23943584677861926</v>
      </c>
      <c r="D17" s="251">
        <v>0.27505057316250842</v>
      </c>
      <c r="E17" s="251">
        <v>0.30536477411477414</v>
      </c>
      <c r="F17" s="251">
        <v>0.35030594405594406</v>
      </c>
      <c r="G17" s="251">
        <v>0.35840444532645366</v>
      </c>
      <c r="H17" s="252">
        <v>0.32985986345670137</v>
      </c>
      <c r="I17" s="437">
        <v>0.28307360040653851</v>
      </c>
      <c r="J17" s="250">
        <v>0.13712957582800697</v>
      </c>
      <c r="K17" s="251">
        <v>7.6234582586583347E-2</v>
      </c>
      <c r="L17" s="251">
        <v>7.9981983580490412E-2</v>
      </c>
      <c r="M17" s="251">
        <v>0.10399137001078748</v>
      </c>
      <c r="N17" s="252">
        <v>0.28869895536562201</v>
      </c>
      <c r="O17" s="250">
        <v>9.3741226630121868E-2</v>
      </c>
      <c r="P17" s="250">
        <v>9.9482690011937925E-3</v>
      </c>
      <c r="Q17" s="251">
        <v>1.0005885815185403E-2</v>
      </c>
      <c r="R17" s="252">
        <v>0</v>
      </c>
      <c r="S17" s="250">
        <v>8.9001907183725373E-3</v>
      </c>
      <c r="T17" s="253"/>
      <c r="U17" s="254">
        <v>8726</v>
      </c>
      <c r="V17" s="255">
        <v>4079</v>
      </c>
      <c r="W17" s="255">
        <v>8003</v>
      </c>
      <c r="X17" s="255">
        <v>3206</v>
      </c>
      <c r="Y17" s="255">
        <v>1806</v>
      </c>
      <c r="Z17" s="255">
        <v>918</v>
      </c>
      <c r="AA17" s="256">
        <v>26738</v>
      </c>
      <c r="AB17" s="254">
        <v>236</v>
      </c>
      <c r="AC17" s="255">
        <v>1442</v>
      </c>
      <c r="AD17" s="255">
        <v>1172</v>
      </c>
      <c r="AE17" s="255">
        <v>482</v>
      </c>
      <c r="AF17" s="257">
        <v>608</v>
      </c>
      <c r="AG17" s="257">
        <v>3940</v>
      </c>
      <c r="AH17" s="254">
        <v>25</v>
      </c>
      <c r="AI17" s="255">
        <v>17</v>
      </c>
      <c r="AJ17" s="257">
        <v>0</v>
      </c>
      <c r="AK17" s="254">
        <v>42</v>
      </c>
    </row>
    <row r="18" spans="1:39">
      <c r="A18" s="249"/>
      <c r="B18" s="239" t="s">
        <v>78</v>
      </c>
      <c r="C18" s="250">
        <v>5.452200636593129E-2</v>
      </c>
      <c r="D18" s="251">
        <v>0.10977747808496291</v>
      </c>
      <c r="E18" s="251">
        <v>0.10195360195360195</v>
      </c>
      <c r="F18" s="251">
        <v>0.10030594405594405</v>
      </c>
      <c r="G18" s="251">
        <v>0.13355824568366739</v>
      </c>
      <c r="H18" s="252">
        <v>0.11821775062881783</v>
      </c>
      <c r="I18" s="437">
        <v>8.6887016176844245E-2</v>
      </c>
      <c r="J18" s="250">
        <v>8.8320743753631609E-2</v>
      </c>
      <c r="K18" s="251">
        <v>0.17356320016071647</v>
      </c>
      <c r="L18" s="251">
        <v>0.1423570117311459</v>
      </c>
      <c r="M18" s="251">
        <v>0.15965480043149946</v>
      </c>
      <c r="N18" s="252">
        <v>0.204653371320038</v>
      </c>
      <c r="O18" s="250">
        <v>0.159217332134207</v>
      </c>
      <c r="P18" s="250">
        <v>0.10943095901313171</v>
      </c>
      <c r="Q18" s="251">
        <v>0.3372572101236021</v>
      </c>
      <c r="R18" s="252">
        <v>0.99605522682445757</v>
      </c>
      <c r="S18" s="250">
        <v>0.28671328671328672</v>
      </c>
      <c r="T18" s="253"/>
      <c r="U18" s="254">
        <v>1987</v>
      </c>
      <c r="V18" s="255">
        <v>1628</v>
      </c>
      <c r="W18" s="255">
        <v>2672</v>
      </c>
      <c r="X18" s="255">
        <v>918</v>
      </c>
      <c r="Y18" s="255">
        <v>673</v>
      </c>
      <c r="Z18" s="255">
        <v>329</v>
      </c>
      <c r="AA18" s="256">
        <v>8207</v>
      </c>
      <c r="AB18" s="254">
        <v>152</v>
      </c>
      <c r="AC18" s="255">
        <v>3283</v>
      </c>
      <c r="AD18" s="255">
        <v>2086</v>
      </c>
      <c r="AE18" s="255">
        <v>740</v>
      </c>
      <c r="AF18" s="257">
        <v>431</v>
      </c>
      <c r="AG18" s="257">
        <v>6692</v>
      </c>
      <c r="AH18" s="254">
        <v>275</v>
      </c>
      <c r="AI18" s="255">
        <v>573</v>
      </c>
      <c r="AJ18" s="257">
        <v>505</v>
      </c>
      <c r="AK18" s="254">
        <v>1353</v>
      </c>
    </row>
    <row r="19" spans="1:39">
      <c r="A19" s="249"/>
      <c r="B19" s="239" t="s">
        <v>32</v>
      </c>
      <c r="C19" s="250">
        <v>8.9973658215344088E-2</v>
      </c>
      <c r="D19" s="251">
        <v>6.6891436277815242E-2</v>
      </c>
      <c r="E19" s="251">
        <v>0.10771520146520147</v>
      </c>
      <c r="F19" s="251">
        <v>6.6870629370629375E-2</v>
      </c>
      <c r="G19" s="251">
        <v>6.3901567771383214E-2</v>
      </c>
      <c r="H19" s="252">
        <v>7.4739489759252611E-2</v>
      </c>
      <c r="I19" s="437">
        <v>8.7194037435419661E-2</v>
      </c>
      <c r="J19" s="250">
        <v>1.2783265543288786E-2</v>
      </c>
      <c r="K19" s="251">
        <v>4.5518707078396857E-2</v>
      </c>
      <c r="L19" s="251">
        <v>6.5923716841940039E-2</v>
      </c>
      <c r="M19" s="251">
        <v>3.1067961165048542E-2</v>
      </c>
      <c r="N19" s="434">
        <v>4.7483380816714152E-4</v>
      </c>
      <c r="O19" s="250">
        <v>4.7441625863061679E-2</v>
      </c>
      <c r="P19" s="250">
        <v>0</v>
      </c>
      <c r="Q19" s="273">
        <v>1.7657445556209534E-3</v>
      </c>
      <c r="R19" s="252">
        <v>0</v>
      </c>
      <c r="S19" s="272">
        <v>6.3572790845518119E-4</v>
      </c>
      <c r="T19" s="253"/>
      <c r="U19" s="254">
        <v>3279</v>
      </c>
      <c r="V19" s="255">
        <v>992</v>
      </c>
      <c r="W19" s="255">
        <v>2823</v>
      </c>
      <c r="X19" s="255">
        <v>612</v>
      </c>
      <c r="Y19" s="255">
        <v>322</v>
      </c>
      <c r="Z19" s="255">
        <v>208</v>
      </c>
      <c r="AA19" s="256">
        <v>8236</v>
      </c>
      <c r="AB19" s="254">
        <v>22</v>
      </c>
      <c r="AC19" s="255">
        <v>861</v>
      </c>
      <c r="AD19" s="255">
        <v>966</v>
      </c>
      <c r="AE19" s="255">
        <v>144</v>
      </c>
      <c r="AF19" s="257">
        <v>1</v>
      </c>
      <c r="AG19" s="257">
        <v>1994</v>
      </c>
      <c r="AH19" s="254">
        <v>0</v>
      </c>
      <c r="AI19" s="255">
        <v>3</v>
      </c>
      <c r="AJ19" s="257">
        <v>0</v>
      </c>
      <c r="AK19" s="254">
        <v>3</v>
      </c>
    </row>
    <row r="20" spans="1:39">
      <c r="A20" s="249"/>
      <c r="B20" s="239" t="s">
        <v>58</v>
      </c>
      <c r="C20" s="250">
        <v>0</v>
      </c>
      <c r="D20" s="251">
        <v>0</v>
      </c>
      <c r="E20" s="419">
        <v>0</v>
      </c>
      <c r="F20" s="251">
        <v>0</v>
      </c>
      <c r="G20" s="419">
        <v>0</v>
      </c>
      <c r="H20" s="252">
        <v>0</v>
      </c>
      <c r="I20" s="437">
        <v>0</v>
      </c>
      <c r="J20" s="250">
        <v>0.63219058686809992</v>
      </c>
      <c r="K20" s="251">
        <v>0.48380411624452163</v>
      </c>
      <c r="L20" s="251">
        <v>0.52433922734128158</v>
      </c>
      <c r="M20" s="251">
        <v>0.54066882416396977</v>
      </c>
      <c r="N20" s="252">
        <v>0</v>
      </c>
      <c r="O20" s="250">
        <v>0.48604112242033182</v>
      </c>
      <c r="P20" s="250">
        <v>0.87345801830481495</v>
      </c>
      <c r="Q20" s="251">
        <v>0.64037669217186577</v>
      </c>
      <c r="R20" s="252">
        <v>3.9447731755424065E-3</v>
      </c>
      <c r="S20" s="250">
        <v>0.69612205975842334</v>
      </c>
      <c r="T20" s="253"/>
      <c r="U20" s="254">
        <v>0</v>
      </c>
      <c r="V20" s="255">
        <v>0</v>
      </c>
      <c r="W20" s="255">
        <v>0</v>
      </c>
      <c r="X20" s="255">
        <v>0</v>
      </c>
      <c r="Y20" s="255">
        <v>0</v>
      </c>
      <c r="Z20" s="255">
        <v>0</v>
      </c>
      <c r="AA20" s="256">
        <v>0</v>
      </c>
      <c r="AB20" s="254">
        <v>1088</v>
      </c>
      <c r="AC20" s="255">
        <v>9151.2999999999993</v>
      </c>
      <c r="AD20" s="255">
        <v>7683.3</v>
      </c>
      <c r="AE20" s="255">
        <v>2506</v>
      </c>
      <c r="AF20" s="257">
        <v>0</v>
      </c>
      <c r="AG20" s="257">
        <v>20428.599999999999</v>
      </c>
      <c r="AH20" s="254">
        <v>2195</v>
      </c>
      <c r="AI20" s="255">
        <v>1088</v>
      </c>
      <c r="AJ20" s="257">
        <v>2</v>
      </c>
      <c r="AK20" s="254">
        <v>3285</v>
      </c>
    </row>
    <row r="21" spans="1:39" s="271" customFormat="1">
      <c r="A21" s="435" t="s">
        <v>86</v>
      </c>
      <c r="B21" s="436" t="s">
        <v>59</v>
      </c>
      <c r="C21" s="261">
        <v>1</v>
      </c>
      <c r="D21" s="262">
        <v>1</v>
      </c>
      <c r="E21" s="262">
        <v>1</v>
      </c>
      <c r="F21" s="262">
        <v>1</v>
      </c>
      <c r="G21" s="262">
        <v>1</v>
      </c>
      <c r="H21" s="263">
        <v>1</v>
      </c>
      <c r="I21" s="463">
        <v>1</v>
      </c>
      <c r="J21" s="261">
        <v>1</v>
      </c>
      <c r="K21" s="262">
        <v>1</v>
      </c>
      <c r="L21" s="262">
        <v>1</v>
      </c>
      <c r="M21" s="262">
        <v>1</v>
      </c>
      <c r="N21" s="263">
        <v>1</v>
      </c>
      <c r="O21" s="261">
        <v>1</v>
      </c>
      <c r="P21" s="261">
        <v>1</v>
      </c>
      <c r="Q21" s="262">
        <v>1</v>
      </c>
      <c r="R21" s="263">
        <v>1</v>
      </c>
      <c r="S21" s="261">
        <v>1</v>
      </c>
      <c r="T21" s="264"/>
      <c r="U21" s="265">
        <v>36444</v>
      </c>
      <c r="V21" s="266">
        <v>14830</v>
      </c>
      <c r="W21" s="266">
        <v>26208</v>
      </c>
      <c r="X21" s="266">
        <v>9152</v>
      </c>
      <c r="Y21" s="266">
        <v>5039</v>
      </c>
      <c r="Z21" s="266">
        <v>2783</v>
      </c>
      <c r="AA21" s="267">
        <v>94456</v>
      </c>
      <c r="AB21" s="265">
        <v>1721</v>
      </c>
      <c r="AC21" s="266">
        <v>18915.3</v>
      </c>
      <c r="AD21" s="266">
        <v>14653.3</v>
      </c>
      <c r="AE21" s="266">
        <v>4635</v>
      </c>
      <c r="AF21" s="268">
        <v>2106</v>
      </c>
      <c r="AG21" s="268">
        <v>42030.6</v>
      </c>
      <c r="AH21" s="265">
        <v>2513</v>
      </c>
      <c r="AI21" s="266">
        <v>1699</v>
      </c>
      <c r="AJ21" s="268">
        <v>507</v>
      </c>
      <c r="AK21" s="265">
        <v>4719</v>
      </c>
      <c r="AL21" s="270"/>
      <c r="AM21" s="270"/>
    </row>
    <row r="22" spans="1:39">
      <c r="A22" s="239" t="s">
        <v>4</v>
      </c>
      <c r="B22" s="240" t="s">
        <v>53</v>
      </c>
      <c r="C22" s="241">
        <v>0.36402417348027016</v>
      </c>
      <c r="D22" s="242">
        <v>0.25435540069686413</v>
      </c>
      <c r="E22" s="242">
        <v>0.22645290581162325</v>
      </c>
      <c r="F22" s="242">
        <v>0.25978090766823159</v>
      </c>
      <c r="G22" s="242">
        <v>0.25217391304347825</v>
      </c>
      <c r="H22" s="243">
        <v>0.26829268292682928</v>
      </c>
      <c r="I22" s="462">
        <v>0.30317231434751263</v>
      </c>
      <c r="J22" s="241">
        <v>0</v>
      </c>
      <c r="K22" s="242">
        <v>0</v>
      </c>
      <c r="L22" s="242">
        <v>0</v>
      </c>
      <c r="M22" s="242">
        <v>0</v>
      </c>
      <c r="N22" s="243">
        <v>0</v>
      </c>
      <c r="O22" s="241">
        <v>0</v>
      </c>
      <c r="P22" s="342">
        <v>0</v>
      </c>
      <c r="Q22" s="242">
        <v>0</v>
      </c>
      <c r="R22" s="243">
        <v>0</v>
      </c>
      <c r="S22" s="342">
        <v>0</v>
      </c>
      <c r="T22" s="244"/>
      <c r="U22" s="245">
        <v>1024</v>
      </c>
      <c r="V22" s="246">
        <v>73</v>
      </c>
      <c r="W22" s="246">
        <v>339</v>
      </c>
      <c r="X22" s="246">
        <v>166</v>
      </c>
      <c r="Y22" s="246">
        <v>58</v>
      </c>
      <c r="Z22" s="246">
        <v>22</v>
      </c>
      <c r="AA22" s="247">
        <v>1682</v>
      </c>
      <c r="AB22" s="245">
        <v>0</v>
      </c>
      <c r="AC22" s="246">
        <v>0</v>
      </c>
      <c r="AD22" s="246">
        <v>0</v>
      </c>
      <c r="AE22" s="246">
        <v>0</v>
      </c>
      <c r="AF22" s="248">
        <v>0</v>
      </c>
      <c r="AG22" s="248">
        <v>0</v>
      </c>
      <c r="AH22" s="245">
        <v>0</v>
      </c>
      <c r="AI22" s="246">
        <v>0</v>
      </c>
      <c r="AJ22" s="248">
        <v>0</v>
      </c>
      <c r="AK22" s="245">
        <v>0</v>
      </c>
    </row>
    <row r="23" spans="1:39">
      <c r="A23" s="249"/>
      <c r="B23" s="239" t="s">
        <v>93</v>
      </c>
      <c r="C23" s="250">
        <v>0.29257020974049058</v>
      </c>
      <c r="D23" s="251">
        <v>0.31358885017421601</v>
      </c>
      <c r="E23" s="251">
        <v>0.22712090848363392</v>
      </c>
      <c r="F23" s="251">
        <v>0.25508607198748046</v>
      </c>
      <c r="G23" s="251">
        <v>0.24782608695652175</v>
      </c>
      <c r="H23" s="252">
        <v>0.21951219512195122</v>
      </c>
      <c r="I23" s="437">
        <v>0.26874549387166546</v>
      </c>
      <c r="J23" s="250">
        <v>0</v>
      </c>
      <c r="K23" s="251">
        <v>0</v>
      </c>
      <c r="L23" s="251">
        <v>0</v>
      </c>
      <c r="M23" s="251">
        <v>0</v>
      </c>
      <c r="N23" s="252">
        <v>0</v>
      </c>
      <c r="O23" s="250">
        <v>0</v>
      </c>
      <c r="P23" s="250">
        <v>0</v>
      </c>
      <c r="Q23" s="251">
        <v>0</v>
      </c>
      <c r="R23" s="252">
        <v>0</v>
      </c>
      <c r="S23" s="250">
        <v>0</v>
      </c>
      <c r="T23" s="253"/>
      <c r="U23" s="254">
        <v>823</v>
      </c>
      <c r="V23" s="255">
        <v>90</v>
      </c>
      <c r="W23" s="255">
        <v>340</v>
      </c>
      <c r="X23" s="255">
        <v>163</v>
      </c>
      <c r="Y23" s="255">
        <v>57</v>
      </c>
      <c r="Z23" s="255">
        <v>18</v>
      </c>
      <c r="AA23" s="256">
        <v>1491</v>
      </c>
      <c r="AB23" s="254">
        <v>0</v>
      </c>
      <c r="AC23" s="255">
        <v>0</v>
      </c>
      <c r="AD23" s="255">
        <v>0</v>
      </c>
      <c r="AE23" s="255">
        <v>0</v>
      </c>
      <c r="AF23" s="257">
        <v>0</v>
      </c>
      <c r="AG23" s="257">
        <v>0</v>
      </c>
      <c r="AH23" s="254">
        <v>0</v>
      </c>
      <c r="AI23" s="255">
        <v>0</v>
      </c>
      <c r="AJ23" s="257">
        <v>0</v>
      </c>
      <c r="AK23" s="254">
        <v>0</v>
      </c>
    </row>
    <row r="24" spans="1:39">
      <c r="A24" s="249"/>
      <c r="B24" s="239" t="s">
        <v>55</v>
      </c>
      <c r="C24" s="250">
        <v>0.23817987913259864</v>
      </c>
      <c r="D24" s="251">
        <v>0.28222996515679444</v>
      </c>
      <c r="E24" s="251">
        <v>0.34134936539746158</v>
      </c>
      <c r="F24" s="251">
        <v>0.32863849765258218</v>
      </c>
      <c r="G24" s="251">
        <v>0.35652173913043478</v>
      </c>
      <c r="H24" s="252">
        <v>0</v>
      </c>
      <c r="I24" s="437">
        <v>0.2801009372746936</v>
      </c>
      <c r="J24" s="250">
        <v>0</v>
      </c>
      <c r="K24" s="251">
        <v>0</v>
      </c>
      <c r="L24" s="251">
        <v>0</v>
      </c>
      <c r="M24" s="251">
        <v>0</v>
      </c>
      <c r="N24" s="252">
        <v>0</v>
      </c>
      <c r="O24" s="250">
        <v>0</v>
      </c>
      <c r="P24" s="250">
        <v>0</v>
      </c>
      <c r="Q24" s="251">
        <v>0</v>
      </c>
      <c r="R24" s="252">
        <v>0</v>
      </c>
      <c r="S24" s="250">
        <v>0</v>
      </c>
      <c r="T24" s="253"/>
      <c r="U24" s="254">
        <v>670</v>
      </c>
      <c r="V24" s="255">
        <v>81</v>
      </c>
      <c r="W24" s="255">
        <v>511</v>
      </c>
      <c r="X24" s="255">
        <v>210</v>
      </c>
      <c r="Y24" s="255">
        <v>82</v>
      </c>
      <c r="Z24" s="255">
        <v>0</v>
      </c>
      <c r="AA24" s="256">
        <v>1554</v>
      </c>
      <c r="AB24" s="254">
        <v>0</v>
      </c>
      <c r="AC24" s="255">
        <v>0</v>
      </c>
      <c r="AD24" s="255">
        <v>0</v>
      </c>
      <c r="AE24" s="255">
        <v>0</v>
      </c>
      <c r="AF24" s="257">
        <v>0</v>
      </c>
      <c r="AG24" s="257">
        <v>0</v>
      </c>
      <c r="AH24" s="254">
        <v>0</v>
      </c>
      <c r="AI24" s="255">
        <v>0</v>
      </c>
      <c r="AJ24" s="257">
        <v>0</v>
      </c>
      <c r="AK24" s="254">
        <v>0</v>
      </c>
    </row>
    <row r="25" spans="1:39">
      <c r="A25" s="249"/>
      <c r="B25" s="239" t="s">
        <v>78</v>
      </c>
      <c r="C25" s="250">
        <v>9.8115890508354064E-2</v>
      </c>
      <c r="D25" s="251">
        <v>1.7421602787456445E-2</v>
      </c>
      <c r="E25" s="251">
        <v>0.18436873747494989</v>
      </c>
      <c r="F25" s="251">
        <v>0.1564945226917058</v>
      </c>
      <c r="G25" s="251">
        <v>0.1</v>
      </c>
      <c r="H25" s="252">
        <v>0</v>
      </c>
      <c r="I25" s="437">
        <v>0.12256669069935111</v>
      </c>
      <c r="J25" s="250">
        <v>0</v>
      </c>
      <c r="K25" s="251">
        <v>0</v>
      </c>
      <c r="L25" s="251">
        <v>0</v>
      </c>
      <c r="M25" s="251">
        <v>0</v>
      </c>
      <c r="N25" s="252">
        <v>0</v>
      </c>
      <c r="O25" s="250">
        <v>0</v>
      </c>
      <c r="P25" s="250">
        <v>0</v>
      </c>
      <c r="Q25" s="251">
        <v>0</v>
      </c>
      <c r="R25" s="252">
        <v>0</v>
      </c>
      <c r="S25" s="250">
        <v>0</v>
      </c>
      <c r="T25" s="253"/>
      <c r="U25" s="254">
        <v>276</v>
      </c>
      <c r="V25" s="255">
        <v>5</v>
      </c>
      <c r="W25" s="255">
        <v>276</v>
      </c>
      <c r="X25" s="255">
        <v>100</v>
      </c>
      <c r="Y25" s="255">
        <v>23</v>
      </c>
      <c r="Z25" s="255">
        <v>0</v>
      </c>
      <c r="AA25" s="256">
        <v>680</v>
      </c>
      <c r="AB25" s="254">
        <v>0</v>
      </c>
      <c r="AC25" s="255">
        <v>0</v>
      </c>
      <c r="AD25" s="255">
        <v>0</v>
      </c>
      <c r="AE25" s="255">
        <v>0</v>
      </c>
      <c r="AF25" s="257">
        <v>0</v>
      </c>
      <c r="AG25" s="257">
        <v>0</v>
      </c>
      <c r="AH25" s="254">
        <v>0</v>
      </c>
      <c r="AI25" s="255">
        <v>0</v>
      </c>
      <c r="AJ25" s="257">
        <v>0</v>
      </c>
      <c r="AK25" s="254">
        <v>0</v>
      </c>
    </row>
    <row r="26" spans="1:39">
      <c r="A26" s="249"/>
      <c r="B26" s="239" t="s">
        <v>32</v>
      </c>
      <c r="C26" s="250">
        <v>7.1098471382865271E-3</v>
      </c>
      <c r="D26" s="251">
        <v>0.13240418118466898</v>
      </c>
      <c r="E26" s="251">
        <v>2.0708082832331328E-2</v>
      </c>
      <c r="F26" s="251">
        <v>0</v>
      </c>
      <c r="G26" s="251">
        <v>4.3478260869565216E-2</v>
      </c>
      <c r="H26" s="252">
        <v>0.51219512195121952</v>
      </c>
      <c r="I26" s="437">
        <v>2.5414563806777216E-2</v>
      </c>
      <c r="J26" s="250">
        <v>0</v>
      </c>
      <c r="K26" s="251">
        <v>0</v>
      </c>
      <c r="L26" s="251">
        <v>0</v>
      </c>
      <c r="M26" s="251">
        <v>0</v>
      </c>
      <c r="N26" s="258">
        <v>0</v>
      </c>
      <c r="O26" s="250">
        <v>0</v>
      </c>
      <c r="P26" s="250">
        <v>0</v>
      </c>
      <c r="Q26" s="251">
        <v>0</v>
      </c>
      <c r="R26" s="252">
        <v>0</v>
      </c>
      <c r="S26" s="250">
        <v>0</v>
      </c>
      <c r="T26" s="253"/>
      <c r="U26" s="254">
        <v>20</v>
      </c>
      <c r="V26" s="255">
        <v>38</v>
      </c>
      <c r="W26" s="255">
        <v>31</v>
      </c>
      <c r="X26" s="255">
        <v>0</v>
      </c>
      <c r="Y26" s="255">
        <v>10</v>
      </c>
      <c r="Z26" s="255">
        <v>42</v>
      </c>
      <c r="AA26" s="256">
        <v>141</v>
      </c>
      <c r="AB26" s="254">
        <v>0</v>
      </c>
      <c r="AC26" s="255">
        <v>0</v>
      </c>
      <c r="AD26" s="255">
        <v>0</v>
      </c>
      <c r="AE26" s="255">
        <v>0</v>
      </c>
      <c r="AF26" s="257">
        <v>0</v>
      </c>
      <c r="AG26" s="257">
        <v>0</v>
      </c>
      <c r="AH26" s="254">
        <v>0</v>
      </c>
      <c r="AI26" s="255">
        <v>0</v>
      </c>
      <c r="AJ26" s="257">
        <v>0</v>
      </c>
      <c r="AK26" s="254">
        <v>0</v>
      </c>
    </row>
    <row r="27" spans="1:39">
      <c r="A27" s="249"/>
      <c r="B27" s="239" t="s">
        <v>58</v>
      </c>
      <c r="C27" s="250">
        <v>0</v>
      </c>
      <c r="D27" s="251">
        <v>0</v>
      </c>
      <c r="E27" s="419">
        <v>0</v>
      </c>
      <c r="F27" s="251">
        <v>0</v>
      </c>
      <c r="G27" s="419">
        <v>0</v>
      </c>
      <c r="H27" s="252">
        <v>0</v>
      </c>
      <c r="I27" s="437">
        <v>0</v>
      </c>
      <c r="J27" s="250">
        <v>0</v>
      </c>
      <c r="K27" s="251">
        <v>1</v>
      </c>
      <c r="L27" s="251">
        <v>1</v>
      </c>
      <c r="M27" s="251">
        <v>1</v>
      </c>
      <c r="N27" s="252">
        <v>0</v>
      </c>
      <c r="O27" s="250">
        <v>1</v>
      </c>
      <c r="P27" s="250">
        <v>1</v>
      </c>
      <c r="Q27" s="251">
        <v>1</v>
      </c>
      <c r="R27" s="252">
        <v>0</v>
      </c>
      <c r="S27" s="250">
        <v>1</v>
      </c>
      <c r="T27" s="253"/>
      <c r="U27" s="254">
        <v>0</v>
      </c>
      <c r="V27" s="255">
        <v>0</v>
      </c>
      <c r="W27" s="255">
        <v>0</v>
      </c>
      <c r="X27" s="255">
        <v>0</v>
      </c>
      <c r="Y27" s="255">
        <v>0</v>
      </c>
      <c r="Z27" s="255">
        <v>0</v>
      </c>
      <c r="AA27" s="256">
        <v>0</v>
      </c>
      <c r="AB27" s="254">
        <v>0</v>
      </c>
      <c r="AC27" s="255">
        <v>273</v>
      </c>
      <c r="AD27" s="255">
        <v>1037</v>
      </c>
      <c r="AE27" s="255">
        <v>414</v>
      </c>
      <c r="AF27" s="257">
        <v>0</v>
      </c>
      <c r="AG27" s="257">
        <v>1724</v>
      </c>
      <c r="AH27" s="254">
        <v>64</v>
      </c>
      <c r="AI27" s="255">
        <v>88</v>
      </c>
      <c r="AJ27" s="257">
        <v>0</v>
      </c>
      <c r="AK27" s="254">
        <v>152</v>
      </c>
    </row>
    <row r="28" spans="1:39" s="271" customFormat="1">
      <c r="A28" s="435"/>
      <c r="B28" s="436" t="s">
        <v>59</v>
      </c>
      <c r="C28" s="261">
        <v>1</v>
      </c>
      <c r="D28" s="262">
        <v>1</v>
      </c>
      <c r="E28" s="262">
        <v>1</v>
      </c>
      <c r="F28" s="262">
        <v>1</v>
      </c>
      <c r="G28" s="262">
        <v>1</v>
      </c>
      <c r="H28" s="263">
        <v>1</v>
      </c>
      <c r="I28" s="463">
        <v>1</v>
      </c>
      <c r="J28" s="261">
        <v>0</v>
      </c>
      <c r="K28" s="262">
        <v>1</v>
      </c>
      <c r="L28" s="262">
        <v>1</v>
      </c>
      <c r="M28" s="262">
        <v>1</v>
      </c>
      <c r="N28" s="263">
        <v>0</v>
      </c>
      <c r="O28" s="261">
        <v>1</v>
      </c>
      <c r="P28" s="261">
        <v>1</v>
      </c>
      <c r="Q28" s="262">
        <v>1</v>
      </c>
      <c r="R28" s="263">
        <v>0</v>
      </c>
      <c r="S28" s="261">
        <v>1</v>
      </c>
      <c r="T28" s="264"/>
      <c r="U28" s="265">
        <v>2813</v>
      </c>
      <c r="V28" s="266">
        <v>287</v>
      </c>
      <c r="W28" s="266">
        <v>1497</v>
      </c>
      <c r="X28" s="266">
        <v>639</v>
      </c>
      <c r="Y28" s="266">
        <v>230</v>
      </c>
      <c r="Z28" s="266">
        <v>82</v>
      </c>
      <c r="AA28" s="267">
        <v>5548</v>
      </c>
      <c r="AB28" s="265">
        <v>0</v>
      </c>
      <c r="AC28" s="266">
        <v>273</v>
      </c>
      <c r="AD28" s="266">
        <v>1037</v>
      </c>
      <c r="AE28" s="266">
        <v>414</v>
      </c>
      <c r="AF28" s="268">
        <v>0</v>
      </c>
      <c r="AG28" s="268">
        <v>1724</v>
      </c>
      <c r="AH28" s="265">
        <v>64</v>
      </c>
      <c r="AI28" s="266">
        <v>88</v>
      </c>
      <c r="AJ28" s="268">
        <v>0</v>
      </c>
      <c r="AK28" s="265">
        <v>152</v>
      </c>
      <c r="AL28" s="270"/>
      <c r="AM28" s="270"/>
    </row>
    <row r="29" spans="1:39">
      <c r="A29" s="239" t="s">
        <v>5</v>
      </c>
      <c r="B29" s="240" t="s">
        <v>53</v>
      </c>
      <c r="C29" s="241">
        <v>0.39219934994582883</v>
      </c>
      <c r="D29" s="242">
        <v>0</v>
      </c>
      <c r="E29" s="242">
        <v>0.2160904255319149</v>
      </c>
      <c r="F29" s="242">
        <v>0.26146788990825687</v>
      </c>
      <c r="G29" s="242">
        <v>0.16442953020134229</v>
      </c>
      <c r="H29" s="243">
        <v>0.23749999999999999</v>
      </c>
      <c r="I29" s="462">
        <v>0.26738934056007224</v>
      </c>
      <c r="J29" s="241">
        <v>5.9405940594059403E-2</v>
      </c>
      <c r="K29" s="242">
        <v>0</v>
      </c>
      <c r="L29" s="242">
        <v>2.4896265560165973E-2</v>
      </c>
      <c r="M29" s="242">
        <v>0</v>
      </c>
      <c r="N29" s="243">
        <v>0</v>
      </c>
      <c r="O29" s="241">
        <v>1.2303485987696514E-2</v>
      </c>
      <c r="P29" s="342">
        <v>0</v>
      </c>
      <c r="Q29" s="242">
        <v>0</v>
      </c>
      <c r="R29" s="243">
        <v>0</v>
      </c>
      <c r="S29" s="342">
        <v>0</v>
      </c>
      <c r="T29" s="244"/>
      <c r="U29" s="245">
        <v>362</v>
      </c>
      <c r="V29" s="246">
        <v>0</v>
      </c>
      <c r="W29" s="246">
        <v>325</v>
      </c>
      <c r="X29" s="246">
        <v>114</v>
      </c>
      <c r="Y29" s="246">
        <v>49</v>
      </c>
      <c r="Z29" s="246">
        <v>38</v>
      </c>
      <c r="AA29" s="247">
        <v>888</v>
      </c>
      <c r="AB29" s="245">
        <v>12</v>
      </c>
      <c r="AC29" s="246">
        <v>0</v>
      </c>
      <c r="AD29" s="246">
        <v>6</v>
      </c>
      <c r="AE29" s="246">
        <v>0</v>
      </c>
      <c r="AF29" s="248">
        <v>0</v>
      </c>
      <c r="AG29" s="248">
        <v>18</v>
      </c>
      <c r="AH29" s="245">
        <v>0</v>
      </c>
      <c r="AI29" s="246">
        <v>0</v>
      </c>
      <c r="AJ29" s="248">
        <v>0</v>
      </c>
      <c r="AK29" s="245">
        <v>0</v>
      </c>
    </row>
    <row r="30" spans="1:39">
      <c r="A30" s="249"/>
      <c r="B30" s="239" t="s">
        <v>93</v>
      </c>
      <c r="C30" s="250">
        <v>0.25893824485373779</v>
      </c>
      <c r="D30" s="251">
        <v>0</v>
      </c>
      <c r="E30" s="251">
        <v>0.21143617021276595</v>
      </c>
      <c r="F30" s="251">
        <v>0.25458715596330272</v>
      </c>
      <c r="G30" s="251">
        <v>0.19798657718120805</v>
      </c>
      <c r="H30" s="252">
        <v>0.1875</v>
      </c>
      <c r="I30" s="437">
        <v>0.22794339054501656</v>
      </c>
      <c r="J30" s="250">
        <v>0.18316831683168316</v>
      </c>
      <c r="K30" s="251">
        <v>0</v>
      </c>
      <c r="L30" s="251">
        <v>3.7344398340248962E-2</v>
      </c>
      <c r="M30" s="251">
        <v>0</v>
      </c>
      <c r="N30" s="252">
        <v>0</v>
      </c>
      <c r="O30" s="250">
        <v>3.1442241968557758E-2</v>
      </c>
      <c r="P30" s="250">
        <v>0</v>
      </c>
      <c r="Q30" s="251">
        <v>0</v>
      </c>
      <c r="R30" s="252">
        <v>0</v>
      </c>
      <c r="S30" s="250">
        <v>0</v>
      </c>
      <c r="T30" s="253"/>
      <c r="U30" s="254">
        <v>239</v>
      </c>
      <c r="V30" s="255">
        <v>0</v>
      </c>
      <c r="W30" s="255">
        <v>318</v>
      </c>
      <c r="X30" s="255">
        <v>111</v>
      </c>
      <c r="Y30" s="255">
        <v>59</v>
      </c>
      <c r="Z30" s="255">
        <v>30</v>
      </c>
      <c r="AA30" s="256">
        <v>757</v>
      </c>
      <c r="AB30" s="254">
        <v>37</v>
      </c>
      <c r="AC30" s="255">
        <v>0</v>
      </c>
      <c r="AD30" s="255">
        <v>9</v>
      </c>
      <c r="AE30" s="255">
        <v>0</v>
      </c>
      <c r="AF30" s="257">
        <v>0</v>
      </c>
      <c r="AG30" s="257">
        <v>46</v>
      </c>
      <c r="AH30" s="254">
        <v>0</v>
      </c>
      <c r="AI30" s="255">
        <v>0</v>
      </c>
      <c r="AJ30" s="257">
        <v>0</v>
      </c>
      <c r="AK30" s="254">
        <v>0</v>
      </c>
    </row>
    <row r="31" spans="1:39">
      <c r="A31" s="249"/>
      <c r="B31" s="239" t="s">
        <v>55</v>
      </c>
      <c r="C31" s="250">
        <v>0.21776814734561215</v>
      </c>
      <c r="D31" s="251">
        <v>0</v>
      </c>
      <c r="E31" s="251">
        <v>0.30585106382978722</v>
      </c>
      <c r="F31" s="251">
        <v>0.31422018348623854</v>
      </c>
      <c r="G31" s="251">
        <v>0.31879194630872482</v>
      </c>
      <c r="H31" s="252">
        <v>0.28125</v>
      </c>
      <c r="I31" s="437">
        <v>0.28244504667268894</v>
      </c>
      <c r="J31" s="250">
        <v>0.38613861386138615</v>
      </c>
      <c r="K31" s="251">
        <v>0</v>
      </c>
      <c r="L31" s="251">
        <v>0.17427385892116182</v>
      </c>
      <c r="M31" s="251">
        <v>3.5516093229744729E-2</v>
      </c>
      <c r="N31" s="252">
        <v>0</v>
      </c>
      <c r="O31" s="250">
        <v>0.1038961038961039</v>
      </c>
      <c r="P31" s="250">
        <v>0</v>
      </c>
      <c r="Q31" s="251">
        <v>0</v>
      </c>
      <c r="R31" s="252">
        <v>0</v>
      </c>
      <c r="S31" s="250">
        <v>0</v>
      </c>
      <c r="T31" s="253"/>
      <c r="U31" s="254">
        <v>201</v>
      </c>
      <c r="V31" s="255">
        <v>0</v>
      </c>
      <c r="W31" s="255">
        <v>460</v>
      </c>
      <c r="X31" s="255">
        <v>137</v>
      </c>
      <c r="Y31" s="255">
        <v>95</v>
      </c>
      <c r="Z31" s="255">
        <v>45</v>
      </c>
      <c r="AA31" s="256">
        <v>938</v>
      </c>
      <c r="AB31" s="254">
        <v>78</v>
      </c>
      <c r="AC31" s="255">
        <v>0</v>
      </c>
      <c r="AD31" s="255">
        <v>42</v>
      </c>
      <c r="AE31" s="255">
        <v>32</v>
      </c>
      <c r="AF31" s="257">
        <v>0</v>
      </c>
      <c r="AG31" s="257">
        <v>152</v>
      </c>
      <c r="AH31" s="254">
        <v>0</v>
      </c>
      <c r="AI31" s="255">
        <v>0</v>
      </c>
      <c r="AJ31" s="257">
        <v>0</v>
      </c>
      <c r="AK31" s="254">
        <v>0</v>
      </c>
    </row>
    <row r="32" spans="1:39">
      <c r="A32" s="249"/>
      <c r="B32" s="239" t="s">
        <v>78</v>
      </c>
      <c r="C32" s="250">
        <v>0.10725893824485373</v>
      </c>
      <c r="D32" s="251">
        <v>0</v>
      </c>
      <c r="E32" s="251">
        <v>0.20545212765957446</v>
      </c>
      <c r="F32" s="251">
        <v>0.12155963302752294</v>
      </c>
      <c r="G32" s="251">
        <v>0.2348993288590604</v>
      </c>
      <c r="H32" s="252">
        <v>0.29375000000000001</v>
      </c>
      <c r="I32" s="437">
        <v>0.17404396266184885</v>
      </c>
      <c r="J32" s="250">
        <v>0.2722772277227723</v>
      </c>
      <c r="K32" s="251">
        <v>0</v>
      </c>
      <c r="L32" s="251">
        <v>0.25311203319502074</v>
      </c>
      <c r="M32" s="251">
        <v>5.6603773584905662E-2</v>
      </c>
      <c r="N32" s="252">
        <v>0</v>
      </c>
      <c r="O32" s="250">
        <v>0.11414900888585099</v>
      </c>
      <c r="P32" s="250">
        <v>0</v>
      </c>
      <c r="Q32" s="251">
        <v>0</v>
      </c>
      <c r="R32" s="252">
        <v>0</v>
      </c>
      <c r="S32" s="250">
        <v>0</v>
      </c>
      <c r="T32" s="253"/>
      <c r="U32" s="254">
        <v>99</v>
      </c>
      <c r="V32" s="255">
        <v>0</v>
      </c>
      <c r="W32" s="255">
        <v>309</v>
      </c>
      <c r="X32" s="255">
        <v>53</v>
      </c>
      <c r="Y32" s="255">
        <v>70</v>
      </c>
      <c r="Z32" s="255">
        <v>47</v>
      </c>
      <c r="AA32" s="256">
        <v>578</v>
      </c>
      <c r="AB32" s="254">
        <v>55</v>
      </c>
      <c r="AC32" s="255">
        <v>0</v>
      </c>
      <c r="AD32" s="255">
        <v>61</v>
      </c>
      <c r="AE32" s="255">
        <v>51</v>
      </c>
      <c r="AF32" s="257">
        <v>0</v>
      </c>
      <c r="AG32" s="257">
        <v>167</v>
      </c>
      <c r="AH32" s="254">
        <v>0</v>
      </c>
      <c r="AI32" s="255">
        <v>0</v>
      </c>
      <c r="AJ32" s="257">
        <v>0</v>
      </c>
      <c r="AK32" s="254">
        <v>0</v>
      </c>
    </row>
    <row r="33" spans="1:39">
      <c r="A33" s="249"/>
      <c r="B33" s="239" t="s">
        <v>32</v>
      </c>
      <c r="C33" s="250">
        <v>2.3835319609967497E-2</v>
      </c>
      <c r="D33" s="251">
        <v>0</v>
      </c>
      <c r="E33" s="251">
        <v>6.1170212765957445E-2</v>
      </c>
      <c r="F33" s="251">
        <v>4.8165137614678902E-2</v>
      </c>
      <c r="G33" s="251">
        <v>8.3892617449664433E-2</v>
      </c>
      <c r="H33" s="252">
        <v>0</v>
      </c>
      <c r="I33" s="437">
        <v>4.8178259560373381E-2</v>
      </c>
      <c r="J33" s="250">
        <v>9.9009900990099015E-2</v>
      </c>
      <c r="K33" s="251">
        <v>0</v>
      </c>
      <c r="L33" s="251">
        <v>0</v>
      </c>
      <c r="M33" s="251">
        <v>0</v>
      </c>
      <c r="N33" s="258">
        <v>0</v>
      </c>
      <c r="O33" s="250">
        <v>1.367053998632946E-2</v>
      </c>
      <c r="P33" s="250">
        <v>0</v>
      </c>
      <c r="Q33" s="251">
        <v>0</v>
      </c>
      <c r="R33" s="252">
        <v>0</v>
      </c>
      <c r="S33" s="250">
        <v>0</v>
      </c>
      <c r="T33" s="253"/>
      <c r="U33" s="254">
        <v>22</v>
      </c>
      <c r="V33" s="255">
        <v>0</v>
      </c>
      <c r="W33" s="255">
        <v>92</v>
      </c>
      <c r="X33" s="255">
        <v>21</v>
      </c>
      <c r="Y33" s="255">
        <v>25</v>
      </c>
      <c r="Z33" s="255">
        <v>0</v>
      </c>
      <c r="AA33" s="256">
        <v>160</v>
      </c>
      <c r="AB33" s="254">
        <v>20</v>
      </c>
      <c r="AC33" s="255">
        <v>0</v>
      </c>
      <c r="AD33" s="255">
        <v>0</v>
      </c>
      <c r="AE33" s="255">
        <v>0</v>
      </c>
      <c r="AF33" s="257">
        <v>0</v>
      </c>
      <c r="AG33" s="257">
        <v>20</v>
      </c>
      <c r="AH33" s="254">
        <v>0</v>
      </c>
      <c r="AI33" s="255">
        <v>0</v>
      </c>
      <c r="AJ33" s="257">
        <v>0</v>
      </c>
      <c r="AK33" s="254">
        <v>0</v>
      </c>
    </row>
    <row r="34" spans="1:39">
      <c r="A34" s="249"/>
      <c r="B34" s="239" t="s">
        <v>58</v>
      </c>
      <c r="C34" s="250">
        <v>0</v>
      </c>
      <c r="D34" s="251">
        <v>0</v>
      </c>
      <c r="E34" s="419">
        <v>0</v>
      </c>
      <c r="F34" s="251">
        <v>0</v>
      </c>
      <c r="G34" s="419">
        <v>0</v>
      </c>
      <c r="H34" s="252">
        <v>0</v>
      </c>
      <c r="I34" s="437">
        <v>0</v>
      </c>
      <c r="J34" s="250">
        <v>0</v>
      </c>
      <c r="K34" s="251">
        <v>1</v>
      </c>
      <c r="L34" s="251">
        <v>0.51037344398340245</v>
      </c>
      <c r="M34" s="251">
        <v>0.90788013318534966</v>
      </c>
      <c r="N34" s="252">
        <v>0</v>
      </c>
      <c r="O34" s="250">
        <v>0.72453861927546137</v>
      </c>
      <c r="P34" s="250">
        <v>0</v>
      </c>
      <c r="Q34" s="251">
        <v>0</v>
      </c>
      <c r="R34" s="252">
        <v>0</v>
      </c>
      <c r="S34" s="250">
        <v>0</v>
      </c>
      <c r="T34" s="253"/>
      <c r="U34" s="254">
        <v>0</v>
      </c>
      <c r="V34" s="255">
        <v>0</v>
      </c>
      <c r="W34" s="255">
        <v>0</v>
      </c>
      <c r="X34" s="255">
        <v>0</v>
      </c>
      <c r="Y34" s="255">
        <v>0</v>
      </c>
      <c r="Z34" s="255">
        <v>0</v>
      </c>
      <c r="AA34" s="256">
        <v>0</v>
      </c>
      <c r="AB34" s="254">
        <v>0</v>
      </c>
      <c r="AC34" s="255">
        <v>119</v>
      </c>
      <c r="AD34" s="255">
        <v>123</v>
      </c>
      <c r="AE34" s="255">
        <v>818</v>
      </c>
      <c r="AF34" s="257">
        <v>0</v>
      </c>
      <c r="AG34" s="257">
        <v>1060</v>
      </c>
      <c r="AH34" s="254">
        <v>0</v>
      </c>
      <c r="AI34" s="255">
        <v>0</v>
      </c>
      <c r="AJ34" s="257">
        <v>0</v>
      </c>
      <c r="AK34" s="254">
        <v>0</v>
      </c>
    </row>
    <row r="35" spans="1:39" s="271" customFormat="1">
      <c r="A35" s="435"/>
      <c r="B35" s="436" t="s">
        <v>59</v>
      </c>
      <c r="C35" s="261">
        <v>1</v>
      </c>
      <c r="D35" s="262">
        <v>0</v>
      </c>
      <c r="E35" s="262">
        <v>1</v>
      </c>
      <c r="F35" s="262">
        <v>1</v>
      </c>
      <c r="G35" s="262">
        <v>1</v>
      </c>
      <c r="H35" s="263">
        <v>1</v>
      </c>
      <c r="I35" s="463">
        <v>1</v>
      </c>
      <c r="J35" s="261">
        <v>1</v>
      </c>
      <c r="K35" s="262">
        <v>1</v>
      </c>
      <c r="L35" s="262">
        <v>1</v>
      </c>
      <c r="M35" s="262">
        <v>1</v>
      </c>
      <c r="N35" s="263">
        <v>0</v>
      </c>
      <c r="O35" s="261">
        <v>1</v>
      </c>
      <c r="P35" s="261">
        <v>0</v>
      </c>
      <c r="Q35" s="262">
        <v>0</v>
      </c>
      <c r="R35" s="263">
        <v>0</v>
      </c>
      <c r="S35" s="261">
        <v>0</v>
      </c>
      <c r="T35" s="264"/>
      <c r="U35" s="265">
        <v>923</v>
      </c>
      <c r="V35" s="266">
        <v>0</v>
      </c>
      <c r="W35" s="266">
        <v>1504</v>
      </c>
      <c r="X35" s="266">
        <v>436</v>
      </c>
      <c r="Y35" s="266">
        <v>298</v>
      </c>
      <c r="Z35" s="266">
        <v>160</v>
      </c>
      <c r="AA35" s="267">
        <v>3321</v>
      </c>
      <c r="AB35" s="265">
        <v>202</v>
      </c>
      <c r="AC35" s="266">
        <v>119</v>
      </c>
      <c r="AD35" s="266">
        <v>241</v>
      </c>
      <c r="AE35" s="266">
        <v>901</v>
      </c>
      <c r="AF35" s="268">
        <v>0</v>
      </c>
      <c r="AG35" s="268">
        <v>1463</v>
      </c>
      <c r="AH35" s="265">
        <v>0</v>
      </c>
      <c r="AI35" s="266">
        <v>0</v>
      </c>
      <c r="AJ35" s="268">
        <v>0</v>
      </c>
      <c r="AK35" s="265">
        <v>0</v>
      </c>
      <c r="AL35" s="270"/>
      <c r="AM35" s="270"/>
    </row>
    <row r="36" spans="1:39">
      <c r="A36" s="239" t="s">
        <v>82</v>
      </c>
      <c r="B36" s="240" t="s">
        <v>53</v>
      </c>
      <c r="C36" s="241">
        <v>0.32855863921217549</v>
      </c>
      <c r="D36" s="242">
        <v>0</v>
      </c>
      <c r="E36" s="242">
        <v>0</v>
      </c>
      <c r="F36" s="242">
        <v>0.23493975903614459</v>
      </c>
      <c r="G36" s="242">
        <v>0</v>
      </c>
      <c r="H36" s="243">
        <v>0</v>
      </c>
      <c r="I36" s="462">
        <v>0.31644583008573657</v>
      </c>
      <c r="J36" s="241">
        <v>0</v>
      </c>
      <c r="K36" s="242">
        <v>0</v>
      </c>
      <c r="L36" s="242">
        <v>0</v>
      </c>
      <c r="M36" s="242">
        <v>0</v>
      </c>
      <c r="N36" s="243">
        <v>0</v>
      </c>
      <c r="O36" s="241">
        <v>0</v>
      </c>
      <c r="P36" s="342">
        <v>0</v>
      </c>
      <c r="Q36" s="242">
        <v>0</v>
      </c>
      <c r="R36" s="243">
        <v>0</v>
      </c>
      <c r="S36" s="342">
        <v>0</v>
      </c>
      <c r="T36" s="244"/>
      <c r="U36" s="245">
        <v>367</v>
      </c>
      <c r="V36" s="246">
        <v>0</v>
      </c>
      <c r="W36" s="246">
        <v>0</v>
      </c>
      <c r="X36" s="246">
        <v>39</v>
      </c>
      <c r="Y36" s="246">
        <v>0</v>
      </c>
      <c r="Z36" s="246">
        <v>0</v>
      </c>
      <c r="AA36" s="247">
        <v>406</v>
      </c>
      <c r="AB36" s="245">
        <v>0</v>
      </c>
      <c r="AC36" s="246">
        <v>0</v>
      </c>
      <c r="AD36" s="246">
        <v>0</v>
      </c>
      <c r="AE36" s="246">
        <v>0</v>
      </c>
      <c r="AF36" s="248">
        <v>0</v>
      </c>
      <c r="AG36" s="248">
        <v>0</v>
      </c>
      <c r="AH36" s="245">
        <v>0</v>
      </c>
      <c r="AI36" s="246">
        <v>0</v>
      </c>
      <c r="AJ36" s="248">
        <v>0</v>
      </c>
      <c r="AK36" s="245">
        <v>0</v>
      </c>
    </row>
    <row r="37" spans="1:39">
      <c r="A37" s="249"/>
      <c r="B37" s="239" t="s">
        <v>93</v>
      </c>
      <c r="C37" s="250">
        <v>0.29185317815577438</v>
      </c>
      <c r="D37" s="251">
        <v>0</v>
      </c>
      <c r="E37" s="251">
        <v>0</v>
      </c>
      <c r="F37" s="251">
        <v>0.40361445783132532</v>
      </c>
      <c r="G37" s="251">
        <v>0</v>
      </c>
      <c r="H37" s="252">
        <v>0</v>
      </c>
      <c r="I37" s="437">
        <v>0.30631332813717849</v>
      </c>
      <c r="J37" s="250">
        <v>0</v>
      </c>
      <c r="K37" s="251">
        <v>0</v>
      </c>
      <c r="L37" s="251">
        <v>0</v>
      </c>
      <c r="M37" s="251">
        <v>0</v>
      </c>
      <c r="N37" s="252">
        <v>0</v>
      </c>
      <c r="O37" s="250">
        <v>0</v>
      </c>
      <c r="P37" s="250">
        <v>0</v>
      </c>
      <c r="Q37" s="251">
        <v>0</v>
      </c>
      <c r="R37" s="252">
        <v>0</v>
      </c>
      <c r="S37" s="250">
        <v>0</v>
      </c>
      <c r="T37" s="253"/>
      <c r="U37" s="254">
        <v>326</v>
      </c>
      <c r="V37" s="255">
        <v>0</v>
      </c>
      <c r="W37" s="255">
        <v>0</v>
      </c>
      <c r="X37" s="255">
        <v>67</v>
      </c>
      <c r="Y37" s="255">
        <v>0</v>
      </c>
      <c r="Z37" s="255">
        <v>0</v>
      </c>
      <c r="AA37" s="256">
        <v>393</v>
      </c>
      <c r="AB37" s="254">
        <v>0</v>
      </c>
      <c r="AC37" s="255">
        <v>0</v>
      </c>
      <c r="AD37" s="255">
        <v>0</v>
      </c>
      <c r="AE37" s="255">
        <v>0</v>
      </c>
      <c r="AF37" s="257">
        <v>0</v>
      </c>
      <c r="AG37" s="257">
        <v>0</v>
      </c>
      <c r="AH37" s="254">
        <v>0</v>
      </c>
      <c r="AI37" s="255">
        <v>0</v>
      </c>
      <c r="AJ37" s="257">
        <v>0</v>
      </c>
      <c r="AK37" s="254">
        <v>0</v>
      </c>
    </row>
    <row r="38" spans="1:39">
      <c r="A38" s="249"/>
      <c r="B38" s="239" t="s">
        <v>55</v>
      </c>
      <c r="C38" s="250">
        <v>0.27215756490599818</v>
      </c>
      <c r="D38" s="251">
        <v>0</v>
      </c>
      <c r="E38" s="251">
        <v>0</v>
      </c>
      <c r="F38" s="251">
        <v>0.28915662650602408</v>
      </c>
      <c r="G38" s="251">
        <v>0</v>
      </c>
      <c r="H38" s="252">
        <v>0</v>
      </c>
      <c r="I38" s="437">
        <v>0.27435697583787999</v>
      </c>
      <c r="J38" s="250">
        <v>0</v>
      </c>
      <c r="K38" s="251">
        <v>0</v>
      </c>
      <c r="L38" s="251">
        <v>0</v>
      </c>
      <c r="M38" s="251">
        <v>0</v>
      </c>
      <c r="N38" s="252">
        <v>0</v>
      </c>
      <c r="O38" s="250">
        <v>0</v>
      </c>
      <c r="P38" s="250">
        <v>0</v>
      </c>
      <c r="Q38" s="251">
        <v>0</v>
      </c>
      <c r="R38" s="252">
        <v>0</v>
      </c>
      <c r="S38" s="250">
        <v>0</v>
      </c>
      <c r="T38" s="253"/>
      <c r="U38" s="254">
        <v>304</v>
      </c>
      <c r="V38" s="255">
        <v>0</v>
      </c>
      <c r="W38" s="255">
        <v>0</v>
      </c>
      <c r="X38" s="255">
        <v>48</v>
      </c>
      <c r="Y38" s="255">
        <v>0</v>
      </c>
      <c r="Z38" s="255">
        <v>0</v>
      </c>
      <c r="AA38" s="256">
        <v>352</v>
      </c>
      <c r="AB38" s="254">
        <v>0</v>
      </c>
      <c r="AC38" s="255">
        <v>0</v>
      </c>
      <c r="AD38" s="255">
        <v>0</v>
      </c>
      <c r="AE38" s="255">
        <v>0</v>
      </c>
      <c r="AF38" s="257">
        <v>0</v>
      </c>
      <c r="AG38" s="257">
        <v>0</v>
      </c>
      <c r="AH38" s="254">
        <v>0</v>
      </c>
      <c r="AI38" s="255">
        <v>0</v>
      </c>
      <c r="AJ38" s="257">
        <v>0</v>
      </c>
      <c r="AK38" s="254">
        <v>0</v>
      </c>
    </row>
    <row r="39" spans="1:39">
      <c r="A39" s="249"/>
      <c r="B39" s="239" t="s">
        <v>78</v>
      </c>
      <c r="C39" s="250">
        <v>0.10653536257833482</v>
      </c>
      <c r="D39" s="251">
        <v>0</v>
      </c>
      <c r="E39" s="251">
        <v>0</v>
      </c>
      <c r="F39" s="251">
        <v>7.2289156626506021E-2</v>
      </c>
      <c r="G39" s="251">
        <v>0</v>
      </c>
      <c r="H39" s="252">
        <v>0</v>
      </c>
      <c r="I39" s="437">
        <v>0.10210444271239283</v>
      </c>
      <c r="J39" s="250">
        <v>0</v>
      </c>
      <c r="K39" s="251">
        <v>0</v>
      </c>
      <c r="L39" s="251">
        <v>0</v>
      </c>
      <c r="M39" s="251">
        <v>0</v>
      </c>
      <c r="N39" s="252">
        <v>0</v>
      </c>
      <c r="O39" s="250">
        <v>0</v>
      </c>
      <c r="P39" s="250">
        <v>0</v>
      </c>
      <c r="Q39" s="251">
        <v>0</v>
      </c>
      <c r="R39" s="252">
        <v>0</v>
      </c>
      <c r="S39" s="250">
        <v>0</v>
      </c>
      <c r="T39" s="253"/>
      <c r="U39" s="254">
        <v>119</v>
      </c>
      <c r="V39" s="255">
        <v>0</v>
      </c>
      <c r="W39" s="255">
        <v>0</v>
      </c>
      <c r="X39" s="255">
        <v>12</v>
      </c>
      <c r="Y39" s="255">
        <v>0</v>
      </c>
      <c r="Z39" s="255">
        <v>0</v>
      </c>
      <c r="AA39" s="256">
        <v>131</v>
      </c>
      <c r="AB39" s="254">
        <v>0</v>
      </c>
      <c r="AC39" s="255">
        <v>0</v>
      </c>
      <c r="AD39" s="255">
        <v>0</v>
      </c>
      <c r="AE39" s="255">
        <v>0</v>
      </c>
      <c r="AF39" s="257">
        <v>0</v>
      </c>
      <c r="AG39" s="257">
        <v>0</v>
      </c>
      <c r="AH39" s="254">
        <v>0</v>
      </c>
      <c r="AI39" s="255">
        <v>0</v>
      </c>
      <c r="AJ39" s="257">
        <v>0</v>
      </c>
      <c r="AK39" s="254">
        <v>0</v>
      </c>
    </row>
    <row r="40" spans="1:39">
      <c r="A40" s="249"/>
      <c r="B40" s="239" t="s">
        <v>32</v>
      </c>
      <c r="C40" s="272">
        <v>8.9525514771709937E-4</v>
      </c>
      <c r="D40" s="251">
        <v>0</v>
      </c>
      <c r="E40" s="251">
        <v>0</v>
      </c>
      <c r="F40" s="251">
        <v>0</v>
      </c>
      <c r="G40" s="251">
        <v>0</v>
      </c>
      <c r="H40" s="252">
        <v>0</v>
      </c>
      <c r="I40" s="437">
        <v>7.7942322681215901E-4</v>
      </c>
      <c r="J40" s="250">
        <v>0</v>
      </c>
      <c r="K40" s="251">
        <v>0</v>
      </c>
      <c r="L40" s="251">
        <v>0</v>
      </c>
      <c r="M40" s="251">
        <v>0</v>
      </c>
      <c r="N40" s="258">
        <v>0</v>
      </c>
      <c r="O40" s="250">
        <v>0</v>
      </c>
      <c r="P40" s="250">
        <v>0</v>
      </c>
      <c r="Q40" s="251">
        <v>0</v>
      </c>
      <c r="R40" s="252">
        <v>0</v>
      </c>
      <c r="S40" s="250">
        <v>0</v>
      </c>
      <c r="T40" s="253"/>
      <c r="U40" s="254">
        <v>1</v>
      </c>
      <c r="V40" s="255">
        <v>0</v>
      </c>
      <c r="W40" s="255">
        <v>0</v>
      </c>
      <c r="X40" s="255">
        <v>0</v>
      </c>
      <c r="Y40" s="255">
        <v>0</v>
      </c>
      <c r="Z40" s="255">
        <v>0</v>
      </c>
      <c r="AA40" s="256">
        <v>1</v>
      </c>
      <c r="AB40" s="254">
        <v>0</v>
      </c>
      <c r="AC40" s="255">
        <v>0</v>
      </c>
      <c r="AD40" s="255">
        <v>0</v>
      </c>
      <c r="AE40" s="255">
        <v>0</v>
      </c>
      <c r="AF40" s="257">
        <v>0</v>
      </c>
      <c r="AG40" s="257">
        <v>0</v>
      </c>
      <c r="AH40" s="254">
        <v>0</v>
      </c>
      <c r="AI40" s="255">
        <v>0</v>
      </c>
      <c r="AJ40" s="257">
        <v>0</v>
      </c>
      <c r="AK40" s="254">
        <v>0</v>
      </c>
    </row>
    <row r="41" spans="1:39">
      <c r="A41" s="249"/>
      <c r="B41" s="239" t="s">
        <v>58</v>
      </c>
      <c r="C41" s="250">
        <v>0</v>
      </c>
      <c r="D41" s="251">
        <v>0</v>
      </c>
      <c r="E41" s="419">
        <v>0</v>
      </c>
      <c r="F41" s="251">
        <v>0</v>
      </c>
      <c r="G41" s="419">
        <v>0</v>
      </c>
      <c r="H41" s="252">
        <v>0</v>
      </c>
      <c r="I41" s="437">
        <v>0</v>
      </c>
      <c r="J41" s="250">
        <v>0</v>
      </c>
      <c r="K41" s="251">
        <v>0</v>
      </c>
      <c r="L41" s="251">
        <v>1</v>
      </c>
      <c r="M41" s="251">
        <v>1</v>
      </c>
      <c r="N41" s="252">
        <v>0</v>
      </c>
      <c r="O41" s="250">
        <v>1</v>
      </c>
      <c r="P41" s="250">
        <v>0</v>
      </c>
      <c r="Q41" s="251">
        <v>0</v>
      </c>
      <c r="R41" s="252">
        <v>0</v>
      </c>
      <c r="S41" s="250">
        <v>0</v>
      </c>
      <c r="T41" s="253"/>
      <c r="U41" s="254">
        <v>0</v>
      </c>
      <c r="V41" s="255">
        <v>0</v>
      </c>
      <c r="W41" s="255">
        <v>0</v>
      </c>
      <c r="X41" s="255">
        <v>0</v>
      </c>
      <c r="Y41" s="255">
        <v>0</v>
      </c>
      <c r="Z41" s="255">
        <v>0</v>
      </c>
      <c r="AA41" s="256">
        <v>0</v>
      </c>
      <c r="AB41" s="254">
        <v>0</v>
      </c>
      <c r="AC41" s="255">
        <v>0</v>
      </c>
      <c r="AD41" s="255">
        <v>296</v>
      </c>
      <c r="AE41" s="255">
        <v>84</v>
      </c>
      <c r="AF41" s="257">
        <v>0</v>
      </c>
      <c r="AG41" s="257">
        <v>380</v>
      </c>
      <c r="AH41" s="254">
        <v>0</v>
      </c>
      <c r="AI41" s="255">
        <v>0</v>
      </c>
      <c r="AJ41" s="257">
        <v>0</v>
      </c>
      <c r="AK41" s="254">
        <v>0</v>
      </c>
    </row>
    <row r="42" spans="1:39" s="271" customFormat="1">
      <c r="A42" s="435"/>
      <c r="B42" s="436" t="s">
        <v>59</v>
      </c>
      <c r="C42" s="261">
        <v>1</v>
      </c>
      <c r="D42" s="262">
        <v>0</v>
      </c>
      <c r="E42" s="262">
        <v>0</v>
      </c>
      <c r="F42" s="262">
        <v>1</v>
      </c>
      <c r="G42" s="262">
        <v>0</v>
      </c>
      <c r="H42" s="263">
        <v>0</v>
      </c>
      <c r="I42" s="463">
        <v>1</v>
      </c>
      <c r="J42" s="261">
        <v>0</v>
      </c>
      <c r="K42" s="262">
        <v>0</v>
      </c>
      <c r="L42" s="262">
        <v>1</v>
      </c>
      <c r="M42" s="262">
        <v>1</v>
      </c>
      <c r="N42" s="263">
        <v>0</v>
      </c>
      <c r="O42" s="261">
        <v>1</v>
      </c>
      <c r="P42" s="261">
        <v>0</v>
      </c>
      <c r="Q42" s="262">
        <v>0</v>
      </c>
      <c r="R42" s="263">
        <v>0</v>
      </c>
      <c r="S42" s="261">
        <v>0</v>
      </c>
      <c r="T42" s="264"/>
      <c r="U42" s="265">
        <v>1117</v>
      </c>
      <c r="V42" s="266">
        <v>0</v>
      </c>
      <c r="W42" s="266">
        <v>0</v>
      </c>
      <c r="X42" s="266">
        <v>166</v>
      </c>
      <c r="Y42" s="266">
        <v>0</v>
      </c>
      <c r="Z42" s="266">
        <v>0</v>
      </c>
      <c r="AA42" s="267">
        <v>1283</v>
      </c>
      <c r="AB42" s="265">
        <v>0</v>
      </c>
      <c r="AC42" s="266">
        <v>0</v>
      </c>
      <c r="AD42" s="266">
        <v>296</v>
      </c>
      <c r="AE42" s="266">
        <v>84</v>
      </c>
      <c r="AF42" s="268">
        <v>0</v>
      </c>
      <c r="AG42" s="268">
        <v>380</v>
      </c>
      <c r="AH42" s="265">
        <v>0</v>
      </c>
      <c r="AI42" s="266">
        <v>0</v>
      </c>
      <c r="AJ42" s="268">
        <v>0</v>
      </c>
      <c r="AK42" s="265">
        <v>0</v>
      </c>
      <c r="AL42" s="270"/>
      <c r="AM42" s="270"/>
    </row>
    <row r="43" spans="1:39">
      <c r="A43" s="239" t="s">
        <v>6</v>
      </c>
      <c r="B43" s="240" t="s">
        <v>53</v>
      </c>
      <c r="C43" s="241">
        <v>0.33659066232356133</v>
      </c>
      <c r="D43" s="242">
        <v>0.22587800369685768</v>
      </c>
      <c r="E43" s="242">
        <v>0.21207865168539325</v>
      </c>
      <c r="F43" s="242">
        <v>0</v>
      </c>
      <c r="G43" s="242">
        <v>0.16187050359712229</v>
      </c>
      <c r="H43" s="243">
        <v>0.26865671641791045</v>
      </c>
      <c r="I43" s="462">
        <v>0.27822447406101991</v>
      </c>
      <c r="J43" s="241">
        <v>0</v>
      </c>
      <c r="K43" s="242">
        <v>0</v>
      </c>
      <c r="L43" s="242">
        <v>0</v>
      </c>
      <c r="M43" s="242">
        <v>0</v>
      </c>
      <c r="N43" s="243">
        <v>0</v>
      </c>
      <c r="O43" s="241">
        <v>0</v>
      </c>
      <c r="P43" s="342">
        <v>0</v>
      </c>
      <c r="Q43" s="242">
        <v>0</v>
      </c>
      <c r="R43" s="243">
        <v>0</v>
      </c>
      <c r="S43" s="342">
        <v>0</v>
      </c>
      <c r="T43" s="244"/>
      <c r="U43" s="245">
        <v>1550</v>
      </c>
      <c r="V43" s="246">
        <v>611</v>
      </c>
      <c r="W43" s="246">
        <v>302</v>
      </c>
      <c r="X43" s="246">
        <v>0</v>
      </c>
      <c r="Y43" s="246">
        <v>45</v>
      </c>
      <c r="Z43" s="246">
        <v>18</v>
      </c>
      <c r="AA43" s="247">
        <v>2526</v>
      </c>
      <c r="AB43" s="245">
        <v>0</v>
      </c>
      <c r="AC43" s="246">
        <v>0</v>
      </c>
      <c r="AD43" s="246">
        <v>0</v>
      </c>
      <c r="AE43" s="246">
        <v>0</v>
      </c>
      <c r="AF43" s="248">
        <v>0</v>
      </c>
      <c r="AG43" s="248">
        <v>0</v>
      </c>
      <c r="AH43" s="245">
        <v>0</v>
      </c>
      <c r="AI43" s="246">
        <v>0</v>
      </c>
      <c r="AJ43" s="248">
        <v>0</v>
      </c>
      <c r="AK43" s="245">
        <v>0</v>
      </c>
    </row>
    <row r="44" spans="1:39">
      <c r="A44" s="249"/>
      <c r="B44" s="239" t="s">
        <v>93</v>
      </c>
      <c r="C44" s="250">
        <v>0.26210640608034746</v>
      </c>
      <c r="D44" s="251">
        <v>0.28798521256931608</v>
      </c>
      <c r="E44" s="251">
        <v>0.29424157303370785</v>
      </c>
      <c r="F44" s="251">
        <v>0</v>
      </c>
      <c r="G44" s="251">
        <v>0.29496402877697842</v>
      </c>
      <c r="H44" s="252">
        <v>0.40298507462686567</v>
      </c>
      <c r="I44" s="437">
        <v>0.27690274259279657</v>
      </c>
      <c r="J44" s="250">
        <v>0</v>
      </c>
      <c r="K44" s="251">
        <v>0</v>
      </c>
      <c r="L44" s="251">
        <v>0</v>
      </c>
      <c r="M44" s="251">
        <v>0</v>
      </c>
      <c r="N44" s="252">
        <v>0</v>
      </c>
      <c r="O44" s="250">
        <v>0</v>
      </c>
      <c r="P44" s="250">
        <v>0</v>
      </c>
      <c r="Q44" s="251">
        <v>0</v>
      </c>
      <c r="R44" s="252">
        <v>0</v>
      </c>
      <c r="S44" s="250">
        <v>0</v>
      </c>
      <c r="T44" s="253"/>
      <c r="U44" s="254">
        <v>1207</v>
      </c>
      <c r="V44" s="255">
        <v>779</v>
      </c>
      <c r="W44" s="255">
        <v>419</v>
      </c>
      <c r="X44" s="255">
        <v>0</v>
      </c>
      <c r="Y44" s="255">
        <v>82</v>
      </c>
      <c r="Z44" s="255">
        <v>27</v>
      </c>
      <c r="AA44" s="256">
        <v>2514</v>
      </c>
      <c r="AB44" s="254">
        <v>0</v>
      </c>
      <c r="AC44" s="255">
        <v>0</v>
      </c>
      <c r="AD44" s="255">
        <v>0</v>
      </c>
      <c r="AE44" s="255">
        <v>0</v>
      </c>
      <c r="AF44" s="257">
        <v>0</v>
      </c>
      <c r="AG44" s="257">
        <v>0</v>
      </c>
      <c r="AH44" s="254">
        <v>0</v>
      </c>
      <c r="AI44" s="255">
        <v>0</v>
      </c>
      <c r="AJ44" s="257">
        <v>0</v>
      </c>
      <c r="AK44" s="254">
        <v>0</v>
      </c>
    </row>
    <row r="45" spans="1:39">
      <c r="A45" s="249"/>
      <c r="B45" s="239" t="s">
        <v>55</v>
      </c>
      <c r="C45" s="250">
        <v>0.27404994571118352</v>
      </c>
      <c r="D45" s="251">
        <v>0.25951940850277266</v>
      </c>
      <c r="E45" s="251">
        <v>0.3125</v>
      </c>
      <c r="F45" s="251">
        <v>0</v>
      </c>
      <c r="G45" s="251">
        <v>0.29856115107913667</v>
      </c>
      <c r="H45" s="252">
        <v>0.31343283582089554</v>
      </c>
      <c r="I45" s="437">
        <v>0.27679259830377795</v>
      </c>
      <c r="J45" s="250">
        <v>0</v>
      </c>
      <c r="K45" s="251">
        <v>0</v>
      </c>
      <c r="L45" s="251">
        <v>0</v>
      </c>
      <c r="M45" s="251">
        <v>0</v>
      </c>
      <c r="N45" s="252">
        <v>0</v>
      </c>
      <c r="O45" s="250">
        <v>0</v>
      </c>
      <c r="P45" s="250">
        <v>0</v>
      </c>
      <c r="Q45" s="251">
        <v>0</v>
      </c>
      <c r="R45" s="252">
        <v>0</v>
      </c>
      <c r="S45" s="250">
        <v>0</v>
      </c>
      <c r="T45" s="253"/>
      <c r="U45" s="254">
        <v>1262</v>
      </c>
      <c r="V45" s="255">
        <v>702</v>
      </c>
      <c r="W45" s="255">
        <v>445</v>
      </c>
      <c r="X45" s="255">
        <v>0</v>
      </c>
      <c r="Y45" s="255">
        <v>83</v>
      </c>
      <c r="Z45" s="255">
        <v>21</v>
      </c>
      <c r="AA45" s="256">
        <v>2513</v>
      </c>
      <c r="AB45" s="254">
        <v>0</v>
      </c>
      <c r="AC45" s="255">
        <v>0</v>
      </c>
      <c r="AD45" s="255">
        <v>0</v>
      </c>
      <c r="AE45" s="255">
        <v>0</v>
      </c>
      <c r="AF45" s="257">
        <v>0</v>
      </c>
      <c r="AG45" s="257">
        <v>0</v>
      </c>
      <c r="AH45" s="254">
        <v>0</v>
      </c>
      <c r="AI45" s="255">
        <v>0</v>
      </c>
      <c r="AJ45" s="257">
        <v>0</v>
      </c>
      <c r="AK45" s="254">
        <v>0</v>
      </c>
    </row>
    <row r="46" spans="1:39">
      <c r="A46" s="249"/>
      <c r="B46" s="239" t="s">
        <v>78</v>
      </c>
      <c r="C46" s="250">
        <v>4.8859934853420196E-2</v>
      </c>
      <c r="D46" s="251">
        <v>0.1977818853974122</v>
      </c>
      <c r="E46" s="251">
        <v>0.136938202247191</v>
      </c>
      <c r="F46" s="251">
        <v>0</v>
      </c>
      <c r="G46" s="251">
        <v>0.2446043165467626</v>
      </c>
      <c r="H46" s="252">
        <v>1.4925373134328358E-2</v>
      </c>
      <c r="I46" s="437">
        <v>0.11278775195506113</v>
      </c>
      <c r="J46" s="250">
        <v>0</v>
      </c>
      <c r="K46" s="251">
        <v>0</v>
      </c>
      <c r="L46" s="251">
        <v>0</v>
      </c>
      <c r="M46" s="251">
        <v>0</v>
      </c>
      <c r="N46" s="252">
        <v>0</v>
      </c>
      <c r="O46" s="250">
        <v>0</v>
      </c>
      <c r="P46" s="250">
        <v>0</v>
      </c>
      <c r="Q46" s="251">
        <v>0</v>
      </c>
      <c r="R46" s="252">
        <v>0</v>
      </c>
      <c r="S46" s="250">
        <v>0</v>
      </c>
      <c r="T46" s="253"/>
      <c r="U46" s="254">
        <v>225</v>
      </c>
      <c r="V46" s="255">
        <v>535</v>
      </c>
      <c r="W46" s="255">
        <v>195</v>
      </c>
      <c r="X46" s="255">
        <v>0</v>
      </c>
      <c r="Y46" s="255">
        <v>68</v>
      </c>
      <c r="Z46" s="255">
        <v>1</v>
      </c>
      <c r="AA46" s="256">
        <v>1024</v>
      </c>
      <c r="AB46" s="254">
        <v>0</v>
      </c>
      <c r="AC46" s="255">
        <v>0</v>
      </c>
      <c r="AD46" s="255">
        <v>0</v>
      </c>
      <c r="AE46" s="255">
        <v>0</v>
      </c>
      <c r="AF46" s="257">
        <v>0</v>
      </c>
      <c r="AG46" s="257">
        <v>0</v>
      </c>
      <c r="AH46" s="254">
        <v>0</v>
      </c>
      <c r="AI46" s="255">
        <v>0</v>
      </c>
      <c r="AJ46" s="257">
        <v>0</v>
      </c>
      <c r="AK46" s="254">
        <v>0</v>
      </c>
    </row>
    <row r="47" spans="1:39">
      <c r="A47" s="249"/>
      <c r="B47" s="239" t="s">
        <v>32</v>
      </c>
      <c r="C47" s="250">
        <v>7.8393051031487512E-2</v>
      </c>
      <c r="D47" s="251">
        <v>2.8835489833641405E-2</v>
      </c>
      <c r="E47" s="251">
        <v>4.4241573033707862E-2</v>
      </c>
      <c r="F47" s="251">
        <v>0</v>
      </c>
      <c r="G47" s="251">
        <v>0</v>
      </c>
      <c r="H47" s="252">
        <v>0</v>
      </c>
      <c r="I47" s="437">
        <v>5.5292433087344418E-2</v>
      </c>
      <c r="J47" s="250">
        <v>0</v>
      </c>
      <c r="K47" s="251">
        <v>0</v>
      </c>
      <c r="L47" s="251">
        <v>0</v>
      </c>
      <c r="M47" s="251">
        <v>0</v>
      </c>
      <c r="N47" s="258">
        <v>0</v>
      </c>
      <c r="O47" s="250">
        <v>0</v>
      </c>
      <c r="P47" s="250">
        <v>0</v>
      </c>
      <c r="Q47" s="251">
        <v>0</v>
      </c>
      <c r="R47" s="252">
        <v>0</v>
      </c>
      <c r="S47" s="250">
        <v>0</v>
      </c>
      <c r="T47" s="253"/>
      <c r="U47" s="254">
        <v>361</v>
      </c>
      <c r="V47" s="255">
        <v>78</v>
      </c>
      <c r="W47" s="255">
        <v>63</v>
      </c>
      <c r="X47" s="255">
        <v>0</v>
      </c>
      <c r="Y47" s="255">
        <v>0</v>
      </c>
      <c r="Z47" s="255">
        <v>0</v>
      </c>
      <c r="AA47" s="256">
        <v>502</v>
      </c>
      <c r="AB47" s="254">
        <v>0</v>
      </c>
      <c r="AC47" s="255">
        <v>0</v>
      </c>
      <c r="AD47" s="255">
        <v>0</v>
      </c>
      <c r="AE47" s="255">
        <v>0</v>
      </c>
      <c r="AF47" s="257">
        <v>0</v>
      </c>
      <c r="AG47" s="257">
        <v>0</v>
      </c>
      <c r="AH47" s="254">
        <v>0</v>
      </c>
      <c r="AI47" s="255">
        <v>0</v>
      </c>
      <c r="AJ47" s="257">
        <v>0</v>
      </c>
      <c r="AK47" s="254">
        <v>0</v>
      </c>
    </row>
    <row r="48" spans="1:39">
      <c r="A48" s="249"/>
      <c r="B48" s="239" t="s">
        <v>58</v>
      </c>
      <c r="C48" s="250">
        <v>0</v>
      </c>
      <c r="D48" s="251">
        <v>0</v>
      </c>
      <c r="E48" s="419">
        <v>0</v>
      </c>
      <c r="F48" s="251">
        <v>0</v>
      </c>
      <c r="G48" s="419">
        <v>0</v>
      </c>
      <c r="H48" s="252">
        <v>0</v>
      </c>
      <c r="I48" s="437">
        <v>0</v>
      </c>
      <c r="J48" s="250">
        <v>1</v>
      </c>
      <c r="K48" s="251">
        <v>1</v>
      </c>
      <c r="L48" s="251">
        <v>1</v>
      </c>
      <c r="M48" s="251">
        <v>1</v>
      </c>
      <c r="N48" s="252">
        <v>0</v>
      </c>
      <c r="O48" s="250">
        <v>1</v>
      </c>
      <c r="P48" s="250">
        <v>0</v>
      </c>
      <c r="Q48" s="251">
        <v>0</v>
      </c>
      <c r="R48" s="252">
        <v>0</v>
      </c>
      <c r="S48" s="250">
        <v>0</v>
      </c>
      <c r="T48" s="253"/>
      <c r="U48" s="254">
        <v>0</v>
      </c>
      <c r="V48" s="255">
        <v>0</v>
      </c>
      <c r="W48" s="255">
        <v>0</v>
      </c>
      <c r="X48" s="255">
        <v>0</v>
      </c>
      <c r="Y48" s="255">
        <v>0</v>
      </c>
      <c r="Z48" s="255">
        <v>0</v>
      </c>
      <c r="AA48" s="256">
        <v>0</v>
      </c>
      <c r="AB48" s="254">
        <v>1088</v>
      </c>
      <c r="AC48" s="255">
        <v>3219</v>
      </c>
      <c r="AD48" s="255">
        <v>819</v>
      </c>
      <c r="AE48" s="255">
        <v>62</v>
      </c>
      <c r="AF48" s="257">
        <v>0</v>
      </c>
      <c r="AG48" s="257">
        <v>5188</v>
      </c>
      <c r="AH48" s="254">
        <v>0</v>
      </c>
      <c r="AI48" s="255">
        <v>0</v>
      </c>
      <c r="AJ48" s="257">
        <v>0</v>
      </c>
      <c r="AK48" s="254">
        <v>0</v>
      </c>
    </row>
    <row r="49" spans="1:39" s="271" customFormat="1">
      <c r="A49" s="435"/>
      <c r="B49" s="436" t="s">
        <v>59</v>
      </c>
      <c r="C49" s="261">
        <v>1</v>
      </c>
      <c r="D49" s="262">
        <v>1</v>
      </c>
      <c r="E49" s="262">
        <v>1</v>
      </c>
      <c r="F49" s="262">
        <v>0</v>
      </c>
      <c r="G49" s="262">
        <v>1</v>
      </c>
      <c r="H49" s="263">
        <v>1</v>
      </c>
      <c r="I49" s="463">
        <v>1</v>
      </c>
      <c r="J49" s="261">
        <v>1</v>
      </c>
      <c r="K49" s="262">
        <v>1</v>
      </c>
      <c r="L49" s="262">
        <v>1</v>
      </c>
      <c r="M49" s="262">
        <v>1</v>
      </c>
      <c r="N49" s="263">
        <v>0</v>
      </c>
      <c r="O49" s="261">
        <v>1</v>
      </c>
      <c r="P49" s="261">
        <v>0</v>
      </c>
      <c r="Q49" s="262">
        <v>0</v>
      </c>
      <c r="R49" s="263">
        <v>0</v>
      </c>
      <c r="S49" s="261">
        <v>0</v>
      </c>
      <c r="T49" s="264"/>
      <c r="U49" s="265">
        <v>4605</v>
      </c>
      <c r="V49" s="266">
        <v>2705</v>
      </c>
      <c r="W49" s="266">
        <v>1424</v>
      </c>
      <c r="X49" s="266">
        <v>0</v>
      </c>
      <c r="Y49" s="266">
        <v>278</v>
      </c>
      <c r="Z49" s="266">
        <v>67</v>
      </c>
      <c r="AA49" s="267">
        <v>9079</v>
      </c>
      <c r="AB49" s="265">
        <v>1088</v>
      </c>
      <c r="AC49" s="266">
        <v>3219</v>
      </c>
      <c r="AD49" s="266">
        <v>819</v>
      </c>
      <c r="AE49" s="266">
        <v>62</v>
      </c>
      <c r="AF49" s="268">
        <v>0</v>
      </c>
      <c r="AG49" s="268">
        <v>5188</v>
      </c>
      <c r="AH49" s="265">
        <v>0</v>
      </c>
      <c r="AI49" s="266">
        <v>0</v>
      </c>
      <c r="AJ49" s="268">
        <v>0</v>
      </c>
      <c r="AK49" s="265">
        <v>0</v>
      </c>
      <c r="AL49" s="270"/>
      <c r="AM49" s="270"/>
    </row>
    <row r="50" spans="1:39">
      <c r="A50" s="239" t="s">
        <v>7</v>
      </c>
      <c r="B50" s="240" t="s">
        <v>53</v>
      </c>
      <c r="C50" s="241">
        <v>0.38007380073800739</v>
      </c>
      <c r="D50" s="242">
        <v>0.45424836601307189</v>
      </c>
      <c r="E50" s="242">
        <v>0.25199131064446051</v>
      </c>
      <c r="F50" s="242">
        <v>0.22005571030640669</v>
      </c>
      <c r="G50" s="242">
        <v>0.2400611620795107</v>
      </c>
      <c r="H50" s="243">
        <v>0.15909090909090909</v>
      </c>
      <c r="I50" s="462">
        <v>0.31119571347997743</v>
      </c>
      <c r="J50" s="241">
        <v>7.8947368421052627E-2</v>
      </c>
      <c r="K50" s="242">
        <v>7.505518763796909E-2</v>
      </c>
      <c r="L50" s="242">
        <v>0.15702479338842976</v>
      </c>
      <c r="M50" s="242">
        <v>0.11462450592885376</v>
      </c>
      <c r="N50" s="243">
        <v>0</v>
      </c>
      <c r="O50" s="241">
        <v>0.11719298245614035</v>
      </c>
      <c r="P50" s="342">
        <v>0</v>
      </c>
      <c r="Q50" s="242">
        <v>0</v>
      </c>
      <c r="R50" s="243">
        <v>0</v>
      </c>
      <c r="S50" s="342">
        <v>0</v>
      </c>
      <c r="T50" s="244"/>
      <c r="U50" s="245">
        <v>927</v>
      </c>
      <c r="V50" s="246">
        <v>417</v>
      </c>
      <c r="W50" s="246">
        <v>348</v>
      </c>
      <c r="X50" s="246">
        <v>316</v>
      </c>
      <c r="Y50" s="246">
        <v>157</v>
      </c>
      <c r="Z50" s="246">
        <v>42</v>
      </c>
      <c r="AA50" s="247">
        <v>2207</v>
      </c>
      <c r="AB50" s="245">
        <v>9</v>
      </c>
      <c r="AC50" s="246">
        <v>34</v>
      </c>
      <c r="AD50" s="246">
        <v>95</v>
      </c>
      <c r="AE50" s="246">
        <v>29</v>
      </c>
      <c r="AF50" s="248">
        <v>0</v>
      </c>
      <c r="AG50" s="248">
        <v>167</v>
      </c>
      <c r="AH50" s="245">
        <v>0</v>
      </c>
      <c r="AI50" s="246">
        <v>0</v>
      </c>
      <c r="AJ50" s="248">
        <v>0</v>
      </c>
      <c r="AK50" s="245">
        <v>0</v>
      </c>
    </row>
    <row r="51" spans="1:39">
      <c r="A51" s="249"/>
      <c r="B51" s="239" t="s">
        <v>93</v>
      </c>
      <c r="C51" s="250">
        <v>0.3214432144321443</v>
      </c>
      <c r="D51" s="251">
        <v>0.27450980392156865</v>
      </c>
      <c r="E51" s="251">
        <v>0.25199131064446051</v>
      </c>
      <c r="F51" s="251">
        <v>0.25974930362116994</v>
      </c>
      <c r="G51" s="251">
        <v>0.29510703363914376</v>
      </c>
      <c r="H51" s="252">
        <v>0.20833333333333334</v>
      </c>
      <c r="I51" s="437">
        <v>0.28271291596164694</v>
      </c>
      <c r="J51" s="250">
        <v>0.37719298245614036</v>
      </c>
      <c r="K51" s="251">
        <v>0.32671081677704195</v>
      </c>
      <c r="L51" s="251">
        <v>0.2528925619834711</v>
      </c>
      <c r="M51" s="251">
        <v>0.24110671936758893</v>
      </c>
      <c r="N51" s="252">
        <v>0</v>
      </c>
      <c r="O51" s="250">
        <v>0.28421052631578947</v>
      </c>
      <c r="P51" s="250">
        <v>0</v>
      </c>
      <c r="Q51" s="251">
        <v>0</v>
      </c>
      <c r="R51" s="252">
        <v>0</v>
      </c>
      <c r="S51" s="250">
        <v>0</v>
      </c>
      <c r="T51" s="253"/>
      <c r="U51" s="254">
        <v>784</v>
      </c>
      <c r="V51" s="255">
        <v>252</v>
      </c>
      <c r="W51" s="255">
        <v>348</v>
      </c>
      <c r="X51" s="255">
        <v>373</v>
      </c>
      <c r="Y51" s="255">
        <v>193</v>
      </c>
      <c r="Z51" s="255">
        <v>55</v>
      </c>
      <c r="AA51" s="256">
        <v>2005</v>
      </c>
      <c r="AB51" s="254">
        <v>43</v>
      </c>
      <c r="AC51" s="255">
        <v>148</v>
      </c>
      <c r="AD51" s="255">
        <v>153</v>
      </c>
      <c r="AE51" s="255">
        <v>61</v>
      </c>
      <c r="AF51" s="257">
        <v>0</v>
      </c>
      <c r="AG51" s="257">
        <v>405</v>
      </c>
      <c r="AH51" s="254">
        <v>0</v>
      </c>
      <c r="AI51" s="255">
        <v>0</v>
      </c>
      <c r="AJ51" s="257">
        <v>0</v>
      </c>
      <c r="AK51" s="254">
        <v>0</v>
      </c>
    </row>
    <row r="52" spans="1:39">
      <c r="A52" s="249"/>
      <c r="B52" s="239" t="s">
        <v>55</v>
      </c>
      <c r="C52" s="250">
        <v>0.27347273472734729</v>
      </c>
      <c r="D52" s="251">
        <v>0.22984749455337691</v>
      </c>
      <c r="E52" s="251">
        <v>0.36133236784938449</v>
      </c>
      <c r="F52" s="251">
        <v>0.40459610027855153</v>
      </c>
      <c r="G52" s="251">
        <v>0.38990825688073394</v>
      </c>
      <c r="H52" s="252">
        <v>0.57196969696969702</v>
      </c>
      <c r="I52" s="437">
        <v>0.33333333333333331</v>
      </c>
      <c r="J52" s="250">
        <v>0.44736842105263158</v>
      </c>
      <c r="K52" s="251">
        <v>0.19426048565121412</v>
      </c>
      <c r="L52" s="251">
        <v>0.36033057851239669</v>
      </c>
      <c r="M52" s="251">
        <v>0.40316205533596838</v>
      </c>
      <c r="N52" s="252">
        <v>0</v>
      </c>
      <c r="O52" s="250">
        <v>0.32210526315789473</v>
      </c>
      <c r="P52" s="250">
        <v>0</v>
      </c>
      <c r="Q52" s="251">
        <v>0</v>
      </c>
      <c r="R52" s="252">
        <v>0</v>
      </c>
      <c r="S52" s="250">
        <v>0</v>
      </c>
      <c r="T52" s="253"/>
      <c r="U52" s="254">
        <v>667</v>
      </c>
      <c r="V52" s="255">
        <v>211</v>
      </c>
      <c r="W52" s="255">
        <v>499</v>
      </c>
      <c r="X52" s="255">
        <v>581</v>
      </c>
      <c r="Y52" s="255">
        <v>255</v>
      </c>
      <c r="Z52" s="255">
        <v>151</v>
      </c>
      <c r="AA52" s="256">
        <v>2364</v>
      </c>
      <c r="AB52" s="254">
        <v>51</v>
      </c>
      <c r="AC52" s="255">
        <v>88</v>
      </c>
      <c r="AD52" s="255">
        <v>218</v>
      </c>
      <c r="AE52" s="255">
        <v>102</v>
      </c>
      <c r="AF52" s="257">
        <v>0</v>
      </c>
      <c r="AG52" s="257">
        <v>459</v>
      </c>
      <c r="AH52" s="254">
        <v>0</v>
      </c>
      <c r="AI52" s="255">
        <v>0</v>
      </c>
      <c r="AJ52" s="257">
        <v>0</v>
      </c>
      <c r="AK52" s="254">
        <v>0</v>
      </c>
    </row>
    <row r="53" spans="1:39">
      <c r="A53" s="249"/>
      <c r="B53" s="239" t="s">
        <v>78</v>
      </c>
      <c r="C53" s="250">
        <v>1.6400164001640016E-2</v>
      </c>
      <c r="D53" s="251">
        <v>3.8126361655773419E-2</v>
      </c>
      <c r="E53" s="251">
        <v>0.1339608979000724</v>
      </c>
      <c r="F53" s="251">
        <v>8.9136490250696379E-2</v>
      </c>
      <c r="G53" s="251">
        <v>6.7278287461773695E-2</v>
      </c>
      <c r="H53" s="252">
        <v>6.0606060606060608E-2</v>
      </c>
      <c r="I53" s="437">
        <v>6.3169768753525105E-2</v>
      </c>
      <c r="J53" s="250">
        <v>9.6491228070175433E-2</v>
      </c>
      <c r="K53" s="251">
        <v>0.40397350993377484</v>
      </c>
      <c r="L53" s="251">
        <v>0.22975206611570248</v>
      </c>
      <c r="M53" s="251">
        <v>0.24110671936758893</v>
      </c>
      <c r="N53" s="252">
        <v>0</v>
      </c>
      <c r="O53" s="250">
        <v>0.27649122807017545</v>
      </c>
      <c r="P53" s="250">
        <v>0</v>
      </c>
      <c r="Q53" s="251">
        <v>0</v>
      </c>
      <c r="R53" s="252">
        <v>0</v>
      </c>
      <c r="S53" s="250">
        <v>0</v>
      </c>
      <c r="T53" s="253"/>
      <c r="U53" s="254">
        <v>40</v>
      </c>
      <c r="V53" s="255">
        <v>35</v>
      </c>
      <c r="W53" s="255">
        <v>185</v>
      </c>
      <c r="X53" s="255">
        <v>128</v>
      </c>
      <c r="Y53" s="255">
        <v>44</v>
      </c>
      <c r="Z53" s="255">
        <v>16</v>
      </c>
      <c r="AA53" s="256">
        <v>448</v>
      </c>
      <c r="AB53" s="254">
        <v>11</v>
      </c>
      <c r="AC53" s="255">
        <v>183</v>
      </c>
      <c r="AD53" s="255">
        <v>139</v>
      </c>
      <c r="AE53" s="255">
        <v>61</v>
      </c>
      <c r="AF53" s="257">
        <v>0</v>
      </c>
      <c r="AG53" s="257">
        <v>394</v>
      </c>
      <c r="AH53" s="254">
        <v>0</v>
      </c>
      <c r="AI53" s="255">
        <v>0</v>
      </c>
      <c r="AJ53" s="257">
        <v>0</v>
      </c>
      <c r="AK53" s="254">
        <v>0</v>
      </c>
    </row>
    <row r="54" spans="1:39">
      <c r="A54" s="249"/>
      <c r="B54" s="239" t="s">
        <v>32</v>
      </c>
      <c r="C54" s="250">
        <v>8.6100861008610082E-3</v>
      </c>
      <c r="D54" s="273">
        <v>3.2679738562091504E-3</v>
      </c>
      <c r="E54" s="273">
        <v>7.2411296162201298E-4</v>
      </c>
      <c r="F54" s="251">
        <v>2.6462395543175487E-2</v>
      </c>
      <c r="G54" s="251">
        <v>7.6452599388379203E-3</v>
      </c>
      <c r="H54" s="252">
        <v>0</v>
      </c>
      <c r="I54" s="437">
        <v>9.5882684715172025E-3</v>
      </c>
      <c r="J54" s="250">
        <v>0</v>
      </c>
      <c r="K54" s="251">
        <v>0</v>
      </c>
      <c r="L54" s="251">
        <v>0</v>
      </c>
      <c r="M54" s="251">
        <v>0</v>
      </c>
      <c r="N54" s="258">
        <v>0</v>
      </c>
      <c r="O54" s="250">
        <v>0</v>
      </c>
      <c r="P54" s="250">
        <v>0</v>
      </c>
      <c r="Q54" s="251">
        <v>0</v>
      </c>
      <c r="R54" s="252">
        <v>0</v>
      </c>
      <c r="S54" s="250">
        <v>0</v>
      </c>
      <c r="T54" s="253"/>
      <c r="U54" s="254">
        <v>21</v>
      </c>
      <c r="V54" s="255">
        <v>3</v>
      </c>
      <c r="W54" s="255">
        <v>1</v>
      </c>
      <c r="X54" s="255">
        <v>38</v>
      </c>
      <c r="Y54" s="255">
        <v>5</v>
      </c>
      <c r="Z54" s="255">
        <v>0</v>
      </c>
      <c r="AA54" s="256">
        <v>68</v>
      </c>
      <c r="AB54" s="254">
        <v>0</v>
      </c>
      <c r="AC54" s="255">
        <v>0</v>
      </c>
      <c r="AD54" s="255">
        <v>0</v>
      </c>
      <c r="AE54" s="255">
        <v>0</v>
      </c>
      <c r="AF54" s="257">
        <v>0</v>
      </c>
      <c r="AG54" s="257">
        <v>0</v>
      </c>
      <c r="AH54" s="254">
        <v>0</v>
      </c>
      <c r="AI54" s="255">
        <v>0</v>
      </c>
      <c r="AJ54" s="257">
        <v>0</v>
      </c>
      <c r="AK54" s="254">
        <v>0</v>
      </c>
    </row>
    <row r="55" spans="1:39">
      <c r="A55" s="249"/>
      <c r="B55" s="239" t="s">
        <v>58</v>
      </c>
      <c r="C55" s="250">
        <v>0</v>
      </c>
      <c r="D55" s="251">
        <v>0</v>
      </c>
      <c r="E55" s="419">
        <v>0</v>
      </c>
      <c r="F55" s="251">
        <v>0</v>
      </c>
      <c r="G55" s="419">
        <v>0</v>
      </c>
      <c r="H55" s="252">
        <v>0</v>
      </c>
      <c r="I55" s="437">
        <v>0</v>
      </c>
      <c r="J55" s="250">
        <v>0</v>
      </c>
      <c r="K55" s="251">
        <v>0</v>
      </c>
      <c r="L55" s="251">
        <v>0</v>
      </c>
      <c r="M55" s="251">
        <v>0</v>
      </c>
      <c r="N55" s="252">
        <v>0</v>
      </c>
      <c r="O55" s="250">
        <v>0</v>
      </c>
      <c r="P55" s="250">
        <v>1</v>
      </c>
      <c r="Q55" s="251">
        <v>1</v>
      </c>
      <c r="R55" s="252">
        <v>0</v>
      </c>
      <c r="S55" s="250">
        <v>1</v>
      </c>
      <c r="T55" s="253"/>
      <c r="U55" s="254">
        <v>0</v>
      </c>
      <c r="V55" s="255">
        <v>0</v>
      </c>
      <c r="W55" s="255">
        <v>0</v>
      </c>
      <c r="X55" s="255">
        <v>0</v>
      </c>
      <c r="Y55" s="255">
        <v>0</v>
      </c>
      <c r="Z55" s="255">
        <v>0</v>
      </c>
      <c r="AA55" s="256">
        <v>0</v>
      </c>
      <c r="AB55" s="254">
        <v>0</v>
      </c>
      <c r="AC55" s="255">
        <v>0</v>
      </c>
      <c r="AD55" s="255">
        <v>0</v>
      </c>
      <c r="AE55" s="255">
        <v>0</v>
      </c>
      <c r="AF55" s="257">
        <v>0</v>
      </c>
      <c r="AG55" s="257">
        <v>0</v>
      </c>
      <c r="AH55" s="254">
        <v>2048</v>
      </c>
      <c r="AI55" s="255">
        <v>134</v>
      </c>
      <c r="AJ55" s="257">
        <v>0</v>
      </c>
      <c r="AK55" s="254">
        <v>2182</v>
      </c>
    </row>
    <row r="56" spans="1:39" s="271" customFormat="1">
      <c r="A56" s="435"/>
      <c r="B56" s="436" t="s">
        <v>59</v>
      </c>
      <c r="C56" s="261">
        <v>1</v>
      </c>
      <c r="D56" s="262">
        <v>1</v>
      </c>
      <c r="E56" s="262">
        <v>1</v>
      </c>
      <c r="F56" s="262">
        <v>1</v>
      </c>
      <c r="G56" s="262">
        <v>1</v>
      </c>
      <c r="H56" s="263">
        <v>1</v>
      </c>
      <c r="I56" s="463">
        <v>1</v>
      </c>
      <c r="J56" s="261">
        <v>1</v>
      </c>
      <c r="K56" s="262">
        <v>1</v>
      </c>
      <c r="L56" s="262">
        <v>1</v>
      </c>
      <c r="M56" s="262">
        <v>1</v>
      </c>
      <c r="N56" s="263">
        <v>0</v>
      </c>
      <c r="O56" s="261">
        <v>1</v>
      </c>
      <c r="P56" s="261">
        <v>1</v>
      </c>
      <c r="Q56" s="262">
        <v>1</v>
      </c>
      <c r="R56" s="263">
        <v>0</v>
      </c>
      <c r="S56" s="261">
        <v>1</v>
      </c>
      <c r="T56" s="264"/>
      <c r="U56" s="265">
        <v>2439</v>
      </c>
      <c r="V56" s="266">
        <v>918</v>
      </c>
      <c r="W56" s="266">
        <v>1381</v>
      </c>
      <c r="X56" s="266">
        <v>1436</v>
      </c>
      <c r="Y56" s="266">
        <v>654</v>
      </c>
      <c r="Z56" s="266">
        <v>264</v>
      </c>
      <c r="AA56" s="267">
        <v>7092</v>
      </c>
      <c r="AB56" s="265">
        <v>114</v>
      </c>
      <c r="AC56" s="266">
        <v>453</v>
      </c>
      <c r="AD56" s="266">
        <v>605</v>
      </c>
      <c r="AE56" s="266">
        <v>253</v>
      </c>
      <c r="AF56" s="268">
        <v>0</v>
      </c>
      <c r="AG56" s="268">
        <v>1425</v>
      </c>
      <c r="AH56" s="265">
        <v>2048</v>
      </c>
      <c r="AI56" s="266">
        <v>134</v>
      </c>
      <c r="AJ56" s="268">
        <v>0</v>
      </c>
      <c r="AK56" s="265">
        <v>2182</v>
      </c>
      <c r="AL56" s="270"/>
      <c r="AM56" s="270"/>
    </row>
    <row r="57" spans="1:39">
      <c r="A57" s="239" t="s">
        <v>8</v>
      </c>
      <c r="B57" s="240" t="s">
        <v>53</v>
      </c>
      <c r="C57" s="241">
        <v>0.34955393349553932</v>
      </c>
      <c r="D57" s="242">
        <v>0.36429433051869725</v>
      </c>
      <c r="E57" s="242">
        <v>0.22203098106712565</v>
      </c>
      <c r="F57" s="242">
        <v>0.16996871741397288</v>
      </c>
      <c r="G57" s="242">
        <v>0.17054263565891473</v>
      </c>
      <c r="H57" s="243">
        <v>0</v>
      </c>
      <c r="I57" s="462">
        <v>0.26670754138565295</v>
      </c>
      <c r="J57" s="241">
        <v>0</v>
      </c>
      <c r="K57" s="242">
        <v>0.26024955436720143</v>
      </c>
      <c r="L57" s="242">
        <v>0.35368217054263568</v>
      </c>
      <c r="M57" s="242">
        <v>0.35532994923857869</v>
      </c>
      <c r="N57" s="243">
        <v>0</v>
      </c>
      <c r="O57" s="241">
        <v>0.3245810055865922</v>
      </c>
      <c r="P57" s="342">
        <v>7.1428571428571425E-2</v>
      </c>
      <c r="Q57" s="242">
        <v>8.3333333333333329E-2</v>
      </c>
      <c r="R57" s="243">
        <v>0</v>
      </c>
      <c r="S57" s="342">
        <v>7.6923076923076927E-2</v>
      </c>
      <c r="T57" s="244"/>
      <c r="U57" s="245">
        <v>431</v>
      </c>
      <c r="V57" s="246">
        <v>302</v>
      </c>
      <c r="W57" s="246">
        <v>387</v>
      </c>
      <c r="X57" s="246">
        <v>163</v>
      </c>
      <c r="Y57" s="246">
        <v>22</v>
      </c>
      <c r="Z57" s="246">
        <v>0</v>
      </c>
      <c r="AA57" s="247">
        <v>1305</v>
      </c>
      <c r="AB57" s="245">
        <v>0</v>
      </c>
      <c r="AC57" s="246">
        <v>146</v>
      </c>
      <c r="AD57" s="246">
        <v>365</v>
      </c>
      <c r="AE57" s="246">
        <v>70</v>
      </c>
      <c r="AF57" s="248">
        <v>0</v>
      </c>
      <c r="AG57" s="248">
        <v>581</v>
      </c>
      <c r="AH57" s="245">
        <v>5</v>
      </c>
      <c r="AI57" s="246">
        <v>5</v>
      </c>
      <c r="AJ57" s="248">
        <v>0</v>
      </c>
      <c r="AK57" s="245">
        <v>10</v>
      </c>
    </row>
    <row r="58" spans="1:39">
      <c r="A58" s="249"/>
      <c r="B58" s="239" t="s">
        <v>93</v>
      </c>
      <c r="C58" s="250">
        <v>0.35117599351175993</v>
      </c>
      <c r="D58" s="251">
        <v>0.25452352231604342</v>
      </c>
      <c r="E58" s="251">
        <v>0.24899598393574296</v>
      </c>
      <c r="F58" s="251">
        <v>0.25755995828988532</v>
      </c>
      <c r="G58" s="251">
        <v>0.31782945736434109</v>
      </c>
      <c r="H58" s="252">
        <v>0</v>
      </c>
      <c r="I58" s="437">
        <v>0.27917433067647662</v>
      </c>
      <c r="J58" s="250">
        <v>0</v>
      </c>
      <c r="K58" s="251">
        <v>0.38680926916221031</v>
      </c>
      <c r="L58" s="251">
        <v>0.28875968992248063</v>
      </c>
      <c r="M58" s="251">
        <v>0.30456852791878175</v>
      </c>
      <c r="N58" s="252">
        <v>0</v>
      </c>
      <c r="O58" s="250">
        <v>0.32122905027932963</v>
      </c>
      <c r="P58" s="250">
        <v>0.18571428571428572</v>
      </c>
      <c r="Q58" s="251">
        <v>0.21666666666666667</v>
      </c>
      <c r="R58" s="252">
        <v>0</v>
      </c>
      <c r="S58" s="250">
        <v>0.2</v>
      </c>
      <c r="T58" s="253"/>
      <c r="U58" s="254">
        <v>433</v>
      </c>
      <c r="V58" s="255">
        <v>211</v>
      </c>
      <c r="W58" s="255">
        <v>434</v>
      </c>
      <c r="X58" s="255">
        <v>247</v>
      </c>
      <c r="Y58" s="255">
        <v>41</v>
      </c>
      <c r="Z58" s="255">
        <v>0</v>
      </c>
      <c r="AA58" s="256">
        <v>1366</v>
      </c>
      <c r="AB58" s="254">
        <v>0</v>
      </c>
      <c r="AC58" s="255">
        <v>217</v>
      </c>
      <c r="AD58" s="255">
        <v>298</v>
      </c>
      <c r="AE58" s="255">
        <v>60</v>
      </c>
      <c r="AF58" s="257">
        <v>0</v>
      </c>
      <c r="AG58" s="257">
        <v>575</v>
      </c>
      <c r="AH58" s="254">
        <v>13</v>
      </c>
      <c r="AI58" s="255">
        <v>13</v>
      </c>
      <c r="AJ58" s="257">
        <v>0</v>
      </c>
      <c r="AK58" s="254">
        <v>26</v>
      </c>
    </row>
    <row r="59" spans="1:39">
      <c r="A59" s="249"/>
      <c r="B59" s="239" t="s">
        <v>55</v>
      </c>
      <c r="C59" s="250">
        <v>0.21167883211678831</v>
      </c>
      <c r="D59" s="251">
        <v>0.26537997587454765</v>
      </c>
      <c r="E59" s="251">
        <v>0.31554790590935167</v>
      </c>
      <c r="F59" s="251">
        <v>0.2857142857142857</v>
      </c>
      <c r="G59" s="251">
        <v>0.4263565891472868</v>
      </c>
      <c r="H59" s="252">
        <v>0</v>
      </c>
      <c r="I59" s="437">
        <v>0.2779480891068874</v>
      </c>
      <c r="J59" s="250">
        <v>0</v>
      </c>
      <c r="K59" s="251">
        <v>0.16755793226381463</v>
      </c>
      <c r="L59" s="251">
        <v>0.18798449612403101</v>
      </c>
      <c r="M59" s="251">
        <v>0.16751269035532995</v>
      </c>
      <c r="N59" s="252">
        <v>0</v>
      </c>
      <c r="O59" s="250">
        <v>0.17932960893854749</v>
      </c>
      <c r="P59" s="250">
        <v>0.35714285714285715</v>
      </c>
      <c r="Q59" s="251">
        <v>0.28333333333333333</v>
      </c>
      <c r="R59" s="252">
        <v>0</v>
      </c>
      <c r="S59" s="250">
        <v>0.32307692307692309</v>
      </c>
      <c r="T59" s="253"/>
      <c r="U59" s="254">
        <v>261</v>
      </c>
      <c r="V59" s="255">
        <v>220</v>
      </c>
      <c r="W59" s="255">
        <v>550</v>
      </c>
      <c r="X59" s="255">
        <v>274</v>
      </c>
      <c r="Y59" s="255">
        <v>55</v>
      </c>
      <c r="Z59" s="255">
        <v>0</v>
      </c>
      <c r="AA59" s="256">
        <v>1360</v>
      </c>
      <c r="AB59" s="254">
        <v>0</v>
      </c>
      <c r="AC59" s="255">
        <v>94</v>
      </c>
      <c r="AD59" s="255">
        <v>194</v>
      </c>
      <c r="AE59" s="255">
        <v>33</v>
      </c>
      <c r="AF59" s="257">
        <v>0</v>
      </c>
      <c r="AG59" s="257">
        <v>321</v>
      </c>
      <c r="AH59" s="254">
        <v>25</v>
      </c>
      <c r="AI59" s="255">
        <v>17</v>
      </c>
      <c r="AJ59" s="257">
        <v>0</v>
      </c>
      <c r="AK59" s="254">
        <v>42</v>
      </c>
    </row>
    <row r="60" spans="1:39">
      <c r="A60" s="249"/>
      <c r="B60" s="239" t="s">
        <v>78</v>
      </c>
      <c r="C60" s="250">
        <v>6.4882400648824008E-3</v>
      </c>
      <c r="D60" s="251">
        <v>0.11338962605548854</v>
      </c>
      <c r="E60" s="251">
        <v>0.10843373493975904</v>
      </c>
      <c r="F60" s="251">
        <v>7.40354535974974E-2</v>
      </c>
      <c r="G60" s="251">
        <v>8.5271317829457363E-2</v>
      </c>
      <c r="H60" s="252">
        <v>0</v>
      </c>
      <c r="I60" s="437">
        <v>7.6231350909462495E-2</v>
      </c>
      <c r="J60" s="250">
        <v>0</v>
      </c>
      <c r="K60" s="251">
        <v>0.18538324420677363</v>
      </c>
      <c r="L60" s="251">
        <v>0.16957364341085271</v>
      </c>
      <c r="M60" s="251">
        <v>0.17258883248730963</v>
      </c>
      <c r="N60" s="252">
        <v>0</v>
      </c>
      <c r="O60" s="250">
        <v>0.17486033519553074</v>
      </c>
      <c r="P60" s="250">
        <v>0.38571428571428573</v>
      </c>
      <c r="Q60" s="251">
        <v>0.41666666666666669</v>
      </c>
      <c r="R60" s="252">
        <v>0</v>
      </c>
      <c r="S60" s="250">
        <v>0.4</v>
      </c>
      <c r="T60" s="253"/>
      <c r="U60" s="254">
        <v>8</v>
      </c>
      <c r="V60" s="255">
        <v>94</v>
      </c>
      <c r="W60" s="255">
        <v>189</v>
      </c>
      <c r="X60" s="255">
        <v>71</v>
      </c>
      <c r="Y60" s="255">
        <v>11</v>
      </c>
      <c r="Z60" s="255">
        <v>0</v>
      </c>
      <c r="AA60" s="256">
        <v>373</v>
      </c>
      <c r="AB60" s="254">
        <v>0</v>
      </c>
      <c r="AC60" s="255">
        <v>104</v>
      </c>
      <c r="AD60" s="255">
        <v>175</v>
      </c>
      <c r="AE60" s="255">
        <v>34</v>
      </c>
      <c r="AF60" s="257">
        <v>0</v>
      </c>
      <c r="AG60" s="257">
        <v>313</v>
      </c>
      <c r="AH60" s="254">
        <v>27</v>
      </c>
      <c r="AI60" s="255">
        <v>25</v>
      </c>
      <c r="AJ60" s="257">
        <v>0</v>
      </c>
      <c r="AK60" s="254">
        <v>52</v>
      </c>
    </row>
    <row r="61" spans="1:39">
      <c r="A61" s="249"/>
      <c r="B61" s="239" t="s">
        <v>32</v>
      </c>
      <c r="C61" s="250">
        <v>8.1103000811030002E-2</v>
      </c>
      <c r="D61" s="251">
        <v>2.4125452352231603E-3</v>
      </c>
      <c r="E61" s="251">
        <v>0.10499139414802065</v>
      </c>
      <c r="F61" s="251">
        <v>0.2127215849843587</v>
      </c>
      <c r="G61" s="251">
        <v>0</v>
      </c>
      <c r="H61" s="252">
        <v>0</v>
      </c>
      <c r="I61" s="437">
        <v>9.9938687921520539E-2</v>
      </c>
      <c r="J61" s="250">
        <v>0</v>
      </c>
      <c r="K61" s="251">
        <v>0</v>
      </c>
      <c r="L61" s="251">
        <v>0</v>
      </c>
      <c r="M61" s="251">
        <v>0</v>
      </c>
      <c r="N61" s="258">
        <v>0</v>
      </c>
      <c r="O61" s="250">
        <v>0</v>
      </c>
      <c r="P61" s="250">
        <v>0</v>
      </c>
      <c r="Q61" s="251">
        <v>0</v>
      </c>
      <c r="R61" s="252">
        <v>0</v>
      </c>
      <c r="S61" s="250">
        <v>0</v>
      </c>
      <c r="T61" s="253"/>
      <c r="U61" s="254">
        <v>100</v>
      </c>
      <c r="V61" s="255">
        <v>2</v>
      </c>
      <c r="W61" s="255">
        <v>183</v>
      </c>
      <c r="X61" s="255">
        <v>204</v>
      </c>
      <c r="Y61" s="255">
        <v>0</v>
      </c>
      <c r="Z61" s="255">
        <v>0</v>
      </c>
      <c r="AA61" s="256">
        <v>489</v>
      </c>
      <c r="AB61" s="254">
        <v>0</v>
      </c>
      <c r="AC61" s="255">
        <v>0</v>
      </c>
      <c r="AD61" s="255">
        <v>0</v>
      </c>
      <c r="AE61" s="255">
        <v>0</v>
      </c>
      <c r="AF61" s="257">
        <v>0</v>
      </c>
      <c r="AG61" s="257">
        <v>0</v>
      </c>
      <c r="AH61" s="254">
        <v>0</v>
      </c>
      <c r="AI61" s="255">
        <v>0</v>
      </c>
      <c r="AJ61" s="257">
        <v>0</v>
      </c>
      <c r="AK61" s="254">
        <v>0</v>
      </c>
    </row>
    <row r="62" spans="1:39">
      <c r="A62" s="249"/>
      <c r="B62" s="239" t="s">
        <v>58</v>
      </c>
      <c r="C62" s="250">
        <v>0</v>
      </c>
      <c r="D62" s="251">
        <v>0</v>
      </c>
      <c r="E62" s="419">
        <v>0</v>
      </c>
      <c r="F62" s="251">
        <v>0</v>
      </c>
      <c r="G62" s="419">
        <v>0</v>
      </c>
      <c r="H62" s="252">
        <v>0</v>
      </c>
      <c r="I62" s="437">
        <v>0</v>
      </c>
      <c r="J62" s="250">
        <v>0</v>
      </c>
      <c r="K62" s="251">
        <v>0</v>
      </c>
      <c r="L62" s="251">
        <v>0</v>
      </c>
      <c r="M62" s="251">
        <v>0</v>
      </c>
      <c r="N62" s="252">
        <v>0</v>
      </c>
      <c r="O62" s="250">
        <v>0</v>
      </c>
      <c r="P62" s="250">
        <v>0</v>
      </c>
      <c r="Q62" s="251">
        <v>0</v>
      </c>
      <c r="R62" s="252">
        <v>0</v>
      </c>
      <c r="S62" s="250">
        <v>0</v>
      </c>
      <c r="T62" s="253"/>
      <c r="U62" s="254">
        <v>0</v>
      </c>
      <c r="V62" s="255">
        <v>0</v>
      </c>
      <c r="W62" s="255">
        <v>0</v>
      </c>
      <c r="X62" s="255">
        <v>0</v>
      </c>
      <c r="Y62" s="255">
        <v>0</v>
      </c>
      <c r="Z62" s="255">
        <v>0</v>
      </c>
      <c r="AA62" s="256">
        <v>0</v>
      </c>
      <c r="AB62" s="254">
        <v>0</v>
      </c>
      <c r="AC62" s="255">
        <v>0</v>
      </c>
      <c r="AD62" s="255">
        <v>0</v>
      </c>
      <c r="AE62" s="255">
        <v>0</v>
      </c>
      <c r="AF62" s="257">
        <v>0</v>
      </c>
      <c r="AG62" s="257">
        <v>0</v>
      </c>
      <c r="AH62" s="254">
        <v>0</v>
      </c>
      <c r="AI62" s="255">
        <v>0</v>
      </c>
      <c r="AJ62" s="257">
        <v>0</v>
      </c>
      <c r="AK62" s="254">
        <v>0</v>
      </c>
    </row>
    <row r="63" spans="1:39" s="271" customFormat="1">
      <c r="A63" s="435"/>
      <c r="B63" s="436" t="s">
        <v>59</v>
      </c>
      <c r="C63" s="261">
        <v>1</v>
      </c>
      <c r="D63" s="262">
        <v>1</v>
      </c>
      <c r="E63" s="262">
        <v>1</v>
      </c>
      <c r="F63" s="262">
        <v>1</v>
      </c>
      <c r="G63" s="262">
        <v>1</v>
      </c>
      <c r="H63" s="263">
        <v>0</v>
      </c>
      <c r="I63" s="463">
        <v>1</v>
      </c>
      <c r="J63" s="261">
        <v>0</v>
      </c>
      <c r="K63" s="262">
        <v>1</v>
      </c>
      <c r="L63" s="262">
        <v>1</v>
      </c>
      <c r="M63" s="262">
        <v>1</v>
      </c>
      <c r="N63" s="263">
        <v>0</v>
      </c>
      <c r="O63" s="261">
        <v>1</v>
      </c>
      <c r="P63" s="261">
        <v>1</v>
      </c>
      <c r="Q63" s="262">
        <v>1</v>
      </c>
      <c r="R63" s="263">
        <v>0</v>
      </c>
      <c r="S63" s="261">
        <v>1</v>
      </c>
      <c r="T63" s="264"/>
      <c r="U63" s="265">
        <v>1233</v>
      </c>
      <c r="V63" s="266">
        <v>829</v>
      </c>
      <c r="W63" s="266">
        <v>1743</v>
      </c>
      <c r="X63" s="266">
        <v>959</v>
      </c>
      <c r="Y63" s="266">
        <v>129</v>
      </c>
      <c r="Z63" s="266">
        <v>0</v>
      </c>
      <c r="AA63" s="267">
        <v>4893</v>
      </c>
      <c r="AB63" s="265">
        <v>0</v>
      </c>
      <c r="AC63" s="266">
        <v>561</v>
      </c>
      <c r="AD63" s="266">
        <v>1032</v>
      </c>
      <c r="AE63" s="266">
        <v>197</v>
      </c>
      <c r="AF63" s="268">
        <v>0</v>
      </c>
      <c r="AG63" s="268">
        <v>1790</v>
      </c>
      <c r="AH63" s="265">
        <v>70</v>
      </c>
      <c r="AI63" s="266">
        <v>60</v>
      </c>
      <c r="AJ63" s="268">
        <v>0</v>
      </c>
      <c r="AK63" s="265">
        <v>130</v>
      </c>
      <c r="AL63" s="270"/>
      <c r="AM63" s="270"/>
    </row>
    <row r="64" spans="1:39">
      <c r="A64" s="239" t="s">
        <v>9</v>
      </c>
      <c r="B64" s="240" t="s">
        <v>53</v>
      </c>
      <c r="C64" s="241">
        <v>0.34730056406124094</v>
      </c>
      <c r="D64" s="242">
        <v>0.28560939794419971</v>
      </c>
      <c r="E64" s="242">
        <v>0.196309963099631</v>
      </c>
      <c r="F64" s="242">
        <v>0.20156862745098039</v>
      </c>
      <c r="G64" s="242">
        <v>0.15942028985507245</v>
      </c>
      <c r="H64" s="243">
        <v>0</v>
      </c>
      <c r="I64" s="462">
        <v>0.25537533006412677</v>
      </c>
      <c r="J64" s="241">
        <v>0.18867924528301888</v>
      </c>
      <c r="K64" s="242">
        <v>0.14360313315926893</v>
      </c>
      <c r="L64" s="242">
        <v>7.8358208955223885E-2</v>
      </c>
      <c r="M64" s="242">
        <v>1.0471204188481676E-2</v>
      </c>
      <c r="N64" s="243">
        <v>0</v>
      </c>
      <c r="O64" s="241">
        <v>0.10337552742616034</v>
      </c>
      <c r="P64" s="342">
        <v>0</v>
      </c>
      <c r="Q64" s="242">
        <v>0</v>
      </c>
      <c r="R64" s="243">
        <v>0</v>
      </c>
      <c r="S64" s="342">
        <v>0</v>
      </c>
      <c r="T64" s="244"/>
      <c r="U64" s="245">
        <v>431</v>
      </c>
      <c r="V64" s="246">
        <v>389</v>
      </c>
      <c r="W64" s="246">
        <v>266</v>
      </c>
      <c r="X64" s="246">
        <v>257</v>
      </c>
      <c r="Y64" s="246">
        <v>11</v>
      </c>
      <c r="Z64" s="246">
        <v>0</v>
      </c>
      <c r="AA64" s="247">
        <v>1354</v>
      </c>
      <c r="AB64" s="245">
        <v>20</v>
      </c>
      <c r="AC64" s="246">
        <v>55</v>
      </c>
      <c r="AD64" s="246">
        <v>21</v>
      </c>
      <c r="AE64" s="246">
        <v>2</v>
      </c>
      <c r="AF64" s="248">
        <v>0</v>
      </c>
      <c r="AG64" s="248">
        <v>98</v>
      </c>
      <c r="AH64" s="245">
        <v>0</v>
      </c>
      <c r="AI64" s="246">
        <v>0</v>
      </c>
      <c r="AJ64" s="248">
        <v>0</v>
      </c>
      <c r="AK64" s="245">
        <v>0</v>
      </c>
    </row>
    <row r="65" spans="1:39">
      <c r="A65" s="249"/>
      <c r="B65" s="239" t="s">
        <v>93</v>
      </c>
      <c r="C65" s="250">
        <v>0.21756647864625303</v>
      </c>
      <c r="D65" s="251">
        <v>0.2195301027900147</v>
      </c>
      <c r="E65" s="251">
        <v>0.20885608856088561</v>
      </c>
      <c r="F65" s="251">
        <v>0.21803921568627452</v>
      </c>
      <c r="G65" s="251">
        <v>0.33333333333333331</v>
      </c>
      <c r="H65" s="252">
        <v>0</v>
      </c>
      <c r="I65" s="437">
        <v>0.21746510750660128</v>
      </c>
      <c r="J65" s="250">
        <v>0.20754716981132076</v>
      </c>
      <c r="K65" s="251">
        <v>0.18537859007832899</v>
      </c>
      <c r="L65" s="251">
        <v>0.16044776119402984</v>
      </c>
      <c r="M65" s="251">
        <v>0.14136125654450263</v>
      </c>
      <c r="N65" s="252">
        <v>0</v>
      </c>
      <c r="O65" s="250">
        <v>0.1719409282700422</v>
      </c>
      <c r="P65" s="250">
        <v>0</v>
      </c>
      <c r="Q65" s="251">
        <v>0</v>
      </c>
      <c r="R65" s="252">
        <v>0</v>
      </c>
      <c r="S65" s="250">
        <v>0</v>
      </c>
      <c r="T65" s="253"/>
      <c r="U65" s="254">
        <v>270</v>
      </c>
      <c r="V65" s="255">
        <v>299</v>
      </c>
      <c r="W65" s="255">
        <v>283</v>
      </c>
      <c r="X65" s="255">
        <v>278</v>
      </c>
      <c r="Y65" s="255">
        <v>23</v>
      </c>
      <c r="Z65" s="255">
        <v>0</v>
      </c>
      <c r="AA65" s="256">
        <v>1153</v>
      </c>
      <c r="AB65" s="254">
        <v>22</v>
      </c>
      <c r="AC65" s="255">
        <v>71</v>
      </c>
      <c r="AD65" s="255">
        <v>43</v>
      </c>
      <c r="AE65" s="255">
        <v>27</v>
      </c>
      <c r="AF65" s="257">
        <v>0</v>
      </c>
      <c r="AG65" s="257">
        <v>163</v>
      </c>
      <c r="AH65" s="254">
        <v>0</v>
      </c>
      <c r="AI65" s="255">
        <v>0</v>
      </c>
      <c r="AJ65" s="257">
        <v>0</v>
      </c>
      <c r="AK65" s="254">
        <v>0</v>
      </c>
    </row>
    <row r="66" spans="1:39">
      <c r="A66" s="249"/>
      <c r="B66" s="239" t="s">
        <v>55</v>
      </c>
      <c r="C66" s="250">
        <v>0.22240128928283642</v>
      </c>
      <c r="D66" s="251">
        <v>0.27312775330396477</v>
      </c>
      <c r="E66" s="251">
        <v>0.29520295202952029</v>
      </c>
      <c r="F66" s="251">
        <v>0.39372549019607844</v>
      </c>
      <c r="G66" s="251">
        <v>0.47826086956521741</v>
      </c>
      <c r="H66" s="252">
        <v>0</v>
      </c>
      <c r="I66" s="437">
        <v>0.29856657864956621</v>
      </c>
      <c r="J66" s="250">
        <v>0.42452830188679247</v>
      </c>
      <c r="K66" s="251">
        <v>0.12271540469973891</v>
      </c>
      <c r="L66" s="251">
        <v>0.28358208955223879</v>
      </c>
      <c r="M66" s="251">
        <v>0.29319371727748689</v>
      </c>
      <c r="N66" s="252">
        <v>0</v>
      </c>
      <c r="O66" s="250">
        <v>0.23628691983122363</v>
      </c>
      <c r="P66" s="250">
        <v>0</v>
      </c>
      <c r="Q66" s="251">
        <v>0</v>
      </c>
      <c r="R66" s="252">
        <v>0</v>
      </c>
      <c r="S66" s="250">
        <v>0</v>
      </c>
      <c r="T66" s="253"/>
      <c r="U66" s="254">
        <v>276</v>
      </c>
      <c r="V66" s="255">
        <v>372</v>
      </c>
      <c r="W66" s="255">
        <v>400</v>
      </c>
      <c r="X66" s="255">
        <v>502</v>
      </c>
      <c r="Y66" s="255">
        <v>33</v>
      </c>
      <c r="Z66" s="255">
        <v>0</v>
      </c>
      <c r="AA66" s="256">
        <v>1583</v>
      </c>
      <c r="AB66" s="254">
        <v>45</v>
      </c>
      <c r="AC66" s="255">
        <v>47</v>
      </c>
      <c r="AD66" s="255">
        <v>76</v>
      </c>
      <c r="AE66" s="255">
        <v>56</v>
      </c>
      <c r="AF66" s="257">
        <v>0</v>
      </c>
      <c r="AG66" s="257">
        <v>224</v>
      </c>
      <c r="AH66" s="254">
        <v>0</v>
      </c>
      <c r="AI66" s="255">
        <v>0</v>
      </c>
      <c r="AJ66" s="257">
        <v>0</v>
      </c>
      <c r="AK66" s="254">
        <v>0</v>
      </c>
    </row>
    <row r="67" spans="1:39">
      <c r="A67" s="249"/>
      <c r="B67" s="239" t="s">
        <v>78</v>
      </c>
      <c r="C67" s="250">
        <v>0.19661563255439163</v>
      </c>
      <c r="D67" s="251">
        <v>0.21585903083700442</v>
      </c>
      <c r="E67" s="251">
        <v>0.27527675276752767</v>
      </c>
      <c r="F67" s="251">
        <v>0.17725490196078431</v>
      </c>
      <c r="G67" s="251">
        <v>2.8985507246376812E-2</v>
      </c>
      <c r="H67" s="252">
        <v>0</v>
      </c>
      <c r="I67" s="437">
        <v>0.21482459449264429</v>
      </c>
      <c r="J67" s="250">
        <v>0.17924528301886791</v>
      </c>
      <c r="K67" s="251">
        <v>0.42297650130548303</v>
      </c>
      <c r="L67" s="251">
        <v>0.47014925373134331</v>
      </c>
      <c r="M67" s="251">
        <v>0.54973821989528793</v>
      </c>
      <c r="N67" s="252">
        <v>0</v>
      </c>
      <c r="O67" s="250">
        <v>0.43459915611814348</v>
      </c>
      <c r="P67" s="250">
        <v>1</v>
      </c>
      <c r="Q67" s="251">
        <v>0.9285714285714286</v>
      </c>
      <c r="R67" s="252">
        <v>0.99605522682445757</v>
      </c>
      <c r="S67" s="250">
        <v>0.99180327868852458</v>
      </c>
      <c r="T67" s="253"/>
      <c r="U67" s="254">
        <v>244</v>
      </c>
      <c r="V67" s="255">
        <v>294</v>
      </c>
      <c r="W67" s="255">
        <v>373</v>
      </c>
      <c r="X67" s="255">
        <v>226</v>
      </c>
      <c r="Y67" s="255">
        <v>2</v>
      </c>
      <c r="Z67" s="255">
        <v>0</v>
      </c>
      <c r="AA67" s="256">
        <v>1139</v>
      </c>
      <c r="AB67" s="254">
        <v>19</v>
      </c>
      <c r="AC67" s="255">
        <v>162</v>
      </c>
      <c r="AD67" s="255">
        <v>126</v>
      </c>
      <c r="AE67" s="255">
        <v>105</v>
      </c>
      <c r="AF67" s="257">
        <v>0</v>
      </c>
      <c r="AG67" s="257">
        <v>412</v>
      </c>
      <c r="AH67" s="254">
        <v>61</v>
      </c>
      <c r="AI67" s="255">
        <v>39</v>
      </c>
      <c r="AJ67" s="257">
        <v>505</v>
      </c>
      <c r="AK67" s="254">
        <v>605</v>
      </c>
    </row>
    <row r="68" spans="1:39">
      <c r="A68" s="249"/>
      <c r="B68" s="239" t="s">
        <v>32</v>
      </c>
      <c r="C68" s="250">
        <v>1.6116035455278E-2</v>
      </c>
      <c r="D68" s="251">
        <v>5.8737151248164461E-3</v>
      </c>
      <c r="E68" s="251">
        <v>2.4354243542435424E-2</v>
      </c>
      <c r="F68" s="251">
        <v>9.4117647058823521E-3</v>
      </c>
      <c r="G68" s="251">
        <v>0</v>
      </c>
      <c r="H68" s="252">
        <v>0</v>
      </c>
      <c r="I68" s="437">
        <v>1.3768389287061486E-2</v>
      </c>
      <c r="J68" s="250">
        <v>0</v>
      </c>
      <c r="K68" s="251">
        <v>0</v>
      </c>
      <c r="L68" s="251">
        <v>0</v>
      </c>
      <c r="M68" s="251">
        <v>0</v>
      </c>
      <c r="N68" s="258">
        <v>0</v>
      </c>
      <c r="O68" s="250">
        <v>0</v>
      </c>
      <c r="P68" s="250">
        <v>0</v>
      </c>
      <c r="Q68" s="251">
        <v>7.1428571428571425E-2</v>
      </c>
      <c r="R68" s="252">
        <v>0</v>
      </c>
      <c r="S68" s="250">
        <v>4.9180327868852463E-3</v>
      </c>
      <c r="T68" s="253"/>
      <c r="U68" s="254">
        <v>20</v>
      </c>
      <c r="V68" s="255">
        <v>8</v>
      </c>
      <c r="W68" s="255">
        <v>33</v>
      </c>
      <c r="X68" s="255">
        <v>12</v>
      </c>
      <c r="Y68" s="255">
        <v>0</v>
      </c>
      <c r="Z68" s="255">
        <v>0</v>
      </c>
      <c r="AA68" s="256">
        <v>73</v>
      </c>
      <c r="AB68" s="254">
        <v>0</v>
      </c>
      <c r="AC68" s="255">
        <v>0</v>
      </c>
      <c r="AD68" s="255">
        <v>0</v>
      </c>
      <c r="AE68" s="255">
        <v>0</v>
      </c>
      <c r="AF68" s="257">
        <v>0</v>
      </c>
      <c r="AG68" s="257">
        <v>0</v>
      </c>
      <c r="AH68" s="254">
        <v>0</v>
      </c>
      <c r="AI68" s="255">
        <v>3</v>
      </c>
      <c r="AJ68" s="257">
        <v>0</v>
      </c>
      <c r="AK68" s="254">
        <v>3</v>
      </c>
    </row>
    <row r="69" spans="1:39">
      <c r="A69" s="249"/>
      <c r="B69" s="239" t="s">
        <v>58</v>
      </c>
      <c r="C69" s="250">
        <v>0</v>
      </c>
      <c r="D69" s="251">
        <v>0</v>
      </c>
      <c r="E69" s="419">
        <v>0</v>
      </c>
      <c r="F69" s="251">
        <v>0</v>
      </c>
      <c r="G69" s="419">
        <v>0</v>
      </c>
      <c r="H69" s="252">
        <v>0</v>
      </c>
      <c r="I69" s="437">
        <v>0</v>
      </c>
      <c r="J69" s="250">
        <v>0</v>
      </c>
      <c r="K69" s="251">
        <v>0.12532637075718014</v>
      </c>
      <c r="L69" s="251">
        <v>7.462686567164179E-3</v>
      </c>
      <c r="M69" s="251">
        <v>5.235602094240838E-3</v>
      </c>
      <c r="N69" s="252">
        <v>0</v>
      </c>
      <c r="O69" s="250">
        <v>5.3797468354430382E-2</v>
      </c>
      <c r="P69" s="250">
        <v>0</v>
      </c>
      <c r="Q69" s="251">
        <v>0</v>
      </c>
      <c r="R69" s="252">
        <v>3.9447731755424065E-3</v>
      </c>
      <c r="S69" s="250">
        <v>3.2786885245901639E-3</v>
      </c>
      <c r="T69" s="253"/>
      <c r="U69" s="254">
        <v>0</v>
      </c>
      <c r="V69" s="255">
        <v>0</v>
      </c>
      <c r="W69" s="255">
        <v>0</v>
      </c>
      <c r="X69" s="255">
        <v>0</v>
      </c>
      <c r="Y69" s="255">
        <v>0</v>
      </c>
      <c r="Z69" s="255">
        <v>0</v>
      </c>
      <c r="AA69" s="256">
        <v>0</v>
      </c>
      <c r="AB69" s="254">
        <v>0</v>
      </c>
      <c r="AC69" s="255">
        <v>48</v>
      </c>
      <c r="AD69" s="255">
        <v>2</v>
      </c>
      <c r="AE69" s="255">
        <v>1</v>
      </c>
      <c r="AF69" s="257">
        <v>0</v>
      </c>
      <c r="AG69" s="257">
        <v>51</v>
      </c>
      <c r="AH69" s="254">
        <v>0</v>
      </c>
      <c r="AI69" s="255">
        <v>0</v>
      </c>
      <c r="AJ69" s="257">
        <v>2</v>
      </c>
      <c r="AK69" s="254">
        <v>2</v>
      </c>
    </row>
    <row r="70" spans="1:39" s="271" customFormat="1">
      <c r="A70" s="435"/>
      <c r="B70" s="436" t="s">
        <v>59</v>
      </c>
      <c r="C70" s="261">
        <v>1</v>
      </c>
      <c r="D70" s="262">
        <v>1</v>
      </c>
      <c r="E70" s="262">
        <v>1</v>
      </c>
      <c r="F70" s="262">
        <v>1</v>
      </c>
      <c r="G70" s="262">
        <v>1</v>
      </c>
      <c r="H70" s="263">
        <v>0</v>
      </c>
      <c r="I70" s="463">
        <v>1</v>
      </c>
      <c r="J70" s="261">
        <v>1</v>
      </c>
      <c r="K70" s="262">
        <v>1</v>
      </c>
      <c r="L70" s="262">
        <v>1</v>
      </c>
      <c r="M70" s="262">
        <v>1</v>
      </c>
      <c r="N70" s="263">
        <v>0</v>
      </c>
      <c r="O70" s="261">
        <v>1</v>
      </c>
      <c r="P70" s="261">
        <v>1</v>
      </c>
      <c r="Q70" s="262">
        <v>1</v>
      </c>
      <c r="R70" s="263">
        <v>1</v>
      </c>
      <c r="S70" s="261">
        <v>1</v>
      </c>
      <c r="T70" s="264"/>
      <c r="U70" s="265">
        <v>1241</v>
      </c>
      <c r="V70" s="266">
        <v>1362</v>
      </c>
      <c r="W70" s="266">
        <v>1355</v>
      </c>
      <c r="X70" s="266">
        <v>1275</v>
      </c>
      <c r="Y70" s="266">
        <v>69</v>
      </c>
      <c r="Z70" s="266">
        <v>0</v>
      </c>
      <c r="AA70" s="267">
        <v>5302</v>
      </c>
      <c r="AB70" s="265">
        <v>106</v>
      </c>
      <c r="AC70" s="266">
        <v>383</v>
      </c>
      <c r="AD70" s="266">
        <v>268</v>
      </c>
      <c r="AE70" s="266">
        <v>191</v>
      </c>
      <c r="AF70" s="268">
        <v>0</v>
      </c>
      <c r="AG70" s="268">
        <v>948</v>
      </c>
      <c r="AH70" s="265">
        <v>61</v>
      </c>
      <c r="AI70" s="266">
        <v>42</v>
      </c>
      <c r="AJ70" s="268">
        <v>507</v>
      </c>
      <c r="AK70" s="265">
        <v>610</v>
      </c>
      <c r="AL70" s="270"/>
      <c r="AM70" s="270"/>
    </row>
    <row r="71" spans="1:39">
      <c r="A71" s="239" t="s">
        <v>10</v>
      </c>
      <c r="B71" s="240" t="s">
        <v>53</v>
      </c>
      <c r="C71" s="241">
        <v>0.42278481012658226</v>
      </c>
      <c r="D71" s="242">
        <v>0.29045643153526973</v>
      </c>
      <c r="E71" s="242">
        <v>0.23299565846599132</v>
      </c>
      <c r="F71" s="242">
        <v>0.23938506588579794</v>
      </c>
      <c r="G71" s="242">
        <v>0.19130434782608696</v>
      </c>
      <c r="H71" s="243">
        <v>0.28275862068965518</v>
      </c>
      <c r="I71" s="462">
        <v>0.31034482758620691</v>
      </c>
      <c r="J71" s="241">
        <v>0</v>
      </c>
      <c r="K71" s="242">
        <v>0.36518518518518517</v>
      </c>
      <c r="L71" s="242">
        <v>0.33913043478260868</v>
      </c>
      <c r="M71" s="242">
        <v>0.275609756097561</v>
      </c>
      <c r="N71" s="243">
        <v>0</v>
      </c>
      <c r="O71" s="241">
        <v>0.34304068522483938</v>
      </c>
      <c r="P71" s="342">
        <v>0</v>
      </c>
      <c r="Q71" s="242">
        <v>0</v>
      </c>
      <c r="R71" s="243">
        <v>0</v>
      </c>
      <c r="S71" s="342">
        <v>0</v>
      </c>
      <c r="T71" s="244"/>
      <c r="U71" s="245">
        <v>668</v>
      </c>
      <c r="V71" s="246">
        <v>140</v>
      </c>
      <c r="W71" s="246">
        <v>161</v>
      </c>
      <c r="X71" s="246">
        <v>327</v>
      </c>
      <c r="Y71" s="246">
        <v>22</v>
      </c>
      <c r="Z71" s="246">
        <v>41</v>
      </c>
      <c r="AA71" s="247">
        <v>1359</v>
      </c>
      <c r="AB71" s="245">
        <v>0</v>
      </c>
      <c r="AC71" s="246">
        <v>493</v>
      </c>
      <c r="AD71" s="246">
        <v>195</v>
      </c>
      <c r="AE71" s="246">
        <v>113</v>
      </c>
      <c r="AF71" s="248">
        <v>0</v>
      </c>
      <c r="AG71" s="248">
        <v>801</v>
      </c>
      <c r="AH71" s="245">
        <v>0</v>
      </c>
      <c r="AI71" s="246">
        <v>0</v>
      </c>
      <c r="AJ71" s="248">
        <v>0</v>
      </c>
      <c r="AK71" s="245">
        <v>0</v>
      </c>
    </row>
    <row r="72" spans="1:39">
      <c r="A72" s="249"/>
      <c r="B72" s="239" t="s">
        <v>93</v>
      </c>
      <c r="C72" s="250">
        <v>0.26139240506329114</v>
      </c>
      <c r="D72" s="251">
        <v>0.28008298755186722</v>
      </c>
      <c r="E72" s="251">
        <v>0.19971056439942114</v>
      </c>
      <c r="F72" s="251">
        <v>0.27013177159590046</v>
      </c>
      <c r="G72" s="251">
        <v>8.6956521739130432E-2</v>
      </c>
      <c r="H72" s="252">
        <v>0.23448275862068965</v>
      </c>
      <c r="I72" s="437">
        <v>0.2509705412194565</v>
      </c>
      <c r="J72" s="250">
        <v>0</v>
      </c>
      <c r="K72" s="251">
        <v>0.30074074074074075</v>
      </c>
      <c r="L72" s="251">
        <v>0.20347826086956522</v>
      </c>
      <c r="M72" s="251">
        <v>0.26097560975609757</v>
      </c>
      <c r="N72" s="252">
        <v>0</v>
      </c>
      <c r="O72" s="250">
        <v>0.26980728051391861</v>
      </c>
      <c r="P72" s="250">
        <v>0</v>
      </c>
      <c r="Q72" s="251">
        <v>0</v>
      </c>
      <c r="R72" s="252">
        <v>0</v>
      </c>
      <c r="S72" s="250">
        <v>0</v>
      </c>
      <c r="T72" s="253"/>
      <c r="U72" s="254">
        <v>413</v>
      </c>
      <c r="V72" s="255">
        <v>135</v>
      </c>
      <c r="W72" s="255">
        <v>138</v>
      </c>
      <c r="X72" s="255">
        <v>369</v>
      </c>
      <c r="Y72" s="255">
        <v>10</v>
      </c>
      <c r="Z72" s="255">
        <v>34</v>
      </c>
      <c r="AA72" s="256">
        <v>1099</v>
      </c>
      <c r="AB72" s="254">
        <v>0</v>
      </c>
      <c r="AC72" s="255">
        <v>406</v>
      </c>
      <c r="AD72" s="255">
        <v>117</v>
      </c>
      <c r="AE72" s="255">
        <v>107</v>
      </c>
      <c r="AF72" s="257">
        <v>0</v>
      </c>
      <c r="AG72" s="257">
        <v>630</v>
      </c>
      <c r="AH72" s="254">
        <v>0</v>
      </c>
      <c r="AI72" s="255">
        <v>0</v>
      </c>
      <c r="AJ72" s="257">
        <v>0</v>
      </c>
      <c r="AK72" s="254">
        <v>0</v>
      </c>
    </row>
    <row r="73" spans="1:39">
      <c r="A73" s="249"/>
      <c r="B73" s="239" t="s">
        <v>55</v>
      </c>
      <c r="C73" s="250">
        <v>0.17594936708860759</v>
      </c>
      <c r="D73" s="251">
        <v>0.28008298755186722</v>
      </c>
      <c r="E73" s="251">
        <v>0.30824891461649784</v>
      </c>
      <c r="F73" s="251">
        <v>0.3206442166910688</v>
      </c>
      <c r="G73" s="251">
        <v>0.47826086956521741</v>
      </c>
      <c r="H73" s="252">
        <v>0.4</v>
      </c>
      <c r="I73" s="437">
        <v>0.26878282712948159</v>
      </c>
      <c r="J73" s="250">
        <v>0</v>
      </c>
      <c r="K73" s="251">
        <v>0.28666666666666668</v>
      </c>
      <c r="L73" s="251">
        <v>0.32</v>
      </c>
      <c r="M73" s="251">
        <v>0.28292682926829266</v>
      </c>
      <c r="N73" s="252">
        <v>0</v>
      </c>
      <c r="O73" s="250">
        <v>0.29421841541755889</v>
      </c>
      <c r="P73" s="250">
        <v>0</v>
      </c>
      <c r="Q73" s="251">
        <v>0</v>
      </c>
      <c r="R73" s="252">
        <v>0</v>
      </c>
      <c r="S73" s="250">
        <v>0</v>
      </c>
      <c r="T73" s="253"/>
      <c r="U73" s="254">
        <v>278</v>
      </c>
      <c r="V73" s="255">
        <v>135</v>
      </c>
      <c r="W73" s="255">
        <v>213</v>
      </c>
      <c r="X73" s="255">
        <v>438</v>
      </c>
      <c r="Y73" s="255">
        <v>55</v>
      </c>
      <c r="Z73" s="255">
        <v>58</v>
      </c>
      <c r="AA73" s="256">
        <v>1177</v>
      </c>
      <c r="AB73" s="254">
        <v>0</v>
      </c>
      <c r="AC73" s="255">
        <v>387</v>
      </c>
      <c r="AD73" s="255">
        <v>184</v>
      </c>
      <c r="AE73" s="255">
        <v>116</v>
      </c>
      <c r="AF73" s="257">
        <v>0</v>
      </c>
      <c r="AG73" s="257">
        <v>687</v>
      </c>
      <c r="AH73" s="254">
        <v>0</v>
      </c>
      <c r="AI73" s="255">
        <v>0</v>
      </c>
      <c r="AJ73" s="257">
        <v>0</v>
      </c>
      <c r="AK73" s="254">
        <v>0</v>
      </c>
    </row>
    <row r="74" spans="1:39">
      <c r="A74" s="249"/>
      <c r="B74" s="239" t="s">
        <v>78</v>
      </c>
      <c r="C74" s="250">
        <v>1.4556962025316455E-2</v>
      </c>
      <c r="D74" s="251">
        <v>3.5269709543568464E-2</v>
      </c>
      <c r="E74" s="251">
        <v>4.1968162083936326E-2</v>
      </c>
      <c r="F74" s="251">
        <v>3.4407027818448024E-2</v>
      </c>
      <c r="G74" s="251">
        <v>2.6086956521739129E-2</v>
      </c>
      <c r="H74" s="252">
        <v>8.2758620689655171E-2</v>
      </c>
      <c r="I74" s="437">
        <v>2.9915505823247316E-2</v>
      </c>
      <c r="J74" s="250">
        <v>0</v>
      </c>
      <c r="K74" s="251">
        <v>4.7407407407407405E-2</v>
      </c>
      <c r="L74" s="251">
        <v>5.9130434782608696E-2</v>
      </c>
      <c r="M74" s="251">
        <v>0.17560975609756097</v>
      </c>
      <c r="N74" s="252">
        <v>0</v>
      </c>
      <c r="O74" s="250">
        <v>7.2805139186295498E-2</v>
      </c>
      <c r="P74" s="250">
        <v>0</v>
      </c>
      <c r="Q74" s="251">
        <v>0</v>
      </c>
      <c r="R74" s="252">
        <v>0</v>
      </c>
      <c r="S74" s="250">
        <v>0</v>
      </c>
      <c r="T74" s="253"/>
      <c r="U74" s="254">
        <v>23</v>
      </c>
      <c r="V74" s="255">
        <v>17</v>
      </c>
      <c r="W74" s="255">
        <v>29</v>
      </c>
      <c r="X74" s="255">
        <v>47</v>
      </c>
      <c r="Y74" s="255">
        <v>3</v>
      </c>
      <c r="Z74" s="255">
        <v>12</v>
      </c>
      <c r="AA74" s="256">
        <v>131</v>
      </c>
      <c r="AB74" s="254">
        <v>0</v>
      </c>
      <c r="AC74" s="255">
        <v>64</v>
      </c>
      <c r="AD74" s="255">
        <v>34</v>
      </c>
      <c r="AE74" s="255">
        <v>72</v>
      </c>
      <c r="AF74" s="257">
        <v>0</v>
      </c>
      <c r="AG74" s="257">
        <v>170</v>
      </c>
      <c r="AH74" s="254">
        <v>0</v>
      </c>
      <c r="AI74" s="255">
        <v>0</v>
      </c>
      <c r="AJ74" s="257">
        <v>0</v>
      </c>
      <c r="AK74" s="254">
        <v>0</v>
      </c>
    </row>
    <row r="75" spans="1:39">
      <c r="A75" s="249"/>
      <c r="B75" s="239" t="s">
        <v>32</v>
      </c>
      <c r="C75" s="250">
        <v>0.12531645569620253</v>
      </c>
      <c r="D75" s="251">
        <v>0.11410788381742738</v>
      </c>
      <c r="E75" s="251">
        <v>0.21707670043415339</v>
      </c>
      <c r="F75" s="251">
        <v>0.13543191800878476</v>
      </c>
      <c r="G75" s="251">
        <v>0.21739130434782608</v>
      </c>
      <c r="H75" s="252">
        <v>0</v>
      </c>
      <c r="I75" s="437">
        <v>0.13998629824160766</v>
      </c>
      <c r="J75" s="250">
        <v>0</v>
      </c>
      <c r="K75" s="251">
        <v>0</v>
      </c>
      <c r="L75" s="251">
        <v>7.8260869565217397E-2</v>
      </c>
      <c r="M75" s="251">
        <v>4.8780487804878049E-3</v>
      </c>
      <c r="N75" s="258">
        <v>0</v>
      </c>
      <c r="O75" s="250">
        <v>2.012847965738758E-2</v>
      </c>
      <c r="P75" s="250">
        <v>0</v>
      </c>
      <c r="Q75" s="251">
        <v>0</v>
      </c>
      <c r="R75" s="252">
        <v>0</v>
      </c>
      <c r="S75" s="250">
        <v>0</v>
      </c>
      <c r="T75" s="253"/>
      <c r="U75" s="254">
        <v>198</v>
      </c>
      <c r="V75" s="255">
        <v>55</v>
      </c>
      <c r="W75" s="255">
        <v>150</v>
      </c>
      <c r="X75" s="255">
        <v>185</v>
      </c>
      <c r="Y75" s="255">
        <v>25</v>
      </c>
      <c r="Z75" s="255">
        <v>0</v>
      </c>
      <c r="AA75" s="256">
        <v>613</v>
      </c>
      <c r="AB75" s="254">
        <v>0</v>
      </c>
      <c r="AC75" s="255">
        <v>0</v>
      </c>
      <c r="AD75" s="255">
        <v>45</v>
      </c>
      <c r="AE75" s="255">
        <v>2</v>
      </c>
      <c r="AF75" s="257">
        <v>0</v>
      </c>
      <c r="AG75" s="257">
        <v>47</v>
      </c>
      <c r="AH75" s="254">
        <v>0</v>
      </c>
      <c r="AI75" s="255">
        <v>0</v>
      </c>
      <c r="AJ75" s="257">
        <v>0</v>
      </c>
      <c r="AK75" s="254">
        <v>0</v>
      </c>
    </row>
    <row r="76" spans="1:39">
      <c r="A76" s="249"/>
      <c r="B76" s="239" t="s">
        <v>58</v>
      </c>
      <c r="C76" s="250">
        <v>0</v>
      </c>
      <c r="D76" s="251">
        <v>0</v>
      </c>
      <c r="E76" s="419">
        <v>0</v>
      </c>
      <c r="F76" s="251">
        <v>0</v>
      </c>
      <c r="G76" s="419">
        <v>0</v>
      </c>
      <c r="H76" s="252">
        <v>0</v>
      </c>
      <c r="I76" s="437">
        <v>0</v>
      </c>
      <c r="J76" s="250">
        <v>0</v>
      </c>
      <c r="K76" s="251">
        <v>0</v>
      </c>
      <c r="L76" s="251">
        <v>0</v>
      </c>
      <c r="M76" s="251">
        <v>0</v>
      </c>
      <c r="N76" s="252">
        <v>0</v>
      </c>
      <c r="O76" s="250">
        <v>0</v>
      </c>
      <c r="P76" s="250">
        <v>0</v>
      </c>
      <c r="Q76" s="251">
        <v>0</v>
      </c>
      <c r="R76" s="252">
        <v>0</v>
      </c>
      <c r="S76" s="250">
        <v>0</v>
      </c>
      <c r="T76" s="253"/>
      <c r="U76" s="254">
        <v>0</v>
      </c>
      <c r="V76" s="255">
        <v>0</v>
      </c>
      <c r="W76" s="255">
        <v>0</v>
      </c>
      <c r="X76" s="255">
        <v>0</v>
      </c>
      <c r="Y76" s="255">
        <v>0</v>
      </c>
      <c r="Z76" s="255">
        <v>0</v>
      </c>
      <c r="AA76" s="256">
        <v>0</v>
      </c>
      <c r="AB76" s="254">
        <v>0</v>
      </c>
      <c r="AC76" s="255">
        <v>0</v>
      </c>
      <c r="AD76" s="255">
        <v>0</v>
      </c>
      <c r="AE76" s="255">
        <v>0</v>
      </c>
      <c r="AF76" s="257">
        <v>0</v>
      </c>
      <c r="AG76" s="257">
        <v>0</v>
      </c>
      <c r="AH76" s="254">
        <v>0</v>
      </c>
      <c r="AI76" s="255">
        <v>0</v>
      </c>
      <c r="AJ76" s="257">
        <v>0</v>
      </c>
      <c r="AK76" s="254">
        <v>0</v>
      </c>
    </row>
    <row r="77" spans="1:39" s="271" customFormat="1">
      <c r="A77" s="435"/>
      <c r="B77" s="436" t="s">
        <v>59</v>
      </c>
      <c r="C77" s="261">
        <v>1</v>
      </c>
      <c r="D77" s="262">
        <v>1</v>
      </c>
      <c r="E77" s="262">
        <v>1</v>
      </c>
      <c r="F77" s="262">
        <v>1</v>
      </c>
      <c r="G77" s="262">
        <v>1</v>
      </c>
      <c r="H77" s="263">
        <v>1</v>
      </c>
      <c r="I77" s="463">
        <v>1</v>
      </c>
      <c r="J77" s="261">
        <v>0</v>
      </c>
      <c r="K77" s="262">
        <v>1</v>
      </c>
      <c r="L77" s="262">
        <v>1</v>
      </c>
      <c r="M77" s="262">
        <v>1</v>
      </c>
      <c r="N77" s="263">
        <v>0</v>
      </c>
      <c r="O77" s="261">
        <v>1</v>
      </c>
      <c r="P77" s="261">
        <v>0</v>
      </c>
      <c r="Q77" s="262">
        <v>0</v>
      </c>
      <c r="R77" s="263">
        <v>0</v>
      </c>
      <c r="S77" s="261">
        <v>0</v>
      </c>
      <c r="T77" s="264"/>
      <c r="U77" s="265">
        <v>1580</v>
      </c>
      <c r="V77" s="266">
        <v>482</v>
      </c>
      <c r="W77" s="266">
        <v>691</v>
      </c>
      <c r="X77" s="266">
        <v>1366</v>
      </c>
      <c r="Y77" s="266">
        <v>115</v>
      </c>
      <c r="Z77" s="266">
        <v>145</v>
      </c>
      <c r="AA77" s="267">
        <v>4379</v>
      </c>
      <c r="AB77" s="265">
        <v>0</v>
      </c>
      <c r="AC77" s="266">
        <v>1350</v>
      </c>
      <c r="AD77" s="266">
        <v>575</v>
      </c>
      <c r="AE77" s="266">
        <v>410</v>
      </c>
      <c r="AF77" s="268">
        <v>0</v>
      </c>
      <c r="AG77" s="268">
        <v>2335</v>
      </c>
      <c r="AH77" s="265">
        <v>0</v>
      </c>
      <c r="AI77" s="266">
        <v>0</v>
      </c>
      <c r="AJ77" s="268">
        <v>0</v>
      </c>
      <c r="AK77" s="265">
        <v>0</v>
      </c>
      <c r="AL77" s="270"/>
      <c r="AM77" s="270"/>
    </row>
    <row r="78" spans="1:39">
      <c r="A78" s="239" t="s">
        <v>11</v>
      </c>
      <c r="B78" s="240" t="s">
        <v>53</v>
      </c>
      <c r="C78" s="241">
        <v>0.24324324324324326</v>
      </c>
      <c r="D78" s="242">
        <v>0.25232621784345921</v>
      </c>
      <c r="E78" s="242">
        <v>0</v>
      </c>
      <c r="F78" s="242">
        <v>0.24852071005917159</v>
      </c>
      <c r="G78" s="242">
        <v>0.19444444444444445</v>
      </c>
      <c r="H78" s="243">
        <v>0</v>
      </c>
      <c r="I78" s="462">
        <v>0.24519230769230768</v>
      </c>
      <c r="J78" s="241">
        <v>0</v>
      </c>
      <c r="K78" s="242">
        <v>0</v>
      </c>
      <c r="L78" s="242">
        <v>0</v>
      </c>
      <c r="M78" s="242">
        <v>0</v>
      </c>
      <c r="N78" s="243">
        <v>0</v>
      </c>
      <c r="O78" s="241">
        <v>0</v>
      </c>
      <c r="P78" s="342">
        <v>0</v>
      </c>
      <c r="Q78" s="242">
        <v>0</v>
      </c>
      <c r="R78" s="243">
        <v>0</v>
      </c>
      <c r="S78" s="342">
        <v>0</v>
      </c>
      <c r="T78" s="244"/>
      <c r="U78" s="245">
        <v>171</v>
      </c>
      <c r="V78" s="246">
        <v>461</v>
      </c>
      <c r="W78" s="246">
        <v>0</v>
      </c>
      <c r="X78" s="246">
        <v>84</v>
      </c>
      <c r="Y78" s="246">
        <v>49</v>
      </c>
      <c r="Z78" s="246">
        <v>0</v>
      </c>
      <c r="AA78" s="247">
        <v>765</v>
      </c>
      <c r="AB78" s="245">
        <v>0</v>
      </c>
      <c r="AC78" s="246">
        <v>0</v>
      </c>
      <c r="AD78" s="246">
        <v>0</v>
      </c>
      <c r="AE78" s="246">
        <v>0</v>
      </c>
      <c r="AF78" s="248">
        <v>0</v>
      </c>
      <c r="AG78" s="248">
        <v>0</v>
      </c>
      <c r="AH78" s="245">
        <v>0</v>
      </c>
      <c r="AI78" s="246">
        <v>0</v>
      </c>
      <c r="AJ78" s="248">
        <v>0</v>
      </c>
      <c r="AK78" s="245">
        <v>0</v>
      </c>
    </row>
    <row r="79" spans="1:39">
      <c r="A79" s="249"/>
      <c r="B79" s="239" t="s">
        <v>93</v>
      </c>
      <c r="C79" s="250">
        <v>0.21052631578947367</v>
      </c>
      <c r="D79" s="251">
        <v>0.24083196496989601</v>
      </c>
      <c r="E79" s="251">
        <v>0</v>
      </c>
      <c r="F79" s="251">
        <v>0.18343195266272189</v>
      </c>
      <c r="G79" s="251">
        <v>0.15476190476190477</v>
      </c>
      <c r="H79" s="252">
        <v>0</v>
      </c>
      <c r="I79" s="437">
        <v>0.22083333333333333</v>
      </c>
      <c r="J79" s="250">
        <v>0</v>
      </c>
      <c r="K79" s="251">
        <v>0</v>
      </c>
      <c r="L79" s="251">
        <v>0</v>
      </c>
      <c r="M79" s="251">
        <v>0</v>
      </c>
      <c r="N79" s="252">
        <v>0</v>
      </c>
      <c r="O79" s="250">
        <v>0</v>
      </c>
      <c r="P79" s="250">
        <v>0</v>
      </c>
      <c r="Q79" s="251">
        <v>0</v>
      </c>
      <c r="R79" s="252">
        <v>0</v>
      </c>
      <c r="S79" s="250">
        <v>0</v>
      </c>
      <c r="T79" s="253"/>
      <c r="U79" s="254">
        <v>148</v>
      </c>
      <c r="V79" s="255">
        <v>440</v>
      </c>
      <c r="W79" s="255">
        <v>0</v>
      </c>
      <c r="X79" s="255">
        <v>62</v>
      </c>
      <c r="Y79" s="255">
        <v>39</v>
      </c>
      <c r="Z79" s="255">
        <v>0</v>
      </c>
      <c r="AA79" s="256">
        <v>689</v>
      </c>
      <c r="AB79" s="254">
        <v>0</v>
      </c>
      <c r="AC79" s="255">
        <v>0</v>
      </c>
      <c r="AD79" s="255">
        <v>0</v>
      </c>
      <c r="AE79" s="255">
        <v>0</v>
      </c>
      <c r="AF79" s="257">
        <v>0</v>
      </c>
      <c r="AG79" s="257">
        <v>0</v>
      </c>
      <c r="AH79" s="254">
        <v>0</v>
      </c>
      <c r="AI79" s="255">
        <v>0</v>
      </c>
      <c r="AJ79" s="257">
        <v>0</v>
      </c>
      <c r="AK79" s="254">
        <v>0</v>
      </c>
    </row>
    <row r="80" spans="1:39">
      <c r="A80" s="249"/>
      <c r="B80" s="239" t="s">
        <v>55</v>
      </c>
      <c r="C80" s="250">
        <v>0.35135135135135137</v>
      </c>
      <c r="D80" s="251">
        <v>0.33114395183360701</v>
      </c>
      <c r="E80" s="251">
        <v>0</v>
      </c>
      <c r="F80" s="251">
        <v>0.30769230769230771</v>
      </c>
      <c r="G80" s="251">
        <v>0.38095238095238093</v>
      </c>
      <c r="H80" s="252">
        <v>0</v>
      </c>
      <c r="I80" s="437">
        <v>0.3371794871794872</v>
      </c>
      <c r="J80" s="250">
        <v>0</v>
      </c>
      <c r="K80" s="251">
        <v>0</v>
      </c>
      <c r="L80" s="251">
        <v>0</v>
      </c>
      <c r="M80" s="251">
        <v>0</v>
      </c>
      <c r="N80" s="252">
        <v>0</v>
      </c>
      <c r="O80" s="250">
        <v>0</v>
      </c>
      <c r="P80" s="250">
        <v>0</v>
      </c>
      <c r="Q80" s="251">
        <v>0</v>
      </c>
      <c r="R80" s="252">
        <v>0</v>
      </c>
      <c r="S80" s="250">
        <v>0</v>
      </c>
      <c r="T80" s="253"/>
      <c r="U80" s="254">
        <v>247</v>
      </c>
      <c r="V80" s="255">
        <v>605</v>
      </c>
      <c r="W80" s="255">
        <v>0</v>
      </c>
      <c r="X80" s="255">
        <v>104</v>
      </c>
      <c r="Y80" s="255">
        <v>96</v>
      </c>
      <c r="Z80" s="255">
        <v>0</v>
      </c>
      <c r="AA80" s="256">
        <v>1052</v>
      </c>
      <c r="AB80" s="254">
        <v>0</v>
      </c>
      <c r="AC80" s="255">
        <v>0</v>
      </c>
      <c r="AD80" s="255">
        <v>0</v>
      </c>
      <c r="AE80" s="255">
        <v>0</v>
      </c>
      <c r="AF80" s="257">
        <v>0</v>
      </c>
      <c r="AG80" s="257">
        <v>0</v>
      </c>
      <c r="AH80" s="254">
        <v>0</v>
      </c>
      <c r="AI80" s="255">
        <v>0</v>
      </c>
      <c r="AJ80" s="257">
        <v>0</v>
      </c>
      <c r="AK80" s="254">
        <v>0</v>
      </c>
    </row>
    <row r="81" spans="1:39">
      <c r="A81" s="249"/>
      <c r="B81" s="239" t="s">
        <v>78</v>
      </c>
      <c r="C81" s="250">
        <v>0.19061166429587481</v>
      </c>
      <c r="D81" s="251">
        <v>0.14614121510673234</v>
      </c>
      <c r="E81" s="251">
        <v>0</v>
      </c>
      <c r="F81" s="251">
        <v>0.26035502958579881</v>
      </c>
      <c r="G81" s="251">
        <v>0.26984126984126983</v>
      </c>
      <c r="H81" s="252">
        <v>0</v>
      </c>
      <c r="I81" s="437">
        <v>0.17852564102564103</v>
      </c>
      <c r="J81" s="250">
        <v>0</v>
      </c>
      <c r="K81" s="251">
        <v>0</v>
      </c>
      <c r="L81" s="251">
        <v>0</v>
      </c>
      <c r="M81" s="251">
        <v>0</v>
      </c>
      <c r="N81" s="252">
        <v>0</v>
      </c>
      <c r="O81" s="250">
        <v>0</v>
      </c>
      <c r="P81" s="250">
        <v>0</v>
      </c>
      <c r="Q81" s="251">
        <v>0</v>
      </c>
      <c r="R81" s="252">
        <v>0</v>
      </c>
      <c r="S81" s="250">
        <v>0</v>
      </c>
      <c r="T81" s="253"/>
      <c r="U81" s="254">
        <v>134</v>
      </c>
      <c r="V81" s="255">
        <v>267</v>
      </c>
      <c r="W81" s="255">
        <v>0</v>
      </c>
      <c r="X81" s="255">
        <v>88</v>
      </c>
      <c r="Y81" s="255">
        <v>68</v>
      </c>
      <c r="Z81" s="255">
        <v>0</v>
      </c>
      <c r="AA81" s="256">
        <v>557</v>
      </c>
      <c r="AB81" s="254">
        <v>0</v>
      </c>
      <c r="AC81" s="255">
        <v>0</v>
      </c>
      <c r="AD81" s="255">
        <v>0</v>
      </c>
      <c r="AE81" s="255">
        <v>0</v>
      </c>
      <c r="AF81" s="257">
        <v>0</v>
      </c>
      <c r="AG81" s="257">
        <v>0</v>
      </c>
      <c r="AH81" s="254">
        <v>0</v>
      </c>
      <c r="AI81" s="255">
        <v>0</v>
      </c>
      <c r="AJ81" s="257">
        <v>0</v>
      </c>
      <c r="AK81" s="254">
        <v>0</v>
      </c>
    </row>
    <row r="82" spans="1:39">
      <c r="A82" s="249"/>
      <c r="B82" s="239" t="s">
        <v>32</v>
      </c>
      <c r="C82" s="272">
        <v>4.2674253200568994E-3</v>
      </c>
      <c r="D82" s="251">
        <v>2.9556650246305417E-2</v>
      </c>
      <c r="E82" s="251">
        <v>0</v>
      </c>
      <c r="F82" s="251">
        <v>0</v>
      </c>
      <c r="G82" s="251">
        <v>0</v>
      </c>
      <c r="H82" s="252">
        <v>0</v>
      </c>
      <c r="I82" s="437">
        <v>1.826923076923077E-2</v>
      </c>
      <c r="J82" s="250">
        <v>0</v>
      </c>
      <c r="K82" s="251">
        <v>0</v>
      </c>
      <c r="L82" s="251">
        <v>0</v>
      </c>
      <c r="M82" s="251">
        <v>0</v>
      </c>
      <c r="N82" s="258">
        <v>0</v>
      </c>
      <c r="O82" s="250">
        <v>0</v>
      </c>
      <c r="P82" s="250">
        <v>0</v>
      </c>
      <c r="Q82" s="251">
        <v>0</v>
      </c>
      <c r="R82" s="252">
        <v>0</v>
      </c>
      <c r="S82" s="250">
        <v>0</v>
      </c>
      <c r="T82" s="253"/>
      <c r="U82" s="254">
        <v>3</v>
      </c>
      <c r="V82" s="255">
        <v>54</v>
      </c>
      <c r="W82" s="255">
        <v>0</v>
      </c>
      <c r="X82" s="255">
        <v>0</v>
      </c>
      <c r="Y82" s="255">
        <v>0</v>
      </c>
      <c r="Z82" s="255">
        <v>0</v>
      </c>
      <c r="AA82" s="256">
        <v>57</v>
      </c>
      <c r="AB82" s="254">
        <v>0</v>
      </c>
      <c r="AC82" s="255">
        <v>0</v>
      </c>
      <c r="AD82" s="255">
        <v>0</v>
      </c>
      <c r="AE82" s="255">
        <v>0</v>
      </c>
      <c r="AF82" s="257">
        <v>0</v>
      </c>
      <c r="AG82" s="257">
        <v>0</v>
      </c>
      <c r="AH82" s="254">
        <v>0</v>
      </c>
      <c r="AI82" s="255">
        <v>0</v>
      </c>
      <c r="AJ82" s="257">
        <v>0</v>
      </c>
      <c r="AK82" s="254">
        <v>0</v>
      </c>
    </row>
    <row r="83" spans="1:39">
      <c r="A83" s="249"/>
      <c r="B83" s="239" t="s">
        <v>58</v>
      </c>
      <c r="C83" s="250">
        <v>0</v>
      </c>
      <c r="D83" s="251">
        <v>0</v>
      </c>
      <c r="E83" s="419">
        <v>0</v>
      </c>
      <c r="F83" s="251">
        <v>0</v>
      </c>
      <c r="G83" s="419">
        <v>0</v>
      </c>
      <c r="H83" s="252">
        <v>0</v>
      </c>
      <c r="I83" s="437">
        <v>0</v>
      </c>
      <c r="J83" s="250">
        <v>0</v>
      </c>
      <c r="K83" s="251">
        <v>1</v>
      </c>
      <c r="L83" s="251">
        <v>1</v>
      </c>
      <c r="M83" s="251">
        <v>1</v>
      </c>
      <c r="N83" s="252">
        <v>0</v>
      </c>
      <c r="O83" s="250">
        <v>1</v>
      </c>
      <c r="P83" s="250">
        <v>0</v>
      </c>
      <c r="Q83" s="251">
        <v>0</v>
      </c>
      <c r="R83" s="252">
        <v>0</v>
      </c>
      <c r="S83" s="250">
        <v>0</v>
      </c>
      <c r="T83" s="253"/>
      <c r="U83" s="254">
        <v>0</v>
      </c>
      <c r="V83" s="255">
        <v>0</v>
      </c>
      <c r="W83" s="255">
        <v>0</v>
      </c>
      <c r="X83" s="255">
        <v>0</v>
      </c>
      <c r="Y83" s="255">
        <v>0</v>
      </c>
      <c r="Z83" s="255">
        <v>0</v>
      </c>
      <c r="AA83" s="256">
        <v>0</v>
      </c>
      <c r="AB83" s="254">
        <v>0</v>
      </c>
      <c r="AC83" s="255">
        <v>1024.3</v>
      </c>
      <c r="AD83" s="255">
        <v>1343.3</v>
      </c>
      <c r="AE83" s="255">
        <v>151</v>
      </c>
      <c r="AF83" s="257">
        <v>0</v>
      </c>
      <c r="AG83" s="257">
        <v>2518.6</v>
      </c>
      <c r="AH83" s="254">
        <v>0</v>
      </c>
      <c r="AI83" s="255">
        <v>0</v>
      </c>
      <c r="AJ83" s="257">
        <v>0</v>
      </c>
      <c r="AK83" s="254">
        <v>0</v>
      </c>
    </row>
    <row r="84" spans="1:39" s="271" customFormat="1">
      <c r="A84" s="435"/>
      <c r="B84" s="436" t="s">
        <v>59</v>
      </c>
      <c r="C84" s="261">
        <v>1</v>
      </c>
      <c r="D84" s="262">
        <v>1</v>
      </c>
      <c r="E84" s="262">
        <v>0</v>
      </c>
      <c r="F84" s="262">
        <v>1</v>
      </c>
      <c r="G84" s="262">
        <v>1</v>
      </c>
      <c r="H84" s="263">
        <v>0</v>
      </c>
      <c r="I84" s="463">
        <v>1</v>
      </c>
      <c r="J84" s="261">
        <v>0</v>
      </c>
      <c r="K84" s="262">
        <v>1</v>
      </c>
      <c r="L84" s="262">
        <v>1</v>
      </c>
      <c r="M84" s="262">
        <v>1</v>
      </c>
      <c r="N84" s="263">
        <v>0</v>
      </c>
      <c r="O84" s="261">
        <v>1</v>
      </c>
      <c r="P84" s="261">
        <v>0</v>
      </c>
      <c r="Q84" s="262">
        <v>0</v>
      </c>
      <c r="R84" s="263">
        <v>0</v>
      </c>
      <c r="S84" s="261">
        <v>0</v>
      </c>
      <c r="T84" s="264"/>
      <c r="U84" s="265">
        <v>703</v>
      </c>
      <c r="V84" s="266">
        <v>1827</v>
      </c>
      <c r="W84" s="266">
        <v>0</v>
      </c>
      <c r="X84" s="266">
        <v>338</v>
      </c>
      <c r="Y84" s="266">
        <v>252</v>
      </c>
      <c r="Z84" s="266">
        <v>0</v>
      </c>
      <c r="AA84" s="267">
        <v>3120</v>
      </c>
      <c r="AB84" s="265">
        <v>0</v>
      </c>
      <c r="AC84" s="266">
        <v>1024.3</v>
      </c>
      <c r="AD84" s="266">
        <v>1343.3</v>
      </c>
      <c r="AE84" s="266">
        <v>151</v>
      </c>
      <c r="AF84" s="268">
        <v>0</v>
      </c>
      <c r="AG84" s="268">
        <v>2518.6</v>
      </c>
      <c r="AH84" s="265">
        <v>0</v>
      </c>
      <c r="AI84" s="266">
        <v>0</v>
      </c>
      <c r="AJ84" s="268">
        <v>0</v>
      </c>
      <c r="AK84" s="265">
        <v>0</v>
      </c>
      <c r="AL84" s="270"/>
      <c r="AM84" s="270"/>
    </row>
    <row r="85" spans="1:39">
      <c r="A85" s="239" t="s">
        <v>12</v>
      </c>
      <c r="B85" s="240" t="s">
        <v>53</v>
      </c>
      <c r="C85" s="241">
        <v>0.38287714831317632</v>
      </c>
      <c r="D85" s="242">
        <v>0.23641304347826086</v>
      </c>
      <c r="E85" s="242">
        <v>0.22420588917226988</v>
      </c>
      <c r="F85" s="242">
        <v>0.16867469879518071</v>
      </c>
      <c r="G85" s="242">
        <v>0.12840466926070038</v>
      </c>
      <c r="H85" s="243">
        <v>0.20717781402936378</v>
      </c>
      <c r="I85" s="462">
        <v>0.27346938775510204</v>
      </c>
      <c r="J85" s="241">
        <v>0</v>
      </c>
      <c r="K85" s="242">
        <v>0</v>
      </c>
      <c r="L85" s="242">
        <v>0</v>
      </c>
      <c r="M85" s="242">
        <v>0</v>
      </c>
      <c r="N85" s="243">
        <v>0</v>
      </c>
      <c r="O85" s="241">
        <v>0</v>
      </c>
      <c r="P85" s="342">
        <v>0</v>
      </c>
      <c r="Q85" s="242">
        <v>0</v>
      </c>
      <c r="R85" s="243">
        <v>0</v>
      </c>
      <c r="S85" s="342">
        <v>0</v>
      </c>
      <c r="T85" s="244"/>
      <c r="U85" s="245">
        <v>1203</v>
      </c>
      <c r="V85" s="246">
        <v>174</v>
      </c>
      <c r="W85" s="246">
        <v>967</v>
      </c>
      <c r="X85" s="246">
        <v>42</v>
      </c>
      <c r="Y85" s="246">
        <v>33</v>
      </c>
      <c r="Z85" s="246">
        <v>127</v>
      </c>
      <c r="AA85" s="247">
        <v>2546</v>
      </c>
      <c r="AB85" s="245">
        <v>0</v>
      </c>
      <c r="AC85" s="246">
        <v>0</v>
      </c>
      <c r="AD85" s="246">
        <v>0</v>
      </c>
      <c r="AE85" s="246">
        <v>0</v>
      </c>
      <c r="AF85" s="248">
        <v>0</v>
      </c>
      <c r="AG85" s="248">
        <v>0</v>
      </c>
      <c r="AH85" s="245">
        <v>0</v>
      </c>
      <c r="AI85" s="246">
        <v>0</v>
      </c>
      <c r="AJ85" s="248">
        <v>0</v>
      </c>
      <c r="AK85" s="245">
        <v>0</v>
      </c>
    </row>
    <row r="86" spans="1:39">
      <c r="A86" s="249"/>
      <c r="B86" s="239" t="s">
        <v>93</v>
      </c>
      <c r="C86" s="250">
        <v>0.23233609166136218</v>
      </c>
      <c r="D86" s="251">
        <v>0.24320652173913043</v>
      </c>
      <c r="E86" s="251">
        <v>0.2638534662647809</v>
      </c>
      <c r="F86" s="251">
        <v>0.19678714859437751</v>
      </c>
      <c r="G86" s="251">
        <v>0.20622568093385213</v>
      </c>
      <c r="H86" s="252">
        <v>0.28221859706362151</v>
      </c>
      <c r="I86" s="437">
        <v>0.24940923737916218</v>
      </c>
      <c r="J86" s="250">
        <v>0</v>
      </c>
      <c r="K86" s="251">
        <v>0</v>
      </c>
      <c r="L86" s="251">
        <v>0</v>
      </c>
      <c r="M86" s="251">
        <v>0</v>
      </c>
      <c r="N86" s="252">
        <v>0</v>
      </c>
      <c r="O86" s="250">
        <v>0</v>
      </c>
      <c r="P86" s="250">
        <v>0</v>
      </c>
      <c r="Q86" s="251">
        <v>0</v>
      </c>
      <c r="R86" s="252">
        <v>0</v>
      </c>
      <c r="S86" s="250">
        <v>0</v>
      </c>
      <c r="T86" s="253"/>
      <c r="U86" s="254">
        <v>730</v>
      </c>
      <c r="V86" s="255">
        <v>179</v>
      </c>
      <c r="W86" s="255">
        <v>1138</v>
      </c>
      <c r="X86" s="255">
        <v>49</v>
      </c>
      <c r="Y86" s="255">
        <v>53</v>
      </c>
      <c r="Z86" s="255">
        <v>173</v>
      </c>
      <c r="AA86" s="256">
        <v>2322</v>
      </c>
      <c r="AB86" s="254">
        <v>0</v>
      </c>
      <c r="AC86" s="255">
        <v>0</v>
      </c>
      <c r="AD86" s="255">
        <v>0</v>
      </c>
      <c r="AE86" s="255">
        <v>0</v>
      </c>
      <c r="AF86" s="257">
        <v>0</v>
      </c>
      <c r="AG86" s="257">
        <v>0</v>
      </c>
      <c r="AH86" s="254">
        <v>0</v>
      </c>
      <c r="AI86" s="255">
        <v>0</v>
      </c>
      <c r="AJ86" s="257">
        <v>0</v>
      </c>
      <c r="AK86" s="254">
        <v>0</v>
      </c>
    </row>
    <row r="87" spans="1:39">
      <c r="A87" s="249"/>
      <c r="B87" s="239" t="s">
        <v>55</v>
      </c>
      <c r="C87" s="250">
        <v>0.2071928707829408</v>
      </c>
      <c r="D87" s="251">
        <v>0.24048913043478262</v>
      </c>
      <c r="E87" s="251">
        <v>0.28332946904706702</v>
      </c>
      <c r="F87" s="251">
        <v>0.43775100401606426</v>
      </c>
      <c r="G87" s="251">
        <v>0.33852140077821014</v>
      </c>
      <c r="H87" s="252">
        <v>0.2903752039151713</v>
      </c>
      <c r="I87" s="437">
        <v>0.26036519871106339</v>
      </c>
      <c r="J87" s="250">
        <v>0</v>
      </c>
      <c r="K87" s="251">
        <v>0</v>
      </c>
      <c r="L87" s="251">
        <v>0</v>
      </c>
      <c r="M87" s="251">
        <v>0</v>
      </c>
      <c r="N87" s="252">
        <v>0</v>
      </c>
      <c r="O87" s="250">
        <v>0</v>
      </c>
      <c r="P87" s="250">
        <v>0</v>
      </c>
      <c r="Q87" s="251">
        <v>0</v>
      </c>
      <c r="R87" s="252">
        <v>0</v>
      </c>
      <c r="S87" s="250">
        <v>0</v>
      </c>
      <c r="T87" s="253"/>
      <c r="U87" s="254">
        <v>651</v>
      </c>
      <c r="V87" s="255">
        <v>177</v>
      </c>
      <c r="W87" s="255">
        <v>1222</v>
      </c>
      <c r="X87" s="255">
        <v>109</v>
      </c>
      <c r="Y87" s="255">
        <v>87</v>
      </c>
      <c r="Z87" s="255">
        <v>178</v>
      </c>
      <c r="AA87" s="256">
        <v>2424</v>
      </c>
      <c r="AB87" s="254">
        <v>0</v>
      </c>
      <c r="AC87" s="255">
        <v>0</v>
      </c>
      <c r="AD87" s="255">
        <v>0</v>
      </c>
      <c r="AE87" s="255">
        <v>0</v>
      </c>
      <c r="AF87" s="257">
        <v>0</v>
      </c>
      <c r="AG87" s="257">
        <v>0</v>
      </c>
      <c r="AH87" s="254">
        <v>0</v>
      </c>
      <c r="AI87" s="255">
        <v>0</v>
      </c>
      <c r="AJ87" s="257">
        <v>0</v>
      </c>
      <c r="AK87" s="254">
        <v>0</v>
      </c>
    </row>
    <row r="88" spans="1:39">
      <c r="A88" s="249"/>
      <c r="B88" s="239" t="s">
        <v>78</v>
      </c>
      <c r="C88" s="272">
        <v>3.1826861871419479E-3</v>
      </c>
      <c r="D88" s="273">
        <v>4.076086956521739E-3</v>
      </c>
      <c r="E88" s="251">
        <v>7.41942963134709E-3</v>
      </c>
      <c r="F88" s="251">
        <v>1.6064257028112448E-2</v>
      </c>
      <c r="G88" s="251">
        <v>1.556420233463035E-2</v>
      </c>
      <c r="H88" s="252">
        <v>5.2202283849918436E-2</v>
      </c>
      <c r="I88" s="437">
        <v>9.1299677765843187E-3</v>
      </c>
      <c r="J88" s="250">
        <v>0</v>
      </c>
      <c r="K88" s="251">
        <v>0</v>
      </c>
      <c r="L88" s="251">
        <v>0</v>
      </c>
      <c r="M88" s="251">
        <v>0</v>
      </c>
      <c r="N88" s="252">
        <v>0</v>
      </c>
      <c r="O88" s="250">
        <v>0</v>
      </c>
      <c r="P88" s="250">
        <v>0</v>
      </c>
      <c r="Q88" s="251">
        <v>0</v>
      </c>
      <c r="R88" s="252">
        <v>0</v>
      </c>
      <c r="S88" s="250">
        <v>0</v>
      </c>
      <c r="T88" s="253"/>
      <c r="U88" s="254">
        <v>10</v>
      </c>
      <c r="V88" s="255">
        <v>3</v>
      </c>
      <c r="W88" s="255">
        <v>32</v>
      </c>
      <c r="X88" s="255">
        <v>4</v>
      </c>
      <c r="Y88" s="255">
        <v>4</v>
      </c>
      <c r="Z88" s="255">
        <v>32</v>
      </c>
      <c r="AA88" s="256">
        <v>85</v>
      </c>
      <c r="AB88" s="254">
        <v>0</v>
      </c>
      <c r="AC88" s="255">
        <v>0</v>
      </c>
      <c r="AD88" s="255">
        <v>0</v>
      </c>
      <c r="AE88" s="255">
        <v>0</v>
      </c>
      <c r="AF88" s="257">
        <v>0</v>
      </c>
      <c r="AG88" s="257">
        <v>0</v>
      </c>
      <c r="AH88" s="254">
        <v>0</v>
      </c>
      <c r="AI88" s="255">
        <v>0</v>
      </c>
      <c r="AJ88" s="257">
        <v>0</v>
      </c>
      <c r="AK88" s="254">
        <v>0</v>
      </c>
    </row>
    <row r="89" spans="1:39">
      <c r="A89" s="249"/>
      <c r="B89" s="239" t="s">
        <v>32</v>
      </c>
      <c r="C89" s="250">
        <v>0.17441120305537874</v>
      </c>
      <c r="D89" s="251">
        <v>0.27581521739130432</v>
      </c>
      <c r="E89" s="251">
        <v>0.22119174588453513</v>
      </c>
      <c r="F89" s="251">
        <v>0.18072289156626506</v>
      </c>
      <c r="G89" s="251">
        <v>0.31128404669260701</v>
      </c>
      <c r="H89" s="252">
        <v>0.16802610114192496</v>
      </c>
      <c r="I89" s="437">
        <v>0.20762620837808807</v>
      </c>
      <c r="J89" s="250">
        <v>0</v>
      </c>
      <c r="K89" s="251">
        <v>0</v>
      </c>
      <c r="L89" s="251">
        <v>0</v>
      </c>
      <c r="M89" s="251">
        <v>0</v>
      </c>
      <c r="N89" s="258">
        <v>0</v>
      </c>
      <c r="O89" s="250">
        <v>0</v>
      </c>
      <c r="P89" s="250">
        <v>0</v>
      </c>
      <c r="Q89" s="251">
        <v>0</v>
      </c>
      <c r="R89" s="252">
        <v>0</v>
      </c>
      <c r="S89" s="250">
        <v>0</v>
      </c>
      <c r="T89" s="253"/>
      <c r="U89" s="254">
        <v>548</v>
      </c>
      <c r="V89" s="255">
        <v>203</v>
      </c>
      <c r="W89" s="255">
        <v>954</v>
      </c>
      <c r="X89" s="255">
        <v>45</v>
      </c>
      <c r="Y89" s="255">
        <v>80</v>
      </c>
      <c r="Z89" s="255">
        <v>103</v>
      </c>
      <c r="AA89" s="256">
        <v>1933</v>
      </c>
      <c r="AB89" s="254">
        <v>0</v>
      </c>
      <c r="AC89" s="255">
        <v>0</v>
      </c>
      <c r="AD89" s="255">
        <v>0</v>
      </c>
      <c r="AE89" s="255">
        <v>0</v>
      </c>
      <c r="AF89" s="257">
        <v>0</v>
      </c>
      <c r="AG89" s="257">
        <v>0</v>
      </c>
      <c r="AH89" s="254">
        <v>0</v>
      </c>
      <c r="AI89" s="255">
        <v>0</v>
      </c>
      <c r="AJ89" s="257">
        <v>0</v>
      </c>
      <c r="AK89" s="254">
        <v>0</v>
      </c>
    </row>
    <row r="90" spans="1:39">
      <c r="A90" s="249"/>
      <c r="B90" s="239" t="s">
        <v>58</v>
      </c>
      <c r="C90" s="250">
        <v>0</v>
      </c>
      <c r="D90" s="251">
        <v>0</v>
      </c>
      <c r="E90" s="419">
        <v>0</v>
      </c>
      <c r="F90" s="251">
        <v>0</v>
      </c>
      <c r="G90" s="419">
        <v>0</v>
      </c>
      <c r="H90" s="252">
        <v>0</v>
      </c>
      <c r="I90" s="437">
        <v>0</v>
      </c>
      <c r="J90" s="250">
        <v>0</v>
      </c>
      <c r="K90" s="251">
        <v>1</v>
      </c>
      <c r="L90" s="251">
        <v>1</v>
      </c>
      <c r="M90" s="251">
        <v>1</v>
      </c>
      <c r="N90" s="252">
        <v>0</v>
      </c>
      <c r="O90" s="250">
        <v>1</v>
      </c>
      <c r="P90" s="250">
        <v>0</v>
      </c>
      <c r="Q90" s="251">
        <v>0</v>
      </c>
      <c r="R90" s="252">
        <v>0</v>
      </c>
      <c r="S90" s="250">
        <v>0</v>
      </c>
      <c r="T90" s="253"/>
      <c r="U90" s="254">
        <v>0</v>
      </c>
      <c r="V90" s="255">
        <v>0</v>
      </c>
      <c r="W90" s="255">
        <v>0</v>
      </c>
      <c r="X90" s="255">
        <v>0</v>
      </c>
      <c r="Y90" s="255">
        <v>0</v>
      </c>
      <c r="Z90" s="255">
        <v>0</v>
      </c>
      <c r="AA90" s="256">
        <v>0</v>
      </c>
      <c r="AB90" s="254">
        <v>0</v>
      </c>
      <c r="AC90" s="255">
        <v>2427</v>
      </c>
      <c r="AD90" s="255">
        <v>2682</v>
      </c>
      <c r="AE90" s="255">
        <v>535</v>
      </c>
      <c r="AF90" s="257">
        <v>0</v>
      </c>
      <c r="AG90" s="257">
        <v>5644</v>
      </c>
      <c r="AH90" s="254">
        <v>0</v>
      </c>
      <c r="AI90" s="255">
        <v>0</v>
      </c>
      <c r="AJ90" s="257">
        <v>0</v>
      </c>
      <c r="AK90" s="254">
        <v>0</v>
      </c>
    </row>
    <row r="91" spans="1:39" s="271" customFormat="1">
      <c r="A91" s="435"/>
      <c r="B91" s="436" t="s">
        <v>59</v>
      </c>
      <c r="C91" s="261">
        <v>1</v>
      </c>
      <c r="D91" s="262">
        <v>1</v>
      </c>
      <c r="E91" s="262">
        <v>1</v>
      </c>
      <c r="F91" s="262">
        <v>1</v>
      </c>
      <c r="G91" s="262">
        <v>1</v>
      </c>
      <c r="H91" s="263">
        <v>1</v>
      </c>
      <c r="I91" s="463">
        <v>1</v>
      </c>
      <c r="J91" s="261">
        <v>0</v>
      </c>
      <c r="K91" s="262">
        <v>1</v>
      </c>
      <c r="L91" s="262">
        <v>1</v>
      </c>
      <c r="M91" s="262">
        <v>1</v>
      </c>
      <c r="N91" s="263">
        <v>0</v>
      </c>
      <c r="O91" s="261">
        <v>1</v>
      </c>
      <c r="P91" s="261">
        <v>0</v>
      </c>
      <c r="Q91" s="262">
        <v>0</v>
      </c>
      <c r="R91" s="263">
        <v>0</v>
      </c>
      <c r="S91" s="261">
        <v>0</v>
      </c>
      <c r="T91" s="264"/>
      <c r="U91" s="265">
        <v>3142</v>
      </c>
      <c r="V91" s="266">
        <v>736</v>
      </c>
      <c r="W91" s="266">
        <v>4313</v>
      </c>
      <c r="X91" s="266">
        <v>249</v>
      </c>
      <c r="Y91" s="266">
        <v>257</v>
      </c>
      <c r="Z91" s="266">
        <v>613</v>
      </c>
      <c r="AA91" s="267">
        <v>9310</v>
      </c>
      <c r="AB91" s="265">
        <v>0</v>
      </c>
      <c r="AC91" s="266">
        <v>2427</v>
      </c>
      <c r="AD91" s="266">
        <v>2682</v>
      </c>
      <c r="AE91" s="266">
        <v>535</v>
      </c>
      <c r="AF91" s="268">
        <v>0</v>
      </c>
      <c r="AG91" s="268">
        <v>5644</v>
      </c>
      <c r="AH91" s="265">
        <v>0</v>
      </c>
      <c r="AI91" s="266">
        <v>0</v>
      </c>
      <c r="AJ91" s="268">
        <v>0</v>
      </c>
      <c r="AK91" s="265">
        <v>0</v>
      </c>
      <c r="AL91" s="270"/>
      <c r="AM91" s="270"/>
    </row>
    <row r="92" spans="1:39">
      <c r="A92" s="239" t="s">
        <v>13</v>
      </c>
      <c r="B92" s="240" t="s">
        <v>53</v>
      </c>
      <c r="C92" s="241">
        <v>0.33543307086614171</v>
      </c>
      <c r="D92" s="242">
        <v>0</v>
      </c>
      <c r="E92" s="242">
        <v>0.28610354223433243</v>
      </c>
      <c r="F92" s="242">
        <v>0</v>
      </c>
      <c r="G92" s="242">
        <v>0.21729490022172948</v>
      </c>
      <c r="H92" s="243">
        <v>0.23214285714285715</v>
      </c>
      <c r="I92" s="462">
        <v>0.2931836846427594</v>
      </c>
      <c r="J92" s="241">
        <v>0.11688311688311688</v>
      </c>
      <c r="K92" s="242">
        <v>0</v>
      </c>
      <c r="L92" s="242">
        <v>0</v>
      </c>
      <c r="M92" s="242">
        <v>0</v>
      </c>
      <c r="N92" s="243">
        <v>0</v>
      </c>
      <c r="O92" s="241">
        <v>6.8965517241379309E-3</v>
      </c>
      <c r="P92" s="342">
        <v>0</v>
      </c>
      <c r="Q92" s="242">
        <v>0</v>
      </c>
      <c r="R92" s="243">
        <v>0</v>
      </c>
      <c r="S92" s="342">
        <v>0</v>
      </c>
      <c r="T92" s="244"/>
      <c r="U92" s="245">
        <v>639</v>
      </c>
      <c r="V92" s="246">
        <v>0</v>
      </c>
      <c r="W92" s="246">
        <v>210</v>
      </c>
      <c r="X92" s="246">
        <v>0</v>
      </c>
      <c r="Y92" s="246">
        <v>196</v>
      </c>
      <c r="Z92" s="246">
        <v>26</v>
      </c>
      <c r="AA92" s="247">
        <v>1071</v>
      </c>
      <c r="AB92" s="245">
        <v>9</v>
      </c>
      <c r="AC92" s="246">
        <v>0</v>
      </c>
      <c r="AD92" s="246">
        <v>0</v>
      </c>
      <c r="AE92" s="246">
        <v>0</v>
      </c>
      <c r="AF92" s="248">
        <v>0</v>
      </c>
      <c r="AG92" s="248">
        <v>9</v>
      </c>
      <c r="AH92" s="245">
        <v>0</v>
      </c>
      <c r="AI92" s="246">
        <v>0</v>
      </c>
      <c r="AJ92" s="248">
        <v>0</v>
      </c>
      <c r="AK92" s="245">
        <v>0</v>
      </c>
    </row>
    <row r="93" spans="1:39">
      <c r="A93" s="249"/>
      <c r="B93" s="239" t="s">
        <v>93</v>
      </c>
      <c r="C93" s="250">
        <v>0.25879265091863518</v>
      </c>
      <c r="D93" s="251">
        <v>0</v>
      </c>
      <c r="E93" s="251">
        <v>0.18664850136239783</v>
      </c>
      <c r="F93" s="251">
        <v>0</v>
      </c>
      <c r="G93" s="251">
        <v>0.19733924611973391</v>
      </c>
      <c r="H93" s="252">
        <v>0.17857142857142858</v>
      </c>
      <c r="I93" s="437">
        <v>0.22666301669860389</v>
      </c>
      <c r="J93" s="250">
        <v>3.896103896103896E-2</v>
      </c>
      <c r="K93" s="251">
        <v>0</v>
      </c>
      <c r="L93" s="251">
        <v>0</v>
      </c>
      <c r="M93" s="251">
        <v>0</v>
      </c>
      <c r="N93" s="252">
        <v>0</v>
      </c>
      <c r="O93" s="272">
        <v>2.2988505747126436E-3</v>
      </c>
      <c r="P93" s="250">
        <v>0</v>
      </c>
      <c r="Q93" s="251">
        <v>0</v>
      </c>
      <c r="R93" s="252">
        <v>0</v>
      </c>
      <c r="S93" s="250">
        <v>0</v>
      </c>
      <c r="T93" s="253"/>
      <c r="U93" s="254">
        <v>493</v>
      </c>
      <c r="V93" s="255">
        <v>0</v>
      </c>
      <c r="W93" s="255">
        <v>137</v>
      </c>
      <c r="X93" s="255">
        <v>0</v>
      </c>
      <c r="Y93" s="255">
        <v>178</v>
      </c>
      <c r="Z93" s="255">
        <v>20</v>
      </c>
      <c r="AA93" s="256">
        <v>828</v>
      </c>
      <c r="AB93" s="254">
        <v>3</v>
      </c>
      <c r="AC93" s="255">
        <v>0</v>
      </c>
      <c r="AD93" s="255">
        <v>0</v>
      </c>
      <c r="AE93" s="255">
        <v>0</v>
      </c>
      <c r="AF93" s="257">
        <v>0</v>
      </c>
      <c r="AG93" s="257">
        <v>3</v>
      </c>
      <c r="AH93" s="254">
        <v>0</v>
      </c>
      <c r="AI93" s="255">
        <v>0</v>
      </c>
      <c r="AJ93" s="257">
        <v>0</v>
      </c>
      <c r="AK93" s="254">
        <v>0</v>
      </c>
    </row>
    <row r="94" spans="1:39">
      <c r="A94" s="249"/>
      <c r="B94" s="239" t="s">
        <v>55</v>
      </c>
      <c r="C94" s="250">
        <v>0.25774278215223095</v>
      </c>
      <c r="D94" s="251">
        <v>0</v>
      </c>
      <c r="E94" s="251">
        <v>0.26158038147138962</v>
      </c>
      <c r="F94" s="251">
        <v>0</v>
      </c>
      <c r="G94" s="251">
        <v>0.32261640798226165</v>
      </c>
      <c r="H94" s="252">
        <v>0.25</v>
      </c>
      <c r="I94" s="437">
        <v>0.27429509991787571</v>
      </c>
      <c r="J94" s="250">
        <v>0.51948051948051943</v>
      </c>
      <c r="K94" s="251">
        <v>0</v>
      </c>
      <c r="L94" s="251">
        <v>0</v>
      </c>
      <c r="M94" s="251">
        <v>0</v>
      </c>
      <c r="N94" s="252">
        <v>0</v>
      </c>
      <c r="O94" s="250">
        <v>3.0651340996168581E-2</v>
      </c>
      <c r="P94" s="250">
        <v>0</v>
      </c>
      <c r="Q94" s="251">
        <v>0</v>
      </c>
      <c r="R94" s="252">
        <v>0</v>
      </c>
      <c r="S94" s="250">
        <v>0</v>
      </c>
      <c r="T94" s="253"/>
      <c r="U94" s="254">
        <v>491</v>
      </c>
      <c r="V94" s="255">
        <v>0</v>
      </c>
      <c r="W94" s="255">
        <v>192</v>
      </c>
      <c r="X94" s="255">
        <v>0</v>
      </c>
      <c r="Y94" s="255">
        <v>291</v>
      </c>
      <c r="Z94" s="255">
        <v>28</v>
      </c>
      <c r="AA94" s="256">
        <v>1002</v>
      </c>
      <c r="AB94" s="254">
        <v>40</v>
      </c>
      <c r="AC94" s="255">
        <v>0</v>
      </c>
      <c r="AD94" s="255">
        <v>0</v>
      </c>
      <c r="AE94" s="255">
        <v>0</v>
      </c>
      <c r="AF94" s="257">
        <v>0</v>
      </c>
      <c r="AG94" s="257">
        <v>40</v>
      </c>
      <c r="AH94" s="254">
        <v>0</v>
      </c>
      <c r="AI94" s="255">
        <v>0</v>
      </c>
      <c r="AJ94" s="257">
        <v>0</v>
      </c>
      <c r="AK94" s="254">
        <v>0</v>
      </c>
    </row>
    <row r="95" spans="1:39">
      <c r="A95" s="249"/>
      <c r="B95" s="239" t="s">
        <v>78</v>
      </c>
      <c r="C95" s="250">
        <v>0.14803149606299212</v>
      </c>
      <c r="D95" s="251">
        <v>0</v>
      </c>
      <c r="E95" s="251">
        <v>0.26566757493188009</v>
      </c>
      <c r="F95" s="251">
        <v>0</v>
      </c>
      <c r="G95" s="251">
        <v>0.26274944567627495</v>
      </c>
      <c r="H95" s="252">
        <v>0.3392857142857143</v>
      </c>
      <c r="I95" s="437">
        <v>0.20585819874076103</v>
      </c>
      <c r="J95" s="250">
        <v>0.32467532467532467</v>
      </c>
      <c r="K95" s="251">
        <v>0</v>
      </c>
      <c r="L95" s="251">
        <v>0</v>
      </c>
      <c r="M95" s="251">
        <v>0</v>
      </c>
      <c r="N95" s="252">
        <v>0</v>
      </c>
      <c r="O95" s="250">
        <v>1.9157088122605363E-2</v>
      </c>
      <c r="P95" s="250">
        <v>0.69259259259259254</v>
      </c>
      <c r="Q95" s="251">
        <v>0.5725534308211474</v>
      </c>
      <c r="R95" s="252">
        <v>0</v>
      </c>
      <c r="S95" s="250">
        <v>0.60051768766177738</v>
      </c>
      <c r="T95" s="253"/>
      <c r="U95" s="254">
        <v>282</v>
      </c>
      <c r="V95" s="255">
        <v>0</v>
      </c>
      <c r="W95" s="255">
        <v>195</v>
      </c>
      <c r="X95" s="255">
        <v>0</v>
      </c>
      <c r="Y95" s="255">
        <v>237</v>
      </c>
      <c r="Z95" s="255">
        <v>38</v>
      </c>
      <c r="AA95" s="256">
        <v>752</v>
      </c>
      <c r="AB95" s="254">
        <v>25</v>
      </c>
      <c r="AC95" s="255">
        <v>0</v>
      </c>
      <c r="AD95" s="255">
        <v>0</v>
      </c>
      <c r="AE95" s="255">
        <v>0</v>
      </c>
      <c r="AF95" s="257">
        <v>0</v>
      </c>
      <c r="AG95" s="257">
        <v>25</v>
      </c>
      <c r="AH95" s="254">
        <v>187</v>
      </c>
      <c r="AI95" s="255">
        <v>509</v>
      </c>
      <c r="AJ95" s="257">
        <v>0</v>
      </c>
      <c r="AK95" s="254">
        <v>696</v>
      </c>
    </row>
    <row r="96" spans="1:39">
      <c r="A96" s="249"/>
      <c r="B96" s="239" t="s">
        <v>32</v>
      </c>
      <c r="C96" s="250">
        <v>0</v>
      </c>
      <c r="D96" s="251">
        <v>0</v>
      </c>
      <c r="E96" s="251">
        <v>0</v>
      </c>
      <c r="F96" s="251">
        <v>0</v>
      </c>
      <c r="G96" s="251">
        <v>0</v>
      </c>
      <c r="H96" s="252">
        <v>0</v>
      </c>
      <c r="I96" s="437">
        <v>0</v>
      </c>
      <c r="J96" s="250">
        <v>0</v>
      </c>
      <c r="K96" s="251">
        <v>0</v>
      </c>
      <c r="L96" s="251">
        <v>0</v>
      </c>
      <c r="M96" s="251">
        <v>0</v>
      </c>
      <c r="N96" s="258">
        <v>0</v>
      </c>
      <c r="O96" s="250">
        <v>0</v>
      </c>
      <c r="P96" s="250">
        <v>0</v>
      </c>
      <c r="Q96" s="251">
        <v>0</v>
      </c>
      <c r="R96" s="252">
        <v>0</v>
      </c>
      <c r="S96" s="250">
        <v>0</v>
      </c>
      <c r="T96" s="253"/>
      <c r="U96" s="254">
        <v>0</v>
      </c>
      <c r="V96" s="255">
        <v>0</v>
      </c>
      <c r="W96" s="255">
        <v>0</v>
      </c>
      <c r="X96" s="255">
        <v>0</v>
      </c>
      <c r="Y96" s="255">
        <v>0</v>
      </c>
      <c r="Z96" s="255">
        <v>0</v>
      </c>
      <c r="AA96" s="256">
        <v>0</v>
      </c>
      <c r="AB96" s="254">
        <v>0</v>
      </c>
      <c r="AC96" s="255">
        <v>0</v>
      </c>
      <c r="AD96" s="255">
        <v>0</v>
      </c>
      <c r="AE96" s="255">
        <v>0</v>
      </c>
      <c r="AF96" s="257">
        <v>0</v>
      </c>
      <c r="AG96" s="257">
        <v>0</v>
      </c>
      <c r="AH96" s="254">
        <v>0</v>
      </c>
      <c r="AI96" s="255">
        <v>0</v>
      </c>
      <c r="AJ96" s="257">
        <v>0</v>
      </c>
      <c r="AK96" s="254">
        <v>0</v>
      </c>
    </row>
    <row r="97" spans="1:39">
      <c r="A97" s="249"/>
      <c r="B97" s="239" t="s">
        <v>58</v>
      </c>
      <c r="C97" s="250">
        <v>0</v>
      </c>
      <c r="D97" s="251">
        <v>0</v>
      </c>
      <c r="E97" s="419">
        <v>0</v>
      </c>
      <c r="F97" s="251">
        <v>0</v>
      </c>
      <c r="G97" s="419">
        <v>0</v>
      </c>
      <c r="H97" s="252">
        <v>0</v>
      </c>
      <c r="I97" s="437">
        <v>0</v>
      </c>
      <c r="J97" s="250">
        <v>0</v>
      </c>
      <c r="K97" s="251">
        <v>1</v>
      </c>
      <c r="L97" s="251">
        <v>1</v>
      </c>
      <c r="M97" s="251">
        <v>1</v>
      </c>
      <c r="N97" s="252">
        <v>0</v>
      </c>
      <c r="O97" s="250">
        <v>0.94099616858237545</v>
      </c>
      <c r="P97" s="250">
        <v>0.30740740740740741</v>
      </c>
      <c r="Q97" s="251">
        <v>0.42744656917885265</v>
      </c>
      <c r="R97" s="252">
        <v>0</v>
      </c>
      <c r="S97" s="250">
        <v>0.39948231233822262</v>
      </c>
      <c r="T97" s="253"/>
      <c r="U97" s="254">
        <v>0</v>
      </c>
      <c r="V97" s="255">
        <v>0</v>
      </c>
      <c r="W97" s="255">
        <v>0</v>
      </c>
      <c r="X97" s="255">
        <v>0</v>
      </c>
      <c r="Y97" s="255">
        <v>0</v>
      </c>
      <c r="Z97" s="255">
        <v>0</v>
      </c>
      <c r="AA97" s="256">
        <v>0</v>
      </c>
      <c r="AB97" s="254">
        <v>0</v>
      </c>
      <c r="AC97" s="255">
        <v>426</v>
      </c>
      <c r="AD97" s="255">
        <v>392</v>
      </c>
      <c r="AE97" s="255">
        <v>410</v>
      </c>
      <c r="AF97" s="257">
        <v>0</v>
      </c>
      <c r="AG97" s="257">
        <v>1228</v>
      </c>
      <c r="AH97" s="254">
        <v>83</v>
      </c>
      <c r="AI97" s="255">
        <v>380</v>
      </c>
      <c r="AJ97" s="257">
        <v>0</v>
      </c>
      <c r="AK97" s="254">
        <v>463</v>
      </c>
    </row>
    <row r="98" spans="1:39" s="271" customFormat="1">
      <c r="A98" s="435"/>
      <c r="B98" s="436" t="s">
        <v>59</v>
      </c>
      <c r="C98" s="261">
        <v>1</v>
      </c>
      <c r="D98" s="262">
        <v>0</v>
      </c>
      <c r="E98" s="262">
        <v>1</v>
      </c>
      <c r="F98" s="262">
        <v>0</v>
      </c>
      <c r="G98" s="262">
        <v>1</v>
      </c>
      <c r="H98" s="263">
        <v>1</v>
      </c>
      <c r="I98" s="463">
        <v>1</v>
      </c>
      <c r="J98" s="261">
        <v>1</v>
      </c>
      <c r="K98" s="262">
        <v>1</v>
      </c>
      <c r="L98" s="262">
        <v>1</v>
      </c>
      <c r="M98" s="262">
        <v>1</v>
      </c>
      <c r="N98" s="263">
        <v>0</v>
      </c>
      <c r="O98" s="261">
        <v>1</v>
      </c>
      <c r="P98" s="261">
        <v>1</v>
      </c>
      <c r="Q98" s="262">
        <v>1</v>
      </c>
      <c r="R98" s="263">
        <v>0</v>
      </c>
      <c r="S98" s="261">
        <v>1</v>
      </c>
      <c r="T98" s="264"/>
      <c r="U98" s="265">
        <v>1905</v>
      </c>
      <c r="V98" s="266">
        <v>0</v>
      </c>
      <c r="W98" s="266">
        <v>734</v>
      </c>
      <c r="X98" s="266">
        <v>0</v>
      </c>
      <c r="Y98" s="266">
        <v>902</v>
      </c>
      <c r="Z98" s="266">
        <v>112</v>
      </c>
      <c r="AA98" s="267">
        <v>3653</v>
      </c>
      <c r="AB98" s="265">
        <v>77</v>
      </c>
      <c r="AC98" s="266">
        <v>426</v>
      </c>
      <c r="AD98" s="266">
        <v>392</v>
      </c>
      <c r="AE98" s="266">
        <v>410</v>
      </c>
      <c r="AF98" s="268">
        <v>0</v>
      </c>
      <c r="AG98" s="268">
        <v>1305</v>
      </c>
      <c r="AH98" s="265">
        <v>270</v>
      </c>
      <c r="AI98" s="266">
        <v>889</v>
      </c>
      <c r="AJ98" s="268">
        <v>0</v>
      </c>
      <c r="AK98" s="265">
        <v>1159</v>
      </c>
      <c r="AL98" s="270"/>
      <c r="AM98" s="270"/>
    </row>
    <row r="99" spans="1:39">
      <c r="A99" s="239" t="s">
        <v>14</v>
      </c>
      <c r="B99" s="240" t="s">
        <v>53</v>
      </c>
      <c r="C99" s="241">
        <v>0.31699640287769787</v>
      </c>
      <c r="D99" s="242">
        <v>0</v>
      </c>
      <c r="E99" s="242">
        <v>0.23741935483870968</v>
      </c>
      <c r="F99" s="242">
        <v>0.33128834355828218</v>
      </c>
      <c r="G99" s="242">
        <v>0.22010178117048346</v>
      </c>
      <c r="H99" s="243">
        <v>0.20930232558139536</v>
      </c>
      <c r="I99" s="462">
        <v>0.27679403541472508</v>
      </c>
      <c r="J99" s="241">
        <v>0.17391304347826086</v>
      </c>
      <c r="K99" s="242">
        <v>0</v>
      </c>
      <c r="L99" s="242">
        <v>0</v>
      </c>
      <c r="M99" s="242">
        <v>6.2146892655367235E-2</v>
      </c>
      <c r="N99" s="243">
        <v>0</v>
      </c>
      <c r="O99" s="241">
        <v>9.8752598752598758E-3</v>
      </c>
      <c r="P99" s="342">
        <v>0</v>
      </c>
      <c r="Q99" s="242">
        <v>0</v>
      </c>
      <c r="R99" s="243">
        <v>0</v>
      </c>
      <c r="S99" s="342">
        <v>0</v>
      </c>
      <c r="T99" s="244"/>
      <c r="U99" s="245">
        <v>705</v>
      </c>
      <c r="V99" s="246">
        <v>0</v>
      </c>
      <c r="W99" s="246">
        <v>184</v>
      </c>
      <c r="X99" s="246">
        <v>54</v>
      </c>
      <c r="Y99" s="246">
        <v>173</v>
      </c>
      <c r="Z99" s="246">
        <v>72</v>
      </c>
      <c r="AA99" s="247">
        <v>1188</v>
      </c>
      <c r="AB99" s="245">
        <v>8</v>
      </c>
      <c r="AC99" s="246">
        <v>0</v>
      </c>
      <c r="AD99" s="246">
        <v>0</v>
      </c>
      <c r="AE99" s="246">
        <v>11</v>
      </c>
      <c r="AF99" s="248">
        <v>0</v>
      </c>
      <c r="AG99" s="248">
        <v>19</v>
      </c>
      <c r="AH99" s="245">
        <v>0</v>
      </c>
      <c r="AI99" s="246">
        <v>0</v>
      </c>
      <c r="AJ99" s="248">
        <v>0</v>
      </c>
      <c r="AK99" s="245">
        <v>0</v>
      </c>
    </row>
    <row r="100" spans="1:39">
      <c r="A100" s="249"/>
      <c r="B100" s="239" t="s">
        <v>93</v>
      </c>
      <c r="C100" s="250">
        <v>0.24595323741007194</v>
      </c>
      <c r="D100" s="251">
        <v>0</v>
      </c>
      <c r="E100" s="251">
        <v>0.30709677419354836</v>
      </c>
      <c r="F100" s="251">
        <v>0.31901840490797545</v>
      </c>
      <c r="G100" s="251">
        <v>0.24300254452926209</v>
      </c>
      <c r="H100" s="252">
        <v>0.20930232558139536</v>
      </c>
      <c r="I100" s="437">
        <v>0.25629077353215285</v>
      </c>
      <c r="J100" s="250">
        <v>0.28260869565217389</v>
      </c>
      <c r="K100" s="251">
        <v>0</v>
      </c>
      <c r="L100" s="251">
        <v>0</v>
      </c>
      <c r="M100" s="251">
        <v>5.6497175141242938E-2</v>
      </c>
      <c r="N100" s="252">
        <v>0</v>
      </c>
      <c r="O100" s="250">
        <v>1.1954261954261955E-2</v>
      </c>
      <c r="P100" s="250">
        <v>0</v>
      </c>
      <c r="Q100" s="251">
        <v>0</v>
      </c>
      <c r="R100" s="252">
        <v>0</v>
      </c>
      <c r="S100" s="250">
        <v>0</v>
      </c>
      <c r="T100" s="253"/>
      <c r="U100" s="254">
        <v>547</v>
      </c>
      <c r="V100" s="255">
        <v>0</v>
      </c>
      <c r="W100" s="255">
        <v>238</v>
      </c>
      <c r="X100" s="255">
        <v>52</v>
      </c>
      <c r="Y100" s="255">
        <v>191</v>
      </c>
      <c r="Z100" s="255">
        <v>72</v>
      </c>
      <c r="AA100" s="256">
        <v>1100</v>
      </c>
      <c r="AB100" s="254">
        <v>13</v>
      </c>
      <c r="AC100" s="255">
        <v>0</v>
      </c>
      <c r="AD100" s="255">
        <v>0</v>
      </c>
      <c r="AE100" s="255">
        <v>10</v>
      </c>
      <c r="AF100" s="257">
        <v>0</v>
      </c>
      <c r="AG100" s="257">
        <v>23</v>
      </c>
      <c r="AH100" s="254">
        <v>0</v>
      </c>
      <c r="AI100" s="255">
        <v>0</v>
      </c>
      <c r="AJ100" s="257">
        <v>0</v>
      </c>
      <c r="AK100" s="254">
        <v>0</v>
      </c>
    </row>
    <row r="101" spans="1:39">
      <c r="A101" s="249"/>
      <c r="B101" s="239" t="s">
        <v>55</v>
      </c>
      <c r="C101" s="250">
        <v>0.27562949640287771</v>
      </c>
      <c r="D101" s="251">
        <v>0</v>
      </c>
      <c r="E101" s="251">
        <v>0.33677419354838711</v>
      </c>
      <c r="F101" s="251">
        <v>0.33742331288343558</v>
      </c>
      <c r="G101" s="251">
        <v>0.37659033078880405</v>
      </c>
      <c r="H101" s="252">
        <v>0.31104651162790697</v>
      </c>
      <c r="I101" s="437">
        <v>0.31034482758620691</v>
      </c>
      <c r="J101" s="250">
        <v>0.17391304347826086</v>
      </c>
      <c r="K101" s="251">
        <v>0</v>
      </c>
      <c r="L101" s="251">
        <v>0</v>
      </c>
      <c r="M101" s="251">
        <v>9.03954802259887E-2</v>
      </c>
      <c r="N101" s="252">
        <v>0</v>
      </c>
      <c r="O101" s="250">
        <v>1.2474012474012475E-2</v>
      </c>
      <c r="P101" s="250">
        <v>0</v>
      </c>
      <c r="Q101" s="251">
        <v>0</v>
      </c>
      <c r="R101" s="252">
        <v>0</v>
      </c>
      <c r="S101" s="250">
        <v>0</v>
      </c>
      <c r="T101" s="253"/>
      <c r="U101" s="254">
        <v>613</v>
      </c>
      <c r="V101" s="255">
        <v>0</v>
      </c>
      <c r="W101" s="255">
        <v>261</v>
      </c>
      <c r="X101" s="255">
        <v>55</v>
      </c>
      <c r="Y101" s="255">
        <v>296</v>
      </c>
      <c r="Z101" s="255">
        <v>107</v>
      </c>
      <c r="AA101" s="256">
        <v>1332</v>
      </c>
      <c r="AB101" s="254">
        <v>8</v>
      </c>
      <c r="AC101" s="255">
        <v>0</v>
      </c>
      <c r="AD101" s="255">
        <v>0</v>
      </c>
      <c r="AE101" s="255">
        <v>16</v>
      </c>
      <c r="AF101" s="257">
        <v>0</v>
      </c>
      <c r="AG101" s="257">
        <v>24</v>
      </c>
      <c r="AH101" s="254">
        <v>0</v>
      </c>
      <c r="AI101" s="255">
        <v>0</v>
      </c>
      <c r="AJ101" s="257">
        <v>0</v>
      </c>
      <c r="AK101" s="254">
        <v>0</v>
      </c>
    </row>
    <row r="102" spans="1:39">
      <c r="A102" s="249"/>
      <c r="B102" s="239" t="s">
        <v>78</v>
      </c>
      <c r="C102" s="250">
        <v>5.845323741007194E-2</v>
      </c>
      <c r="D102" s="251">
        <v>0</v>
      </c>
      <c r="E102" s="251">
        <v>0.1135483870967742</v>
      </c>
      <c r="F102" s="251">
        <v>1.2269938650306749E-2</v>
      </c>
      <c r="G102" s="251">
        <v>0.1183206106870229</v>
      </c>
      <c r="H102" s="252">
        <v>0.27034883720930231</v>
      </c>
      <c r="I102" s="437">
        <v>9.45945945945946E-2</v>
      </c>
      <c r="J102" s="250">
        <v>0.36956521739130432</v>
      </c>
      <c r="K102" s="251">
        <v>0</v>
      </c>
      <c r="L102" s="251">
        <v>0</v>
      </c>
      <c r="M102" s="251">
        <v>9.6045197740112997E-2</v>
      </c>
      <c r="N102" s="252">
        <v>0</v>
      </c>
      <c r="O102" s="250">
        <v>1.7671517671517672E-2</v>
      </c>
      <c r="P102" s="250">
        <v>0</v>
      </c>
      <c r="Q102" s="251">
        <v>0</v>
      </c>
      <c r="R102" s="252">
        <v>0</v>
      </c>
      <c r="S102" s="250">
        <v>0</v>
      </c>
      <c r="T102" s="253"/>
      <c r="U102" s="254">
        <v>130</v>
      </c>
      <c r="V102" s="255">
        <v>0</v>
      </c>
      <c r="W102" s="255">
        <v>88</v>
      </c>
      <c r="X102" s="255">
        <v>2</v>
      </c>
      <c r="Y102" s="255">
        <v>93</v>
      </c>
      <c r="Z102" s="255">
        <v>93</v>
      </c>
      <c r="AA102" s="256">
        <v>406</v>
      </c>
      <c r="AB102" s="254">
        <v>17</v>
      </c>
      <c r="AC102" s="255">
        <v>0</v>
      </c>
      <c r="AD102" s="255">
        <v>0</v>
      </c>
      <c r="AE102" s="255">
        <v>17</v>
      </c>
      <c r="AF102" s="257">
        <v>0</v>
      </c>
      <c r="AG102" s="257">
        <v>34</v>
      </c>
      <c r="AH102" s="254">
        <v>0</v>
      </c>
      <c r="AI102" s="255">
        <v>0</v>
      </c>
      <c r="AJ102" s="257">
        <v>0</v>
      </c>
      <c r="AK102" s="254">
        <v>0</v>
      </c>
    </row>
    <row r="103" spans="1:39">
      <c r="A103" s="249"/>
      <c r="B103" s="239" t="s">
        <v>32</v>
      </c>
      <c r="C103" s="250">
        <v>0.10296762589928057</v>
      </c>
      <c r="D103" s="251">
        <v>0</v>
      </c>
      <c r="E103" s="251">
        <v>5.1612903225806452E-3</v>
      </c>
      <c r="F103" s="251">
        <v>0</v>
      </c>
      <c r="G103" s="251">
        <v>4.1984732824427481E-2</v>
      </c>
      <c r="H103" s="252">
        <v>0</v>
      </c>
      <c r="I103" s="437">
        <v>6.1975768872320598E-2</v>
      </c>
      <c r="J103" s="250">
        <v>0</v>
      </c>
      <c r="K103" s="251">
        <v>1</v>
      </c>
      <c r="L103" s="251">
        <v>1</v>
      </c>
      <c r="M103" s="251">
        <v>0.69491525423728817</v>
      </c>
      <c r="N103" s="258">
        <v>0</v>
      </c>
      <c r="O103" s="250">
        <v>0.94802494802494808</v>
      </c>
      <c r="P103" s="250">
        <v>0</v>
      </c>
      <c r="Q103" s="251">
        <v>0</v>
      </c>
      <c r="R103" s="252">
        <v>0</v>
      </c>
      <c r="S103" s="250">
        <v>0</v>
      </c>
      <c r="T103" s="253"/>
      <c r="U103" s="254">
        <v>229</v>
      </c>
      <c r="V103" s="255">
        <v>0</v>
      </c>
      <c r="W103" s="255">
        <v>4</v>
      </c>
      <c r="X103" s="255">
        <v>0</v>
      </c>
      <c r="Y103" s="255">
        <v>33</v>
      </c>
      <c r="Z103" s="255">
        <v>0</v>
      </c>
      <c r="AA103" s="256">
        <v>266</v>
      </c>
      <c r="AB103" s="254">
        <v>0</v>
      </c>
      <c r="AC103" s="255">
        <v>810</v>
      </c>
      <c r="AD103" s="255">
        <v>891</v>
      </c>
      <c r="AE103" s="255">
        <v>123</v>
      </c>
      <c r="AF103" s="257">
        <v>0</v>
      </c>
      <c r="AG103" s="257">
        <v>1824</v>
      </c>
      <c r="AH103" s="254">
        <v>0</v>
      </c>
      <c r="AI103" s="255">
        <v>0</v>
      </c>
      <c r="AJ103" s="257">
        <v>0</v>
      </c>
      <c r="AK103" s="254">
        <v>0</v>
      </c>
    </row>
    <row r="104" spans="1:39">
      <c r="A104" s="249"/>
      <c r="B104" s="239" t="s">
        <v>58</v>
      </c>
      <c r="C104" s="250">
        <v>0</v>
      </c>
      <c r="D104" s="251">
        <v>0</v>
      </c>
      <c r="E104" s="419">
        <v>0</v>
      </c>
      <c r="F104" s="251">
        <v>0</v>
      </c>
      <c r="G104" s="419">
        <v>0</v>
      </c>
      <c r="H104" s="252">
        <v>0</v>
      </c>
      <c r="I104" s="437">
        <v>0</v>
      </c>
      <c r="J104" s="250">
        <v>0</v>
      </c>
      <c r="K104" s="251">
        <v>0</v>
      </c>
      <c r="L104" s="251">
        <v>0</v>
      </c>
      <c r="M104" s="251">
        <v>0</v>
      </c>
      <c r="N104" s="252">
        <v>0</v>
      </c>
      <c r="O104" s="250">
        <v>0</v>
      </c>
      <c r="P104" s="250">
        <v>0</v>
      </c>
      <c r="Q104" s="251">
        <v>0</v>
      </c>
      <c r="R104" s="252">
        <v>0</v>
      </c>
      <c r="S104" s="250">
        <v>0</v>
      </c>
      <c r="T104" s="253"/>
      <c r="U104" s="254">
        <v>0</v>
      </c>
      <c r="V104" s="255">
        <v>0</v>
      </c>
      <c r="W104" s="255">
        <v>0</v>
      </c>
      <c r="X104" s="255">
        <v>0</v>
      </c>
      <c r="Y104" s="255">
        <v>0</v>
      </c>
      <c r="Z104" s="255">
        <v>0</v>
      </c>
      <c r="AA104" s="256">
        <v>0</v>
      </c>
      <c r="AB104" s="254">
        <v>0</v>
      </c>
      <c r="AC104" s="255">
        <v>0</v>
      </c>
      <c r="AD104" s="255">
        <v>0</v>
      </c>
      <c r="AE104" s="255">
        <v>0</v>
      </c>
      <c r="AF104" s="257">
        <v>0</v>
      </c>
      <c r="AG104" s="257">
        <v>0</v>
      </c>
      <c r="AH104" s="254">
        <v>0</v>
      </c>
      <c r="AI104" s="255">
        <v>0</v>
      </c>
      <c r="AJ104" s="257">
        <v>0</v>
      </c>
      <c r="AK104" s="254">
        <v>0</v>
      </c>
    </row>
    <row r="105" spans="1:39" s="271" customFormat="1">
      <c r="A105" s="435"/>
      <c r="B105" s="436" t="s">
        <v>59</v>
      </c>
      <c r="C105" s="261">
        <v>1</v>
      </c>
      <c r="D105" s="262">
        <v>0</v>
      </c>
      <c r="E105" s="262">
        <v>1</v>
      </c>
      <c r="F105" s="262">
        <v>1</v>
      </c>
      <c r="G105" s="262">
        <v>1</v>
      </c>
      <c r="H105" s="263">
        <v>1</v>
      </c>
      <c r="I105" s="463">
        <v>1</v>
      </c>
      <c r="J105" s="261">
        <v>1</v>
      </c>
      <c r="K105" s="262">
        <v>1</v>
      </c>
      <c r="L105" s="262">
        <v>1</v>
      </c>
      <c r="M105" s="262">
        <v>1</v>
      </c>
      <c r="N105" s="263">
        <v>0</v>
      </c>
      <c r="O105" s="261">
        <v>1</v>
      </c>
      <c r="P105" s="261">
        <v>0</v>
      </c>
      <c r="Q105" s="262">
        <v>0</v>
      </c>
      <c r="R105" s="263">
        <v>0</v>
      </c>
      <c r="S105" s="261">
        <v>0</v>
      </c>
      <c r="T105" s="264"/>
      <c r="U105" s="265">
        <v>2224</v>
      </c>
      <c r="V105" s="266">
        <v>0</v>
      </c>
      <c r="W105" s="266">
        <v>775</v>
      </c>
      <c r="X105" s="266">
        <v>163</v>
      </c>
      <c r="Y105" s="266">
        <v>786</v>
      </c>
      <c r="Z105" s="266">
        <v>344</v>
      </c>
      <c r="AA105" s="267">
        <v>4292</v>
      </c>
      <c r="AB105" s="265">
        <v>46</v>
      </c>
      <c r="AC105" s="266">
        <v>810</v>
      </c>
      <c r="AD105" s="266">
        <v>891</v>
      </c>
      <c r="AE105" s="266">
        <v>177</v>
      </c>
      <c r="AF105" s="268">
        <v>0</v>
      </c>
      <c r="AG105" s="268">
        <v>1924</v>
      </c>
      <c r="AH105" s="265">
        <v>0</v>
      </c>
      <c r="AI105" s="266">
        <v>0</v>
      </c>
      <c r="AJ105" s="268">
        <v>0</v>
      </c>
      <c r="AK105" s="265">
        <v>0</v>
      </c>
      <c r="AL105" s="270"/>
      <c r="AM105" s="270"/>
    </row>
    <row r="106" spans="1:39">
      <c r="A106" s="239" t="s">
        <v>15</v>
      </c>
      <c r="B106" s="240" t="s">
        <v>53</v>
      </c>
      <c r="C106" s="241">
        <v>0.34157160963244615</v>
      </c>
      <c r="D106" s="242">
        <v>0.30658682634730539</v>
      </c>
      <c r="E106" s="242">
        <v>0.3050928129462161</v>
      </c>
      <c r="F106" s="242">
        <v>0.38138138138138139</v>
      </c>
      <c r="G106" s="242">
        <v>0.30152671755725191</v>
      </c>
      <c r="H106" s="243">
        <v>0</v>
      </c>
      <c r="I106" s="462">
        <v>0.32506431459022417</v>
      </c>
      <c r="J106" s="241">
        <v>0</v>
      </c>
      <c r="K106" s="242">
        <v>0.1303680981595092</v>
      </c>
      <c r="L106" s="242">
        <v>0.10848126232741617</v>
      </c>
      <c r="M106" s="242">
        <v>0.19230769230769232</v>
      </c>
      <c r="N106" s="243">
        <v>0</v>
      </c>
      <c r="O106" s="241">
        <v>0.11932479627473806</v>
      </c>
      <c r="P106" s="342">
        <v>0</v>
      </c>
      <c r="Q106" s="242">
        <v>0</v>
      </c>
      <c r="R106" s="243">
        <v>0</v>
      </c>
      <c r="S106" s="342">
        <v>0</v>
      </c>
      <c r="T106" s="244"/>
      <c r="U106" s="245">
        <v>539</v>
      </c>
      <c r="V106" s="246">
        <v>256</v>
      </c>
      <c r="W106" s="246">
        <v>641</v>
      </c>
      <c r="X106" s="246">
        <v>254</v>
      </c>
      <c r="Y106" s="246">
        <v>79</v>
      </c>
      <c r="Z106" s="246">
        <v>0</v>
      </c>
      <c r="AA106" s="247">
        <v>1769</v>
      </c>
      <c r="AB106" s="245">
        <v>0</v>
      </c>
      <c r="AC106" s="246">
        <v>85</v>
      </c>
      <c r="AD106" s="246">
        <v>110</v>
      </c>
      <c r="AE106" s="246">
        <v>10</v>
      </c>
      <c r="AF106" s="248">
        <v>0</v>
      </c>
      <c r="AG106" s="248">
        <v>205</v>
      </c>
      <c r="AH106" s="245">
        <v>0</v>
      </c>
      <c r="AI106" s="246">
        <v>0</v>
      </c>
      <c r="AJ106" s="248">
        <v>0</v>
      </c>
      <c r="AK106" s="245">
        <v>0</v>
      </c>
    </row>
    <row r="107" spans="1:39">
      <c r="A107" s="249"/>
      <c r="B107" s="239" t="s">
        <v>93</v>
      </c>
      <c r="C107" s="250">
        <v>0.23827629911280102</v>
      </c>
      <c r="D107" s="251">
        <v>0.27065868263473053</v>
      </c>
      <c r="E107" s="251">
        <v>0.27748691099476441</v>
      </c>
      <c r="F107" s="251">
        <v>0.23423423423423423</v>
      </c>
      <c r="G107" s="251">
        <v>0.13358778625954199</v>
      </c>
      <c r="H107" s="252">
        <v>0</v>
      </c>
      <c r="I107" s="437">
        <v>0.25284821756707093</v>
      </c>
      <c r="J107" s="250">
        <v>0</v>
      </c>
      <c r="K107" s="251">
        <v>0.51533742331288346</v>
      </c>
      <c r="L107" s="251">
        <v>0.43688362919132151</v>
      </c>
      <c r="M107" s="251">
        <v>0.48076923076923078</v>
      </c>
      <c r="N107" s="252">
        <v>0</v>
      </c>
      <c r="O107" s="250">
        <v>0.46798603026775321</v>
      </c>
      <c r="P107" s="250">
        <v>0</v>
      </c>
      <c r="Q107" s="251">
        <v>0</v>
      </c>
      <c r="R107" s="252">
        <v>0</v>
      </c>
      <c r="S107" s="250">
        <v>0</v>
      </c>
      <c r="T107" s="253"/>
      <c r="U107" s="254">
        <v>376</v>
      </c>
      <c r="V107" s="255">
        <v>226</v>
      </c>
      <c r="W107" s="255">
        <v>583</v>
      </c>
      <c r="X107" s="255">
        <v>156</v>
      </c>
      <c r="Y107" s="255">
        <v>35</v>
      </c>
      <c r="Z107" s="255">
        <v>0</v>
      </c>
      <c r="AA107" s="256">
        <v>1376</v>
      </c>
      <c r="AB107" s="254">
        <v>0</v>
      </c>
      <c r="AC107" s="255">
        <v>336</v>
      </c>
      <c r="AD107" s="255">
        <v>443</v>
      </c>
      <c r="AE107" s="255">
        <v>25</v>
      </c>
      <c r="AF107" s="257">
        <v>0</v>
      </c>
      <c r="AG107" s="257">
        <v>804</v>
      </c>
      <c r="AH107" s="254">
        <v>0</v>
      </c>
      <c r="AI107" s="255">
        <v>0</v>
      </c>
      <c r="AJ107" s="257">
        <v>0</v>
      </c>
      <c r="AK107" s="254">
        <v>0</v>
      </c>
    </row>
    <row r="108" spans="1:39">
      <c r="A108" s="249"/>
      <c r="B108" s="239" t="s">
        <v>55</v>
      </c>
      <c r="C108" s="250">
        <v>0.24271229404309252</v>
      </c>
      <c r="D108" s="251">
        <v>0.27784431137724552</v>
      </c>
      <c r="E108" s="251">
        <v>0.29414564493098527</v>
      </c>
      <c r="F108" s="251">
        <v>0.29429429429429427</v>
      </c>
      <c r="G108" s="251">
        <v>0.38167938931297712</v>
      </c>
      <c r="H108" s="252">
        <v>0</v>
      </c>
      <c r="I108" s="437">
        <v>0.28096288129364205</v>
      </c>
      <c r="J108" s="250">
        <v>0</v>
      </c>
      <c r="K108" s="251">
        <v>0.15950920245398773</v>
      </c>
      <c r="L108" s="251">
        <v>0.24260355029585798</v>
      </c>
      <c r="M108" s="251">
        <v>0.13461538461538461</v>
      </c>
      <c r="N108" s="252">
        <v>0</v>
      </c>
      <c r="O108" s="250">
        <v>0.20779976717112922</v>
      </c>
      <c r="P108" s="250">
        <v>0</v>
      </c>
      <c r="Q108" s="251">
        <v>0</v>
      </c>
      <c r="R108" s="252">
        <v>0</v>
      </c>
      <c r="S108" s="250">
        <v>0</v>
      </c>
      <c r="T108" s="253"/>
      <c r="U108" s="254">
        <v>383</v>
      </c>
      <c r="V108" s="255">
        <v>232</v>
      </c>
      <c r="W108" s="255">
        <v>618</v>
      </c>
      <c r="X108" s="255">
        <v>196</v>
      </c>
      <c r="Y108" s="255">
        <v>100</v>
      </c>
      <c r="Z108" s="255">
        <v>0</v>
      </c>
      <c r="AA108" s="256">
        <v>1529</v>
      </c>
      <c r="AB108" s="254">
        <v>0</v>
      </c>
      <c r="AC108" s="255">
        <v>104</v>
      </c>
      <c r="AD108" s="255">
        <v>246</v>
      </c>
      <c r="AE108" s="255">
        <v>7</v>
      </c>
      <c r="AF108" s="257">
        <v>0</v>
      </c>
      <c r="AG108" s="257">
        <v>357</v>
      </c>
      <c r="AH108" s="254">
        <v>0</v>
      </c>
      <c r="AI108" s="255">
        <v>0</v>
      </c>
      <c r="AJ108" s="257">
        <v>0</v>
      </c>
      <c r="AK108" s="254">
        <v>0</v>
      </c>
    </row>
    <row r="109" spans="1:39">
      <c r="A109" s="249"/>
      <c r="B109" s="239" t="s">
        <v>78</v>
      </c>
      <c r="C109" s="250">
        <v>2.8517110266159697E-2</v>
      </c>
      <c r="D109" s="251">
        <v>0.12215568862275449</v>
      </c>
      <c r="E109" s="251">
        <v>8.1865778200856734E-2</v>
      </c>
      <c r="F109" s="251">
        <v>9.0090090090090086E-2</v>
      </c>
      <c r="G109" s="251">
        <v>9.9236641221374045E-2</v>
      </c>
      <c r="H109" s="252">
        <v>0</v>
      </c>
      <c r="I109" s="437">
        <v>7.4421168687982361E-2</v>
      </c>
      <c r="J109" s="250">
        <v>0</v>
      </c>
      <c r="K109" s="251">
        <v>0.19171779141104295</v>
      </c>
      <c r="L109" s="251">
        <v>0.21203155818540434</v>
      </c>
      <c r="M109" s="251">
        <v>0.19230769230769232</v>
      </c>
      <c r="N109" s="252">
        <v>0</v>
      </c>
      <c r="O109" s="250">
        <v>0.20372526193247964</v>
      </c>
      <c r="P109" s="250">
        <v>0</v>
      </c>
      <c r="Q109" s="251">
        <v>0</v>
      </c>
      <c r="R109" s="252">
        <v>0</v>
      </c>
      <c r="S109" s="250">
        <v>0</v>
      </c>
      <c r="T109" s="253"/>
      <c r="U109" s="254">
        <v>45</v>
      </c>
      <c r="V109" s="255">
        <v>102</v>
      </c>
      <c r="W109" s="255">
        <v>172</v>
      </c>
      <c r="X109" s="255">
        <v>60</v>
      </c>
      <c r="Y109" s="255">
        <v>26</v>
      </c>
      <c r="Z109" s="255">
        <v>0</v>
      </c>
      <c r="AA109" s="256">
        <v>405</v>
      </c>
      <c r="AB109" s="254">
        <v>0</v>
      </c>
      <c r="AC109" s="255">
        <v>125</v>
      </c>
      <c r="AD109" s="255">
        <v>215</v>
      </c>
      <c r="AE109" s="255">
        <v>10</v>
      </c>
      <c r="AF109" s="257">
        <v>0</v>
      </c>
      <c r="AG109" s="257">
        <v>350</v>
      </c>
      <c r="AH109" s="254">
        <v>0</v>
      </c>
      <c r="AI109" s="255">
        <v>0</v>
      </c>
      <c r="AJ109" s="257">
        <v>0</v>
      </c>
      <c r="AK109" s="254">
        <v>0</v>
      </c>
    </row>
    <row r="110" spans="1:39">
      <c r="A110" s="249"/>
      <c r="B110" s="239" t="s">
        <v>32</v>
      </c>
      <c r="C110" s="250">
        <v>0.14892268694550062</v>
      </c>
      <c r="D110" s="251">
        <v>2.2754491017964073E-2</v>
      </c>
      <c r="E110" s="251">
        <v>4.1408852927177532E-2</v>
      </c>
      <c r="F110" s="251">
        <v>0</v>
      </c>
      <c r="G110" s="251">
        <v>8.3969465648854963E-2</v>
      </c>
      <c r="H110" s="252">
        <v>0</v>
      </c>
      <c r="I110" s="437">
        <v>6.6703417861080486E-2</v>
      </c>
      <c r="J110" s="250">
        <v>0</v>
      </c>
      <c r="K110" s="273">
        <v>3.0674846625766872E-3</v>
      </c>
      <c r="L110" s="251">
        <v>0</v>
      </c>
      <c r="M110" s="251">
        <v>0</v>
      </c>
      <c r="N110" s="258">
        <v>0</v>
      </c>
      <c r="O110" s="272">
        <v>1.1641443538998836E-3</v>
      </c>
      <c r="P110" s="250">
        <v>0</v>
      </c>
      <c r="Q110" s="251">
        <v>0</v>
      </c>
      <c r="R110" s="252">
        <v>0</v>
      </c>
      <c r="S110" s="250">
        <v>0</v>
      </c>
      <c r="T110" s="253"/>
      <c r="U110" s="254">
        <v>235</v>
      </c>
      <c r="V110" s="255">
        <v>19</v>
      </c>
      <c r="W110" s="255">
        <v>87</v>
      </c>
      <c r="X110" s="255">
        <v>0</v>
      </c>
      <c r="Y110" s="255">
        <v>22</v>
      </c>
      <c r="Z110" s="255">
        <v>0</v>
      </c>
      <c r="AA110" s="256">
        <v>363</v>
      </c>
      <c r="AB110" s="254">
        <v>0</v>
      </c>
      <c r="AC110" s="255">
        <v>2</v>
      </c>
      <c r="AD110" s="255">
        <v>0</v>
      </c>
      <c r="AE110" s="255">
        <v>0</v>
      </c>
      <c r="AF110" s="257">
        <v>0</v>
      </c>
      <c r="AG110" s="257">
        <v>2</v>
      </c>
      <c r="AH110" s="254">
        <v>0</v>
      </c>
      <c r="AI110" s="255">
        <v>0</v>
      </c>
      <c r="AJ110" s="257">
        <v>0</v>
      </c>
      <c r="AK110" s="254">
        <v>0</v>
      </c>
    </row>
    <row r="111" spans="1:39">
      <c r="A111" s="249"/>
      <c r="B111" s="239" t="s">
        <v>58</v>
      </c>
      <c r="C111" s="250">
        <v>0</v>
      </c>
      <c r="D111" s="251">
        <v>0</v>
      </c>
      <c r="E111" s="419">
        <v>0</v>
      </c>
      <c r="F111" s="251">
        <v>0</v>
      </c>
      <c r="G111" s="419">
        <v>0</v>
      </c>
      <c r="H111" s="252">
        <v>0</v>
      </c>
      <c r="I111" s="437">
        <v>0</v>
      </c>
      <c r="J111" s="250">
        <v>0</v>
      </c>
      <c r="K111" s="251">
        <v>0</v>
      </c>
      <c r="L111" s="251">
        <v>0</v>
      </c>
      <c r="M111" s="251">
        <v>0</v>
      </c>
      <c r="N111" s="252">
        <v>0</v>
      </c>
      <c r="O111" s="250">
        <v>0</v>
      </c>
      <c r="P111" s="250">
        <v>0</v>
      </c>
      <c r="Q111" s="251">
        <v>1</v>
      </c>
      <c r="R111" s="252">
        <v>0</v>
      </c>
      <c r="S111" s="250">
        <v>1</v>
      </c>
      <c r="T111" s="253"/>
      <c r="U111" s="254">
        <v>0</v>
      </c>
      <c r="V111" s="255">
        <v>0</v>
      </c>
      <c r="W111" s="255">
        <v>0</v>
      </c>
      <c r="X111" s="255">
        <v>0</v>
      </c>
      <c r="Y111" s="255">
        <v>0</v>
      </c>
      <c r="Z111" s="255">
        <v>0</v>
      </c>
      <c r="AA111" s="256">
        <v>0</v>
      </c>
      <c r="AB111" s="254">
        <v>0</v>
      </c>
      <c r="AC111" s="255">
        <v>0</v>
      </c>
      <c r="AD111" s="255">
        <v>0</v>
      </c>
      <c r="AE111" s="255">
        <v>0</v>
      </c>
      <c r="AF111" s="257">
        <v>0</v>
      </c>
      <c r="AG111" s="257">
        <v>0</v>
      </c>
      <c r="AH111" s="254">
        <v>0</v>
      </c>
      <c r="AI111" s="255">
        <v>486</v>
      </c>
      <c r="AJ111" s="257">
        <v>0</v>
      </c>
      <c r="AK111" s="254">
        <v>486</v>
      </c>
    </row>
    <row r="112" spans="1:39" s="271" customFormat="1">
      <c r="A112" s="435"/>
      <c r="B112" s="436" t="s">
        <v>59</v>
      </c>
      <c r="C112" s="261">
        <v>1</v>
      </c>
      <c r="D112" s="262">
        <v>1</v>
      </c>
      <c r="E112" s="262">
        <v>1</v>
      </c>
      <c r="F112" s="262">
        <v>1</v>
      </c>
      <c r="G112" s="262">
        <v>1</v>
      </c>
      <c r="H112" s="263">
        <v>0</v>
      </c>
      <c r="I112" s="463">
        <v>1</v>
      </c>
      <c r="J112" s="261">
        <v>0</v>
      </c>
      <c r="K112" s="262">
        <v>1</v>
      </c>
      <c r="L112" s="262">
        <v>1</v>
      </c>
      <c r="M112" s="262">
        <v>1</v>
      </c>
      <c r="N112" s="263">
        <v>0</v>
      </c>
      <c r="O112" s="261">
        <v>1</v>
      </c>
      <c r="P112" s="261">
        <v>0</v>
      </c>
      <c r="Q112" s="262">
        <v>1</v>
      </c>
      <c r="R112" s="263">
        <v>0</v>
      </c>
      <c r="S112" s="261">
        <v>1</v>
      </c>
      <c r="T112" s="264"/>
      <c r="U112" s="265">
        <v>1578</v>
      </c>
      <c r="V112" s="266">
        <v>835</v>
      </c>
      <c r="W112" s="266">
        <v>2101</v>
      </c>
      <c r="X112" s="266">
        <v>666</v>
      </c>
      <c r="Y112" s="266">
        <v>262</v>
      </c>
      <c r="Z112" s="266">
        <v>0</v>
      </c>
      <c r="AA112" s="267">
        <v>5442</v>
      </c>
      <c r="AB112" s="265">
        <v>0</v>
      </c>
      <c r="AC112" s="266">
        <v>652</v>
      </c>
      <c r="AD112" s="266">
        <v>1014</v>
      </c>
      <c r="AE112" s="266">
        <v>52</v>
      </c>
      <c r="AF112" s="268">
        <v>0</v>
      </c>
      <c r="AG112" s="268">
        <v>1718</v>
      </c>
      <c r="AH112" s="265">
        <v>0</v>
      </c>
      <c r="AI112" s="266">
        <v>486</v>
      </c>
      <c r="AJ112" s="268">
        <v>0</v>
      </c>
      <c r="AK112" s="265">
        <v>486</v>
      </c>
      <c r="AL112" s="270"/>
      <c r="AM112" s="270"/>
    </row>
    <row r="113" spans="1:39">
      <c r="A113" s="239" t="s">
        <v>16</v>
      </c>
      <c r="B113" s="240" t="s">
        <v>53</v>
      </c>
      <c r="C113" s="241">
        <v>0.35049921177088805</v>
      </c>
      <c r="D113" s="242">
        <v>0.23844282238442821</v>
      </c>
      <c r="E113" s="242">
        <v>0.23348080490937634</v>
      </c>
      <c r="F113" s="242">
        <v>0.14763231197771587</v>
      </c>
      <c r="G113" s="242">
        <v>0.14917127071823205</v>
      </c>
      <c r="H113" s="243">
        <v>0.25301204819277107</v>
      </c>
      <c r="I113" s="462">
        <v>0.27986916102375758</v>
      </c>
      <c r="J113" s="241">
        <v>0</v>
      </c>
      <c r="K113" s="242">
        <v>0.20227209753394293</v>
      </c>
      <c r="L113" s="242">
        <v>0.19446896145925271</v>
      </c>
      <c r="M113" s="242">
        <v>8.6315789473684207E-2</v>
      </c>
      <c r="N113" s="243">
        <v>0</v>
      </c>
      <c r="O113" s="241">
        <v>0.19491525423728814</v>
      </c>
      <c r="P113" s="342">
        <v>0</v>
      </c>
      <c r="Q113" s="242">
        <v>0</v>
      </c>
      <c r="R113" s="243">
        <v>0</v>
      </c>
      <c r="S113" s="342">
        <v>0</v>
      </c>
      <c r="T113" s="244"/>
      <c r="U113" s="245">
        <v>2668</v>
      </c>
      <c r="V113" s="246">
        <v>392</v>
      </c>
      <c r="W113" s="246">
        <v>1636</v>
      </c>
      <c r="X113" s="246">
        <v>106</v>
      </c>
      <c r="Y113" s="246">
        <v>54</v>
      </c>
      <c r="Z113" s="246">
        <v>21</v>
      </c>
      <c r="AA113" s="247">
        <v>4877</v>
      </c>
      <c r="AB113" s="245">
        <v>0</v>
      </c>
      <c r="AC113" s="246">
        <v>1460</v>
      </c>
      <c r="AD113" s="246">
        <v>661</v>
      </c>
      <c r="AE113" s="246">
        <v>41</v>
      </c>
      <c r="AF113" s="248">
        <v>0</v>
      </c>
      <c r="AG113" s="248">
        <v>2162</v>
      </c>
      <c r="AH113" s="245">
        <v>0</v>
      </c>
      <c r="AI113" s="246">
        <v>0</v>
      </c>
      <c r="AJ113" s="248">
        <v>0</v>
      </c>
      <c r="AK113" s="245">
        <v>0</v>
      </c>
    </row>
    <row r="114" spans="1:39">
      <c r="A114" s="249"/>
      <c r="B114" s="239" t="s">
        <v>93</v>
      </c>
      <c r="C114" s="250">
        <v>0.22937467157120336</v>
      </c>
      <c r="D114" s="251">
        <v>0.23175182481751824</v>
      </c>
      <c r="E114" s="251">
        <v>0.22777222777222778</v>
      </c>
      <c r="F114" s="251">
        <v>0.28830083565459608</v>
      </c>
      <c r="G114" s="251">
        <v>0.26795580110497236</v>
      </c>
      <c r="H114" s="252">
        <v>0.13253012048192772</v>
      </c>
      <c r="I114" s="437">
        <v>0.23172271318719156</v>
      </c>
      <c r="J114" s="250">
        <v>0</v>
      </c>
      <c r="K114" s="251">
        <v>0.10072042116929897</v>
      </c>
      <c r="L114" s="251">
        <v>6.3842306560753168E-2</v>
      </c>
      <c r="M114" s="251">
        <v>8.4210526315789472E-2</v>
      </c>
      <c r="N114" s="252">
        <v>0</v>
      </c>
      <c r="O114" s="250">
        <v>8.871258564731338E-2</v>
      </c>
      <c r="P114" s="250">
        <v>0</v>
      </c>
      <c r="Q114" s="251">
        <v>0</v>
      </c>
      <c r="R114" s="252">
        <v>0</v>
      </c>
      <c r="S114" s="250">
        <v>0</v>
      </c>
      <c r="T114" s="253"/>
      <c r="U114" s="254">
        <v>1746</v>
      </c>
      <c r="V114" s="255">
        <v>381</v>
      </c>
      <c r="W114" s="255">
        <v>1596</v>
      </c>
      <c r="X114" s="255">
        <v>207</v>
      </c>
      <c r="Y114" s="255">
        <v>97</v>
      </c>
      <c r="Z114" s="255">
        <v>11</v>
      </c>
      <c r="AA114" s="256">
        <v>4038</v>
      </c>
      <c r="AB114" s="254">
        <v>0</v>
      </c>
      <c r="AC114" s="255">
        <v>727</v>
      </c>
      <c r="AD114" s="255">
        <v>217</v>
      </c>
      <c r="AE114" s="255">
        <v>40</v>
      </c>
      <c r="AF114" s="257">
        <v>0</v>
      </c>
      <c r="AG114" s="257">
        <v>984</v>
      </c>
      <c r="AH114" s="254">
        <v>0</v>
      </c>
      <c r="AI114" s="255">
        <v>0</v>
      </c>
      <c r="AJ114" s="257">
        <v>0</v>
      </c>
      <c r="AK114" s="254">
        <v>0</v>
      </c>
    </row>
    <row r="115" spans="1:39">
      <c r="A115" s="249"/>
      <c r="B115" s="239" t="s">
        <v>55</v>
      </c>
      <c r="C115" s="250">
        <v>0.21190225959012085</v>
      </c>
      <c r="D115" s="251">
        <v>0.25973236009732359</v>
      </c>
      <c r="E115" s="251">
        <v>0.30212644498358782</v>
      </c>
      <c r="F115" s="251">
        <v>0.37047353760445684</v>
      </c>
      <c r="G115" s="251">
        <v>0.33701657458563539</v>
      </c>
      <c r="H115" s="252">
        <v>0.20481927710843373</v>
      </c>
      <c r="I115" s="437">
        <v>0.26179272351658439</v>
      </c>
      <c r="J115" s="250">
        <v>0</v>
      </c>
      <c r="K115" s="251">
        <v>0.10002770850651149</v>
      </c>
      <c r="L115" s="251">
        <v>5.2368343630479555E-2</v>
      </c>
      <c r="M115" s="251">
        <v>0.10526315789473684</v>
      </c>
      <c r="N115" s="252">
        <v>0</v>
      </c>
      <c r="O115" s="250">
        <v>8.5647313379011894E-2</v>
      </c>
      <c r="P115" s="250">
        <v>0</v>
      </c>
      <c r="Q115" s="251">
        <v>0</v>
      </c>
      <c r="R115" s="252">
        <v>0</v>
      </c>
      <c r="S115" s="250">
        <v>0</v>
      </c>
      <c r="T115" s="253"/>
      <c r="U115" s="254">
        <v>1613</v>
      </c>
      <c r="V115" s="255">
        <v>427</v>
      </c>
      <c r="W115" s="255">
        <v>2117</v>
      </c>
      <c r="X115" s="255">
        <v>266</v>
      </c>
      <c r="Y115" s="255">
        <v>122</v>
      </c>
      <c r="Z115" s="255">
        <v>17</v>
      </c>
      <c r="AA115" s="256">
        <v>4562</v>
      </c>
      <c r="AB115" s="254">
        <v>0</v>
      </c>
      <c r="AC115" s="255">
        <v>722</v>
      </c>
      <c r="AD115" s="255">
        <v>178</v>
      </c>
      <c r="AE115" s="255">
        <v>50</v>
      </c>
      <c r="AF115" s="257">
        <v>0</v>
      </c>
      <c r="AG115" s="257">
        <v>950</v>
      </c>
      <c r="AH115" s="254">
        <v>0</v>
      </c>
      <c r="AI115" s="255">
        <v>0</v>
      </c>
      <c r="AJ115" s="257">
        <v>0</v>
      </c>
      <c r="AK115" s="254">
        <v>0</v>
      </c>
    </row>
    <row r="116" spans="1:39">
      <c r="A116" s="249"/>
      <c r="B116" s="239" t="s">
        <v>78</v>
      </c>
      <c r="C116" s="250">
        <v>2.2464529689963215E-2</v>
      </c>
      <c r="D116" s="251">
        <v>6.6909975669099753E-3</v>
      </c>
      <c r="E116" s="251">
        <v>6.1795347509633225E-2</v>
      </c>
      <c r="F116" s="251">
        <v>4.456824512534819E-2</v>
      </c>
      <c r="G116" s="251">
        <v>2.7624309392265192E-2</v>
      </c>
      <c r="H116" s="252">
        <v>0</v>
      </c>
      <c r="I116" s="437">
        <v>3.7702283943532651E-2</v>
      </c>
      <c r="J116" s="250">
        <v>0</v>
      </c>
      <c r="K116" s="251">
        <v>0.36644499861457469</v>
      </c>
      <c r="L116" s="251">
        <v>0.38952633127390407</v>
      </c>
      <c r="M116" s="251">
        <v>0.65473684210526317</v>
      </c>
      <c r="N116" s="252">
        <v>0</v>
      </c>
      <c r="O116" s="250">
        <v>0.38586368553912731</v>
      </c>
      <c r="P116" s="250">
        <v>0</v>
      </c>
      <c r="Q116" s="251">
        <v>0</v>
      </c>
      <c r="R116" s="252">
        <v>0</v>
      </c>
      <c r="S116" s="250">
        <v>0</v>
      </c>
      <c r="T116" s="253"/>
      <c r="U116" s="254">
        <v>171</v>
      </c>
      <c r="V116" s="255">
        <v>11</v>
      </c>
      <c r="W116" s="255">
        <v>433</v>
      </c>
      <c r="X116" s="255">
        <v>32</v>
      </c>
      <c r="Y116" s="255">
        <v>10</v>
      </c>
      <c r="Z116" s="255">
        <v>0</v>
      </c>
      <c r="AA116" s="256">
        <v>657</v>
      </c>
      <c r="AB116" s="254">
        <v>0</v>
      </c>
      <c r="AC116" s="255">
        <v>2645</v>
      </c>
      <c r="AD116" s="255">
        <v>1324</v>
      </c>
      <c r="AE116" s="255">
        <v>311</v>
      </c>
      <c r="AF116" s="257">
        <v>0</v>
      </c>
      <c r="AG116" s="257">
        <v>4280</v>
      </c>
      <c r="AH116" s="254">
        <v>0</v>
      </c>
      <c r="AI116" s="255">
        <v>0</v>
      </c>
      <c r="AJ116" s="257">
        <v>0</v>
      </c>
      <c r="AK116" s="254">
        <v>0</v>
      </c>
    </row>
    <row r="117" spans="1:39">
      <c r="A117" s="249"/>
      <c r="B117" s="239" t="s">
        <v>32</v>
      </c>
      <c r="C117" s="250">
        <v>0.1857593273778245</v>
      </c>
      <c r="D117" s="251">
        <v>0.26338199513381993</v>
      </c>
      <c r="E117" s="251">
        <v>0.17482517482517482</v>
      </c>
      <c r="F117" s="251">
        <v>0.14902506963788301</v>
      </c>
      <c r="G117" s="251">
        <v>0.21823204419889503</v>
      </c>
      <c r="H117" s="252">
        <v>0.40963855421686746</v>
      </c>
      <c r="I117" s="437">
        <v>0.18891311832893379</v>
      </c>
      <c r="J117" s="250">
        <v>0</v>
      </c>
      <c r="K117" s="251">
        <v>6.7885840953172622E-3</v>
      </c>
      <c r="L117" s="251">
        <v>8.8261253309796991E-3</v>
      </c>
      <c r="M117" s="273">
        <v>4.2105263157894736E-3</v>
      </c>
      <c r="N117" s="258">
        <v>0</v>
      </c>
      <c r="O117" s="250">
        <v>7.3025604038946985E-3</v>
      </c>
      <c r="P117" s="250">
        <v>0</v>
      </c>
      <c r="Q117" s="251">
        <v>0</v>
      </c>
      <c r="R117" s="252">
        <v>0</v>
      </c>
      <c r="S117" s="250">
        <v>0</v>
      </c>
      <c r="T117" s="253"/>
      <c r="U117" s="254">
        <v>1414</v>
      </c>
      <c r="V117" s="255">
        <v>433</v>
      </c>
      <c r="W117" s="255">
        <v>1225</v>
      </c>
      <c r="X117" s="255">
        <v>107</v>
      </c>
      <c r="Y117" s="255">
        <v>79</v>
      </c>
      <c r="Z117" s="255">
        <v>34</v>
      </c>
      <c r="AA117" s="256">
        <v>3292</v>
      </c>
      <c r="AB117" s="254">
        <v>0</v>
      </c>
      <c r="AC117" s="255">
        <v>49</v>
      </c>
      <c r="AD117" s="255">
        <v>30</v>
      </c>
      <c r="AE117" s="255">
        <v>2</v>
      </c>
      <c r="AF117" s="257">
        <v>0</v>
      </c>
      <c r="AG117" s="257">
        <v>81</v>
      </c>
      <c r="AH117" s="254">
        <v>0</v>
      </c>
      <c r="AI117" s="255">
        <v>0</v>
      </c>
      <c r="AJ117" s="257">
        <v>0</v>
      </c>
      <c r="AK117" s="254">
        <v>0</v>
      </c>
    </row>
    <row r="118" spans="1:39">
      <c r="A118" s="249"/>
      <c r="B118" s="239" t="s">
        <v>58</v>
      </c>
      <c r="C118" s="250">
        <v>0</v>
      </c>
      <c r="D118" s="251">
        <v>0</v>
      </c>
      <c r="E118" s="419">
        <v>0</v>
      </c>
      <c r="F118" s="251">
        <v>0</v>
      </c>
      <c r="G118" s="419">
        <v>0</v>
      </c>
      <c r="H118" s="252">
        <v>0</v>
      </c>
      <c r="I118" s="437">
        <v>0</v>
      </c>
      <c r="J118" s="250">
        <v>0</v>
      </c>
      <c r="K118" s="251">
        <v>0.22374619008035468</v>
      </c>
      <c r="L118" s="251">
        <v>0.29096793174463076</v>
      </c>
      <c r="M118" s="251">
        <v>6.5263157894736842E-2</v>
      </c>
      <c r="N118" s="252">
        <v>0</v>
      </c>
      <c r="O118" s="250">
        <v>0.23755860079336458</v>
      </c>
      <c r="P118" s="250">
        <v>0</v>
      </c>
      <c r="Q118" s="251">
        <v>0</v>
      </c>
      <c r="R118" s="252">
        <v>0</v>
      </c>
      <c r="S118" s="250">
        <v>0</v>
      </c>
      <c r="T118" s="253"/>
      <c r="U118" s="254">
        <v>0</v>
      </c>
      <c r="V118" s="255">
        <v>0</v>
      </c>
      <c r="W118" s="255">
        <v>0</v>
      </c>
      <c r="X118" s="255">
        <v>0</v>
      </c>
      <c r="Y118" s="255">
        <v>0</v>
      </c>
      <c r="Z118" s="255">
        <v>0</v>
      </c>
      <c r="AA118" s="256">
        <v>0</v>
      </c>
      <c r="AB118" s="254">
        <v>0</v>
      </c>
      <c r="AC118" s="255">
        <v>1615</v>
      </c>
      <c r="AD118" s="255">
        <v>989</v>
      </c>
      <c r="AE118" s="255">
        <v>31</v>
      </c>
      <c r="AF118" s="257">
        <v>0</v>
      </c>
      <c r="AG118" s="257">
        <v>2635</v>
      </c>
      <c r="AH118" s="254">
        <v>0</v>
      </c>
      <c r="AI118" s="255">
        <v>0</v>
      </c>
      <c r="AJ118" s="257">
        <v>0</v>
      </c>
      <c r="AK118" s="254">
        <v>0</v>
      </c>
    </row>
    <row r="119" spans="1:39" s="271" customFormat="1">
      <c r="A119" s="435"/>
      <c r="B119" s="436" t="s">
        <v>59</v>
      </c>
      <c r="C119" s="261">
        <v>1</v>
      </c>
      <c r="D119" s="262">
        <v>1</v>
      </c>
      <c r="E119" s="262">
        <v>1</v>
      </c>
      <c r="F119" s="262">
        <v>1</v>
      </c>
      <c r="G119" s="262">
        <v>1</v>
      </c>
      <c r="H119" s="263">
        <v>1</v>
      </c>
      <c r="I119" s="463">
        <v>1</v>
      </c>
      <c r="J119" s="261">
        <v>0</v>
      </c>
      <c r="K119" s="262">
        <v>1</v>
      </c>
      <c r="L119" s="262">
        <v>1</v>
      </c>
      <c r="M119" s="262">
        <v>1</v>
      </c>
      <c r="N119" s="263">
        <v>0</v>
      </c>
      <c r="O119" s="261">
        <v>1</v>
      </c>
      <c r="P119" s="261">
        <v>0</v>
      </c>
      <c r="Q119" s="262">
        <v>0</v>
      </c>
      <c r="R119" s="263">
        <v>0</v>
      </c>
      <c r="S119" s="261">
        <v>0</v>
      </c>
      <c r="T119" s="264"/>
      <c r="U119" s="265">
        <v>7612</v>
      </c>
      <c r="V119" s="266">
        <v>1644</v>
      </c>
      <c r="W119" s="266">
        <v>7007</v>
      </c>
      <c r="X119" s="266">
        <v>718</v>
      </c>
      <c r="Y119" s="266">
        <v>362</v>
      </c>
      <c r="Z119" s="266">
        <v>83</v>
      </c>
      <c r="AA119" s="267">
        <v>17426</v>
      </c>
      <c r="AB119" s="265">
        <v>0</v>
      </c>
      <c r="AC119" s="266">
        <v>7218</v>
      </c>
      <c r="AD119" s="266">
        <v>3399</v>
      </c>
      <c r="AE119" s="266">
        <v>475</v>
      </c>
      <c r="AF119" s="268">
        <v>0</v>
      </c>
      <c r="AG119" s="268">
        <v>11092</v>
      </c>
      <c r="AH119" s="265">
        <v>0</v>
      </c>
      <c r="AI119" s="266">
        <v>0</v>
      </c>
      <c r="AJ119" s="268">
        <v>0</v>
      </c>
      <c r="AK119" s="265">
        <v>0</v>
      </c>
      <c r="AL119" s="270"/>
      <c r="AM119" s="270"/>
    </row>
    <row r="120" spans="1:39">
      <c r="A120" s="239" t="s">
        <v>17</v>
      </c>
      <c r="B120" s="240" t="s">
        <v>53</v>
      </c>
      <c r="C120" s="241">
        <v>0.40024135156878521</v>
      </c>
      <c r="D120" s="242">
        <v>0.28580343213728548</v>
      </c>
      <c r="E120" s="242">
        <v>0.32125205930807249</v>
      </c>
      <c r="F120" s="242">
        <v>0.20647773279352227</v>
      </c>
      <c r="G120" s="242">
        <v>0.24044943820224718</v>
      </c>
      <c r="H120" s="243">
        <v>0.15384615384615385</v>
      </c>
      <c r="I120" s="462">
        <v>0.31471522855047668</v>
      </c>
      <c r="J120" s="241">
        <v>0</v>
      </c>
      <c r="K120" s="242">
        <v>0</v>
      </c>
      <c r="L120" s="242">
        <v>0</v>
      </c>
      <c r="M120" s="242">
        <v>0.30303030303030304</v>
      </c>
      <c r="N120" s="243">
        <v>0.20227920227920229</v>
      </c>
      <c r="O120" s="241">
        <v>0.20383356708742403</v>
      </c>
      <c r="P120" s="342">
        <v>0</v>
      </c>
      <c r="Q120" s="242">
        <v>0</v>
      </c>
      <c r="R120" s="243">
        <v>0</v>
      </c>
      <c r="S120" s="342">
        <v>0</v>
      </c>
      <c r="T120" s="244"/>
      <c r="U120" s="245">
        <v>995</v>
      </c>
      <c r="V120" s="246">
        <v>916</v>
      </c>
      <c r="W120" s="246">
        <v>390</v>
      </c>
      <c r="X120" s="246">
        <v>153</v>
      </c>
      <c r="Y120" s="246">
        <v>107</v>
      </c>
      <c r="Z120" s="246">
        <v>14</v>
      </c>
      <c r="AA120" s="247">
        <v>2575</v>
      </c>
      <c r="AB120" s="245">
        <v>0</v>
      </c>
      <c r="AC120" s="246">
        <v>0</v>
      </c>
      <c r="AD120" s="246">
        <v>0</v>
      </c>
      <c r="AE120" s="246">
        <v>10</v>
      </c>
      <c r="AF120" s="248">
        <v>426</v>
      </c>
      <c r="AG120" s="248">
        <v>436</v>
      </c>
      <c r="AH120" s="245">
        <v>0</v>
      </c>
      <c r="AI120" s="246">
        <v>0</v>
      </c>
      <c r="AJ120" s="248">
        <v>0</v>
      </c>
      <c r="AK120" s="245">
        <v>0</v>
      </c>
    </row>
    <row r="121" spans="1:39">
      <c r="A121" s="249"/>
      <c r="B121" s="239" t="s">
        <v>93</v>
      </c>
      <c r="C121" s="250">
        <v>0.28680611423974256</v>
      </c>
      <c r="D121" s="251">
        <v>0.31450858034321372</v>
      </c>
      <c r="E121" s="251">
        <v>0.22405271828665568</v>
      </c>
      <c r="F121" s="251">
        <v>0.2793522267206478</v>
      </c>
      <c r="G121" s="251">
        <v>0.2808988764044944</v>
      </c>
      <c r="H121" s="252">
        <v>0.2857142857142857</v>
      </c>
      <c r="I121" s="437">
        <v>0.28733805915424104</v>
      </c>
      <c r="J121" s="250">
        <v>0</v>
      </c>
      <c r="K121" s="251">
        <v>0</v>
      </c>
      <c r="L121" s="251">
        <v>0</v>
      </c>
      <c r="M121" s="251">
        <v>0.51515151515151514</v>
      </c>
      <c r="N121" s="252">
        <v>0.30389363722697055</v>
      </c>
      <c r="O121" s="250">
        <v>0.30715287517531559</v>
      </c>
      <c r="P121" s="250">
        <v>0</v>
      </c>
      <c r="Q121" s="251">
        <v>0</v>
      </c>
      <c r="R121" s="252">
        <v>0</v>
      </c>
      <c r="S121" s="250">
        <v>0</v>
      </c>
      <c r="T121" s="253"/>
      <c r="U121" s="254">
        <v>713</v>
      </c>
      <c r="V121" s="255">
        <v>1008</v>
      </c>
      <c r="W121" s="255">
        <v>272</v>
      </c>
      <c r="X121" s="255">
        <v>207</v>
      </c>
      <c r="Y121" s="255">
        <v>125</v>
      </c>
      <c r="Z121" s="255">
        <v>26</v>
      </c>
      <c r="AA121" s="256">
        <v>2351</v>
      </c>
      <c r="AB121" s="254">
        <v>0</v>
      </c>
      <c r="AC121" s="255">
        <v>0</v>
      </c>
      <c r="AD121" s="255">
        <v>0</v>
      </c>
      <c r="AE121" s="255">
        <v>17</v>
      </c>
      <c r="AF121" s="257">
        <v>640</v>
      </c>
      <c r="AG121" s="257">
        <v>657</v>
      </c>
      <c r="AH121" s="254">
        <v>0</v>
      </c>
      <c r="AI121" s="255">
        <v>0</v>
      </c>
      <c r="AJ121" s="257">
        <v>0</v>
      </c>
      <c r="AK121" s="254">
        <v>0</v>
      </c>
    </row>
    <row r="122" spans="1:39">
      <c r="A122" s="249"/>
      <c r="B122" s="239" t="s">
        <v>55</v>
      </c>
      <c r="C122" s="250">
        <v>0.21440064360418343</v>
      </c>
      <c r="D122" s="251">
        <v>0.28611544461778471</v>
      </c>
      <c r="E122" s="251">
        <v>0.31548599670510707</v>
      </c>
      <c r="F122" s="251">
        <v>0.38596491228070173</v>
      </c>
      <c r="G122" s="251">
        <v>0.35056179775280899</v>
      </c>
      <c r="H122" s="252">
        <v>0.27472527472527475</v>
      </c>
      <c r="I122" s="437">
        <v>0.28110486433634807</v>
      </c>
      <c r="J122" s="250">
        <v>0</v>
      </c>
      <c r="K122" s="251">
        <v>0</v>
      </c>
      <c r="L122" s="251">
        <v>0</v>
      </c>
      <c r="M122" s="251">
        <v>0.18181818181818182</v>
      </c>
      <c r="N122" s="252">
        <v>0.28869895536562201</v>
      </c>
      <c r="O122" s="250">
        <v>0.28705002337540908</v>
      </c>
      <c r="P122" s="250">
        <v>0</v>
      </c>
      <c r="Q122" s="251">
        <v>0</v>
      </c>
      <c r="R122" s="252">
        <v>0</v>
      </c>
      <c r="S122" s="250">
        <v>0</v>
      </c>
      <c r="T122" s="253"/>
      <c r="U122" s="254">
        <v>533</v>
      </c>
      <c r="V122" s="255">
        <v>917</v>
      </c>
      <c r="W122" s="255">
        <v>383</v>
      </c>
      <c r="X122" s="255">
        <v>286</v>
      </c>
      <c r="Y122" s="255">
        <v>156</v>
      </c>
      <c r="Z122" s="255">
        <v>25</v>
      </c>
      <c r="AA122" s="256">
        <v>2300</v>
      </c>
      <c r="AB122" s="254">
        <v>0</v>
      </c>
      <c r="AC122" s="255">
        <v>0</v>
      </c>
      <c r="AD122" s="255">
        <v>0</v>
      </c>
      <c r="AE122" s="255">
        <v>6</v>
      </c>
      <c r="AF122" s="257">
        <v>608</v>
      </c>
      <c r="AG122" s="257">
        <v>614</v>
      </c>
      <c r="AH122" s="254">
        <v>0</v>
      </c>
      <c r="AI122" s="255">
        <v>0</v>
      </c>
      <c r="AJ122" s="257">
        <v>0</v>
      </c>
      <c r="AK122" s="254">
        <v>0</v>
      </c>
    </row>
    <row r="123" spans="1:39">
      <c r="A123" s="249"/>
      <c r="B123" s="239" t="s">
        <v>78</v>
      </c>
      <c r="C123" s="250">
        <v>6.2349155269509252E-2</v>
      </c>
      <c r="D123" s="251">
        <v>8.2683307332293288E-2</v>
      </c>
      <c r="E123" s="251">
        <v>0.13920922570016475</v>
      </c>
      <c r="F123" s="251">
        <v>0.12820512820512819</v>
      </c>
      <c r="G123" s="251">
        <v>3.1460674157303373E-2</v>
      </c>
      <c r="H123" s="252">
        <v>0.26373626373626374</v>
      </c>
      <c r="I123" s="437">
        <v>8.8242483500366661E-2</v>
      </c>
      <c r="J123" s="250">
        <v>0</v>
      </c>
      <c r="K123" s="251">
        <v>0</v>
      </c>
      <c r="L123" s="251">
        <v>0</v>
      </c>
      <c r="M123" s="251">
        <v>0</v>
      </c>
      <c r="N123" s="252">
        <v>0.204653371320038</v>
      </c>
      <c r="O123" s="250">
        <v>0.20149602618045817</v>
      </c>
      <c r="P123" s="250">
        <v>0</v>
      </c>
      <c r="Q123" s="251">
        <v>0</v>
      </c>
      <c r="R123" s="252">
        <v>0</v>
      </c>
      <c r="S123" s="250">
        <v>0</v>
      </c>
      <c r="T123" s="253"/>
      <c r="U123" s="254">
        <v>155</v>
      </c>
      <c r="V123" s="255">
        <v>265</v>
      </c>
      <c r="W123" s="255">
        <v>169</v>
      </c>
      <c r="X123" s="255">
        <v>95</v>
      </c>
      <c r="Y123" s="255">
        <v>14</v>
      </c>
      <c r="Z123" s="255">
        <v>24</v>
      </c>
      <c r="AA123" s="256">
        <v>722</v>
      </c>
      <c r="AB123" s="254">
        <v>0</v>
      </c>
      <c r="AC123" s="255">
        <v>0</v>
      </c>
      <c r="AD123" s="255">
        <v>0</v>
      </c>
      <c r="AE123" s="255">
        <v>0</v>
      </c>
      <c r="AF123" s="257">
        <v>431</v>
      </c>
      <c r="AG123" s="257">
        <v>431</v>
      </c>
      <c r="AH123" s="254">
        <v>0</v>
      </c>
      <c r="AI123" s="255">
        <v>0</v>
      </c>
      <c r="AJ123" s="257">
        <v>0</v>
      </c>
      <c r="AK123" s="254">
        <v>0</v>
      </c>
    </row>
    <row r="124" spans="1:39">
      <c r="A124" s="249"/>
      <c r="B124" s="239" t="s">
        <v>32</v>
      </c>
      <c r="C124" s="250">
        <v>3.6202735317779566E-2</v>
      </c>
      <c r="D124" s="251">
        <v>3.0889235569422777E-2</v>
      </c>
      <c r="E124" s="251">
        <v>0</v>
      </c>
      <c r="F124" s="251">
        <v>0</v>
      </c>
      <c r="G124" s="251">
        <v>9.662921348314607E-2</v>
      </c>
      <c r="H124" s="252">
        <v>2.197802197802198E-2</v>
      </c>
      <c r="I124" s="437">
        <v>2.8599364458567589E-2</v>
      </c>
      <c r="J124" s="250">
        <v>0</v>
      </c>
      <c r="K124" s="251">
        <v>0</v>
      </c>
      <c r="L124" s="251">
        <v>0</v>
      </c>
      <c r="M124" s="251">
        <v>0</v>
      </c>
      <c r="N124" s="434">
        <v>4.7483380816714152E-4</v>
      </c>
      <c r="O124" s="420">
        <v>4.675081813931744E-4</v>
      </c>
      <c r="P124" s="250">
        <v>0</v>
      </c>
      <c r="Q124" s="251">
        <v>0</v>
      </c>
      <c r="R124" s="252">
        <v>0</v>
      </c>
      <c r="S124" s="250">
        <v>0</v>
      </c>
      <c r="T124" s="253"/>
      <c r="U124" s="254">
        <v>90</v>
      </c>
      <c r="V124" s="255">
        <v>99</v>
      </c>
      <c r="W124" s="255">
        <v>0</v>
      </c>
      <c r="X124" s="255">
        <v>0</v>
      </c>
      <c r="Y124" s="255">
        <v>43</v>
      </c>
      <c r="Z124" s="255">
        <v>2</v>
      </c>
      <c r="AA124" s="256">
        <v>234</v>
      </c>
      <c r="AB124" s="254">
        <v>0</v>
      </c>
      <c r="AC124" s="255">
        <v>0</v>
      </c>
      <c r="AD124" s="255">
        <v>0</v>
      </c>
      <c r="AE124" s="255">
        <v>0</v>
      </c>
      <c r="AF124" s="257">
        <v>1</v>
      </c>
      <c r="AG124" s="257">
        <v>1</v>
      </c>
      <c r="AH124" s="254">
        <v>0</v>
      </c>
      <c r="AI124" s="255">
        <v>0</v>
      </c>
      <c r="AJ124" s="257">
        <v>0</v>
      </c>
      <c r="AK124" s="254">
        <v>0</v>
      </c>
    </row>
    <row r="125" spans="1:39">
      <c r="A125" s="249"/>
      <c r="B125" s="239" t="s">
        <v>58</v>
      </c>
      <c r="C125" s="250">
        <v>0</v>
      </c>
      <c r="D125" s="251">
        <v>0</v>
      </c>
      <c r="E125" s="419">
        <v>0</v>
      </c>
      <c r="F125" s="251">
        <v>0</v>
      </c>
      <c r="G125" s="419">
        <v>0</v>
      </c>
      <c r="H125" s="252">
        <v>0</v>
      </c>
      <c r="I125" s="437">
        <v>0</v>
      </c>
      <c r="J125" s="250">
        <v>0</v>
      </c>
      <c r="K125" s="251">
        <v>0</v>
      </c>
      <c r="L125" s="251">
        <v>0</v>
      </c>
      <c r="M125" s="251">
        <v>0</v>
      </c>
      <c r="N125" s="252">
        <v>0</v>
      </c>
      <c r="O125" s="250">
        <v>0</v>
      </c>
      <c r="P125" s="250">
        <v>0</v>
      </c>
      <c r="Q125" s="251">
        <v>0</v>
      </c>
      <c r="R125" s="252">
        <v>0</v>
      </c>
      <c r="S125" s="250">
        <v>0</v>
      </c>
      <c r="T125" s="253"/>
      <c r="U125" s="254">
        <v>0</v>
      </c>
      <c r="V125" s="255">
        <v>0</v>
      </c>
      <c r="W125" s="255">
        <v>0</v>
      </c>
      <c r="X125" s="255">
        <v>0</v>
      </c>
      <c r="Y125" s="255">
        <v>0</v>
      </c>
      <c r="Z125" s="255">
        <v>0</v>
      </c>
      <c r="AA125" s="256">
        <v>0</v>
      </c>
      <c r="AB125" s="254">
        <v>0</v>
      </c>
      <c r="AC125" s="255">
        <v>0</v>
      </c>
      <c r="AD125" s="255">
        <v>0</v>
      </c>
      <c r="AE125" s="255">
        <v>0</v>
      </c>
      <c r="AF125" s="257">
        <v>0</v>
      </c>
      <c r="AG125" s="257">
        <v>0</v>
      </c>
      <c r="AH125" s="254">
        <v>0</v>
      </c>
      <c r="AI125" s="255">
        <v>0</v>
      </c>
      <c r="AJ125" s="257">
        <v>0</v>
      </c>
      <c r="AK125" s="254">
        <v>0</v>
      </c>
    </row>
    <row r="126" spans="1:39" s="271" customFormat="1">
      <c r="A126" s="435"/>
      <c r="B126" s="436" t="s">
        <v>59</v>
      </c>
      <c r="C126" s="261">
        <v>1</v>
      </c>
      <c r="D126" s="262">
        <v>1</v>
      </c>
      <c r="E126" s="262">
        <v>1</v>
      </c>
      <c r="F126" s="262">
        <v>1</v>
      </c>
      <c r="G126" s="262">
        <v>1</v>
      </c>
      <c r="H126" s="263">
        <v>1</v>
      </c>
      <c r="I126" s="463">
        <v>1</v>
      </c>
      <c r="J126" s="261">
        <v>0</v>
      </c>
      <c r="K126" s="262">
        <v>0</v>
      </c>
      <c r="L126" s="262">
        <v>0</v>
      </c>
      <c r="M126" s="262">
        <v>1</v>
      </c>
      <c r="N126" s="263">
        <v>1</v>
      </c>
      <c r="O126" s="261">
        <v>1</v>
      </c>
      <c r="P126" s="261">
        <v>0</v>
      </c>
      <c r="Q126" s="262">
        <v>0</v>
      </c>
      <c r="R126" s="263">
        <v>0</v>
      </c>
      <c r="S126" s="261">
        <v>0</v>
      </c>
      <c r="T126" s="264"/>
      <c r="U126" s="265">
        <v>2486</v>
      </c>
      <c r="V126" s="266">
        <v>3205</v>
      </c>
      <c r="W126" s="266">
        <v>1214</v>
      </c>
      <c r="X126" s="266">
        <v>741</v>
      </c>
      <c r="Y126" s="266">
        <v>445</v>
      </c>
      <c r="Z126" s="266">
        <v>91</v>
      </c>
      <c r="AA126" s="267">
        <v>8182</v>
      </c>
      <c r="AB126" s="265">
        <v>0</v>
      </c>
      <c r="AC126" s="266">
        <v>0</v>
      </c>
      <c r="AD126" s="266">
        <v>0</v>
      </c>
      <c r="AE126" s="266">
        <v>33</v>
      </c>
      <c r="AF126" s="268">
        <v>2106</v>
      </c>
      <c r="AG126" s="268">
        <v>2139</v>
      </c>
      <c r="AH126" s="265">
        <v>0</v>
      </c>
      <c r="AI126" s="266">
        <v>0</v>
      </c>
      <c r="AJ126" s="268">
        <v>0</v>
      </c>
      <c r="AK126" s="265">
        <v>0</v>
      </c>
      <c r="AL126" s="270"/>
      <c r="AM126" s="270"/>
    </row>
    <row r="127" spans="1:39">
      <c r="A127" s="239" t="s">
        <v>18</v>
      </c>
      <c r="B127" s="240" t="s">
        <v>53</v>
      </c>
      <c r="C127" s="241">
        <v>0.35943060498220641</v>
      </c>
      <c r="D127" s="242">
        <v>0</v>
      </c>
      <c r="E127" s="242">
        <v>0.41791044776119401</v>
      </c>
      <c r="F127" s="242">
        <v>0</v>
      </c>
      <c r="G127" s="242">
        <v>0</v>
      </c>
      <c r="H127" s="243">
        <v>0.26277372262773724</v>
      </c>
      <c r="I127" s="462">
        <v>0.33505154639175255</v>
      </c>
      <c r="J127" s="241">
        <v>0.42045454545454547</v>
      </c>
      <c r="K127" s="242">
        <v>0</v>
      </c>
      <c r="L127" s="242">
        <v>0.10169491525423729</v>
      </c>
      <c r="M127" s="242">
        <v>0.26896551724137929</v>
      </c>
      <c r="N127" s="243">
        <v>0</v>
      </c>
      <c r="O127" s="241">
        <v>0.27688787185354691</v>
      </c>
      <c r="P127" s="342">
        <v>0</v>
      </c>
      <c r="Q127" s="242">
        <v>0</v>
      </c>
      <c r="R127" s="243">
        <v>0</v>
      </c>
      <c r="S127" s="342">
        <v>0</v>
      </c>
      <c r="T127" s="244"/>
      <c r="U127" s="245">
        <v>303</v>
      </c>
      <c r="V127" s="246">
        <v>0</v>
      </c>
      <c r="W127" s="246">
        <v>196</v>
      </c>
      <c r="X127" s="246">
        <v>0</v>
      </c>
      <c r="Y127" s="246">
        <v>0</v>
      </c>
      <c r="Z127" s="246">
        <v>216</v>
      </c>
      <c r="AA127" s="247">
        <v>715</v>
      </c>
      <c r="AB127" s="245">
        <v>37</v>
      </c>
      <c r="AC127" s="246">
        <v>0</v>
      </c>
      <c r="AD127" s="246">
        <v>6</v>
      </c>
      <c r="AE127" s="246">
        <v>78</v>
      </c>
      <c r="AF127" s="248">
        <v>0</v>
      </c>
      <c r="AG127" s="248">
        <v>121</v>
      </c>
      <c r="AH127" s="245">
        <v>0</v>
      </c>
      <c r="AI127" s="246">
        <v>0</v>
      </c>
      <c r="AJ127" s="248">
        <v>0</v>
      </c>
      <c r="AK127" s="245">
        <v>0</v>
      </c>
    </row>
    <row r="128" spans="1:39">
      <c r="A128" s="249"/>
      <c r="B128" s="239" t="s">
        <v>93</v>
      </c>
      <c r="C128" s="250">
        <v>0.26215895610913403</v>
      </c>
      <c r="D128" s="251">
        <v>0</v>
      </c>
      <c r="E128" s="251">
        <v>0.24307036247334754</v>
      </c>
      <c r="F128" s="251">
        <v>0</v>
      </c>
      <c r="G128" s="251">
        <v>0</v>
      </c>
      <c r="H128" s="252">
        <v>0.27372262773722628</v>
      </c>
      <c r="I128" s="437">
        <v>0.26241799437675728</v>
      </c>
      <c r="J128" s="250">
        <v>0.11363636363636363</v>
      </c>
      <c r="K128" s="251">
        <v>0</v>
      </c>
      <c r="L128" s="251">
        <v>0.11864406779661017</v>
      </c>
      <c r="M128" s="251">
        <v>0.1793103448275862</v>
      </c>
      <c r="N128" s="252">
        <v>0</v>
      </c>
      <c r="O128" s="250">
        <v>0.15789473684210525</v>
      </c>
      <c r="P128" s="250">
        <v>0</v>
      </c>
      <c r="Q128" s="251">
        <v>0</v>
      </c>
      <c r="R128" s="252">
        <v>0</v>
      </c>
      <c r="S128" s="250">
        <v>0</v>
      </c>
      <c r="T128" s="253"/>
      <c r="U128" s="254">
        <v>221</v>
      </c>
      <c r="V128" s="255">
        <v>0</v>
      </c>
      <c r="W128" s="255">
        <v>114</v>
      </c>
      <c r="X128" s="255">
        <v>0</v>
      </c>
      <c r="Y128" s="255">
        <v>0</v>
      </c>
      <c r="Z128" s="255">
        <v>225</v>
      </c>
      <c r="AA128" s="256">
        <v>560</v>
      </c>
      <c r="AB128" s="254">
        <v>10</v>
      </c>
      <c r="AC128" s="255">
        <v>0</v>
      </c>
      <c r="AD128" s="255">
        <v>7</v>
      </c>
      <c r="AE128" s="255">
        <v>52</v>
      </c>
      <c r="AF128" s="257">
        <v>0</v>
      </c>
      <c r="AG128" s="257">
        <v>69</v>
      </c>
      <c r="AH128" s="254">
        <v>0</v>
      </c>
      <c r="AI128" s="255">
        <v>0</v>
      </c>
      <c r="AJ128" s="257">
        <v>0</v>
      </c>
      <c r="AK128" s="254">
        <v>0</v>
      </c>
    </row>
    <row r="129" spans="1:39">
      <c r="A129" s="249"/>
      <c r="B129" s="239" t="s">
        <v>55</v>
      </c>
      <c r="C129" s="250">
        <v>0.32740213523131673</v>
      </c>
      <c r="D129" s="251">
        <v>0</v>
      </c>
      <c r="E129" s="251">
        <v>0.28144989339019189</v>
      </c>
      <c r="F129" s="251">
        <v>0</v>
      </c>
      <c r="G129" s="251">
        <v>0</v>
      </c>
      <c r="H129" s="252">
        <v>0.35036496350364965</v>
      </c>
      <c r="I129" s="437">
        <v>0.3261480787253983</v>
      </c>
      <c r="J129" s="250">
        <v>0.15909090909090909</v>
      </c>
      <c r="K129" s="251">
        <v>0</v>
      </c>
      <c r="L129" s="251">
        <v>0.57627118644067798</v>
      </c>
      <c r="M129" s="251">
        <v>0.22068965517241379</v>
      </c>
      <c r="N129" s="252">
        <v>0</v>
      </c>
      <c r="O129" s="250">
        <v>0.25629290617848971</v>
      </c>
      <c r="P129" s="250">
        <v>0</v>
      </c>
      <c r="Q129" s="251">
        <v>0</v>
      </c>
      <c r="R129" s="252">
        <v>0</v>
      </c>
      <c r="S129" s="250">
        <v>0</v>
      </c>
      <c r="T129" s="253"/>
      <c r="U129" s="254">
        <v>276</v>
      </c>
      <c r="V129" s="255">
        <v>0</v>
      </c>
      <c r="W129" s="255">
        <v>132</v>
      </c>
      <c r="X129" s="255">
        <v>0</v>
      </c>
      <c r="Y129" s="255">
        <v>0</v>
      </c>
      <c r="Z129" s="255">
        <v>288</v>
      </c>
      <c r="AA129" s="256">
        <v>696</v>
      </c>
      <c r="AB129" s="254">
        <v>14</v>
      </c>
      <c r="AC129" s="255">
        <v>0</v>
      </c>
      <c r="AD129" s="255">
        <v>34</v>
      </c>
      <c r="AE129" s="255">
        <v>64</v>
      </c>
      <c r="AF129" s="257">
        <v>0</v>
      </c>
      <c r="AG129" s="257">
        <v>112</v>
      </c>
      <c r="AH129" s="254">
        <v>0</v>
      </c>
      <c r="AI129" s="255">
        <v>0</v>
      </c>
      <c r="AJ129" s="257">
        <v>0</v>
      </c>
      <c r="AK129" s="254">
        <v>0</v>
      </c>
    </row>
    <row r="130" spans="1:39">
      <c r="A130" s="249"/>
      <c r="B130" s="239" t="s">
        <v>78</v>
      </c>
      <c r="C130" s="250">
        <v>3.084223013048636E-2</v>
      </c>
      <c r="D130" s="251">
        <v>0</v>
      </c>
      <c r="E130" s="251">
        <v>5.7569296375266525E-2</v>
      </c>
      <c r="F130" s="251">
        <v>0</v>
      </c>
      <c r="G130" s="251">
        <v>0</v>
      </c>
      <c r="H130" s="252">
        <v>8.0291970802919707E-2</v>
      </c>
      <c r="I130" s="437">
        <v>5.5763823805060918E-2</v>
      </c>
      <c r="J130" s="250">
        <v>0.28409090909090912</v>
      </c>
      <c r="K130" s="251">
        <v>0</v>
      </c>
      <c r="L130" s="251">
        <v>0.20338983050847459</v>
      </c>
      <c r="M130" s="251">
        <v>0.27241379310344827</v>
      </c>
      <c r="N130" s="252">
        <v>0</v>
      </c>
      <c r="O130" s="250">
        <v>0.26544622425629288</v>
      </c>
      <c r="P130" s="250">
        <v>0</v>
      </c>
      <c r="Q130" s="251">
        <v>0</v>
      </c>
      <c r="R130" s="252">
        <v>0</v>
      </c>
      <c r="S130" s="250">
        <v>0</v>
      </c>
      <c r="T130" s="253"/>
      <c r="U130" s="254">
        <v>26</v>
      </c>
      <c r="V130" s="255">
        <v>0</v>
      </c>
      <c r="W130" s="255">
        <v>27</v>
      </c>
      <c r="X130" s="255">
        <v>0</v>
      </c>
      <c r="Y130" s="255">
        <v>0</v>
      </c>
      <c r="Z130" s="255">
        <v>66</v>
      </c>
      <c r="AA130" s="256">
        <v>119</v>
      </c>
      <c r="AB130" s="254">
        <v>25</v>
      </c>
      <c r="AC130" s="255">
        <v>0</v>
      </c>
      <c r="AD130" s="255">
        <v>12</v>
      </c>
      <c r="AE130" s="255">
        <v>79</v>
      </c>
      <c r="AF130" s="257">
        <v>0</v>
      </c>
      <c r="AG130" s="257">
        <v>116</v>
      </c>
      <c r="AH130" s="254">
        <v>0</v>
      </c>
      <c r="AI130" s="255">
        <v>0</v>
      </c>
      <c r="AJ130" s="257">
        <v>0</v>
      </c>
      <c r="AK130" s="254">
        <v>0</v>
      </c>
    </row>
    <row r="131" spans="1:39">
      <c r="A131" s="249"/>
      <c r="B131" s="239" t="s">
        <v>32</v>
      </c>
      <c r="C131" s="250">
        <v>2.0166073546856466E-2</v>
      </c>
      <c r="D131" s="251">
        <v>0</v>
      </c>
      <c r="E131" s="251">
        <v>0</v>
      </c>
      <c r="F131" s="251">
        <v>0</v>
      </c>
      <c r="G131" s="251">
        <v>0</v>
      </c>
      <c r="H131" s="252">
        <v>3.2846715328467155E-2</v>
      </c>
      <c r="I131" s="437">
        <v>2.0618556701030927E-2</v>
      </c>
      <c r="J131" s="250">
        <v>2.2727272727272728E-2</v>
      </c>
      <c r="K131" s="251">
        <v>0</v>
      </c>
      <c r="L131" s="251">
        <v>0</v>
      </c>
      <c r="M131" s="251">
        <v>5.8620689655172413E-2</v>
      </c>
      <c r="N131" s="258">
        <v>0</v>
      </c>
      <c r="O131" s="250">
        <v>4.3478260869565216E-2</v>
      </c>
      <c r="P131" s="250">
        <v>0</v>
      </c>
      <c r="Q131" s="251">
        <v>0</v>
      </c>
      <c r="R131" s="252">
        <v>0</v>
      </c>
      <c r="S131" s="250">
        <v>0</v>
      </c>
      <c r="T131" s="253"/>
      <c r="U131" s="254">
        <v>17</v>
      </c>
      <c r="V131" s="255">
        <v>0</v>
      </c>
      <c r="W131" s="255">
        <v>0</v>
      </c>
      <c r="X131" s="255">
        <v>0</v>
      </c>
      <c r="Y131" s="255">
        <v>0</v>
      </c>
      <c r="Z131" s="255">
        <v>27</v>
      </c>
      <c r="AA131" s="256">
        <v>44</v>
      </c>
      <c r="AB131" s="254">
        <v>2</v>
      </c>
      <c r="AC131" s="255">
        <v>0</v>
      </c>
      <c r="AD131" s="255">
        <v>0</v>
      </c>
      <c r="AE131" s="255">
        <v>17</v>
      </c>
      <c r="AF131" s="257">
        <v>0</v>
      </c>
      <c r="AG131" s="257">
        <v>19</v>
      </c>
      <c r="AH131" s="254">
        <v>0</v>
      </c>
      <c r="AI131" s="255">
        <v>0</v>
      </c>
      <c r="AJ131" s="257">
        <v>0</v>
      </c>
      <c r="AK131" s="254">
        <v>0</v>
      </c>
    </row>
    <row r="132" spans="1:39">
      <c r="A132" s="249"/>
      <c r="B132" s="239" t="s">
        <v>58</v>
      </c>
      <c r="C132" s="250">
        <v>0</v>
      </c>
      <c r="D132" s="251">
        <v>0</v>
      </c>
      <c r="E132" s="419">
        <v>0</v>
      </c>
      <c r="F132" s="251">
        <v>0</v>
      </c>
      <c r="G132" s="419">
        <v>0</v>
      </c>
      <c r="H132" s="252">
        <v>0</v>
      </c>
      <c r="I132" s="437">
        <v>0</v>
      </c>
      <c r="J132" s="250">
        <v>0</v>
      </c>
      <c r="K132" s="251">
        <v>0</v>
      </c>
      <c r="L132" s="251">
        <v>0</v>
      </c>
      <c r="M132" s="251">
        <v>0</v>
      </c>
      <c r="N132" s="252">
        <v>0</v>
      </c>
      <c r="O132" s="250">
        <v>0</v>
      </c>
      <c r="P132" s="250">
        <v>0</v>
      </c>
      <c r="Q132" s="251">
        <v>0</v>
      </c>
      <c r="R132" s="252">
        <v>0</v>
      </c>
      <c r="S132" s="250">
        <v>0</v>
      </c>
      <c r="T132" s="253"/>
      <c r="U132" s="254">
        <v>0</v>
      </c>
      <c r="V132" s="255">
        <v>0</v>
      </c>
      <c r="W132" s="255">
        <v>0</v>
      </c>
      <c r="X132" s="255">
        <v>0</v>
      </c>
      <c r="Y132" s="255">
        <v>0</v>
      </c>
      <c r="Z132" s="255">
        <v>0</v>
      </c>
      <c r="AA132" s="256">
        <v>0</v>
      </c>
      <c r="AB132" s="254">
        <v>0</v>
      </c>
      <c r="AC132" s="255">
        <v>0</v>
      </c>
      <c r="AD132" s="255">
        <v>0</v>
      </c>
      <c r="AE132" s="255">
        <v>0</v>
      </c>
      <c r="AF132" s="257">
        <v>0</v>
      </c>
      <c r="AG132" s="257">
        <v>0</v>
      </c>
      <c r="AH132" s="254">
        <v>0</v>
      </c>
      <c r="AI132" s="255">
        <v>0</v>
      </c>
      <c r="AJ132" s="257">
        <v>0</v>
      </c>
      <c r="AK132" s="254">
        <v>0</v>
      </c>
    </row>
    <row r="133" spans="1:39" s="271" customFormat="1">
      <c r="A133" s="435"/>
      <c r="B133" s="436" t="s">
        <v>59</v>
      </c>
      <c r="C133" s="261">
        <v>1</v>
      </c>
      <c r="D133" s="262">
        <v>0</v>
      </c>
      <c r="E133" s="262">
        <v>1</v>
      </c>
      <c r="F133" s="262">
        <v>0</v>
      </c>
      <c r="G133" s="262">
        <v>0</v>
      </c>
      <c r="H133" s="263">
        <v>1</v>
      </c>
      <c r="I133" s="463">
        <v>1</v>
      </c>
      <c r="J133" s="261">
        <v>1</v>
      </c>
      <c r="K133" s="262">
        <v>0</v>
      </c>
      <c r="L133" s="262">
        <v>1</v>
      </c>
      <c r="M133" s="262">
        <v>1</v>
      </c>
      <c r="N133" s="263">
        <v>0</v>
      </c>
      <c r="O133" s="261">
        <v>1</v>
      </c>
      <c r="P133" s="261">
        <v>0</v>
      </c>
      <c r="Q133" s="262">
        <v>0</v>
      </c>
      <c r="R133" s="263">
        <v>0</v>
      </c>
      <c r="S133" s="261">
        <v>0</v>
      </c>
      <c r="T133" s="264"/>
      <c r="U133" s="265">
        <v>843</v>
      </c>
      <c r="V133" s="266">
        <v>0</v>
      </c>
      <c r="W133" s="266">
        <v>469</v>
      </c>
      <c r="X133" s="266">
        <v>0</v>
      </c>
      <c r="Y133" s="266">
        <v>0</v>
      </c>
      <c r="Z133" s="266">
        <v>822</v>
      </c>
      <c r="AA133" s="267">
        <v>2134</v>
      </c>
      <c r="AB133" s="265">
        <v>88</v>
      </c>
      <c r="AC133" s="266">
        <v>0</v>
      </c>
      <c r="AD133" s="266">
        <v>59</v>
      </c>
      <c r="AE133" s="266">
        <v>290</v>
      </c>
      <c r="AF133" s="268">
        <v>0</v>
      </c>
      <c r="AG133" s="268">
        <v>437</v>
      </c>
      <c r="AH133" s="265">
        <v>0</v>
      </c>
      <c r="AI133" s="266">
        <v>0</v>
      </c>
      <c r="AJ133" s="268">
        <v>0</v>
      </c>
      <c r="AK133" s="265">
        <v>0</v>
      </c>
      <c r="AL133" s="270"/>
      <c r="AM133" s="270"/>
    </row>
    <row r="134" spans="1:39">
      <c r="A134" s="240" t="s">
        <v>171</v>
      </c>
      <c r="B134" s="240" t="s">
        <v>53</v>
      </c>
      <c r="C134" s="821">
        <f>IF(U139&gt;0,(U134/U139),0)</f>
        <v>0.42851245355717626</v>
      </c>
      <c r="D134" s="822">
        <f t="shared" ref="D134" si="12">IF(V139&gt;0,(V134/V139),0)</f>
        <v>0.31628490743646059</v>
      </c>
      <c r="E134" s="822">
        <f t="shared" ref="E134" si="13">IF(W139&gt;0,(W134/W139),0)</f>
        <v>0.36916292621466257</v>
      </c>
      <c r="F134" s="822">
        <f t="shared" ref="F134" si="14">IF(X139&gt;0,(X134/X139),0)</f>
        <v>0.28820512820512822</v>
      </c>
      <c r="G134" s="822">
        <f t="shared" ref="G134" si="15">IF(Y139&gt;0,(Y134/Y139),0)</f>
        <v>0.24863523573200993</v>
      </c>
      <c r="H134" s="822">
        <f t="shared" ref="H134" si="16">IF(Z139&gt;0,(Z134/Z139),0)</f>
        <v>0.27311461440136342</v>
      </c>
      <c r="I134" s="821">
        <f t="shared" ref="I134" si="17">IF(AA139&gt;0,(AA134/AA139),0)</f>
        <v>0.37238203005578385</v>
      </c>
      <c r="J134" s="821">
        <f t="shared" ref="J134" si="18">IF(AB139&gt;0,(AB134/AB139),0)</f>
        <v>0</v>
      </c>
      <c r="K134" s="822">
        <f t="shared" ref="K134" si="19">IF(AC139&gt;0,(AC134/AC139),0)</f>
        <v>2.7159855147439214E-2</v>
      </c>
      <c r="L134" s="822">
        <f t="shared" ref="L134" si="20">IF(AD139&gt;0,(AD134/AD139),0)</f>
        <v>6.6790736145574861E-2</v>
      </c>
      <c r="M134" s="822">
        <f t="shared" ref="M134" si="21">IF(AE139&gt;0,(AE134/AE139),0)</f>
        <v>8.6267605633802813E-2</v>
      </c>
      <c r="N134" s="822">
        <f t="shared" ref="N134" si="22">IF(AF139&gt;0,(AF134/AF139),0)</f>
        <v>0</v>
      </c>
      <c r="O134" s="821">
        <f t="shared" ref="O134" si="23">IF(AG139&gt;0,(AG134/AG139),0)</f>
        <v>4.435117612052495E-2</v>
      </c>
      <c r="P134" s="821">
        <f t="shared" ref="P134" si="24">IF(AH139&gt;0,(AH134/AH139),0)</f>
        <v>0</v>
      </c>
      <c r="Q134" s="822">
        <f t="shared" ref="Q134" si="25">IF(AI139&gt;0,(AI134/AI139),0)</f>
        <v>0</v>
      </c>
      <c r="R134" s="823">
        <f t="shared" ref="R134" si="26">IF(AJ139&gt;0,(AJ134/AJ139),0)</f>
        <v>0</v>
      </c>
      <c r="S134" s="821">
        <f t="shared" ref="S134" si="27">IF(AK139&gt;0,(AK134/AK139),0)</f>
        <v>0</v>
      </c>
      <c r="U134" s="796">
        <f>U140+U146+U152+U158+U164+U170+U176+U182+U188+U194+U200+U206+U212</f>
        <v>9342</v>
      </c>
      <c r="V134" s="796">
        <f t="shared" ref="V134:AK139" si="28">V140+V146+V152+V158+V164+V170+V176+V182+V188+V194+V200+V206+V212</f>
        <v>3024</v>
      </c>
      <c r="W134" s="796">
        <f t="shared" si="28"/>
        <v>4688</v>
      </c>
      <c r="X134" s="796">
        <f t="shared" si="28"/>
        <v>562</v>
      </c>
      <c r="Y134" s="796">
        <f t="shared" si="28"/>
        <v>501</v>
      </c>
      <c r="Z134" s="796">
        <f t="shared" si="28"/>
        <v>641</v>
      </c>
      <c r="AA134" s="801">
        <f t="shared" si="28"/>
        <v>18758</v>
      </c>
      <c r="AB134" s="801">
        <f t="shared" si="28"/>
        <v>0</v>
      </c>
      <c r="AC134" s="796">
        <f t="shared" si="28"/>
        <v>525</v>
      </c>
      <c r="AD134" s="796">
        <f t="shared" si="28"/>
        <v>646</v>
      </c>
      <c r="AE134" s="796">
        <f t="shared" si="28"/>
        <v>245</v>
      </c>
      <c r="AF134" s="796">
        <f t="shared" si="28"/>
        <v>0</v>
      </c>
      <c r="AG134" s="801">
        <f t="shared" si="28"/>
        <v>1416</v>
      </c>
      <c r="AH134" s="801">
        <f t="shared" si="28"/>
        <v>0</v>
      </c>
      <c r="AI134" s="796">
        <f t="shared" si="28"/>
        <v>0</v>
      </c>
      <c r="AJ134" s="818">
        <f t="shared" si="28"/>
        <v>0</v>
      </c>
      <c r="AK134" s="801">
        <f t="shared" si="28"/>
        <v>0</v>
      </c>
    </row>
    <row r="135" spans="1:39">
      <c r="A135" s="239"/>
      <c r="B135" s="239" t="s">
        <v>93</v>
      </c>
      <c r="C135" s="824">
        <f>IF(U139&gt;0,(U135/U139),0)</f>
        <v>0.21916425852025137</v>
      </c>
      <c r="D135" s="822">
        <f t="shared" ref="D135" si="29">IF(V139&gt;0,(V135/V139),0)</f>
        <v>0.26430289718648675</v>
      </c>
      <c r="E135" s="822">
        <f t="shared" ref="E135" si="30">IF(W139&gt;0,(W135/W139),0)</f>
        <v>0.21623749901567052</v>
      </c>
      <c r="F135" s="822">
        <f t="shared" ref="F135" si="31">IF(X139&gt;0,(X135/X139),0)</f>
        <v>0.258974358974359</v>
      </c>
      <c r="G135" s="822">
        <f t="shared" ref="G135" si="32">IF(Y139&gt;0,(Y135/Y139),0)</f>
        <v>0.21935483870967742</v>
      </c>
      <c r="H135" s="822">
        <f t="shared" ref="H135" si="33">IF(Z139&gt;0,(Z135/Z139),0)</f>
        <v>0.23093310609288453</v>
      </c>
      <c r="I135" s="824">
        <f t="shared" ref="I135" si="34">IF(AA139&gt;0,(AA135/AA139),0)</f>
        <v>0.22909098127965377</v>
      </c>
      <c r="J135" s="824">
        <f t="shared" ref="J135" si="35">IF(AB139&gt;0,(AB135/AB139),0)</f>
        <v>0</v>
      </c>
      <c r="K135" s="822">
        <f t="shared" ref="K135" si="36">IF(AC139&gt;0,(AC135/AC139),0)</f>
        <v>4.7594412829798241E-3</v>
      </c>
      <c r="L135" s="822">
        <f t="shared" ref="L135" si="37">IF(AD139&gt;0,(AD135/AD139),0)</f>
        <v>2.8019023986765923E-2</v>
      </c>
      <c r="M135" s="822">
        <f t="shared" ref="M135" si="38">IF(AE139&gt;0,(AE135/AE139),0)</f>
        <v>4.788732394366197E-2</v>
      </c>
      <c r="N135" s="822">
        <f t="shared" ref="N135" si="39">IF(AF139&gt;0,(AF135/AF139),0)</f>
        <v>0</v>
      </c>
      <c r="O135" s="824">
        <f t="shared" ref="O135" si="40">IF(AG139&gt;0,(AG135/AG139),0)</f>
        <v>1.5629404579196291E-2</v>
      </c>
      <c r="P135" s="824">
        <f t="shared" ref="P135" si="41">IF(AH139&gt;0,(AH135/AH139),0)</f>
        <v>0</v>
      </c>
      <c r="Q135" s="822">
        <f t="shared" ref="Q135" si="42">IF(AI139&gt;0,(AI135/AI139),0)</f>
        <v>0</v>
      </c>
      <c r="R135" s="825">
        <f t="shared" ref="R135" si="43">IF(AJ139&gt;0,(AJ135/AJ139),0)</f>
        <v>0</v>
      </c>
      <c r="S135" s="824">
        <f t="shared" ref="S135" si="44">IF(AK139&gt;0,(AK135/AK139),0)</f>
        <v>0</v>
      </c>
      <c r="U135" s="796">
        <f t="shared" ref="U135:AJ139" si="45">U141+U147+U153+U159+U165+U171+U177+U183+U189+U195+U201+U207+U213</f>
        <v>4778</v>
      </c>
      <c r="V135" s="796">
        <f t="shared" si="45"/>
        <v>2527</v>
      </c>
      <c r="W135" s="796">
        <f t="shared" si="45"/>
        <v>2746</v>
      </c>
      <c r="X135" s="796">
        <f t="shared" si="45"/>
        <v>505</v>
      </c>
      <c r="Y135" s="796">
        <f t="shared" si="45"/>
        <v>442</v>
      </c>
      <c r="Z135" s="796">
        <f t="shared" si="45"/>
        <v>542</v>
      </c>
      <c r="AA135" s="802">
        <f t="shared" si="45"/>
        <v>11540</v>
      </c>
      <c r="AB135" s="802">
        <f t="shared" si="45"/>
        <v>0</v>
      </c>
      <c r="AC135" s="796">
        <f t="shared" si="45"/>
        <v>92</v>
      </c>
      <c r="AD135" s="796">
        <f t="shared" si="45"/>
        <v>271</v>
      </c>
      <c r="AE135" s="796">
        <f t="shared" si="45"/>
        <v>136</v>
      </c>
      <c r="AF135" s="796">
        <f t="shared" si="45"/>
        <v>0</v>
      </c>
      <c r="AG135" s="802">
        <f t="shared" si="45"/>
        <v>499</v>
      </c>
      <c r="AH135" s="802">
        <f t="shared" si="45"/>
        <v>0</v>
      </c>
      <c r="AI135" s="796">
        <f t="shared" si="45"/>
        <v>0</v>
      </c>
      <c r="AJ135" s="819">
        <f t="shared" si="45"/>
        <v>0</v>
      </c>
      <c r="AK135" s="802">
        <f t="shared" si="28"/>
        <v>0</v>
      </c>
    </row>
    <row r="136" spans="1:39">
      <c r="A136" s="239"/>
      <c r="B136" s="239" t="s">
        <v>55</v>
      </c>
      <c r="C136" s="824">
        <f>IF(U139&gt;0,(U136/U139),0)</f>
        <v>0.20728406953809458</v>
      </c>
      <c r="D136" s="822">
        <f t="shared" ref="D136" si="46">IF(V139&gt;0,(V136/V139),0)</f>
        <v>0.25311159920510407</v>
      </c>
      <c r="E136" s="822">
        <f t="shared" ref="E136" si="47">IF(W139&gt;0,(W136/W139),0)</f>
        <v>0.26261910386644616</v>
      </c>
      <c r="F136" s="822">
        <f t="shared" ref="F136" si="48">IF(X139&gt;0,(X136/X139),0)</f>
        <v>0.25743589743589745</v>
      </c>
      <c r="G136" s="822">
        <f t="shared" ref="G136" si="49">IF(Y139&gt;0,(Y136/Y139),0)</f>
        <v>0.30024813895781638</v>
      </c>
      <c r="H136" s="822">
        <f t="shared" ref="H136" si="50">IF(Z139&gt;0,(Z136/Z139),0)</f>
        <v>0.27652322113336175</v>
      </c>
      <c r="I136" s="824">
        <f t="shared" ref="I136" si="51">IF(AA139&gt;0,(AA136/AA139),0)</f>
        <v>0.23881841462688344</v>
      </c>
      <c r="J136" s="824">
        <f t="shared" ref="J136" si="52">IF(AB139&gt;0,(AB136/AB139),0)</f>
        <v>0</v>
      </c>
      <c r="K136" s="822">
        <f t="shared" ref="K136" si="53">IF(AC139&gt;0,(AC136/AC139),0)</f>
        <v>6.414899120538024E-3</v>
      </c>
      <c r="L136" s="822">
        <f t="shared" ref="L136" si="54">IF(AD139&gt;0,(AD136/AD139),0)</f>
        <v>4.3320926385442514E-2</v>
      </c>
      <c r="M136" s="822">
        <f t="shared" ref="M136" si="55">IF(AE139&gt;0,(AE136/AE139),0)</f>
        <v>7.3943661971830985E-2</v>
      </c>
      <c r="N136" s="822">
        <f t="shared" ref="N136" si="56">IF(AF139&gt;0,(AF136/AF139),0)</f>
        <v>0</v>
      </c>
      <c r="O136" s="824">
        <f t="shared" ref="O136" si="57">IF(AG139&gt;0,(AG136/AG139),0)</f>
        <v>2.3585053403075765E-2</v>
      </c>
      <c r="P136" s="824">
        <f t="shared" ref="P136" si="58">IF(AH139&gt;0,(AH136/AH139),0)</f>
        <v>0</v>
      </c>
      <c r="Q136" s="822">
        <f t="shared" ref="Q136" si="59">IF(AI139&gt;0,(AI136/AI139),0)</f>
        <v>0</v>
      </c>
      <c r="R136" s="825">
        <f t="shared" ref="R136" si="60">IF(AJ139&gt;0,(AJ136/AJ139),0)</f>
        <v>0</v>
      </c>
      <c r="S136" s="824">
        <f t="shared" ref="S136" si="61">IF(AK139&gt;0,(AK136/AK139),0)</f>
        <v>0</v>
      </c>
      <c r="U136" s="796">
        <f t="shared" si="45"/>
        <v>4519</v>
      </c>
      <c r="V136" s="796">
        <f t="shared" si="28"/>
        <v>2420</v>
      </c>
      <c r="W136" s="796">
        <f t="shared" si="28"/>
        <v>3335</v>
      </c>
      <c r="X136" s="796">
        <f t="shared" si="28"/>
        <v>502</v>
      </c>
      <c r="Y136" s="796">
        <f t="shared" si="28"/>
        <v>605</v>
      </c>
      <c r="Z136" s="796">
        <f t="shared" si="28"/>
        <v>649</v>
      </c>
      <c r="AA136" s="802">
        <f t="shared" si="28"/>
        <v>12030</v>
      </c>
      <c r="AB136" s="802">
        <f t="shared" si="28"/>
        <v>0</v>
      </c>
      <c r="AC136" s="796">
        <f t="shared" si="28"/>
        <v>124</v>
      </c>
      <c r="AD136" s="796">
        <f t="shared" si="28"/>
        <v>419</v>
      </c>
      <c r="AE136" s="796">
        <f t="shared" si="28"/>
        <v>210</v>
      </c>
      <c r="AF136" s="796">
        <f t="shared" si="28"/>
        <v>0</v>
      </c>
      <c r="AG136" s="802">
        <f t="shared" si="28"/>
        <v>753</v>
      </c>
      <c r="AH136" s="802">
        <f t="shared" si="28"/>
        <v>0</v>
      </c>
      <c r="AI136" s="796">
        <f t="shared" si="28"/>
        <v>0</v>
      </c>
      <c r="AJ136" s="819">
        <f t="shared" si="28"/>
        <v>0</v>
      </c>
      <c r="AK136" s="802">
        <f t="shared" si="28"/>
        <v>0</v>
      </c>
    </row>
    <row r="137" spans="1:39">
      <c r="A137" s="239"/>
      <c r="B137" s="239" t="s">
        <v>78</v>
      </c>
      <c r="C137" s="824">
        <f>IF(U139&gt;0,(U137/U139),0)</f>
        <v>4.1007293243429201E-2</v>
      </c>
      <c r="D137" s="822">
        <f t="shared" ref="D137" si="62">IF(V139&gt;0,(V137/V139),0)</f>
        <v>8.2836523376215873E-2</v>
      </c>
      <c r="E137" s="822">
        <f t="shared" ref="E137" si="63">IF(W139&gt;0,(W137/W139),0)</f>
        <v>2.0159067643121507E-2</v>
      </c>
      <c r="F137" s="822">
        <f t="shared" ref="F137" si="64">IF(X139&gt;0,(X137/X139),0)</f>
        <v>3.7948717948717951E-2</v>
      </c>
      <c r="G137" s="822">
        <f t="shared" ref="G137" si="65">IF(Y139&gt;0,(Y137/Y139),0)</f>
        <v>6.4516129032258063E-2</v>
      </c>
      <c r="H137" s="822">
        <f t="shared" ref="H137" si="66">IF(Z139&gt;0,(Z137/Z139),0)</f>
        <v>8.862377503195569E-2</v>
      </c>
      <c r="I137" s="824">
        <f t="shared" ref="I137" si="67">IF(AA139&gt;0,(AA137/AA139),0)</f>
        <v>4.673138387628293E-2</v>
      </c>
      <c r="J137" s="824">
        <f t="shared" ref="J137" si="68">IF(AB139&gt;0,(AB137/AB139),0)</f>
        <v>0</v>
      </c>
      <c r="K137" s="822">
        <f t="shared" ref="K137" si="69">IF(AC139&gt;0,(AC137/AC139),0)</f>
        <v>0.83978272115882047</v>
      </c>
      <c r="L137" s="822">
        <f t="shared" ref="L137" si="70">IF(AD139&gt;0,(AD137/AD139),0)</f>
        <v>0.52357320099255578</v>
      </c>
      <c r="M137" s="822">
        <f t="shared" ref="M137" si="71">IF(AE139&gt;0,(AE137/AE139),0)</f>
        <v>0.58028169014084507</v>
      </c>
      <c r="N137" s="822">
        <f t="shared" ref="N137" si="72">IF(AF139&gt;0,(AF137/AF139),0)</f>
        <v>1</v>
      </c>
      <c r="O137" s="824">
        <f t="shared" ref="O137" si="73">IF(AG139&gt;0,(AG137/AG139),0)</f>
        <v>0.72133304099978079</v>
      </c>
      <c r="P137" s="824">
        <f t="shared" ref="P137" si="74">IF(AH139&gt;0,(AH137/AH139),0)</f>
        <v>0</v>
      </c>
      <c r="Q137" s="822">
        <f t="shared" ref="Q137" si="75">IF(AI139&gt;0,(AI137/AI139),0)</f>
        <v>0</v>
      </c>
      <c r="R137" s="825">
        <f t="shared" ref="R137" si="76">IF(AJ139&gt;0,(AJ137/AJ139),0)</f>
        <v>0</v>
      </c>
      <c r="S137" s="824">
        <f t="shared" ref="S137" si="77">IF(AK139&gt;0,(AK137/AK139),0)</f>
        <v>0</v>
      </c>
      <c r="U137" s="796">
        <f t="shared" si="45"/>
        <v>894</v>
      </c>
      <c r="V137" s="796">
        <f t="shared" si="28"/>
        <v>792</v>
      </c>
      <c r="W137" s="796">
        <f t="shared" si="28"/>
        <v>256</v>
      </c>
      <c r="X137" s="796">
        <f t="shared" si="28"/>
        <v>74</v>
      </c>
      <c r="Y137" s="796">
        <f t="shared" si="28"/>
        <v>130</v>
      </c>
      <c r="Z137" s="796">
        <f t="shared" si="28"/>
        <v>208</v>
      </c>
      <c r="AA137" s="802">
        <f t="shared" si="28"/>
        <v>2354</v>
      </c>
      <c r="AB137" s="802">
        <f t="shared" si="28"/>
        <v>0</v>
      </c>
      <c r="AC137" s="796">
        <f t="shared" si="28"/>
        <v>16233</v>
      </c>
      <c r="AD137" s="796">
        <f t="shared" si="28"/>
        <v>5064</v>
      </c>
      <c r="AE137" s="796">
        <f t="shared" si="28"/>
        <v>1648</v>
      </c>
      <c r="AF137" s="796">
        <f t="shared" si="28"/>
        <v>85</v>
      </c>
      <c r="AG137" s="802">
        <f t="shared" si="28"/>
        <v>23030</v>
      </c>
      <c r="AH137" s="802">
        <f t="shared" si="28"/>
        <v>0</v>
      </c>
      <c r="AI137" s="796">
        <f t="shared" si="28"/>
        <v>0</v>
      </c>
      <c r="AJ137" s="819">
        <f t="shared" si="28"/>
        <v>0</v>
      </c>
      <c r="AK137" s="802">
        <f t="shared" si="28"/>
        <v>0</v>
      </c>
    </row>
    <row r="138" spans="1:39">
      <c r="A138" s="580"/>
      <c r="B138" s="580" t="s">
        <v>131</v>
      </c>
      <c r="C138" s="824">
        <f>IF(U139&gt;0,(U138/U139),0)</f>
        <v>0.10403192514104857</v>
      </c>
      <c r="D138" s="822">
        <f t="shared" ref="D138" si="78">IF(V139&gt;0,(V138/V139),0)</f>
        <v>8.3464072795732661E-2</v>
      </c>
      <c r="E138" s="822">
        <f t="shared" ref="E138" si="79">IF(W139&gt;0,(W138/W139),0)</f>
        <v>0.13182140326009922</v>
      </c>
      <c r="F138" s="822">
        <f t="shared" ref="F138" si="80">IF(X139&gt;0,(X138/X139),0)</f>
        <v>0.15743589743589745</v>
      </c>
      <c r="G138" s="822">
        <f t="shared" ref="G138" si="81">IF(Y139&gt;0,(Y138/Y139),0)</f>
        <v>0.16724565756823823</v>
      </c>
      <c r="H138" s="822">
        <f t="shared" ref="H138" si="82">IF(Z139&gt;0,(Z138/Z139),0)</f>
        <v>0.13080528334043459</v>
      </c>
      <c r="I138" s="824">
        <f t="shared" ref="I138" si="83">IF(AA139&gt;0,(AA138/AA139),0)</f>
        <v>0.11297719016139599</v>
      </c>
      <c r="J138" s="824">
        <f t="shared" ref="J138" si="84">IF(AB139&gt;0,(AB138/AB139),0)</f>
        <v>0</v>
      </c>
      <c r="K138" s="822">
        <f t="shared" ref="K138" si="85">IF(AC139&gt;0,(AC138/AC139),0)</f>
        <v>0.12188308329022245</v>
      </c>
      <c r="L138" s="822">
        <f t="shared" ref="L138" si="86">IF(AD139&gt;0,(AD138/AD139),0)</f>
        <v>0.33829611248966085</v>
      </c>
      <c r="M138" s="822">
        <f t="shared" ref="M138" si="87">IF(AE139&gt;0,(AE138/AE139),0)</f>
        <v>0.21161971830985915</v>
      </c>
      <c r="N138" s="822">
        <f t="shared" ref="N138" si="88">IF(AF139&gt;0,(AF138/AF139),0)</f>
        <v>0</v>
      </c>
      <c r="O138" s="824">
        <f t="shared" ref="O138" si="89">IF(AG139&gt;0,(AG138/AG139),0)</f>
        <v>0.19510132489742224</v>
      </c>
      <c r="P138" s="824">
        <f t="shared" ref="P138" si="90">IF(AH139&gt;0,(AH138/AH139),0)</f>
        <v>0</v>
      </c>
      <c r="Q138" s="822">
        <f t="shared" ref="Q138" si="91">IF(AI139&gt;0,(AI138/AI139),0)</f>
        <v>0</v>
      </c>
      <c r="R138" s="825">
        <f t="shared" ref="R138" si="92">IF(AJ139&gt;0,(AJ138/AJ139),0)</f>
        <v>0</v>
      </c>
      <c r="S138" s="824">
        <f t="shared" ref="S138" si="93">IF(AK139&gt;0,(AK138/AK139),0)</f>
        <v>0</v>
      </c>
      <c r="U138" s="796">
        <f t="shared" si="45"/>
        <v>2268</v>
      </c>
      <c r="V138" s="796">
        <f t="shared" si="28"/>
        <v>798</v>
      </c>
      <c r="W138" s="796">
        <f t="shared" si="28"/>
        <v>1674</v>
      </c>
      <c r="X138" s="796">
        <f t="shared" si="28"/>
        <v>307</v>
      </c>
      <c r="Y138" s="796">
        <f t="shared" si="28"/>
        <v>337</v>
      </c>
      <c r="Z138" s="796">
        <f t="shared" si="28"/>
        <v>307</v>
      </c>
      <c r="AA138" s="802">
        <f t="shared" si="28"/>
        <v>5691</v>
      </c>
      <c r="AB138" s="802">
        <f t="shared" si="28"/>
        <v>0</v>
      </c>
      <c r="AC138" s="796">
        <f t="shared" si="28"/>
        <v>2356</v>
      </c>
      <c r="AD138" s="796">
        <f t="shared" si="28"/>
        <v>3272</v>
      </c>
      <c r="AE138" s="796">
        <f t="shared" si="28"/>
        <v>601</v>
      </c>
      <c r="AF138" s="796">
        <f t="shared" si="28"/>
        <v>0</v>
      </c>
      <c r="AG138" s="802">
        <f t="shared" si="28"/>
        <v>6229</v>
      </c>
      <c r="AH138" s="802">
        <f t="shared" si="28"/>
        <v>0</v>
      </c>
      <c r="AI138" s="796">
        <f t="shared" si="28"/>
        <v>0</v>
      </c>
      <c r="AJ138" s="819">
        <f t="shared" si="28"/>
        <v>0</v>
      </c>
      <c r="AK138" s="802">
        <f t="shared" si="28"/>
        <v>0</v>
      </c>
    </row>
    <row r="139" spans="1:39">
      <c r="A139" s="436" t="s">
        <v>86</v>
      </c>
      <c r="B139" s="435" t="s">
        <v>59</v>
      </c>
      <c r="C139" s="826">
        <f>IF(U139&gt;0,(U139/U139),0)</f>
        <v>1</v>
      </c>
      <c r="D139" s="827">
        <f t="shared" ref="D139" si="94">IF(V139&gt;0,(V139/V139),0)</f>
        <v>1</v>
      </c>
      <c r="E139" s="827">
        <f t="shared" ref="E139" si="95">IF(W139&gt;0,(W139/W139),0)</f>
        <v>1</v>
      </c>
      <c r="F139" s="827">
        <f t="shared" ref="F139" si="96">IF(X139&gt;0,(X139/X139),0)</f>
        <v>1</v>
      </c>
      <c r="G139" s="827">
        <f t="shared" ref="G139" si="97">IF(Y139&gt;0,(Y139/Y139),0)</f>
        <v>1</v>
      </c>
      <c r="H139" s="827">
        <f t="shared" ref="H139" si="98">IF(Z139&gt;0,(Z139/Z139),0)</f>
        <v>1</v>
      </c>
      <c r="I139" s="826">
        <f t="shared" ref="I139" si="99">IF(AA139&gt;0,(AA139/AA139),0)</f>
        <v>1</v>
      </c>
      <c r="J139" s="826">
        <f t="shared" ref="J139" si="100">IF(AB139&gt;0,(AB139/AB139),0)</f>
        <v>0</v>
      </c>
      <c r="K139" s="827">
        <f t="shared" ref="K139" si="101">IF(AC139&gt;0,(AC139/AC139),0)</f>
        <v>1</v>
      </c>
      <c r="L139" s="827">
        <f t="shared" ref="L139" si="102">IF(AD139&gt;0,(AD139/AD139),0)</f>
        <v>1</v>
      </c>
      <c r="M139" s="827">
        <f t="shared" ref="M139" si="103">IF(AE139&gt;0,(AE139/AE139),0)</f>
        <v>1</v>
      </c>
      <c r="N139" s="827">
        <f t="shared" ref="N139" si="104">IF(AF139&gt;0,(AF139/AF139),0)</f>
        <v>1</v>
      </c>
      <c r="O139" s="826">
        <f t="shared" ref="O139" si="105">IF(AG139&gt;0,(AG139/AG139),0)</f>
        <v>1</v>
      </c>
      <c r="P139" s="826">
        <f t="shared" ref="P139" si="106">IF(AH139&gt;0,(AH139/AH139),0)</f>
        <v>0</v>
      </c>
      <c r="Q139" s="827">
        <f t="shared" ref="Q139" si="107">IF(AI139&gt;0,(AI139/AI139),0)</f>
        <v>0</v>
      </c>
      <c r="R139" s="828">
        <f t="shared" ref="R139" si="108">IF(AJ139&gt;0,(AJ139/AJ139),0)</f>
        <v>0</v>
      </c>
      <c r="S139" s="826">
        <f t="shared" ref="S139" si="109">IF(AK139&gt;0,(AK139/AK139),0)</f>
        <v>0</v>
      </c>
      <c r="U139" s="814">
        <f t="shared" si="45"/>
        <v>21801</v>
      </c>
      <c r="V139" s="814">
        <f t="shared" si="28"/>
        <v>9561</v>
      </c>
      <c r="W139" s="814">
        <f t="shared" si="28"/>
        <v>12699</v>
      </c>
      <c r="X139" s="814">
        <f t="shared" si="28"/>
        <v>1950</v>
      </c>
      <c r="Y139" s="814">
        <f t="shared" si="28"/>
        <v>2015</v>
      </c>
      <c r="Z139" s="814">
        <f t="shared" si="28"/>
        <v>2347</v>
      </c>
      <c r="AA139" s="815">
        <f t="shared" si="28"/>
        <v>50373</v>
      </c>
      <c r="AB139" s="815">
        <f t="shared" si="28"/>
        <v>0</v>
      </c>
      <c r="AC139" s="814">
        <f t="shared" si="28"/>
        <v>19330</v>
      </c>
      <c r="AD139" s="814">
        <f t="shared" si="28"/>
        <v>9672</v>
      </c>
      <c r="AE139" s="814">
        <f t="shared" si="28"/>
        <v>2840</v>
      </c>
      <c r="AF139" s="814">
        <f t="shared" si="28"/>
        <v>85</v>
      </c>
      <c r="AG139" s="815">
        <f t="shared" si="28"/>
        <v>31927</v>
      </c>
      <c r="AH139" s="815">
        <f t="shared" si="28"/>
        <v>0</v>
      </c>
      <c r="AI139" s="814">
        <f t="shared" si="28"/>
        <v>0</v>
      </c>
      <c r="AJ139" s="820">
        <f t="shared" si="28"/>
        <v>0</v>
      </c>
      <c r="AK139" s="815">
        <f t="shared" si="28"/>
        <v>0</v>
      </c>
    </row>
    <row r="140" spans="1:39">
      <c r="A140" s="240" t="s">
        <v>136</v>
      </c>
      <c r="B140" s="240" t="s">
        <v>53</v>
      </c>
      <c r="C140" s="821">
        <f>IF(U145&gt;0,(U140/U145),0)</f>
        <v>0</v>
      </c>
      <c r="D140" s="822">
        <f t="shared" ref="D140" si="110">IF(V145&gt;0,(V140/V145),0)</f>
        <v>0</v>
      </c>
      <c r="E140" s="822">
        <f t="shared" ref="E140" si="111">IF(W145&gt;0,(W140/W145),0)</f>
        <v>0.22104018912529552</v>
      </c>
      <c r="F140" s="822">
        <f t="shared" ref="F140" si="112">IF(X145&gt;0,(X140/X145),0)</f>
        <v>0</v>
      </c>
      <c r="G140" s="822">
        <f t="shared" ref="G140" si="113">IF(Y145&gt;0,(Y140/Y145),0)</f>
        <v>0.1</v>
      </c>
      <c r="H140" s="822">
        <f t="shared" ref="H140" si="114">IF(Z145&gt;0,(Z140/Z145),0)</f>
        <v>0</v>
      </c>
      <c r="I140" s="821">
        <f t="shared" ref="I140" si="115">IF(AA145&gt;0,(AA140/AA145),0)</f>
        <v>0.20824524312896406</v>
      </c>
      <c r="J140" s="821">
        <f t="shared" ref="J140" si="116">IF(AB145&gt;0,(AB140/AB145),0)</f>
        <v>0</v>
      </c>
      <c r="K140" s="822">
        <f t="shared" ref="K140" si="117">IF(AC145&gt;0,(AC140/AC145),0)</f>
        <v>0</v>
      </c>
      <c r="L140" s="822">
        <f t="shared" ref="L140" si="118">IF(AD145&gt;0,(AD140/AD145),0)</f>
        <v>0</v>
      </c>
      <c r="M140" s="822">
        <f t="shared" ref="M140" si="119">IF(AE145&gt;0,(AE140/AE145),0)</f>
        <v>0.26315789473684209</v>
      </c>
      <c r="N140" s="822">
        <f t="shared" ref="N140" si="120">IF(AF145&gt;0,(AF140/AF145),0)</f>
        <v>0</v>
      </c>
      <c r="O140" s="821">
        <f t="shared" ref="O140" si="121">IF(AG145&gt;0,(AG140/AG145),0)</f>
        <v>0.26315789473684209</v>
      </c>
      <c r="P140" s="821">
        <f t="shared" ref="P140" si="122">IF(AH145&gt;0,(AH140/AH145),0)</f>
        <v>0</v>
      </c>
      <c r="Q140" s="822">
        <f t="shared" ref="Q140" si="123">IF(AI145&gt;0,(AI140/AI145),0)</f>
        <v>0</v>
      </c>
      <c r="R140" s="823">
        <f t="shared" ref="R140" si="124">IF(AJ145&gt;0,(AJ140/AJ145),0)</f>
        <v>0</v>
      </c>
      <c r="S140" s="821">
        <f t="shared" ref="S140" si="125">IF(AK145&gt;0,(AK140/AK145),0)</f>
        <v>0</v>
      </c>
      <c r="U140" s="349"/>
      <c r="V140" s="349"/>
      <c r="W140" s="349">
        <v>187</v>
      </c>
      <c r="X140" s="349"/>
      <c r="Y140" s="349">
        <v>10</v>
      </c>
      <c r="Z140" s="349"/>
      <c r="AA140" s="803">
        <v>197</v>
      </c>
      <c r="AB140" s="803"/>
      <c r="AC140" s="349"/>
      <c r="AD140" s="349"/>
      <c r="AE140" s="349">
        <v>5</v>
      </c>
      <c r="AF140" s="349"/>
      <c r="AG140" s="803">
        <v>5</v>
      </c>
      <c r="AH140" s="803"/>
      <c r="AI140" s="349"/>
      <c r="AJ140" s="812"/>
      <c r="AK140" s="803"/>
    </row>
    <row r="141" spans="1:39">
      <c r="A141" s="239"/>
      <c r="B141" s="239" t="s">
        <v>93</v>
      </c>
      <c r="C141" s="824">
        <f>IF(U145&gt;0,(U141/U145),0)</f>
        <v>0</v>
      </c>
      <c r="D141" s="822">
        <f t="shared" ref="D141" si="126">IF(V145&gt;0,(V141/V145),0)</f>
        <v>0</v>
      </c>
      <c r="E141" s="822">
        <f t="shared" ref="E141" si="127">IF(W145&gt;0,(W141/W145),0)</f>
        <v>0.27186761229314421</v>
      </c>
      <c r="F141" s="822">
        <f t="shared" ref="F141" si="128">IF(X145&gt;0,(X141/X145),0)</f>
        <v>0</v>
      </c>
      <c r="G141" s="822">
        <f t="shared" ref="G141" si="129">IF(Y145&gt;0,(Y141/Y145),0)</f>
        <v>0.18</v>
      </c>
      <c r="H141" s="822">
        <f t="shared" ref="H141" si="130">IF(Z145&gt;0,(Z141/Z145),0)</f>
        <v>0</v>
      </c>
      <c r="I141" s="824">
        <f t="shared" ref="I141" si="131">IF(AA145&gt;0,(AA141/AA145),0)</f>
        <v>0.26215644820295986</v>
      </c>
      <c r="J141" s="824">
        <f t="shared" ref="J141" si="132">IF(AB145&gt;0,(AB141/AB145),0)</f>
        <v>0</v>
      </c>
      <c r="K141" s="822">
        <f t="shared" ref="K141" si="133">IF(AC145&gt;0,(AC141/AC145),0)</f>
        <v>0</v>
      </c>
      <c r="L141" s="822">
        <f t="shared" ref="L141" si="134">IF(AD145&gt;0,(AD141/AD145),0)</f>
        <v>0</v>
      </c>
      <c r="M141" s="822">
        <f t="shared" ref="M141" si="135">IF(AE145&gt;0,(AE141/AE145),0)</f>
        <v>0.15789473684210525</v>
      </c>
      <c r="N141" s="822">
        <f t="shared" ref="N141" si="136">IF(AF145&gt;0,(AF141/AF145),0)</f>
        <v>0</v>
      </c>
      <c r="O141" s="824">
        <f t="shared" ref="O141" si="137">IF(AG145&gt;0,(AG141/AG145),0)</f>
        <v>0.15789473684210525</v>
      </c>
      <c r="P141" s="824">
        <f t="shared" ref="P141" si="138">IF(AH145&gt;0,(AH141/AH145),0)</f>
        <v>0</v>
      </c>
      <c r="Q141" s="822">
        <f t="shared" ref="Q141" si="139">IF(AI145&gt;0,(AI141/AI145),0)</f>
        <v>0</v>
      </c>
      <c r="R141" s="825">
        <f t="shared" ref="R141" si="140">IF(AJ145&gt;0,(AJ141/AJ145),0)</f>
        <v>0</v>
      </c>
      <c r="S141" s="824">
        <f t="shared" ref="S141" si="141">IF(AK145&gt;0,(AK141/AK145),0)</f>
        <v>0</v>
      </c>
      <c r="U141" s="349"/>
      <c r="V141" s="349"/>
      <c r="W141" s="349">
        <v>230</v>
      </c>
      <c r="X141" s="349"/>
      <c r="Y141" s="349">
        <v>18</v>
      </c>
      <c r="Z141" s="349"/>
      <c r="AA141" s="804">
        <v>248</v>
      </c>
      <c r="AB141" s="804"/>
      <c r="AC141" s="349"/>
      <c r="AD141" s="349"/>
      <c r="AE141" s="349">
        <v>3</v>
      </c>
      <c r="AF141" s="349"/>
      <c r="AG141" s="804">
        <v>3</v>
      </c>
      <c r="AH141" s="804"/>
      <c r="AI141" s="349"/>
      <c r="AJ141" s="813"/>
      <c r="AK141" s="804"/>
    </row>
    <row r="142" spans="1:39">
      <c r="A142" s="239"/>
      <c r="B142" s="239" t="s">
        <v>55</v>
      </c>
      <c r="C142" s="824">
        <f>IF(U145&gt;0,(U142/U145),0)</f>
        <v>0</v>
      </c>
      <c r="D142" s="822">
        <f t="shared" ref="D142" si="142">IF(V145&gt;0,(V142/V145),0)</f>
        <v>0</v>
      </c>
      <c r="E142" s="822">
        <f t="shared" ref="E142" si="143">IF(W145&gt;0,(W142/W145),0)</f>
        <v>0.42434988179669031</v>
      </c>
      <c r="F142" s="822">
        <f t="shared" ref="F142" si="144">IF(X145&gt;0,(X142/X145),0)</f>
        <v>0</v>
      </c>
      <c r="G142" s="822">
        <f t="shared" ref="G142" si="145">IF(Y145&gt;0,(Y142/Y145),0)</f>
        <v>0.71</v>
      </c>
      <c r="H142" s="822">
        <f t="shared" ref="H142" si="146">IF(Z145&gt;0,(Z142/Z145),0)</f>
        <v>0</v>
      </c>
      <c r="I142" s="824">
        <f t="shared" ref="I142" si="147">IF(AA145&gt;0,(AA142/AA145),0)</f>
        <v>0.45454545454545453</v>
      </c>
      <c r="J142" s="824">
        <f t="shared" ref="J142" si="148">IF(AB145&gt;0,(AB142/AB145),0)</f>
        <v>0</v>
      </c>
      <c r="K142" s="822">
        <f t="shared" ref="K142" si="149">IF(AC145&gt;0,(AC142/AC145),0)</f>
        <v>0</v>
      </c>
      <c r="L142" s="822">
        <f t="shared" ref="L142" si="150">IF(AD145&gt;0,(AD142/AD145),0)</f>
        <v>0</v>
      </c>
      <c r="M142" s="822">
        <f t="shared" ref="M142" si="151">IF(AE145&gt;0,(AE142/AE145),0)</f>
        <v>0.36842105263157893</v>
      </c>
      <c r="N142" s="822">
        <f t="shared" ref="N142" si="152">IF(AF145&gt;0,(AF142/AF145),0)</f>
        <v>0</v>
      </c>
      <c r="O142" s="824">
        <f t="shared" ref="O142" si="153">IF(AG145&gt;0,(AG142/AG145),0)</f>
        <v>0.36842105263157893</v>
      </c>
      <c r="P142" s="824">
        <f t="shared" ref="P142" si="154">IF(AH145&gt;0,(AH142/AH145),0)</f>
        <v>0</v>
      </c>
      <c r="Q142" s="822">
        <f t="shared" ref="Q142" si="155">IF(AI145&gt;0,(AI142/AI145),0)</f>
        <v>0</v>
      </c>
      <c r="R142" s="825">
        <f t="shared" ref="R142" si="156">IF(AJ145&gt;0,(AJ142/AJ145),0)</f>
        <v>0</v>
      </c>
      <c r="S142" s="824">
        <f t="shared" ref="S142" si="157">IF(AK145&gt;0,(AK142/AK145),0)</f>
        <v>0</v>
      </c>
      <c r="U142" s="349"/>
      <c r="V142" s="349"/>
      <c r="W142" s="349">
        <v>359</v>
      </c>
      <c r="X142" s="349"/>
      <c r="Y142" s="349">
        <v>71</v>
      </c>
      <c r="Z142" s="349"/>
      <c r="AA142" s="804">
        <v>430</v>
      </c>
      <c r="AB142" s="804"/>
      <c r="AC142" s="349"/>
      <c r="AD142" s="349"/>
      <c r="AE142" s="349">
        <v>7</v>
      </c>
      <c r="AF142" s="349"/>
      <c r="AG142" s="804">
        <v>7</v>
      </c>
      <c r="AH142" s="804"/>
      <c r="AI142" s="349"/>
      <c r="AJ142" s="813"/>
      <c r="AK142" s="804"/>
    </row>
    <row r="143" spans="1:39">
      <c r="A143" s="239"/>
      <c r="B143" s="239" t="s">
        <v>78</v>
      </c>
      <c r="C143" s="824">
        <f>IF(U145&gt;0,(U143/U145),0)</f>
        <v>0</v>
      </c>
      <c r="D143" s="822">
        <f t="shared" ref="D143" si="158">IF(V145&gt;0,(V143/V145),0)</f>
        <v>0</v>
      </c>
      <c r="E143" s="822">
        <f t="shared" ref="E143" si="159">IF(W145&gt;0,(W143/W145),0)</f>
        <v>7.9196217494089838E-2</v>
      </c>
      <c r="F143" s="822">
        <f t="shared" ref="F143" si="160">IF(X145&gt;0,(X143/X145),0)</f>
        <v>0</v>
      </c>
      <c r="G143" s="822">
        <f t="shared" ref="G143" si="161">IF(Y145&gt;0,(Y143/Y145),0)</f>
        <v>0</v>
      </c>
      <c r="H143" s="822">
        <f t="shared" ref="H143" si="162">IF(Z145&gt;0,(Z143/Z145),0)</f>
        <v>0</v>
      </c>
      <c r="I143" s="824">
        <f t="shared" ref="I143" si="163">IF(AA145&gt;0,(AA143/AA145),0)</f>
        <v>7.0824524312896403E-2</v>
      </c>
      <c r="J143" s="824">
        <f t="shared" ref="J143" si="164">IF(AB145&gt;0,(AB143/AB145),0)</f>
        <v>0</v>
      </c>
      <c r="K143" s="822">
        <f t="shared" ref="K143" si="165">IF(AC145&gt;0,(AC143/AC145),0)</f>
        <v>0</v>
      </c>
      <c r="L143" s="822">
        <f t="shared" ref="L143" si="166">IF(AD145&gt;0,(AD143/AD145),0)</f>
        <v>0</v>
      </c>
      <c r="M143" s="822">
        <f t="shared" ref="M143" si="167">IF(AE145&gt;0,(AE143/AE145),0)</f>
        <v>0.21052631578947367</v>
      </c>
      <c r="N143" s="822">
        <f t="shared" ref="N143" si="168">IF(AF145&gt;0,(AF143/AF145),0)</f>
        <v>0</v>
      </c>
      <c r="O143" s="824">
        <f t="shared" ref="O143" si="169">IF(AG145&gt;0,(AG143/AG145),0)</f>
        <v>0.21052631578947367</v>
      </c>
      <c r="P143" s="824">
        <f t="shared" ref="P143" si="170">IF(AH145&gt;0,(AH143/AH145),0)</f>
        <v>0</v>
      </c>
      <c r="Q143" s="822">
        <f t="shared" ref="Q143" si="171">IF(AI145&gt;0,(AI143/AI145),0)</f>
        <v>0</v>
      </c>
      <c r="R143" s="825">
        <f t="shared" ref="R143" si="172">IF(AJ145&gt;0,(AJ143/AJ145),0)</f>
        <v>0</v>
      </c>
      <c r="S143" s="824">
        <f t="shared" ref="S143" si="173">IF(AK145&gt;0,(AK143/AK145),0)</f>
        <v>0</v>
      </c>
      <c r="U143" s="349"/>
      <c r="V143" s="349"/>
      <c r="W143" s="349">
        <v>67</v>
      </c>
      <c r="X143" s="349"/>
      <c r="Y143" s="349"/>
      <c r="Z143" s="349"/>
      <c r="AA143" s="804">
        <v>67</v>
      </c>
      <c r="AB143" s="804"/>
      <c r="AC143" s="349"/>
      <c r="AD143" s="349"/>
      <c r="AE143" s="349">
        <v>4</v>
      </c>
      <c r="AF143" s="349"/>
      <c r="AG143" s="804">
        <v>4</v>
      </c>
      <c r="AH143" s="804"/>
      <c r="AI143" s="349"/>
      <c r="AJ143" s="813"/>
      <c r="AK143" s="804"/>
    </row>
    <row r="144" spans="1:39">
      <c r="A144" s="580"/>
      <c r="B144" s="580" t="s">
        <v>131</v>
      </c>
      <c r="C144" s="824">
        <f>IF(U145&gt;0,(U144/U145),0)</f>
        <v>0</v>
      </c>
      <c r="D144" s="822">
        <f t="shared" ref="D144" si="174">IF(V145&gt;0,(V144/V145),0)</f>
        <v>0</v>
      </c>
      <c r="E144" s="822">
        <f t="shared" ref="E144" si="175">IF(W145&gt;0,(W144/W145),0)</f>
        <v>3.5460992907801418E-3</v>
      </c>
      <c r="F144" s="822">
        <f t="shared" ref="F144" si="176">IF(X145&gt;0,(X144/X145),0)</f>
        <v>0</v>
      </c>
      <c r="G144" s="822">
        <f t="shared" ref="G144" si="177">IF(Y145&gt;0,(Y144/Y145),0)</f>
        <v>0.01</v>
      </c>
      <c r="H144" s="822">
        <f t="shared" ref="H144" si="178">IF(Z145&gt;0,(Z144/Z145),0)</f>
        <v>0</v>
      </c>
      <c r="I144" s="824">
        <f t="shared" ref="I144" si="179">IF(AA145&gt;0,(AA144/AA145),0)</f>
        <v>4.2283298097251587E-3</v>
      </c>
      <c r="J144" s="824">
        <f t="shared" ref="J144" si="180">IF(AB145&gt;0,(AB144/AB145),0)</f>
        <v>0</v>
      </c>
      <c r="K144" s="822">
        <f t="shared" ref="K144" si="181">IF(AC145&gt;0,(AC144/AC145),0)</f>
        <v>0</v>
      </c>
      <c r="L144" s="822">
        <f t="shared" ref="L144" si="182">IF(AD145&gt;0,(AD144/AD145),0)</f>
        <v>0</v>
      </c>
      <c r="M144" s="822">
        <f t="shared" ref="M144" si="183">IF(AE145&gt;0,(AE144/AE145),0)</f>
        <v>0</v>
      </c>
      <c r="N144" s="822">
        <f t="shared" ref="N144" si="184">IF(AF145&gt;0,(AF144/AF145),0)</f>
        <v>0</v>
      </c>
      <c r="O144" s="824">
        <f t="shared" ref="O144" si="185">IF(AG145&gt;0,(AG144/AG145),0)</f>
        <v>0</v>
      </c>
      <c r="P144" s="824">
        <f t="shared" ref="P144" si="186">IF(AH145&gt;0,(AH144/AH145),0)</f>
        <v>0</v>
      </c>
      <c r="Q144" s="822">
        <f t="shared" ref="Q144" si="187">IF(AI145&gt;0,(AI144/AI145),0)</f>
        <v>0</v>
      </c>
      <c r="R144" s="825">
        <f t="shared" ref="R144" si="188">IF(AJ145&gt;0,(AJ144/AJ145),0)</f>
        <v>0</v>
      </c>
      <c r="S144" s="824">
        <f t="shared" ref="S144" si="189">IF(AK145&gt;0,(AK144/AK145),0)</f>
        <v>0</v>
      </c>
      <c r="U144" s="349"/>
      <c r="V144" s="349"/>
      <c r="W144" s="349">
        <v>3</v>
      </c>
      <c r="X144" s="349"/>
      <c r="Y144" s="349">
        <v>1</v>
      </c>
      <c r="Z144" s="349"/>
      <c r="AA144" s="804">
        <v>4</v>
      </c>
      <c r="AB144" s="804"/>
      <c r="AC144" s="349"/>
      <c r="AD144" s="349"/>
      <c r="AE144" s="349"/>
      <c r="AF144" s="349"/>
      <c r="AG144" s="804"/>
      <c r="AH144" s="804"/>
      <c r="AI144" s="349"/>
      <c r="AJ144" s="813"/>
      <c r="AK144" s="804"/>
    </row>
    <row r="145" spans="1:37">
      <c r="A145" s="436"/>
      <c r="B145" s="435" t="s">
        <v>59</v>
      </c>
      <c r="C145" s="826">
        <f>IF(U145&gt;0,(U145/U145),0)</f>
        <v>0</v>
      </c>
      <c r="D145" s="827">
        <f t="shared" ref="D145" si="190">IF(V145&gt;0,(V145/V145),0)</f>
        <v>0</v>
      </c>
      <c r="E145" s="827">
        <f t="shared" ref="E145" si="191">IF(W145&gt;0,(W145/W145),0)</f>
        <v>1</v>
      </c>
      <c r="F145" s="827">
        <f t="shared" ref="F145" si="192">IF(X145&gt;0,(X145/X145),0)</f>
        <v>0</v>
      </c>
      <c r="G145" s="827">
        <f t="shared" ref="G145" si="193">IF(Y145&gt;0,(Y145/Y145),0)</f>
        <v>1</v>
      </c>
      <c r="H145" s="827">
        <f t="shared" ref="H145" si="194">IF(Z145&gt;0,(Z145/Z145),0)</f>
        <v>0</v>
      </c>
      <c r="I145" s="826">
        <f t="shared" ref="I145" si="195">IF(AA145&gt;0,(AA145/AA145),0)</f>
        <v>1</v>
      </c>
      <c r="J145" s="826">
        <f t="shared" ref="J145" si="196">IF(AB145&gt;0,(AB145/AB145),0)</f>
        <v>0</v>
      </c>
      <c r="K145" s="827">
        <f t="shared" ref="K145" si="197">IF(AC145&gt;0,(AC145/AC145),0)</f>
        <v>0</v>
      </c>
      <c r="L145" s="827">
        <f t="shared" ref="L145" si="198">IF(AD145&gt;0,(AD145/AD145),0)</f>
        <v>0</v>
      </c>
      <c r="M145" s="827">
        <f t="shared" ref="M145" si="199">IF(AE145&gt;0,(AE145/AE145),0)</f>
        <v>1</v>
      </c>
      <c r="N145" s="827">
        <f t="shared" ref="N145" si="200">IF(AF145&gt;0,(AF145/AF145),0)</f>
        <v>0</v>
      </c>
      <c r="O145" s="826">
        <f t="shared" ref="O145" si="201">IF(AG145&gt;0,(AG145/AG145),0)</f>
        <v>1</v>
      </c>
      <c r="P145" s="826">
        <f t="shared" ref="P145" si="202">IF(AH145&gt;0,(AH145/AH145),0)</f>
        <v>0</v>
      </c>
      <c r="Q145" s="827">
        <f t="shared" ref="Q145" si="203">IF(AI145&gt;0,(AI145/AI145),0)</f>
        <v>0</v>
      </c>
      <c r="R145" s="828">
        <f t="shared" ref="R145" si="204">IF(AJ145&gt;0,(AJ145/AJ145),0)</f>
        <v>0</v>
      </c>
      <c r="S145" s="826">
        <f t="shared" ref="S145" si="205">IF(AK145&gt;0,(AK145/AK145),0)</f>
        <v>0</v>
      </c>
      <c r="U145" s="816"/>
      <c r="V145" s="816"/>
      <c r="W145" s="816">
        <v>846</v>
      </c>
      <c r="X145" s="816"/>
      <c r="Y145" s="816">
        <v>100</v>
      </c>
      <c r="Z145" s="816"/>
      <c r="AA145" s="805">
        <v>946</v>
      </c>
      <c r="AB145" s="805"/>
      <c r="AC145" s="816"/>
      <c r="AD145" s="816"/>
      <c r="AE145" s="816">
        <v>19</v>
      </c>
      <c r="AF145" s="816"/>
      <c r="AG145" s="805">
        <v>19</v>
      </c>
      <c r="AH145" s="805"/>
      <c r="AI145" s="816"/>
      <c r="AJ145" s="817"/>
      <c r="AK145" s="805"/>
    </row>
    <row r="146" spans="1:37">
      <c r="A146" s="240" t="s">
        <v>137</v>
      </c>
      <c r="B146" s="240" t="s">
        <v>53</v>
      </c>
      <c r="C146" s="829">
        <f>IF(U151&gt;0,(U146/U151),0)</f>
        <v>0.40271772699197034</v>
      </c>
      <c r="D146" s="830">
        <f t="shared" ref="D146" si="206">IF(V151&gt;0,(V146/V151),0)</f>
        <v>0.33155792276964047</v>
      </c>
      <c r="E146" s="830">
        <f t="shared" ref="E146" si="207">IF(W151&gt;0,(W146/W151),0)</f>
        <v>0</v>
      </c>
      <c r="F146" s="830">
        <f t="shared" ref="F146" si="208">IF(X151&gt;0,(X146/X151),0)</f>
        <v>0.15625</v>
      </c>
      <c r="G146" s="830">
        <f t="shared" ref="G146" si="209">IF(Y151&gt;0,(Y146/Y151),0)</f>
        <v>0.20714285714285716</v>
      </c>
      <c r="H146" s="830">
        <f t="shared" ref="H146" si="210">IF(Z151&gt;0,(Z146/Z151),0)</f>
        <v>0</v>
      </c>
      <c r="I146" s="829">
        <f t="shared" ref="I146" si="211">IF(AA151&gt;0,(AA146/AA151),0)</f>
        <v>0.36383780190560605</v>
      </c>
      <c r="J146" s="829">
        <f t="shared" ref="J146" si="212">IF(AB151&gt;0,(AB146/AB151),0)</f>
        <v>0</v>
      </c>
      <c r="K146" s="830">
        <f t="shared" ref="K146" si="213">IF(AC151&gt;0,(AC146/AC151),0)</f>
        <v>0</v>
      </c>
      <c r="L146" s="830">
        <f t="shared" ref="L146" si="214">IF(AD151&gt;0,(AD146/AD151),0)</f>
        <v>0.10526315789473684</v>
      </c>
      <c r="M146" s="830">
        <f t="shared" ref="M146" si="215">IF(AE151&gt;0,(AE146/AE151),0)</f>
        <v>0</v>
      </c>
      <c r="N146" s="830">
        <f t="shared" ref="N146" si="216">IF(AF151&gt;0,(AF146/AF151),0)</f>
        <v>0</v>
      </c>
      <c r="O146" s="829">
        <f t="shared" ref="O146" si="217">IF(AG151&gt;0,(AG146/AG151),0)</f>
        <v>4.5059288537549404E-2</v>
      </c>
      <c r="P146" s="829">
        <f t="shared" ref="P146" si="218">IF(AH151&gt;0,(AH146/AH151),0)</f>
        <v>0</v>
      </c>
      <c r="Q146" s="830">
        <f t="shared" ref="Q146" si="219">IF(AI151&gt;0,(AI146/AI151),0)</f>
        <v>0</v>
      </c>
      <c r="R146" s="831">
        <f t="shared" ref="R146" si="220">IF(AJ151&gt;0,(AJ146/AJ151),0)</f>
        <v>0</v>
      </c>
      <c r="S146" s="829">
        <f t="shared" ref="S146" si="221">IF(AK151&gt;0,(AK146/AK151),0)</f>
        <v>0</v>
      </c>
      <c r="U146" s="349">
        <v>1304</v>
      </c>
      <c r="V146" s="349">
        <v>249</v>
      </c>
      <c r="W146" s="349"/>
      <c r="X146" s="349">
        <v>60</v>
      </c>
      <c r="Y146" s="349">
        <v>29</v>
      </c>
      <c r="Z146" s="349"/>
      <c r="AA146" s="803">
        <v>1642</v>
      </c>
      <c r="AB146" s="803"/>
      <c r="AC146" s="349"/>
      <c r="AD146" s="349">
        <v>114</v>
      </c>
      <c r="AE146" s="349"/>
      <c r="AF146" s="349"/>
      <c r="AG146" s="803">
        <v>114</v>
      </c>
      <c r="AH146" s="803"/>
      <c r="AI146" s="349"/>
      <c r="AJ146" s="812"/>
      <c r="AK146" s="803"/>
    </row>
    <row r="147" spans="1:37">
      <c r="A147" s="239"/>
      <c r="B147" s="239" t="s">
        <v>93</v>
      </c>
      <c r="C147" s="832">
        <f>IF(U151&gt;0,(U147/U151),0)</f>
        <v>0.24336009882643608</v>
      </c>
      <c r="D147" s="830">
        <f t="shared" ref="D147" si="222">IF(V151&gt;0,(V147/V151),0)</f>
        <v>0.2769640479360852</v>
      </c>
      <c r="E147" s="830">
        <f t="shared" ref="E147" si="223">IF(W151&gt;0,(W147/W151),0)</f>
        <v>0</v>
      </c>
      <c r="F147" s="830">
        <f t="shared" ref="F147" si="224">IF(X151&gt;0,(X147/X151),0)</f>
        <v>0.23697916666666666</v>
      </c>
      <c r="G147" s="830">
        <f t="shared" ref="G147" si="225">IF(Y151&gt;0,(Y147/Y151),0)</f>
        <v>0.2857142857142857</v>
      </c>
      <c r="H147" s="830">
        <f t="shared" ref="H147" si="226">IF(Z151&gt;0,(Z147/Z151),0)</f>
        <v>0</v>
      </c>
      <c r="I147" s="832">
        <f t="shared" ref="I147" si="227">IF(AA151&gt;0,(AA147/AA151),0)</f>
        <v>0.24972302237979171</v>
      </c>
      <c r="J147" s="832">
        <f t="shared" ref="J147" si="228">IF(AB151&gt;0,(AB147/AB151),0)</f>
        <v>0</v>
      </c>
      <c r="K147" s="830">
        <f t="shared" ref="K147" si="229">IF(AC151&gt;0,(AC147/AC151),0)</f>
        <v>0</v>
      </c>
      <c r="L147" s="830">
        <f t="shared" ref="L147" si="230">IF(AD151&gt;0,(AD147/AD151),0)</f>
        <v>0</v>
      </c>
      <c r="M147" s="830">
        <f t="shared" ref="M147" si="231">IF(AE151&gt;0,(AE147/AE151),0)</f>
        <v>9.0909090909090905E-3</v>
      </c>
      <c r="N147" s="830">
        <f t="shared" ref="N147" si="232">IF(AF151&gt;0,(AF147/AF151),0)</f>
        <v>0</v>
      </c>
      <c r="O147" s="832">
        <f t="shared" ref="O147" si="233">IF(AG151&gt;0,(AG147/AG151),0)</f>
        <v>3.9525691699604743E-4</v>
      </c>
      <c r="P147" s="832">
        <f t="shared" ref="P147" si="234">IF(AH151&gt;0,(AH147/AH151),0)</f>
        <v>0</v>
      </c>
      <c r="Q147" s="830">
        <f t="shared" ref="Q147" si="235">IF(AI151&gt;0,(AI147/AI151),0)</f>
        <v>0</v>
      </c>
      <c r="R147" s="833">
        <f t="shared" ref="R147" si="236">IF(AJ151&gt;0,(AJ147/AJ151),0)</f>
        <v>0</v>
      </c>
      <c r="S147" s="832">
        <f t="shared" ref="S147" si="237">IF(AK151&gt;0,(AK147/AK151),0)</f>
        <v>0</v>
      </c>
      <c r="U147" s="349">
        <v>788</v>
      </c>
      <c r="V147" s="349">
        <v>208</v>
      </c>
      <c r="W147" s="349"/>
      <c r="X147" s="349">
        <v>91</v>
      </c>
      <c r="Y147" s="349">
        <v>40</v>
      </c>
      <c r="Z147" s="349"/>
      <c r="AA147" s="804">
        <v>1127</v>
      </c>
      <c r="AB147" s="804"/>
      <c r="AC147" s="349"/>
      <c r="AD147" s="349"/>
      <c r="AE147" s="349">
        <v>1</v>
      </c>
      <c r="AF147" s="349"/>
      <c r="AG147" s="804">
        <v>1</v>
      </c>
      <c r="AH147" s="804"/>
      <c r="AI147" s="349"/>
      <c r="AJ147" s="813"/>
      <c r="AK147" s="804"/>
    </row>
    <row r="148" spans="1:37">
      <c r="A148" s="239"/>
      <c r="B148" s="239" t="s">
        <v>55</v>
      </c>
      <c r="C148" s="832">
        <f>IF(U151&gt;0,(U148/U151),0)</f>
        <v>0.211550339715874</v>
      </c>
      <c r="D148" s="830">
        <f t="shared" ref="D148" si="238">IF(V151&gt;0,(V148/V151),0)</f>
        <v>0.23302263648468707</v>
      </c>
      <c r="E148" s="830">
        <f t="shared" ref="E148" si="239">IF(W151&gt;0,(W148/W151),0)</f>
        <v>0</v>
      </c>
      <c r="F148" s="830">
        <f t="shared" ref="F148" si="240">IF(X151&gt;0,(X148/X151),0)</f>
        <v>0.29947916666666669</v>
      </c>
      <c r="G148" s="830">
        <f t="shared" ref="G148" si="241">IF(Y151&gt;0,(Y148/Y151),0)</f>
        <v>0.26428571428571429</v>
      </c>
      <c r="H148" s="830">
        <f t="shared" ref="H148" si="242">IF(Z151&gt;0,(Z148/Z151),0)</f>
        <v>0</v>
      </c>
      <c r="I148" s="832">
        <f t="shared" ref="I148" si="243">IF(AA151&gt;0,(AA148/AA151),0)</f>
        <v>0.22424108132062928</v>
      </c>
      <c r="J148" s="832">
        <f t="shared" ref="J148" si="244">IF(AB151&gt;0,(AB148/AB151),0)</f>
        <v>0</v>
      </c>
      <c r="K148" s="830">
        <f t="shared" ref="K148" si="245">IF(AC151&gt;0,(AC148/AC151),0)</f>
        <v>0</v>
      </c>
      <c r="L148" s="830">
        <f t="shared" ref="L148" si="246">IF(AD151&gt;0,(AD148/AD151),0)</f>
        <v>0</v>
      </c>
      <c r="M148" s="830">
        <f t="shared" ref="M148" si="247">IF(AE151&gt;0,(AE148/AE151),0)</f>
        <v>0</v>
      </c>
      <c r="N148" s="830">
        <f t="shared" ref="N148" si="248">IF(AF151&gt;0,(AF148/AF151),0)</f>
        <v>0</v>
      </c>
      <c r="O148" s="832">
        <f t="shared" ref="O148" si="249">IF(AG151&gt;0,(AG148/AG151),0)</f>
        <v>0</v>
      </c>
      <c r="P148" s="832">
        <f t="shared" ref="P148" si="250">IF(AH151&gt;0,(AH148/AH151),0)</f>
        <v>0</v>
      </c>
      <c r="Q148" s="830">
        <f t="shared" ref="Q148" si="251">IF(AI151&gt;0,(AI148/AI151),0)</f>
        <v>0</v>
      </c>
      <c r="R148" s="833">
        <f t="shared" ref="R148" si="252">IF(AJ151&gt;0,(AJ148/AJ151),0)</f>
        <v>0</v>
      </c>
      <c r="S148" s="832">
        <f t="shared" ref="S148" si="253">IF(AK151&gt;0,(AK148/AK151),0)</f>
        <v>0</v>
      </c>
      <c r="U148" s="349">
        <v>685</v>
      </c>
      <c r="V148" s="349">
        <v>175</v>
      </c>
      <c r="W148" s="349"/>
      <c r="X148" s="349">
        <v>115</v>
      </c>
      <c r="Y148" s="349">
        <v>37</v>
      </c>
      <c r="Z148" s="349"/>
      <c r="AA148" s="804">
        <v>1012</v>
      </c>
      <c r="AB148" s="804"/>
      <c r="AC148" s="349"/>
      <c r="AD148" s="349"/>
      <c r="AE148" s="349"/>
      <c r="AF148" s="349"/>
      <c r="AG148" s="804"/>
      <c r="AH148" s="804"/>
      <c r="AI148" s="349"/>
      <c r="AJ148" s="813"/>
      <c r="AK148" s="804"/>
    </row>
    <row r="149" spans="1:37">
      <c r="A149" s="239"/>
      <c r="B149" s="239" t="s">
        <v>78</v>
      </c>
      <c r="C149" s="832">
        <f>IF(U151&gt;0,(U149/U151),0)</f>
        <v>4.0148239654107472E-2</v>
      </c>
      <c r="D149" s="830">
        <f t="shared" ref="D149" si="254">IF(V151&gt;0,(V149/V151),0)</f>
        <v>9.5872170439414109E-2</v>
      </c>
      <c r="E149" s="830">
        <f t="shared" ref="E149" si="255">IF(W151&gt;0,(W149/W151),0)</f>
        <v>0</v>
      </c>
      <c r="F149" s="830">
        <f t="shared" ref="F149" si="256">IF(X151&gt;0,(X149/X151),0)</f>
        <v>7.8125E-3</v>
      </c>
      <c r="G149" s="830">
        <f t="shared" ref="G149" si="257">IF(Y151&gt;0,(Y149/Y151),0)</f>
        <v>4.2857142857142858E-2</v>
      </c>
      <c r="H149" s="830">
        <f t="shared" ref="H149" si="258">IF(Z151&gt;0,(Z149/Z151),0)</f>
        <v>0</v>
      </c>
      <c r="I149" s="832">
        <f t="shared" ref="I149" si="259">IF(AA151&gt;0,(AA149/AA151),0)</f>
        <v>4.6753822291158875E-2</v>
      </c>
      <c r="J149" s="832">
        <f t="shared" ref="J149" si="260">IF(AB151&gt;0,(AB149/AB151),0)</f>
        <v>0</v>
      </c>
      <c r="K149" s="830">
        <f t="shared" ref="K149" si="261">IF(AC151&gt;0,(AC149/AC151),0)</f>
        <v>0</v>
      </c>
      <c r="L149" s="830">
        <f t="shared" ref="L149" si="262">IF(AD151&gt;0,(AD149/AD151),0)</f>
        <v>0.23084025854108955</v>
      </c>
      <c r="M149" s="830">
        <f t="shared" ref="M149" si="263">IF(AE151&gt;0,(AE149/AE151),0)</f>
        <v>0.95454545454545459</v>
      </c>
      <c r="N149" s="830">
        <f t="shared" ref="N149" si="264">IF(AF151&gt;0,(AF149/AF151),0)</f>
        <v>1</v>
      </c>
      <c r="O149" s="832">
        <f t="shared" ref="O149" si="265">IF(AG151&gt;0,(AG149/AG151),0)</f>
        <v>0.14584980237154149</v>
      </c>
      <c r="P149" s="832">
        <f t="shared" ref="P149" si="266">IF(AH151&gt;0,(AH149/AH151),0)</f>
        <v>0</v>
      </c>
      <c r="Q149" s="830">
        <f t="shared" ref="Q149" si="267">IF(AI151&gt;0,(AI149/AI151),0)</f>
        <v>0</v>
      </c>
      <c r="R149" s="833">
        <f t="shared" ref="R149" si="268">IF(AJ151&gt;0,(AJ149/AJ151),0)</f>
        <v>0</v>
      </c>
      <c r="S149" s="832">
        <f t="shared" ref="S149" si="269">IF(AK151&gt;0,(AK149/AK151),0)</f>
        <v>0</v>
      </c>
      <c r="U149" s="349">
        <v>130</v>
      </c>
      <c r="V149" s="349">
        <v>72</v>
      </c>
      <c r="W149" s="349"/>
      <c r="X149" s="349">
        <v>3</v>
      </c>
      <c r="Y149" s="349">
        <v>6</v>
      </c>
      <c r="Z149" s="349"/>
      <c r="AA149" s="804">
        <v>211</v>
      </c>
      <c r="AB149" s="804"/>
      <c r="AC149" s="349"/>
      <c r="AD149" s="349">
        <v>250</v>
      </c>
      <c r="AE149" s="349">
        <v>105</v>
      </c>
      <c r="AF149" s="349">
        <v>14</v>
      </c>
      <c r="AG149" s="804">
        <v>369</v>
      </c>
      <c r="AH149" s="804"/>
      <c r="AI149" s="349"/>
      <c r="AJ149" s="813"/>
      <c r="AK149" s="804"/>
    </row>
    <row r="150" spans="1:37">
      <c r="A150" s="580"/>
      <c r="B150" s="580" t="s">
        <v>131</v>
      </c>
      <c r="C150" s="832">
        <f>IF(U151&gt;0,(U150/U151),0)</f>
        <v>0.10222359481161211</v>
      </c>
      <c r="D150" s="830">
        <f t="shared" ref="D150" si="270">IF(V151&gt;0,(V150/V151),0)</f>
        <v>6.2583222370173108E-2</v>
      </c>
      <c r="E150" s="830">
        <f t="shared" ref="E150" si="271">IF(W151&gt;0,(W150/W151),0)</f>
        <v>0</v>
      </c>
      <c r="F150" s="830">
        <f t="shared" ref="F150" si="272">IF(X151&gt;0,(X150/X151),0)</f>
        <v>0.29947916666666669</v>
      </c>
      <c r="G150" s="830">
        <f t="shared" ref="G150" si="273">IF(Y151&gt;0,(Y150/Y151),0)</f>
        <v>0.2</v>
      </c>
      <c r="H150" s="830">
        <f t="shared" ref="H150" si="274">IF(Z151&gt;0,(Z150/Z151),0)</f>
        <v>0</v>
      </c>
      <c r="I150" s="832">
        <f t="shared" ref="I150" si="275">IF(AA151&gt;0,(AA150/AA151),0)</f>
        <v>0.11544427210281409</v>
      </c>
      <c r="J150" s="832">
        <f t="shared" ref="J150" si="276">IF(AB151&gt;0,(AB150/AB151),0)</f>
        <v>0</v>
      </c>
      <c r="K150" s="830">
        <f t="shared" ref="K150" si="277">IF(AC151&gt;0,(AC150/AC151),0)</f>
        <v>1</v>
      </c>
      <c r="L150" s="830">
        <f t="shared" ref="L150" si="278">IF(AD151&gt;0,(AD150/AD151),0)</f>
        <v>0.66389658356417358</v>
      </c>
      <c r="M150" s="830">
        <f t="shared" ref="M150" si="279">IF(AE151&gt;0,(AE150/AE151),0)</f>
        <v>3.6363636363636362E-2</v>
      </c>
      <c r="N150" s="830">
        <f t="shared" ref="N150" si="280">IF(AF151&gt;0,(AF150/AF151),0)</f>
        <v>0</v>
      </c>
      <c r="O150" s="832">
        <f t="shared" ref="O150" si="281">IF(AG151&gt;0,(AG150/AG151),0)</f>
        <v>0.80869565217391304</v>
      </c>
      <c r="P150" s="832">
        <f t="shared" ref="P150" si="282">IF(AH151&gt;0,(AH150/AH151),0)</f>
        <v>0</v>
      </c>
      <c r="Q150" s="830">
        <f t="shared" ref="Q150" si="283">IF(AI151&gt;0,(AI150/AI151),0)</f>
        <v>0</v>
      </c>
      <c r="R150" s="833">
        <f t="shared" ref="R150" si="284">IF(AJ151&gt;0,(AJ150/AJ151),0)</f>
        <v>0</v>
      </c>
      <c r="S150" s="832">
        <f t="shared" ref="S150" si="285">IF(AK151&gt;0,(AK150/AK151),0)</f>
        <v>0</v>
      </c>
      <c r="U150" s="349">
        <v>331</v>
      </c>
      <c r="V150" s="349">
        <v>47</v>
      </c>
      <c r="W150" s="349"/>
      <c r="X150" s="349">
        <v>115</v>
      </c>
      <c r="Y150" s="349">
        <v>28</v>
      </c>
      <c r="Z150" s="349"/>
      <c r="AA150" s="804">
        <v>521</v>
      </c>
      <c r="AB150" s="804"/>
      <c r="AC150" s="349">
        <v>1323</v>
      </c>
      <c r="AD150" s="349">
        <v>719</v>
      </c>
      <c r="AE150" s="349">
        <v>4</v>
      </c>
      <c r="AF150" s="349"/>
      <c r="AG150" s="804">
        <v>2046</v>
      </c>
      <c r="AH150" s="804"/>
      <c r="AI150" s="349"/>
      <c r="AJ150" s="813"/>
      <c r="AK150" s="804"/>
    </row>
    <row r="151" spans="1:37">
      <c r="A151" s="436"/>
      <c r="B151" s="435" t="s">
        <v>59</v>
      </c>
      <c r="C151" s="834">
        <f>IF(U151&gt;0,(U151/U151),0)</f>
        <v>1</v>
      </c>
      <c r="D151" s="835">
        <f t="shared" ref="D151" si="286">IF(V151&gt;0,(V151/V151),0)</f>
        <v>1</v>
      </c>
      <c r="E151" s="835">
        <f t="shared" ref="E151" si="287">IF(W151&gt;0,(W151/W151),0)</f>
        <v>0</v>
      </c>
      <c r="F151" s="835">
        <f t="shared" ref="F151" si="288">IF(X151&gt;0,(X151/X151),0)</f>
        <v>1</v>
      </c>
      <c r="G151" s="835">
        <f t="shared" ref="G151" si="289">IF(Y151&gt;0,(Y151/Y151),0)</f>
        <v>1</v>
      </c>
      <c r="H151" s="835">
        <f t="shared" ref="H151" si="290">IF(Z151&gt;0,(Z151/Z151),0)</f>
        <v>0</v>
      </c>
      <c r="I151" s="834">
        <f t="shared" ref="I151" si="291">IF(AA151&gt;0,(AA151/AA151),0)</f>
        <v>1</v>
      </c>
      <c r="J151" s="834">
        <f t="shared" ref="J151" si="292">IF(AB151&gt;0,(AB151/AB151),0)</f>
        <v>0</v>
      </c>
      <c r="K151" s="835">
        <f t="shared" ref="K151" si="293">IF(AC151&gt;0,(AC151/AC151),0)</f>
        <v>1</v>
      </c>
      <c r="L151" s="835">
        <f t="shared" ref="L151" si="294">IF(AD151&gt;0,(AD151/AD151),0)</f>
        <v>1</v>
      </c>
      <c r="M151" s="835">
        <f t="shared" ref="M151" si="295">IF(AE151&gt;0,(AE151/AE151),0)</f>
        <v>1</v>
      </c>
      <c r="N151" s="835">
        <f t="shared" ref="N151" si="296">IF(AF151&gt;0,(AF151/AF151),0)</f>
        <v>1</v>
      </c>
      <c r="O151" s="834">
        <f t="shared" ref="O151" si="297">IF(AG151&gt;0,(AG151/AG151),0)</f>
        <v>1</v>
      </c>
      <c r="P151" s="834">
        <f t="shared" ref="P151" si="298">IF(AH151&gt;0,(AH151/AH151),0)</f>
        <v>0</v>
      </c>
      <c r="Q151" s="835">
        <f t="shared" ref="Q151" si="299">IF(AI151&gt;0,(AI151/AI151),0)</f>
        <v>0</v>
      </c>
      <c r="R151" s="836">
        <f t="shared" ref="R151" si="300">IF(AJ151&gt;0,(AJ151/AJ151),0)</f>
        <v>0</v>
      </c>
      <c r="S151" s="834">
        <f t="shared" ref="S151" si="301">IF(AK151&gt;0,(AK151/AK151),0)</f>
        <v>0</v>
      </c>
      <c r="U151" s="816">
        <v>3238</v>
      </c>
      <c r="V151" s="816">
        <v>751</v>
      </c>
      <c r="W151" s="816"/>
      <c r="X151" s="816">
        <v>384</v>
      </c>
      <c r="Y151" s="816">
        <v>140</v>
      </c>
      <c r="Z151" s="816"/>
      <c r="AA151" s="805">
        <v>4513</v>
      </c>
      <c r="AB151" s="805"/>
      <c r="AC151" s="816">
        <v>1323</v>
      </c>
      <c r="AD151" s="816">
        <v>1083</v>
      </c>
      <c r="AE151" s="816">
        <v>110</v>
      </c>
      <c r="AF151" s="816">
        <v>14</v>
      </c>
      <c r="AG151" s="805">
        <v>2530</v>
      </c>
      <c r="AH151" s="805"/>
      <c r="AI151" s="816"/>
      <c r="AJ151" s="817"/>
      <c r="AK151" s="805"/>
    </row>
    <row r="152" spans="1:37">
      <c r="A152" s="240" t="s">
        <v>138</v>
      </c>
      <c r="B152" s="240" t="s">
        <v>53</v>
      </c>
      <c r="C152" s="829">
        <f>IF(U157&gt;0,(U152/U157),0)</f>
        <v>0.52457116365322209</v>
      </c>
      <c r="D152" s="830">
        <f t="shared" ref="D152" si="302">IF(V157&gt;0,(V152/V157),0)</f>
        <v>0.40602115541090317</v>
      </c>
      <c r="E152" s="830">
        <f t="shared" ref="E152" si="303">IF(W157&gt;0,(W152/W157),0)</f>
        <v>0.40144080183754438</v>
      </c>
      <c r="F152" s="830">
        <f t="shared" ref="F152" si="304">IF(X157&gt;0,(X152/X157),0)</f>
        <v>0.37454100367197063</v>
      </c>
      <c r="G152" s="830">
        <f t="shared" ref="G152" si="305">IF(Y157&gt;0,(Y152/Y157),0)</f>
        <v>0.3125</v>
      </c>
      <c r="H152" s="830">
        <f t="shared" ref="H152" si="306">IF(Z157&gt;0,(Z152/Z157),0)</f>
        <v>0.17412935323383086</v>
      </c>
      <c r="I152" s="829">
        <f t="shared" ref="I152" si="307">IF(AA157&gt;0,(AA152/AA157),0)</f>
        <v>0.44949225013361838</v>
      </c>
      <c r="J152" s="829">
        <f t="shared" ref="J152" si="308">IF(AB157&gt;0,(AB152/AB157),0)</f>
        <v>0</v>
      </c>
      <c r="K152" s="830">
        <f t="shared" ref="K152" si="309">IF(AC157&gt;0,(AC152/AC157),0)</f>
        <v>4.1976980365605954E-3</v>
      </c>
      <c r="L152" s="830">
        <f t="shared" ref="L152" si="310">IF(AD157&gt;0,(AD152/AD157),0)</f>
        <v>1.0492567764500145E-2</v>
      </c>
      <c r="M152" s="830">
        <f t="shared" ref="M152" si="311">IF(AE157&gt;0,(AE152/AE157),0)</f>
        <v>0</v>
      </c>
      <c r="N152" s="830">
        <f t="shared" ref="N152" si="312">IF(AF157&gt;0,(AF152/AF157),0)</f>
        <v>0</v>
      </c>
      <c r="O152" s="829">
        <f t="shared" ref="O152" si="313">IF(AG157&gt;0,(AG152/AG157),0)</f>
        <v>5.2657030788243516E-3</v>
      </c>
      <c r="P152" s="829">
        <f t="shared" ref="P152" si="314">IF(AH157&gt;0,(AH152/AH157),0)</f>
        <v>0</v>
      </c>
      <c r="Q152" s="830">
        <f t="shared" ref="Q152" si="315">IF(AI157&gt;0,(AI152/AI157),0)</f>
        <v>0</v>
      </c>
      <c r="R152" s="831">
        <f t="shared" ref="R152" si="316">IF(AJ157&gt;0,(AJ152/AJ157),0)</f>
        <v>0</v>
      </c>
      <c r="S152" s="829">
        <f t="shared" ref="S152" si="317">IF(AK157&gt;0,(AK152/AK157),0)</f>
        <v>0</v>
      </c>
      <c r="U152" s="349">
        <v>4526</v>
      </c>
      <c r="V152" s="349">
        <v>499</v>
      </c>
      <c r="W152" s="349">
        <v>3845</v>
      </c>
      <c r="X152" s="349">
        <v>306</v>
      </c>
      <c r="Y152" s="349">
        <v>40</v>
      </c>
      <c r="Z152" s="349">
        <v>35</v>
      </c>
      <c r="AA152" s="803">
        <v>9251</v>
      </c>
      <c r="AB152" s="803"/>
      <c r="AC152" s="349">
        <v>62</v>
      </c>
      <c r="AD152" s="349">
        <v>36</v>
      </c>
      <c r="AE152" s="349"/>
      <c r="AF152" s="349"/>
      <c r="AG152" s="803">
        <v>98</v>
      </c>
      <c r="AH152" s="803"/>
      <c r="AI152" s="349"/>
      <c r="AJ152" s="812"/>
      <c r="AK152" s="803"/>
    </row>
    <row r="153" spans="1:37">
      <c r="A153" s="239"/>
      <c r="B153" s="239" t="s">
        <v>93</v>
      </c>
      <c r="C153" s="832">
        <f>IF(U157&gt;0,(U153/U157),0)</f>
        <v>0.17107093184979139</v>
      </c>
      <c r="D153" s="830">
        <f t="shared" ref="D153" si="318">IF(V157&gt;0,(V153/V157),0)</f>
        <v>0.23596419853539463</v>
      </c>
      <c r="E153" s="830">
        <f t="shared" ref="E153" si="319">IF(W157&gt;0,(W153/W157),0)</f>
        <v>0.20139903946544163</v>
      </c>
      <c r="F153" s="830">
        <f t="shared" ref="F153" si="320">IF(X157&gt;0,(X153/X157),0)</f>
        <v>0.24724602203182375</v>
      </c>
      <c r="G153" s="830">
        <f t="shared" ref="G153" si="321">IF(Y157&gt;0,(Y153/Y157),0)</f>
        <v>0.2265625</v>
      </c>
      <c r="H153" s="830">
        <f t="shared" ref="H153" si="322">IF(Z157&gt;0,(Z153/Z157),0)</f>
        <v>9.4527363184079602E-2</v>
      </c>
      <c r="I153" s="832">
        <f t="shared" ref="I153" si="323">IF(AA157&gt;0,(AA153/AA157),0)</f>
        <v>0.19168164812205432</v>
      </c>
      <c r="J153" s="832">
        <f t="shared" ref="J153" si="324">IF(AB157&gt;0,(AB153/AB157),0)</f>
        <v>0</v>
      </c>
      <c r="K153" s="830">
        <f t="shared" ref="K153" si="325">IF(AC157&gt;0,(AC153/AC157),0)</f>
        <v>5.4163845633039946E-4</v>
      </c>
      <c r="L153" s="830">
        <f t="shared" ref="L153" si="326">IF(AD157&gt;0,(AD153/AD157),0)</f>
        <v>6.7035849606528709E-3</v>
      </c>
      <c r="M153" s="830">
        <f t="shared" ref="M153" si="327">IF(AE157&gt;0,(AE153/AE157),0)</f>
        <v>0</v>
      </c>
      <c r="N153" s="830">
        <f t="shared" ref="N153" si="328">IF(AF157&gt;0,(AF153/AF157),0)</f>
        <v>0</v>
      </c>
      <c r="O153" s="832">
        <f t="shared" ref="O153" si="329">IF(AG157&gt;0,(AG153/AG157),0)</f>
        <v>1.6656815861587234E-3</v>
      </c>
      <c r="P153" s="832">
        <f t="shared" ref="P153" si="330">IF(AH157&gt;0,(AH153/AH157),0)</f>
        <v>0</v>
      </c>
      <c r="Q153" s="830">
        <f t="shared" ref="Q153" si="331">IF(AI157&gt;0,(AI153/AI157),0)</f>
        <v>0</v>
      </c>
      <c r="R153" s="833">
        <f t="shared" ref="R153" si="332">IF(AJ157&gt;0,(AJ153/AJ157),0)</f>
        <v>0</v>
      </c>
      <c r="S153" s="832">
        <f t="shared" ref="S153" si="333">IF(AK157&gt;0,(AK153/AK157),0)</f>
        <v>0</v>
      </c>
      <c r="U153" s="349">
        <v>1476</v>
      </c>
      <c r="V153" s="349">
        <v>290</v>
      </c>
      <c r="W153" s="349">
        <v>1929</v>
      </c>
      <c r="X153" s="349">
        <v>202</v>
      </c>
      <c r="Y153" s="349">
        <v>29</v>
      </c>
      <c r="Z153" s="349">
        <v>19</v>
      </c>
      <c r="AA153" s="804">
        <v>3945</v>
      </c>
      <c r="AB153" s="804"/>
      <c r="AC153" s="349">
        <v>8</v>
      </c>
      <c r="AD153" s="349">
        <v>23</v>
      </c>
      <c r="AE153" s="349"/>
      <c r="AF153" s="349"/>
      <c r="AG153" s="804">
        <v>31</v>
      </c>
      <c r="AH153" s="804"/>
      <c r="AI153" s="349"/>
      <c r="AJ153" s="813"/>
      <c r="AK153" s="804"/>
    </row>
    <row r="154" spans="1:37">
      <c r="A154" s="239"/>
      <c r="B154" s="239" t="s">
        <v>55</v>
      </c>
      <c r="C154" s="832">
        <f>IF(U157&gt;0,(U154/U157),0)</f>
        <v>0.18590635141400091</v>
      </c>
      <c r="D154" s="830">
        <f t="shared" ref="D154" si="334">IF(V157&gt;0,(V154/V157),0)</f>
        <v>0.21318144833197722</v>
      </c>
      <c r="E154" s="830">
        <f t="shared" ref="E154" si="335">IF(W157&gt;0,(W154/W157),0)</f>
        <v>0.25454165796617245</v>
      </c>
      <c r="F154" s="830">
        <f t="shared" ref="F154" si="336">IF(X157&gt;0,(X154/X157),0)</f>
        <v>0.24847001223990209</v>
      </c>
      <c r="G154" s="830">
        <f t="shared" ref="G154" si="337">IF(Y157&gt;0,(Y154/Y157),0)</f>
        <v>0.234375</v>
      </c>
      <c r="H154" s="830">
        <f t="shared" ref="H154" si="338">IF(Z157&gt;0,(Z154/Z157),0)</f>
        <v>0.40298507462686567</v>
      </c>
      <c r="I154" s="832">
        <f t="shared" ref="I154" si="339">IF(AA157&gt;0,(AA154/AA157),0)</f>
        <v>0.22438171128710946</v>
      </c>
      <c r="J154" s="832">
        <f t="shared" ref="J154" si="340">IF(AB157&gt;0,(AB154/AB157),0)</f>
        <v>0</v>
      </c>
      <c r="K154" s="830">
        <f t="shared" ref="K154" si="341">IF(AC157&gt;0,(AC154/AC157),0)</f>
        <v>9.4786729857819908E-4</v>
      </c>
      <c r="L154" s="830">
        <f t="shared" ref="L154" si="342">IF(AD157&gt;0,(AD154/AD157),0)</f>
        <v>6.1206645292917515E-3</v>
      </c>
      <c r="M154" s="830">
        <f t="shared" ref="M154" si="343">IF(AE157&gt;0,(AE154/AE157),0)</f>
        <v>0</v>
      </c>
      <c r="N154" s="830">
        <f t="shared" ref="N154" si="344">IF(AF157&gt;0,(AF154/AF157),0)</f>
        <v>0</v>
      </c>
      <c r="O154" s="832">
        <f t="shared" ref="O154" si="345">IF(AG157&gt;0,(AG154/AG157),0)</f>
        <v>1.8806082424372684E-3</v>
      </c>
      <c r="P154" s="832">
        <f t="shared" ref="P154" si="346">IF(AH157&gt;0,(AH154/AH157),0)</f>
        <v>0</v>
      </c>
      <c r="Q154" s="830">
        <f t="shared" ref="Q154" si="347">IF(AI157&gt;0,(AI154/AI157),0)</f>
        <v>0</v>
      </c>
      <c r="R154" s="833">
        <f t="shared" ref="R154" si="348">IF(AJ157&gt;0,(AJ154/AJ157),0)</f>
        <v>0</v>
      </c>
      <c r="S154" s="832">
        <f t="shared" ref="S154" si="349">IF(AK157&gt;0,(AK154/AK157),0)</f>
        <v>0</v>
      </c>
      <c r="U154" s="349">
        <v>1604</v>
      </c>
      <c r="V154" s="349">
        <v>262</v>
      </c>
      <c r="W154" s="349">
        <v>2438</v>
      </c>
      <c r="X154" s="349">
        <v>203</v>
      </c>
      <c r="Y154" s="349">
        <v>30</v>
      </c>
      <c r="Z154" s="349">
        <v>81</v>
      </c>
      <c r="AA154" s="804">
        <v>4618</v>
      </c>
      <c r="AB154" s="804"/>
      <c r="AC154" s="349">
        <v>14</v>
      </c>
      <c r="AD154" s="349">
        <v>21</v>
      </c>
      <c r="AE154" s="349"/>
      <c r="AF154" s="349"/>
      <c r="AG154" s="804">
        <v>35</v>
      </c>
      <c r="AH154" s="804"/>
      <c r="AI154" s="349"/>
      <c r="AJ154" s="813"/>
      <c r="AK154" s="804"/>
    </row>
    <row r="155" spans="1:37">
      <c r="A155" s="239"/>
      <c r="B155" s="239" t="s">
        <v>78</v>
      </c>
      <c r="C155" s="832">
        <f>IF(U157&gt;0,(U155/U157),0)</f>
        <v>1.1590171534538711E-4</v>
      </c>
      <c r="D155" s="830">
        <f t="shared" ref="D155" si="350">IF(V157&gt;0,(V155/V157),0)</f>
        <v>8.1366965012205042E-4</v>
      </c>
      <c r="E155" s="830">
        <f t="shared" ref="E155" si="351">IF(W157&gt;0,(W155/W157),0)</f>
        <v>3.1321779077051577E-4</v>
      </c>
      <c r="F155" s="830">
        <f t="shared" ref="F155" si="352">IF(X157&gt;0,(X155/X157),0)</f>
        <v>0</v>
      </c>
      <c r="G155" s="830">
        <f t="shared" ref="G155" si="353">IF(Y157&gt;0,(Y155/Y157),0)</f>
        <v>0</v>
      </c>
      <c r="H155" s="830">
        <f t="shared" ref="H155" si="354">IF(Z157&gt;0,(Z155/Z157),0)</f>
        <v>0</v>
      </c>
      <c r="I155" s="832">
        <f t="shared" ref="I155" si="355">IF(AA157&gt;0,(AA155/AA157),0)</f>
        <v>2.4294251979981537E-4</v>
      </c>
      <c r="J155" s="832">
        <f t="shared" ref="J155" si="356">IF(AB157&gt;0,(AB155/AB157),0)</f>
        <v>0</v>
      </c>
      <c r="K155" s="830">
        <f t="shared" ref="K155" si="357">IF(AC157&gt;0,(AC155/AC157),0)</f>
        <v>0.98612051455653349</v>
      </c>
      <c r="L155" s="830">
        <f t="shared" ref="L155" si="358">IF(AD157&gt;0,(AD155/AD157),0)</f>
        <v>0.96968813756922179</v>
      </c>
      <c r="M155" s="830">
        <f t="shared" ref="M155" si="359">IF(AE157&gt;0,(AE155/AE157),0)</f>
        <v>1</v>
      </c>
      <c r="N155" s="830">
        <f t="shared" ref="N155" si="360">IF(AF157&gt;0,(AF155/AF157),0)</f>
        <v>1</v>
      </c>
      <c r="O155" s="832">
        <f t="shared" ref="O155" si="361">IF(AG157&gt;0,(AG155/AG157),0)</f>
        <v>0.98339691580248245</v>
      </c>
      <c r="P155" s="832">
        <f t="shared" ref="P155" si="362">IF(AH157&gt;0,(AH155/AH157),0)</f>
        <v>0</v>
      </c>
      <c r="Q155" s="830">
        <f t="shared" ref="Q155" si="363">IF(AI157&gt;0,(AI155/AI157),0)</f>
        <v>0</v>
      </c>
      <c r="R155" s="833">
        <f t="shared" ref="R155" si="364">IF(AJ157&gt;0,(AJ155/AJ157),0)</f>
        <v>0</v>
      </c>
      <c r="S155" s="832">
        <f t="shared" ref="S155" si="365">IF(AK157&gt;0,(AK155/AK157),0)</f>
        <v>0</v>
      </c>
      <c r="U155" s="349">
        <v>1</v>
      </c>
      <c r="V155" s="349">
        <v>1</v>
      </c>
      <c r="W155" s="349">
        <v>3</v>
      </c>
      <c r="X155" s="349"/>
      <c r="Y155" s="349"/>
      <c r="Z155" s="349"/>
      <c r="AA155" s="804">
        <v>5</v>
      </c>
      <c r="AB155" s="804"/>
      <c r="AC155" s="349">
        <v>14565</v>
      </c>
      <c r="AD155" s="349">
        <v>3327</v>
      </c>
      <c r="AE155" s="349">
        <v>368</v>
      </c>
      <c r="AF155" s="349">
        <v>42</v>
      </c>
      <c r="AG155" s="804">
        <v>18302</v>
      </c>
      <c r="AH155" s="804"/>
      <c r="AI155" s="349"/>
      <c r="AJ155" s="813"/>
      <c r="AK155" s="804"/>
    </row>
    <row r="156" spans="1:37">
      <c r="A156" s="580"/>
      <c r="B156" s="580" t="s">
        <v>131</v>
      </c>
      <c r="C156" s="832">
        <f>IF(U157&gt;0,(U156/U157),0)</f>
        <v>0.11833565136764024</v>
      </c>
      <c r="D156" s="830">
        <f t="shared" ref="D156" si="366">IF(V157&gt;0,(V156/V157),0)</f>
        <v>0.14401952807160293</v>
      </c>
      <c r="E156" s="830">
        <f t="shared" ref="E156" si="367">IF(W157&gt;0,(W156/W157),0)</f>
        <v>0.142305282940071</v>
      </c>
      <c r="F156" s="830">
        <f t="shared" ref="F156" si="368">IF(X157&gt;0,(X156/X157),0)</f>
        <v>0.12974296205630356</v>
      </c>
      <c r="G156" s="830">
        <f t="shared" ref="G156" si="369">IF(Y157&gt;0,(Y156/Y157),0)</f>
        <v>0.2265625</v>
      </c>
      <c r="H156" s="830">
        <f t="shared" ref="H156" si="370">IF(Z157&gt;0,(Z156/Z157),0)</f>
        <v>0.32835820895522388</v>
      </c>
      <c r="I156" s="832">
        <f t="shared" ref="I156" si="371">IF(AA157&gt;0,(AA156/AA157),0)</f>
        <v>0.13420144793741801</v>
      </c>
      <c r="J156" s="832">
        <f t="shared" ref="J156" si="372">IF(AB157&gt;0,(AB156/AB157),0)</f>
        <v>0</v>
      </c>
      <c r="K156" s="830">
        <f t="shared" ref="K156" si="373">IF(AC157&gt;0,(AC156/AC157),0)</f>
        <v>8.1922816519972921E-3</v>
      </c>
      <c r="L156" s="830">
        <f t="shared" ref="L156" si="374">IF(AD157&gt;0,(AD156/AD157),0)</f>
        <v>6.9950451763334306E-3</v>
      </c>
      <c r="M156" s="830">
        <f t="shared" ref="M156" si="375">IF(AE157&gt;0,(AE156/AE157),0)</f>
        <v>0</v>
      </c>
      <c r="N156" s="830">
        <f t="shared" ref="N156" si="376">IF(AF157&gt;0,(AF156/AF157),0)</f>
        <v>0</v>
      </c>
      <c r="O156" s="832">
        <f t="shared" ref="O156" si="377">IF(AG157&gt;0,(AG156/AG157),0)</f>
        <v>7.7910912900972544E-3</v>
      </c>
      <c r="P156" s="832">
        <f t="shared" ref="P156" si="378">IF(AH157&gt;0,(AH156/AH157),0)</f>
        <v>0</v>
      </c>
      <c r="Q156" s="830">
        <f t="shared" ref="Q156" si="379">IF(AI157&gt;0,(AI156/AI157),0)</f>
        <v>0</v>
      </c>
      <c r="R156" s="833">
        <f t="shared" ref="R156" si="380">IF(AJ157&gt;0,(AJ156/AJ157),0)</f>
        <v>0</v>
      </c>
      <c r="S156" s="832">
        <f t="shared" ref="S156" si="381">IF(AK157&gt;0,(AK156/AK157),0)</f>
        <v>0</v>
      </c>
      <c r="U156" s="349">
        <v>1021</v>
      </c>
      <c r="V156" s="349">
        <v>177</v>
      </c>
      <c r="W156" s="349">
        <v>1363</v>
      </c>
      <c r="X156" s="349">
        <v>106</v>
      </c>
      <c r="Y156" s="349">
        <v>29</v>
      </c>
      <c r="Z156" s="349">
        <v>66</v>
      </c>
      <c r="AA156" s="804">
        <v>2762</v>
      </c>
      <c r="AB156" s="804"/>
      <c r="AC156" s="349">
        <v>121</v>
      </c>
      <c r="AD156" s="349">
        <v>24</v>
      </c>
      <c r="AE156" s="349"/>
      <c r="AF156" s="349"/>
      <c r="AG156" s="804">
        <v>145</v>
      </c>
      <c r="AH156" s="804"/>
      <c r="AI156" s="349"/>
      <c r="AJ156" s="813"/>
      <c r="AK156" s="804"/>
    </row>
    <row r="157" spans="1:37">
      <c r="A157" s="436"/>
      <c r="B157" s="436" t="s">
        <v>59</v>
      </c>
      <c r="C157" s="834">
        <f>IF(U157&gt;0,(U157/U157),0)</f>
        <v>1</v>
      </c>
      <c r="D157" s="835">
        <f t="shared" ref="D157" si="382">IF(V157&gt;0,(V157/V157),0)</f>
        <v>1</v>
      </c>
      <c r="E157" s="835">
        <f t="shared" ref="E157" si="383">IF(W157&gt;0,(W157/W157),0)</f>
        <v>1</v>
      </c>
      <c r="F157" s="835">
        <f t="shared" ref="F157" si="384">IF(X157&gt;0,(X157/X157),0)</f>
        <v>1</v>
      </c>
      <c r="G157" s="835">
        <f t="shared" ref="G157" si="385">IF(Y157&gt;0,(Y157/Y157),0)</f>
        <v>1</v>
      </c>
      <c r="H157" s="835">
        <f t="shared" ref="H157" si="386">IF(Z157&gt;0,(Z157/Z157),0)</f>
        <v>1</v>
      </c>
      <c r="I157" s="834">
        <f t="shared" ref="I157" si="387">IF(AA157&gt;0,(AA157/AA157),0)</f>
        <v>1</v>
      </c>
      <c r="J157" s="834">
        <f t="shared" ref="J157" si="388">IF(AB157&gt;0,(AB157/AB157),0)</f>
        <v>0</v>
      </c>
      <c r="K157" s="835">
        <f t="shared" ref="K157" si="389">IF(AC157&gt;0,(AC157/AC157),0)</f>
        <v>1</v>
      </c>
      <c r="L157" s="835">
        <f t="shared" ref="L157" si="390">IF(AD157&gt;0,(AD157/AD157),0)</f>
        <v>1</v>
      </c>
      <c r="M157" s="835">
        <f t="shared" ref="M157" si="391">IF(AE157&gt;0,(AE157/AE157),0)</f>
        <v>1</v>
      </c>
      <c r="N157" s="835">
        <f t="shared" ref="N157" si="392">IF(AF157&gt;0,(AF157/AF157),0)</f>
        <v>1</v>
      </c>
      <c r="O157" s="834">
        <f t="shared" ref="O157" si="393">IF(AG157&gt;0,(AG157/AG157),0)</f>
        <v>1</v>
      </c>
      <c r="P157" s="834">
        <f t="shared" ref="P157" si="394">IF(AH157&gt;0,(AH157/AH157),0)</f>
        <v>0</v>
      </c>
      <c r="Q157" s="835">
        <f t="shared" ref="Q157" si="395">IF(AI157&gt;0,(AI157/AI157),0)</f>
        <v>0</v>
      </c>
      <c r="R157" s="836">
        <f t="shared" ref="R157" si="396">IF(AJ157&gt;0,(AJ157/AJ157),0)</f>
        <v>0</v>
      </c>
      <c r="S157" s="834">
        <f t="shared" ref="S157" si="397">IF(AK157&gt;0,(AK157/AK157),0)</f>
        <v>0</v>
      </c>
      <c r="U157" s="816">
        <v>8628</v>
      </c>
      <c r="V157" s="816">
        <v>1229</v>
      </c>
      <c r="W157" s="816">
        <v>9578</v>
      </c>
      <c r="X157" s="816">
        <v>817</v>
      </c>
      <c r="Y157" s="816">
        <v>128</v>
      </c>
      <c r="Z157" s="816">
        <v>201</v>
      </c>
      <c r="AA157" s="805">
        <v>20581</v>
      </c>
      <c r="AB157" s="805"/>
      <c r="AC157" s="816">
        <v>14770</v>
      </c>
      <c r="AD157" s="816">
        <v>3431</v>
      </c>
      <c r="AE157" s="816">
        <v>368</v>
      </c>
      <c r="AF157" s="816">
        <v>42</v>
      </c>
      <c r="AG157" s="805">
        <v>18611</v>
      </c>
      <c r="AH157" s="805"/>
      <c r="AI157" s="816"/>
      <c r="AJ157" s="817"/>
      <c r="AK157" s="805"/>
    </row>
    <row r="158" spans="1:37">
      <c r="A158" s="240" t="s">
        <v>139</v>
      </c>
      <c r="B158" s="240" t="s">
        <v>53</v>
      </c>
      <c r="C158" s="829">
        <f>IF(U163&gt;0,(U158/U163),0)</f>
        <v>0.36669580419580422</v>
      </c>
      <c r="D158" s="830">
        <f t="shared" ref="D158" si="398">IF(V163&gt;0,(V158/V163),0)</f>
        <v>0.25946445060018469</v>
      </c>
      <c r="E158" s="830">
        <f t="shared" ref="E158" si="399">IF(W163&gt;0,(W158/W163),0)</f>
        <v>0.25506072874493929</v>
      </c>
      <c r="F158" s="830">
        <f t="shared" ref="F158" si="400">IF(X163&gt;0,(X158/X163),0)</f>
        <v>0</v>
      </c>
      <c r="G158" s="830">
        <f t="shared" ref="G158" si="401">IF(Y163&gt;0,(Y158/Y163),0)</f>
        <v>0.26277372262773724</v>
      </c>
      <c r="H158" s="830">
        <f t="shared" ref="H158" si="402">IF(Z163&gt;0,(Z158/Z163),0)</f>
        <v>0.29875518672199169</v>
      </c>
      <c r="I158" s="829">
        <f t="shared" ref="I158" si="403">IF(AA163&gt;0,(AA158/AA163),0)</f>
        <v>0.31775123558484347</v>
      </c>
      <c r="J158" s="829">
        <f t="shared" ref="J158" si="404">IF(AB163&gt;0,(AB158/AB163),0)</f>
        <v>0</v>
      </c>
      <c r="K158" s="830">
        <f t="shared" ref="K158" si="405">IF(AC163&gt;0,(AC158/AC163),0)</f>
        <v>0</v>
      </c>
      <c r="L158" s="830">
        <f t="shared" ref="L158" si="406">IF(AD163&gt;0,(AD158/AD163),0)</f>
        <v>0.20077972709551656</v>
      </c>
      <c r="M158" s="830">
        <f t="shared" ref="M158" si="407">IF(AE163&gt;0,(AE158/AE163),0)</f>
        <v>2.7149321266968326E-2</v>
      </c>
      <c r="N158" s="830">
        <f t="shared" ref="N158" si="408">IF(AF163&gt;0,(AF158/AF163),0)</f>
        <v>0</v>
      </c>
      <c r="O158" s="829">
        <f t="shared" ref="O158" si="409">IF(AG163&gt;0,(AG158/AG163),0)</f>
        <v>0.10009182736455463</v>
      </c>
      <c r="P158" s="829">
        <f t="shared" ref="P158" si="410">IF(AH163&gt;0,(AH158/AH163),0)</f>
        <v>0</v>
      </c>
      <c r="Q158" s="830">
        <f t="shared" ref="Q158" si="411">IF(AI163&gt;0,(AI158/AI163),0)</f>
        <v>0</v>
      </c>
      <c r="R158" s="831">
        <f t="shared" ref="R158" si="412">IF(AJ163&gt;0,(AJ158/AJ163),0)</f>
        <v>0</v>
      </c>
      <c r="S158" s="829">
        <f t="shared" ref="S158" si="413">IF(AK163&gt;0,(AK158/AK163),0)</f>
        <v>0</v>
      </c>
      <c r="U158" s="349">
        <v>839</v>
      </c>
      <c r="V158" s="349">
        <v>281</v>
      </c>
      <c r="W158" s="349">
        <v>63</v>
      </c>
      <c r="X158" s="349"/>
      <c r="Y158" s="349">
        <v>72</v>
      </c>
      <c r="Z158" s="349">
        <v>288</v>
      </c>
      <c r="AA158" s="803">
        <v>1543</v>
      </c>
      <c r="AB158" s="803"/>
      <c r="AC158" s="349"/>
      <c r="AD158" s="349">
        <v>103</v>
      </c>
      <c r="AE158" s="349">
        <v>6</v>
      </c>
      <c r="AF158" s="349"/>
      <c r="AG158" s="803">
        <v>109</v>
      </c>
      <c r="AH158" s="803"/>
      <c r="AI158" s="349"/>
      <c r="AJ158" s="812"/>
      <c r="AK158" s="803"/>
    </row>
    <row r="159" spans="1:37">
      <c r="A159" s="239"/>
      <c r="B159" s="239" t="s">
        <v>93</v>
      </c>
      <c r="C159" s="832">
        <f>IF(U163&gt;0,(U159/U163),0)</f>
        <v>0.25305944055944057</v>
      </c>
      <c r="D159" s="830">
        <f t="shared" ref="D159" si="414">IF(V163&gt;0,(V159/V163),0)</f>
        <v>0.24376731301939059</v>
      </c>
      <c r="E159" s="830">
        <f t="shared" ref="E159" si="415">IF(W163&gt;0,(W159/W163),0)</f>
        <v>0.19838056680161945</v>
      </c>
      <c r="F159" s="830">
        <f t="shared" ref="F159" si="416">IF(X163&gt;0,(X159/X163),0)</f>
        <v>0</v>
      </c>
      <c r="G159" s="830">
        <f t="shared" ref="G159" si="417">IF(Y163&gt;0,(Y159/Y163),0)</f>
        <v>0.23357664233576642</v>
      </c>
      <c r="H159" s="830">
        <f t="shared" ref="H159" si="418">IF(Z163&gt;0,(Z159/Z163),0)</f>
        <v>0.2074688796680498</v>
      </c>
      <c r="I159" s="832">
        <f t="shared" ref="I159" si="419">IF(AA163&gt;0,(AA159/AA163),0)</f>
        <v>0.23805601317957167</v>
      </c>
      <c r="J159" s="832">
        <f t="shared" ref="J159" si="420">IF(AB163&gt;0,(AB159/AB163),0)</f>
        <v>0</v>
      </c>
      <c r="K159" s="830">
        <f t="shared" ref="K159" si="421">IF(AC163&gt;0,(AC159/AC163),0)</f>
        <v>0</v>
      </c>
      <c r="L159" s="830">
        <f t="shared" ref="L159" si="422">IF(AD163&gt;0,(AD159/AD163),0)</f>
        <v>0.1189083820662768</v>
      </c>
      <c r="M159" s="830">
        <f t="shared" ref="M159" si="423">IF(AE163&gt;0,(AE159/AE163),0)</f>
        <v>4.072398190045249E-2</v>
      </c>
      <c r="N159" s="830">
        <f t="shared" ref="N159" si="424">IF(AF163&gt;0,(AF159/AF163),0)</f>
        <v>0</v>
      </c>
      <c r="O159" s="832">
        <f t="shared" ref="O159" si="425">IF(AG163&gt;0,(AG159/AG163),0)</f>
        <v>6.4279155188246104E-2</v>
      </c>
      <c r="P159" s="832">
        <f t="shared" ref="P159" si="426">IF(AH163&gt;0,(AH159/AH163),0)</f>
        <v>0</v>
      </c>
      <c r="Q159" s="830">
        <f t="shared" ref="Q159" si="427">IF(AI163&gt;0,(AI159/AI163),0)</f>
        <v>0</v>
      </c>
      <c r="R159" s="833">
        <f t="shared" ref="R159" si="428">IF(AJ163&gt;0,(AJ159/AJ163),0)</f>
        <v>0</v>
      </c>
      <c r="S159" s="832">
        <f t="shared" ref="S159" si="429">IF(AK163&gt;0,(AK159/AK163),0)</f>
        <v>0</v>
      </c>
      <c r="U159" s="349">
        <v>579</v>
      </c>
      <c r="V159" s="349">
        <v>264</v>
      </c>
      <c r="W159" s="349">
        <v>49</v>
      </c>
      <c r="X159" s="349"/>
      <c r="Y159" s="349">
        <v>64</v>
      </c>
      <c r="Z159" s="349">
        <v>200</v>
      </c>
      <c r="AA159" s="804">
        <v>1156</v>
      </c>
      <c r="AB159" s="804"/>
      <c r="AC159" s="349"/>
      <c r="AD159" s="349">
        <v>61</v>
      </c>
      <c r="AE159" s="349">
        <v>9</v>
      </c>
      <c r="AF159" s="349"/>
      <c r="AG159" s="804">
        <v>70</v>
      </c>
      <c r="AH159" s="804"/>
      <c r="AI159" s="349"/>
      <c r="AJ159" s="813"/>
      <c r="AK159" s="804"/>
    </row>
    <row r="160" spans="1:37">
      <c r="A160" s="239"/>
      <c r="B160" s="239" t="s">
        <v>55</v>
      </c>
      <c r="C160" s="832">
        <f>IF(U163&gt;0,(U160/U163),0)</f>
        <v>0.24781468531468531</v>
      </c>
      <c r="D160" s="830">
        <f t="shared" ref="D160" si="430">IF(V163&gt;0,(V160/V163),0)</f>
        <v>0.19298245614035087</v>
      </c>
      <c r="E160" s="830">
        <f t="shared" ref="E160" si="431">IF(W163&gt;0,(W160/W163),0)</f>
        <v>0.22267206477732793</v>
      </c>
      <c r="F160" s="830">
        <f t="shared" ref="F160" si="432">IF(X163&gt;0,(X160/X163),0)</f>
        <v>0</v>
      </c>
      <c r="G160" s="830">
        <f t="shared" ref="G160" si="433">IF(Y163&gt;0,(Y160/Y163),0)</f>
        <v>0.32481751824817517</v>
      </c>
      <c r="H160" s="830">
        <f t="shared" ref="H160" si="434">IF(Z163&gt;0,(Z160/Z163),0)</f>
        <v>0.24170124481327801</v>
      </c>
      <c r="I160" s="832">
        <f t="shared" ref="I160" si="435">IF(AA163&gt;0,(AA160/AA163),0)</f>
        <v>0.23743822075782536</v>
      </c>
      <c r="J160" s="832">
        <f t="shared" ref="J160" si="436">IF(AB163&gt;0,(AB160/AB163),0)</f>
        <v>0</v>
      </c>
      <c r="K160" s="830">
        <f t="shared" ref="K160" si="437">IF(AC163&gt;0,(AC160/AC163),0)</f>
        <v>0</v>
      </c>
      <c r="L160" s="830">
        <f t="shared" ref="L160" si="438">IF(AD163&gt;0,(AD160/AD163),0)</f>
        <v>0.23196881091617932</v>
      </c>
      <c r="M160" s="830">
        <f t="shared" ref="M160" si="439">IF(AE163&gt;0,(AE160/AE163),0)</f>
        <v>9.9547511312217188E-2</v>
      </c>
      <c r="N160" s="830">
        <f t="shared" ref="N160" si="440">IF(AF163&gt;0,(AF160/AF163),0)</f>
        <v>0</v>
      </c>
      <c r="O160" s="832">
        <f t="shared" ref="O160" si="441">IF(AG163&gt;0,(AG160/AG163),0)</f>
        <v>0.12947658402203857</v>
      </c>
      <c r="P160" s="832">
        <f t="shared" ref="P160" si="442">IF(AH163&gt;0,(AH160/AH163),0)</f>
        <v>0</v>
      </c>
      <c r="Q160" s="830">
        <f t="shared" ref="Q160" si="443">IF(AI163&gt;0,(AI160/AI163),0)</f>
        <v>0</v>
      </c>
      <c r="R160" s="833">
        <f t="shared" ref="R160" si="444">IF(AJ163&gt;0,(AJ160/AJ163),0)</f>
        <v>0</v>
      </c>
      <c r="S160" s="832">
        <f t="shared" ref="S160" si="445">IF(AK163&gt;0,(AK160/AK163),0)</f>
        <v>0</v>
      </c>
      <c r="U160" s="349">
        <v>567</v>
      </c>
      <c r="V160" s="349">
        <v>209</v>
      </c>
      <c r="W160" s="349">
        <v>55</v>
      </c>
      <c r="X160" s="349"/>
      <c r="Y160" s="349">
        <v>89</v>
      </c>
      <c r="Z160" s="349">
        <v>233</v>
      </c>
      <c r="AA160" s="804">
        <v>1153</v>
      </c>
      <c r="AB160" s="804"/>
      <c r="AC160" s="349"/>
      <c r="AD160" s="349">
        <v>119</v>
      </c>
      <c r="AE160" s="349">
        <v>22</v>
      </c>
      <c r="AF160" s="349"/>
      <c r="AG160" s="804">
        <v>141</v>
      </c>
      <c r="AH160" s="804"/>
      <c r="AI160" s="349"/>
      <c r="AJ160" s="813"/>
      <c r="AK160" s="804"/>
    </row>
    <row r="161" spans="1:37">
      <c r="A161" s="239"/>
      <c r="B161" s="239" t="s">
        <v>78</v>
      </c>
      <c r="C161" s="832">
        <f>IF(U163&gt;0,(U161/U163),0)</f>
        <v>0.11625874125874126</v>
      </c>
      <c r="D161" s="830">
        <f t="shared" ref="D161" si="446">IF(V163&gt;0,(V161/V163),0)</f>
        <v>0.19667590027700832</v>
      </c>
      <c r="E161" s="830">
        <f t="shared" ref="E161" si="447">IF(W163&gt;0,(W161/W163),0)</f>
        <v>0.30769230769230771</v>
      </c>
      <c r="F161" s="830">
        <f t="shared" ref="F161" si="448">IF(X163&gt;0,(X161/X163),0)</f>
        <v>0</v>
      </c>
      <c r="G161" s="830">
        <f t="shared" ref="G161" si="449">IF(Y163&gt;0,(Y161/Y163),0)</f>
        <v>2.9197080291970802E-2</v>
      </c>
      <c r="H161" s="830">
        <f t="shared" ref="H161" si="450">IF(Z163&gt;0,(Z161/Z163),0)</f>
        <v>6.4315352697095429E-2</v>
      </c>
      <c r="I161" s="832">
        <f t="shared" ref="I161" si="451">IF(AA163&gt;0,(AA161/AA163),0)</f>
        <v>0.12870675453047775</v>
      </c>
      <c r="J161" s="832">
        <f t="shared" ref="J161" si="452">IF(AB163&gt;0,(AB161/AB163),0)</f>
        <v>0</v>
      </c>
      <c r="K161" s="830">
        <f t="shared" ref="K161" si="453">IF(AC163&gt;0,(AC161/AC163),0)</f>
        <v>0.55492957746478877</v>
      </c>
      <c r="L161" s="830">
        <f t="shared" ref="L161" si="454">IF(AD163&gt;0,(AD161/AD163),0)</f>
        <v>0.24756335282651071</v>
      </c>
      <c r="M161" s="830">
        <f t="shared" ref="M161" si="455">IF(AE163&gt;0,(AE161/AE163),0)</f>
        <v>0.25791855203619912</v>
      </c>
      <c r="N161" s="830">
        <f t="shared" ref="N161" si="456">IF(AF163&gt;0,(AF161/AF163),0)</f>
        <v>0</v>
      </c>
      <c r="O161" s="832">
        <f t="shared" ref="O161" si="457">IF(AG163&gt;0,(AG161/AG163),0)</f>
        <v>0.34986225895316803</v>
      </c>
      <c r="P161" s="832">
        <f t="shared" ref="P161" si="458">IF(AH163&gt;0,(AH161/AH163),0)</f>
        <v>0</v>
      </c>
      <c r="Q161" s="830">
        <f t="shared" ref="Q161" si="459">IF(AI163&gt;0,(AI161/AI163),0)</f>
        <v>0</v>
      </c>
      <c r="R161" s="833">
        <f t="shared" ref="R161" si="460">IF(AJ163&gt;0,(AJ161/AJ163),0)</f>
        <v>0</v>
      </c>
      <c r="S161" s="832">
        <f t="shared" ref="S161" si="461">IF(AK163&gt;0,(AK161/AK163),0)</f>
        <v>0</v>
      </c>
      <c r="U161" s="349">
        <v>266</v>
      </c>
      <c r="V161" s="349">
        <v>213</v>
      </c>
      <c r="W161" s="349">
        <v>76</v>
      </c>
      <c r="X161" s="349"/>
      <c r="Y161" s="349">
        <v>8</v>
      </c>
      <c r="Z161" s="349">
        <v>62</v>
      </c>
      <c r="AA161" s="804">
        <v>625</v>
      </c>
      <c r="AB161" s="804"/>
      <c r="AC161" s="349">
        <v>197</v>
      </c>
      <c r="AD161" s="349">
        <v>127</v>
      </c>
      <c r="AE161" s="349">
        <v>57</v>
      </c>
      <c r="AF161" s="349"/>
      <c r="AG161" s="804">
        <v>381</v>
      </c>
      <c r="AH161" s="804"/>
      <c r="AI161" s="349"/>
      <c r="AJ161" s="813"/>
      <c r="AK161" s="804"/>
    </row>
    <row r="162" spans="1:37">
      <c r="A162" s="580"/>
      <c r="B162" s="580" t="s">
        <v>131</v>
      </c>
      <c r="C162" s="832">
        <f>IF(U163&gt;0,(U162/U163),0)</f>
        <v>1.6171328671328672E-2</v>
      </c>
      <c r="D162" s="830">
        <f t="shared" ref="D162" si="462">IF(V163&gt;0,(V162/V163),0)</f>
        <v>0.10710987996306556</v>
      </c>
      <c r="E162" s="830">
        <f t="shared" ref="E162" si="463">IF(W163&gt;0,(W162/W163),0)</f>
        <v>1.6194331983805668E-2</v>
      </c>
      <c r="F162" s="830">
        <f t="shared" ref="F162" si="464">IF(X163&gt;0,(X162/X163),0)</f>
        <v>0</v>
      </c>
      <c r="G162" s="830">
        <f t="shared" ref="G162" si="465">IF(Y163&gt;0,(Y162/Y163),0)</f>
        <v>0.14963503649635038</v>
      </c>
      <c r="H162" s="830">
        <f t="shared" ref="H162" si="466">IF(Z163&gt;0,(Z162/Z163),0)</f>
        <v>0.18775933609958506</v>
      </c>
      <c r="I162" s="832">
        <f t="shared" ref="I162" si="467">IF(AA163&gt;0,(AA162/AA163),0)</f>
        <v>7.8047775947281711E-2</v>
      </c>
      <c r="J162" s="832">
        <f t="shared" ref="J162" si="468">IF(AB163&gt;0,(AB162/AB163),0)</f>
        <v>0</v>
      </c>
      <c r="K162" s="830">
        <f t="shared" ref="K162" si="469">IF(AC163&gt;0,(AC162/AC163),0)</f>
        <v>0.44507042253521129</v>
      </c>
      <c r="L162" s="830">
        <f t="shared" ref="L162" si="470">IF(AD163&gt;0,(AD162/AD163),0)</f>
        <v>0.20077972709551656</v>
      </c>
      <c r="M162" s="830">
        <f t="shared" ref="M162" si="471">IF(AE163&gt;0,(AE162/AE163),0)</f>
        <v>0.57466063348416285</v>
      </c>
      <c r="N162" s="830">
        <f t="shared" ref="N162" si="472">IF(AF163&gt;0,(AF162/AF163),0)</f>
        <v>0</v>
      </c>
      <c r="O162" s="832">
        <f t="shared" ref="O162" si="473">IF(AG163&gt;0,(AG162/AG163),0)</f>
        <v>0.35629017447199263</v>
      </c>
      <c r="P162" s="832">
        <f t="shared" ref="P162" si="474">IF(AH163&gt;0,(AH162/AH163),0)</f>
        <v>0</v>
      </c>
      <c r="Q162" s="830">
        <f t="shared" ref="Q162" si="475">IF(AI163&gt;0,(AI162/AI163),0)</f>
        <v>0</v>
      </c>
      <c r="R162" s="833">
        <f t="shared" ref="R162" si="476">IF(AJ163&gt;0,(AJ162/AJ163),0)</f>
        <v>0</v>
      </c>
      <c r="S162" s="832">
        <f t="shared" ref="S162" si="477">IF(AK163&gt;0,(AK162/AK163),0)</f>
        <v>0</v>
      </c>
      <c r="U162" s="349">
        <v>37</v>
      </c>
      <c r="V162" s="349">
        <v>116</v>
      </c>
      <c r="W162" s="349">
        <v>4</v>
      </c>
      <c r="X162" s="349"/>
      <c r="Y162" s="349">
        <v>41</v>
      </c>
      <c r="Z162" s="349">
        <v>181</v>
      </c>
      <c r="AA162" s="804">
        <v>379</v>
      </c>
      <c r="AB162" s="804"/>
      <c r="AC162" s="349">
        <v>158</v>
      </c>
      <c r="AD162" s="349">
        <v>103</v>
      </c>
      <c r="AE162" s="349">
        <v>127</v>
      </c>
      <c r="AF162" s="349"/>
      <c r="AG162" s="804">
        <v>388</v>
      </c>
      <c r="AH162" s="804"/>
      <c r="AI162" s="349"/>
      <c r="AJ162" s="813"/>
      <c r="AK162" s="804"/>
    </row>
    <row r="163" spans="1:37">
      <c r="A163" s="436"/>
      <c r="B163" s="436" t="s">
        <v>59</v>
      </c>
      <c r="C163" s="834">
        <f>IF(U163&gt;0,(U163/U163),0)</f>
        <v>1</v>
      </c>
      <c r="D163" s="835">
        <f t="shared" ref="D163" si="478">IF(V163&gt;0,(V163/V163),0)</f>
        <v>1</v>
      </c>
      <c r="E163" s="835">
        <f t="shared" ref="E163" si="479">IF(W163&gt;0,(W163/W163),0)</f>
        <v>1</v>
      </c>
      <c r="F163" s="835">
        <f t="shared" ref="F163" si="480">IF(X163&gt;0,(X163/X163),0)</f>
        <v>0</v>
      </c>
      <c r="G163" s="835">
        <f t="shared" ref="G163" si="481">IF(Y163&gt;0,(Y163/Y163),0)</f>
        <v>1</v>
      </c>
      <c r="H163" s="835">
        <f t="shared" ref="H163" si="482">IF(Z163&gt;0,(Z163/Z163),0)</f>
        <v>1</v>
      </c>
      <c r="I163" s="834">
        <f t="shared" ref="I163" si="483">IF(AA163&gt;0,(AA163/AA163),0)</f>
        <v>1</v>
      </c>
      <c r="J163" s="834">
        <f t="shared" ref="J163" si="484">IF(AB163&gt;0,(AB163/AB163),0)</f>
        <v>0</v>
      </c>
      <c r="K163" s="835">
        <f t="shared" ref="K163" si="485">IF(AC163&gt;0,(AC163/AC163),0)</f>
        <v>1</v>
      </c>
      <c r="L163" s="835">
        <f t="shared" ref="L163" si="486">IF(AD163&gt;0,(AD163/AD163),0)</f>
        <v>1</v>
      </c>
      <c r="M163" s="835">
        <f t="shared" ref="M163" si="487">IF(AE163&gt;0,(AE163/AE163),0)</f>
        <v>1</v>
      </c>
      <c r="N163" s="835">
        <f t="shared" ref="N163" si="488">IF(AF163&gt;0,(AF163/AF163),0)</f>
        <v>0</v>
      </c>
      <c r="O163" s="834">
        <f t="shared" ref="O163" si="489">IF(AG163&gt;0,(AG163/AG163),0)</f>
        <v>1</v>
      </c>
      <c r="P163" s="834">
        <f t="shared" ref="P163" si="490">IF(AH163&gt;0,(AH163/AH163),0)</f>
        <v>0</v>
      </c>
      <c r="Q163" s="835">
        <f t="shared" ref="Q163" si="491">IF(AI163&gt;0,(AI163/AI163),0)</f>
        <v>0</v>
      </c>
      <c r="R163" s="836">
        <f t="shared" ref="R163" si="492">IF(AJ163&gt;0,(AJ163/AJ163),0)</f>
        <v>0</v>
      </c>
      <c r="S163" s="834">
        <f t="shared" ref="S163" si="493">IF(AK163&gt;0,(AK163/AK163),0)</f>
        <v>0</v>
      </c>
      <c r="U163" s="816">
        <v>2288</v>
      </c>
      <c r="V163" s="816">
        <v>1083</v>
      </c>
      <c r="W163" s="816">
        <v>247</v>
      </c>
      <c r="X163" s="816"/>
      <c r="Y163" s="816">
        <v>274</v>
      </c>
      <c r="Z163" s="816">
        <v>964</v>
      </c>
      <c r="AA163" s="805">
        <v>4856</v>
      </c>
      <c r="AB163" s="805"/>
      <c r="AC163" s="816">
        <v>355</v>
      </c>
      <c r="AD163" s="816">
        <v>513</v>
      </c>
      <c r="AE163" s="816">
        <v>221</v>
      </c>
      <c r="AF163" s="816"/>
      <c r="AG163" s="805">
        <v>1089</v>
      </c>
      <c r="AH163" s="805"/>
      <c r="AI163" s="816"/>
      <c r="AJ163" s="817"/>
      <c r="AK163" s="805"/>
    </row>
    <row r="164" spans="1:37">
      <c r="A164" s="240" t="s">
        <v>141</v>
      </c>
      <c r="B164" s="240" t="s">
        <v>53</v>
      </c>
      <c r="C164" s="829">
        <f>IF(U169&gt;0,(U164/U169),0)</f>
        <v>0.40393208221626453</v>
      </c>
      <c r="D164" s="830">
        <f t="shared" ref="D164" si="494">IF(V169&gt;0,(V164/V169),0)</f>
        <v>0</v>
      </c>
      <c r="E164" s="830">
        <f t="shared" ref="E164" si="495">IF(W169&gt;0,(W164/W169),0)</f>
        <v>0</v>
      </c>
      <c r="F164" s="830">
        <f t="shared" ref="F164" si="496">IF(X169&gt;0,(X164/X169),0)</f>
        <v>0</v>
      </c>
      <c r="G164" s="830">
        <f t="shared" ref="G164" si="497">IF(Y169&gt;0,(Y164/Y169),0)</f>
        <v>0</v>
      </c>
      <c r="H164" s="830">
        <f t="shared" ref="H164" si="498">IF(Z169&gt;0,(Z164/Z169),0)</f>
        <v>0.31838565022421522</v>
      </c>
      <c r="I164" s="829">
        <f t="shared" ref="I164" si="499">IF(AA169&gt;0,(AA164/AA169),0)</f>
        <v>0.38971684053651268</v>
      </c>
      <c r="J164" s="829">
        <f t="shared" ref="J164" si="500">IF(AB169&gt;0,(AB164/AB169),0)</f>
        <v>0</v>
      </c>
      <c r="K164" s="830">
        <f t="shared" ref="K164" si="501">IF(AC169&gt;0,(AC164/AC169),0)</f>
        <v>0</v>
      </c>
      <c r="L164" s="830">
        <f t="shared" ref="L164" si="502">IF(AD169&gt;0,(AD164/AD169),0)</f>
        <v>0.32222222222222224</v>
      </c>
      <c r="M164" s="830">
        <f t="shared" ref="M164" si="503">IF(AE169&gt;0,(AE164/AE169),0)</f>
        <v>0.27106227106227104</v>
      </c>
      <c r="N164" s="830">
        <f t="shared" ref="N164" si="504">IF(AF169&gt;0,(AF164/AF169),0)</f>
        <v>0</v>
      </c>
      <c r="O164" s="829">
        <f t="shared" ref="O164" si="505">IF(AG169&gt;0,(AG164/AG169),0)</f>
        <v>0.30290456431535268</v>
      </c>
      <c r="P164" s="829">
        <f t="shared" ref="P164" si="506">IF(AH169&gt;0,(AH164/AH169),0)</f>
        <v>0</v>
      </c>
      <c r="Q164" s="830">
        <f t="shared" ref="Q164" si="507">IF(AI169&gt;0,(AI164/AI169),0)</f>
        <v>0</v>
      </c>
      <c r="R164" s="831">
        <f t="shared" ref="R164" si="508">IF(AJ169&gt;0,(AJ164/AJ169),0)</f>
        <v>0</v>
      </c>
      <c r="S164" s="829">
        <f t="shared" ref="S164" si="509">IF(AK169&gt;0,(AK164/AK169),0)</f>
        <v>0</v>
      </c>
      <c r="U164" s="349">
        <v>452</v>
      </c>
      <c r="V164" s="349"/>
      <c r="W164" s="349"/>
      <c r="X164" s="349"/>
      <c r="Y164" s="349"/>
      <c r="Z164" s="349">
        <v>71</v>
      </c>
      <c r="AA164" s="803">
        <v>523</v>
      </c>
      <c r="AB164" s="803"/>
      <c r="AC164" s="349"/>
      <c r="AD164" s="349">
        <v>145</v>
      </c>
      <c r="AE164" s="349">
        <v>74</v>
      </c>
      <c r="AF164" s="349"/>
      <c r="AG164" s="803">
        <v>219</v>
      </c>
      <c r="AH164" s="803"/>
      <c r="AI164" s="349"/>
      <c r="AJ164" s="812"/>
      <c r="AK164" s="803"/>
    </row>
    <row r="165" spans="1:37">
      <c r="A165" s="239"/>
      <c r="B165" s="239" t="s">
        <v>93</v>
      </c>
      <c r="C165" s="832">
        <f>IF(U169&gt;0,(U165/U169),0)</f>
        <v>0.25737265415549598</v>
      </c>
      <c r="D165" s="830">
        <f t="shared" ref="D165" si="510">IF(V169&gt;0,(V165/V169),0)</f>
        <v>0</v>
      </c>
      <c r="E165" s="830">
        <f t="shared" ref="E165" si="511">IF(W169&gt;0,(W165/W169),0)</f>
        <v>0</v>
      </c>
      <c r="F165" s="830">
        <f t="shared" ref="F165" si="512">IF(X169&gt;0,(X165/X169),0)</f>
        <v>0</v>
      </c>
      <c r="G165" s="830">
        <f t="shared" ref="G165" si="513">IF(Y169&gt;0,(Y165/Y169),0)</f>
        <v>0</v>
      </c>
      <c r="H165" s="830">
        <f t="shared" ref="H165" si="514">IF(Z169&gt;0,(Z165/Z169),0)</f>
        <v>0.23318385650224216</v>
      </c>
      <c r="I165" s="832">
        <f t="shared" ref="I165" si="515">IF(AA169&gt;0,(AA165/AA169),0)</f>
        <v>0.25335320417287632</v>
      </c>
      <c r="J165" s="832">
        <f t="shared" ref="J165" si="516">IF(AB169&gt;0,(AB165/AB169),0)</f>
        <v>0</v>
      </c>
      <c r="K165" s="830">
        <f t="shared" ref="K165" si="517">IF(AC169&gt;0,(AC165/AC169),0)</f>
        <v>0</v>
      </c>
      <c r="L165" s="830">
        <f t="shared" ref="L165" si="518">IF(AD169&gt;0,(AD165/AD169),0)</f>
        <v>0.16</v>
      </c>
      <c r="M165" s="830">
        <f t="shared" ref="M165" si="519">IF(AE169&gt;0,(AE165/AE169),0)</f>
        <v>0.15384615384615385</v>
      </c>
      <c r="N165" s="830">
        <f t="shared" ref="N165" si="520">IF(AF169&gt;0,(AF165/AF169),0)</f>
        <v>0</v>
      </c>
      <c r="O165" s="832">
        <f t="shared" ref="O165" si="521">IF(AG169&gt;0,(AG165/AG169),0)</f>
        <v>0.15767634854771784</v>
      </c>
      <c r="P165" s="832">
        <f t="shared" ref="P165" si="522">IF(AH169&gt;0,(AH165/AH169),0)</f>
        <v>0</v>
      </c>
      <c r="Q165" s="830">
        <f t="shared" ref="Q165" si="523">IF(AI169&gt;0,(AI165/AI169),0)</f>
        <v>0</v>
      </c>
      <c r="R165" s="833">
        <f t="shared" ref="R165" si="524">IF(AJ169&gt;0,(AJ165/AJ169),0)</f>
        <v>0</v>
      </c>
      <c r="S165" s="832">
        <f t="shared" ref="S165" si="525">IF(AK169&gt;0,(AK165/AK169),0)</f>
        <v>0</v>
      </c>
      <c r="U165" s="349">
        <v>288</v>
      </c>
      <c r="V165" s="349"/>
      <c r="W165" s="349"/>
      <c r="X165" s="349"/>
      <c r="Y165" s="349"/>
      <c r="Z165" s="349">
        <v>52</v>
      </c>
      <c r="AA165" s="804">
        <v>340</v>
      </c>
      <c r="AB165" s="804"/>
      <c r="AC165" s="349"/>
      <c r="AD165" s="349">
        <v>72</v>
      </c>
      <c r="AE165" s="349">
        <v>42</v>
      </c>
      <c r="AF165" s="349"/>
      <c r="AG165" s="804">
        <v>114</v>
      </c>
      <c r="AH165" s="804"/>
      <c r="AI165" s="349"/>
      <c r="AJ165" s="813"/>
      <c r="AK165" s="804"/>
    </row>
    <row r="166" spans="1:37">
      <c r="A166" s="239"/>
      <c r="B166" s="239" t="s">
        <v>55</v>
      </c>
      <c r="C166" s="832">
        <f>IF(U169&gt;0,(U166/U169),0)</f>
        <v>0.23771224307417338</v>
      </c>
      <c r="D166" s="830">
        <f t="shared" ref="D166" si="526">IF(V169&gt;0,(V166/V169),0)</f>
        <v>0</v>
      </c>
      <c r="E166" s="830">
        <f t="shared" ref="E166" si="527">IF(W169&gt;0,(W166/W169),0)</f>
        <v>0</v>
      </c>
      <c r="F166" s="830">
        <f t="shared" ref="F166" si="528">IF(X169&gt;0,(X166/X169),0)</f>
        <v>0</v>
      </c>
      <c r="G166" s="830">
        <f t="shared" ref="G166" si="529">IF(Y169&gt;0,(Y166/Y169),0)</f>
        <v>0</v>
      </c>
      <c r="H166" s="830">
        <f t="shared" ref="H166" si="530">IF(Z169&gt;0,(Z166/Z169),0)</f>
        <v>0.28699551569506726</v>
      </c>
      <c r="I166" s="832">
        <f t="shared" ref="I166" si="531">IF(AA169&gt;0,(AA166/AA169),0)</f>
        <v>0.24590163934426229</v>
      </c>
      <c r="J166" s="832">
        <f t="shared" ref="J166" si="532">IF(AB169&gt;0,(AB166/AB169),0)</f>
        <v>0</v>
      </c>
      <c r="K166" s="830">
        <f t="shared" ref="K166" si="533">IF(AC169&gt;0,(AC166/AC169),0)</f>
        <v>0</v>
      </c>
      <c r="L166" s="830">
        <f t="shared" ref="L166" si="534">IF(AD169&gt;0,(AD166/AD169),0)</f>
        <v>0.22</v>
      </c>
      <c r="M166" s="830">
        <f t="shared" ref="M166" si="535">IF(AE169&gt;0,(AE166/AE169),0)</f>
        <v>0.27106227106227104</v>
      </c>
      <c r="N166" s="830">
        <f t="shared" ref="N166" si="536">IF(AF169&gt;0,(AF166/AF169),0)</f>
        <v>0</v>
      </c>
      <c r="O166" s="832">
        <f t="shared" ref="O166" si="537">IF(AG169&gt;0,(AG166/AG169),0)</f>
        <v>0.2392807745504841</v>
      </c>
      <c r="P166" s="832">
        <f t="shared" ref="P166" si="538">IF(AH169&gt;0,(AH166/AH169),0)</f>
        <v>0</v>
      </c>
      <c r="Q166" s="830">
        <f t="shared" ref="Q166" si="539">IF(AI169&gt;0,(AI166/AI169),0)</f>
        <v>0</v>
      </c>
      <c r="R166" s="833">
        <f t="shared" ref="R166" si="540">IF(AJ169&gt;0,(AJ166/AJ169),0)</f>
        <v>0</v>
      </c>
      <c r="S166" s="832">
        <f t="shared" ref="S166" si="541">IF(AK169&gt;0,(AK166/AK169),0)</f>
        <v>0</v>
      </c>
      <c r="U166" s="349">
        <v>266</v>
      </c>
      <c r="V166" s="349"/>
      <c r="W166" s="349"/>
      <c r="X166" s="349"/>
      <c r="Y166" s="349"/>
      <c r="Z166" s="349">
        <v>64</v>
      </c>
      <c r="AA166" s="804">
        <v>330</v>
      </c>
      <c r="AB166" s="804"/>
      <c r="AC166" s="349"/>
      <c r="AD166" s="349">
        <v>99</v>
      </c>
      <c r="AE166" s="349">
        <v>74</v>
      </c>
      <c r="AF166" s="349"/>
      <c r="AG166" s="804">
        <v>173</v>
      </c>
      <c r="AH166" s="804"/>
      <c r="AI166" s="349"/>
      <c r="AJ166" s="813"/>
      <c r="AK166" s="804"/>
    </row>
    <row r="167" spans="1:37">
      <c r="A167" s="239"/>
      <c r="B167" s="239" t="s">
        <v>78</v>
      </c>
      <c r="C167" s="832">
        <f>IF(U169&gt;0,(U167/U169),0)</f>
        <v>0.10098302055406613</v>
      </c>
      <c r="D167" s="830">
        <f t="shared" ref="D167" si="542">IF(V169&gt;0,(V167/V169),0)</f>
        <v>0</v>
      </c>
      <c r="E167" s="830">
        <f t="shared" ref="E167" si="543">IF(W169&gt;0,(W167/W169),0)</f>
        <v>0</v>
      </c>
      <c r="F167" s="830">
        <f t="shared" ref="F167" si="544">IF(X169&gt;0,(X167/X169),0)</f>
        <v>0</v>
      </c>
      <c r="G167" s="830">
        <f t="shared" ref="G167" si="545">IF(Y169&gt;0,(Y167/Y169),0)</f>
        <v>0</v>
      </c>
      <c r="H167" s="830">
        <f t="shared" ref="H167" si="546">IF(Z169&gt;0,(Z167/Z169),0)</f>
        <v>0.16143497757847533</v>
      </c>
      <c r="I167" s="832">
        <f t="shared" ref="I167" si="547">IF(AA169&gt;0,(AA167/AA169),0)</f>
        <v>0.11102831594634874</v>
      </c>
      <c r="J167" s="832">
        <f t="shared" ref="J167" si="548">IF(AB169&gt;0,(AB167/AB169),0)</f>
        <v>0</v>
      </c>
      <c r="K167" s="830">
        <f t="shared" ref="K167" si="549">IF(AC169&gt;0,(AC167/AC169),0)</f>
        <v>0</v>
      </c>
      <c r="L167" s="830">
        <f t="shared" ref="L167" si="550">IF(AD169&gt;0,(AD167/AD169),0)</f>
        <v>0.29777777777777775</v>
      </c>
      <c r="M167" s="830">
        <f t="shared" ref="M167" si="551">IF(AE169&gt;0,(AE167/AE169),0)</f>
        <v>0.304029304029304</v>
      </c>
      <c r="N167" s="830">
        <f t="shared" ref="N167" si="552">IF(AF169&gt;0,(AF167/AF169),0)</f>
        <v>0</v>
      </c>
      <c r="O167" s="832">
        <f t="shared" ref="O167" si="553">IF(AG169&gt;0,(AG167/AG169),0)</f>
        <v>0.30013831258644535</v>
      </c>
      <c r="P167" s="832">
        <f t="shared" ref="P167" si="554">IF(AH169&gt;0,(AH167/AH169),0)</f>
        <v>0</v>
      </c>
      <c r="Q167" s="830">
        <f t="shared" ref="Q167" si="555">IF(AI169&gt;0,(AI167/AI169),0)</f>
        <v>0</v>
      </c>
      <c r="R167" s="833">
        <f t="shared" ref="R167" si="556">IF(AJ169&gt;0,(AJ167/AJ169),0)</f>
        <v>0</v>
      </c>
      <c r="S167" s="832">
        <f t="shared" ref="S167" si="557">IF(AK169&gt;0,(AK167/AK169),0)</f>
        <v>0</v>
      </c>
      <c r="U167" s="349">
        <v>113</v>
      </c>
      <c r="V167" s="349"/>
      <c r="W167" s="349"/>
      <c r="X167" s="349"/>
      <c r="Y167" s="349"/>
      <c r="Z167" s="349">
        <v>36</v>
      </c>
      <c r="AA167" s="804">
        <v>149</v>
      </c>
      <c r="AB167" s="804"/>
      <c r="AC167" s="349"/>
      <c r="AD167" s="349">
        <v>134</v>
      </c>
      <c r="AE167" s="349">
        <v>83</v>
      </c>
      <c r="AF167" s="349"/>
      <c r="AG167" s="804">
        <v>217</v>
      </c>
      <c r="AH167" s="804"/>
      <c r="AI167" s="349"/>
      <c r="AJ167" s="813"/>
      <c r="AK167" s="804"/>
    </row>
    <row r="168" spans="1:37">
      <c r="A168" s="580"/>
      <c r="B168" s="580" t="s">
        <v>131</v>
      </c>
      <c r="C168" s="832">
        <f>IF(U169&gt;0,(U168/U169),0)</f>
        <v>0</v>
      </c>
      <c r="D168" s="830">
        <f t="shared" ref="D168" si="558">IF(V169&gt;0,(V168/V169),0)</f>
        <v>0</v>
      </c>
      <c r="E168" s="830">
        <f t="shared" ref="E168" si="559">IF(W169&gt;0,(W168/W169),0)</f>
        <v>0</v>
      </c>
      <c r="F168" s="830">
        <f t="shared" ref="F168" si="560">IF(X169&gt;0,(X168/X169),0)</f>
        <v>0</v>
      </c>
      <c r="G168" s="830">
        <f t="shared" ref="G168" si="561">IF(Y169&gt;0,(Y168/Y169),0)</f>
        <v>0</v>
      </c>
      <c r="H168" s="830">
        <f t="shared" ref="H168" si="562">IF(Z169&gt;0,(Z168/Z169),0)</f>
        <v>0</v>
      </c>
      <c r="I168" s="832">
        <f t="shared" ref="I168" si="563">IF(AA169&gt;0,(AA168/AA169),0)</f>
        <v>0</v>
      </c>
      <c r="J168" s="832">
        <f t="shared" ref="J168" si="564">IF(AB169&gt;0,(AB168/AB169),0)</f>
        <v>0</v>
      </c>
      <c r="K168" s="830">
        <f t="shared" ref="K168" si="565">IF(AC169&gt;0,(AC168/AC169),0)</f>
        <v>0</v>
      </c>
      <c r="L168" s="830">
        <f t="shared" ref="L168" si="566">IF(AD169&gt;0,(AD168/AD169),0)</f>
        <v>0</v>
      </c>
      <c r="M168" s="830">
        <f t="shared" ref="M168" si="567">IF(AE169&gt;0,(AE168/AE169),0)</f>
        <v>0</v>
      </c>
      <c r="N168" s="830">
        <f t="shared" ref="N168" si="568">IF(AF169&gt;0,(AF168/AF169),0)</f>
        <v>0</v>
      </c>
      <c r="O168" s="832">
        <f t="shared" ref="O168" si="569">IF(AG169&gt;0,(AG168/AG169),0)</f>
        <v>0</v>
      </c>
      <c r="P168" s="832">
        <f t="shared" ref="P168" si="570">IF(AH169&gt;0,(AH168/AH169),0)</f>
        <v>0</v>
      </c>
      <c r="Q168" s="830">
        <f t="shared" ref="Q168" si="571">IF(AI169&gt;0,(AI168/AI169),0)</f>
        <v>0</v>
      </c>
      <c r="R168" s="833">
        <f t="shared" ref="R168" si="572">IF(AJ169&gt;0,(AJ168/AJ169),0)</f>
        <v>0</v>
      </c>
      <c r="S168" s="832">
        <f t="shared" ref="S168" si="573">IF(AK169&gt;0,(AK168/AK169),0)</f>
        <v>0</v>
      </c>
      <c r="U168" s="349"/>
      <c r="V168" s="349"/>
      <c r="W168" s="349"/>
      <c r="X168" s="349"/>
      <c r="Y168" s="349"/>
      <c r="Z168" s="349"/>
      <c r="AA168" s="804"/>
      <c r="AB168" s="804"/>
      <c r="AC168" s="349"/>
      <c r="AD168" s="349"/>
      <c r="AE168" s="349"/>
      <c r="AF168" s="349"/>
      <c r="AG168" s="804"/>
      <c r="AH168" s="804"/>
      <c r="AI168" s="349"/>
      <c r="AJ168" s="813"/>
      <c r="AK168" s="804"/>
    </row>
    <row r="169" spans="1:37">
      <c r="A169" s="436"/>
      <c r="B169" s="436" t="s">
        <v>59</v>
      </c>
      <c r="C169" s="834">
        <f>IF(U169&gt;0,(U169/U169),0)</f>
        <v>1</v>
      </c>
      <c r="D169" s="835">
        <f t="shared" ref="D169" si="574">IF(V169&gt;0,(V169/V169),0)</f>
        <v>0</v>
      </c>
      <c r="E169" s="835">
        <f t="shared" ref="E169" si="575">IF(W169&gt;0,(W169/W169),0)</f>
        <v>0</v>
      </c>
      <c r="F169" s="835">
        <f t="shared" ref="F169" si="576">IF(X169&gt;0,(X169/X169),0)</f>
        <v>0</v>
      </c>
      <c r="G169" s="835">
        <f t="shared" ref="G169" si="577">IF(Y169&gt;0,(Y169/Y169),0)</f>
        <v>0</v>
      </c>
      <c r="H169" s="835">
        <f t="shared" ref="H169" si="578">IF(Z169&gt;0,(Z169/Z169),0)</f>
        <v>1</v>
      </c>
      <c r="I169" s="834">
        <f t="shared" ref="I169" si="579">IF(AA169&gt;0,(AA169/AA169),0)</f>
        <v>1</v>
      </c>
      <c r="J169" s="834">
        <f t="shared" ref="J169" si="580">IF(AB169&gt;0,(AB169/AB169),0)</f>
        <v>0</v>
      </c>
      <c r="K169" s="835">
        <f t="shared" ref="K169" si="581">IF(AC169&gt;0,(AC169/AC169),0)</f>
        <v>0</v>
      </c>
      <c r="L169" s="835">
        <f t="shared" ref="L169" si="582">IF(AD169&gt;0,(AD169/AD169),0)</f>
        <v>1</v>
      </c>
      <c r="M169" s="835">
        <f t="shared" ref="M169" si="583">IF(AE169&gt;0,(AE169/AE169),0)</f>
        <v>1</v>
      </c>
      <c r="N169" s="835">
        <f t="shared" ref="N169" si="584">IF(AF169&gt;0,(AF169/AF169),0)</f>
        <v>0</v>
      </c>
      <c r="O169" s="834">
        <f t="shared" ref="O169" si="585">IF(AG169&gt;0,(AG169/AG169),0)</f>
        <v>1</v>
      </c>
      <c r="P169" s="834">
        <f t="shared" ref="P169" si="586">IF(AH169&gt;0,(AH169/AH169),0)</f>
        <v>0</v>
      </c>
      <c r="Q169" s="835">
        <f t="shared" ref="Q169" si="587">IF(AI169&gt;0,(AI169/AI169),0)</f>
        <v>0</v>
      </c>
      <c r="R169" s="836">
        <f t="shared" ref="R169" si="588">IF(AJ169&gt;0,(AJ169/AJ169),0)</f>
        <v>0</v>
      </c>
      <c r="S169" s="834">
        <f t="shared" ref="S169" si="589">IF(AK169&gt;0,(AK169/AK169),0)</f>
        <v>0</v>
      </c>
      <c r="U169" s="816">
        <v>1119</v>
      </c>
      <c r="V169" s="816"/>
      <c r="W169" s="816"/>
      <c r="X169" s="816"/>
      <c r="Y169" s="816"/>
      <c r="Z169" s="816">
        <v>223</v>
      </c>
      <c r="AA169" s="805">
        <v>1342</v>
      </c>
      <c r="AB169" s="805"/>
      <c r="AC169" s="816"/>
      <c r="AD169" s="816">
        <v>450</v>
      </c>
      <c r="AE169" s="816">
        <v>273</v>
      </c>
      <c r="AF169" s="816"/>
      <c r="AG169" s="805">
        <v>723</v>
      </c>
      <c r="AH169" s="805"/>
      <c r="AI169" s="816"/>
      <c r="AJ169" s="817"/>
      <c r="AK169" s="805"/>
    </row>
    <row r="170" spans="1:37">
      <c r="A170" s="240" t="s">
        <v>143</v>
      </c>
      <c r="B170" s="240" t="s">
        <v>53</v>
      </c>
      <c r="C170" s="829">
        <f>IF(U175&gt;0,(U170/U175),0)</f>
        <v>0</v>
      </c>
      <c r="D170" s="830">
        <f t="shared" ref="D170" si="590">IF(V175&gt;0,(V170/V175),0)</f>
        <v>0.31158798283261802</v>
      </c>
      <c r="E170" s="830">
        <f t="shared" ref="E170" si="591">IF(W175&gt;0,(W170/W175),0)</f>
        <v>0.22797927461139897</v>
      </c>
      <c r="F170" s="830">
        <f t="shared" ref="F170" si="592">IF(X175&gt;0,(X170/X175),0)</f>
        <v>0</v>
      </c>
      <c r="G170" s="830">
        <f t="shared" ref="G170" si="593">IF(Y175&gt;0,(Y170/Y175),0)</f>
        <v>0</v>
      </c>
      <c r="H170" s="830">
        <f t="shared" ref="H170" si="594">IF(Z175&gt;0,(Z170/Z175),0)</f>
        <v>0.3380281690140845</v>
      </c>
      <c r="I170" s="829">
        <f t="shared" ref="I170" si="595">IF(AA175&gt;0,(AA170/AA175),0)</f>
        <v>0.28791092258748674</v>
      </c>
      <c r="J170" s="829">
        <f t="shared" ref="J170" si="596">IF(AB175&gt;0,(AB170/AB175),0)</f>
        <v>0</v>
      </c>
      <c r="K170" s="830">
        <f t="shared" ref="K170" si="597">IF(AC175&gt;0,(AC170/AC175),0)</f>
        <v>0</v>
      </c>
      <c r="L170" s="830">
        <f t="shared" ref="L170" si="598">IF(AD175&gt;0,(AD170/AD175),0)</f>
        <v>0.1672473867595819</v>
      </c>
      <c r="M170" s="830">
        <f t="shared" ref="M170" si="599">IF(AE175&gt;0,(AE170/AE175),0)</f>
        <v>0</v>
      </c>
      <c r="N170" s="830">
        <f t="shared" ref="N170" si="600">IF(AF175&gt;0,(AF170/AF175),0)</f>
        <v>0</v>
      </c>
      <c r="O170" s="829">
        <f t="shared" ref="O170" si="601">IF(AG175&gt;0,(AG170/AG175),0)</f>
        <v>0.14634146341463414</v>
      </c>
      <c r="P170" s="829">
        <f t="shared" ref="P170" si="602">IF(AH175&gt;0,(AH170/AH175),0)</f>
        <v>0</v>
      </c>
      <c r="Q170" s="830">
        <f t="shared" ref="Q170" si="603">IF(AI175&gt;0,(AI170/AI175),0)</f>
        <v>0</v>
      </c>
      <c r="R170" s="831">
        <f t="shared" ref="R170" si="604">IF(AJ175&gt;0,(AJ170/AJ175),0)</f>
        <v>0</v>
      </c>
      <c r="S170" s="829">
        <f t="shared" ref="S170" si="605">IF(AK175&gt;0,(AK170/AK175),0)</f>
        <v>0</v>
      </c>
      <c r="U170" s="349"/>
      <c r="V170" s="349">
        <v>363</v>
      </c>
      <c r="W170" s="349">
        <v>132</v>
      </c>
      <c r="X170" s="349"/>
      <c r="Y170" s="349"/>
      <c r="Z170" s="349">
        <v>48</v>
      </c>
      <c r="AA170" s="803">
        <v>543</v>
      </c>
      <c r="AB170" s="803"/>
      <c r="AC170" s="349"/>
      <c r="AD170" s="349">
        <v>48</v>
      </c>
      <c r="AE170" s="349"/>
      <c r="AF170" s="349"/>
      <c r="AG170" s="803">
        <v>48</v>
      </c>
      <c r="AH170" s="803"/>
      <c r="AI170" s="349"/>
      <c r="AJ170" s="812"/>
      <c r="AK170" s="803"/>
    </row>
    <row r="171" spans="1:37">
      <c r="A171" s="239"/>
      <c r="B171" s="239" t="s">
        <v>93</v>
      </c>
      <c r="C171" s="832">
        <f>IF(U175&gt;0,(U171/U175),0)</f>
        <v>0</v>
      </c>
      <c r="D171" s="830">
        <f t="shared" ref="D171" si="606">IF(V175&gt;0,(V171/V175),0)</f>
        <v>0.22403433476394849</v>
      </c>
      <c r="E171" s="830">
        <f t="shared" ref="E171" si="607">IF(W175&gt;0,(W171/W175),0)</f>
        <v>0.28670120898100171</v>
      </c>
      <c r="F171" s="830">
        <f t="shared" ref="F171" si="608">IF(X175&gt;0,(X171/X175),0)</f>
        <v>0</v>
      </c>
      <c r="G171" s="830">
        <f t="shared" ref="G171" si="609">IF(Y175&gt;0,(Y171/Y175),0)</f>
        <v>0</v>
      </c>
      <c r="H171" s="830">
        <f t="shared" ref="H171" si="610">IF(Z175&gt;0,(Z171/Z175),0)</f>
        <v>0.24647887323943662</v>
      </c>
      <c r="I171" s="832">
        <f t="shared" ref="I171" si="611">IF(AA175&gt;0,(AA171/AA175),0)</f>
        <v>0.24496288441145281</v>
      </c>
      <c r="J171" s="832">
        <f t="shared" ref="J171" si="612">IF(AB175&gt;0,(AB171/AB175),0)</f>
        <v>0</v>
      </c>
      <c r="K171" s="830">
        <f t="shared" ref="K171" si="613">IF(AC175&gt;0,(AC171/AC175),0)</f>
        <v>0</v>
      </c>
      <c r="L171" s="830">
        <f t="shared" ref="L171" si="614">IF(AD175&gt;0,(AD171/AD175),0)</f>
        <v>9.0592334494773524E-2</v>
      </c>
      <c r="M171" s="830">
        <f t="shared" ref="M171" si="615">IF(AE175&gt;0,(AE171/AE175),0)</f>
        <v>0</v>
      </c>
      <c r="N171" s="830">
        <f t="shared" ref="N171" si="616">IF(AF175&gt;0,(AF171/AF175),0)</f>
        <v>0</v>
      </c>
      <c r="O171" s="832">
        <f t="shared" ref="O171" si="617">IF(AG175&gt;0,(AG171/AG175),0)</f>
        <v>7.926829268292683E-2</v>
      </c>
      <c r="P171" s="832">
        <f t="shared" ref="P171" si="618">IF(AH175&gt;0,(AH171/AH175),0)</f>
        <v>0</v>
      </c>
      <c r="Q171" s="830">
        <f t="shared" ref="Q171" si="619">IF(AI175&gt;0,(AI171/AI175),0)</f>
        <v>0</v>
      </c>
      <c r="R171" s="833">
        <f t="shared" ref="R171" si="620">IF(AJ175&gt;0,(AJ171/AJ175),0)</f>
        <v>0</v>
      </c>
      <c r="S171" s="832">
        <f t="shared" ref="S171" si="621">IF(AK175&gt;0,(AK171/AK175),0)</f>
        <v>0</v>
      </c>
      <c r="U171" s="349"/>
      <c r="V171" s="349">
        <v>261</v>
      </c>
      <c r="W171" s="349">
        <v>166</v>
      </c>
      <c r="X171" s="349"/>
      <c r="Y171" s="349"/>
      <c r="Z171" s="349">
        <v>35</v>
      </c>
      <c r="AA171" s="804">
        <v>462</v>
      </c>
      <c r="AB171" s="804"/>
      <c r="AC171" s="349"/>
      <c r="AD171" s="349">
        <v>26</v>
      </c>
      <c r="AE171" s="349"/>
      <c r="AF171" s="349"/>
      <c r="AG171" s="804">
        <v>26</v>
      </c>
      <c r="AH171" s="804"/>
      <c r="AI171" s="349"/>
      <c r="AJ171" s="813"/>
      <c r="AK171" s="804"/>
    </row>
    <row r="172" spans="1:37">
      <c r="A172" s="239"/>
      <c r="B172" s="239" t="s">
        <v>55</v>
      </c>
      <c r="C172" s="832">
        <f>IF(U175&gt;0,(U172/U175),0)</f>
        <v>0</v>
      </c>
      <c r="D172" s="830">
        <f t="shared" ref="D172" si="622">IF(V175&gt;0,(V172/V175),0)</f>
        <v>0.21459227467811159</v>
      </c>
      <c r="E172" s="830">
        <f t="shared" ref="E172" si="623">IF(W175&gt;0,(W172/W175),0)</f>
        <v>0.23316062176165803</v>
      </c>
      <c r="F172" s="830">
        <f t="shared" ref="F172" si="624">IF(X175&gt;0,(X172/X175),0)</f>
        <v>0</v>
      </c>
      <c r="G172" s="830">
        <f t="shared" ref="G172" si="625">IF(Y175&gt;0,(Y172/Y175),0)</f>
        <v>0</v>
      </c>
      <c r="H172" s="830">
        <f t="shared" ref="H172" si="626">IF(Z175&gt;0,(Z172/Z175),0)</f>
        <v>0.27464788732394368</v>
      </c>
      <c r="I172" s="832">
        <f t="shared" ref="I172" si="627">IF(AA175&gt;0,(AA172/AA175),0)</f>
        <v>0.22481442205726404</v>
      </c>
      <c r="J172" s="832">
        <f t="shared" ref="J172" si="628">IF(AB175&gt;0,(AB172/AB175),0)</f>
        <v>0</v>
      </c>
      <c r="K172" s="830">
        <f t="shared" ref="K172" si="629">IF(AC175&gt;0,(AC172/AC175),0)</f>
        <v>0</v>
      </c>
      <c r="L172" s="830">
        <f t="shared" ref="L172" si="630">IF(AD175&gt;0,(AD172/AD175),0)</f>
        <v>0.16027874564459929</v>
      </c>
      <c r="M172" s="830">
        <f t="shared" ref="M172" si="631">IF(AE175&gt;0,(AE172/AE175),0)</f>
        <v>0</v>
      </c>
      <c r="N172" s="830">
        <f t="shared" ref="N172" si="632">IF(AF175&gt;0,(AF172/AF175),0)</f>
        <v>0</v>
      </c>
      <c r="O172" s="832">
        <f t="shared" ref="O172" si="633">IF(AG175&gt;0,(AG172/AG175),0)</f>
        <v>0.1402439024390244</v>
      </c>
      <c r="P172" s="832">
        <f t="shared" ref="P172" si="634">IF(AH175&gt;0,(AH172/AH175),0)</f>
        <v>0</v>
      </c>
      <c r="Q172" s="830">
        <f t="shared" ref="Q172" si="635">IF(AI175&gt;0,(AI172/AI175),0)</f>
        <v>0</v>
      </c>
      <c r="R172" s="833">
        <f t="shared" ref="R172" si="636">IF(AJ175&gt;0,(AJ172/AJ175),0)</f>
        <v>0</v>
      </c>
      <c r="S172" s="832">
        <f t="shared" ref="S172" si="637">IF(AK175&gt;0,(AK172/AK175),0)</f>
        <v>0</v>
      </c>
      <c r="U172" s="349"/>
      <c r="V172" s="349">
        <v>250</v>
      </c>
      <c r="W172" s="349">
        <v>135</v>
      </c>
      <c r="X172" s="349"/>
      <c r="Y172" s="349"/>
      <c r="Z172" s="349">
        <v>39</v>
      </c>
      <c r="AA172" s="804">
        <v>424</v>
      </c>
      <c r="AB172" s="804"/>
      <c r="AC172" s="349"/>
      <c r="AD172" s="349">
        <v>46</v>
      </c>
      <c r="AE172" s="349"/>
      <c r="AF172" s="349"/>
      <c r="AG172" s="804">
        <v>46</v>
      </c>
      <c r="AH172" s="804"/>
      <c r="AI172" s="349"/>
      <c r="AJ172" s="813"/>
      <c r="AK172" s="804"/>
    </row>
    <row r="173" spans="1:37">
      <c r="A173" s="239"/>
      <c r="B173" s="239" t="s">
        <v>78</v>
      </c>
      <c r="C173" s="832">
        <f>IF(U175&gt;0,(U173/U175),0)</f>
        <v>0</v>
      </c>
      <c r="D173" s="830">
        <f t="shared" ref="D173" si="638">IF(V175&gt;0,(V173/V175),0)</f>
        <v>0.11158798283261803</v>
      </c>
      <c r="E173" s="830">
        <f t="shared" ref="E173" si="639">IF(W175&gt;0,(W173/W175),0)</f>
        <v>0.12607944732297063</v>
      </c>
      <c r="F173" s="830">
        <f t="shared" ref="F173" si="640">IF(X175&gt;0,(X173/X175),0)</f>
        <v>0</v>
      </c>
      <c r="G173" s="830">
        <f t="shared" ref="G173" si="641">IF(Y175&gt;0,(Y173/Y175),0)</f>
        <v>0</v>
      </c>
      <c r="H173" s="830">
        <f t="shared" ref="H173" si="642">IF(Z175&gt;0,(Z173/Z175),0)</f>
        <v>0.14084507042253522</v>
      </c>
      <c r="I173" s="832">
        <f t="shared" ref="I173" si="643">IF(AA175&gt;0,(AA173/AA175),0)</f>
        <v>0.11823966065747614</v>
      </c>
      <c r="J173" s="832">
        <f t="shared" ref="J173" si="644">IF(AB175&gt;0,(AB173/AB175),0)</f>
        <v>0</v>
      </c>
      <c r="K173" s="830">
        <f t="shared" ref="K173" si="645">IF(AC175&gt;0,(AC173/AC175),0)</f>
        <v>0</v>
      </c>
      <c r="L173" s="830">
        <f t="shared" ref="L173" si="646">IF(AD175&gt;0,(AD173/AD175),0)</f>
        <v>0.58188153310104529</v>
      </c>
      <c r="M173" s="830">
        <f t="shared" ref="M173" si="647">IF(AE175&gt;0,(AE173/AE175),0)</f>
        <v>1</v>
      </c>
      <c r="N173" s="830">
        <f t="shared" ref="N173" si="648">IF(AF175&gt;0,(AF173/AF175),0)</f>
        <v>0</v>
      </c>
      <c r="O173" s="832">
        <f t="shared" ref="O173" si="649">IF(AG175&gt;0,(AG173/AG175),0)</f>
        <v>0.63414634146341464</v>
      </c>
      <c r="P173" s="832">
        <f t="shared" ref="P173" si="650">IF(AH175&gt;0,(AH173/AH175),0)</f>
        <v>0</v>
      </c>
      <c r="Q173" s="830">
        <f t="shared" ref="Q173" si="651">IF(AI175&gt;0,(AI173/AI175),0)</f>
        <v>0</v>
      </c>
      <c r="R173" s="833">
        <f t="shared" ref="R173" si="652">IF(AJ175&gt;0,(AJ173/AJ175),0)</f>
        <v>0</v>
      </c>
      <c r="S173" s="832">
        <f t="shared" ref="S173" si="653">IF(AK175&gt;0,(AK173/AK175),0)</f>
        <v>0</v>
      </c>
      <c r="U173" s="349"/>
      <c r="V173" s="349">
        <v>130</v>
      </c>
      <c r="W173" s="349">
        <v>73</v>
      </c>
      <c r="X173" s="349"/>
      <c r="Y173" s="349"/>
      <c r="Z173" s="349">
        <v>20</v>
      </c>
      <c r="AA173" s="804">
        <v>223</v>
      </c>
      <c r="AB173" s="804"/>
      <c r="AC173" s="349"/>
      <c r="AD173" s="349">
        <v>167</v>
      </c>
      <c r="AE173" s="349">
        <v>41</v>
      </c>
      <c r="AF173" s="349"/>
      <c r="AG173" s="804">
        <v>208</v>
      </c>
      <c r="AH173" s="804"/>
      <c r="AI173" s="349"/>
      <c r="AJ173" s="813"/>
      <c r="AK173" s="804"/>
    </row>
    <row r="174" spans="1:37">
      <c r="A174" s="580"/>
      <c r="B174" s="580" t="s">
        <v>131</v>
      </c>
      <c r="C174" s="832">
        <f>IF(U175&gt;0,(U174/U175),0)</f>
        <v>0</v>
      </c>
      <c r="D174" s="830">
        <f t="shared" ref="D174" si="654">IF(V175&gt;0,(V174/V175),0)</f>
        <v>0.13819742489270387</v>
      </c>
      <c r="E174" s="830">
        <f t="shared" ref="E174" si="655">IF(W175&gt;0,(W174/W175),0)</f>
        <v>0.12607944732297063</v>
      </c>
      <c r="F174" s="830">
        <f t="shared" ref="F174" si="656">IF(X175&gt;0,(X174/X175),0)</f>
        <v>0</v>
      </c>
      <c r="G174" s="830">
        <f t="shared" ref="G174" si="657">IF(Y175&gt;0,(Y174/Y175),0)</f>
        <v>0</v>
      </c>
      <c r="H174" s="830">
        <f t="shared" ref="H174" si="658">IF(Z175&gt;0,(Z174/Z175),0)</f>
        <v>0</v>
      </c>
      <c r="I174" s="832">
        <f t="shared" ref="I174" si="659">IF(AA175&gt;0,(AA174/AA175),0)</f>
        <v>0.12407211028632026</v>
      </c>
      <c r="J174" s="832">
        <f t="shared" ref="J174" si="660">IF(AB175&gt;0,(AB174/AB175),0)</f>
        <v>0</v>
      </c>
      <c r="K174" s="830">
        <f t="shared" ref="K174" si="661">IF(AC175&gt;0,(AC174/AC175),0)</f>
        <v>0</v>
      </c>
      <c r="L174" s="830">
        <f t="shared" ref="L174" si="662">IF(AD175&gt;0,(AD174/AD175),0)</f>
        <v>0</v>
      </c>
      <c r="M174" s="830">
        <f t="shared" ref="M174" si="663">IF(AE175&gt;0,(AE174/AE175),0)</f>
        <v>0</v>
      </c>
      <c r="N174" s="830">
        <f t="shared" ref="N174" si="664">IF(AF175&gt;0,(AF174/AF175),0)</f>
        <v>0</v>
      </c>
      <c r="O174" s="832">
        <f t="shared" ref="O174" si="665">IF(AG175&gt;0,(AG174/AG175),0)</f>
        <v>0</v>
      </c>
      <c r="P174" s="832">
        <f t="shared" ref="P174" si="666">IF(AH175&gt;0,(AH174/AH175),0)</f>
        <v>0</v>
      </c>
      <c r="Q174" s="830">
        <f t="shared" ref="Q174" si="667">IF(AI175&gt;0,(AI174/AI175),0)</f>
        <v>0</v>
      </c>
      <c r="R174" s="833">
        <f t="shared" ref="R174" si="668">IF(AJ175&gt;0,(AJ174/AJ175),0)</f>
        <v>0</v>
      </c>
      <c r="S174" s="832">
        <f t="shared" ref="S174" si="669">IF(AK175&gt;0,(AK174/AK175),0)</f>
        <v>0</v>
      </c>
      <c r="U174" s="349"/>
      <c r="V174" s="349">
        <v>161</v>
      </c>
      <c r="W174" s="349">
        <v>73</v>
      </c>
      <c r="X174" s="349"/>
      <c r="Y174" s="349"/>
      <c r="Z174" s="349"/>
      <c r="AA174" s="804">
        <v>234</v>
      </c>
      <c r="AB174" s="804"/>
      <c r="AC174" s="349"/>
      <c r="AD174" s="349"/>
      <c r="AE174" s="349"/>
      <c r="AF174" s="349"/>
      <c r="AG174" s="804"/>
      <c r="AH174" s="804"/>
      <c r="AI174" s="349"/>
      <c r="AJ174" s="813"/>
      <c r="AK174" s="804"/>
    </row>
    <row r="175" spans="1:37">
      <c r="A175" s="436"/>
      <c r="B175" s="436" t="s">
        <v>59</v>
      </c>
      <c r="C175" s="834">
        <f>IF(U175&gt;0,(U175/U175),0)</f>
        <v>0</v>
      </c>
      <c r="D175" s="835">
        <f t="shared" ref="D175" si="670">IF(V175&gt;0,(V175/V175),0)</f>
        <v>1</v>
      </c>
      <c r="E175" s="835">
        <f t="shared" ref="E175" si="671">IF(W175&gt;0,(W175/W175),0)</f>
        <v>1</v>
      </c>
      <c r="F175" s="835">
        <f t="shared" ref="F175" si="672">IF(X175&gt;0,(X175/X175),0)</f>
        <v>0</v>
      </c>
      <c r="G175" s="835">
        <f t="shared" ref="G175" si="673">IF(Y175&gt;0,(Y175/Y175),0)</f>
        <v>0</v>
      </c>
      <c r="H175" s="835">
        <f t="shared" ref="H175" si="674">IF(Z175&gt;0,(Z175/Z175),0)</f>
        <v>1</v>
      </c>
      <c r="I175" s="834">
        <f t="shared" ref="I175" si="675">IF(AA175&gt;0,(AA175/AA175),0)</f>
        <v>1</v>
      </c>
      <c r="J175" s="834">
        <f t="shared" ref="J175" si="676">IF(AB175&gt;0,(AB175/AB175),0)</f>
        <v>0</v>
      </c>
      <c r="K175" s="835">
        <f t="shared" ref="K175" si="677">IF(AC175&gt;0,(AC175/AC175),0)</f>
        <v>0</v>
      </c>
      <c r="L175" s="835">
        <f t="shared" ref="L175" si="678">IF(AD175&gt;0,(AD175/AD175),0)</f>
        <v>1</v>
      </c>
      <c r="M175" s="835">
        <f t="shared" ref="M175" si="679">IF(AE175&gt;0,(AE175/AE175),0)</f>
        <v>1</v>
      </c>
      <c r="N175" s="835">
        <f t="shared" ref="N175" si="680">IF(AF175&gt;0,(AF175/AF175),0)</f>
        <v>0</v>
      </c>
      <c r="O175" s="834">
        <f t="shared" ref="O175" si="681">IF(AG175&gt;0,(AG175/AG175),0)</f>
        <v>1</v>
      </c>
      <c r="P175" s="834">
        <f t="shared" ref="P175" si="682">IF(AH175&gt;0,(AH175/AH175),0)</f>
        <v>0</v>
      </c>
      <c r="Q175" s="835">
        <f t="shared" ref="Q175" si="683">IF(AI175&gt;0,(AI175/AI175),0)</f>
        <v>0</v>
      </c>
      <c r="R175" s="836">
        <f t="shared" ref="R175" si="684">IF(AJ175&gt;0,(AJ175/AJ175),0)</f>
        <v>0</v>
      </c>
      <c r="S175" s="834">
        <f t="shared" ref="S175" si="685">IF(AK175&gt;0,(AK175/AK175),0)</f>
        <v>0</v>
      </c>
      <c r="U175" s="816"/>
      <c r="V175" s="816">
        <v>1165</v>
      </c>
      <c r="W175" s="816">
        <v>579</v>
      </c>
      <c r="X175" s="816"/>
      <c r="Y175" s="816"/>
      <c r="Z175" s="816">
        <v>142</v>
      </c>
      <c r="AA175" s="805">
        <v>1886</v>
      </c>
      <c r="AB175" s="805"/>
      <c r="AC175" s="816"/>
      <c r="AD175" s="816">
        <v>287</v>
      </c>
      <c r="AE175" s="816">
        <v>41</v>
      </c>
      <c r="AF175" s="816"/>
      <c r="AG175" s="805">
        <v>328</v>
      </c>
      <c r="AH175" s="805"/>
      <c r="AI175" s="816"/>
      <c r="AJ175" s="817"/>
      <c r="AK175" s="805"/>
    </row>
    <row r="176" spans="1:37">
      <c r="A176" s="240" t="s">
        <v>152</v>
      </c>
      <c r="B176" s="240" t="s">
        <v>53</v>
      </c>
      <c r="C176" s="829">
        <f>IF(U181&gt;0,(U176/U181),0)</f>
        <v>0</v>
      </c>
      <c r="D176" s="830">
        <f t="shared" ref="D176" si="686">IF(V181&gt;0,(V176/V181),0)</f>
        <v>0.34217749313815188</v>
      </c>
      <c r="E176" s="830">
        <f t="shared" ref="E176" si="687">IF(W181&gt;0,(W176/W181),0)</f>
        <v>0</v>
      </c>
      <c r="F176" s="830">
        <f t="shared" ref="F176" si="688">IF(X181&gt;0,(X176/X181),0)</f>
        <v>0.28025477707006369</v>
      </c>
      <c r="G176" s="830">
        <f t="shared" ref="G176" si="689">IF(Y181&gt;0,(Y176/Y181),0)</f>
        <v>0.28085106382978725</v>
      </c>
      <c r="H176" s="830">
        <f t="shared" ref="H176" si="690">IF(Z181&gt;0,(Z176/Z181),0)</f>
        <v>0.2807017543859649</v>
      </c>
      <c r="I176" s="829">
        <f t="shared" ref="I176" si="691">IF(AA181&gt;0,(AA176/AA181),0)</f>
        <v>0.32425421530479898</v>
      </c>
      <c r="J176" s="829">
        <f t="shared" ref="J176" si="692">IF(AB181&gt;0,(AB176/AB181),0)</f>
        <v>0</v>
      </c>
      <c r="K176" s="830">
        <f t="shared" ref="K176" si="693">IF(AC181&gt;0,(AC176/AC181),0)</f>
        <v>0</v>
      </c>
      <c r="L176" s="830">
        <f t="shared" ref="L176" si="694">IF(AD181&gt;0,(AD176/AD181),0)</f>
        <v>0</v>
      </c>
      <c r="M176" s="830">
        <f t="shared" ref="M176" si="695">IF(AE181&gt;0,(AE176/AE181),0)</f>
        <v>4.5662100456621002E-3</v>
      </c>
      <c r="N176" s="830">
        <f t="shared" ref="N176" si="696">IF(AF181&gt;0,(AF176/AF181),0)</f>
        <v>0</v>
      </c>
      <c r="O176" s="829">
        <f t="shared" ref="O176" si="697">IF(AG181&gt;0,(AG176/AG181),0)</f>
        <v>4.5662100456621002E-3</v>
      </c>
      <c r="P176" s="829">
        <f t="shared" ref="P176" si="698">IF(AH181&gt;0,(AH176/AH181),0)</f>
        <v>0</v>
      </c>
      <c r="Q176" s="830">
        <f t="shared" ref="Q176" si="699">IF(AI181&gt;0,(AI176/AI181),0)</f>
        <v>0</v>
      </c>
      <c r="R176" s="831">
        <f t="shared" ref="R176" si="700">IF(AJ181&gt;0,(AJ176/AJ181),0)</f>
        <v>0</v>
      </c>
      <c r="S176" s="829">
        <f t="shared" ref="S176" si="701">IF(AK181&gt;0,(AK176/AK181),0)</f>
        <v>0</v>
      </c>
      <c r="U176" s="349"/>
      <c r="V176" s="349">
        <v>374</v>
      </c>
      <c r="W176" s="349"/>
      <c r="X176" s="349">
        <v>44</v>
      </c>
      <c r="Y176" s="349">
        <v>66</v>
      </c>
      <c r="Z176" s="349">
        <v>16</v>
      </c>
      <c r="AA176" s="803">
        <v>500</v>
      </c>
      <c r="AB176" s="803"/>
      <c r="AC176" s="349"/>
      <c r="AD176" s="349"/>
      <c r="AE176" s="349">
        <v>1</v>
      </c>
      <c r="AF176" s="349"/>
      <c r="AG176" s="803">
        <v>1</v>
      </c>
      <c r="AH176" s="803"/>
      <c r="AI176" s="349"/>
      <c r="AJ176" s="812"/>
      <c r="AK176" s="803"/>
    </row>
    <row r="177" spans="1:37">
      <c r="A177" s="239"/>
      <c r="B177" s="239" t="s">
        <v>93</v>
      </c>
      <c r="C177" s="832">
        <f>IF(U181&gt;0,(U177/U181),0)</f>
        <v>0</v>
      </c>
      <c r="D177" s="830">
        <f t="shared" ref="D177" si="702">IF(V181&gt;0,(V177/V181),0)</f>
        <v>0.25251601097895698</v>
      </c>
      <c r="E177" s="830">
        <f t="shared" ref="E177" si="703">IF(W181&gt;0,(W177/W181),0)</f>
        <v>0</v>
      </c>
      <c r="F177" s="830">
        <f t="shared" ref="F177" si="704">IF(X181&gt;0,(X177/X181),0)</f>
        <v>0.16560509554140126</v>
      </c>
      <c r="G177" s="830">
        <f t="shared" ref="G177" si="705">IF(Y181&gt;0,(Y177/Y181),0)</f>
        <v>0.13191489361702127</v>
      </c>
      <c r="H177" s="830">
        <f t="shared" ref="H177" si="706">IF(Z181&gt;0,(Z177/Z181),0)</f>
        <v>0.21052631578947367</v>
      </c>
      <c r="I177" s="832">
        <f t="shared" ref="I177" si="707">IF(AA181&gt;0,(AA177/AA181),0)</f>
        <v>0.22373540856031129</v>
      </c>
      <c r="J177" s="832">
        <f t="shared" ref="J177" si="708">IF(AB181&gt;0,(AB177/AB181),0)</f>
        <v>0</v>
      </c>
      <c r="K177" s="830">
        <f t="shared" ref="K177" si="709">IF(AC181&gt;0,(AC177/AC181),0)</f>
        <v>0</v>
      </c>
      <c r="L177" s="830">
        <f t="shared" ref="L177" si="710">IF(AD181&gt;0,(AD177/AD181),0)</f>
        <v>0</v>
      </c>
      <c r="M177" s="830">
        <f t="shared" ref="M177" si="711">IF(AE181&gt;0,(AE177/AE181),0)</f>
        <v>0</v>
      </c>
      <c r="N177" s="830">
        <f t="shared" ref="N177" si="712">IF(AF181&gt;0,(AF177/AF181),0)</f>
        <v>0</v>
      </c>
      <c r="O177" s="832">
        <f t="shared" ref="O177" si="713">IF(AG181&gt;0,(AG177/AG181),0)</f>
        <v>0</v>
      </c>
      <c r="P177" s="832">
        <f t="shared" ref="P177" si="714">IF(AH181&gt;0,(AH177/AH181),0)</f>
        <v>0</v>
      </c>
      <c r="Q177" s="830">
        <f t="shared" ref="Q177" si="715">IF(AI181&gt;0,(AI177/AI181),0)</f>
        <v>0</v>
      </c>
      <c r="R177" s="833">
        <f t="shared" ref="R177" si="716">IF(AJ181&gt;0,(AJ177/AJ181),0)</f>
        <v>0</v>
      </c>
      <c r="S177" s="832">
        <f t="shared" ref="S177" si="717">IF(AK181&gt;0,(AK177/AK181),0)</f>
        <v>0</v>
      </c>
      <c r="U177" s="349"/>
      <c r="V177" s="349">
        <v>276</v>
      </c>
      <c r="W177" s="349"/>
      <c r="X177" s="349">
        <v>26</v>
      </c>
      <c r="Y177" s="349">
        <v>31</v>
      </c>
      <c r="Z177" s="349">
        <v>12</v>
      </c>
      <c r="AA177" s="804">
        <v>345</v>
      </c>
      <c r="AB177" s="804"/>
      <c r="AC177" s="349"/>
      <c r="AD177" s="349"/>
      <c r="AE177" s="349"/>
      <c r="AF177" s="349"/>
      <c r="AG177" s="804"/>
      <c r="AH177" s="804"/>
      <c r="AI177" s="349"/>
      <c r="AJ177" s="813"/>
      <c r="AK177" s="804"/>
    </row>
    <row r="178" spans="1:37">
      <c r="A178" s="239"/>
      <c r="B178" s="239" t="s">
        <v>55</v>
      </c>
      <c r="C178" s="832">
        <f>IF(U181&gt;0,(U178/U181),0)</f>
        <v>0</v>
      </c>
      <c r="D178" s="830">
        <f t="shared" ref="D178" si="718">IF(V181&gt;0,(V178/V181),0)</f>
        <v>0.26166514181152789</v>
      </c>
      <c r="E178" s="830">
        <f t="shared" ref="E178" si="719">IF(W181&gt;0,(W178/W181),0)</f>
        <v>0</v>
      </c>
      <c r="F178" s="830">
        <f t="shared" ref="F178" si="720">IF(X181&gt;0,(X178/X181),0)</f>
        <v>0.2356687898089172</v>
      </c>
      <c r="G178" s="830">
        <f t="shared" ref="G178" si="721">IF(Y181&gt;0,(Y178/Y181),0)</f>
        <v>0.25106382978723402</v>
      </c>
      <c r="H178" s="830">
        <f t="shared" ref="H178" si="722">IF(Z181&gt;0,(Z178/Z181),0)</f>
        <v>0.24561403508771928</v>
      </c>
      <c r="I178" s="832">
        <f t="shared" ref="I178" si="723">IF(AA181&gt;0,(AA178/AA181),0)</f>
        <v>0.25680933852140075</v>
      </c>
      <c r="J178" s="832">
        <f t="shared" ref="J178" si="724">IF(AB181&gt;0,(AB178/AB181),0)</f>
        <v>0</v>
      </c>
      <c r="K178" s="830">
        <f t="shared" ref="K178" si="725">IF(AC181&gt;0,(AC178/AC181),0)</f>
        <v>0</v>
      </c>
      <c r="L178" s="830">
        <f t="shared" ref="L178" si="726">IF(AD181&gt;0,(AD178/AD181),0)</f>
        <v>0</v>
      </c>
      <c r="M178" s="830">
        <f t="shared" ref="M178" si="727">IF(AE181&gt;0,(AE178/AE181),0)</f>
        <v>0</v>
      </c>
      <c r="N178" s="830">
        <f t="shared" ref="N178" si="728">IF(AF181&gt;0,(AF178/AF181),0)</f>
        <v>0</v>
      </c>
      <c r="O178" s="832">
        <f t="shared" ref="O178" si="729">IF(AG181&gt;0,(AG178/AG181),0)</f>
        <v>0</v>
      </c>
      <c r="P178" s="832">
        <f t="shared" ref="P178" si="730">IF(AH181&gt;0,(AH178/AH181),0)</f>
        <v>0</v>
      </c>
      <c r="Q178" s="830">
        <f t="shared" ref="Q178" si="731">IF(AI181&gt;0,(AI178/AI181),0)</f>
        <v>0</v>
      </c>
      <c r="R178" s="833">
        <f t="shared" ref="R178" si="732">IF(AJ181&gt;0,(AJ178/AJ181),0)</f>
        <v>0</v>
      </c>
      <c r="S178" s="832">
        <f t="shared" ref="S178" si="733">IF(AK181&gt;0,(AK178/AK181),0)</f>
        <v>0</v>
      </c>
      <c r="U178" s="349"/>
      <c r="V178" s="349">
        <v>286</v>
      </c>
      <c r="W178" s="349"/>
      <c r="X178" s="349">
        <v>37</v>
      </c>
      <c r="Y178" s="349">
        <v>59</v>
      </c>
      <c r="Z178" s="349">
        <v>14</v>
      </c>
      <c r="AA178" s="804">
        <v>396</v>
      </c>
      <c r="AB178" s="804"/>
      <c r="AC178" s="349"/>
      <c r="AD178" s="349"/>
      <c r="AE178" s="349"/>
      <c r="AF178" s="349"/>
      <c r="AG178" s="804"/>
      <c r="AH178" s="804"/>
      <c r="AI178" s="349"/>
      <c r="AJ178" s="813"/>
      <c r="AK178" s="804"/>
    </row>
    <row r="179" spans="1:37">
      <c r="A179" s="239"/>
      <c r="B179" s="239" t="s">
        <v>78</v>
      </c>
      <c r="C179" s="832">
        <f>IF(U181&gt;0,(U179/U181),0)</f>
        <v>0</v>
      </c>
      <c r="D179" s="830">
        <f t="shared" ref="D179" si="734">IF(V181&gt;0,(V179/V181),0)</f>
        <v>0.13083257090576395</v>
      </c>
      <c r="E179" s="830">
        <f t="shared" ref="E179" si="735">IF(W181&gt;0,(W179/W181),0)</f>
        <v>0</v>
      </c>
      <c r="F179" s="830">
        <f t="shared" ref="F179" si="736">IF(X181&gt;0,(X179/X181),0)</f>
        <v>0.19745222929936307</v>
      </c>
      <c r="G179" s="830">
        <f t="shared" ref="G179" si="737">IF(Y181&gt;0,(Y179/Y181),0)</f>
        <v>0.14042553191489363</v>
      </c>
      <c r="H179" s="830">
        <f t="shared" ref="H179" si="738">IF(Z181&gt;0,(Z179/Z181),0)</f>
        <v>0.26315789473684209</v>
      </c>
      <c r="I179" s="832">
        <f t="shared" ref="I179" si="739">IF(AA181&gt;0,(AA179/AA181),0)</f>
        <v>0.14396887159533073</v>
      </c>
      <c r="J179" s="832">
        <f t="shared" ref="J179" si="740">IF(AB181&gt;0,(AB179/AB181),0)</f>
        <v>0</v>
      </c>
      <c r="K179" s="830">
        <f t="shared" ref="K179" si="741">IF(AC181&gt;0,(AC179/AC181),0)</f>
        <v>0</v>
      </c>
      <c r="L179" s="830">
        <f t="shared" ref="L179" si="742">IF(AD181&gt;0,(AD179/AD181),0)</f>
        <v>0</v>
      </c>
      <c r="M179" s="830">
        <f t="shared" ref="M179" si="743">IF(AE181&gt;0,(AE179/AE181),0)</f>
        <v>0.70776255707762559</v>
      </c>
      <c r="N179" s="830">
        <f t="shared" ref="N179" si="744">IF(AF181&gt;0,(AF179/AF181),0)</f>
        <v>0</v>
      </c>
      <c r="O179" s="832">
        <f t="shared" ref="O179" si="745">IF(AG181&gt;0,(AG179/AG181),0)</f>
        <v>0.70776255707762559</v>
      </c>
      <c r="P179" s="832">
        <f t="shared" ref="P179" si="746">IF(AH181&gt;0,(AH179/AH181),0)</f>
        <v>0</v>
      </c>
      <c r="Q179" s="830">
        <f t="shared" ref="Q179" si="747">IF(AI181&gt;0,(AI179/AI181),0)</f>
        <v>0</v>
      </c>
      <c r="R179" s="833">
        <f t="shared" ref="R179" si="748">IF(AJ181&gt;0,(AJ179/AJ181),0)</f>
        <v>0</v>
      </c>
      <c r="S179" s="832">
        <f t="shared" ref="S179" si="749">IF(AK181&gt;0,(AK179/AK181),0)</f>
        <v>0</v>
      </c>
      <c r="U179" s="349"/>
      <c r="V179" s="349">
        <v>143</v>
      </c>
      <c r="W179" s="349"/>
      <c r="X179" s="349">
        <v>31</v>
      </c>
      <c r="Y179" s="349">
        <v>33</v>
      </c>
      <c r="Z179" s="349">
        <v>15</v>
      </c>
      <c r="AA179" s="804">
        <v>222</v>
      </c>
      <c r="AB179" s="804"/>
      <c r="AC179" s="349"/>
      <c r="AD179" s="349"/>
      <c r="AE179" s="349">
        <v>155</v>
      </c>
      <c r="AF179" s="349"/>
      <c r="AG179" s="804">
        <v>155</v>
      </c>
      <c r="AH179" s="804"/>
      <c r="AI179" s="349"/>
      <c r="AJ179" s="813"/>
      <c r="AK179" s="804"/>
    </row>
    <row r="180" spans="1:37">
      <c r="A180" s="580"/>
      <c r="B180" s="580" t="s">
        <v>131</v>
      </c>
      <c r="C180" s="832">
        <f>IF(U181&gt;0,(U180/U181),0)</f>
        <v>0</v>
      </c>
      <c r="D180" s="830">
        <f t="shared" ref="D180" si="750">IF(V181&gt;0,(V180/V181),0)</f>
        <v>1.2808783165599268E-2</v>
      </c>
      <c r="E180" s="830">
        <f t="shared" ref="E180" si="751">IF(W181&gt;0,(W180/W181),0)</f>
        <v>0</v>
      </c>
      <c r="F180" s="830">
        <f t="shared" ref="F180" si="752">IF(X181&gt;0,(X180/X181),0)</f>
        <v>0.12101910828025478</v>
      </c>
      <c r="G180" s="830">
        <f t="shared" ref="G180" si="753">IF(Y181&gt;0,(Y180/Y181),0)</f>
        <v>0.19574468085106383</v>
      </c>
      <c r="H180" s="830">
        <f t="shared" ref="H180" si="754">IF(Z181&gt;0,(Z180/Z181),0)</f>
        <v>0</v>
      </c>
      <c r="I180" s="832">
        <f t="shared" ref="I180" si="755">IF(AA181&gt;0,(AA180/AA181),0)</f>
        <v>5.1232166018158234E-2</v>
      </c>
      <c r="J180" s="832">
        <f t="shared" ref="J180" si="756">IF(AB181&gt;0,(AB180/AB181),0)</f>
        <v>0</v>
      </c>
      <c r="K180" s="830">
        <f t="shared" ref="K180" si="757">IF(AC181&gt;0,(AC180/AC181),0)</f>
        <v>0</v>
      </c>
      <c r="L180" s="830">
        <f t="shared" ref="L180" si="758">IF(AD181&gt;0,(AD180/AD181),0)</f>
        <v>0</v>
      </c>
      <c r="M180" s="830">
        <f t="shared" ref="M180" si="759">IF(AE181&gt;0,(AE180/AE181),0)</f>
        <v>0.28767123287671231</v>
      </c>
      <c r="N180" s="830">
        <f t="shared" ref="N180" si="760">IF(AF181&gt;0,(AF180/AF181),0)</f>
        <v>0</v>
      </c>
      <c r="O180" s="832">
        <f t="shared" ref="O180" si="761">IF(AG181&gt;0,(AG180/AG181),0)</f>
        <v>0.28767123287671231</v>
      </c>
      <c r="P180" s="832">
        <f t="shared" ref="P180" si="762">IF(AH181&gt;0,(AH180/AH181),0)</f>
        <v>0</v>
      </c>
      <c r="Q180" s="830">
        <f t="shared" ref="Q180" si="763">IF(AI181&gt;0,(AI180/AI181),0)</f>
        <v>0</v>
      </c>
      <c r="R180" s="833">
        <f t="shared" ref="R180" si="764">IF(AJ181&gt;0,(AJ180/AJ181),0)</f>
        <v>0</v>
      </c>
      <c r="S180" s="832">
        <f t="shared" ref="S180" si="765">IF(AK181&gt;0,(AK180/AK181),0)</f>
        <v>0</v>
      </c>
      <c r="U180" s="349"/>
      <c r="V180" s="349">
        <v>14</v>
      </c>
      <c r="W180" s="349"/>
      <c r="X180" s="349">
        <v>19</v>
      </c>
      <c r="Y180" s="349">
        <v>46</v>
      </c>
      <c r="Z180" s="349"/>
      <c r="AA180" s="804">
        <v>79</v>
      </c>
      <c r="AB180" s="804"/>
      <c r="AC180" s="349"/>
      <c r="AD180" s="349"/>
      <c r="AE180" s="349">
        <v>63</v>
      </c>
      <c r="AF180" s="349"/>
      <c r="AG180" s="804">
        <v>63</v>
      </c>
      <c r="AH180" s="804"/>
      <c r="AI180" s="349"/>
      <c r="AJ180" s="813"/>
      <c r="AK180" s="804"/>
    </row>
    <row r="181" spans="1:37">
      <c r="A181" s="436"/>
      <c r="B181" s="436" t="s">
        <v>59</v>
      </c>
      <c r="C181" s="834">
        <f>IF(U181&gt;0,(U181/U181),0)</f>
        <v>0</v>
      </c>
      <c r="D181" s="835">
        <f t="shared" ref="D181" si="766">IF(V181&gt;0,(V181/V181),0)</f>
        <v>1</v>
      </c>
      <c r="E181" s="835">
        <f t="shared" ref="E181" si="767">IF(W181&gt;0,(W181/W181),0)</f>
        <v>0</v>
      </c>
      <c r="F181" s="835">
        <f t="shared" ref="F181" si="768">IF(X181&gt;0,(X181/X181),0)</f>
        <v>1</v>
      </c>
      <c r="G181" s="835">
        <f t="shared" ref="G181" si="769">IF(Y181&gt;0,(Y181/Y181),0)</f>
        <v>1</v>
      </c>
      <c r="H181" s="835">
        <f t="shared" ref="H181" si="770">IF(Z181&gt;0,(Z181/Z181),0)</f>
        <v>1</v>
      </c>
      <c r="I181" s="834">
        <f t="shared" ref="I181" si="771">IF(AA181&gt;0,(AA181/AA181),0)</f>
        <v>1</v>
      </c>
      <c r="J181" s="834">
        <f t="shared" ref="J181" si="772">IF(AB181&gt;0,(AB181/AB181),0)</f>
        <v>0</v>
      </c>
      <c r="K181" s="835">
        <f t="shared" ref="K181" si="773">IF(AC181&gt;0,(AC181/AC181),0)</f>
        <v>0</v>
      </c>
      <c r="L181" s="835">
        <f t="shared" ref="L181" si="774">IF(AD181&gt;0,(AD181/AD181),0)</f>
        <v>0</v>
      </c>
      <c r="M181" s="835">
        <f t="shared" ref="M181" si="775">IF(AE181&gt;0,(AE181/AE181),0)</f>
        <v>1</v>
      </c>
      <c r="N181" s="835">
        <f t="shared" ref="N181" si="776">IF(AF181&gt;0,(AF181/AF181),0)</f>
        <v>0</v>
      </c>
      <c r="O181" s="834">
        <f t="shared" ref="O181" si="777">IF(AG181&gt;0,(AG181/AG181),0)</f>
        <v>1</v>
      </c>
      <c r="P181" s="834">
        <f t="shared" ref="P181" si="778">IF(AH181&gt;0,(AH181/AH181),0)</f>
        <v>0</v>
      </c>
      <c r="Q181" s="835">
        <f t="shared" ref="Q181" si="779">IF(AI181&gt;0,(AI181/AI181),0)</f>
        <v>0</v>
      </c>
      <c r="R181" s="836">
        <f t="shared" ref="R181" si="780">IF(AJ181&gt;0,(AJ181/AJ181),0)</f>
        <v>0</v>
      </c>
      <c r="S181" s="834">
        <f t="shared" ref="S181" si="781">IF(AK181&gt;0,(AK181/AK181),0)</f>
        <v>0</v>
      </c>
      <c r="U181" s="816"/>
      <c r="V181" s="816">
        <v>1093</v>
      </c>
      <c r="W181" s="816"/>
      <c r="X181" s="816">
        <v>157</v>
      </c>
      <c r="Y181" s="816">
        <v>235</v>
      </c>
      <c r="Z181" s="816">
        <v>57</v>
      </c>
      <c r="AA181" s="805">
        <v>1542</v>
      </c>
      <c r="AB181" s="805"/>
      <c r="AC181" s="816"/>
      <c r="AD181" s="816"/>
      <c r="AE181" s="816">
        <v>219</v>
      </c>
      <c r="AF181" s="816"/>
      <c r="AG181" s="805">
        <v>219</v>
      </c>
      <c r="AH181" s="805"/>
      <c r="AI181" s="816"/>
      <c r="AJ181" s="817"/>
      <c r="AK181" s="805"/>
    </row>
    <row r="182" spans="1:37">
      <c r="A182" s="240" t="s">
        <v>158</v>
      </c>
      <c r="B182" s="240" t="s">
        <v>53</v>
      </c>
      <c r="C182" s="829">
        <f>IF(U187&gt;0,(U182/U187),0)</f>
        <v>0</v>
      </c>
      <c r="D182" s="830">
        <f t="shared" ref="D182" si="782">IF(V187&gt;0,(V182/V187),0)</f>
        <v>0.27397260273972601</v>
      </c>
      <c r="E182" s="830">
        <f t="shared" ref="E182" si="783">IF(W187&gt;0,(W182/W187),0)</f>
        <v>0</v>
      </c>
      <c r="F182" s="830">
        <f t="shared" ref="F182" si="784">IF(X187&gt;0,(X182/X187),0)</f>
        <v>0</v>
      </c>
      <c r="G182" s="830">
        <f t="shared" ref="G182" si="785">IF(Y187&gt;0,(Y182/Y187),0)</f>
        <v>0</v>
      </c>
      <c r="H182" s="830">
        <f t="shared" ref="H182" si="786">IF(Z187&gt;0,(Z182/Z187),0)</f>
        <v>0.32142857142857145</v>
      </c>
      <c r="I182" s="829">
        <f t="shared" ref="I182" si="787">IF(AA187&gt;0,(AA182/AA187),0)</f>
        <v>0.27706635622817227</v>
      </c>
      <c r="J182" s="829">
        <f t="shared" ref="J182" si="788">IF(AB187&gt;0,(AB182/AB187),0)</f>
        <v>0</v>
      </c>
      <c r="K182" s="830">
        <f t="shared" ref="K182" si="789">IF(AC187&gt;0,(AC182/AC187),0)</f>
        <v>0.60876132930513593</v>
      </c>
      <c r="L182" s="830">
        <f t="shared" ref="L182" si="790">IF(AD187&gt;0,(AD182/AD187),0)</f>
        <v>0.57499999999999996</v>
      </c>
      <c r="M182" s="830">
        <f t="shared" ref="M182" si="791">IF(AE187&gt;0,(AE182/AE187),0)</f>
        <v>0</v>
      </c>
      <c r="N182" s="830">
        <f t="shared" ref="N182" si="792">IF(AF187&gt;0,(AF182/AF187),0)</f>
        <v>0</v>
      </c>
      <c r="O182" s="829">
        <f t="shared" ref="O182" si="793">IF(AG187&gt;0,(AG182/AG187),0)</f>
        <v>0.60512129380053903</v>
      </c>
      <c r="P182" s="829">
        <f t="shared" ref="P182" si="794">IF(AH187&gt;0,(AH182/AH187),0)</f>
        <v>0</v>
      </c>
      <c r="Q182" s="830">
        <f t="shared" ref="Q182" si="795">IF(AI187&gt;0,(AI182/AI187),0)</f>
        <v>0</v>
      </c>
      <c r="R182" s="831">
        <f t="shared" ref="R182" si="796">IF(AJ187&gt;0,(AJ182/AJ187),0)</f>
        <v>0</v>
      </c>
      <c r="S182" s="829">
        <f t="shared" ref="S182" si="797">IF(AK187&gt;0,(AK182/AK187),0)</f>
        <v>0</v>
      </c>
      <c r="U182" s="349"/>
      <c r="V182" s="349">
        <v>440</v>
      </c>
      <c r="W182" s="349"/>
      <c r="X182" s="349"/>
      <c r="Y182" s="349"/>
      <c r="Z182" s="349">
        <v>36</v>
      </c>
      <c r="AA182" s="803">
        <v>476</v>
      </c>
      <c r="AB182" s="803"/>
      <c r="AC182" s="349">
        <v>403</v>
      </c>
      <c r="AD182" s="349">
        <v>46</v>
      </c>
      <c r="AE182" s="349"/>
      <c r="AF182" s="349"/>
      <c r="AG182" s="803">
        <v>449</v>
      </c>
      <c r="AH182" s="803"/>
      <c r="AI182" s="349"/>
      <c r="AJ182" s="812"/>
      <c r="AK182" s="803"/>
    </row>
    <row r="183" spans="1:37">
      <c r="A183" s="239"/>
      <c r="B183" s="239" t="s">
        <v>93</v>
      </c>
      <c r="C183" s="832">
        <f>IF(U187&gt;0,(U183/U187),0)</f>
        <v>0</v>
      </c>
      <c r="D183" s="830">
        <f t="shared" ref="D183" si="798">IF(V187&gt;0,(V183/V187),0)</f>
        <v>0.30635118306351183</v>
      </c>
      <c r="E183" s="830">
        <f t="shared" ref="E183" si="799">IF(W187&gt;0,(W183/W187),0)</f>
        <v>0</v>
      </c>
      <c r="F183" s="830">
        <f t="shared" ref="F183" si="800">IF(X187&gt;0,(X183/X187),0)</f>
        <v>0</v>
      </c>
      <c r="G183" s="830">
        <f t="shared" ref="G183" si="801">IF(Y187&gt;0,(Y183/Y187),0)</f>
        <v>0</v>
      </c>
      <c r="H183" s="830">
        <f t="shared" ref="H183" si="802">IF(Z187&gt;0,(Z183/Z187),0)</f>
        <v>1.7857142857142856E-2</v>
      </c>
      <c r="I183" s="832">
        <f t="shared" ref="I183" si="803">IF(AA187&gt;0,(AA183/AA187),0)</f>
        <v>0.28754365541327126</v>
      </c>
      <c r="J183" s="832">
        <f t="shared" ref="J183" si="804">IF(AB187&gt;0,(AB183/AB187),0)</f>
        <v>0</v>
      </c>
      <c r="K183" s="830">
        <f t="shared" ref="K183" si="805">IF(AC187&gt;0,(AC183/AC187),0)</f>
        <v>0</v>
      </c>
      <c r="L183" s="830">
        <f t="shared" ref="L183" si="806">IF(AD187&gt;0,(AD183/AD187),0)</f>
        <v>0</v>
      </c>
      <c r="M183" s="830">
        <f t="shared" ref="M183" si="807">IF(AE187&gt;0,(AE183/AE187),0)</f>
        <v>0</v>
      </c>
      <c r="N183" s="830">
        <f t="shared" ref="N183" si="808">IF(AF187&gt;0,(AF183/AF187),0)</f>
        <v>0</v>
      </c>
      <c r="O183" s="832">
        <f t="shared" ref="O183" si="809">IF(AG187&gt;0,(AG183/AG187),0)</f>
        <v>0</v>
      </c>
      <c r="P183" s="832">
        <f t="shared" ref="P183" si="810">IF(AH187&gt;0,(AH183/AH187),0)</f>
        <v>0</v>
      </c>
      <c r="Q183" s="830">
        <f t="shared" ref="Q183" si="811">IF(AI187&gt;0,(AI183/AI187),0)</f>
        <v>0</v>
      </c>
      <c r="R183" s="833">
        <f t="shared" ref="R183" si="812">IF(AJ187&gt;0,(AJ183/AJ187),0)</f>
        <v>0</v>
      </c>
      <c r="S183" s="832">
        <f t="shared" ref="S183" si="813">IF(AK187&gt;0,(AK183/AK187),0)</f>
        <v>0</v>
      </c>
      <c r="U183" s="349"/>
      <c r="V183" s="349">
        <v>492</v>
      </c>
      <c r="W183" s="349"/>
      <c r="X183" s="349"/>
      <c r="Y183" s="349"/>
      <c r="Z183" s="349">
        <v>2</v>
      </c>
      <c r="AA183" s="804">
        <v>494</v>
      </c>
      <c r="AB183" s="804"/>
      <c r="AC183" s="349"/>
      <c r="AD183" s="349"/>
      <c r="AE183" s="349"/>
      <c r="AF183" s="349"/>
      <c r="AG183" s="804"/>
      <c r="AH183" s="804"/>
      <c r="AI183" s="349"/>
      <c r="AJ183" s="813"/>
      <c r="AK183" s="804"/>
    </row>
    <row r="184" spans="1:37">
      <c r="A184" s="239"/>
      <c r="B184" s="239" t="s">
        <v>55</v>
      </c>
      <c r="C184" s="832">
        <f>IF(U187&gt;0,(U184/U187),0)</f>
        <v>0</v>
      </c>
      <c r="D184" s="830">
        <f t="shared" ref="D184" si="814">IF(V187&gt;0,(V184/V187),0)</f>
        <v>0.30884184308841844</v>
      </c>
      <c r="E184" s="830">
        <f t="shared" ref="E184" si="815">IF(W187&gt;0,(W184/W187),0)</f>
        <v>0</v>
      </c>
      <c r="F184" s="830">
        <f t="shared" ref="F184" si="816">IF(X187&gt;0,(X184/X187),0)</f>
        <v>0</v>
      </c>
      <c r="G184" s="830">
        <f t="shared" ref="G184" si="817">IF(Y187&gt;0,(Y184/Y187),0)</f>
        <v>0</v>
      </c>
      <c r="H184" s="830">
        <f t="shared" ref="H184" si="818">IF(Z187&gt;0,(Z184/Z187),0)</f>
        <v>0.14285714285714285</v>
      </c>
      <c r="I184" s="832">
        <f t="shared" ref="I184" si="819">IF(AA187&gt;0,(AA184/AA187),0)</f>
        <v>0.29802095459837019</v>
      </c>
      <c r="J184" s="832">
        <f t="shared" ref="J184" si="820">IF(AB187&gt;0,(AB184/AB187),0)</f>
        <v>0</v>
      </c>
      <c r="K184" s="830">
        <f t="shared" ref="K184" si="821">IF(AC187&gt;0,(AC184/AC187),0)</f>
        <v>0</v>
      </c>
      <c r="L184" s="830">
        <f t="shared" ref="L184" si="822">IF(AD187&gt;0,(AD184/AD187),0)</f>
        <v>0</v>
      </c>
      <c r="M184" s="830">
        <f t="shared" ref="M184" si="823">IF(AE187&gt;0,(AE184/AE187),0)</f>
        <v>0</v>
      </c>
      <c r="N184" s="830">
        <f t="shared" ref="N184" si="824">IF(AF187&gt;0,(AF184/AF187),0)</f>
        <v>0</v>
      </c>
      <c r="O184" s="832">
        <f t="shared" ref="O184" si="825">IF(AG187&gt;0,(AG184/AG187),0)</f>
        <v>0</v>
      </c>
      <c r="P184" s="832">
        <f t="shared" ref="P184" si="826">IF(AH187&gt;0,(AH184/AH187),0)</f>
        <v>0</v>
      </c>
      <c r="Q184" s="830">
        <f t="shared" ref="Q184" si="827">IF(AI187&gt;0,(AI184/AI187),0)</f>
        <v>0</v>
      </c>
      <c r="R184" s="833">
        <f t="shared" ref="R184" si="828">IF(AJ187&gt;0,(AJ184/AJ187),0)</f>
        <v>0</v>
      </c>
      <c r="S184" s="832">
        <f t="shared" ref="S184" si="829">IF(AK187&gt;0,(AK184/AK187),0)</f>
        <v>0</v>
      </c>
      <c r="U184" s="349"/>
      <c r="V184" s="349">
        <v>496</v>
      </c>
      <c r="W184" s="349"/>
      <c r="X184" s="349"/>
      <c r="Y184" s="349"/>
      <c r="Z184" s="349">
        <v>16</v>
      </c>
      <c r="AA184" s="804">
        <v>512</v>
      </c>
      <c r="AB184" s="804"/>
      <c r="AC184" s="349"/>
      <c r="AD184" s="349"/>
      <c r="AE184" s="349"/>
      <c r="AF184" s="349"/>
      <c r="AG184" s="804"/>
      <c r="AH184" s="804"/>
      <c r="AI184" s="349"/>
      <c r="AJ184" s="813"/>
      <c r="AK184" s="804"/>
    </row>
    <row r="185" spans="1:37">
      <c r="A185" s="239"/>
      <c r="B185" s="239" t="s">
        <v>78</v>
      </c>
      <c r="C185" s="832">
        <f>IF(U187&gt;0,(U185/U187),0)</f>
        <v>0</v>
      </c>
      <c r="D185" s="830">
        <f t="shared" ref="D185" si="830">IF(V187&gt;0,(V185/V187),0)</f>
        <v>5.9775840597758409E-2</v>
      </c>
      <c r="E185" s="830">
        <f t="shared" ref="E185" si="831">IF(W187&gt;0,(W185/W187),0)</f>
        <v>0</v>
      </c>
      <c r="F185" s="830">
        <f t="shared" ref="F185" si="832">IF(X187&gt;0,(X185/X187),0)</f>
        <v>0</v>
      </c>
      <c r="G185" s="830">
        <f t="shared" ref="G185" si="833">IF(Y187&gt;0,(Y185/Y187),0)</f>
        <v>0</v>
      </c>
      <c r="H185" s="830">
        <f t="shared" ref="H185" si="834">IF(Z187&gt;0,(Z185/Z187),0)</f>
        <v>0.2857142857142857</v>
      </c>
      <c r="I185" s="832">
        <f t="shared" ref="I185" si="835">IF(AA187&gt;0,(AA185/AA187),0)</f>
        <v>7.4505238649592548E-2</v>
      </c>
      <c r="J185" s="832">
        <f t="shared" ref="J185" si="836">IF(AB187&gt;0,(AB185/AB187),0)</f>
        <v>0</v>
      </c>
      <c r="K185" s="830">
        <f t="shared" ref="K185" si="837">IF(AC187&gt;0,(AC185/AC187),0)</f>
        <v>0.30362537764350456</v>
      </c>
      <c r="L185" s="830">
        <f t="shared" ref="L185" si="838">IF(AD187&gt;0,(AD185/AD187),0)</f>
        <v>0.42499999999999999</v>
      </c>
      <c r="M185" s="830">
        <f t="shared" ref="M185" si="839">IF(AE187&gt;0,(AE185/AE187),0)</f>
        <v>0</v>
      </c>
      <c r="N185" s="830">
        <f t="shared" ref="N185" si="840">IF(AF187&gt;0,(AF185/AF187),0)</f>
        <v>0</v>
      </c>
      <c r="O185" s="832">
        <f t="shared" ref="O185" si="841">IF(AG187&gt;0,(AG185/AG187),0)</f>
        <v>0.31671159029649598</v>
      </c>
      <c r="P185" s="832">
        <f t="shared" ref="P185" si="842">IF(AH187&gt;0,(AH185/AH187),0)</f>
        <v>0</v>
      </c>
      <c r="Q185" s="830">
        <f t="shared" ref="Q185" si="843">IF(AI187&gt;0,(AI185/AI187),0)</f>
        <v>0</v>
      </c>
      <c r="R185" s="833">
        <f t="shared" ref="R185" si="844">IF(AJ187&gt;0,(AJ185/AJ187),0)</f>
        <v>0</v>
      </c>
      <c r="S185" s="832">
        <f t="shared" ref="S185" si="845">IF(AK187&gt;0,(AK185/AK187),0)</f>
        <v>0</v>
      </c>
      <c r="U185" s="349"/>
      <c r="V185" s="349">
        <v>96</v>
      </c>
      <c r="W185" s="349"/>
      <c r="X185" s="349"/>
      <c r="Y185" s="349"/>
      <c r="Z185" s="349">
        <v>32</v>
      </c>
      <c r="AA185" s="804">
        <v>128</v>
      </c>
      <c r="AB185" s="804"/>
      <c r="AC185" s="349">
        <v>201</v>
      </c>
      <c r="AD185" s="349">
        <v>34</v>
      </c>
      <c r="AE185" s="349"/>
      <c r="AF185" s="349"/>
      <c r="AG185" s="804">
        <v>235</v>
      </c>
      <c r="AH185" s="804"/>
      <c r="AI185" s="349"/>
      <c r="AJ185" s="813"/>
      <c r="AK185" s="804"/>
    </row>
    <row r="186" spans="1:37">
      <c r="A186" s="580"/>
      <c r="B186" s="580" t="s">
        <v>131</v>
      </c>
      <c r="C186" s="832">
        <f>IF(U187&gt;0,(U186/U187),0)</f>
        <v>0</v>
      </c>
      <c r="D186" s="830">
        <f t="shared" ref="D186" si="846">IF(V187&gt;0,(V186/V187),0)</f>
        <v>5.1058530510585308E-2</v>
      </c>
      <c r="E186" s="830">
        <f t="shared" ref="E186" si="847">IF(W187&gt;0,(W186/W187),0)</f>
        <v>0</v>
      </c>
      <c r="F186" s="830">
        <f t="shared" ref="F186" si="848">IF(X187&gt;0,(X186/X187),0)</f>
        <v>0</v>
      </c>
      <c r="G186" s="830">
        <f t="shared" ref="G186" si="849">IF(Y187&gt;0,(Y186/Y187),0)</f>
        <v>0</v>
      </c>
      <c r="H186" s="830">
        <f t="shared" ref="H186" si="850">IF(Z187&gt;0,(Z186/Z187),0)</f>
        <v>0.23214285714285715</v>
      </c>
      <c r="I186" s="832">
        <f t="shared" ref="I186" si="851">IF(AA187&gt;0,(AA186/AA187),0)</f>
        <v>6.2863795110593715E-2</v>
      </c>
      <c r="J186" s="832">
        <f t="shared" ref="J186" si="852">IF(AB187&gt;0,(AB186/AB187),0)</f>
        <v>0</v>
      </c>
      <c r="K186" s="830">
        <f t="shared" ref="K186" si="853">IF(AC187&gt;0,(AC186/AC187),0)</f>
        <v>8.7613293051359523E-2</v>
      </c>
      <c r="L186" s="830">
        <f t="shared" ref="L186" si="854">IF(AD187&gt;0,(AD186/AD187),0)</f>
        <v>0</v>
      </c>
      <c r="M186" s="830">
        <f t="shared" ref="M186" si="855">IF(AE187&gt;0,(AE186/AE187),0)</f>
        <v>0</v>
      </c>
      <c r="N186" s="830">
        <f t="shared" ref="N186" si="856">IF(AF187&gt;0,(AF186/AF187),0)</f>
        <v>0</v>
      </c>
      <c r="O186" s="832">
        <f t="shared" ref="O186" si="857">IF(AG187&gt;0,(AG186/AG187),0)</f>
        <v>7.8167115902964962E-2</v>
      </c>
      <c r="P186" s="832">
        <f t="shared" ref="P186" si="858">IF(AH187&gt;0,(AH186/AH187),0)</f>
        <v>0</v>
      </c>
      <c r="Q186" s="830">
        <f t="shared" ref="Q186" si="859">IF(AI187&gt;0,(AI186/AI187),0)</f>
        <v>0</v>
      </c>
      <c r="R186" s="833">
        <f t="shared" ref="R186" si="860">IF(AJ187&gt;0,(AJ186/AJ187),0)</f>
        <v>0</v>
      </c>
      <c r="S186" s="832">
        <f t="shared" ref="S186" si="861">IF(AK187&gt;0,(AK186/AK187),0)</f>
        <v>0</v>
      </c>
      <c r="U186" s="349"/>
      <c r="V186" s="349">
        <v>82</v>
      </c>
      <c r="W186" s="349"/>
      <c r="X186" s="349"/>
      <c r="Y186" s="349"/>
      <c r="Z186" s="349">
        <v>26</v>
      </c>
      <c r="AA186" s="804">
        <v>108</v>
      </c>
      <c r="AB186" s="804"/>
      <c r="AC186" s="349">
        <v>58</v>
      </c>
      <c r="AD186" s="349"/>
      <c r="AE186" s="349"/>
      <c r="AF186" s="349"/>
      <c r="AG186" s="804">
        <v>58</v>
      </c>
      <c r="AH186" s="804"/>
      <c r="AI186" s="349"/>
      <c r="AJ186" s="813"/>
      <c r="AK186" s="804"/>
    </row>
    <row r="187" spans="1:37">
      <c r="A187" s="436"/>
      <c r="B187" s="436" t="s">
        <v>59</v>
      </c>
      <c r="C187" s="834">
        <f>IF(U187&gt;0,(U187/U187),0)</f>
        <v>0</v>
      </c>
      <c r="D187" s="835">
        <f t="shared" ref="D187" si="862">IF(V187&gt;0,(V187/V187),0)</f>
        <v>1</v>
      </c>
      <c r="E187" s="835">
        <f t="shared" ref="E187" si="863">IF(W187&gt;0,(W187/W187),0)</f>
        <v>0</v>
      </c>
      <c r="F187" s="835">
        <f t="shared" ref="F187" si="864">IF(X187&gt;0,(X187/X187),0)</f>
        <v>0</v>
      </c>
      <c r="G187" s="835">
        <f t="shared" ref="G187" si="865">IF(Y187&gt;0,(Y187/Y187),0)</f>
        <v>0</v>
      </c>
      <c r="H187" s="835">
        <f t="shared" ref="H187" si="866">IF(Z187&gt;0,(Z187/Z187),0)</f>
        <v>1</v>
      </c>
      <c r="I187" s="834">
        <f t="shared" ref="I187" si="867">IF(AA187&gt;0,(AA187/AA187),0)</f>
        <v>1</v>
      </c>
      <c r="J187" s="834">
        <f t="shared" ref="J187" si="868">IF(AB187&gt;0,(AB187/AB187),0)</f>
        <v>0</v>
      </c>
      <c r="K187" s="835">
        <f t="shared" ref="K187" si="869">IF(AC187&gt;0,(AC187/AC187),0)</f>
        <v>1</v>
      </c>
      <c r="L187" s="835">
        <f t="shared" ref="L187" si="870">IF(AD187&gt;0,(AD187/AD187),0)</f>
        <v>1</v>
      </c>
      <c r="M187" s="835">
        <f t="shared" ref="M187" si="871">IF(AE187&gt;0,(AE187/AE187),0)</f>
        <v>0</v>
      </c>
      <c r="N187" s="835">
        <f t="shared" ref="N187" si="872">IF(AF187&gt;0,(AF187/AF187),0)</f>
        <v>0</v>
      </c>
      <c r="O187" s="834">
        <f t="shared" ref="O187" si="873">IF(AG187&gt;0,(AG187/AG187),0)</f>
        <v>1</v>
      </c>
      <c r="P187" s="834">
        <f t="shared" ref="P187" si="874">IF(AH187&gt;0,(AH187/AH187),0)</f>
        <v>0</v>
      </c>
      <c r="Q187" s="835">
        <f t="shared" ref="Q187" si="875">IF(AI187&gt;0,(AI187/AI187),0)</f>
        <v>0</v>
      </c>
      <c r="R187" s="836">
        <f t="shared" ref="R187" si="876">IF(AJ187&gt;0,(AJ187/AJ187),0)</f>
        <v>0</v>
      </c>
      <c r="S187" s="834">
        <f t="shared" ref="S187" si="877">IF(AK187&gt;0,(AK187/AK187),0)</f>
        <v>0</v>
      </c>
      <c r="U187" s="816"/>
      <c r="V187" s="816">
        <v>1606</v>
      </c>
      <c r="W187" s="816"/>
      <c r="X187" s="816"/>
      <c r="Y187" s="816"/>
      <c r="Z187" s="816">
        <v>112</v>
      </c>
      <c r="AA187" s="805">
        <v>1718</v>
      </c>
      <c r="AB187" s="805"/>
      <c r="AC187" s="816">
        <v>662</v>
      </c>
      <c r="AD187" s="816">
        <v>80</v>
      </c>
      <c r="AE187" s="816"/>
      <c r="AF187" s="816"/>
      <c r="AG187" s="805">
        <v>742</v>
      </c>
      <c r="AH187" s="805"/>
      <c r="AI187" s="816"/>
      <c r="AJ187" s="817"/>
      <c r="AK187" s="805"/>
    </row>
    <row r="188" spans="1:37">
      <c r="A188" s="240" t="s">
        <v>157</v>
      </c>
      <c r="B188" s="240" t="s">
        <v>53</v>
      </c>
      <c r="C188" s="829">
        <f>IF(U193&gt;0,(U188/U193),0)</f>
        <v>0.35095613048368957</v>
      </c>
      <c r="D188" s="830">
        <f t="shared" ref="D188" si="878">IF(V193&gt;0,(V188/V193),0)</f>
        <v>0.31741140215716485</v>
      </c>
      <c r="E188" s="830">
        <f t="shared" ref="E188" si="879">IF(W193&gt;0,(W188/W193),0)</f>
        <v>0.22972972972972974</v>
      </c>
      <c r="F188" s="830">
        <f t="shared" ref="F188" si="880">IF(X193&gt;0,(X188/X193),0)</f>
        <v>0.18260869565217391</v>
      </c>
      <c r="G188" s="830">
        <f t="shared" ref="G188" si="881">IF(Y193&gt;0,(Y188/Y193),0)</f>
        <v>0.41176470588235292</v>
      </c>
      <c r="H188" s="830">
        <f t="shared" ref="H188" si="882">IF(Z193&gt;0,(Z188/Z193),0)</f>
        <v>0</v>
      </c>
      <c r="I188" s="829">
        <f t="shared" ref="I188" si="883">IF(AA193&gt;0,(AA188/AA193),0)</f>
        <v>0.32317393589069887</v>
      </c>
      <c r="J188" s="829">
        <f t="shared" ref="J188" si="884">IF(AB193&gt;0,(AB188/AB193),0)</f>
        <v>0</v>
      </c>
      <c r="K188" s="830">
        <f t="shared" ref="K188" si="885">IF(AC193&gt;0,(AC188/AC193),0)</f>
        <v>0</v>
      </c>
      <c r="L188" s="830">
        <f t="shared" ref="L188" si="886">IF(AD193&gt;0,(AD188/AD193),0)</f>
        <v>0.30434782608695654</v>
      </c>
      <c r="M188" s="830">
        <f t="shared" ref="M188" si="887">IF(AE193&gt;0,(AE188/AE193),0)</f>
        <v>7.5555555555555556E-2</v>
      </c>
      <c r="N188" s="830">
        <f t="shared" ref="N188" si="888">IF(AF193&gt;0,(AF188/AF193),0)</f>
        <v>0</v>
      </c>
      <c r="O188" s="829">
        <f t="shared" ref="O188" si="889">IF(AG193&gt;0,(AG188/AG193),0)</f>
        <v>0.1229000884173298</v>
      </c>
      <c r="P188" s="829">
        <f t="shared" ref="P188" si="890">IF(AH193&gt;0,(AH188/AH193),0)</f>
        <v>0</v>
      </c>
      <c r="Q188" s="830">
        <f t="shared" ref="Q188" si="891">IF(AI193&gt;0,(AI188/AI193),0)</f>
        <v>0</v>
      </c>
      <c r="R188" s="831">
        <f t="shared" ref="R188" si="892">IF(AJ193&gt;0,(AJ188/AJ193),0)</f>
        <v>0</v>
      </c>
      <c r="S188" s="829">
        <f t="shared" ref="S188" si="893">IF(AK193&gt;0,(AK188/AK193),0)</f>
        <v>0</v>
      </c>
      <c r="U188" s="349">
        <v>312</v>
      </c>
      <c r="V188" s="349">
        <v>206</v>
      </c>
      <c r="W188" s="349">
        <v>34</v>
      </c>
      <c r="X188" s="349">
        <v>21</v>
      </c>
      <c r="Y188" s="349">
        <v>42</v>
      </c>
      <c r="Z188" s="349"/>
      <c r="AA188" s="803">
        <v>615</v>
      </c>
      <c r="AB188" s="803"/>
      <c r="AC188" s="349"/>
      <c r="AD188" s="349">
        <v>105</v>
      </c>
      <c r="AE188" s="349">
        <v>34</v>
      </c>
      <c r="AF188" s="349"/>
      <c r="AG188" s="803">
        <v>139</v>
      </c>
      <c r="AH188" s="803"/>
      <c r="AI188" s="349"/>
      <c r="AJ188" s="812"/>
      <c r="AK188" s="803"/>
    </row>
    <row r="189" spans="1:37">
      <c r="A189" s="239"/>
      <c r="B189" s="239" t="s">
        <v>93</v>
      </c>
      <c r="C189" s="832">
        <f>IF(U193&gt;0,(U189/U193),0)</f>
        <v>0.27784026996625422</v>
      </c>
      <c r="D189" s="830">
        <f t="shared" ref="D189" si="894">IF(V193&gt;0,(V189/V193),0)</f>
        <v>0.31895223420647151</v>
      </c>
      <c r="E189" s="830">
        <f t="shared" ref="E189" si="895">IF(W193&gt;0,(W189/W193),0)</f>
        <v>0.22972972972972974</v>
      </c>
      <c r="F189" s="830">
        <f t="shared" ref="F189" si="896">IF(X193&gt;0,(X189/X193),0)</f>
        <v>0.29565217391304349</v>
      </c>
      <c r="G189" s="830">
        <f t="shared" ref="G189" si="897">IF(Y193&gt;0,(Y189/Y193),0)</f>
        <v>0.23529411764705882</v>
      </c>
      <c r="H189" s="830">
        <f t="shared" ref="H189" si="898">IF(Z193&gt;0,(Z189/Z193),0)</f>
        <v>0</v>
      </c>
      <c r="I189" s="832">
        <f t="shared" ref="I189" si="899">IF(AA193&gt;0,(AA189/AA193),0)</f>
        <v>0.28691539674198635</v>
      </c>
      <c r="J189" s="832">
        <f t="shared" ref="J189" si="900">IF(AB193&gt;0,(AB189/AB193),0)</f>
        <v>0</v>
      </c>
      <c r="K189" s="830">
        <f t="shared" ref="K189" si="901">IF(AC193&gt;0,(AC189/AC193),0)</f>
        <v>0</v>
      </c>
      <c r="L189" s="830">
        <f t="shared" ref="L189" si="902">IF(AD193&gt;0,(AD189/AD193),0)</f>
        <v>8.4057971014492749E-2</v>
      </c>
      <c r="M189" s="830">
        <f t="shared" ref="M189" si="903">IF(AE193&gt;0,(AE189/AE193),0)</f>
        <v>7.7777777777777779E-2</v>
      </c>
      <c r="N189" s="830">
        <f t="shared" ref="N189" si="904">IF(AF193&gt;0,(AF189/AF193),0)</f>
        <v>0</v>
      </c>
      <c r="O189" s="832">
        <f t="shared" ref="O189" si="905">IF(AG193&gt;0,(AG189/AG193),0)</f>
        <v>5.6587091069849688E-2</v>
      </c>
      <c r="P189" s="832">
        <f t="shared" ref="P189" si="906">IF(AH193&gt;0,(AH189/AH193),0)</f>
        <v>0</v>
      </c>
      <c r="Q189" s="830">
        <f t="shared" ref="Q189" si="907">IF(AI193&gt;0,(AI189/AI193),0)</f>
        <v>0</v>
      </c>
      <c r="R189" s="833">
        <f t="shared" ref="R189" si="908">IF(AJ193&gt;0,(AJ189/AJ193),0)</f>
        <v>0</v>
      </c>
      <c r="S189" s="832">
        <f t="shared" ref="S189" si="909">IF(AK193&gt;0,(AK189/AK193),0)</f>
        <v>0</v>
      </c>
      <c r="U189" s="349">
        <v>247</v>
      </c>
      <c r="V189" s="349">
        <v>207</v>
      </c>
      <c r="W189" s="349">
        <v>34</v>
      </c>
      <c r="X189" s="349">
        <v>34</v>
      </c>
      <c r="Y189" s="349">
        <v>24</v>
      </c>
      <c r="Z189" s="349"/>
      <c r="AA189" s="804">
        <v>546</v>
      </c>
      <c r="AB189" s="804"/>
      <c r="AC189" s="349"/>
      <c r="AD189" s="349">
        <v>29</v>
      </c>
      <c r="AE189" s="349">
        <v>35</v>
      </c>
      <c r="AF189" s="349"/>
      <c r="AG189" s="804">
        <v>64</v>
      </c>
      <c r="AH189" s="804"/>
      <c r="AI189" s="349"/>
      <c r="AJ189" s="813"/>
      <c r="AK189" s="804"/>
    </row>
    <row r="190" spans="1:37">
      <c r="A190" s="239"/>
      <c r="B190" s="239" t="s">
        <v>55</v>
      </c>
      <c r="C190" s="832">
        <f>IF(U193&gt;0,(U190/U193),0)</f>
        <v>0.23284589426321708</v>
      </c>
      <c r="D190" s="830">
        <f t="shared" ref="D190" si="910">IF(V193&gt;0,(V190/V193),0)</f>
        <v>0.31741140215716485</v>
      </c>
      <c r="E190" s="830">
        <f t="shared" ref="E190" si="911">IF(W193&gt;0,(W190/W193),0)</f>
        <v>0.36486486486486486</v>
      </c>
      <c r="F190" s="830">
        <f t="shared" ref="F190" si="912">IF(X193&gt;0,(X190/X193),0)</f>
        <v>0.17391304347826086</v>
      </c>
      <c r="G190" s="830">
        <f t="shared" ref="G190" si="913">IF(Y193&gt;0,(Y190/Y193),0)</f>
        <v>0.26470588235294118</v>
      </c>
      <c r="H190" s="830">
        <f t="shared" ref="H190" si="914">IF(Z193&gt;0,(Z190/Z193),0)</f>
        <v>0</v>
      </c>
      <c r="I190" s="832">
        <f t="shared" ref="I190" si="915">IF(AA193&gt;0,(AA190/AA193),0)</f>
        <v>0.27009984235417761</v>
      </c>
      <c r="J190" s="832">
        <f t="shared" ref="J190" si="916">IF(AB193&gt;0,(AB190/AB193),0)</f>
        <v>0</v>
      </c>
      <c r="K190" s="830">
        <f t="shared" ref="K190" si="917">IF(AC193&gt;0,(AC190/AC193),0)</f>
        <v>0</v>
      </c>
      <c r="L190" s="830">
        <f t="shared" ref="L190" si="918">IF(AD193&gt;0,(AD190/AD193),0)</f>
        <v>0.24057971014492754</v>
      </c>
      <c r="M190" s="830">
        <f t="shared" ref="M190" si="919">IF(AE193&gt;0,(AE190/AE193),0)</f>
        <v>9.7777777777777783E-2</v>
      </c>
      <c r="N190" s="830">
        <f t="shared" ref="N190" si="920">IF(AF193&gt;0,(AF190/AF193),0)</f>
        <v>0</v>
      </c>
      <c r="O190" s="832">
        <f t="shared" ref="O190" si="921">IF(AG193&gt;0,(AG190/AG193),0)</f>
        <v>0.11229000884173299</v>
      </c>
      <c r="P190" s="832">
        <f t="shared" ref="P190" si="922">IF(AH193&gt;0,(AH190/AH193),0)</f>
        <v>0</v>
      </c>
      <c r="Q190" s="830">
        <f t="shared" ref="Q190" si="923">IF(AI193&gt;0,(AI190/AI193),0)</f>
        <v>0</v>
      </c>
      <c r="R190" s="833">
        <f t="shared" ref="R190" si="924">IF(AJ193&gt;0,(AJ190/AJ193),0)</f>
        <v>0</v>
      </c>
      <c r="S190" s="832">
        <f t="shared" ref="S190" si="925">IF(AK193&gt;0,(AK190/AK193),0)</f>
        <v>0</v>
      </c>
      <c r="U190" s="349">
        <v>207</v>
      </c>
      <c r="V190" s="349">
        <v>206</v>
      </c>
      <c r="W190" s="349">
        <v>54</v>
      </c>
      <c r="X190" s="349">
        <v>20</v>
      </c>
      <c r="Y190" s="349">
        <v>27</v>
      </c>
      <c r="Z190" s="349"/>
      <c r="AA190" s="804">
        <v>514</v>
      </c>
      <c r="AB190" s="804"/>
      <c r="AC190" s="349"/>
      <c r="AD190" s="349">
        <v>83</v>
      </c>
      <c r="AE190" s="349">
        <v>44</v>
      </c>
      <c r="AF190" s="349"/>
      <c r="AG190" s="804">
        <v>127</v>
      </c>
      <c r="AH190" s="804"/>
      <c r="AI190" s="349"/>
      <c r="AJ190" s="813"/>
      <c r="AK190" s="804"/>
    </row>
    <row r="191" spans="1:37">
      <c r="A191" s="239"/>
      <c r="B191" s="239" t="s">
        <v>78</v>
      </c>
      <c r="C191" s="832">
        <f>IF(U193&gt;0,(U191/U193),0)</f>
        <v>1.799775028121485E-2</v>
      </c>
      <c r="D191" s="830">
        <f t="shared" ref="D191" si="926">IF(V193&gt;0,(V191/V193),0)</f>
        <v>4.3143297380585519E-2</v>
      </c>
      <c r="E191" s="830">
        <f t="shared" ref="E191" si="927">IF(W193&gt;0,(W191/W193),0)</f>
        <v>0.17567567567567569</v>
      </c>
      <c r="F191" s="830">
        <f t="shared" ref="F191" si="928">IF(X193&gt;0,(X191/X193),0)</f>
        <v>0</v>
      </c>
      <c r="G191" s="830">
        <f t="shared" ref="G191" si="929">IF(Y193&gt;0,(Y191/Y193),0)</f>
        <v>8.8235294117647065E-2</v>
      </c>
      <c r="H191" s="830">
        <f t="shared" ref="H191" si="930">IF(Z193&gt;0,(Z191/Z193),0)</f>
        <v>0</v>
      </c>
      <c r="I191" s="832">
        <f t="shared" ref="I191" si="931">IF(AA193&gt;0,(AA191/AA193),0)</f>
        <v>4.1513399894902783E-2</v>
      </c>
      <c r="J191" s="832">
        <f t="shared" ref="J191" si="932">IF(AB193&gt;0,(AB191/AB193),0)</f>
        <v>0</v>
      </c>
      <c r="K191" s="830">
        <f t="shared" ref="K191" si="933">IF(AC193&gt;0,(AC191/AC193),0)</f>
        <v>1</v>
      </c>
      <c r="L191" s="830">
        <f t="shared" ref="L191" si="934">IF(AD193&gt;0,(AD191/AD193),0)</f>
        <v>0.37101449275362319</v>
      </c>
      <c r="M191" s="830">
        <f t="shared" ref="M191" si="935">IF(AE193&gt;0,(AE191/AE193),0)</f>
        <v>0.54888888888888887</v>
      </c>
      <c r="N191" s="830">
        <f t="shared" ref="N191" si="936">IF(AF193&gt;0,(AF191/AF193),0)</f>
        <v>0</v>
      </c>
      <c r="O191" s="832">
        <f t="shared" ref="O191" si="937">IF(AG193&gt;0,(AG191/AG193),0)</f>
        <v>0.62864721485411146</v>
      </c>
      <c r="P191" s="832">
        <f t="shared" ref="P191" si="938">IF(AH193&gt;0,(AH191/AH193),0)</f>
        <v>0</v>
      </c>
      <c r="Q191" s="830">
        <f t="shared" ref="Q191" si="939">IF(AI193&gt;0,(AI191/AI193),0)</f>
        <v>0</v>
      </c>
      <c r="R191" s="833">
        <f t="shared" ref="R191" si="940">IF(AJ193&gt;0,(AJ191/AJ193),0)</f>
        <v>0</v>
      </c>
      <c r="S191" s="832">
        <f t="shared" ref="S191" si="941">IF(AK193&gt;0,(AK191/AK193),0)</f>
        <v>0</v>
      </c>
      <c r="U191" s="349">
        <v>16</v>
      </c>
      <c r="V191" s="349">
        <v>28</v>
      </c>
      <c r="W191" s="349">
        <v>26</v>
      </c>
      <c r="X191" s="349"/>
      <c r="Y191" s="349">
        <v>9</v>
      </c>
      <c r="Z191" s="349"/>
      <c r="AA191" s="804">
        <v>79</v>
      </c>
      <c r="AB191" s="804"/>
      <c r="AC191" s="349">
        <v>336</v>
      </c>
      <c r="AD191" s="349">
        <v>128</v>
      </c>
      <c r="AE191" s="349">
        <v>247</v>
      </c>
      <c r="AF191" s="349"/>
      <c r="AG191" s="804">
        <v>711</v>
      </c>
      <c r="AH191" s="804"/>
      <c r="AI191" s="349"/>
      <c r="AJ191" s="813"/>
      <c r="AK191" s="804"/>
    </row>
    <row r="192" spans="1:37">
      <c r="A192" s="580"/>
      <c r="B192" s="580" t="s">
        <v>131</v>
      </c>
      <c r="C192" s="832">
        <f>IF(U193&gt;0,(U192/U193),0)</f>
        <v>0.1203599550056243</v>
      </c>
      <c r="D192" s="830">
        <f t="shared" ref="D192" si="942">IF(V193&gt;0,(V192/V193),0)</f>
        <v>3.0816640986132513E-3</v>
      </c>
      <c r="E192" s="830">
        <f t="shared" ref="E192" si="943">IF(W193&gt;0,(W192/W193),0)</f>
        <v>0</v>
      </c>
      <c r="F192" s="830">
        <f t="shared" ref="F192" si="944">IF(X193&gt;0,(X192/X193),0)</f>
        <v>0.34782608695652173</v>
      </c>
      <c r="G192" s="830">
        <f t="shared" ref="G192" si="945">IF(Y193&gt;0,(Y192/Y193),0)</f>
        <v>0</v>
      </c>
      <c r="H192" s="830">
        <f t="shared" ref="H192" si="946">IF(Z193&gt;0,(Z192/Z193),0)</f>
        <v>0</v>
      </c>
      <c r="I192" s="832">
        <f t="shared" ref="I192" si="947">IF(AA193&gt;0,(AA192/AA193),0)</f>
        <v>7.8297425118234371E-2</v>
      </c>
      <c r="J192" s="832">
        <f t="shared" ref="J192" si="948">IF(AB193&gt;0,(AB192/AB193),0)</f>
        <v>0</v>
      </c>
      <c r="K192" s="830">
        <f t="shared" ref="K192" si="949">IF(AC193&gt;0,(AC192/AC193),0)</f>
        <v>0</v>
      </c>
      <c r="L192" s="830">
        <f t="shared" ref="L192" si="950">IF(AD193&gt;0,(AD192/AD193),0)</f>
        <v>0</v>
      </c>
      <c r="M192" s="830">
        <f t="shared" ref="M192" si="951">IF(AE193&gt;0,(AE192/AE193),0)</f>
        <v>0.2</v>
      </c>
      <c r="N192" s="830">
        <f t="shared" ref="N192" si="952">IF(AF193&gt;0,(AF192/AF193),0)</f>
        <v>0</v>
      </c>
      <c r="O192" s="832">
        <f t="shared" ref="O192" si="953">IF(AG193&gt;0,(AG192/AG193),0)</f>
        <v>7.9575596816976124E-2</v>
      </c>
      <c r="P192" s="832">
        <f t="shared" ref="P192" si="954">IF(AH193&gt;0,(AH192/AH193),0)</f>
        <v>0</v>
      </c>
      <c r="Q192" s="830">
        <f t="shared" ref="Q192" si="955">IF(AI193&gt;0,(AI192/AI193),0)</f>
        <v>0</v>
      </c>
      <c r="R192" s="833">
        <f t="shared" ref="R192" si="956">IF(AJ193&gt;0,(AJ192/AJ193),0)</f>
        <v>0</v>
      </c>
      <c r="S192" s="832">
        <f t="shared" ref="S192" si="957">IF(AK193&gt;0,(AK192/AK193),0)</f>
        <v>0</v>
      </c>
      <c r="U192" s="349">
        <v>107</v>
      </c>
      <c r="V192" s="349">
        <v>2</v>
      </c>
      <c r="W192" s="349"/>
      <c r="X192" s="349">
        <v>40</v>
      </c>
      <c r="Y192" s="349"/>
      <c r="Z192" s="349"/>
      <c r="AA192" s="804">
        <v>149</v>
      </c>
      <c r="AB192" s="804"/>
      <c r="AC192" s="349"/>
      <c r="AD192" s="349"/>
      <c r="AE192" s="349">
        <v>90</v>
      </c>
      <c r="AF192" s="349"/>
      <c r="AG192" s="804">
        <v>90</v>
      </c>
      <c r="AH192" s="804"/>
      <c r="AI192" s="349"/>
      <c r="AJ192" s="813"/>
      <c r="AK192" s="804"/>
    </row>
    <row r="193" spans="1:37">
      <c r="A193" s="436"/>
      <c r="B193" s="436" t="s">
        <v>59</v>
      </c>
      <c r="C193" s="834">
        <f>IF(U193&gt;0,(U193/U193),0)</f>
        <v>1</v>
      </c>
      <c r="D193" s="835">
        <f t="shared" ref="D193" si="958">IF(V193&gt;0,(V193/V193),0)</f>
        <v>1</v>
      </c>
      <c r="E193" s="835">
        <f t="shared" ref="E193" si="959">IF(W193&gt;0,(W193/W193),0)</f>
        <v>1</v>
      </c>
      <c r="F193" s="835">
        <f t="shared" ref="F193" si="960">IF(X193&gt;0,(X193/X193),0)</f>
        <v>1</v>
      </c>
      <c r="G193" s="835">
        <f t="shared" ref="G193" si="961">IF(Y193&gt;0,(Y193/Y193),0)</f>
        <v>1</v>
      </c>
      <c r="H193" s="835">
        <f t="shared" ref="H193" si="962">IF(Z193&gt;0,(Z193/Z193),0)</f>
        <v>0</v>
      </c>
      <c r="I193" s="834">
        <f t="shared" ref="I193" si="963">IF(AA193&gt;0,(AA193/AA193),0)</f>
        <v>1</v>
      </c>
      <c r="J193" s="834">
        <f t="shared" ref="J193" si="964">IF(AB193&gt;0,(AB193/AB193),0)</f>
        <v>0</v>
      </c>
      <c r="K193" s="835">
        <f t="shared" ref="K193" si="965">IF(AC193&gt;0,(AC193/AC193),0)</f>
        <v>1</v>
      </c>
      <c r="L193" s="835">
        <f t="shared" ref="L193" si="966">IF(AD193&gt;0,(AD193/AD193),0)</f>
        <v>1</v>
      </c>
      <c r="M193" s="835">
        <f t="shared" ref="M193" si="967">IF(AE193&gt;0,(AE193/AE193),0)</f>
        <v>1</v>
      </c>
      <c r="N193" s="835">
        <f t="shared" ref="N193" si="968">IF(AF193&gt;0,(AF193/AF193),0)</f>
        <v>0</v>
      </c>
      <c r="O193" s="834">
        <f t="shared" ref="O193" si="969">IF(AG193&gt;0,(AG193/AG193),0)</f>
        <v>1</v>
      </c>
      <c r="P193" s="834">
        <f t="shared" ref="P193" si="970">IF(AH193&gt;0,(AH193/AH193),0)</f>
        <v>0</v>
      </c>
      <c r="Q193" s="835">
        <f t="shared" ref="Q193" si="971">IF(AI193&gt;0,(AI193/AI193),0)</f>
        <v>0</v>
      </c>
      <c r="R193" s="836">
        <f t="shared" ref="R193" si="972">IF(AJ193&gt;0,(AJ193/AJ193),0)</f>
        <v>0</v>
      </c>
      <c r="S193" s="834">
        <f t="shared" ref="S193" si="973">IF(AK193&gt;0,(AK193/AK193),0)</f>
        <v>0</v>
      </c>
      <c r="U193" s="816">
        <v>889</v>
      </c>
      <c r="V193" s="816">
        <v>649</v>
      </c>
      <c r="W193" s="816">
        <v>148</v>
      </c>
      <c r="X193" s="816">
        <v>115</v>
      </c>
      <c r="Y193" s="816">
        <v>102</v>
      </c>
      <c r="Z193" s="816"/>
      <c r="AA193" s="805">
        <v>1903</v>
      </c>
      <c r="AB193" s="805"/>
      <c r="AC193" s="816">
        <v>336</v>
      </c>
      <c r="AD193" s="816">
        <v>345</v>
      </c>
      <c r="AE193" s="816">
        <v>450</v>
      </c>
      <c r="AF193" s="816"/>
      <c r="AG193" s="805">
        <v>1131</v>
      </c>
      <c r="AH193" s="805"/>
      <c r="AI193" s="816"/>
      <c r="AJ193" s="817"/>
      <c r="AK193" s="805"/>
    </row>
    <row r="194" spans="1:37">
      <c r="A194" s="240" t="s">
        <v>161</v>
      </c>
      <c r="B194" s="240" t="s">
        <v>53</v>
      </c>
      <c r="C194" s="829">
        <f>IF(U199&gt;0,(U194/U199),0)</f>
        <v>0.27324749642346208</v>
      </c>
      <c r="D194" s="830">
        <f t="shared" ref="D194" si="974">IF(V199&gt;0,(V194/V199),0)</f>
        <v>0.2982456140350877</v>
      </c>
      <c r="E194" s="830">
        <f t="shared" ref="E194" si="975">IF(W199&gt;0,(W194/W199),0)</f>
        <v>0</v>
      </c>
      <c r="F194" s="830">
        <f t="shared" ref="F194" si="976">IF(X199&gt;0,(X194/X199),0)</f>
        <v>0.3061797752808989</v>
      </c>
      <c r="G194" s="830">
        <f t="shared" ref="G194" si="977">IF(Y199&gt;0,(Y194/Y199),0)</f>
        <v>0.22222222222222221</v>
      </c>
      <c r="H194" s="830">
        <f t="shared" ref="H194" si="978">IF(Z199&gt;0,(Z194/Z199),0)</f>
        <v>0.22556390977443608</v>
      </c>
      <c r="I194" s="829">
        <f t="shared" ref="I194" si="979">IF(AA199&gt;0,(AA194/AA199),0)</f>
        <v>0.27937236892460771</v>
      </c>
      <c r="J194" s="829">
        <f t="shared" ref="J194" si="980">IF(AB199&gt;0,(AB194/AB199),0)</f>
        <v>0</v>
      </c>
      <c r="K194" s="830">
        <f t="shared" ref="K194" si="981">IF(AC199&gt;0,(AC194/AC199),0)</f>
        <v>0</v>
      </c>
      <c r="L194" s="830">
        <f t="shared" ref="L194" si="982">IF(AD199&gt;0,(AD194/AD199),0)</f>
        <v>4.0298507462686567E-2</v>
      </c>
      <c r="M194" s="830">
        <f t="shared" ref="M194" si="983">IF(AE199&gt;0,(AE194/AE199),0)</f>
        <v>6.6246056782334389E-2</v>
      </c>
      <c r="N194" s="830">
        <f t="shared" ref="N194" si="984">IF(AF199&gt;0,(AF194/AF199),0)</f>
        <v>0</v>
      </c>
      <c r="O194" s="829">
        <f t="shared" ref="O194" si="985">IF(AG199&gt;0,(AG194/AG199),0)</f>
        <v>2.6330224904004388E-2</v>
      </c>
      <c r="P194" s="829">
        <f t="shared" ref="P194" si="986">IF(AH199&gt;0,(AH194/AH199),0)</f>
        <v>0</v>
      </c>
      <c r="Q194" s="830">
        <f t="shared" ref="Q194" si="987">IF(AI199&gt;0,(AI194/AI199),0)</f>
        <v>0</v>
      </c>
      <c r="R194" s="831">
        <f t="shared" ref="R194" si="988">IF(AJ199&gt;0,(AJ194/AJ199),0)</f>
        <v>0</v>
      </c>
      <c r="S194" s="829">
        <f t="shared" ref="S194" si="989">IF(AK199&gt;0,(AK194/AK199),0)</f>
        <v>0</v>
      </c>
      <c r="U194" s="349">
        <v>382</v>
      </c>
      <c r="V194" s="349">
        <v>187</v>
      </c>
      <c r="W194" s="349"/>
      <c r="X194" s="349">
        <v>109</v>
      </c>
      <c r="Y194" s="349">
        <v>22</v>
      </c>
      <c r="Z194" s="349">
        <v>30</v>
      </c>
      <c r="AA194" s="803">
        <v>730</v>
      </c>
      <c r="AB194" s="803"/>
      <c r="AC194" s="349"/>
      <c r="AD194" s="349">
        <v>27</v>
      </c>
      <c r="AE194" s="349">
        <v>21</v>
      </c>
      <c r="AF194" s="349"/>
      <c r="AG194" s="803">
        <v>48</v>
      </c>
      <c r="AH194" s="803"/>
      <c r="AI194" s="349"/>
      <c r="AJ194" s="812"/>
      <c r="AK194" s="803"/>
    </row>
    <row r="195" spans="1:37">
      <c r="A195" s="239"/>
      <c r="B195" s="239" t="s">
        <v>93</v>
      </c>
      <c r="C195" s="832">
        <f>IF(U199&gt;0,(U195/U199),0)</f>
        <v>0.28397711015736765</v>
      </c>
      <c r="D195" s="830">
        <f t="shared" ref="D195" si="990">IF(V199&gt;0,(V195/V199),0)</f>
        <v>0.24401913875598086</v>
      </c>
      <c r="E195" s="830">
        <f t="shared" ref="E195" si="991">IF(W199&gt;0,(W195/W199),0)</f>
        <v>0</v>
      </c>
      <c r="F195" s="830">
        <f t="shared" ref="F195" si="992">IF(X199&gt;0,(X195/X199),0)</f>
        <v>0.31741573033707865</v>
      </c>
      <c r="G195" s="830">
        <f t="shared" ref="G195" si="993">IF(Y199&gt;0,(Y195/Y199),0)</f>
        <v>0.31313131313131315</v>
      </c>
      <c r="H195" s="830">
        <f t="shared" ref="H195" si="994">IF(Z199&gt;0,(Z195/Z199),0)</f>
        <v>0.33082706766917291</v>
      </c>
      <c r="I195" s="832">
        <f t="shared" ref="I195" si="995">IF(AA199&gt;0,(AA195/AA199),0)</f>
        <v>0.28243398392652125</v>
      </c>
      <c r="J195" s="832">
        <f t="shared" ref="J195" si="996">IF(AB199&gt;0,(AB195/AB199),0)</f>
        <v>0</v>
      </c>
      <c r="K195" s="830">
        <f t="shared" ref="K195" si="997">IF(AC199&gt;0,(AC195/AC199),0)</f>
        <v>0</v>
      </c>
      <c r="L195" s="830">
        <f t="shared" ref="L195" si="998">IF(AD199&gt;0,(AD195/AD199),0)</f>
        <v>5.3731343283582089E-2</v>
      </c>
      <c r="M195" s="830">
        <f t="shared" ref="M195" si="999">IF(AE199&gt;0,(AE195/AE199),0)</f>
        <v>2.2082018927444796E-2</v>
      </c>
      <c r="N195" s="830">
        <f t="shared" ref="N195" si="1000">IF(AF199&gt;0,(AF195/AF199),0)</f>
        <v>0</v>
      </c>
      <c r="O195" s="832">
        <f t="shared" ref="O195" si="1001">IF(AG199&gt;0,(AG195/AG199),0)</f>
        <v>2.3587493143170598E-2</v>
      </c>
      <c r="P195" s="832">
        <f t="shared" ref="P195" si="1002">IF(AH199&gt;0,(AH195/AH199),0)</f>
        <v>0</v>
      </c>
      <c r="Q195" s="830">
        <f t="shared" ref="Q195" si="1003">IF(AI199&gt;0,(AI195/AI199),0)</f>
        <v>0</v>
      </c>
      <c r="R195" s="833">
        <f t="shared" ref="R195" si="1004">IF(AJ199&gt;0,(AJ195/AJ199),0)</f>
        <v>0</v>
      </c>
      <c r="S195" s="832">
        <f t="shared" ref="S195" si="1005">IF(AK199&gt;0,(AK195/AK199),0)</f>
        <v>0</v>
      </c>
      <c r="U195" s="349">
        <v>397</v>
      </c>
      <c r="V195" s="349">
        <v>153</v>
      </c>
      <c r="W195" s="349"/>
      <c r="X195" s="349">
        <v>113</v>
      </c>
      <c r="Y195" s="349">
        <v>31</v>
      </c>
      <c r="Z195" s="349">
        <v>44</v>
      </c>
      <c r="AA195" s="804">
        <v>738</v>
      </c>
      <c r="AB195" s="804"/>
      <c r="AC195" s="349"/>
      <c r="AD195" s="349">
        <v>36</v>
      </c>
      <c r="AE195" s="349">
        <v>7</v>
      </c>
      <c r="AF195" s="349"/>
      <c r="AG195" s="804">
        <v>43</v>
      </c>
      <c r="AH195" s="804"/>
      <c r="AI195" s="349"/>
      <c r="AJ195" s="813"/>
      <c r="AK195" s="804"/>
    </row>
    <row r="196" spans="1:37">
      <c r="A196" s="239"/>
      <c r="B196" s="239" t="s">
        <v>55</v>
      </c>
      <c r="C196" s="832">
        <f>IF(U199&gt;0,(U196/U199),0)</f>
        <v>0.25464949928469244</v>
      </c>
      <c r="D196" s="830">
        <f t="shared" ref="D196" si="1006">IF(V199&gt;0,(V196/V199),0)</f>
        <v>0.29665071770334928</v>
      </c>
      <c r="E196" s="830">
        <f t="shared" ref="E196" si="1007">IF(W199&gt;0,(W196/W199),0)</f>
        <v>0</v>
      </c>
      <c r="F196" s="830">
        <f t="shared" ref="F196" si="1008">IF(X199&gt;0,(X196/X199),0)</f>
        <v>0.23314606741573032</v>
      </c>
      <c r="G196" s="830">
        <f t="shared" ref="G196" si="1009">IF(Y199&gt;0,(Y196/Y199),0)</f>
        <v>0.38383838383838381</v>
      </c>
      <c r="H196" s="830">
        <f t="shared" ref="H196" si="1010">IF(Z199&gt;0,(Z196/Z199),0)</f>
        <v>0.33082706766917291</v>
      </c>
      <c r="I196" s="832">
        <f t="shared" ref="I196" si="1011">IF(AA199&gt;0,(AA196/AA199),0)</f>
        <v>0.27057022579410639</v>
      </c>
      <c r="J196" s="832">
        <f t="shared" ref="J196" si="1012">IF(AB199&gt;0,(AB196/AB199),0)</f>
        <v>0</v>
      </c>
      <c r="K196" s="830">
        <f t="shared" ref="K196" si="1013">IF(AC199&gt;0,(AC196/AC199),0)</f>
        <v>0</v>
      </c>
      <c r="L196" s="830">
        <f t="shared" ref="L196" si="1014">IF(AD199&gt;0,(AD196/AD199),0)</f>
        <v>3.2835820895522387E-2</v>
      </c>
      <c r="M196" s="830">
        <f t="shared" ref="M196" si="1015">IF(AE199&gt;0,(AE196/AE199),0)</f>
        <v>2.2082018927444796E-2</v>
      </c>
      <c r="N196" s="830">
        <f t="shared" ref="N196" si="1016">IF(AF199&gt;0,(AF196/AF199),0)</f>
        <v>0</v>
      </c>
      <c r="O196" s="832">
        <f t="shared" ref="O196" si="1017">IF(AG199&gt;0,(AG196/AG199),0)</f>
        <v>1.5907844212835986E-2</v>
      </c>
      <c r="P196" s="832">
        <f t="shared" ref="P196" si="1018">IF(AH199&gt;0,(AH196/AH199),0)</f>
        <v>0</v>
      </c>
      <c r="Q196" s="830">
        <f t="shared" ref="Q196" si="1019">IF(AI199&gt;0,(AI196/AI199),0)</f>
        <v>0</v>
      </c>
      <c r="R196" s="833">
        <f t="shared" ref="R196" si="1020">IF(AJ199&gt;0,(AJ196/AJ199),0)</f>
        <v>0</v>
      </c>
      <c r="S196" s="832">
        <f t="shared" ref="S196" si="1021">IF(AK199&gt;0,(AK196/AK199),0)</f>
        <v>0</v>
      </c>
      <c r="U196" s="349">
        <v>356</v>
      </c>
      <c r="V196" s="349">
        <v>186</v>
      </c>
      <c r="W196" s="349"/>
      <c r="X196" s="349">
        <v>83</v>
      </c>
      <c r="Y196" s="349">
        <v>38</v>
      </c>
      <c r="Z196" s="349">
        <v>44</v>
      </c>
      <c r="AA196" s="804">
        <v>707</v>
      </c>
      <c r="AB196" s="804"/>
      <c r="AC196" s="349"/>
      <c r="AD196" s="349">
        <v>22</v>
      </c>
      <c r="AE196" s="349">
        <v>7</v>
      </c>
      <c r="AF196" s="349"/>
      <c r="AG196" s="804">
        <v>29</v>
      </c>
      <c r="AH196" s="804"/>
      <c r="AI196" s="349"/>
      <c r="AJ196" s="813"/>
      <c r="AK196" s="804"/>
    </row>
    <row r="197" spans="1:37">
      <c r="A197" s="239"/>
      <c r="B197" s="239" t="s">
        <v>78</v>
      </c>
      <c r="C197" s="832">
        <f>IF(U199&gt;0,(U197/U199),0)</f>
        <v>0.16165951359084407</v>
      </c>
      <c r="D197" s="830">
        <f t="shared" ref="D197" si="1022">IF(V199&gt;0,(V197/V199),0)</f>
        <v>0.15629984051036683</v>
      </c>
      <c r="E197" s="830">
        <f t="shared" ref="E197" si="1023">IF(W199&gt;0,(W197/W199),0)</f>
        <v>0</v>
      </c>
      <c r="F197" s="830">
        <f t="shared" ref="F197" si="1024">IF(X199&gt;0,(X197/X199),0)</f>
        <v>0.11235955056179775</v>
      </c>
      <c r="G197" s="830">
        <f t="shared" ref="G197" si="1025">IF(Y199&gt;0,(Y197/Y199),0)</f>
        <v>8.0808080808080815E-2</v>
      </c>
      <c r="H197" s="830">
        <f t="shared" ref="H197" si="1026">IF(Z199&gt;0,(Z197/Z199),0)</f>
        <v>0.11278195488721804</v>
      </c>
      <c r="I197" s="832">
        <f t="shared" ref="I197" si="1027">IF(AA199&gt;0,(AA197/AA199),0)</f>
        <v>0.14810562571756603</v>
      </c>
      <c r="J197" s="832">
        <f t="shared" ref="J197" si="1028">IF(AB199&gt;0,(AB197/AB199),0)</f>
        <v>0</v>
      </c>
      <c r="K197" s="830">
        <f t="shared" ref="K197" si="1029">IF(AC199&gt;0,(AC197/AC199),0)</f>
        <v>1</v>
      </c>
      <c r="L197" s="830">
        <f t="shared" ref="L197" si="1030">IF(AD199&gt;0,(AD197/AD199),0)</f>
        <v>0.63582089552238807</v>
      </c>
      <c r="M197" s="830">
        <f t="shared" ref="M197" si="1031">IF(AE199&gt;0,(AE197/AE199),0)</f>
        <v>0.56151419558359617</v>
      </c>
      <c r="N197" s="830">
        <f t="shared" ref="N197" si="1032">IF(AF199&gt;0,(AF197/AF199),0)</f>
        <v>0</v>
      </c>
      <c r="O197" s="832">
        <f t="shared" ref="O197" si="1033">IF(AG199&gt;0,(AG197/AG199),0)</f>
        <v>0.78990674712013165</v>
      </c>
      <c r="P197" s="832">
        <f t="shared" ref="P197" si="1034">IF(AH199&gt;0,(AH197/AH199),0)</f>
        <v>0</v>
      </c>
      <c r="Q197" s="830">
        <f t="shared" ref="Q197" si="1035">IF(AI199&gt;0,(AI197/AI199),0)</f>
        <v>0</v>
      </c>
      <c r="R197" s="833">
        <f t="shared" ref="R197" si="1036">IF(AJ199&gt;0,(AJ197/AJ199),0)</f>
        <v>0</v>
      </c>
      <c r="S197" s="832">
        <f t="shared" ref="S197" si="1037">IF(AK199&gt;0,(AK197/AK199),0)</f>
        <v>0</v>
      </c>
      <c r="U197" s="349">
        <v>226</v>
      </c>
      <c r="V197" s="349">
        <v>98</v>
      </c>
      <c r="W197" s="349"/>
      <c r="X197" s="349">
        <v>40</v>
      </c>
      <c r="Y197" s="349">
        <v>8</v>
      </c>
      <c r="Z197" s="349">
        <v>15</v>
      </c>
      <c r="AA197" s="804">
        <v>387</v>
      </c>
      <c r="AB197" s="804"/>
      <c r="AC197" s="349">
        <v>836</v>
      </c>
      <c r="AD197" s="349">
        <v>426</v>
      </c>
      <c r="AE197" s="349">
        <v>178</v>
      </c>
      <c r="AF197" s="349"/>
      <c r="AG197" s="804">
        <v>1440</v>
      </c>
      <c r="AH197" s="804"/>
      <c r="AI197" s="349"/>
      <c r="AJ197" s="813"/>
      <c r="AK197" s="804"/>
    </row>
    <row r="198" spans="1:37">
      <c r="A198" s="580"/>
      <c r="B198" s="580" t="s">
        <v>131</v>
      </c>
      <c r="C198" s="832">
        <f>IF(U199&gt;0,(U198/U199),0)</f>
        <v>2.6466380543633764E-2</v>
      </c>
      <c r="D198" s="830">
        <f t="shared" ref="D198" si="1038">IF(V199&gt;0,(V198/V199),0)</f>
        <v>4.7846889952153108E-3</v>
      </c>
      <c r="E198" s="830">
        <f t="shared" ref="E198" si="1039">IF(W199&gt;0,(W198/W199),0)</f>
        <v>0</v>
      </c>
      <c r="F198" s="830">
        <f t="shared" ref="F198" si="1040">IF(X199&gt;0,(X198/X199),0)</f>
        <v>3.0898876404494381E-2</v>
      </c>
      <c r="G198" s="830">
        <f t="shared" ref="G198" si="1041">IF(Y199&gt;0,(Y198/Y199),0)</f>
        <v>0</v>
      </c>
      <c r="H198" s="830">
        <f t="shared" ref="H198" si="1042">IF(Z199&gt;0,(Z198/Z199),0)</f>
        <v>0</v>
      </c>
      <c r="I198" s="832">
        <f t="shared" ref="I198" si="1043">IF(AA199&gt;0,(AA198/AA199),0)</f>
        <v>1.9517795637198621E-2</v>
      </c>
      <c r="J198" s="832">
        <f t="shared" ref="J198" si="1044">IF(AB199&gt;0,(AB198/AB199),0)</f>
        <v>0</v>
      </c>
      <c r="K198" s="830">
        <f t="shared" ref="K198" si="1045">IF(AC199&gt;0,(AC198/AC199),0)</f>
        <v>0</v>
      </c>
      <c r="L198" s="830">
        <f t="shared" ref="L198" si="1046">IF(AD199&gt;0,(AD198/AD199),0)</f>
        <v>0.2373134328358209</v>
      </c>
      <c r="M198" s="830">
        <f t="shared" ref="M198" si="1047">IF(AE199&gt;0,(AE198/AE199),0)</f>
        <v>0.32807570977917982</v>
      </c>
      <c r="N198" s="830">
        <f t="shared" ref="N198" si="1048">IF(AF199&gt;0,(AF198/AF199),0)</f>
        <v>0</v>
      </c>
      <c r="O198" s="832">
        <f t="shared" ref="O198" si="1049">IF(AG199&gt;0,(AG198/AG199),0)</f>
        <v>0.14426769061985739</v>
      </c>
      <c r="P198" s="832">
        <f t="shared" ref="P198" si="1050">IF(AH199&gt;0,(AH198/AH199),0)</f>
        <v>0</v>
      </c>
      <c r="Q198" s="830">
        <f t="shared" ref="Q198" si="1051">IF(AI199&gt;0,(AI198/AI199),0)</f>
        <v>0</v>
      </c>
      <c r="R198" s="833">
        <f t="shared" ref="R198" si="1052">IF(AJ199&gt;0,(AJ198/AJ199),0)</f>
        <v>0</v>
      </c>
      <c r="S198" s="832">
        <f t="shared" ref="S198" si="1053">IF(AK199&gt;0,(AK198/AK199),0)</f>
        <v>0</v>
      </c>
      <c r="U198" s="349">
        <v>37</v>
      </c>
      <c r="V198" s="349">
        <v>3</v>
      </c>
      <c r="W198" s="349"/>
      <c r="X198" s="349">
        <v>11</v>
      </c>
      <c r="Y198" s="349"/>
      <c r="Z198" s="349"/>
      <c r="AA198" s="804">
        <v>51</v>
      </c>
      <c r="AB198" s="804"/>
      <c r="AC198" s="349"/>
      <c r="AD198" s="349">
        <v>159</v>
      </c>
      <c r="AE198" s="349">
        <v>104</v>
      </c>
      <c r="AF198" s="349"/>
      <c r="AG198" s="804">
        <v>263</v>
      </c>
      <c r="AH198" s="804"/>
      <c r="AI198" s="349"/>
      <c r="AJ198" s="813"/>
      <c r="AK198" s="804"/>
    </row>
    <row r="199" spans="1:37">
      <c r="A199" s="436"/>
      <c r="B199" s="436" t="s">
        <v>59</v>
      </c>
      <c r="C199" s="834">
        <f>IF(U199&gt;0,(U199/U199),0)</f>
        <v>1</v>
      </c>
      <c r="D199" s="835">
        <f t="shared" ref="D199" si="1054">IF(V199&gt;0,(V199/V199),0)</f>
        <v>1</v>
      </c>
      <c r="E199" s="835">
        <f t="shared" ref="E199" si="1055">IF(W199&gt;0,(W199/W199),0)</f>
        <v>0</v>
      </c>
      <c r="F199" s="835">
        <f t="shared" ref="F199" si="1056">IF(X199&gt;0,(X199/X199),0)</f>
        <v>1</v>
      </c>
      <c r="G199" s="835">
        <f t="shared" ref="G199" si="1057">IF(Y199&gt;0,(Y199/Y199),0)</f>
        <v>1</v>
      </c>
      <c r="H199" s="835">
        <f t="shared" ref="H199" si="1058">IF(Z199&gt;0,(Z199/Z199),0)</f>
        <v>1</v>
      </c>
      <c r="I199" s="834">
        <f t="shared" ref="I199" si="1059">IF(AA199&gt;0,(AA199/AA199),0)</f>
        <v>1</v>
      </c>
      <c r="J199" s="834">
        <f t="shared" ref="J199" si="1060">IF(AB199&gt;0,(AB199/AB199),0)</f>
        <v>0</v>
      </c>
      <c r="K199" s="835">
        <f t="shared" ref="K199" si="1061">IF(AC199&gt;0,(AC199/AC199),0)</f>
        <v>1</v>
      </c>
      <c r="L199" s="835">
        <f t="shared" ref="L199" si="1062">IF(AD199&gt;0,(AD199/AD199),0)</f>
        <v>1</v>
      </c>
      <c r="M199" s="835">
        <f t="shared" ref="M199" si="1063">IF(AE199&gt;0,(AE199/AE199),0)</f>
        <v>1</v>
      </c>
      <c r="N199" s="835">
        <f t="shared" ref="N199" si="1064">IF(AF199&gt;0,(AF199/AF199),0)</f>
        <v>0</v>
      </c>
      <c r="O199" s="834">
        <f t="shared" ref="O199" si="1065">IF(AG199&gt;0,(AG199/AG199),0)</f>
        <v>1</v>
      </c>
      <c r="P199" s="834">
        <f t="shared" ref="P199" si="1066">IF(AH199&gt;0,(AH199/AH199),0)</f>
        <v>0</v>
      </c>
      <c r="Q199" s="835">
        <f t="shared" ref="Q199" si="1067">IF(AI199&gt;0,(AI199/AI199),0)</f>
        <v>0</v>
      </c>
      <c r="R199" s="836">
        <f t="shared" ref="R199" si="1068">IF(AJ199&gt;0,(AJ199/AJ199),0)</f>
        <v>0</v>
      </c>
      <c r="S199" s="834">
        <f t="shared" ref="S199" si="1069">IF(AK199&gt;0,(AK199/AK199),0)</f>
        <v>0</v>
      </c>
      <c r="U199" s="816">
        <v>1398</v>
      </c>
      <c r="V199" s="816">
        <v>627</v>
      </c>
      <c r="W199" s="816"/>
      <c r="X199" s="816">
        <v>356</v>
      </c>
      <c r="Y199" s="816">
        <v>99</v>
      </c>
      <c r="Z199" s="816">
        <v>133</v>
      </c>
      <c r="AA199" s="805">
        <v>2613</v>
      </c>
      <c r="AB199" s="805"/>
      <c r="AC199" s="816">
        <v>836</v>
      </c>
      <c r="AD199" s="816">
        <v>670</v>
      </c>
      <c r="AE199" s="816">
        <v>317</v>
      </c>
      <c r="AF199" s="816"/>
      <c r="AG199" s="805">
        <v>1823</v>
      </c>
      <c r="AH199" s="805"/>
      <c r="AI199" s="816"/>
      <c r="AJ199" s="817"/>
      <c r="AK199" s="805"/>
    </row>
    <row r="200" spans="1:37">
      <c r="A200" s="240" t="s">
        <v>165</v>
      </c>
      <c r="B200" s="240" t="s">
        <v>53</v>
      </c>
      <c r="C200" s="829">
        <f>IF(U205&gt;0,(U200/U205),0)</f>
        <v>0.32125205930807249</v>
      </c>
      <c r="D200" s="830">
        <f t="shared" ref="D200" si="1070">IF(V205&gt;0,(V200/V205),0)</f>
        <v>0.31213872832369943</v>
      </c>
      <c r="E200" s="830">
        <f t="shared" ref="E200" si="1071">IF(W205&gt;0,(W200/W205),0)</f>
        <v>0</v>
      </c>
      <c r="F200" s="830">
        <f t="shared" ref="F200" si="1072">IF(X205&gt;0,(X200/X205),0)</f>
        <v>0</v>
      </c>
      <c r="G200" s="830">
        <f t="shared" ref="G200" si="1073">IF(Y205&gt;0,(Y200/Y205),0)</f>
        <v>0.29445234708392604</v>
      </c>
      <c r="H200" s="830">
        <f t="shared" ref="H200" si="1074">IF(Z205&gt;0,(Z200/Z205),0)</f>
        <v>0.22718446601941747</v>
      </c>
      <c r="I200" s="829">
        <f t="shared" ref="I200" si="1075">IF(AA205&gt;0,(AA200/AA205),0)</f>
        <v>0.29769526248399486</v>
      </c>
      <c r="J200" s="829">
        <f t="shared" ref="J200" si="1076">IF(AB205&gt;0,(AB200/AB205),0)</f>
        <v>0</v>
      </c>
      <c r="K200" s="830">
        <f t="shared" ref="K200" si="1077">IF(AC205&gt;0,(AC200/AC205),0)</f>
        <v>0.17045454545454544</v>
      </c>
      <c r="L200" s="830">
        <f t="shared" ref="L200" si="1078">IF(AD205&gt;0,(AD200/AD205),0)</f>
        <v>0.18333333333333332</v>
      </c>
      <c r="M200" s="830">
        <f t="shared" ref="M200" si="1079">IF(AE205&gt;0,(AE200/AE205),0)</f>
        <v>0</v>
      </c>
      <c r="N200" s="830">
        <f t="shared" ref="N200" si="1080">IF(AF205&gt;0,(AF200/AF205),0)</f>
        <v>0</v>
      </c>
      <c r="O200" s="829">
        <f t="shared" ref="O200" si="1081">IF(AG205&gt;0,(AG200/AG205),0)</f>
        <v>0.11664295874822191</v>
      </c>
      <c r="P200" s="829">
        <f t="shared" ref="P200" si="1082">IF(AH205&gt;0,(AH200/AH205),0)</f>
        <v>0</v>
      </c>
      <c r="Q200" s="830">
        <f t="shared" ref="Q200" si="1083">IF(AI205&gt;0,(AI200/AI205),0)</f>
        <v>0</v>
      </c>
      <c r="R200" s="831">
        <f t="shared" ref="R200" si="1084">IF(AJ205&gt;0,(AJ200/AJ205),0)</f>
        <v>0</v>
      </c>
      <c r="S200" s="829">
        <f t="shared" ref="S200" si="1085">IF(AK205&gt;0,(AK200/AK205),0)</f>
        <v>0</v>
      </c>
      <c r="U200" s="349">
        <v>390</v>
      </c>
      <c r="V200" s="349">
        <v>216</v>
      </c>
      <c r="W200" s="349"/>
      <c r="X200" s="349"/>
      <c r="Y200" s="349">
        <v>207</v>
      </c>
      <c r="Z200" s="349">
        <v>117</v>
      </c>
      <c r="AA200" s="803">
        <v>930</v>
      </c>
      <c r="AB200" s="803"/>
      <c r="AC200" s="349">
        <v>60</v>
      </c>
      <c r="AD200" s="349">
        <v>22</v>
      </c>
      <c r="AE200" s="349"/>
      <c r="AF200" s="349"/>
      <c r="AG200" s="803">
        <v>82</v>
      </c>
      <c r="AH200" s="803"/>
      <c r="AI200" s="349"/>
      <c r="AJ200" s="812"/>
      <c r="AK200" s="803"/>
    </row>
    <row r="201" spans="1:37">
      <c r="A201" s="239"/>
      <c r="B201" s="239" t="s">
        <v>93</v>
      </c>
      <c r="C201" s="832">
        <f>IF(U205&gt;0,(U201/U205),0)</f>
        <v>0.21499176276771004</v>
      </c>
      <c r="D201" s="830">
        <f t="shared" ref="D201" si="1086">IF(V205&gt;0,(V201/V205),0)</f>
        <v>0.28179190751445088</v>
      </c>
      <c r="E201" s="830">
        <f t="shared" ref="E201" si="1087">IF(W205&gt;0,(W201/W205),0)</f>
        <v>0</v>
      </c>
      <c r="F201" s="830">
        <f t="shared" ref="F201" si="1088">IF(X205&gt;0,(X201/X205),0)</f>
        <v>0</v>
      </c>
      <c r="G201" s="830">
        <f t="shared" ref="G201" si="1089">IF(Y205&gt;0,(Y201/Y205),0)</f>
        <v>0.26315789473684209</v>
      </c>
      <c r="H201" s="830">
        <f t="shared" ref="H201" si="1090">IF(Z205&gt;0,(Z201/Z205),0)</f>
        <v>0.34563106796116505</v>
      </c>
      <c r="I201" s="832">
        <f t="shared" ref="I201" si="1091">IF(AA205&gt;0,(AA201/AA205),0)</f>
        <v>0.26216389244558258</v>
      </c>
      <c r="J201" s="832">
        <f t="shared" ref="J201" si="1092">IF(AB205&gt;0,(AB201/AB205),0)</f>
        <v>0</v>
      </c>
      <c r="K201" s="830">
        <f t="shared" ref="K201" si="1093">IF(AC205&gt;0,(AC201/AC205),0)</f>
        <v>0.23863636363636365</v>
      </c>
      <c r="L201" s="830">
        <f t="shared" ref="L201" si="1094">IF(AD205&gt;0,(AD201/AD205),0)</f>
        <v>0.2</v>
      </c>
      <c r="M201" s="830">
        <f t="shared" ref="M201" si="1095">IF(AE205&gt;0,(AE201/AE205),0)</f>
        <v>0</v>
      </c>
      <c r="N201" s="830">
        <f t="shared" ref="N201" si="1096">IF(AF205&gt;0,(AF201/AF205),0)</f>
        <v>0</v>
      </c>
      <c r="O201" s="832">
        <f t="shared" ref="O201" si="1097">IF(AG205&gt;0,(AG201/AG205),0)</f>
        <v>0.15362731152204837</v>
      </c>
      <c r="P201" s="832">
        <f t="shared" ref="P201" si="1098">IF(AH205&gt;0,(AH201/AH205),0)</f>
        <v>0</v>
      </c>
      <c r="Q201" s="830">
        <f t="shared" ref="Q201" si="1099">IF(AI205&gt;0,(AI201/AI205),0)</f>
        <v>0</v>
      </c>
      <c r="R201" s="833">
        <f t="shared" ref="R201" si="1100">IF(AJ205&gt;0,(AJ201/AJ205),0)</f>
        <v>0</v>
      </c>
      <c r="S201" s="832">
        <f t="shared" ref="S201" si="1101">IF(AK205&gt;0,(AK201/AK205),0)</f>
        <v>0</v>
      </c>
      <c r="U201" s="349">
        <v>261</v>
      </c>
      <c r="V201" s="349">
        <v>195</v>
      </c>
      <c r="W201" s="349"/>
      <c r="X201" s="349"/>
      <c r="Y201" s="349">
        <v>185</v>
      </c>
      <c r="Z201" s="349">
        <v>178</v>
      </c>
      <c r="AA201" s="804">
        <v>819</v>
      </c>
      <c r="AB201" s="804"/>
      <c r="AC201" s="349">
        <v>84</v>
      </c>
      <c r="AD201" s="349">
        <v>24</v>
      </c>
      <c r="AE201" s="349"/>
      <c r="AF201" s="349"/>
      <c r="AG201" s="804">
        <v>108</v>
      </c>
      <c r="AH201" s="804"/>
      <c r="AI201" s="349"/>
      <c r="AJ201" s="813"/>
      <c r="AK201" s="804"/>
    </row>
    <row r="202" spans="1:37">
      <c r="A202" s="239"/>
      <c r="B202" s="239" t="s">
        <v>55</v>
      </c>
      <c r="C202" s="832">
        <f>IF(U205&gt;0,(U202/U205),0)</f>
        <v>0.200164744645799</v>
      </c>
      <c r="D202" s="830">
        <f t="shared" ref="D202" si="1102">IF(V205&gt;0,(V202/V205),0)</f>
        <v>0.28468208092485547</v>
      </c>
      <c r="E202" s="830">
        <f t="shared" ref="E202" si="1103">IF(W205&gt;0,(W202/W205),0)</f>
        <v>0</v>
      </c>
      <c r="F202" s="830">
        <f t="shared" ref="F202" si="1104">IF(X205&gt;0,(X202/X205),0)</f>
        <v>0</v>
      </c>
      <c r="G202" s="830">
        <f t="shared" ref="G202" si="1105">IF(Y205&gt;0,(Y202/Y205),0)</f>
        <v>0.32432432432432434</v>
      </c>
      <c r="H202" s="830">
        <f t="shared" ref="H202" si="1106">IF(Z205&gt;0,(Z202/Z205),0)</f>
        <v>0.30679611650485439</v>
      </c>
      <c r="I202" s="832">
        <f t="shared" ref="I202" si="1107">IF(AA205&gt;0,(AA202/AA205),0)</f>
        <v>0.26440460947503203</v>
      </c>
      <c r="J202" s="832">
        <f t="shared" ref="J202" si="1108">IF(AB205&gt;0,(AB202/AB205),0)</f>
        <v>0</v>
      </c>
      <c r="K202" s="830">
        <f t="shared" ref="K202" si="1109">IF(AC205&gt;0,(AC202/AC205),0)</f>
        <v>0.3125</v>
      </c>
      <c r="L202" s="830">
        <f t="shared" ref="L202" si="1110">IF(AD205&gt;0,(AD202/AD205),0)</f>
        <v>0.24166666666666667</v>
      </c>
      <c r="M202" s="830">
        <f t="shared" ref="M202" si="1111">IF(AE205&gt;0,(AE202/AE205),0)</f>
        <v>0</v>
      </c>
      <c r="N202" s="830">
        <f t="shared" ref="N202" si="1112">IF(AF205&gt;0,(AF202/AF205),0)</f>
        <v>0</v>
      </c>
      <c r="O202" s="832">
        <f t="shared" ref="O202" si="1113">IF(AG205&gt;0,(AG202/AG205),0)</f>
        <v>0.19772403982930298</v>
      </c>
      <c r="P202" s="832">
        <f t="shared" ref="P202" si="1114">IF(AH205&gt;0,(AH202/AH205),0)</f>
        <v>0</v>
      </c>
      <c r="Q202" s="830">
        <f t="shared" ref="Q202" si="1115">IF(AI205&gt;0,(AI202/AI205),0)</f>
        <v>0</v>
      </c>
      <c r="R202" s="833">
        <f t="shared" ref="R202" si="1116">IF(AJ205&gt;0,(AJ202/AJ205),0)</f>
        <v>0</v>
      </c>
      <c r="S202" s="832">
        <f t="shared" ref="S202" si="1117">IF(AK205&gt;0,(AK202/AK205),0)</f>
        <v>0</v>
      </c>
      <c r="U202" s="349">
        <v>243</v>
      </c>
      <c r="V202" s="349">
        <v>197</v>
      </c>
      <c r="W202" s="349"/>
      <c r="X202" s="349"/>
      <c r="Y202" s="349">
        <v>228</v>
      </c>
      <c r="Z202" s="349">
        <v>158</v>
      </c>
      <c r="AA202" s="804">
        <v>826</v>
      </c>
      <c r="AB202" s="804"/>
      <c r="AC202" s="349">
        <v>110</v>
      </c>
      <c r="AD202" s="349">
        <v>29</v>
      </c>
      <c r="AE202" s="349"/>
      <c r="AF202" s="349"/>
      <c r="AG202" s="804">
        <v>139</v>
      </c>
      <c r="AH202" s="804"/>
      <c r="AI202" s="349"/>
      <c r="AJ202" s="813"/>
      <c r="AK202" s="804"/>
    </row>
    <row r="203" spans="1:37">
      <c r="A203" s="239"/>
      <c r="B203" s="239" t="s">
        <v>78</v>
      </c>
      <c r="C203" s="832">
        <f>IF(U205&gt;0,(U203/U205),0)</f>
        <v>3.2948929159802307E-3</v>
      </c>
      <c r="D203" s="830">
        <f t="shared" ref="D203" si="1118">IF(V205&gt;0,(V203/V205),0)</f>
        <v>1.1560693641618497E-2</v>
      </c>
      <c r="E203" s="830">
        <f t="shared" ref="E203" si="1119">IF(W205&gt;0,(W203/W205),0)</f>
        <v>0</v>
      </c>
      <c r="F203" s="830">
        <f t="shared" ref="F203" si="1120">IF(X205&gt;0,(X203/X205),0)</f>
        <v>0</v>
      </c>
      <c r="G203" s="830">
        <f t="shared" ref="G203" si="1121">IF(Y205&gt;0,(Y203/Y205),0)</f>
        <v>9.388335704125178E-2</v>
      </c>
      <c r="H203" s="830">
        <f t="shared" ref="H203" si="1122">IF(Z205&gt;0,(Z203/Z205),0)</f>
        <v>5.4368932038834951E-2</v>
      </c>
      <c r="I203" s="832">
        <f t="shared" ref="I203" si="1123">IF(AA205&gt;0,(AA203/AA205),0)</f>
        <v>3.3930857874519847E-2</v>
      </c>
      <c r="J203" s="832">
        <f t="shared" ref="J203" si="1124">IF(AB205&gt;0,(AB203/AB205),0)</f>
        <v>0</v>
      </c>
      <c r="K203" s="830">
        <f t="shared" ref="K203" si="1125">IF(AC205&gt;0,(AC203/AC205),0)</f>
        <v>0.27840909090909088</v>
      </c>
      <c r="L203" s="830">
        <f t="shared" ref="L203" si="1126">IF(AD205&gt;0,(AD203/AD205),0)</f>
        <v>0.10833333333333334</v>
      </c>
      <c r="M203" s="830">
        <f t="shared" ref="M203" si="1127">IF(AE205&gt;0,(AE203/AE205),0)</f>
        <v>0.64851485148514854</v>
      </c>
      <c r="N203" s="830">
        <f t="shared" ref="N203" si="1128">IF(AF205&gt;0,(AF203/AF205),0)</f>
        <v>1</v>
      </c>
      <c r="O203" s="832">
        <f t="shared" ref="O203" si="1129">IF(AG205&gt;0,(AG203/AG205),0)</f>
        <v>0.38549075391180654</v>
      </c>
      <c r="P203" s="832">
        <f t="shared" ref="P203" si="1130">IF(AH205&gt;0,(AH203/AH205),0)</f>
        <v>0</v>
      </c>
      <c r="Q203" s="830">
        <f t="shared" ref="Q203" si="1131">IF(AI205&gt;0,(AI203/AI205),0)</f>
        <v>0</v>
      </c>
      <c r="R203" s="833">
        <f t="shared" ref="R203" si="1132">IF(AJ205&gt;0,(AJ203/AJ205),0)</f>
        <v>0</v>
      </c>
      <c r="S203" s="832">
        <f t="shared" ref="S203" si="1133">IF(AK205&gt;0,(AK203/AK205),0)</f>
        <v>0</v>
      </c>
      <c r="U203" s="349">
        <v>4</v>
      </c>
      <c r="V203" s="349">
        <v>8</v>
      </c>
      <c r="W203" s="349"/>
      <c r="X203" s="349"/>
      <c r="Y203" s="349">
        <v>66</v>
      </c>
      <c r="Z203" s="349">
        <v>28</v>
      </c>
      <c r="AA203" s="804">
        <v>106</v>
      </c>
      <c r="AB203" s="804"/>
      <c r="AC203" s="349">
        <v>98</v>
      </c>
      <c r="AD203" s="349">
        <v>13</v>
      </c>
      <c r="AE203" s="349">
        <v>131</v>
      </c>
      <c r="AF203" s="349">
        <v>29</v>
      </c>
      <c r="AG203" s="804">
        <v>271</v>
      </c>
      <c r="AH203" s="804"/>
      <c r="AI203" s="349"/>
      <c r="AJ203" s="813"/>
      <c r="AK203" s="804"/>
    </row>
    <row r="204" spans="1:37">
      <c r="A204" s="580"/>
      <c r="B204" s="580" t="s">
        <v>131</v>
      </c>
      <c r="C204" s="832">
        <f>IF(U205&gt;0,(U204/U205),0)</f>
        <v>0.26029654036243821</v>
      </c>
      <c r="D204" s="830">
        <f t="shared" ref="D204" si="1134">IF(V205&gt;0,(V204/V205),0)</f>
        <v>0.10982658959537572</v>
      </c>
      <c r="E204" s="830">
        <f t="shared" ref="E204" si="1135">IF(W205&gt;0,(W204/W205),0)</f>
        <v>0</v>
      </c>
      <c r="F204" s="830">
        <f t="shared" ref="F204" si="1136">IF(X205&gt;0,(X204/X205),0)</f>
        <v>0</v>
      </c>
      <c r="G204" s="830">
        <f t="shared" ref="G204" si="1137">IF(Y205&gt;0,(Y204/Y205),0)</f>
        <v>2.4182076813655761E-2</v>
      </c>
      <c r="H204" s="830">
        <f t="shared" ref="H204" si="1138">IF(Z205&gt;0,(Z204/Z205),0)</f>
        <v>6.6019417475728162E-2</v>
      </c>
      <c r="I204" s="832">
        <f t="shared" ref="I204" si="1139">IF(AA205&gt;0,(AA204/AA205),0)</f>
        <v>0.14180537772087068</v>
      </c>
      <c r="J204" s="832">
        <f t="shared" ref="J204" si="1140">IF(AB205&gt;0,(AB204/AB205),0)</f>
        <v>0</v>
      </c>
      <c r="K204" s="830">
        <f t="shared" ref="K204" si="1141">IF(AC205&gt;0,(AC204/AC205),0)</f>
        <v>0</v>
      </c>
      <c r="L204" s="830">
        <f t="shared" ref="L204" si="1142">IF(AD205&gt;0,(AD204/AD205),0)</f>
        <v>0.26666666666666666</v>
      </c>
      <c r="M204" s="830">
        <f t="shared" ref="M204" si="1143">IF(AE205&gt;0,(AE204/AE205),0)</f>
        <v>0.35148514851485146</v>
      </c>
      <c r="N204" s="830">
        <f t="shared" ref="N204" si="1144">IF(AF205&gt;0,(AF204/AF205),0)</f>
        <v>0</v>
      </c>
      <c r="O204" s="832">
        <f t="shared" ref="O204" si="1145">IF(AG205&gt;0,(AG204/AG205),0)</f>
        <v>0.1465149359886202</v>
      </c>
      <c r="P204" s="832">
        <f t="shared" ref="P204" si="1146">IF(AH205&gt;0,(AH204/AH205),0)</f>
        <v>0</v>
      </c>
      <c r="Q204" s="830">
        <f t="shared" ref="Q204" si="1147">IF(AI205&gt;0,(AI204/AI205),0)</f>
        <v>0</v>
      </c>
      <c r="R204" s="833">
        <f t="shared" ref="R204" si="1148">IF(AJ205&gt;0,(AJ204/AJ205),0)</f>
        <v>0</v>
      </c>
      <c r="S204" s="832">
        <f t="shared" ref="S204" si="1149">IF(AK205&gt;0,(AK204/AK205),0)</f>
        <v>0</v>
      </c>
      <c r="U204" s="349">
        <v>316</v>
      </c>
      <c r="V204" s="349">
        <v>76</v>
      </c>
      <c r="W204" s="349"/>
      <c r="X204" s="349"/>
      <c r="Y204" s="349">
        <v>17</v>
      </c>
      <c r="Z204" s="349">
        <v>34</v>
      </c>
      <c r="AA204" s="804">
        <v>443</v>
      </c>
      <c r="AB204" s="804"/>
      <c r="AC204" s="349"/>
      <c r="AD204" s="349">
        <v>32</v>
      </c>
      <c r="AE204" s="349">
        <v>71</v>
      </c>
      <c r="AF204" s="349"/>
      <c r="AG204" s="804">
        <v>103</v>
      </c>
      <c r="AH204" s="804"/>
      <c r="AI204" s="349"/>
      <c r="AJ204" s="813"/>
      <c r="AK204" s="804"/>
    </row>
    <row r="205" spans="1:37">
      <c r="A205" s="436"/>
      <c r="B205" s="436" t="s">
        <v>59</v>
      </c>
      <c r="C205" s="834">
        <f>IF(U205&gt;0,(U205/U205),0)</f>
        <v>1</v>
      </c>
      <c r="D205" s="835">
        <f t="shared" ref="D205" si="1150">IF(V205&gt;0,(V205/V205),0)</f>
        <v>1</v>
      </c>
      <c r="E205" s="835">
        <f t="shared" ref="E205" si="1151">IF(W205&gt;0,(W205/W205),0)</f>
        <v>0</v>
      </c>
      <c r="F205" s="835">
        <f t="shared" ref="F205" si="1152">IF(X205&gt;0,(X205/X205),0)</f>
        <v>0</v>
      </c>
      <c r="G205" s="835">
        <f t="shared" ref="G205" si="1153">IF(Y205&gt;0,(Y205/Y205),0)</f>
        <v>1</v>
      </c>
      <c r="H205" s="835">
        <f t="shared" ref="H205" si="1154">IF(Z205&gt;0,(Z205/Z205),0)</f>
        <v>1</v>
      </c>
      <c r="I205" s="834">
        <f t="shared" ref="I205" si="1155">IF(AA205&gt;0,(AA205/AA205),0)</f>
        <v>1</v>
      </c>
      <c r="J205" s="834">
        <f t="shared" ref="J205" si="1156">IF(AB205&gt;0,(AB205/AB205),0)</f>
        <v>0</v>
      </c>
      <c r="K205" s="835">
        <f t="shared" ref="K205" si="1157">IF(AC205&gt;0,(AC205/AC205),0)</f>
        <v>1</v>
      </c>
      <c r="L205" s="835">
        <f t="shared" ref="L205" si="1158">IF(AD205&gt;0,(AD205/AD205),0)</f>
        <v>1</v>
      </c>
      <c r="M205" s="835">
        <f t="shared" ref="M205" si="1159">IF(AE205&gt;0,(AE205/AE205),0)</f>
        <v>1</v>
      </c>
      <c r="N205" s="835">
        <f t="shared" ref="N205" si="1160">IF(AF205&gt;0,(AF205/AF205),0)</f>
        <v>1</v>
      </c>
      <c r="O205" s="834">
        <f t="shared" ref="O205" si="1161">IF(AG205&gt;0,(AG205/AG205),0)</f>
        <v>1</v>
      </c>
      <c r="P205" s="834">
        <f t="shared" ref="P205" si="1162">IF(AH205&gt;0,(AH205/AH205),0)</f>
        <v>0</v>
      </c>
      <c r="Q205" s="835">
        <f t="shared" ref="Q205" si="1163">IF(AI205&gt;0,(AI205/AI205),0)</f>
        <v>0</v>
      </c>
      <c r="R205" s="836">
        <f t="shared" ref="R205" si="1164">IF(AJ205&gt;0,(AJ205/AJ205),0)</f>
        <v>0</v>
      </c>
      <c r="S205" s="834">
        <f t="shared" ref="S205" si="1165">IF(AK205&gt;0,(AK205/AK205),0)</f>
        <v>0</v>
      </c>
      <c r="U205" s="816">
        <v>1214</v>
      </c>
      <c r="V205" s="816">
        <v>692</v>
      </c>
      <c r="W205" s="816"/>
      <c r="X205" s="816"/>
      <c r="Y205" s="816">
        <v>703</v>
      </c>
      <c r="Z205" s="816">
        <v>515</v>
      </c>
      <c r="AA205" s="805">
        <v>3124</v>
      </c>
      <c r="AB205" s="805"/>
      <c r="AC205" s="816">
        <v>352</v>
      </c>
      <c r="AD205" s="816">
        <v>120</v>
      </c>
      <c r="AE205" s="816">
        <v>202</v>
      </c>
      <c r="AF205" s="816">
        <v>29</v>
      </c>
      <c r="AG205" s="805">
        <v>703</v>
      </c>
      <c r="AH205" s="805"/>
      <c r="AI205" s="816"/>
      <c r="AJ205" s="817"/>
      <c r="AK205" s="805"/>
    </row>
    <row r="206" spans="1:37">
      <c r="A206" s="240" t="s">
        <v>167</v>
      </c>
      <c r="B206" s="240" t="s">
        <v>53</v>
      </c>
      <c r="C206" s="829">
        <f>IF(U211&gt;0,(U206/U211),0)</f>
        <v>0.37561942517343905</v>
      </c>
      <c r="D206" s="830">
        <f t="shared" ref="D206" si="1166">IF(V211&gt;0,(V206/V211),0)</f>
        <v>0</v>
      </c>
      <c r="E206" s="830">
        <f t="shared" ref="E206" si="1167">IF(W211&gt;0,(W206/W211),0)</f>
        <v>0.32820906994619525</v>
      </c>
      <c r="F206" s="830">
        <f t="shared" ref="F206" si="1168">IF(X211&gt;0,(X206/X211),0)</f>
        <v>0.18181818181818182</v>
      </c>
      <c r="G206" s="830">
        <f t="shared" ref="G206" si="1169">IF(Y211&gt;0,(Y206/Y211),0)</f>
        <v>5.5555555555555552E-2</v>
      </c>
      <c r="H206" s="830">
        <f t="shared" ref="H206" si="1170">IF(Z211&gt;0,(Z206/Z211),0)</f>
        <v>0</v>
      </c>
      <c r="I206" s="829">
        <f t="shared" ref="I206" si="1171">IF(AA211&gt;0,(AA206/AA211),0)</f>
        <v>0.34144778987828317</v>
      </c>
      <c r="J206" s="829">
        <f t="shared" ref="J206" si="1172">IF(AB211&gt;0,(AB206/AB211),0)</f>
        <v>0</v>
      </c>
      <c r="K206" s="830">
        <f t="shared" ref="K206" si="1173">IF(AC211&gt;0,(AC206/AC211),0)</f>
        <v>0</v>
      </c>
      <c r="L206" s="830">
        <f t="shared" ref="L206" si="1174">IF(AD211&gt;0,(AD206/AD211),0)</f>
        <v>0</v>
      </c>
      <c r="M206" s="830">
        <f t="shared" ref="M206" si="1175">IF(AE211&gt;0,(AE206/AE211),0)</f>
        <v>0.24749163879598662</v>
      </c>
      <c r="N206" s="830">
        <f t="shared" ref="N206" si="1176">IF(AF211&gt;0,(AF206/AF211),0)</f>
        <v>0</v>
      </c>
      <c r="O206" s="829">
        <f t="shared" ref="O206" si="1177">IF(AG211&gt;0,(AG206/AG211),0)</f>
        <v>2.1517883105553939E-2</v>
      </c>
      <c r="P206" s="829">
        <f t="shared" ref="P206" si="1178">IF(AH211&gt;0,(AH206/AH211),0)</f>
        <v>0</v>
      </c>
      <c r="Q206" s="830">
        <f t="shared" ref="Q206" si="1179">IF(AI211&gt;0,(AI206/AI211),0)</f>
        <v>0</v>
      </c>
      <c r="R206" s="831">
        <f t="shared" ref="R206" si="1180">IF(AJ211&gt;0,(AJ206/AJ211),0)</f>
        <v>0</v>
      </c>
      <c r="S206" s="829">
        <f t="shared" ref="S206" si="1181">IF(AK211&gt;0,(AK206/AK211),0)</f>
        <v>0</v>
      </c>
      <c r="U206" s="349">
        <v>1137</v>
      </c>
      <c r="V206" s="349"/>
      <c r="W206" s="349">
        <v>427</v>
      </c>
      <c r="X206" s="349">
        <v>22</v>
      </c>
      <c r="Y206" s="349">
        <v>13</v>
      </c>
      <c r="Z206" s="349"/>
      <c r="AA206" s="803">
        <v>1599</v>
      </c>
      <c r="AB206" s="803"/>
      <c r="AC206" s="349"/>
      <c r="AD206" s="349"/>
      <c r="AE206" s="349">
        <v>74</v>
      </c>
      <c r="AF206" s="349"/>
      <c r="AG206" s="803">
        <v>74</v>
      </c>
      <c r="AH206" s="803"/>
      <c r="AI206" s="349"/>
      <c r="AJ206" s="812"/>
      <c r="AK206" s="803"/>
    </row>
    <row r="207" spans="1:37">
      <c r="A207" s="239"/>
      <c r="B207" s="239" t="s">
        <v>93</v>
      </c>
      <c r="C207" s="832">
        <f>IF(U211&gt;0,(U207/U211),0)</f>
        <v>0.24512718863561281</v>
      </c>
      <c r="D207" s="830">
        <f t="shared" ref="D207" si="1182">IF(V211&gt;0,(V207/V211),0)</f>
        <v>0</v>
      </c>
      <c r="E207" s="830">
        <f t="shared" ref="E207" si="1183">IF(W211&gt;0,(W207/W211),0)</f>
        <v>0.25980015372790161</v>
      </c>
      <c r="F207" s="830">
        <f t="shared" ref="F207" si="1184">IF(X211&gt;0,(X207/X211),0)</f>
        <v>0.32231404958677684</v>
      </c>
      <c r="G207" s="830">
        <f t="shared" ref="G207" si="1185">IF(Y211&gt;0,(Y207/Y211),0)</f>
        <v>8.5470085470085472E-2</v>
      </c>
      <c r="H207" s="830">
        <f t="shared" ref="H207" si="1186">IF(Z211&gt;0,(Z207/Z211),0)</f>
        <v>0</v>
      </c>
      <c r="I207" s="832">
        <f t="shared" ref="I207" si="1187">IF(AA211&gt;0,(AA207/AA211),0)</f>
        <v>0.2432201580183643</v>
      </c>
      <c r="J207" s="832">
        <f t="shared" ref="J207" si="1188">IF(AB211&gt;0,(AB207/AB211),0)</f>
        <v>0</v>
      </c>
      <c r="K207" s="830">
        <f t="shared" ref="K207" si="1189">IF(AC211&gt;0,(AC207/AC211),0)</f>
        <v>0</v>
      </c>
      <c r="L207" s="830">
        <f t="shared" ref="L207" si="1190">IF(AD211&gt;0,(AD207/AD211),0)</f>
        <v>0</v>
      </c>
      <c r="M207" s="830">
        <f t="shared" ref="M207" si="1191">IF(AE211&gt;0,(AE207/AE211),0)</f>
        <v>0</v>
      </c>
      <c r="N207" s="830">
        <f t="shared" ref="N207" si="1192">IF(AF211&gt;0,(AF207/AF211),0)</f>
        <v>0</v>
      </c>
      <c r="O207" s="832">
        <f t="shared" ref="O207" si="1193">IF(AG211&gt;0,(AG207/AG211),0)</f>
        <v>0</v>
      </c>
      <c r="P207" s="832">
        <f t="shared" ref="P207" si="1194">IF(AH211&gt;0,(AH207/AH211),0)</f>
        <v>0</v>
      </c>
      <c r="Q207" s="830">
        <f t="shared" ref="Q207" si="1195">IF(AI211&gt;0,(AI207/AI211),0)</f>
        <v>0</v>
      </c>
      <c r="R207" s="833">
        <f t="shared" ref="R207" si="1196">IF(AJ211&gt;0,(AJ207/AJ211),0)</f>
        <v>0</v>
      </c>
      <c r="S207" s="832">
        <f t="shared" ref="S207" si="1197">IF(AK211&gt;0,(AK207/AK211),0)</f>
        <v>0</v>
      </c>
      <c r="U207" s="349">
        <v>742</v>
      </c>
      <c r="V207" s="349"/>
      <c r="W207" s="349">
        <v>338</v>
      </c>
      <c r="X207" s="349">
        <v>39</v>
      </c>
      <c r="Y207" s="349">
        <v>20</v>
      </c>
      <c r="Z207" s="349"/>
      <c r="AA207" s="804">
        <v>1139</v>
      </c>
      <c r="AB207" s="804"/>
      <c r="AC207" s="349"/>
      <c r="AD207" s="349"/>
      <c r="AE207" s="349"/>
      <c r="AF207" s="349"/>
      <c r="AG207" s="804"/>
      <c r="AH207" s="804"/>
      <c r="AI207" s="349"/>
      <c r="AJ207" s="813"/>
      <c r="AK207" s="804"/>
    </row>
    <row r="208" spans="1:37">
      <c r="A208" s="239"/>
      <c r="B208" s="239" t="s">
        <v>55</v>
      </c>
      <c r="C208" s="832">
        <f>IF(U211&gt;0,(U208/U211),0)</f>
        <v>0.1952428146679881</v>
      </c>
      <c r="D208" s="830">
        <f t="shared" ref="D208" si="1198">IF(V211&gt;0,(V208/V211),0)</f>
        <v>0</v>
      </c>
      <c r="E208" s="830">
        <f t="shared" ref="E208" si="1199">IF(W211&gt;0,(W208/W211),0)</f>
        <v>0.22598001537279017</v>
      </c>
      <c r="F208" s="830">
        <f t="shared" ref="F208" si="1200">IF(X211&gt;0,(X208/X211),0)</f>
        <v>0.36363636363636365</v>
      </c>
      <c r="G208" s="830">
        <f t="shared" ref="G208" si="1201">IF(Y211&gt;0,(Y208/Y211),0)</f>
        <v>0.1111111111111111</v>
      </c>
      <c r="H208" s="830">
        <f t="shared" ref="H208" si="1202">IF(Z211&gt;0,(Z208/Z211),0)</f>
        <v>0</v>
      </c>
      <c r="I208" s="832">
        <f t="shared" ref="I208" si="1203">IF(AA211&gt;0,(AA208/AA211),0)</f>
        <v>0.20392910527439675</v>
      </c>
      <c r="J208" s="832">
        <f t="shared" ref="J208" si="1204">IF(AB211&gt;0,(AB208/AB211),0)</f>
        <v>0</v>
      </c>
      <c r="K208" s="830">
        <f t="shared" ref="K208" si="1205">IF(AC211&gt;0,(AC208/AC211),0)</f>
        <v>0</v>
      </c>
      <c r="L208" s="830">
        <f t="shared" ref="L208" si="1206">IF(AD211&gt;0,(AD208/AD211),0)</f>
        <v>0</v>
      </c>
      <c r="M208" s="830">
        <f t="shared" ref="M208" si="1207">IF(AE211&gt;0,(AE208/AE211),0)</f>
        <v>0</v>
      </c>
      <c r="N208" s="830">
        <f t="shared" ref="N208" si="1208">IF(AF211&gt;0,(AF208/AF211),0)</f>
        <v>0</v>
      </c>
      <c r="O208" s="832">
        <f t="shared" ref="O208" si="1209">IF(AG211&gt;0,(AG208/AG211),0)</f>
        <v>0</v>
      </c>
      <c r="P208" s="832">
        <f t="shared" ref="P208" si="1210">IF(AH211&gt;0,(AH208/AH211),0)</f>
        <v>0</v>
      </c>
      <c r="Q208" s="830">
        <f t="shared" ref="Q208" si="1211">IF(AI211&gt;0,(AI208/AI211),0)</f>
        <v>0</v>
      </c>
      <c r="R208" s="833">
        <f t="shared" ref="R208" si="1212">IF(AJ211&gt;0,(AJ208/AJ211),0)</f>
        <v>0</v>
      </c>
      <c r="S208" s="832">
        <f t="shared" ref="S208" si="1213">IF(AK211&gt;0,(AK208/AK211),0)</f>
        <v>0</v>
      </c>
      <c r="U208" s="349">
        <v>591</v>
      </c>
      <c r="V208" s="349"/>
      <c r="W208" s="349">
        <v>294</v>
      </c>
      <c r="X208" s="349">
        <v>44</v>
      </c>
      <c r="Y208" s="349">
        <v>26</v>
      </c>
      <c r="Z208" s="349"/>
      <c r="AA208" s="804">
        <v>955</v>
      </c>
      <c r="AB208" s="804"/>
      <c r="AC208" s="349"/>
      <c r="AD208" s="349"/>
      <c r="AE208" s="349"/>
      <c r="AF208" s="349"/>
      <c r="AG208" s="804"/>
      <c r="AH208" s="804"/>
      <c r="AI208" s="349"/>
      <c r="AJ208" s="813"/>
      <c r="AK208" s="804"/>
    </row>
    <row r="209" spans="1:37">
      <c r="A209" s="239"/>
      <c r="B209" s="239" t="s">
        <v>78</v>
      </c>
      <c r="C209" s="832">
        <f>IF(U211&gt;0,(U209/U211),0)</f>
        <v>4.5589692765113973E-2</v>
      </c>
      <c r="D209" s="830">
        <f t="shared" ref="D209" si="1214">IF(V211&gt;0,(V209/V211),0)</f>
        <v>0</v>
      </c>
      <c r="E209" s="830">
        <f t="shared" ref="E209" si="1215">IF(W211&gt;0,(W209/W211),0)</f>
        <v>8.4550345887778634E-3</v>
      </c>
      <c r="F209" s="830">
        <f t="shared" ref="F209" si="1216">IF(X211&gt;0,(X209/X211),0)</f>
        <v>0</v>
      </c>
      <c r="G209" s="830">
        <f t="shared" ref="G209" si="1217">IF(Y211&gt;0,(Y209/Y211),0)</f>
        <v>0</v>
      </c>
      <c r="H209" s="830">
        <f t="shared" ref="H209" si="1218">IF(Z211&gt;0,(Z209/Z211),0)</f>
        <v>0</v>
      </c>
      <c r="I209" s="832">
        <f t="shared" ref="I209" si="1219">IF(AA211&gt;0,(AA209/AA211),0)</f>
        <v>3.1817211189408501E-2</v>
      </c>
      <c r="J209" s="832">
        <f t="shared" ref="J209" si="1220">IF(AB211&gt;0,(AB209/AB211),0)</f>
        <v>0</v>
      </c>
      <c r="K209" s="830">
        <f t="shared" ref="K209" si="1221">IF(AC211&gt;0,(AC209/AC211),0)</f>
        <v>0</v>
      </c>
      <c r="L209" s="830">
        <f t="shared" ref="L209" si="1222">IF(AD211&gt;0,(AD209/AD211),0)</f>
        <v>0.18739770867430441</v>
      </c>
      <c r="M209" s="830">
        <f t="shared" ref="M209" si="1223">IF(AE211&gt;0,(AE209/AE211),0)</f>
        <v>0.27759197324414714</v>
      </c>
      <c r="N209" s="830">
        <f t="shared" ref="N209" si="1224">IF(AF211&gt;0,(AF209/AF211),0)</f>
        <v>0</v>
      </c>
      <c r="O209" s="832">
        <f t="shared" ref="O209" si="1225">IF(AG211&gt;0,(AG209/AG211),0)</f>
        <v>0.15731317243384704</v>
      </c>
      <c r="P209" s="832">
        <f t="shared" ref="P209" si="1226">IF(AH211&gt;0,(AH209/AH211),0)</f>
        <v>0</v>
      </c>
      <c r="Q209" s="830">
        <f t="shared" ref="Q209" si="1227">IF(AI211&gt;0,(AI209/AI211),0)</f>
        <v>0</v>
      </c>
      <c r="R209" s="833">
        <f t="shared" ref="R209" si="1228">IF(AJ211&gt;0,(AJ209/AJ211),0)</f>
        <v>0</v>
      </c>
      <c r="S209" s="832">
        <f t="shared" ref="S209" si="1229">IF(AK211&gt;0,(AK209/AK211),0)</f>
        <v>0</v>
      </c>
      <c r="U209" s="349">
        <v>138</v>
      </c>
      <c r="V209" s="349"/>
      <c r="W209" s="349">
        <v>11</v>
      </c>
      <c r="X209" s="349"/>
      <c r="Y209" s="349"/>
      <c r="Z209" s="349"/>
      <c r="AA209" s="804">
        <v>149</v>
      </c>
      <c r="AB209" s="804"/>
      <c r="AC209" s="349"/>
      <c r="AD209" s="349">
        <v>458</v>
      </c>
      <c r="AE209" s="349">
        <v>83</v>
      </c>
      <c r="AF209" s="349"/>
      <c r="AG209" s="804">
        <v>541</v>
      </c>
      <c r="AH209" s="804"/>
      <c r="AI209" s="349"/>
      <c r="AJ209" s="813"/>
      <c r="AK209" s="804"/>
    </row>
    <row r="210" spans="1:37">
      <c r="A210" s="580"/>
      <c r="B210" s="580" t="s">
        <v>131</v>
      </c>
      <c r="C210" s="832">
        <f>IF(U211&gt;0,(U210/U211),0)</f>
        <v>0.13842087875784606</v>
      </c>
      <c r="D210" s="830">
        <f t="shared" ref="D210" si="1230">IF(V211&gt;0,(V210/V211),0)</f>
        <v>0</v>
      </c>
      <c r="E210" s="830">
        <f t="shared" ref="E210" si="1231">IF(W211&gt;0,(W210/W211),0)</f>
        <v>0.17755572636433511</v>
      </c>
      <c r="F210" s="830">
        <f t="shared" ref="F210" si="1232">IF(X211&gt;0,(X210/X211),0)</f>
        <v>0.13223140495867769</v>
      </c>
      <c r="G210" s="830">
        <f t="shared" ref="G210" si="1233">IF(Y211&gt;0,(Y210/Y211),0)</f>
        <v>0.74786324786324787</v>
      </c>
      <c r="H210" s="830">
        <f t="shared" ref="H210" si="1234">IF(Z211&gt;0,(Z210/Z211),0)</f>
        <v>0</v>
      </c>
      <c r="I210" s="832">
        <f t="shared" ref="I210" si="1235">IF(AA211&gt;0,(AA210/AA211),0)</f>
        <v>0.1795857356395473</v>
      </c>
      <c r="J210" s="832">
        <f t="shared" ref="J210" si="1236">IF(AB211&gt;0,(AB210/AB211),0)</f>
        <v>0</v>
      </c>
      <c r="K210" s="830">
        <f t="shared" ref="K210" si="1237">IF(AC211&gt;0,(AC210/AC211),0)</f>
        <v>1</v>
      </c>
      <c r="L210" s="830">
        <f t="shared" ref="L210" si="1238">IF(AD211&gt;0,(AD210/AD211),0)</f>
        <v>0.81260229132569561</v>
      </c>
      <c r="M210" s="830">
        <f t="shared" ref="M210" si="1239">IF(AE211&gt;0,(AE210/AE211),0)</f>
        <v>0.47491638795986624</v>
      </c>
      <c r="N210" s="830">
        <f t="shared" ref="N210" si="1240">IF(AF211&gt;0,(AF210/AF211),0)</f>
        <v>0</v>
      </c>
      <c r="O210" s="832">
        <f t="shared" ref="O210" si="1241">IF(AG211&gt;0,(AG210/AG211),0)</f>
        <v>0.82116894446059896</v>
      </c>
      <c r="P210" s="832">
        <f t="shared" ref="P210" si="1242">IF(AH211&gt;0,(AH210/AH211),0)</f>
        <v>0</v>
      </c>
      <c r="Q210" s="830">
        <f t="shared" ref="Q210" si="1243">IF(AI211&gt;0,(AI210/AI211),0)</f>
        <v>0</v>
      </c>
      <c r="R210" s="833">
        <f t="shared" ref="R210" si="1244">IF(AJ211&gt;0,(AJ210/AJ211),0)</f>
        <v>0</v>
      </c>
      <c r="S210" s="832">
        <f t="shared" ref="S210" si="1245">IF(AK211&gt;0,(AK210/AK211),0)</f>
        <v>0</v>
      </c>
      <c r="U210" s="349">
        <v>419</v>
      </c>
      <c r="V210" s="349"/>
      <c r="W210" s="349">
        <v>231</v>
      </c>
      <c r="X210" s="349">
        <v>16</v>
      </c>
      <c r="Y210" s="349">
        <v>175</v>
      </c>
      <c r="Z210" s="349"/>
      <c r="AA210" s="804">
        <v>841</v>
      </c>
      <c r="AB210" s="804"/>
      <c r="AC210" s="349">
        <v>696</v>
      </c>
      <c r="AD210" s="349">
        <v>1986</v>
      </c>
      <c r="AE210" s="349">
        <v>142</v>
      </c>
      <c r="AF210" s="349"/>
      <c r="AG210" s="804">
        <v>2824</v>
      </c>
      <c r="AH210" s="804"/>
      <c r="AI210" s="349"/>
      <c r="AJ210" s="813"/>
      <c r="AK210" s="804"/>
    </row>
    <row r="211" spans="1:37">
      <c r="A211" s="436"/>
      <c r="B211" s="436" t="s">
        <v>59</v>
      </c>
      <c r="C211" s="834">
        <f>IF(U211&gt;0,(U211/U211),0)</f>
        <v>1</v>
      </c>
      <c r="D211" s="835">
        <f t="shared" ref="D211" si="1246">IF(V211&gt;0,(V211/V211),0)</f>
        <v>0</v>
      </c>
      <c r="E211" s="835">
        <f t="shared" ref="E211" si="1247">IF(W211&gt;0,(W211/W211),0)</f>
        <v>1</v>
      </c>
      <c r="F211" s="835">
        <f t="shared" ref="F211" si="1248">IF(X211&gt;0,(X211/X211),0)</f>
        <v>1</v>
      </c>
      <c r="G211" s="835">
        <f t="shared" ref="G211" si="1249">IF(Y211&gt;0,(Y211/Y211),0)</f>
        <v>1</v>
      </c>
      <c r="H211" s="835">
        <f t="shared" ref="H211" si="1250">IF(Z211&gt;0,(Z211/Z211),0)</f>
        <v>0</v>
      </c>
      <c r="I211" s="834">
        <f t="shared" ref="I211" si="1251">IF(AA211&gt;0,(AA211/AA211),0)</f>
        <v>1</v>
      </c>
      <c r="J211" s="834">
        <f t="shared" ref="J211" si="1252">IF(AB211&gt;0,(AB211/AB211),0)</f>
        <v>0</v>
      </c>
      <c r="K211" s="835">
        <f t="shared" ref="K211" si="1253">IF(AC211&gt;0,(AC211/AC211),0)</f>
        <v>1</v>
      </c>
      <c r="L211" s="835">
        <f t="shared" ref="L211" si="1254">IF(AD211&gt;0,(AD211/AD211),0)</f>
        <v>1</v>
      </c>
      <c r="M211" s="835">
        <f t="shared" ref="M211" si="1255">IF(AE211&gt;0,(AE211/AE211),0)</f>
        <v>1</v>
      </c>
      <c r="N211" s="835">
        <f t="shared" ref="N211" si="1256">IF(AF211&gt;0,(AF211/AF211),0)</f>
        <v>0</v>
      </c>
      <c r="O211" s="834">
        <f t="shared" ref="O211" si="1257">IF(AG211&gt;0,(AG211/AG211),0)</f>
        <v>1</v>
      </c>
      <c r="P211" s="834">
        <f t="shared" ref="P211" si="1258">IF(AH211&gt;0,(AH211/AH211),0)</f>
        <v>0</v>
      </c>
      <c r="Q211" s="835">
        <f t="shared" ref="Q211" si="1259">IF(AI211&gt;0,(AI211/AI211),0)</f>
        <v>0</v>
      </c>
      <c r="R211" s="836">
        <f t="shared" ref="R211" si="1260">IF(AJ211&gt;0,(AJ211/AJ211),0)</f>
        <v>0</v>
      </c>
      <c r="S211" s="834">
        <f t="shared" ref="S211" si="1261">IF(AK211&gt;0,(AK211/AK211),0)</f>
        <v>0</v>
      </c>
      <c r="U211" s="816">
        <v>3027</v>
      </c>
      <c r="V211" s="816"/>
      <c r="W211" s="816">
        <v>1301</v>
      </c>
      <c r="X211" s="816">
        <v>121</v>
      </c>
      <c r="Y211" s="816">
        <v>234</v>
      </c>
      <c r="Z211" s="816"/>
      <c r="AA211" s="805">
        <v>4683</v>
      </c>
      <c r="AB211" s="805"/>
      <c r="AC211" s="816">
        <v>696</v>
      </c>
      <c r="AD211" s="816">
        <v>2444</v>
      </c>
      <c r="AE211" s="816">
        <v>299</v>
      </c>
      <c r="AF211" s="816"/>
      <c r="AG211" s="805">
        <v>3439</v>
      </c>
      <c r="AH211" s="805"/>
      <c r="AI211" s="816"/>
      <c r="AJ211" s="817"/>
      <c r="AK211" s="805"/>
    </row>
    <row r="212" spans="1:37">
      <c r="A212" s="240" t="s">
        <v>169</v>
      </c>
      <c r="B212" s="240" t="s">
        <v>53</v>
      </c>
      <c r="C212" s="829">
        <f>IF(U217&gt;0,(U212/U217),0)</f>
        <v>0</v>
      </c>
      <c r="D212" s="830">
        <f t="shared" ref="D212" si="1262">IF(V217&gt;0,(V212/V217),0)</f>
        <v>0.31381381381381379</v>
      </c>
      <c r="E212" s="830">
        <f t="shared" ref="E212" si="1263">IF(W217&gt;0,(W212/W217),0)</f>
        <v>0</v>
      </c>
      <c r="F212" s="830">
        <f t="shared" ref="F212" si="1264">IF(X217&gt;0,(X212/X217),0)</f>
        <v>0</v>
      </c>
      <c r="G212" s="830">
        <f t="shared" ref="G212" si="1265">IF(Y217&gt;0,(Y212/Y217),0)</f>
        <v>0</v>
      </c>
      <c r="H212" s="830">
        <f t="shared" ref="H212" si="1266">IF(Z217&gt;0,(Z212/Z217),0)</f>
        <v>0</v>
      </c>
      <c r="I212" s="829">
        <f t="shared" ref="I212" si="1267">IF(AA217&gt;0,(AA212/AA217),0)</f>
        <v>0.31381381381381379</v>
      </c>
      <c r="J212" s="829">
        <f t="shared" ref="J212" si="1268">IF(AB217&gt;0,(AB212/AB217),0)</f>
        <v>0</v>
      </c>
      <c r="K212" s="830">
        <f t="shared" ref="K212" si="1269">IF(AC217&gt;0,(AC212/AC217),0)</f>
        <v>0</v>
      </c>
      <c r="L212" s="830">
        <f t="shared" ref="L212" si="1270">IF(AD217&gt;0,(AD212/AD217),0)</f>
        <v>0</v>
      </c>
      <c r="M212" s="830">
        <f t="shared" ref="M212" si="1271">IF(AE217&gt;0,(AE212/AE217),0)</f>
        <v>9.3457943925233641E-2</v>
      </c>
      <c r="N212" s="830">
        <f t="shared" ref="N212" si="1272">IF(AF217&gt;0,(AF212/AF217),0)</f>
        <v>0</v>
      </c>
      <c r="O212" s="829">
        <f t="shared" ref="O212" si="1273">IF(AG217&gt;0,(AG212/AG217),0)</f>
        <v>5.2631578947368418E-2</v>
      </c>
      <c r="P212" s="829">
        <f t="shared" ref="P212" si="1274">IF(AH217&gt;0,(AH212/AH217),0)</f>
        <v>0</v>
      </c>
      <c r="Q212" s="830">
        <f t="shared" ref="Q212" si="1275">IF(AI217&gt;0,(AI212/AI217),0)</f>
        <v>0</v>
      </c>
      <c r="R212" s="831">
        <f t="shared" ref="R212" si="1276">IF(AJ217&gt;0,(AJ212/AJ217),0)</f>
        <v>0</v>
      </c>
      <c r="S212" s="829">
        <f t="shared" ref="S212" si="1277">IF(AK217&gt;0,(AK212/AK217),0)</f>
        <v>0</v>
      </c>
      <c r="U212" s="349"/>
      <c r="V212" s="349">
        <v>209</v>
      </c>
      <c r="W212" s="349"/>
      <c r="X212" s="349"/>
      <c r="Y212" s="349"/>
      <c r="Z212" s="349"/>
      <c r="AA212" s="803">
        <v>209</v>
      </c>
      <c r="AB212" s="803"/>
      <c r="AC212" s="349"/>
      <c r="AD212" s="349"/>
      <c r="AE212" s="349">
        <v>30</v>
      </c>
      <c r="AF212" s="349"/>
      <c r="AG212" s="803">
        <v>30</v>
      </c>
      <c r="AH212" s="803"/>
      <c r="AI212" s="349"/>
      <c r="AJ212" s="812"/>
      <c r="AK212" s="803"/>
    </row>
    <row r="213" spans="1:37">
      <c r="A213" s="239"/>
      <c r="B213" s="239" t="s">
        <v>93</v>
      </c>
      <c r="C213" s="832">
        <f>IF(U217&gt;0,(U213/U217),0)</f>
        <v>0</v>
      </c>
      <c r="D213" s="830">
        <f t="shared" ref="D213" si="1278">IF(V217&gt;0,(V213/V217),0)</f>
        <v>0.27177177177177175</v>
      </c>
      <c r="E213" s="830">
        <f t="shared" ref="E213" si="1279">IF(W217&gt;0,(W213/W217),0)</f>
        <v>0</v>
      </c>
      <c r="F213" s="830">
        <f t="shared" ref="F213" si="1280">IF(X217&gt;0,(X213/X217),0)</f>
        <v>0</v>
      </c>
      <c r="G213" s="830">
        <f t="shared" ref="G213" si="1281">IF(Y217&gt;0,(Y213/Y217),0)</f>
        <v>0</v>
      </c>
      <c r="H213" s="830">
        <f t="shared" ref="H213" si="1282">IF(Z217&gt;0,(Z213/Z217),0)</f>
        <v>0</v>
      </c>
      <c r="I213" s="832">
        <f t="shared" ref="I213" si="1283">IF(AA217&gt;0,(AA213/AA217),0)</f>
        <v>0.27177177177177175</v>
      </c>
      <c r="J213" s="832">
        <f t="shared" ref="J213" si="1284">IF(AB217&gt;0,(AB213/AB217),0)</f>
        <v>0</v>
      </c>
      <c r="K213" s="830">
        <f t="shared" ref="K213" si="1285">IF(AC217&gt;0,(AC213/AC217),0)</f>
        <v>0</v>
      </c>
      <c r="L213" s="830">
        <f t="shared" ref="L213" si="1286">IF(AD217&gt;0,(AD213/AD217),0)</f>
        <v>0</v>
      </c>
      <c r="M213" s="830">
        <f t="shared" ref="M213" si="1287">IF(AE217&gt;0,(AE213/AE217),0)</f>
        <v>0.12149532710280374</v>
      </c>
      <c r="N213" s="830">
        <f t="shared" ref="N213" si="1288">IF(AF217&gt;0,(AF213/AF217),0)</f>
        <v>0</v>
      </c>
      <c r="O213" s="832">
        <f t="shared" ref="O213" si="1289">IF(AG217&gt;0,(AG213/AG217),0)</f>
        <v>6.8421052631578952E-2</v>
      </c>
      <c r="P213" s="832">
        <f t="shared" ref="P213" si="1290">IF(AH217&gt;0,(AH213/AH217),0)</f>
        <v>0</v>
      </c>
      <c r="Q213" s="830">
        <f t="shared" ref="Q213" si="1291">IF(AI217&gt;0,(AI213/AI217),0)</f>
        <v>0</v>
      </c>
      <c r="R213" s="833">
        <f t="shared" ref="R213" si="1292">IF(AJ217&gt;0,(AJ213/AJ217),0)</f>
        <v>0</v>
      </c>
      <c r="S213" s="832">
        <f t="shared" ref="S213" si="1293">IF(AK217&gt;0,(AK213/AK217),0)</f>
        <v>0</v>
      </c>
      <c r="U213" s="349"/>
      <c r="V213" s="349">
        <v>181</v>
      </c>
      <c r="W213" s="349"/>
      <c r="X213" s="349"/>
      <c r="Y213" s="349"/>
      <c r="Z213" s="349"/>
      <c r="AA213" s="804">
        <v>181</v>
      </c>
      <c r="AB213" s="804"/>
      <c r="AC213" s="349"/>
      <c r="AD213" s="349"/>
      <c r="AE213" s="349">
        <v>39</v>
      </c>
      <c r="AF213" s="349"/>
      <c r="AG213" s="804">
        <v>39</v>
      </c>
      <c r="AH213" s="804"/>
      <c r="AI213" s="349"/>
      <c r="AJ213" s="813"/>
      <c r="AK213" s="804"/>
    </row>
    <row r="214" spans="1:37">
      <c r="A214" s="239"/>
      <c r="B214" s="239" t="s">
        <v>55</v>
      </c>
      <c r="C214" s="832">
        <f>IF(U217&gt;0,(U214/U217),0)</f>
        <v>0</v>
      </c>
      <c r="D214" s="830">
        <f t="shared" ref="D214" si="1294">IF(V217&gt;0,(V214/V217),0)</f>
        <v>0.22972972972972974</v>
      </c>
      <c r="E214" s="830">
        <f t="shared" ref="E214" si="1295">IF(W217&gt;0,(W214/W217),0)</f>
        <v>0</v>
      </c>
      <c r="F214" s="830">
        <f t="shared" ref="F214" si="1296">IF(X217&gt;0,(X214/X217),0)</f>
        <v>0</v>
      </c>
      <c r="G214" s="830">
        <f t="shared" ref="G214" si="1297">IF(Y217&gt;0,(Y214/Y217),0)</f>
        <v>0</v>
      </c>
      <c r="H214" s="830">
        <f t="shared" ref="H214" si="1298">IF(Z217&gt;0,(Z214/Z217),0)</f>
        <v>0</v>
      </c>
      <c r="I214" s="832">
        <f t="shared" ref="I214" si="1299">IF(AA217&gt;0,(AA214/AA217),0)</f>
        <v>0.22972972972972974</v>
      </c>
      <c r="J214" s="832">
        <f t="shared" ref="J214" si="1300">IF(AB217&gt;0,(AB214/AB217),0)</f>
        <v>0</v>
      </c>
      <c r="K214" s="830">
        <f t="shared" ref="K214" si="1301">IF(AC217&gt;0,(AC214/AC217),0)</f>
        <v>0</v>
      </c>
      <c r="L214" s="830">
        <f t="shared" ref="L214" si="1302">IF(AD217&gt;0,(AD214/AD217),0)</f>
        <v>0</v>
      </c>
      <c r="M214" s="830">
        <f t="shared" ref="M214" si="1303">IF(AE217&gt;0,(AE214/AE217),0)</f>
        <v>0.17445482866043613</v>
      </c>
      <c r="N214" s="830">
        <f t="shared" ref="N214" si="1304">IF(AF217&gt;0,(AF214/AF217),0)</f>
        <v>0</v>
      </c>
      <c r="O214" s="832">
        <f t="shared" ref="O214" si="1305">IF(AG217&gt;0,(AG214/AG217),0)</f>
        <v>9.8245614035087719E-2</v>
      </c>
      <c r="P214" s="832">
        <f t="shared" ref="P214" si="1306">IF(AH217&gt;0,(AH214/AH217),0)</f>
        <v>0</v>
      </c>
      <c r="Q214" s="830">
        <f t="shared" ref="Q214" si="1307">IF(AI217&gt;0,(AI214/AI217),0)</f>
        <v>0</v>
      </c>
      <c r="R214" s="833">
        <f t="shared" ref="R214" si="1308">IF(AJ217&gt;0,(AJ214/AJ217),0)</f>
        <v>0</v>
      </c>
      <c r="S214" s="832">
        <f t="shared" ref="S214" si="1309">IF(AK217&gt;0,(AK214/AK217),0)</f>
        <v>0</v>
      </c>
      <c r="U214" s="349"/>
      <c r="V214" s="349">
        <v>153</v>
      </c>
      <c r="W214" s="349"/>
      <c r="X214" s="349"/>
      <c r="Y214" s="349"/>
      <c r="Z214" s="349"/>
      <c r="AA214" s="804">
        <v>153</v>
      </c>
      <c r="AB214" s="804"/>
      <c r="AC214" s="349"/>
      <c r="AD214" s="349"/>
      <c r="AE214" s="349">
        <v>56</v>
      </c>
      <c r="AF214" s="349"/>
      <c r="AG214" s="804">
        <v>56</v>
      </c>
      <c r="AH214" s="804"/>
      <c r="AI214" s="349"/>
      <c r="AJ214" s="813"/>
      <c r="AK214" s="804"/>
    </row>
    <row r="215" spans="1:37">
      <c r="A215" s="239"/>
      <c r="B215" s="239" t="s">
        <v>78</v>
      </c>
      <c r="C215" s="832">
        <f>IF(U217&gt;0,(U215/U217),0)</f>
        <v>0</v>
      </c>
      <c r="D215" s="830">
        <f t="shared" ref="D215" si="1310">IF(V217&gt;0,(V215/V217),0)</f>
        <v>4.5045045045045045E-3</v>
      </c>
      <c r="E215" s="830">
        <f t="shared" ref="E215" si="1311">IF(W217&gt;0,(W215/W217),0)</f>
        <v>0</v>
      </c>
      <c r="F215" s="830">
        <f t="shared" ref="F215" si="1312">IF(X217&gt;0,(X215/X217),0)</f>
        <v>0</v>
      </c>
      <c r="G215" s="830">
        <f t="shared" ref="G215" si="1313">IF(Y217&gt;0,(Y215/Y217),0)</f>
        <v>0</v>
      </c>
      <c r="H215" s="830">
        <f t="shared" ref="H215" si="1314">IF(Z217&gt;0,(Z215/Z217),0)</f>
        <v>0</v>
      </c>
      <c r="I215" s="832">
        <f t="shared" ref="I215" si="1315">IF(AA217&gt;0,(AA215/AA217),0)</f>
        <v>4.5045045045045045E-3</v>
      </c>
      <c r="J215" s="832">
        <f t="shared" ref="J215" si="1316">IF(AB217&gt;0,(AB215/AB217),0)</f>
        <v>0</v>
      </c>
      <c r="K215" s="830">
        <f t="shared" ref="K215" si="1317">IF(AC217&gt;0,(AC215/AC217),0)</f>
        <v>0</v>
      </c>
      <c r="L215" s="830">
        <f t="shared" ref="L215" si="1318">IF(AD217&gt;0,(AD215/AD217),0)</f>
        <v>0</v>
      </c>
      <c r="M215" s="830">
        <f t="shared" ref="M215" si="1319">IF(AE217&gt;0,(AE215/AE217),0)</f>
        <v>0.61059190031152644</v>
      </c>
      <c r="N215" s="830">
        <f t="shared" ref="N215" si="1320">IF(AF217&gt;0,(AF215/AF217),0)</f>
        <v>0</v>
      </c>
      <c r="O215" s="832">
        <f t="shared" ref="O215" si="1321">IF(AG217&gt;0,(AG215/AG217),0)</f>
        <v>0.34385964912280703</v>
      </c>
      <c r="P215" s="832">
        <f t="shared" ref="P215" si="1322">IF(AH217&gt;0,(AH215/AH217),0)</f>
        <v>0</v>
      </c>
      <c r="Q215" s="830">
        <f t="shared" ref="Q215" si="1323">IF(AI217&gt;0,(AI215/AI217),0)</f>
        <v>0</v>
      </c>
      <c r="R215" s="833">
        <f t="shared" ref="R215" si="1324">IF(AJ217&gt;0,(AJ215/AJ217),0)</f>
        <v>0</v>
      </c>
      <c r="S215" s="832">
        <f t="shared" ref="S215" si="1325">IF(AK217&gt;0,(AK215/AK217),0)</f>
        <v>0</v>
      </c>
      <c r="U215" s="349"/>
      <c r="V215" s="349">
        <v>3</v>
      </c>
      <c r="W215" s="349"/>
      <c r="X215" s="349"/>
      <c r="Y215" s="349"/>
      <c r="Z215" s="349"/>
      <c r="AA215" s="804">
        <v>3</v>
      </c>
      <c r="AB215" s="804"/>
      <c r="AC215" s="349"/>
      <c r="AD215" s="349"/>
      <c r="AE215" s="349">
        <v>196</v>
      </c>
      <c r="AF215" s="349"/>
      <c r="AG215" s="804">
        <v>196</v>
      </c>
      <c r="AH215" s="804"/>
      <c r="AI215" s="349"/>
      <c r="AJ215" s="813"/>
      <c r="AK215" s="804"/>
    </row>
    <row r="216" spans="1:37">
      <c r="A216" s="580"/>
      <c r="B216" s="580" t="s">
        <v>131</v>
      </c>
      <c r="C216" s="832">
        <f>IF(U217&gt;0,(U216/U217),0)</f>
        <v>0</v>
      </c>
      <c r="D216" s="830">
        <f t="shared" ref="D216" si="1326">IF(V217&gt;0,(V216/V217),0)</f>
        <v>0.18018018018018017</v>
      </c>
      <c r="E216" s="830">
        <f t="shared" ref="E216" si="1327">IF(W217&gt;0,(W216/W217),0)</f>
        <v>0</v>
      </c>
      <c r="F216" s="830">
        <f t="shared" ref="F216" si="1328">IF(X217&gt;0,(X216/X217),0)</f>
        <v>0</v>
      </c>
      <c r="G216" s="830">
        <f t="shared" ref="G216" si="1329">IF(Y217&gt;0,(Y216/Y217),0)</f>
        <v>0</v>
      </c>
      <c r="H216" s="830">
        <f t="shared" ref="H216" si="1330">IF(Z217&gt;0,(Z216/Z217),0)</f>
        <v>0</v>
      </c>
      <c r="I216" s="832">
        <f t="shared" ref="I216" si="1331">IF(AA217&gt;0,(AA216/AA217),0)</f>
        <v>0.18018018018018017</v>
      </c>
      <c r="J216" s="832">
        <f t="shared" ref="J216" si="1332">IF(AB217&gt;0,(AB216/AB217),0)</f>
        <v>0</v>
      </c>
      <c r="K216" s="830">
        <f t="shared" ref="K216" si="1333">IF(AC217&gt;0,(AC216/AC217),0)</f>
        <v>0</v>
      </c>
      <c r="L216" s="830">
        <f t="shared" ref="L216" si="1334">IF(AD217&gt;0,(AD216/AD217),0)</f>
        <v>1</v>
      </c>
      <c r="M216" s="830">
        <f t="shared" ref="M216" si="1335">IF(AE217&gt;0,(AE216/AE217),0)</f>
        <v>0</v>
      </c>
      <c r="N216" s="830">
        <f t="shared" ref="N216" si="1336">IF(AF217&gt;0,(AF216/AF217),0)</f>
        <v>0</v>
      </c>
      <c r="O216" s="832">
        <f t="shared" ref="O216" si="1337">IF(AG217&gt;0,(AG216/AG217),0)</f>
        <v>0.43684210526315792</v>
      </c>
      <c r="P216" s="832">
        <f t="shared" ref="P216" si="1338">IF(AH217&gt;0,(AH216/AH217),0)</f>
        <v>0</v>
      </c>
      <c r="Q216" s="830">
        <f t="shared" ref="Q216" si="1339">IF(AI217&gt;0,(AI216/AI217),0)</f>
        <v>0</v>
      </c>
      <c r="R216" s="833">
        <f t="shared" ref="R216" si="1340">IF(AJ217&gt;0,(AJ216/AJ217),0)</f>
        <v>0</v>
      </c>
      <c r="S216" s="832">
        <f t="shared" ref="S216" si="1341">IF(AK217&gt;0,(AK216/AK217),0)</f>
        <v>0</v>
      </c>
      <c r="U216" s="349"/>
      <c r="V216" s="349">
        <v>120</v>
      </c>
      <c r="W216" s="349"/>
      <c r="X216" s="349"/>
      <c r="Y216" s="349"/>
      <c r="Z216" s="349"/>
      <c r="AA216" s="804">
        <v>120</v>
      </c>
      <c r="AB216" s="804"/>
      <c r="AC216" s="349"/>
      <c r="AD216" s="349">
        <v>249</v>
      </c>
      <c r="AE216" s="349"/>
      <c r="AF216" s="349"/>
      <c r="AG216" s="804">
        <v>249</v>
      </c>
      <c r="AH216" s="804"/>
      <c r="AI216" s="349"/>
      <c r="AJ216" s="813"/>
      <c r="AK216" s="804"/>
    </row>
    <row r="217" spans="1:37">
      <c r="A217" s="436"/>
      <c r="B217" s="436" t="s">
        <v>59</v>
      </c>
      <c r="C217" s="834">
        <f>IF(U217&gt;0,(U217/U217),0)</f>
        <v>0</v>
      </c>
      <c r="D217" s="835">
        <f t="shared" ref="D217" si="1342">IF(V217&gt;0,(V217/V217),0)</f>
        <v>1</v>
      </c>
      <c r="E217" s="835">
        <f t="shared" ref="E217" si="1343">IF(W217&gt;0,(W217/W217),0)</f>
        <v>0</v>
      </c>
      <c r="F217" s="835">
        <f t="shared" ref="F217" si="1344">IF(X217&gt;0,(X217/X217),0)</f>
        <v>0</v>
      </c>
      <c r="G217" s="835">
        <f t="shared" ref="G217" si="1345">IF(Y217&gt;0,(Y217/Y217),0)</f>
        <v>0</v>
      </c>
      <c r="H217" s="835">
        <f t="shared" ref="H217" si="1346">IF(Z217&gt;0,(Z217/Z217),0)</f>
        <v>0</v>
      </c>
      <c r="I217" s="834">
        <f t="shared" ref="I217" si="1347">IF(AA217&gt;0,(AA217/AA217),0)</f>
        <v>1</v>
      </c>
      <c r="J217" s="834">
        <f t="shared" ref="J217" si="1348">IF(AB217&gt;0,(AB217/AB217),0)</f>
        <v>0</v>
      </c>
      <c r="K217" s="835">
        <f t="shared" ref="K217" si="1349">IF(AC217&gt;0,(AC217/AC217),0)</f>
        <v>0</v>
      </c>
      <c r="L217" s="835">
        <f t="shared" ref="L217" si="1350">IF(AD217&gt;0,(AD217/AD217),0)</f>
        <v>1</v>
      </c>
      <c r="M217" s="835">
        <f t="shared" ref="M217" si="1351">IF(AE217&gt;0,(AE217/AE217),0)</f>
        <v>1</v>
      </c>
      <c r="N217" s="835">
        <f t="shared" ref="N217" si="1352">IF(AF217&gt;0,(AF217/AF217),0)</f>
        <v>0</v>
      </c>
      <c r="O217" s="834">
        <f t="shared" ref="O217" si="1353">IF(AG217&gt;0,(AG217/AG217),0)</f>
        <v>1</v>
      </c>
      <c r="P217" s="834">
        <f t="shared" ref="P217" si="1354">IF(AH217&gt;0,(AH217/AH217),0)</f>
        <v>0</v>
      </c>
      <c r="Q217" s="835">
        <f t="shared" ref="Q217" si="1355">IF(AI217&gt;0,(AI217/AI217),0)</f>
        <v>0</v>
      </c>
      <c r="R217" s="836">
        <f t="shared" ref="R217" si="1356">IF(AJ217&gt;0,(AJ217/AJ217),0)</f>
        <v>0</v>
      </c>
      <c r="S217" s="834">
        <f t="shared" ref="S217" si="1357">IF(AK217&gt;0,(AK217/AK217),0)</f>
        <v>0</v>
      </c>
      <c r="U217" s="816"/>
      <c r="V217" s="816">
        <v>666</v>
      </c>
      <c r="W217" s="816"/>
      <c r="X217" s="816"/>
      <c r="Y217" s="816"/>
      <c r="Z217" s="816"/>
      <c r="AA217" s="805">
        <v>666</v>
      </c>
      <c r="AB217" s="805"/>
      <c r="AC217" s="816"/>
      <c r="AD217" s="816">
        <v>249</v>
      </c>
      <c r="AE217" s="816">
        <v>321</v>
      </c>
      <c r="AF217" s="816"/>
      <c r="AG217" s="805">
        <v>570</v>
      </c>
      <c r="AH217" s="805"/>
      <c r="AI217" s="816"/>
      <c r="AJ217" s="817"/>
      <c r="AK217" s="805"/>
    </row>
    <row r="218" spans="1:37">
      <c r="A218" s="240" t="s">
        <v>172</v>
      </c>
      <c r="B218" s="240" t="s">
        <v>53</v>
      </c>
      <c r="C218" s="829">
        <f>IF(U223&gt;0,(U218/U223),0)</f>
        <v>0.36318255908720454</v>
      </c>
      <c r="D218" s="830">
        <f t="shared" ref="D218" si="1358">IF(V223&gt;0,(V218/V223),0)</f>
        <v>0.26200831158789989</v>
      </c>
      <c r="E218" s="830">
        <f t="shared" ref="E218" si="1359">IF(W223&gt;0,(W218/W223),0)</f>
        <v>0.28017299635085824</v>
      </c>
      <c r="F218" s="830">
        <f t="shared" ref="F218" si="1360">IF(X223&gt;0,(X218/X223),0)</f>
        <v>0.28228309270004048</v>
      </c>
      <c r="G218" s="830">
        <f t="shared" ref="G218" si="1361">IF(Y223&gt;0,(Y218/Y223),0)</f>
        <v>0.30835322195704057</v>
      </c>
      <c r="H218" s="830">
        <f t="shared" ref="H218" si="1362">IF(Z223&gt;0,(Z218/Z223),0)</f>
        <v>0.18833333333333332</v>
      </c>
      <c r="I218" s="829">
        <f t="shared" ref="I218" si="1363">IF(AA223&gt;0,(AA218/AA223),0)</f>
        <v>0.31303965158803626</v>
      </c>
      <c r="J218" s="829">
        <f t="shared" ref="J218" si="1364">IF(AB223&gt;0,(AB218/AB223),0)</f>
        <v>0.27464788732394368</v>
      </c>
      <c r="K218" s="830">
        <f t="shared" ref="K218" si="1365">IF(AC223&gt;0,(AC218/AC223),0)</f>
        <v>0.18601453545472402</v>
      </c>
      <c r="L218" s="830">
        <f t="shared" ref="L218" si="1366">IF(AD223&gt;0,(AD218/AD223),0)</f>
        <v>9.6436909958379863E-2</v>
      </c>
      <c r="M218" s="830">
        <f t="shared" ref="M218" si="1367">IF(AE223&gt;0,(AE218/AE223),0)</f>
        <v>9.6556233653007847E-2</v>
      </c>
      <c r="N218" s="830">
        <f t="shared" ref="N218" si="1368">IF(AF223&gt;0,(AF218/AF223),0)</f>
        <v>0</v>
      </c>
      <c r="O218" s="829">
        <f t="shared" ref="O218" si="1369">IF(AG223&gt;0,(AG218/AG223),0)</f>
        <v>0.13431328998909664</v>
      </c>
      <c r="P218" s="829">
        <f t="shared" ref="P218" si="1370">IF(AH223&gt;0,(AH218/AH223),0)</f>
        <v>0</v>
      </c>
      <c r="Q218" s="830">
        <f t="shared" ref="Q218" si="1371">IF(AI223&gt;0,(AI218/AI223),0)</f>
        <v>0</v>
      </c>
      <c r="R218" s="831">
        <f t="shared" ref="R218" si="1372">IF(AJ223&gt;0,(AJ218/AJ223),0)</f>
        <v>0</v>
      </c>
      <c r="S218" s="829">
        <f t="shared" ref="S218" si="1373">IF(AK223&gt;0,(AK218/AK223),0)</f>
        <v>0</v>
      </c>
      <c r="U218" s="796">
        <f>U224+U230+U236+U242+U248+U254+U260+U266+U272+U278+U284+U290</f>
        <v>10695</v>
      </c>
      <c r="V218" s="796">
        <f t="shared" ref="V218:AK223" si="1374">V224+V230+V236+V242+V248+V254+V260+V266+V272+V278+V284+V290</f>
        <v>2711</v>
      </c>
      <c r="W218" s="796">
        <f t="shared" si="1374"/>
        <v>4146</v>
      </c>
      <c r="X218" s="796">
        <f t="shared" si="1374"/>
        <v>2092</v>
      </c>
      <c r="Y218" s="796">
        <f t="shared" si="1374"/>
        <v>646</v>
      </c>
      <c r="Z218" s="796">
        <f t="shared" si="1374"/>
        <v>339</v>
      </c>
      <c r="AA218" s="801">
        <f t="shared" si="1374"/>
        <v>20629</v>
      </c>
      <c r="AB218" s="801">
        <f t="shared" si="1374"/>
        <v>39</v>
      </c>
      <c r="AC218" s="796">
        <f t="shared" si="1374"/>
        <v>1894</v>
      </c>
      <c r="AD218" s="796">
        <f t="shared" si="1374"/>
        <v>950</v>
      </c>
      <c r="AE218" s="796">
        <f t="shared" si="1374"/>
        <v>443</v>
      </c>
      <c r="AF218" s="796">
        <f t="shared" si="1374"/>
        <v>0</v>
      </c>
      <c r="AG218" s="801">
        <f t="shared" si="1374"/>
        <v>3326</v>
      </c>
      <c r="AH218" s="801">
        <f t="shared" si="1374"/>
        <v>0</v>
      </c>
      <c r="AI218" s="796">
        <f t="shared" si="1374"/>
        <v>0</v>
      </c>
      <c r="AJ218" s="818">
        <f t="shared" si="1374"/>
        <v>0</v>
      </c>
      <c r="AK218" s="801">
        <f t="shared" si="1374"/>
        <v>0</v>
      </c>
    </row>
    <row r="219" spans="1:37">
      <c r="A219" s="239"/>
      <c r="B219" s="239" t="s">
        <v>93</v>
      </c>
      <c r="C219" s="832">
        <f>IF(U223&gt;0,(U219/U223),0)</f>
        <v>0.26864303178484106</v>
      </c>
      <c r="D219" s="830">
        <f t="shared" ref="D219" si="1375">IF(V223&gt;0,(V219/V223),0)</f>
        <v>0.30115009181405239</v>
      </c>
      <c r="E219" s="830">
        <f t="shared" ref="E219" si="1376">IF(W223&gt;0,(W219/W223),0)</f>
        <v>0.26537369914853359</v>
      </c>
      <c r="F219" s="830">
        <f t="shared" ref="F219" si="1377">IF(X223&gt;0,(X219/X223),0)</f>
        <v>0.26892457158278232</v>
      </c>
      <c r="G219" s="830">
        <f t="shared" ref="G219" si="1378">IF(Y223&gt;0,(Y219/Y223),0)</f>
        <v>0.26968973747016706</v>
      </c>
      <c r="H219" s="830">
        <f t="shared" ref="H219" si="1379">IF(Z223&gt;0,(Z219/Z223),0)</f>
        <v>0.29499999999999998</v>
      </c>
      <c r="I219" s="832">
        <f t="shared" ref="I219" si="1380">IF(AA223&gt;0,(AA219/AA223),0)</f>
        <v>0.27379778145343631</v>
      </c>
      <c r="J219" s="832">
        <f t="shared" ref="J219" si="1381">IF(AB223&gt;0,(AB219/AB223),0)</f>
        <v>0.29577464788732394</v>
      </c>
      <c r="K219" s="830">
        <f t="shared" ref="K219" si="1382">IF(AC223&gt;0,(AC219/AC223),0)</f>
        <v>0.11431938715380083</v>
      </c>
      <c r="L219" s="830">
        <f t="shared" ref="L219" si="1383">IF(AD223&gt;0,(AD219/AD223),0)</f>
        <v>8.760531925692823E-2</v>
      </c>
      <c r="M219" s="830">
        <f t="shared" ref="M219" si="1384">IF(AE223&gt;0,(AE219/AE223),0)</f>
        <v>9.2632955536181338E-2</v>
      </c>
      <c r="N219" s="830">
        <f t="shared" ref="N219" si="1385">IF(AF223&gt;0,(AF219/AF223),0)</f>
        <v>0</v>
      </c>
      <c r="O219" s="832">
        <f t="shared" ref="O219" si="1386">IF(AG223&gt;0,(AG219/AG223),0)</f>
        <v>0.10071477607721196</v>
      </c>
      <c r="P219" s="832">
        <f t="shared" ref="P219" si="1387">IF(AH223&gt;0,(AH219/AH223),0)</f>
        <v>0</v>
      </c>
      <c r="Q219" s="830">
        <f t="shared" ref="Q219" si="1388">IF(AI223&gt;0,(AI219/AI223),0)</f>
        <v>0</v>
      </c>
      <c r="R219" s="833">
        <f t="shared" ref="R219" si="1389">IF(AJ223&gt;0,(AJ219/AJ223),0)</f>
        <v>0</v>
      </c>
      <c r="S219" s="832">
        <f t="shared" ref="S219" si="1390">IF(AK223&gt;0,(AK219/AK223),0)</f>
        <v>0</v>
      </c>
      <c r="U219" s="796">
        <f t="shared" ref="U219:AJ223" si="1391">U225+U231+U237+U243+U249+U255+U261+U267+U273+U279+U285+U291</f>
        <v>7911</v>
      </c>
      <c r="V219" s="796">
        <f t="shared" si="1391"/>
        <v>3116</v>
      </c>
      <c r="W219" s="796">
        <f t="shared" si="1391"/>
        <v>3927</v>
      </c>
      <c r="X219" s="796">
        <f t="shared" si="1391"/>
        <v>1993</v>
      </c>
      <c r="Y219" s="796">
        <f t="shared" si="1391"/>
        <v>565</v>
      </c>
      <c r="Z219" s="796">
        <f t="shared" si="1391"/>
        <v>531</v>
      </c>
      <c r="AA219" s="802">
        <f t="shared" si="1391"/>
        <v>18043</v>
      </c>
      <c r="AB219" s="802">
        <f t="shared" si="1391"/>
        <v>42</v>
      </c>
      <c r="AC219" s="796">
        <f t="shared" si="1391"/>
        <v>1164</v>
      </c>
      <c r="AD219" s="796">
        <f t="shared" si="1391"/>
        <v>863</v>
      </c>
      <c r="AE219" s="796">
        <f t="shared" si="1391"/>
        <v>425</v>
      </c>
      <c r="AF219" s="796">
        <f t="shared" si="1391"/>
        <v>0</v>
      </c>
      <c r="AG219" s="802">
        <f t="shared" si="1391"/>
        <v>2494</v>
      </c>
      <c r="AH219" s="802">
        <f t="shared" si="1391"/>
        <v>0</v>
      </c>
      <c r="AI219" s="796">
        <f t="shared" si="1391"/>
        <v>0</v>
      </c>
      <c r="AJ219" s="819">
        <f t="shared" si="1391"/>
        <v>0</v>
      </c>
      <c r="AK219" s="802">
        <f t="shared" si="1374"/>
        <v>0</v>
      </c>
    </row>
    <row r="220" spans="1:37">
      <c r="A220" s="239"/>
      <c r="B220" s="239" t="s">
        <v>55</v>
      </c>
      <c r="C220" s="832">
        <f>IF(U223&gt;0,(U220/U223),0)</f>
        <v>0.25886308068459657</v>
      </c>
      <c r="D220" s="830">
        <f t="shared" ref="D220" si="1392">IF(V223&gt;0,(V220/V223),0)</f>
        <v>0.27350922972842368</v>
      </c>
      <c r="E220" s="830">
        <f t="shared" ref="E220" si="1393">IF(W223&gt;0,(W220/W223),0)</f>
        <v>0.27963238275442626</v>
      </c>
      <c r="F220" s="830">
        <f t="shared" ref="F220" si="1394">IF(X223&gt;0,(X220/X223),0)</f>
        <v>0.26568614222102283</v>
      </c>
      <c r="G220" s="830">
        <f t="shared" ref="G220" si="1395">IF(Y223&gt;0,(Y220/Y223),0)</f>
        <v>0.26252983293556087</v>
      </c>
      <c r="H220" s="830">
        <f t="shared" ref="H220" si="1396">IF(Z223&gt;0,(Z220/Z223),0)</f>
        <v>0.3511111111111111</v>
      </c>
      <c r="I220" s="832">
        <f t="shared" ref="I220" si="1397">IF(AA223&gt;0,(AA220/AA223),0)</f>
        <v>0.26923018558703471</v>
      </c>
      <c r="J220" s="832">
        <f t="shared" ref="J220" si="1398">IF(AB223&gt;0,(AB220/AB223),0)</f>
        <v>0.34507042253521125</v>
      </c>
      <c r="K220" s="830">
        <f t="shared" ref="K220" si="1399">IF(AC223&gt;0,(AC220/AC223),0)</f>
        <v>0.13789039481437831</v>
      </c>
      <c r="L220" s="830">
        <f t="shared" ref="L220" si="1400">IF(AD223&gt;0,(AD220/AD223),0)</f>
        <v>9.8974723378337223E-2</v>
      </c>
      <c r="M220" s="830">
        <f t="shared" ref="M220" si="1401">IF(AE223&gt;0,(AE220/AE223),0)</f>
        <v>0.11835222319093287</v>
      </c>
      <c r="N220" s="830">
        <f t="shared" ref="N220" si="1402">IF(AF223&gt;0,(AF220/AF223),0)</f>
        <v>0</v>
      </c>
      <c r="O220" s="832">
        <f t="shared" ref="O220" si="1403">IF(AG223&gt;0,(AG220/AG223),0)</f>
        <v>0.11997738561563623</v>
      </c>
      <c r="P220" s="832">
        <f t="shared" ref="P220" si="1404">IF(AH223&gt;0,(AH220/AH223),0)</f>
        <v>0</v>
      </c>
      <c r="Q220" s="830">
        <f t="shared" ref="Q220" si="1405">IF(AI223&gt;0,(AI220/AI223),0)</f>
        <v>0</v>
      </c>
      <c r="R220" s="833">
        <f t="shared" ref="R220" si="1406">IF(AJ223&gt;0,(AJ220/AJ223),0)</f>
        <v>0</v>
      </c>
      <c r="S220" s="832">
        <f t="shared" ref="S220" si="1407">IF(AK223&gt;0,(AK220/AK223),0)</f>
        <v>0</v>
      </c>
      <c r="U220" s="796">
        <f t="shared" si="1391"/>
        <v>7623</v>
      </c>
      <c r="V220" s="796">
        <f t="shared" si="1374"/>
        <v>2830</v>
      </c>
      <c r="W220" s="796">
        <f t="shared" si="1374"/>
        <v>4138</v>
      </c>
      <c r="X220" s="796">
        <f t="shared" si="1374"/>
        <v>1969</v>
      </c>
      <c r="Y220" s="796">
        <f t="shared" si="1374"/>
        <v>550</v>
      </c>
      <c r="Z220" s="796">
        <f t="shared" si="1374"/>
        <v>632</v>
      </c>
      <c r="AA220" s="802">
        <f t="shared" si="1374"/>
        <v>17742</v>
      </c>
      <c r="AB220" s="802">
        <f t="shared" si="1374"/>
        <v>49</v>
      </c>
      <c r="AC220" s="796">
        <f t="shared" si="1374"/>
        <v>1404</v>
      </c>
      <c r="AD220" s="796">
        <f t="shared" si="1374"/>
        <v>975</v>
      </c>
      <c r="AE220" s="796">
        <f t="shared" si="1374"/>
        <v>543</v>
      </c>
      <c r="AF220" s="796">
        <f t="shared" si="1374"/>
        <v>0</v>
      </c>
      <c r="AG220" s="802">
        <f t="shared" si="1374"/>
        <v>2971</v>
      </c>
      <c r="AH220" s="802">
        <f t="shared" si="1374"/>
        <v>0</v>
      </c>
      <c r="AI220" s="796">
        <f t="shared" si="1374"/>
        <v>0</v>
      </c>
      <c r="AJ220" s="819">
        <f t="shared" si="1374"/>
        <v>0</v>
      </c>
      <c r="AK220" s="802">
        <f t="shared" si="1374"/>
        <v>0</v>
      </c>
    </row>
    <row r="221" spans="1:37">
      <c r="A221" s="239"/>
      <c r="B221" s="239" t="s">
        <v>78</v>
      </c>
      <c r="C221" s="832">
        <f>IF(U223&gt;0,(U221/U223),0)</f>
        <v>2.9747351263243682E-2</v>
      </c>
      <c r="D221" s="830">
        <f t="shared" ref="D221" si="1408">IF(V223&gt;0,(V221/V223),0)</f>
        <v>9.0750942302116555E-2</v>
      </c>
      <c r="E221" s="830">
        <f t="shared" ref="E221" si="1409">IF(W223&gt;0,(W221/W223),0)</f>
        <v>0.10521692120556832</v>
      </c>
      <c r="F221" s="830">
        <f t="shared" ref="F221" si="1410">IF(X223&gt;0,(X221/X223),0)</f>
        <v>6.6387801916070702E-2</v>
      </c>
      <c r="G221" s="830">
        <f t="shared" ref="G221" si="1411">IF(Y223&gt;0,(Y221/Y223),0)</f>
        <v>6.6348448687350833E-2</v>
      </c>
      <c r="H221" s="830">
        <f t="shared" ref="H221" si="1412">IF(Z223&gt;0,(Z221/Z223),0)</f>
        <v>0.12888888888888889</v>
      </c>
      <c r="I221" s="832">
        <f t="shared" ref="I221" si="1413">IF(AA223&gt;0,(AA221/AA223),0)</f>
        <v>6.4265011608673886E-2</v>
      </c>
      <c r="J221" s="832">
        <f t="shared" ref="J221" si="1414">IF(AB223&gt;0,(AB221/AB223),0)</f>
        <v>8.4507042253521125E-2</v>
      </c>
      <c r="K221" s="830">
        <f t="shared" ref="K221" si="1415">IF(AC223&gt;0,(AC221/AC223),0)</f>
        <v>0.30377136122569237</v>
      </c>
      <c r="L221" s="830">
        <f t="shared" ref="L221" si="1416">IF(AD223&gt;0,(AD221/AD223),0)</f>
        <v>0.3732615978073292</v>
      </c>
      <c r="M221" s="830">
        <f t="shared" ref="M221" si="1417">IF(AE223&gt;0,(AE221/AE223),0)</f>
        <v>0.38775065387968616</v>
      </c>
      <c r="N221" s="830">
        <f t="shared" ref="N221" si="1418">IF(AF223&gt;0,(AF221/AF223),0)</f>
        <v>0</v>
      </c>
      <c r="O221" s="832">
        <f t="shared" ref="O221" si="1419">IF(AG223&gt;0,(AG221/AG223),0)</f>
        <v>0.34571740096111131</v>
      </c>
      <c r="P221" s="832">
        <f t="shared" ref="P221" si="1420">IF(AH223&gt;0,(AH221/AH223),0)</f>
        <v>0</v>
      </c>
      <c r="Q221" s="830">
        <f t="shared" ref="Q221" si="1421">IF(AI223&gt;0,(AI221/AI223),0)</f>
        <v>0</v>
      </c>
      <c r="R221" s="833">
        <f t="shared" ref="R221" si="1422">IF(AJ223&gt;0,(AJ221/AJ223),0)</f>
        <v>0</v>
      </c>
      <c r="S221" s="832">
        <f t="shared" ref="S221" si="1423">IF(AK223&gt;0,(AK221/AK223),0)</f>
        <v>0</v>
      </c>
      <c r="U221" s="796">
        <f t="shared" si="1391"/>
        <v>876</v>
      </c>
      <c r="V221" s="796">
        <f t="shared" si="1374"/>
        <v>939</v>
      </c>
      <c r="W221" s="796">
        <f t="shared" si="1374"/>
        <v>1557</v>
      </c>
      <c r="X221" s="796">
        <f t="shared" si="1374"/>
        <v>492</v>
      </c>
      <c r="Y221" s="796">
        <f t="shared" si="1374"/>
        <v>139</v>
      </c>
      <c r="Z221" s="796">
        <f t="shared" si="1374"/>
        <v>232</v>
      </c>
      <c r="AA221" s="802">
        <f t="shared" si="1374"/>
        <v>4235</v>
      </c>
      <c r="AB221" s="802">
        <f t="shared" si="1374"/>
        <v>12</v>
      </c>
      <c r="AC221" s="796">
        <f t="shared" si="1374"/>
        <v>3093</v>
      </c>
      <c r="AD221" s="796">
        <f t="shared" si="1374"/>
        <v>3677</v>
      </c>
      <c r="AE221" s="796">
        <f t="shared" si="1374"/>
        <v>1779</v>
      </c>
      <c r="AF221" s="796">
        <f t="shared" si="1374"/>
        <v>0</v>
      </c>
      <c r="AG221" s="802">
        <f t="shared" si="1374"/>
        <v>8561</v>
      </c>
      <c r="AH221" s="802">
        <f t="shared" si="1374"/>
        <v>0</v>
      </c>
      <c r="AI221" s="796">
        <f t="shared" si="1374"/>
        <v>0</v>
      </c>
      <c r="AJ221" s="819">
        <f t="shared" si="1374"/>
        <v>0</v>
      </c>
      <c r="AK221" s="802">
        <f t="shared" si="1374"/>
        <v>0</v>
      </c>
    </row>
    <row r="222" spans="1:37">
      <c r="A222" s="580"/>
      <c r="B222" s="580" t="s">
        <v>131</v>
      </c>
      <c r="C222" s="832">
        <f>IF(U223&gt;0,(U222/U223),0)</f>
        <v>7.9563977180114098E-2</v>
      </c>
      <c r="D222" s="830">
        <f t="shared" ref="D222" si="1424">IF(V223&gt;0,(V222/V223),0)</f>
        <v>7.2581424567507491E-2</v>
      </c>
      <c r="E222" s="830">
        <f t="shared" ref="E222" si="1425">IF(W223&gt;0,(W222/W223),0)</f>
        <v>6.9604000540613595E-2</v>
      </c>
      <c r="F222" s="830">
        <f t="shared" ref="F222" si="1426">IF(X223&gt;0,(X222/X223),0)</f>
        <v>0.11671839158008367</v>
      </c>
      <c r="G222" s="830">
        <f t="shared" ref="G222" si="1427">IF(Y223&gt;0,(Y222/Y223),0)</f>
        <v>9.3078758949880672E-2</v>
      </c>
      <c r="H222" s="830">
        <f t="shared" ref="H222" si="1428">IF(Z223&gt;0,(Z222/Z223),0)</f>
        <v>3.6666666666666667E-2</v>
      </c>
      <c r="I222" s="832">
        <f t="shared" ref="I222" si="1429">IF(AA223&gt;0,(AA222/AA223),0)</f>
        <v>7.9667369762818865E-2</v>
      </c>
      <c r="J222" s="832">
        <f t="shared" ref="J222" si="1430">IF(AB223&gt;0,(AB222/AB223),0)</f>
        <v>0</v>
      </c>
      <c r="K222" s="830">
        <f t="shared" ref="K222" si="1431">IF(AC223&gt;0,(AC222/AC223),0)</f>
        <v>0.25800432135140444</v>
      </c>
      <c r="L222" s="830">
        <f t="shared" ref="L222" si="1432">IF(AD223&gt;0,(AD222/AD223),0)</f>
        <v>0.34372144959902545</v>
      </c>
      <c r="M222" s="830">
        <f t="shared" ref="M222" si="1433">IF(AE223&gt;0,(AE222/AE223),0)</f>
        <v>0.30470793374019178</v>
      </c>
      <c r="N222" s="830">
        <f t="shared" ref="N222" si="1434">IF(AF223&gt;0,(AF222/AF223),0)</f>
        <v>0</v>
      </c>
      <c r="O222" s="832">
        <f t="shared" ref="O222" si="1435">IF(AG223&gt;0,(AG222/AG223),0)</f>
        <v>0.29927714735694383</v>
      </c>
      <c r="P222" s="832">
        <f t="shared" ref="P222" si="1436">IF(AH223&gt;0,(AH222/AH223),0)</f>
        <v>0</v>
      </c>
      <c r="Q222" s="830">
        <f t="shared" ref="Q222" si="1437">IF(AI223&gt;0,(AI222/AI223),0)</f>
        <v>0</v>
      </c>
      <c r="R222" s="833">
        <f t="shared" ref="R222" si="1438">IF(AJ223&gt;0,(AJ222/AJ223),0)</f>
        <v>0</v>
      </c>
      <c r="S222" s="832">
        <f t="shared" ref="S222" si="1439">IF(AK223&gt;0,(AK222/AK223),0)</f>
        <v>0</v>
      </c>
      <c r="U222" s="796">
        <f t="shared" si="1391"/>
        <v>2343</v>
      </c>
      <c r="V222" s="796">
        <f t="shared" si="1374"/>
        <v>751</v>
      </c>
      <c r="W222" s="796">
        <f t="shared" si="1374"/>
        <v>1030</v>
      </c>
      <c r="X222" s="796">
        <f t="shared" si="1374"/>
        <v>865</v>
      </c>
      <c r="Y222" s="796">
        <f t="shared" si="1374"/>
        <v>195</v>
      </c>
      <c r="Z222" s="796">
        <f t="shared" si="1374"/>
        <v>66</v>
      </c>
      <c r="AA222" s="802">
        <f t="shared" si="1374"/>
        <v>5250</v>
      </c>
      <c r="AB222" s="802">
        <f t="shared" si="1374"/>
        <v>0</v>
      </c>
      <c r="AC222" s="796">
        <f t="shared" si="1374"/>
        <v>2627</v>
      </c>
      <c r="AD222" s="796">
        <f t="shared" si="1374"/>
        <v>3386</v>
      </c>
      <c r="AE222" s="796">
        <f t="shared" si="1374"/>
        <v>1398</v>
      </c>
      <c r="AF222" s="796">
        <f t="shared" si="1374"/>
        <v>0</v>
      </c>
      <c r="AG222" s="802">
        <f t="shared" si="1374"/>
        <v>7411</v>
      </c>
      <c r="AH222" s="802">
        <f t="shared" si="1374"/>
        <v>0</v>
      </c>
      <c r="AI222" s="796">
        <f t="shared" si="1374"/>
        <v>0</v>
      </c>
      <c r="AJ222" s="819">
        <f t="shared" si="1374"/>
        <v>0</v>
      </c>
      <c r="AK222" s="802">
        <f t="shared" si="1374"/>
        <v>0</v>
      </c>
    </row>
    <row r="223" spans="1:37">
      <c r="A223" s="436" t="s">
        <v>86</v>
      </c>
      <c r="B223" s="436" t="s">
        <v>59</v>
      </c>
      <c r="C223" s="834">
        <f>IF(U223&gt;0,(U223/U223),0)</f>
        <v>1</v>
      </c>
      <c r="D223" s="835">
        <f t="shared" ref="D223" si="1440">IF(V223&gt;0,(V223/V223),0)</f>
        <v>1</v>
      </c>
      <c r="E223" s="835">
        <f t="shared" ref="E223" si="1441">IF(W223&gt;0,(W223/W223),0)</f>
        <v>1</v>
      </c>
      <c r="F223" s="835">
        <f t="shared" ref="F223" si="1442">IF(X223&gt;0,(X223/X223),0)</f>
        <v>1</v>
      </c>
      <c r="G223" s="835">
        <f t="shared" ref="G223" si="1443">IF(Y223&gt;0,(Y223/Y223),0)</f>
        <v>1</v>
      </c>
      <c r="H223" s="835">
        <f t="shared" ref="H223" si="1444">IF(Z223&gt;0,(Z223/Z223),0)</f>
        <v>1</v>
      </c>
      <c r="I223" s="834">
        <f t="shared" ref="I223" si="1445">IF(AA223&gt;0,(AA223/AA223),0)</f>
        <v>1</v>
      </c>
      <c r="J223" s="834">
        <f t="shared" ref="J223" si="1446">IF(AB223&gt;0,(AB223/AB223),0)</f>
        <v>1</v>
      </c>
      <c r="K223" s="835">
        <f t="shared" ref="K223" si="1447">IF(AC223&gt;0,(AC223/AC223),0)</f>
        <v>1</v>
      </c>
      <c r="L223" s="835">
        <f t="shared" ref="L223" si="1448">IF(AD223&gt;0,(AD223/AD223),0)</f>
        <v>1</v>
      </c>
      <c r="M223" s="835">
        <f t="shared" ref="M223" si="1449">IF(AE223&gt;0,(AE223/AE223),0)</f>
        <v>1</v>
      </c>
      <c r="N223" s="835">
        <f t="shared" ref="N223" si="1450">IF(AF223&gt;0,(AF223/AF223),0)</f>
        <v>0</v>
      </c>
      <c r="O223" s="834">
        <f t="shared" ref="O223" si="1451">IF(AG223&gt;0,(AG223/AG223),0)</f>
        <v>1</v>
      </c>
      <c r="P223" s="834">
        <f t="shared" ref="P223" si="1452">IF(AH223&gt;0,(AH223/AH223),0)</f>
        <v>0</v>
      </c>
      <c r="Q223" s="835">
        <f t="shared" ref="Q223" si="1453">IF(AI223&gt;0,(AI223/AI223),0)</f>
        <v>0</v>
      </c>
      <c r="R223" s="836">
        <f t="shared" ref="R223" si="1454">IF(AJ223&gt;0,(AJ223/AJ223),0)</f>
        <v>0</v>
      </c>
      <c r="S223" s="834">
        <f t="shared" ref="S223" si="1455">IF(AK223&gt;0,(AK223/AK223),0)</f>
        <v>0</v>
      </c>
      <c r="U223" s="814">
        <f t="shared" si="1391"/>
        <v>29448</v>
      </c>
      <c r="V223" s="814">
        <f t="shared" si="1374"/>
        <v>10347</v>
      </c>
      <c r="W223" s="814">
        <f t="shared" si="1374"/>
        <v>14798</v>
      </c>
      <c r="X223" s="814">
        <f t="shared" si="1374"/>
        <v>7411</v>
      </c>
      <c r="Y223" s="814">
        <f t="shared" si="1374"/>
        <v>2095</v>
      </c>
      <c r="Z223" s="814">
        <f t="shared" si="1374"/>
        <v>1800</v>
      </c>
      <c r="AA223" s="815">
        <f t="shared" si="1374"/>
        <v>65899</v>
      </c>
      <c r="AB223" s="815">
        <f t="shared" si="1374"/>
        <v>142</v>
      </c>
      <c r="AC223" s="814">
        <f t="shared" si="1374"/>
        <v>10182</v>
      </c>
      <c r="AD223" s="814">
        <f t="shared" si="1374"/>
        <v>9851</v>
      </c>
      <c r="AE223" s="814">
        <f t="shared" si="1374"/>
        <v>4588</v>
      </c>
      <c r="AF223" s="814">
        <f t="shared" si="1374"/>
        <v>0</v>
      </c>
      <c r="AG223" s="815">
        <f t="shared" si="1374"/>
        <v>24763</v>
      </c>
      <c r="AH223" s="815">
        <f t="shared" si="1374"/>
        <v>0</v>
      </c>
      <c r="AI223" s="814">
        <f t="shared" si="1374"/>
        <v>0</v>
      </c>
      <c r="AJ223" s="820">
        <f t="shared" si="1374"/>
        <v>0</v>
      </c>
      <c r="AK223" s="815">
        <f t="shared" si="1374"/>
        <v>0</v>
      </c>
    </row>
    <row r="224" spans="1:37">
      <c r="A224" s="240" t="s">
        <v>144</v>
      </c>
      <c r="B224" s="240" t="s">
        <v>53</v>
      </c>
      <c r="C224" s="829">
        <f>IF(U229&gt;0,(U224/U229),0)</f>
        <v>0.31642955484167051</v>
      </c>
      <c r="D224" s="830">
        <f t="shared" ref="D224" si="1456">IF(V229&gt;0,(V224/V229),0)</f>
        <v>0.23008849557522124</v>
      </c>
      <c r="E224" s="830">
        <f t="shared" ref="E224" si="1457">IF(W229&gt;0,(W224/W229),0)</f>
        <v>0.25146043547530539</v>
      </c>
      <c r="F224" s="830">
        <f t="shared" ref="F224" si="1458">IF(X229&gt;0,(X224/X229),0)</f>
        <v>0</v>
      </c>
      <c r="G224" s="830">
        <f t="shared" ref="G224" si="1459">IF(Y229&gt;0,(Y224/Y229),0)</f>
        <v>0</v>
      </c>
      <c r="H224" s="830">
        <f t="shared" ref="H224" si="1460">IF(Z229&gt;0,(Z224/Z229),0)</f>
        <v>0</v>
      </c>
      <c r="I224" s="829">
        <f t="shared" ref="I224" si="1461">IF(AA229&gt;0,(AA224/AA229),0)</f>
        <v>0.28068232166592821</v>
      </c>
      <c r="J224" s="829">
        <f t="shared" ref="J224" si="1462">IF(AB229&gt;0,(AB224/AB229),0)</f>
        <v>0</v>
      </c>
      <c r="K224" s="830">
        <f t="shared" ref="K224" si="1463">IF(AC229&gt;0,(AC224/AC229),0)</f>
        <v>0.22787427626137305</v>
      </c>
      <c r="L224" s="830">
        <f t="shared" ref="L224" si="1464">IF(AD229&gt;0,(AD224/AD229),0)</f>
        <v>0.21474926253687315</v>
      </c>
      <c r="M224" s="830">
        <f t="shared" ref="M224" si="1465">IF(AE229&gt;0,(AE224/AE229),0)</f>
        <v>0.26229508196721313</v>
      </c>
      <c r="N224" s="830">
        <f t="shared" ref="N224" si="1466">IF(AF229&gt;0,(AF224/AF229),0)</f>
        <v>0</v>
      </c>
      <c r="O224" s="829">
        <f t="shared" ref="O224" si="1467">IF(AG229&gt;0,(AG224/AG229),0)</f>
        <v>0.22668985003260161</v>
      </c>
      <c r="P224" s="829">
        <f t="shared" ref="P224" si="1468">IF(AH229&gt;0,(AH224/AH229),0)</f>
        <v>0</v>
      </c>
      <c r="Q224" s="830">
        <f t="shared" ref="Q224" si="1469">IF(AI229&gt;0,(AI224/AI229),0)</f>
        <v>0</v>
      </c>
      <c r="R224" s="831">
        <f t="shared" ref="R224" si="1470">IF(AJ229&gt;0,(AJ224/AJ229),0)</f>
        <v>0</v>
      </c>
      <c r="S224" s="829">
        <f t="shared" ref="S224" si="1471">IF(AK229&gt;0,(AK224/AK229),0)</f>
        <v>0</v>
      </c>
      <c r="U224" s="349">
        <v>1379</v>
      </c>
      <c r="V224" s="349">
        <v>208</v>
      </c>
      <c r="W224" s="349">
        <v>947</v>
      </c>
      <c r="X224" s="349"/>
      <c r="Y224" s="349"/>
      <c r="Z224" s="349"/>
      <c r="AA224" s="803">
        <v>2534</v>
      </c>
      <c r="AB224" s="803"/>
      <c r="AC224" s="349">
        <v>551</v>
      </c>
      <c r="AD224" s="349">
        <v>364</v>
      </c>
      <c r="AE224" s="349">
        <v>128</v>
      </c>
      <c r="AF224" s="349"/>
      <c r="AG224" s="803">
        <v>1043</v>
      </c>
      <c r="AH224" s="803"/>
      <c r="AI224" s="349"/>
      <c r="AJ224" s="812"/>
      <c r="AK224" s="803"/>
    </row>
    <row r="225" spans="1:37">
      <c r="A225" s="239"/>
      <c r="B225" s="239" t="s">
        <v>93</v>
      </c>
      <c r="C225" s="832">
        <f>IF(U229&gt;0,(U225/U229),0)</f>
        <v>0.25355667737494264</v>
      </c>
      <c r="D225" s="830">
        <f t="shared" ref="D225" si="1472">IF(V229&gt;0,(V225/V229),0)</f>
        <v>0.36061946902654868</v>
      </c>
      <c r="E225" s="830">
        <f t="shared" ref="E225" si="1473">IF(W229&gt;0,(W225/W229),0)</f>
        <v>0.25544344131704727</v>
      </c>
      <c r="F225" s="830">
        <f t="shared" ref="F225" si="1474">IF(X229&gt;0,(X225/X229),0)</f>
        <v>0</v>
      </c>
      <c r="G225" s="830">
        <f t="shared" ref="G225" si="1475">IF(Y229&gt;0,(Y225/Y229),0)</f>
        <v>0</v>
      </c>
      <c r="H225" s="830">
        <f t="shared" ref="H225" si="1476">IF(Z229&gt;0,(Z225/Z229),0)</f>
        <v>0</v>
      </c>
      <c r="I225" s="832">
        <f t="shared" ref="I225" si="1477">IF(AA229&gt;0,(AA225/AA229),0)</f>
        <v>0.26506424457244132</v>
      </c>
      <c r="J225" s="832">
        <f t="shared" ref="J225" si="1478">IF(AB229&gt;0,(AB225/AB229),0)</f>
        <v>0</v>
      </c>
      <c r="K225" s="830">
        <f t="shared" ref="K225" si="1479">IF(AC229&gt;0,(AC225/AC229),0)</f>
        <v>0.17783291976840365</v>
      </c>
      <c r="L225" s="830">
        <f t="shared" ref="L225" si="1480">IF(AD229&gt;0,(AD225/AD229),0)</f>
        <v>0.10973451327433628</v>
      </c>
      <c r="M225" s="830">
        <f t="shared" ref="M225" si="1481">IF(AE229&gt;0,(AE225/AE229),0)</f>
        <v>4.5081967213114756E-2</v>
      </c>
      <c r="N225" s="830">
        <f t="shared" ref="N225" si="1482">IF(AF229&gt;0,(AF225/AF229),0)</f>
        <v>0</v>
      </c>
      <c r="O225" s="832">
        <f t="shared" ref="O225" si="1483">IF(AG229&gt;0,(AG225/AG229),0)</f>
        <v>0.13866550749836992</v>
      </c>
      <c r="P225" s="832">
        <f t="shared" ref="P225" si="1484">IF(AH229&gt;0,(AH225/AH229),0)</f>
        <v>0</v>
      </c>
      <c r="Q225" s="830">
        <f t="shared" ref="Q225" si="1485">IF(AI229&gt;0,(AI225/AI229),0)</f>
        <v>0</v>
      </c>
      <c r="R225" s="833">
        <f t="shared" ref="R225" si="1486">IF(AJ229&gt;0,(AJ225/AJ229),0)</f>
        <v>0</v>
      </c>
      <c r="S225" s="832">
        <f t="shared" ref="S225" si="1487">IF(AK229&gt;0,(AK225/AK229),0)</f>
        <v>0</v>
      </c>
      <c r="U225" s="349">
        <v>1105</v>
      </c>
      <c r="V225" s="349">
        <v>326</v>
      </c>
      <c r="W225" s="349">
        <v>962</v>
      </c>
      <c r="X225" s="349"/>
      <c r="Y225" s="349"/>
      <c r="Z225" s="349"/>
      <c r="AA225" s="804">
        <v>2393</v>
      </c>
      <c r="AB225" s="804"/>
      <c r="AC225" s="349">
        <v>430</v>
      </c>
      <c r="AD225" s="349">
        <v>186</v>
      </c>
      <c r="AE225" s="349">
        <v>22</v>
      </c>
      <c r="AF225" s="349"/>
      <c r="AG225" s="804">
        <v>638</v>
      </c>
      <c r="AH225" s="804"/>
      <c r="AI225" s="349"/>
      <c r="AJ225" s="813"/>
      <c r="AK225" s="804"/>
    </row>
    <row r="226" spans="1:37">
      <c r="A226" s="239"/>
      <c r="B226" s="239" t="s">
        <v>55</v>
      </c>
      <c r="C226" s="832">
        <f>IF(U229&gt;0,(U226/U229),0)</f>
        <v>0.29853143643873337</v>
      </c>
      <c r="D226" s="830">
        <f t="shared" ref="D226" si="1488">IF(V229&gt;0,(V226/V229),0)</f>
        <v>0.2334070796460177</v>
      </c>
      <c r="E226" s="830">
        <f t="shared" ref="E226" si="1489">IF(W229&gt;0,(W226/W229),0)</f>
        <v>0.26978226234731811</v>
      </c>
      <c r="F226" s="830">
        <f t="shared" ref="F226" si="1490">IF(X229&gt;0,(X226/X229),0)</f>
        <v>0</v>
      </c>
      <c r="G226" s="830">
        <f t="shared" ref="G226" si="1491">IF(Y229&gt;0,(Y226/Y229),0)</f>
        <v>0</v>
      </c>
      <c r="H226" s="830">
        <f t="shared" ref="H226" si="1492">IF(Z229&gt;0,(Z226/Z229),0)</f>
        <v>0</v>
      </c>
      <c r="I226" s="832">
        <f t="shared" ref="I226" si="1493">IF(AA229&gt;0,(AA226/AA229),0)</f>
        <v>0.28001772264067348</v>
      </c>
      <c r="J226" s="832">
        <f t="shared" ref="J226" si="1494">IF(AB229&gt;0,(AB226/AB229),0)</f>
        <v>0</v>
      </c>
      <c r="K226" s="830">
        <f t="shared" ref="K226" si="1495">IF(AC229&gt;0,(AC226/AC229),0)</f>
        <v>0.19685690653432589</v>
      </c>
      <c r="L226" s="830">
        <f t="shared" ref="L226" si="1496">IF(AD229&gt;0,(AD226/AD229),0)</f>
        <v>0.14867256637168141</v>
      </c>
      <c r="M226" s="830">
        <f t="shared" ref="M226" si="1497">IF(AE229&gt;0,(AE226/AE229),0)</f>
        <v>0.11885245901639344</v>
      </c>
      <c r="N226" s="830">
        <f t="shared" ref="N226" si="1498">IF(AF229&gt;0,(AF226/AF229),0)</f>
        <v>0</v>
      </c>
      <c r="O226" s="832">
        <f t="shared" ref="O226" si="1499">IF(AG229&gt;0,(AG226/AG229),0)</f>
        <v>0.17083242773310151</v>
      </c>
      <c r="P226" s="832">
        <f t="shared" ref="P226" si="1500">IF(AH229&gt;0,(AH226/AH229),0)</f>
        <v>0</v>
      </c>
      <c r="Q226" s="830">
        <f t="shared" ref="Q226" si="1501">IF(AI229&gt;0,(AI226/AI229),0)</f>
        <v>0</v>
      </c>
      <c r="R226" s="833">
        <f t="shared" ref="R226" si="1502">IF(AJ229&gt;0,(AJ226/AJ229),0)</f>
        <v>0</v>
      </c>
      <c r="S226" s="832">
        <f t="shared" ref="S226" si="1503">IF(AK229&gt;0,(AK226/AK229),0)</f>
        <v>0</v>
      </c>
      <c r="U226" s="349">
        <v>1301</v>
      </c>
      <c r="V226" s="349">
        <v>211</v>
      </c>
      <c r="W226" s="349">
        <v>1016</v>
      </c>
      <c r="X226" s="349"/>
      <c r="Y226" s="349"/>
      <c r="Z226" s="349"/>
      <c r="AA226" s="804">
        <v>2528</v>
      </c>
      <c r="AB226" s="804"/>
      <c r="AC226" s="349">
        <v>476</v>
      </c>
      <c r="AD226" s="349">
        <v>252</v>
      </c>
      <c r="AE226" s="349">
        <v>58</v>
      </c>
      <c r="AF226" s="349"/>
      <c r="AG226" s="804">
        <v>786</v>
      </c>
      <c r="AH226" s="804"/>
      <c r="AI226" s="349"/>
      <c r="AJ226" s="813"/>
      <c r="AK226" s="804"/>
    </row>
    <row r="227" spans="1:37">
      <c r="A227" s="239"/>
      <c r="B227" s="239" t="s">
        <v>78</v>
      </c>
      <c r="C227" s="832">
        <f>IF(U229&gt;0,(U227/U229),0)</f>
        <v>3.8549793483249196E-2</v>
      </c>
      <c r="D227" s="830">
        <f t="shared" ref="D227" si="1504">IF(V229&gt;0,(V227/V229),0)</f>
        <v>0.17588495575221239</v>
      </c>
      <c r="E227" s="830">
        <f t="shared" ref="E227" si="1505">IF(W229&gt;0,(W227/W229),0)</f>
        <v>0.1415294742432289</v>
      </c>
      <c r="F227" s="830">
        <f t="shared" ref="F227" si="1506">IF(X229&gt;0,(X227/X229),0)</f>
        <v>0</v>
      </c>
      <c r="G227" s="830">
        <f t="shared" ref="G227" si="1507">IF(Y229&gt;0,(Y227/Y229),0)</f>
        <v>0</v>
      </c>
      <c r="H227" s="830">
        <f t="shared" ref="H227" si="1508">IF(Z229&gt;0,(Z227/Z229),0)</f>
        <v>0</v>
      </c>
      <c r="I227" s="832">
        <f t="shared" ref="I227" si="1509">IF(AA229&gt;0,(AA227/AA229),0)</f>
        <v>9.5259193619849358E-2</v>
      </c>
      <c r="J227" s="832">
        <f t="shared" ref="J227" si="1510">IF(AB229&gt;0,(AB227/AB229),0)</f>
        <v>0</v>
      </c>
      <c r="K227" s="830">
        <f t="shared" ref="K227" si="1511">IF(AC229&gt;0,(AC227/AC229),0)</f>
        <v>0.26385442514474772</v>
      </c>
      <c r="L227" s="830">
        <f t="shared" ref="L227" si="1512">IF(AD229&gt;0,(AD227/AD229),0)</f>
        <v>0.25191740412979352</v>
      </c>
      <c r="M227" s="830">
        <f t="shared" ref="M227" si="1513">IF(AE229&gt;0,(AE227/AE229),0)</f>
        <v>0.11475409836065574</v>
      </c>
      <c r="N227" s="830">
        <f t="shared" ref="N227" si="1514">IF(AF229&gt;0,(AF227/AF229),0)</f>
        <v>0</v>
      </c>
      <c r="O227" s="832">
        <f t="shared" ref="O227" si="1515">IF(AG229&gt;0,(AG227/AG229),0)</f>
        <v>0.2436426863725277</v>
      </c>
      <c r="P227" s="832">
        <f t="shared" ref="P227" si="1516">IF(AH229&gt;0,(AH227/AH229),0)</f>
        <v>0</v>
      </c>
      <c r="Q227" s="830">
        <f t="shared" ref="Q227" si="1517">IF(AI229&gt;0,(AI227/AI229),0)</f>
        <v>0</v>
      </c>
      <c r="R227" s="833">
        <f t="shared" ref="R227" si="1518">IF(AJ229&gt;0,(AJ227/AJ229),0)</f>
        <v>0</v>
      </c>
      <c r="S227" s="832">
        <f t="shared" ref="S227" si="1519">IF(AK229&gt;0,(AK227/AK229),0)</f>
        <v>0</v>
      </c>
      <c r="U227" s="349">
        <v>168</v>
      </c>
      <c r="V227" s="349">
        <v>159</v>
      </c>
      <c r="W227" s="349">
        <v>533</v>
      </c>
      <c r="X227" s="349"/>
      <c r="Y227" s="349"/>
      <c r="Z227" s="349"/>
      <c r="AA227" s="804">
        <v>860</v>
      </c>
      <c r="AB227" s="804"/>
      <c r="AC227" s="349">
        <v>638</v>
      </c>
      <c r="AD227" s="349">
        <v>427</v>
      </c>
      <c r="AE227" s="349">
        <v>56</v>
      </c>
      <c r="AF227" s="349"/>
      <c r="AG227" s="804">
        <v>1121</v>
      </c>
      <c r="AH227" s="804"/>
      <c r="AI227" s="349"/>
      <c r="AJ227" s="813"/>
      <c r="AK227" s="804"/>
    </row>
    <row r="228" spans="1:37">
      <c r="A228" s="580"/>
      <c r="B228" s="580" t="s">
        <v>131</v>
      </c>
      <c r="C228" s="832">
        <f>IF(U229&gt;0,(U228/U229),0)</f>
        <v>9.2932537861404318E-2</v>
      </c>
      <c r="D228" s="830">
        <f t="shared" ref="D228" si="1520">IF(V229&gt;0,(V228/V229),0)</f>
        <v>0</v>
      </c>
      <c r="E228" s="830">
        <f t="shared" ref="E228" si="1521">IF(W229&gt;0,(W228/W229),0)</f>
        <v>8.1784386617100371E-2</v>
      </c>
      <c r="F228" s="830">
        <f t="shared" ref="F228" si="1522">IF(X229&gt;0,(X228/X229),0)</f>
        <v>0</v>
      </c>
      <c r="G228" s="830">
        <f t="shared" ref="G228" si="1523">IF(Y229&gt;0,(Y228/Y229),0)</f>
        <v>0</v>
      </c>
      <c r="H228" s="830">
        <f t="shared" ref="H228" si="1524">IF(Z229&gt;0,(Z228/Z229),0)</f>
        <v>0</v>
      </c>
      <c r="I228" s="832">
        <f t="shared" ref="I228" si="1525">IF(AA229&gt;0,(AA228/AA229),0)</f>
        <v>7.8976517501107665E-2</v>
      </c>
      <c r="J228" s="832">
        <f t="shared" ref="J228" si="1526">IF(AB229&gt;0,(AB228/AB229),0)</f>
        <v>0</v>
      </c>
      <c r="K228" s="830">
        <f t="shared" ref="K228" si="1527">IF(AC229&gt;0,(AC228/AC229),0)</f>
        <v>0.13358147229114972</v>
      </c>
      <c r="L228" s="830">
        <f t="shared" ref="L228" si="1528">IF(AD229&gt;0,(AD228/AD229),0)</f>
        <v>0.27492625368731566</v>
      </c>
      <c r="M228" s="830">
        <f t="shared" ref="M228" si="1529">IF(AE229&gt;0,(AE228/AE229),0)</f>
        <v>0.45901639344262296</v>
      </c>
      <c r="N228" s="830">
        <f t="shared" ref="N228" si="1530">IF(AF229&gt;0,(AF228/AF229),0)</f>
        <v>0</v>
      </c>
      <c r="O228" s="832">
        <f t="shared" ref="O228" si="1531">IF(AG229&gt;0,(AG228/AG229),0)</f>
        <v>0.22016952836339926</v>
      </c>
      <c r="P228" s="832">
        <f t="shared" ref="P228" si="1532">IF(AH229&gt;0,(AH228/AH229),0)</f>
        <v>0</v>
      </c>
      <c r="Q228" s="830">
        <f t="shared" ref="Q228" si="1533">IF(AI229&gt;0,(AI228/AI229),0)</f>
        <v>0</v>
      </c>
      <c r="R228" s="833">
        <f t="shared" ref="R228" si="1534">IF(AJ229&gt;0,(AJ228/AJ229),0)</f>
        <v>0</v>
      </c>
      <c r="S228" s="832">
        <f t="shared" ref="S228" si="1535">IF(AK229&gt;0,(AK228/AK229),0)</f>
        <v>0</v>
      </c>
      <c r="U228" s="349">
        <v>405</v>
      </c>
      <c r="V228" s="349"/>
      <c r="W228" s="349">
        <v>308</v>
      </c>
      <c r="X228" s="349"/>
      <c r="Y228" s="349"/>
      <c r="Z228" s="349"/>
      <c r="AA228" s="804">
        <v>713</v>
      </c>
      <c r="AB228" s="804"/>
      <c r="AC228" s="349">
        <v>323</v>
      </c>
      <c r="AD228" s="349">
        <v>466</v>
      </c>
      <c r="AE228" s="349">
        <v>224</v>
      </c>
      <c r="AF228" s="349"/>
      <c r="AG228" s="804">
        <v>1013</v>
      </c>
      <c r="AH228" s="804"/>
      <c r="AI228" s="349"/>
      <c r="AJ228" s="813"/>
      <c r="AK228" s="804"/>
    </row>
    <row r="229" spans="1:37">
      <c r="A229" s="436"/>
      <c r="B229" s="436" t="s">
        <v>59</v>
      </c>
      <c r="C229" s="834">
        <f>IF(U229&gt;0,(U229/U229),0)</f>
        <v>1</v>
      </c>
      <c r="D229" s="835">
        <f t="shared" ref="D229" si="1536">IF(V229&gt;0,(V229/V229),0)</f>
        <v>1</v>
      </c>
      <c r="E229" s="835">
        <f t="shared" ref="E229" si="1537">IF(W229&gt;0,(W229/W229),0)</f>
        <v>1</v>
      </c>
      <c r="F229" s="835">
        <f t="shared" ref="F229" si="1538">IF(X229&gt;0,(X229/X229),0)</f>
        <v>0</v>
      </c>
      <c r="G229" s="835">
        <f t="shared" ref="G229" si="1539">IF(Y229&gt;0,(Y229/Y229),0)</f>
        <v>0</v>
      </c>
      <c r="H229" s="835">
        <f t="shared" ref="H229" si="1540">IF(Z229&gt;0,(Z229/Z229),0)</f>
        <v>0</v>
      </c>
      <c r="I229" s="834">
        <f t="shared" ref="I229" si="1541">IF(AA229&gt;0,(AA229/AA229),0)</f>
        <v>1</v>
      </c>
      <c r="J229" s="834">
        <f t="shared" ref="J229" si="1542">IF(AB229&gt;0,(AB229/AB229),0)</f>
        <v>0</v>
      </c>
      <c r="K229" s="835">
        <f t="shared" ref="K229" si="1543">IF(AC229&gt;0,(AC229/AC229),0)</f>
        <v>1</v>
      </c>
      <c r="L229" s="835">
        <f t="shared" ref="L229" si="1544">IF(AD229&gt;0,(AD229/AD229),0)</f>
        <v>1</v>
      </c>
      <c r="M229" s="835">
        <f t="shared" ref="M229" si="1545">IF(AE229&gt;0,(AE229/AE229),0)</f>
        <v>1</v>
      </c>
      <c r="N229" s="835">
        <f t="shared" ref="N229" si="1546">IF(AF229&gt;0,(AF229/AF229),0)</f>
        <v>0</v>
      </c>
      <c r="O229" s="834">
        <f t="shared" ref="O229" si="1547">IF(AG229&gt;0,(AG229/AG229),0)</f>
        <v>1</v>
      </c>
      <c r="P229" s="834">
        <f t="shared" ref="P229" si="1548">IF(AH229&gt;0,(AH229/AH229),0)</f>
        <v>0</v>
      </c>
      <c r="Q229" s="835">
        <f t="shared" ref="Q229" si="1549">IF(AI229&gt;0,(AI229/AI229),0)</f>
        <v>0</v>
      </c>
      <c r="R229" s="836">
        <f t="shared" ref="R229" si="1550">IF(AJ229&gt;0,(AJ229/AJ229),0)</f>
        <v>0</v>
      </c>
      <c r="S229" s="834">
        <f t="shared" ref="S229" si="1551">IF(AK229&gt;0,(AK229/AK229),0)</f>
        <v>0</v>
      </c>
      <c r="U229" s="816">
        <v>4358</v>
      </c>
      <c r="V229" s="816">
        <v>904</v>
      </c>
      <c r="W229" s="816">
        <v>3766</v>
      </c>
      <c r="X229" s="816"/>
      <c r="Y229" s="816"/>
      <c r="Z229" s="816"/>
      <c r="AA229" s="805">
        <v>9028</v>
      </c>
      <c r="AB229" s="805"/>
      <c r="AC229" s="816">
        <v>2418</v>
      </c>
      <c r="AD229" s="816">
        <v>1695</v>
      </c>
      <c r="AE229" s="816">
        <v>488</v>
      </c>
      <c r="AF229" s="816"/>
      <c r="AG229" s="805">
        <v>4601</v>
      </c>
      <c r="AH229" s="805"/>
      <c r="AI229" s="816"/>
      <c r="AJ229" s="817"/>
      <c r="AK229" s="805"/>
    </row>
    <row r="230" spans="1:37">
      <c r="A230" s="240" t="s">
        <v>145</v>
      </c>
      <c r="B230" s="240" t="s">
        <v>53</v>
      </c>
      <c r="C230" s="829">
        <f>IF(U235&gt;0,(U230/U235),0)</f>
        <v>0.3490956072351421</v>
      </c>
      <c r="D230" s="830">
        <f t="shared" ref="D230" si="1552">IF(V235&gt;0,(V230/V235),0)</f>
        <v>0.27496382054992763</v>
      </c>
      <c r="E230" s="830">
        <f t="shared" ref="E230" si="1553">IF(W235&gt;0,(W230/W235),0)</f>
        <v>0.21543086172344689</v>
      </c>
      <c r="F230" s="830">
        <f t="shared" ref="F230" si="1554">IF(X235&gt;0,(X230/X235),0)</f>
        <v>0.15230224321133412</v>
      </c>
      <c r="G230" s="830">
        <f t="shared" ref="G230" si="1555">IF(Y235&gt;0,(Y230/Y235),0)</f>
        <v>0.25730994152046782</v>
      </c>
      <c r="H230" s="830">
        <f t="shared" ref="H230" si="1556">IF(Z235&gt;0,(Z230/Z235),0)</f>
        <v>0.1449814126394052</v>
      </c>
      <c r="I230" s="829">
        <f t="shared" ref="I230" si="1557">IF(AA235&gt;0,(AA230/AA235),0)</f>
        <v>0.28567721847431238</v>
      </c>
      <c r="J230" s="829">
        <f t="shared" ref="J230" si="1558">IF(AB235&gt;0,(AB230/AB235),0)</f>
        <v>0</v>
      </c>
      <c r="K230" s="830">
        <f t="shared" ref="K230" si="1559">IF(AC235&gt;0,(AC230/AC235),0)</f>
        <v>0.36548223350253806</v>
      </c>
      <c r="L230" s="830">
        <f t="shared" ref="L230" si="1560">IF(AD235&gt;0,(AD230/AD235),0)</f>
        <v>7.6175040518638576E-2</v>
      </c>
      <c r="M230" s="830">
        <f t="shared" ref="M230" si="1561">IF(AE235&gt;0,(AE230/AE235),0)</f>
        <v>0.12442396313364056</v>
      </c>
      <c r="N230" s="830">
        <f t="shared" ref="N230" si="1562">IF(AF235&gt;0,(AF230/AF235),0)</f>
        <v>0</v>
      </c>
      <c r="O230" s="829">
        <f t="shared" ref="O230" si="1563">IF(AG235&gt;0,(AG230/AG235),0)</f>
        <v>0.17752442996742671</v>
      </c>
      <c r="P230" s="829">
        <f t="shared" ref="P230" si="1564">IF(AH235&gt;0,(AH230/AH235),0)</f>
        <v>0</v>
      </c>
      <c r="Q230" s="830">
        <f t="shared" ref="Q230" si="1565">IF(AI235&gt;0,(AI230/AI235),0)</f>
        <v>0</v>
      </c>
      <c r="R230" s="831">
        <f t="shared" ref="R230" si="1566">IF(AJ235&gt;0,(AJ230/AJ235),0)</f>
        <v>0</v>
      </c>
      <c r="S230" s="829">
        <f t="shared" ref="S230" si="1567">IF(AK235&gt;0,(AK230/AK235),0)</f>
        <v>0</v>
      </c>
      <c r="U230" s="349">
        <v>1351</v>
      </c>
      <c r="V230" s="349">
        <v>380</v>
      </c>
      <c r="W230" s="349">
        <v>215</v>
      </c>
      <c r="X230" s="349">
        <v>129</v>
      </c>
      <c r="Y230" s="349">
        <v>88</v>
      </c>
      <c r="Z230" s="349">
        <v>39</v>
      </c>
      <c r="AA230" s="803">
        <v>2202</v>
      </c>
      <c r="AB230" s="803"/>
      <c r="AC230" s="349">
        <v>144</v>
      </c>
      <c r="AD230" s="349">
        <v>47</v>
      </c>
      <c r="AE230" s="349">
        <v>27</v>
      </c>
      <c r="AF230" s="349"/>
      <c r="AG230" s="803">
        <v>218</v>
      </c>
      <c r="AH230" s="803"/>
      <c r="AI230" s="349"/>
      <c r="AJ230" s="812"/>
      <c r="AK230" s="803"/>
    </row>
    <row r="231" spans="1:37">
      <c r="A231" s="239"/>
      <c r="B231" s="239" t="s">
        <v>93</v>
      </c>
      <c r="C231" s="832">
        <f>IF(U235&gt;0,(U231/U235),0)</f>
        <v>0.25245478036175711</v>
      </c>
      <c r="D231" s="830">
        <f t="shared" ref="D231" si="1568">IF(V235&gt;0,(V231/V235),0)</f>
        <v>0.23589001447178004</v>
      </c>
      <c r="E231" s="830">
        <f t="shared" ref="E231" si="1569">IF(W235&gt;0,(W231/W235),0)</f>
        <v>0.33166332665330661</v>
      </c>
      <c r="F231" s="830">
        <f t="shared" ref="F231" si="1570">IF(X235&gt;0,(X231/X235),0)</f>
        <v>0.27863046044864226</v>
      </c>
      <c r="G231" s="830">
        <f t="shared" ref="G231" si="1571">IF(Y235&gt;0,(Y231/Y235),0)</f>
        <v>0.28947368421052633</v>
      </c>
      <c r="H231" s="830">
        <f t="shared" ref="H231" si="1572">IF(Z235&gt;0,(Z231/Z235),0)</f>
        <v>0.32713754646840149</v>
      </c>
      <c r="I231" s="832">
        <f t="shared" ref="I231" si="1573">IF(AA235&gt;0,(AA231/AA235),0)</f>
        <v>0.26686559418785677</v>
      </c>
      <c r="J231" s="832">
        <f t="shared" ref="J231" si="1574">IF(AB235&gt;0,(AB231/AB235),0)</f>
        <v>0</v>
      </c>
      <c r="K231" s="830">
        <f t="shared" ref="K231" si="1575">IF(AC235&gt;0,(AC231/AC235),0)</f>
        <v>0.19035532994923857</v>
      </c>
      <c r="L231" s="830">
        <f t="shared" ref="L231" si="1576">IF(AD235&gt;0,(AD231/AD235),0)</f>
        <v>0.21393841166936792</v>
      </c>
      <c r="M231" s="830">
        <f t="shared" ref="M231" si="1577">IF(AE235&gt;0,(AE231/AE235),0)</f>
        <v>0.17972350230414746</v>
      </c>
      <c r="N231" s="830">
        <f t="shared" ref="N231" si="1578">IF(AF235&gt;0,(AF231/AF235),0)</f>
        <v>0</v>
      </c>
      <c r="O231" s="832">
        <f t="shared" ref="O231" si="1579">IF(AG235&gt;0,(AG231/AG235),0)</f>
        <v>0.20032573289902281</v>
      </c>
      <c r="P231" s="832">
        <f t="shared" ref="P231" si="1580">IF(AH235&gt;0,(AH231/AH235),0)</f>
        <v>0</v>
      </c>
      <c r="Q231" s="830">
        <f t="shared" ref="Q231" si="1581">IF(AI235&gt;0,(AI231/AI235),0)</f>
        <v>0</v>
      </c>
      <c r="R231" s="833">
        <f t="shared" ref="R231" si="1582">IF(AJ235&gt;0,(AJ231/AJ235),0)</f>
        <v>0</v>
      </c>
      <c r="S231" s="832">
        <f t="shared" ref="S231" si="1583">IF(AK235&gt;0,(AK231/AK235),0)</f>
        <v>0</v>
      </c>
      <c r="U231" s="349">
        <v>977</v>
      </c>
      <c r="V231" s="349">
        <v>326</v>
      </c>
      <c r="W231" s="349">
        <v>331</v>
      </c>
      <c r="X231" s="349">
        <v>236</v>
      </c>
      <c r="Y231" s="349">
        <v>99</v>
      </c>
      <c r="Z231" s="349">
        <v>88</v>
      </c>
      <c r="AA231" s="804">
        <v>2057</v>
      </c>
      <c r="AB231" s="804"/>
      <c r="AC231" s="349">
        <v>75</v>
      </c>
      <c r="AD231" s="349">
        <v>132</v>
      </c>
      <c r="AE231" s="349">
        <v>39</v>
      </c>
      <c r="AF231" s="349"/>
      <c r="AG231" s="804">
        <v>246</v>
      </c>
      <c r="AH231" s="804"/>
      <c r="AI231" s="349"/>
      <c r="AJ231" s="813"/>
      <c r="AK231" s="804"/>
    </row>
    <row r="232" spans="1:37">
      <c r="A232" s="239"/>
      <c r="B232" s="239" t="s">
        <v>55</v>
      </c>
      <c r="C232" s="832">
        <f>IF(U235&gt;0,(U232/U235),0)</f>
        <v>0.23695090439276487</v>
      </c>
      <c r="D232" s="830">
        <f t="shared" ref="D232" si="1584">IF(V235&gt;0,(V232/V235),0)</f>
        <v>0.34442836468885674</v>
      </c>
      <c r="E232" s="830">
        <f t="shared" ref="E232" si="1585">IF(W235&gt;0,(W232/W235),0)</f>
        <v>0.23847695390781562</v>
      </c>
      <c r="F232" s="830">
        <f t="shared" ref="F232" si="1586">IF(X235&gt;0,(X232/X235),0)</f>
        <v>0.33412042502951594</v>
      </c>
      <c r="G232" s="830">
        <f t="shared" ref="G232" si="1587">IF(Y235&gt;0,(Y232/Y235),0)</f>
        <v>0.22807017543859648</v>
      </c>
      <c r="H232" s="830">
        <f t="shared" ref="H232" si="1588">IF(Z235&gt;0,(Z232/Z235),0)</f>
        <v>0.34944237918215615</v>
      </c>
      <c r="I232" s="832">
        <f t="shared" ref="I232" si="1589">IF(AA235&gt;0,(AA232/AA235),0)</f>
        <v>0.27062791904514788</v>
      </c>
      <c r="J232" s="832">
        <f t="shared" ref="J232" si="1590">IF(AB235&gt;0,(AB232/AB235),0)</f>
        <v>0</v>
      </c>
      <c r="K232" s="830">
        <f t="shared" ref="K232" si="1591">IF(AC235&gt;0,(AC232/AC235),0)</f>
        <v>0.27918781725888325</v>
      </c>
      <c r="L232" s="830">
        <f t="shared" ref="L232" si="1592">IF(AD235&gt;0,(AD232/AD235),0)</f>
        <v>0.43760129659643437</v>
      </c>
      <c r="M232" s="830">
        <f t="shared" ref="M232" si="1593">IF(AE235&gt;0,(AE232/AE235),0)</f>
        <v>0.40552995391705071</v>
      </c>
      <c r="N232" s="830">
        <f t="shared" ref="N232" si="1594">IF(AF235&gt;0,(AF232/AF235),0)</f>
        <v>0</v>
      </c>
      <c r="O232" s="832">
        <f t="shared" ref="O232" si="1595">IF(AG235&gt;0,(AG232/AG235),0)</f>
        <v>0.38110749185667753</v>
      </c>
      <c r="P232" s="832">
        <f t="shared" ref="P232" si="1596">IF(AH235&gt;0,(AH232/AH235),0)</f>
        <v>0</v>
      </c>
      <c r="Q232" s="830">
        <f t="shared" ref="Q232" si="1597">IF(AI235&gt;0,(AI232/AI235),0)</f>
        <v>0</v>
      </c>
      <c r="R232" s="833">
        <f t="shared" ref="R232" si="1598">IF(AJ235&gt;0,(AJ232/AJ235),0)</f>
        <v>0</v>
      </c>
      <c r="S232" s="832">
        <f t="shared" ref="S232" si="1599">IF(AK235&gt;0,(AK232/AK235),0)</f>
        <v>0</v>
      </c>
      <c r="U232" s="349">
        <v>917</v>
      </c>
      <c r="V232" s="349">
        <v>476</v>
      </c>
      <c r="W232" s="349">
        <v>238</v>
      </c>
      <c r="X232" s="349">
        <v>283</v>
      </c>
      <c r="Y232" s="349">
        <v>78</v>
      </c>
      <c r="Z232" s="349">
        <v>94</v>
      </c>
      <c r="AA232" s="804">
        <v>2086</v>
      </c>
      <c r="AB232" s="804"/>
      <c r="AC232" s="349">
        <v>110</v>
      </c>
      <c r="AD232" s="349">
        <v>270</v>
      </c>
      <c r="AE232" s="349">
        <v>88</v>
      </c>
      <c r="AF232" s="349"/>
      <c r="AG232" s="804">
        <v>468</v>
      </c>
      <c r="AH232" s="804"/>
      <c r="AI232" s="349"/>
      <c r="AJ232" s="813"/>
      <c r="AK232" s="804"/>
    </row>
    <row r="233" spans="1:37">
      <c r="A233" s="239"/>
      <c r="B233" s="239" t="s">
        <v>78</v>
      </c>
      <c r="C233" s="832">
        <f>IF(U235&gt;0,(U233/U235),0)</f>
        <v>5.1679586563307496E-3</v>
      </c>
      <c r="D233" s="830">
        <f t="shared" ref="D233" si="1600">IF(V235&gt;0,(V233/V235),0)</f>
        <v>0.14399421128798842</v>
      </c>
      <c r="E233" s="830">
        <f t="shared" ref="E233" si="1601">IF(W235&gt;0,(W233/W235),0)</f>
        <v>1.9038076152304611E-2</v>
      </c>
      <c r="F233" s="830">
        <f t="shared" ref="F233" si="1602">IF(X235&gt;0,(X233/X235),0)</f>
        <v>0.12987012987012986</v>
      </c>
      <c r="G233" s="830">
        <f t="shared" ref="G233" si="1603">IF(Y235&gt;0,(Y233/Y235),0)</f>
        <v>1.1695906432748537E-2</v>
      </c>
      <c r="H233" s="830">
        <f t="shared" ref="H233" si="1604">IF(Z235&gt;0,(Z233/Z235),0)</f>
        <v>0</v>
      </c>
      <c r="I233" s="832">
        <f t="shared" ref="I233" si="1605">IF(AA235&gt;0,(AA233/AA235),0)</f>
        <v>4.5666839647119872E-2</v>
      </c>
      <c r="J233" s="832">
        <f t="shared" ref="J233" si="1606">IF(AB235&gt;0,(AB233/AB235),0)</f>
        <v>0</v>
      </c>
      <c r="K233" s="830">
        <f t="shared" ref="K233" si="1607">IF(AC235&gt;0,(AC233/AC235),0)</f>
        <v>0.1649746192893401</v>
      </c>
      <c r="L233" s="830">
        <f t="shared" ref="L233" si="1608">IF(AD235&gt;0,(AD233/AD235),0)</f>
        <v>0.21231766612641814</v>
      </c>
      <c r="M233" s="830">
        <f t="shared" ref="M233" si="1609">IF(AE235&gt;0,(AE233/AE235),0)</f>
        <v>0.29032258064516131</v>
      </c>
      <c r="N233" s="830">
        <f t="shared" ref="N233" si="1610">IF(AF235&gt;0,(AF233/AF235),0)</f>
        <v>0</v>
      </c>
      <c r="O233" s="832">
        <f t="shared" ref="O233" si="1611">IF(AG235&gt;0,(AG233/AG235),0)</f>
        <v>0.21091205211726385</v>
      </c>
      <c r="P233" s="832">
        <f t="shared" ref="P233" si="1612">IF(AH235&gt;0,(AH233/AH235),0)</f>
        <v>0</v>
      </c>
      <c r="Q233" s="830">
        <f t="shared" ref="Q233" si="1613">IF(AI235&gt;0,(AI233/AI235),0)</f>
        <v>0</v>
      </c>
      <c r="R233" s="833">
        <f t="shared" ref="R233" si="1614">IF(AJ235&gt;0,(AJ233/AJ235),0)</f>
        <v>0</v>
      </c>
      <c r="S233" s="832">
        <f t="shared" ref="S233" si="1615">IF(AK235&gt;0,(AK233/AK235),0)</f>
        <v>0</v>
      </c>
      <c r="U233" s="349">
        <v>20</v>
      </c>
      <c r="V233" s="349">
        <v>199</v>
      </c>
      <c r="W233" s="349">
        <v>19</v>
      </c>
      <c r="X233" s="349">
        <v>110</v>
      </c>
      <c r="Y233" s="349">
        <v>4</v>
      </c>
      <c r="Z233" s="349"/>
      <c r="AA233" s="804">
        <v>352</v>
      </c>
      <c r="AB233" s="804"/>
      <c r="AC233" s="349">
        <v>65</v>
      </c>
      <c r="AD233" s="349">
        <v>131</v>
      </c>
      <c r="AE233" s="349">
        <v>63</v>
      </c>
      <c r="AF233" s="349"/>
      <c r="AG233" s="804">
        <v>259</v>
      </c>
      <c r="AH233" s="804"/>
      <c r="AI233" s="349"/>
      <c r="AJ233" s="813"/>
      <c r="AK233" s="804"/>
    </row>
    <row r="234" spans="1:37">
      <c r="A234" s="580"/>
      <c r="B234" s="580" t="s">
        <v>131</v>
      </c>
      <c r="C234" s="832">
        <f>IF(U235&gt;0,(U234/U235),0)</f>
        <v>0.15633074935400518</v>
      </c>
      <c r="D234" s="830">
        <f t="shared" ref="D234" si="1616">IF(V235&gt;0,(V234/V235),0)</f>
        <v>7.2358900144717795E-4</v>
      </c>
      <c r="E234" s="830">
        <f t="shared" ref="E234" si="1617">IF(W235&gt;0,(W234/W235),0)</f>
        <v>0.19539078156312625</v>
      </c>
      <c r="F234" s="830">
        <f t="shared" ref="F234" si="1618">IF(X235&gt;0,(X234/X235),0)</f>
        <v>0.1050767414403778</v>
      </c>
      <c r="G234" s="830">
        <f t="shared" ref="G234" si="1619">IF(Y235&gt;0,(Y234/Y235),0)</f>
        <v>0.21345029239766081</v>
      </c>
      <c r="H234" s="830">
        <f t="shared" ref="H234" si="1620">IF(Z235&gt;0,(Z234/Z235),0)</f>
        <v>0.17843866171003717</v>
      </c>
      <c r="I234" s="832">
        <f t="shared" ref="I234" si="1621">IF(AA235&gt;0,(AA234/AA235),0)</f>
        <v>0.13116242864556305</v>
      </c>
      <c r="J234" s="832">
        <f t="shared" ref="J234" si="1622">IF(AB235&gt;0,(AB234/AB235),0)</f>
        <v>0</v>
      </c>
      <c r="K234" s="830">
        <f t="shared" ref="K234" si="1623">IF(AC235&gt;0,(AC234/AC235),0)</f>
        <v>0</v>
      </c>
      <c r="L234" s="830">
        <f t="shared" ref="L234" si="1624">IF(AD235&gt;0,(AD234/AD235),0)</f>
        <v>5.9967585089141004E-2</v>
      </c>
      <c r="M234" s="830">
        <f t="shared" ref="M234" si="1625">IF(AE235&gt;0,(AE234/AE235),0)</f>
        <v>0</v>
      </c>
      <c r="N234" s="830">
        <f t="shared" ref="N234" si="1626">IF(AF235&gt;0,(AF234/AF235),0)</f>
        <v>0</v>
      </c>
      <c r="O234" s="832">
        <f t="shared" ref="O234" si="1627">IF(AG235&gt;0,(AG234/AG235),0)</f>
        <v>3.013029315960912E-2</v>
      </c>
      <c r="P234" s="832">
        <f t="shared" ref="P234" si="1628">IF(AH235&gt;0,(AH234/AH235),0)</f>
        <v>0</v>
      </c>
      <c r="Q234" s="830">
        <f t="shared" ref="Q234" si="1629">IF(AI235&gt;0,(AI234/AI235),0)</f>
        <v>0</v>
      </c>
      <c r="R234" s="833">
        <f t="shared" ref="R234" si="1630">IF(AJ235&gt;0,(AJ234/AJ235),0)</f>
        <v>0</v>
      </c>
      <c r="S234" s="832">
        <f t="shared" ref="S234" si="1631">IF(AK235&gt;0,(AK234/AK235),0)</f>
        <v>0</v>
      </c>
      <c r="U234" s="349">
        <v>605</v>
      </c>
      <c r="V234" s="349">
        <v>1</v>
      </c>
      <c r="W234" s="349">
        <v>195</v>
      </c>
      <c r="X234" s="349">
        <v>89</v>
      </c>
      <c r="Y234" s="349">
        <v>73</v>
      </c>
      <c r="Z234" s="349">
        <v>48</v>
      </c>
      <c r="AA234" s="804">
        <v>1011</v>
      </c>
      <c r="AB234" s="804"/>
      <c r="AC234" s="349"/>
      <c r="AD234" s="349">
        <v>37</v>
      </c>
      <c r="AE234" s="349"/>
      <c r="AF234" s="349"/>
      <c r="AG234" s="804">
        <v>37</v>
      </c>
      <c r="AH234" s="804"/>
      <c r="AI234" s="349"/>
      <c r="AJ234" s="813"/>
      <c r="AK234" s="804"/>
    </row>
    <row r="235" spans="1:37">
      <c r="A235" s="436"/>
      <c r="B235" s="436" t="s">
        <v>59</v>
      </c>
      <c r="C235" s="834">
        <f>IF(U235&gt;0,(U235/U235),0)</f>
        <v>1</v>
      </c>
      <c r="D235" s="835">
        <f t="shared" ref="D235" si="1632">IF(V235&gt;0,(V235/V235),0)</f>
        <v>1</v>
      </c>
      <c r="E235" s="835">
        <f t="shared" ref="E235" si="1633">IF(W235&gt;0,(W235/W235),0)</f>
        <v>1</v>
      </c>
      <c r="F235" s="835">
        <f t="shared" ref="F235" si="1634">IF(X235&gt;0,(X235/X235),0)</f>
        <v>1</v>
      </c>
      <c r="G235" s="835">
        <f t="shared" ref="G235" si="1635">IF(Y235&gt;0,(Y235/Y235),0)</f>
        <v>1</v>
      </c>
      <c r="H235" s="835">
        <f t="shared" ref="H235" si="1636">IF(Z235&gt;0,(Z235/Z235),0)</f>
        <v>1</v>
      </c>
      <c r="I235" s="834">
        <f t="shared" ref="I235" si="1637">IF(AA235&gt;0,(AA235/AA235),0)</f>
        <v>1</v>
      </c>
      <c r="J235" s="834">
        <f t="shared" ref="J235" si="1638">IF(AB235&gt;0,(AB235/AB235),0)</f>
        <v>0</v>
      </c>
      <c r="K235" s="835">
        <f t="shared" ref="K235" si="1639">IF(AC235&gt;0,(AC235/AC235),0)</f>
        <v>1</v>
      </c>
      <c r="L235" s="835">
        <f t="shared" ref="L235" si="1640">IF(AD235&gt;0,(AD235/AD235),0)</f>
        <v>1</v>
      </c>
      <c r="M235" s="835">
        <f t="shared" ref="M235" si="1641">IF(AE235&gt;0,(AE235/AE235),0)</f>
        <v>1</v>
      </c>
      <c r="N235" s="835">
        <f t="shared" ref="N235" si="1642">IF(AF235&gt;0,(AF235/AF235),0)</f>
        <v>0</v>
      </c>
      <c r="O235" s="834">
        <f t="shared" ref="O235" si="1643">IF(AG235&gt;0,(AG235/AG235),0)</f>
        <v>1</v>
      </c>
      <c r="P235" s="834">
        <f t="shared" ref="P235" si="1644">IF(AH235&gt;0,(AH235/AH235),0)</f>
        <v>0</v>
      </c>
      <c r="Q235" s="835">
        <f t="shared" ref="Q235" si="1645">IF(AI235&gt;0,(AI235/AI235),0)</f>
        <v>0</v>
      </c>
      <c r="R235" s="836">
        <f t="shared" ref="R235" si="1646">IF(AJ235&gt;0,(AJ235/AJ235),0)</f>
        <v>0</v>
      </c>
      <c r="S235" s="834">
        <f t="shared" ref="S235" si="1647">IF(AK235&gt;0,(AK235/AK235),0)</f>
        <v>0</v>
      </c>
      <c r="U235" s="816">
        <v>3870</v>
      </c>
      <c r="V235" s="816">
        <v>1382</v>
      </c>
      <c r="W235" s="816">
        <v>998</v>
      </c>
      <c r="X235" s="816">
        <v>847</v>
      </c>
      <c r="Y235" s="816">
        <v>342</v>
      </c>
      <c r="Z235" s="816">
        <v>269</v>
      </c>
      <c r="AA235" s="805">
        <v>7708</v>
      </c>
      <c r="AB235" s="805"/>
      <c r="AC235" s="816">
        <v>394</v>
      </c>
      <c r="AD235" s="816">
        <v>617</v>
      </c>
      <c r="AE235" s="816">
        <v>217</v>
      </c>
      <c r="AF235" s="816"/>
      <c r="AG235" s="805">
        <v>1228</v>
      </c>
      <c r="AH235" s="805"/>
      <c r="AI235" s="816"/>
      <c r="AJ235" s="817"/>
      <c r="AK235" s="805"/>
    </row>
    <row r="236" spans="1:37">
      <c r="A236" s="240" t="s">
        <v>142</v>
      </c>
      <c r="B236" s="240" t="s">
        <v>53</v>
      </c>
      <c r="C236" s="829">
        <f>IF(U241&gt;0,(U236/U241),0)</f>
        <v>0.3504556752278376</v>
      </c>
      <c r="D236" s="830">
        <f t="shared" ref="D236" si="1648">IF(V241&gt;0,(V236/V241),0)</f>
        <v>0</v>
      </c>
      <c r="E236" s="830">
        <f t="shared" ref="E236" si="1649">IF(W241&gt;0,(W236/W241),0)</f>
        <v>0.25383304940374785</v>
      </c>
      <c r="F236" s="830">
        <f t="shared" ref="F236" si="1650">IF(X241&gt;0,(X236/X241),0)</f>
        <v>0</v>
      </c>
      <c r="G236" s="830">
        <f t="shared" ref="G236" si="1651">IF(Y241&gt;0,(Y236/Y241),0)</f>
        <v>0</v>
      </c>
      <c r="H236" s="830">
        <f t="shared" ref="H236" si="1652">IF(Z241&gt;0,(Z236/Z241),0)</f>
        <v>0</v>
      </c>
      <c r="I236" s="829">
        <f t="shared" ref="I236" si="1653">IF(AA241&gt;0,(AA236/AA241),0)</f>
        <v>0.33155614795068311</v>
      </c>
      <c r="J236" s="829">
        <f t="shared" ref="J236" si="1654">IF(AB241&gt;0,(AB236/AB241),0)</f>
        <v>0</v>
      </c>
      <c r="K236" s="830">
        <f t="shared" ref="K236" si="1655">IF(AC241&gt;0,(AC236/AC241),0)</f>
        <v>0.15</v>
      </c>
      <c r="L236" s="830">
        <f t="shared" ref="L236" si="1656">IF(AD241&gt;0,(AD236/AD241),0)</f>
        <v>5.2986512524084775E-2</v>
      </c>
      <c r="M236" s="830">
        <f t="shared" ref="M236" si="1657">IF(AE241&gt;0,(AE236/AE241),0)</f>
        <v>0.11976047904191617</v>
      </c>
      <c r="N236" s="830">
        <f t="shared" ref="N236" si="1658">IF(AF241&gt;0,(AF236/AF241),0)</f>
        <v>0</v>
      </c>
      <c r="O236" s="829">
        <f t="shared" ref="O236" si="1659">IF(AG241&gt;0,(AG236/AG241),0)</f>
        <v>9.07563025210084E-2</v>
      </c>
      <c r="P236" s="829">
        <f t="shared" ref="P236" si="1660">IF(AH241&gt;0,(AH236/AH241),0)</f>
        <v>0</v>
      </c>
      <c r="Q236" s="830">
        <f t="shared" ref="Q236" si="1661">IF(AI241&gt;0,(AI236/AI241),0)</f>
        <v>0</v>
      </c>
      <c r="R236" s="831">
        <f t="shared" ref="R236" si="1662">IF(AJ241&gt;0,(AJ236/AJ241),0)</f>
        <v>0</v>
      </c>
      <c r="S236" s="829">
        <f t="shared" ref="S236" si="1663">IF(AK241&gt;0,(AK236/AK241),0)</f>
        <v>0</v>
      </c>
      <c r="U236" s="349">
        <v>846</v>
      </c>
      <c r="V236" s="349"/>
      <c r="W236" s="349">
        <v>149</v>
      </c>
      <c r="X236" s="349"/>
      <c r="Y236" s="349"/>
      <c r="Z236" s="349"/>
      <c r="AA236" s="803">
        <v>995</v>
      </c>
      <c r="AB236" s="803"/>
      <c r="AC236" s="349">
        <v>87</v>
      </c>
      <c r="AD236" s="349">
        <v>55</v>
      </c>
      <c r="AE236" s="349">
        <v>20</v>
      </c>
      <c r="AF236" s="349"/>
      <c r="AG236" s="803">
        <v>162</v>
      </c>
      <c r="AH236" s="803"/>
      <c r="AI236" s="349"/>
      <c r="AJ236" s="812"/>
      <c r="AK236" s="803"/>
    </row>
    <row r="237" spans="1:37">
      <c r="A237" s="239"/>
      <c r="B237" s="239" t="s">
        <v>93</v>
      </c>
      <c r="C237" s="832">
        <f>IF(U241&gt;0,(U237/U241),0)</f>
        <v>0.29494614747307374</v>
      </c>
      <c r="D237" s="830">
        <f t="shared" ref="D237" si="1664">IF(V241&gt;0,(V237/V241),0)</f>
        <v>0</v>
      </c>
      <c r="E237" s="830">
        <f t="shared" ref="E237" si="1665">IF(W241&gt;0,(W237/W241),0)</f>
        <v>0.34241908006814309</v>
      </c>
      <c r="F237" s="830">
        <f t="shared" ref="F237" si="1666">IF(X241&gt;0,(X237/X241),0)</f>
        <v>0</v>
      </c>
      <c r="G237" s="830">
        <f t="shared" ref="G237" si="1667">IF(Y241&gt;0,(Y237/Y241),0)</f>
        <v>0</v>
      </c>
      <c r="H237" s="830">
        <f t="shared" ref="H237" si="1668">IF(Z241&gt;0,(Z237/Z241),0)</f>
        <v>0</v>
      </c>
      <c r="I237" s="832">
        <f t="shared" ref="I237" si="1669">IF(AA241&gt;0,(AA237/AA241),0)</f>
        <v>0.30423192269243587</v>
      </c>
      <c r="J237" s="832">
        <f t="shared" ref="J237" si="1670">IF(AB241&gt;0,(AB237/AB241),0)</f>
        <v>0</v>
      </c>
      <c r="K237" s="830">
        <f t="shared" ref="K237" si="1671">IF(AC241&gt;0,(AC237/AC241),0)</f>
        <v>6.2068965517241378E-2</v>
      </c>
      <c r="L237" s="830">
        <f t="shared" ref="L237" si="1672">IF(AD241&gt;0,(AD237/AD241),0)</f>
        <v>4.8169556840077073E-2</v>
      </c>
      <c r="M237" s="830">
        <f t="shared" ref="M237" si="1673">IF(AE241&gt;0,(AE237/AE241),0)</f>
        <v>0.23353293413173654</v>
      </c>
      <c r="N237" s="830">
        <f t="shared" ref="N237" si="1674">IF(AF241&gt;0,(AF237/AF241),0)</f>
        <v>0</v>
      </c>
      <c r="O237" s="832">
        <f t="shared" ref="O237" si="1675">IF(AG241&gt;0,(AG237/AG241),0)</f>
        <v>7.0028011204481794E-2</v>
      </c>
      <c r="P237" s="832">
        <f t="shared" ref="P237" si="1676">IF(AH241&gt;0,(AH237/AH241),0)</f>
        <v>0</v>
      </c>
      <c r="Q237" s="830">
        <f t="shared" ref="Q237" si="1677">IF(AI241&gt;0,(AI237/AI241),0)</f>
        <v>0</v>
      </c>
      <c r="R237" s="833">
        <f t="shared" ref="R237" si="1678">IF(AJ241&gt;0,(AJ237/AJ241),0)</f>
        <v>0</v>
      </c>
      <c r="S237" s="832">
        <f t="shared" ref="S237" si="1679">IF(AK241&gt;0,(AK237/AK241),0)</f>
        <v>0</v>
      </c>
      <c r="U237" s="349">
        <v>712</v>
      </c>
      <c r="V237" s="349"/>
      <c r="W237" s="349">
        <v>201</v>
      </c>
      <c r="X237" s="349"/>
      <c r="Y237" s="349"/>
      <c r="Z237" s="349"/>
      <c r="AA237" s="804">
        <v>913</v>
      </c>
      <c r="AB237" s="804"/>
      <c r="AC237" s="349">
        <v>36</v>
      </c>
      <c r="AD237" s="349">
        <v>50</v>
      </c>
      <c r="AE237" s="349">
        <v>39</v>
      </c>
      <c r="AF237" s="349"/>
      <c r="AG237" s="804">
        <v>125</v>
      </c>
      <c r="AH237" s="804"/>
      <c r="AI237" s="349"/>
      <c r="AJ237" s="813"/>
      <c r="AK237" s="804"/>
    </row>
    <row r="238" spans="1:37">
      <c r="A238" s="239"/>
      <c r="B238" s="239" t="s">
        <v>55</v>
      </c>
      <c r="C238" s="832">
        <f>IF(U241&gt;0,(U238/U241),0)</f>
        <v>0.25186412593206298</v>
      </c>
      <c r="D238" s="830">
        <f t="shared" ref="D238" si="1680">IF(V241&gt;0,(V238/V241),0)</f>
        <v>0</v>
      </c>
      <c r="E238" s="830">
        <f t="shared" ref="E238" si="1681">IF(W241&gt;0,(W238/W241),0)</f>
        <v>0.22316865417376491</v>
      </c>
      <c r="F238" s="830">
        <f t="shared" ref="F238" si="1682">IF(X241&gt;0,(X238/X241),0)</f>
        <v>0</v>
      </c>
      <c r="G238" s="830">
        <f t="shared" ref="G238" si="1683">IF(Y241&gt;0,(Y238/Y241),0)</f>
        <v>0</v>
      </c>
      <c r="H238" s="830">
        <f t="shared" ref="H238" si="1684">IF(Z241&gt;0,(Z238/Z241),0)</f>
        <v>0</v>
      </c>
      <c r="I238" s="832">
        <f t="shared" ref="I238" si="1685">IF(AA241&gt;0,(AA238/AA241),0)</f>
        <v>0.24625124958347216</v>
      </c>
      <c r="J238" s="832">
        <f t="shared" ref="J238" si="1686">IF(AB241&gt;0,(AB238/AB241),0)</f>
        <v>0</v>
      </c>
      <c r="K238" s="830">
        <f t="shared" ref="K238" si="1687">IF(AC241&gt;0,(AC238/AC241),0)</f>
        <v>0.16379310344827586</v>
      </c>
      <c r="L238" s="830">
        <f t="shared" ref="L238" si="1688">IF(AD241&gt;0,(AD238/AD241),0)</f>
        <v>5.0096339113680152E-2</v>
      </c>
      <c r="M238" s="830">
        <f t="shared" ref="M238" si="1689">IF(AE241&gt;0,(AE238/AE241),0)</f>
        <v>8.3832335329341312E-2</v>
      </c>
      <c r="N238" s="830">
        <f t="shared" ref="N238" si="1690">IF(AF241&gt;0,(AF238/AF241),0)</f>
        <v>0</v>
      </c>
      <c r="O238" s="832">
        <f t="shared" ref="O238" si="1691">IF(AG241&gt;0,(AG238/AG241),0)</f>
        <v>9.0196078431372548E-2</v>
      </c>
      <c r="P238" s="832">
        <f t="shared" ref="P238" si="1692">IF(AH241&gt;0,(AH238/AH241),0)</f>
        <v>0</v>
      </c>
      <c r="Q238" s="830">
        <f t="shared" ref="Q238" si="1693">IF(AI241&gt;0,(AI238/AI241),0)</f>
        <v>0</v>
      </c>
      <c r="R238" s="833">
        <f t="shared" ref="R238" si="1694">IF(AJ241&gt;0,(AJ238/AJ241),0)</f>
        <v>0</v>
      </c>
      <c r="S238" s="832">
        <f t="shared" ref="S238" si="1695">IF(AK241&gt;0,(AK238/AK241),0)</f>
        <v>0</v>
      </c>
      <c r="U238" s="349">
        <v>608</v>
      </c>
      <c r="V238" s="349"/>
      <c r="W238" s="349">
        <v>131</v>
      </c>
      <c r="X238" s="349"/>
      <c r="Y238" s="349"/>
      <c r="Z238" s="349"/>
      <c r="AA238" s="804">
        <v>739</v>
      </c>
      <c r="AB238" s="804"/>
      <c r="AC238" s="349">
        <v>95</v>
      </c>
      <c r="AD238" s="349">
        <v>52</v>
      </c>
      <c r="AE238" s="349">
        <v>14</v>
      </c>
      <c r="AF238" s="349"/>
      <c r="AG238" s="804">
        <v>161</v>
      </c>
      <c r="AH238" s="804"/>
      <c r="AI238" s="349"/>
      <c r="AJ238" s="813"/>
      <c r="AK238" s="804"/>
    </row>
    <row r="239" spans="1:37">
      <c r="A239" s="239"/>
      <c r="B239" s="239" t="s">
        <v>78</v>
      </c>
      <c r="C239" s="832">
        <f>IF(U241&gt;0,(U239/U241),0)</f>
        <v>4.1425020712510356E-3</v>
      </c>
      <c r="D239" s="830">
        <f t="shared" ref="D239" si="1696">IF(V241&gt;0,(V239/V241),0)</f>
        <v>0</v>
      </c>
      <c r="E239" s="830">
        <f t="shared" ref="E239" si="1697">IF(W241&gt;0,(W239/W241),0)</f>
        <v>0.18057921635434412</v>
      </c>
      <c r="F239" s="830">
        <f t="shared" ref="F239" si="1698">IF(X241&gt;0,(X239/X241),0)</f>
        <v>0</v>
      </c>
      <c r="G239" s="830">
        <f t="shared" ref="G239" si="1699">IF(Y241&gt;0,(Y239/Y241),0)</f>
        <v>0</v>
      </c>
      <c r="H239" s="830">
        <f t="shared" ref="H239" si="1700">IF(Z241&gt;0,(Z239/Z241),0)</f>
        <v>0</v>
      </c>
      <c r="I239" s="832">
        <f t="shared" ref="I239" si="1701">IF(AA241&gt;0,(AA239/AA241),0)</f>
        <v>3.8653782072642452E-2</v>
      </c>
      <c r="J239" s="832">
        <f t="shared" ref="J239" si="1702">IF(AB241&gt;0,(AB239/AB241),0)</f>
        <v>0</v>
      </c>
      <c r="K239" s="830">
        <f t="shared" ref="K239" si="1703">IF(AC241&gt;0,(AC239/AC241),0)</f>
        <v>9.1379310344827588E-2</v>
      </c>
      <c r="L239" s="830">
        <f t="shared" ref="L239" si="1704">IF(AD241&gt;0,(AD239/AD241),0)</f>
        <v>0.73314065510597304</v>
      </c>
      <c r="M239" s="830">
        <f t="shared" ref="M239" si="1705">IF(AE241&gt;0,(AE239/AE241),0)</f>
        <v>0.31736526946107785</v>
      </c>
      <c r="N239" s="830">
        <f t="shared" ref="N239" si="1706">IF(AF241&gt;0,(AF239/AF241),0)</f>
        <v>0</v>
      </c>
      <c r="O239" s="832">
        <f t="shared" ref="O239" si="1707">IF(AG241&gt;0,(AG239/AG241),0)</f>
        <v>0.48571428571428571</v>
      </c>
      <c r="P239" s="832">
        <f t="shared" ref="P239" si="1708">IF(AH241&gt;0,(AH239/AH241),0)</f>
        <v>0</v>
      </c>
      <c r="Q239" s="830">
        <f t="shared" ref="Q239" si="1709">IF(AI241&gt;0,(AI239/AI241),0)</f>
        <v>0</v>
      </c>
      <c r="R239" s="833">
        <f t="shared" ref="R239" si="1710">IF(AJ241&gt;0,(AJ239/AJ241),0)</f>
        <v>0</v>
      </c>
      <c r="S239" s="832">
        <f t="shared" ref="S239" si="1711">IF(AK241&gt;0,(AK239/AK241),0)</f>
        <v>0</v>
      </c>
      <c r="U239" s="349">
        <v>10</v>
      </c>
      <c r="V239" s="349"/>
      <c r="W239" s="349">
        <v>106</v>
      </c>
      <c r="X239" s="349"/>
      <c r="Y239" s="349"/>
      <c r="Z239" s="349"/>
      <c r="AA239" s="804">
        <v>116</v>
      </c>
      <c r="AB239" s="804"/>
      <c r="AC239" s="349">
        <v>53</v>
      </c>
      <c r="AD239" s="349">
        <v>761</v>
      </c>
      <c r="AE239" s="349">
        <v>53</v>
      </c>
      <c r="AF239" s="349"/>
      <c r="AG239" s="804">
        <v>867</v>
      </c>
      <c r="AH239" s="804"/>
      <c r="AI239" s="349"/>
      <c r="AJ239" s="813"/>
      <c r="AK239" s="804"/>
    </row>
    <row r="240" spans="1:37">
      <c r="A240" s="580"/>
      <c r="B240" s="580" t="s">
        <v>131</v>
      </c>
      <c r="C240" s="832">
        <f>IF(U241&gt;0,(U240/U241),0)</f>
        <v>9.8591549295774641E-2</v>
      </c>
      <c r="D240" s="830">
        <f t="shared" ref="D240" si="1712">IF(V241&gt;0,(V240/V241),0)</f>
        <v>0</v>
      </c>
      <c r="E240" s="830">
        <f t="shared" ref="E240" si="1713">IF(W241&gt;0,(W240/W241),0)</f>
        <v>0</v>
      </c>
      <c r="F240" s="830">
        <f t="shared" ref="F240" si="1714">IF(X241&gt;0,(X240/X241),0)</f>
        <v>0</v>
      </c>
      <c r="G240" s="830">
        <f t="shared" ref="G240" si="1715">IF(Y241&gt;0,(Y240/Y241),0)</f>
        <v>0</v>
      </c>
      <c r="H240" s="830">
        <f t="shared" ref="H240" si="1716">IF(Z241&gt;0,(Z240/Z241),0)</f>
        <v>0</v>
      </c>
      <c r="I240" s="832">
        <f t="shared" ref="I240" si="1717">IF(AA241&gt;0,(AA240/AA241),0)</f>
        <v>7.9306897700766404E-2</v>
      </c>
      <c r="J240" s="832">
        <f t="shared" ref="J240" si="1718">IF(AB241&gt;0,(AB240/AB241),0)</f>
        <v>0</v>
      </c>
      <c r="K240" s="830">
        <f t="shared" ref="K240" si="1719">IF(AC241&gt;0,(AC240/AC241),0)</f>
        <v>0.53275862068965518</v>
      </c>
      <c r="L240" s="830">
        <f t="shared" ref="L240" si="1720">IF(AD241&gt;0,(AD240/AD241),0)</f>
        <v>0.11560693641618497</v>
      </c>
      <c r="M240" s="830">
        <f t="shared" ref="M240" si="1721">IF(AE241&gt;0,(AE240/AE241),0)</f>
        <v>0.24550898203592814</v>
      </c>
      <c r="N240" s="830">
        <f t="shared" ref="N240" si="1722">IF(AF241&gt;0,(AF240/AF241),0)</f>
        <v>0</v>
      </c>
      <c r="O240" s="832">
        <f t="shared" ref="O240" si="1723">IF(AG241&gt;0,(AG240/AG241),0)</f>
        <v>0.26330532212885155</v>
      </c>
      <c r="P240" s="832">
        <f t="shared" ref="P240" si="1724">IF(AH241&gt;0,(AH240/AH241),0)</f>
        <v>0</v>
      </c>
      <c r="Q240" s="830">
        <f t="shared" ref="Q240" si="1725">IF(AI241&gt;0,(AI240/AI241),0)</f>
        <v>0</v>
      </c>
      <c r="R240" s="833">
        <f t="shared" ref="R240" si="1726">IF(AJ241&gt;0,(AJ240/AJ241),0)</f>
        <v>0</v>
      </c>
      <c r="S240" s="832">
        <f t="shared" ref="S240" si="1727">IF(AK241&gt;0,(AK240/AK241),0)</f>
        <v>0</v>
      </c>
      <c r="U240" s="349">
        <v>238</v>
      </c>
      <c r="V240" s="349"/>
      <c r="W240" s="349"/>
      <c r="X240" s="349"/>
      <c r="Y240" s="349"/>
      <c r="Z240" s="349"/>
      <c r="AA240" s="804">
        <v>238</v>
      </c>
      <c r="AB240" s="804"/>
      <c r="AC240" s="349">
        <v>309</v>
      </c>
      <c r="AD240" s="349">
        <v>120</v>
      </c>
      <c r="AE240" s="349">
        <v>41</v>
      </c>
      <c r="AF240" s="349"/>
      <c r="AG240" s="804">
        <v>470</v>
      </c>
      <c r="AH240" s="804"/>
      <c r="AI240" s="349"/>
      <c r="AJ240" s="813"/>
      <c r="AK240" s="804"/>
    </row>
    <row r="241" spans="1:37">
      <c r="A241" s="436"/>
      <c r="B241" s="436" t="s">
        <v>59</v>
      </c>
      <c r="C241" s="834">
        <f>IF(U241&gt;0,(U241/U241),0)</f>
        <v>1</v>
      </c>
      <c r="D241" s="835">
        <f t="shared" ref="D241" si="1728">IF(V241&gt;0,(V241/V241),0)</f>
        <v>0</v>
      </c>
      <c r="E241" s="835">
        <f t="shared" ref="E241" si="1729">IF(W241&gt;0,(W241/W241),0)</f>
        <v>1</v>
      </c>
      <c r="F241" s="835">
        <f t="shared" ref="F241" si="1730">IF(X241&gt;0,(X241/X241),0)</f>
        <v>0</v>
      </c>
      <c r="G241" s="835">
        <f t="shared" ref="G241" si="1731">IF(Y241&gt;0,(Y241/Y241),0)</f>
        <v>0</v>
      </c>
      <c r="H241" s="835">
        <f t="shared" ref="H241" si="1732">IF(Z241&gt;0,(Z241/Z241),0)</f>
        <v>0</v>
      </c>
      <c r="I241" s="834">
        <f t="shared" ref="I241" si="1733">IF(AA241&gt;0,(AA241/AA241),0)</f>
        <v>1</v>
      </c>
      <c r="J241" s="834">
        <f t="shared" ref="J241" si="1734">IF(AB241&gt;0,(AB241/AB241),0)</f>
        <v>0</v>
      </c>
      <c r="K241" s="835">
        <f t="shared" ref="K241" si="1735">IF(AC241&gt;0,(AC241/AC241),0)</f>
        <v>1</v>
      </c>
      <c r="L241" s="835">
        <f t="shared" ref="L241" si="1736">IF(AD241&gt;0,(AD241/AD241),0)</f>
        <v>1</v>
      </c>
      <c r="M241" s="835">
        <f t="shared" ref="M241" si="1737">IF(AE241&gt;0,(AE241/AE241),0)</f>
        <v>1</v>
      </c>
      <c r="N241" s="835">
        <f t="shared" ref="N241" si="1738">IF(AF241&gt;0,(AF241/AF241),0)</f>
        <v>0</v>
      </c>
      <c r="O241" s="834">
        <f t="shared" ref="O241" si="1739">IF(AG241&gt;0,(AG241/AG241),0)</f>
        <v>1</v>
      </c>
      <c r="P241" s="834">
        <f t="shared" ref="P241" si="1740">IF(AH241&gt;0,(AH241/AH241),0)</f>
        <v>0</v>
      </c>
      <c r="Q241" s="835">
        <f t="shared" ref="Q241" si="1741">IF(AI241&gt;0,(AI241/AI241),0)</f>
        <v>0</v>
      </c>
      <c r="R241" s="836">
        <f t="shared" ref="R241" si="1742">IF(AJ241&gt;0,(AJ241/AJ241),0)</f>
        <v>0</v>
      </c>
      <c r="S241" s="834">
        <f t="shared" ref="S241" si="1743">IF(AK241&gt;0,(AK241/AK241),0)</f>
        <v>0</v>
      </c>
      <c r="U241" s="816">
        <v>2414</v>
      </c>
      <c r="V241" s="816"/>
      <c r="W241" s="816">
        <v>587</v>
      </c>
      <c r="X241" s="816"/>
      <c r="Y241" s="816"/>
      <c r="Z241" s="816"/>
      <c r="AA241" s="805">
        <v>3001</v>
      </c>
      <c r="AB241" s="805"/>
      <c r="AC241" s="816">
        <v>580</v>
      </c>
      <c r="AD241" s="816">
        <v>1038</v>
      </c>
      <c r="AE241" s="816">
        <v>167</v>
      </c>
      <c r="AF241" s="816"/>
      <c r="AG241" s="805">
        <v>1785</v>
      </c>
      <c r="AH241" s="805"/>
      <c r="AI241" s="816"/>
      <c r="AJ241" s="817"/>
      <c r="AK241" s="805"/>
    </row>
    <row r="242" spans="1:37">
      <c r="A242" s="240" t="s">
        <v>146</v>
      </c>
      <c r="B242" s="240" t="s">
        <v>53</v>
      </c>
      <c r="C242" s="829">
        <f>IF(U247&gt;0,(U242/U247),0)</f>
        <v>0.33633183408295853</v>
      </c>
      <c r="D242" s="830">
        <f t="shared" ref="D242" si="1744">IF(V247&gt;0,(V242/V247),0)</f>
        <v>0.26250000000000001</v>
      </c>
      <c r="E242" s="830">
        <f t="shared" ref="E242" si="1745">IF(W247&gt;0,(W242/W247),0)</f>
        <v>0.26634382566585957</v>
      </c>
      <c r="F242" s="830">
        <f t="shared" ref="F242" si="1746">IF(X247&gt;0,(X242/X247),0)</f>
        <v>0.23461538461538461</v>
      </c>
      <c r="G242" s="830">
        <f t="shared" ref="G242" si="1747">IF(Y247&gt;0,(Y242/Y247),0)</f>
        <v>0</v>
      </c>
      <c r="H242" s="830">
        <f t="shared" ref="H242" si="1748">IF(Z247&gt;0,(Z242/Z247),0)</f>
        <v>0</v>
      </c>
      <c r="I242" s="829">
        <f t="shared" ref="I242" si="1749">IF(AA247&gt;0,(AA242/AA247),0)</f>
        <v>0.3027754415475189</v>
      </c>
      <c r="J242" s="829">
        <f t="shared" ref="J242" si="1750">IF(AB247&gt;0,(AB242/AB247),0)</f>
        <v>0</v>
      </c>
      <c r="K242" s="830">
        <f t="shared" ref="K242" si="1751">IF(AC247&gt;0,(AC242/AC247),0)</f>
        <v>0.3611111111111111</v>
      </c>
      <c r="L242" s="830">
        <f t="shared" ref="L242" si="1752">IF(AD247&gt;0,(AD242/AD247),0)</f>
        <v>0.1404494382022472</v>
      </c>
      <c r="M242" s="830">
        <f t="shared" ref="M242" si="1753">IF(AE247&gt;0,(AE242/AE247),0)</f>
        <v>5.1451187335092345E-2</v>
      </c>
      <c r="N242" s="830">
        <f t="shared" ref="N242" si="1754">IF(AF247&gt;0,(AF242/AF247),0)</f>
        <v>0</v>
      </c>
      <c r="O242" s="829">
        <f t="shared" ref="O242" si="1755">IF(AG247&gt;0,(AG242/AG247),0)</f>
        <v>0.16308470290771176</v>
      </c>
      <c r="P242" s="829">
        <f t="shared" ref="P242" si="1756">IF(AH247&gt;0,(AH242/AH247),0)</f>
        <v>0</v>
      </c>
      <c r="Q242" s="830">
        <f t="shared" ref="Q242" si="1757">IF(AI247&gt;0,(AI242/AI247),0)</f>
        <v>0</v>
      </c>
      <c r="R242" s="831">
        <f t="shared" ref="R242" si="1758">IF(AJ247&gt;0,(AJ242/AJ247),0)</f>
        <v>0</v>
      </c>
      <c r="S242" s="829">
        <f t="shared" ref="S242" si="1759">IF(AK247&gt;0,(AK242/AK247),0)</f>
        <v>0</v>
      </c>
      <c r="U242" s="349">
        <v>673</v>
      </c>
      <c r="V242" s="349">
        <v>126</v>
      </c>
      <c r="W242" s="349">
        <v>220</v>
      </c>
      <c r="X242" s="349">
        <v>61</v>
      </c>
      <c r="Y242" s="349"/>
      <c r="Z242" s="349"/>
      <c r="AA242" s="803">
        <v>1080</v>
      </c>
      <c r="AB242" s="803"/>
      <c r="AC242" s="349">
        <v>169</v>
      </c>
      <c r="AD242" s="349">
        <v>50</v>
      </c>
      <c r="AE242" s="349">
        <v>39</v>
      </c>
      <c r="AF242" s="349"/>
      <c r="AG242" s="803">
        <v>258</v>
      </c>
      <c r="AH242" s="803"/>
      <c r="AI242" s="349"/>
      <c r="AJ242" s="812"/>
      <c r="AK242" s="803"/>
    </row>
    <row r="243" spans="1:37">
      <c r="A243" s="239"/>
      <c r="B243" s="239" t="s">
        <v>93</v>
      </c>
      <c r="C243" s="832">
        <f>IF(U247&gt;0,(U243/U247),0)</f>
        <v>0.30234882558720638</v>
      </c>
      <c r="D243" s="830">
        <f t="shared" ref="D243" si="1760">IF(V247&gt;0,(V243/V247),0)</f>
        <v>0.31666666666666665</v>
      </c>
      <c r="E243" s="830">
        <f t="shared" ref="E243" si="1761">IF(W247&gt;0,(W243/W247),0)</f>
        <v>0.26150121065375304</v>
      </c>
      <c r="F243" s="830">
        <f t="shared" ref="F243" si="1762">IF(X247&gt;0,(X243/X247),0)</f>
        <v>0.30769230769230771</v>
      </c>
      <c r="G243" s="830">
        <f t="shared" ref="G243" si="1763">IF(Y247&gt;0,(Y243/Y247),0)</f>
        <v>0</v>
      </c>
      <c r="H243" s="830">
        <f t="shared" ref="H243" si="1764">IF(Z247&gt;0,(Z243/Z247),0)</f>
        <v>0</v>
      </c>
      <c r="I243" s="832">
        <f t="shared" ref="I243" si="1765">IF(AA247&gt;0,(AA243/AA247),0)</f>
        <v>0.29520605550883094</v>
      </c>
      <c r="J243" s="832">
        <f t="shared" ref="J243" si="1766">IF(AB247&gt;0,(AB243/AB247),0)</f>
        <v>0</v>
      </c>
      <c r="K243" s="830">
        <f t="shared" ref="K243" si="1767">IF(AC247&gt;0,(AC243/AC247),0)</f>
        <v>0.19444444444444445</v>
      </c>
      <c r="L243" s="830">
        <f t="shared" ref="L243" si="1768">IF(AD247&gt;0,(AD243/AD247),0)</f>
        <v>8.7078651685393263E-2</v>
      </c>
      <c r="M243" s="830">
        <f t="shared" ref="M243" si="1769">IF(AE247&gt;0,(AE243/AE247),0)</f>
        <v>3.825857519788918E-2</v>
      </c>
      <c r="N243" s="830">
        <f t="shared" ref="N243" si="1770">IF(AF247&gt;0,(AF243/AF247),0)</f>
        <v>0</v>
      </c>
      <c r="O243" s="832">
        <f t="shared" ref="O243" si="1771">IF(AG247&gt;0,(AG243/AG247),0)</f>
        <v>9.5448798988621991E-2</v>
      </c>
      <c r="P243" s="832">
        <f t="shared" ref="P243" si="1772">IF(AH247&gt;0,(AH243/AH247),0)</f>
        <v>0</v>
      </c>
      <c r="Q243" s="830">
        <f t="shared" ref="Q243" si="1773">IF(AI247&gt;0,(AI243/AI247),0)</f>
        <v>0</v>
      </c>
      <c r="R243" s="833">
        <f t="shared" ref="R243" si="1774">IF(AJ247&gt;0,(AJ243/AJ247),0)</f>
        <v>0</v>
      </c>
      <c r="S243" s="832">
        <f t="shared" ref="S243" si="1775">IF(AK247&gt;0,(AK243/AK247),0)</f>
        <v>0</v>
      </c>
      <c r="U243" s="349">
        <v>605</v>
      </c>
      <c r="V243" s="349">
        <v>152</v>
      </c>
      <c r="W243" s="349">
        <v>216</v>
      </c>
      <c r="X243" s="349">
        <v>80</v>
      </c>
      <c r="Y243" s="349"/>
      <c r="Z243" s="349"/>
      <c r="AA243" s="804">
        <v>1053</v>
      </c>
      <c r="AB243" s="804"/>
      <c r="AC243" s="349">
        <v>91</v>
      </c>
      <c r="AD243" s="349">
        <v>31</v>
      </c>
      <c r="AE243" s="349">
        <v>29</v>
      </c>
      <c r="AF243" s="349"/>
      <c r="AG243" s="804">
        <v>151</v>
      </c>
      <c r="AH243" s="804"/>
      <c r="AI243" s="349"/>
      <c r="AJ243" s="813"/>
      <c r="AK243" s="804"/>
    </row>
    <row r="244" spans="1:37">
      <c r="A244" s="239"/>
      <c r="B244" s="239" t="s">
        <v>55</v>
      </c>
      <c r="C244" s="832">
        <f>IF(U247&gt;0,(U244/U247),0)</f>
        <v>0.26236881559220387</v>
      </c>
      <c r="D244" s="830">
        <f t="shared" ref="D244" si="1776">IF(V247&gt;0,(V244/V247),0)</f>
        <v>0.26666666666666666</v>
      </c>
      <c r="E244" s="830">
        <f t="shared" ref="E244" si="1777">IF(W247&gt;0,(W244/W247),0)</f>
        <v>0.27723970944309928</v>
      </c>
      <c r="F244" s="830">
        <f t="shared" ref="F244" si="1778">IF(X247&gt;0,(X244/X247),0)</f>
        <v>0.24230769230769231</v>
      </c>
      <c r="G244" s="830">
        <f t="shared" ref="G244" si="1779">IF(Y247&gt;0,(Y244/Y247),0)</f>
        <v>0</v>
      </c>
      <c r="H244" s="830">
        <f t="shared" ref="H244" si="1780">IF(Z247&gt;0,(Z244/Z247),0)</f>
        <v>0</v>
      </c>
      <c r="I244" s="832">
        <f t="shared" ref="I244" si="1781">IF(AA247&gt;0,(AA244/AA247),0)</f>
        <v>0.26492851135407908</v>
      </c>
      <c r="J244" s="832">
        <f t="shared" ref="J244" si="1782">IF(AB247&gt;0,(AB244/AB247),0)</f>
        <v>0</v>
      </c>
      <c r="K244" s="830">
        <f t="shared" ref="K244" si="1783">IF(AC247&gt;0,(AC244/AC247),0)</f>
        <v>0.11965811965811966</v>
      </c>
      <c r="L244" s="830">
        <f t="shared" ref="L244" si="1784">IF(AD247&gt;0,(AD244/AD247),0)</f>
        <v>4.7752808988764044E-2</v>
      </c>
      <c r="M244" s="830">
        <f t="shared" ref="M244" si="1785">IF(AE247&gt;0,(AE244/AE247),0)</f>
        <v>7.9155672823219003E-3</v>
      </c>
      <c r="N244" s="830">
        <f t="shared" ref="N244" si="1786">IF(AF247&gt;0,(AF244/AF247),0)</f>
        <v>0</v>
      </c>
      <c r="O244" s="832">
        <f t="shared" ref="O244" si="1787">IF(AG247&gt;0,(AG244/AG247),0)</f>
        <v>4.9936788874841972E-2</v>
      </c>
      <c r="P244" s="832">
        <f t="shared" ref="P244" si="1788">IF(AH247&gt;0,(AH244/AH247),0)</f>
        <v>0</v>
      </c>
      <c r="Q244" s="830">
        <f t="shared" ref="Q244" si="1789">IF(AI247&gt;0,(AI244/AI247),0)</f>
        <v>0</v>
      </c>
      <c r="R244" s="833">
        <f t="shared" ref="R244" si="1790">IF(AJ247&gt;0,(AJ244/AJ247),0)</f>
        <v>0</v>
      </c>
      <c r="S244" s="832">
        <f t="shared" ref="S244" si="1791">IF(AK247&gt;0,(AK244/AK247),0)</f>
        <v>0</v>
      </c>
      <c r="U244" s="349">
        <v>525</v>
      </c>
      <c r="V244" s="349">
        <v>128</v>
      </c>
      <c r="W244" s="349">
        <v>229</v>
      </c>
      <c r="X244" s="349">
        <v>63</v>
      </c>
      <c r="Y244" s="349"/>
      <c r="Z244" s="349"/>
      <c r="AA244" s="804">
        <v>945</v>
      </c>
      <c r="AB244" s="804"/>
      <c r="AC244" s="349">
        <v>56</v>
      </c>
      <c r="AD244" s="349">
        <v>17</v>
      </c>
      <c r="AE244" s="349">
        <v>6</v>
      </c>
      <c r="AF244" s="349"/>
      <c r="AG244" s="804">
        <v>79</v>
      </c>
      <c r="AH244" s="804"/>
      <c r="AI244" s="349"/>
      <c r="AJ244" s="813"/>
      <c r="AK244" s="804"/>
    </row>
    <row r="245" spans="1:37">
      <c r="A245" s="239"/>
      <c r="B245" s="239" t="s">
        <v>78</v>
      </c>
      <c r="C245" s="832">
        <f>IF(U247&gt;0,(U245/U247),0)</f>
        <v>7.646176911544228E-2</v>
      </c>
      <c r="D245" s="830">
        <f t="shared" ref="D245" si="1792">IF(V247&gt;0,(V245/V247),0)</f>
        <v>0.15416666666666667</v>
      </c>
      <c r="E245" s="830">
        <f t="shared" ref="E245" si="1793">IF(W247&gt;0,(W245/W247),0)</f>
        <v>0.19491525423728814</v>
      </c>
      <c r="F245" s="830">
        <f t="shared" ref="F245" si="1794">IF(X247&gt;0,(X245/X247),0)</f>
        <v>1.9230769230769232E-2</v>
      </c>
      <c r="G245" s="830">
        <f t="shared" ref="G245" si="1795">IF(Y247&gt;0,(Y245/Y247),0)</f>
        <v>0</v>
      </c>
      <c r="H245" s="830">
        <f t="shared" ref="H245" si="1796">IF(Z247&gt;0,(Z245/Z247),0)</f>
        <v>0</v>
      </c>
      <c r="I245" s="832">
        <f t="shared" ref="I245" si="1797">IF(AA247&gt;0,(AA245/AA247),0)</f>
        <v>0.11017661900756939</v>
      </c>
      <c r="J245" s="832">
        <f t="shared" ref="J245" si="1798">IF(AB247&gt;0,(AB245/AB247),0)</f>
        <v>0</v>
      </c>
      <c r="K245" s="830">
        <f t="shared" ref="K245" si="1799">IF(AC247&gt;0,(AC245/AC247),0)</f>
        <v>0.3247863247863248</v>
      </c>
      <c r="L245" s="830">
        <f t="shared" ref="L245" si="1800">IF(AD247&gt;0,(AD245/AD247),0)</f>
        <v>0.52247191011235961</v>
      </c>
      <c r="M245" s="830">
        <f t="shared" ref="M245" si="1801">IF(AE247&gt;0,(AE245/AE247),0)</f>
        <v>0.84036939313984171</v>
      </c>
      <c r="N245" s="830">
        <f t="shared" ref="N245" si="1802">IF(AF247&gt;0,(AF245/AF247),0)</f>
        <v>0</v>
      </c>
      <c r="O245" s="832">
        <f t="shared" ref="O245" si="1803">IF(AG247&gt;0,(AG245/AG247),0)</f>
        <v>0.61630847029077118</v>
      </c>
      <c r="P245" s="832">
        <f t="shared" ref="P245" si="1804">IF(AH247&gt;0,(AH245/AH247),0)</f>
        <v>0</v>
      </c>
      <c r="Q245" s="830">
        <f t="shared" ref="Q245" si="1805">IF(AI247&gt;0,(AI245/AI247),0)</f>
        <v>0</v>
      </c>
      <c r="R245" s="833">
        <f t="shared" ref="R245" si="1806">IF(AJ247&gt;0,(AJ245/AJ247),0)</f>
        <v>0</v>
      </c>
      <c r="S245" s="832">
        <f t="shared" ref="S245" si="1807">IF(AK247&gt;0,(AK245/AK247),0)</f>
        <v>0</v>
      </c>
      <c r="U245" s="349">
        <v>153</v>
      </c>
      <c r="V245" s="349">
        <v>74</v>
      </c>
      <c r="W245" s="349">
        <v>161</v>
      </c>
      <c r="X245" s="349">
        <v>5</v>
      </c>
      <c r="Y245" s="349"/>
      <c r="Z245" s="349"/>
      <c r="AA245" s="804">
        <v>393</v>
      </c>
      <c r="AB245" s="804"/>
      <c r="AC245" s="349">
        <v>152</v>
      </c>
      <c r="AD245" s="349">
        <v>186</v>
      </c>
      <c r="AE245" s="349">
        <v>637</v>
      </c>
      <c r="AF245" s="349"/>
      <c r="AG245" s="804">
        <v>975</v>
      </c>
      <c r="AH245" s="804"/>
      <c r="AI245" s="349"/>
      <c r="AJ245" s="813"/>
      <c r="AK245" s="804"/>
    </row>
    <row r="246" spans="1:37">
      <c r="A246" s="580"/>
      <c r="B246" s="580" t="s">
        <v>131</v>
      </c>
      <c r="C246" s="832">
        <f>IF(U247&gt;0,(U246/U247),0)</f>
        <v>2.2488755622188907E-2</v>
      </c>
      <c r="D246" s="830">
        <f t="shared" ref="D246" si="1808">IF(V247&gt;0,(V246/V247),0)</f>
        <v>0</v>
      </c>
      <c r="E246" s="830">
        <f t="shared" ref="E246" si="1809">IF(W247&gt;0,(W246/W247),0)</f>
        <v>0</v>
      </c>
      <c r="F246" s="830">
        <f t="shared" ref="F246" si="1810">IF(X247&gt;0,(X246/X247),0)</f>
        <v>0.19615384615384615</v>
      </c>
      <c r="G246" s="830">
        <f t="shared" ref="G246" si="1811">IF(Y247&gt;0,(Y246/Y247),0)</f>
        <v>0</v>
      </c>
      <c r="H246" s="830">
        <f t="shared" ref="H246" si="1812">IF(Z247&gt;0,(Z246/Z247),0)</f>
        <v>0</v>
      </c>
      <c r="I246" s="832">
        <f t="shared" ref="I246" si="1813">IF(AA247&gt;0,(AA246/AA247),0)</f>
        <v>2.6913372582001681E-2</v>
      </c>
      <c r="J246" s="832">
        <f t="shared" ref="J246" si="1814">IF(AB247&gt;0,(AB246/AB247),0)</f>
        <v>0</v>
      </c>
      <c r="K246" s="830">
        <f t="shared" ref="K246" si="1815">IF(AC247&gt;0,(AC246/AC247),0)</f>
        <v>0</v>
      </c>
      <c r="L246" s="830">
        <f t="shared" ref="L246" si="1816">IF(AD247&gt;0,(AD246/AD247),0)</f>
        <v>0.20224719101123595</v>
      </c>
      <c r="M246" s="830">
        <f t="shared" ref="M246" si="1817">IF(AE247&gt;0,(AE246/AE247),0)</f>
        <v>6.2005277044854881E-2</v>
      </c>
      <c r="N246" s="830">
        <f t="shared" ref="N246" si="1818">IF(AF247&gt;0,(AF246/AF247),0)</f>
        <v>0</v>
      </c>
      <c r="O246" s="832">
        <f t="shared" ref="O246" si="1819">IF(AG247&gt;0,(AG246/AG247),0)</f>
        <v>7.5221238938053103E-2</v>
      </c>
      <c r="P246" s="832">
        <f t="shared" ref="P246" si="1820">IF(AH247&gt;0,(AH246/AH247),0)</f>
        <v>0</v>
      </c>
      <c r="Q246" s="830">
        <f t="shared" ref="Q246" si="1821">IF(AI247&gt;0,(AI246/AI247),0)</f>
        <v>0</v>
      </c>
      <c r="R246" s="833">
        <f t="shared" ref="R246" si="1822">IF(AJ247&gt;0,(AJ246/AJ247),0)</f>
        <v>0</v>
      </c>
      <c r="S246" s="832">
        <f t="shared" ref="S246" si="1823">IF(AK247&gt;0,(AK246/AK247),0)</f>
        <v>0</v>
      </c>
      <c r="U246" s="349">
        <v>45</v>
      </c>
      <c r="V246" s="349"/>
      <c r="W246" s="349"/>
      <c r="X246" s="349">
        <v>51</v>
      </c>
      <c r="Y246" s="349"/>
      <c r="Z246" s="349"/>
      <c r="AA246" s="804">
        <v>96</v>
      </c>
      <c r="AB246" s="804"/>
      <c r="AC246" s="349"/>
      <c r="AD246" s="349">
        <v>72</v>
      </c>
      <c r="AE246" s="349">
        <v>47</v>
      </c>
      <c r="AF246" s="349"/>
      <c r="AG246" s="804">
        <v>119</v>
      </c>
      <c r="AH246" s="804"/>
      <c r="AI246" s="349"/>
      <c r="AJ246" s="813"/>
      <c r="AK246" s="804"/>
    </row>
    <row r="247" spans="1:37">
      <c r="A247" s="436"/>
      <c r="B247" s="436" t="s">
        <v>59</v>
      </c>
      <c r="C247" s="834">
        <f>IF(U247&gt;0,(U247/U247),0)</f>
        <v>1</v>
      </c>
      <c r="D247" s="835">
        <f t="shared" ref="D247" si="1824">IF(V247&gt;0,(V247/V247),0)</f>
        <v>1</v>
      </c>
      <c r="E247" s="835">
        <f t="shared" ref="E247" si="1825">IF(W247&gt;0,(W247/W247),0)</f>
        <v>1</v>
      </c>
      <c r="F247" s="835">
        <f t="shared" ref="F247" si="1826">IF(X247&gt;0,(X247/X247),0)</f>
        <v>1</v>
      </c>
      <c r="G247" s="835">
        <f t="shared" ref="G247" si="1827">IF(Y247&gt;0,(Y247/Y247),0)</f>
        <v>0</v>
      </c>
      <c r="H247" s="835">
        <f t="shared" ref="H247" si="1828">IF(Z247&gt;0,(Z247/Z247),0)</f>
        <v>0</v>
      </c>
      <c r="I247" s="834">
        <f t="shared" ref="I247" si="1829">IF(AA247&gt;0,(AA247/AA247),0)</f>
        <v>1</v>
      </c>
      <c r="J247" s="834">
        <f t="shared" ref="J247" si="1830">IF(AB247&gt;0,(AB247/AB247),0)</f>
        <v>0</v>
      </c>
      <c r="K247" s="835">
        <f t="shared" ref="K247" si="1831">IF(AC247&gt;0,(AC247/AC247),0)</f>
        <v>1</v>
      </c>
      <c r="L247" s="835">
        <f t="shared" ref="L247" si="1832">IF(AD247&gt;0,(AD247/AD247),0)</f>
        <v>1</v>
      </c>
      <c r="M247" s="835">
        <f t="shared" ref="M247" si="1833">IF(AE247&gt;0,(AE247/AE247),0)</f>
        <v>1</v>
      </c>
      <c r="N247" s="835">
        <f t="shared" ref="N247" si="1834">IF(AF247&gt;0,(AF247/AF247),0)</f>
        <v>0</v>
      </c>
      <c r="O247" s="834">
        <f t="shared" ref="O247" si="1835">IF(AG247&gt;0,(AG247/AG247),0)</f>
        <v>1</v>
      </c>
      <c r="P247" s="834">
        <f t="shared" ref="P247" si="1836">IF(AH247&gt;0,(AH247/AH247),0)</f>
        <v>0</v>
      </c>
      <c r="Q247" s="835">
        <f t="shared" ref="Q247" si="1837">IF(AI247&gt;0,(AI247/AI247),0)</f>
        <v>0</v>
      </c>
      <c r="R247" s="836">
        <f t="shared" ref="R247" si="1838">IF(AJ247&gt;0,(AJ247/AJ247),0)</f>
        <v>0</v>
      </c>
      <c r="S247" s="834">
        <f t="shared" ref="S247" si="1839">IF(AK247&gt;0,(AK247/AK247),0)</f>
        <v>0</v>
      </c>
      <c r="U247" s="816">
        <v>2001</v>
      </c>
      <c r="V247" s="816">
        <v>480</v>
      </c>
      <c r="W247" s="816">
        <v>826</v>
      </c>
      <c r="X247" s="816">
        <v>260</v>
      </c>
      <c r="Y247" s="816"/>
      <c r="Z247" s="816"/>
      <c r="AA247" s="805">
        <v>3567</v>
      </c>
      <c r="AB247" s="805"/>
      <c r="AC247" s="816">
        <v>468</v>
      </c>
      <c r="AD247" s="816">
        <v>356</v>
      </c>
      <c r="AE247" s="816">
        <v>758</v>
      </c>
      <c r="AF247" s="816"/>
      <c r="AG247" s="805">
        <v>1582</v>
      </c>
      <c r="AH247" s="805"/>
      <c r="AI247" s="816"/>
      <c r="AJ247" s="817"/>
      <c r="AK247" s="805"/>
    </row>
    <row r="248" spans="1:37">
      <c r="A248" s="240" t="s">
        <v>149</v>
      </c>
      <c r="B248" s="240" t="s">
        <v>53</v>
      </c>
      <c r="C248" s="829">
        <f>IF(U253&gt;0,(U248/U253),0)</f>
        <v>0.37487126673532439</v>
      </c>
      <c r="D248" s="830">
        <f t="shared" ref="D248" si="1840">IF(V253&gt;0,(V248/V253),0)</f>
        <v>0.32104832104832104</v>
      </c>
      <c r="E248" s="830">
        <f t="shared" ref="E248" si="1841">IF(W253&gt;0,(W248/W253),0)</f>
        <v>0.28804518355820519</v>
      </c>
      <c r="F248" s="830">
        <f t="shared" ref="F248" si="1842">IF(X253&gt;0,(X248/X253),0)</f>
        <v>0.31712789827973076</v>
      </c>
      <c r="G248" s="830">
        <f t="shared" ref="G248" si="1843">IF(Y253&gt;0,(Y248/Y253),0)</f>
        <v>0</v>
      </c>
      <c r="H248" s="830">
        <f t="shared" ref="H248" si="1844">IF(Z253&gt;0,(Z248/Z253),0)</f>
        <v>0.26732673267326734</v>
      </c>
      <c r="I248" s="829">
        <f t="shared" ref="I248" si="1845">IF(AA253&gt;0,(AA248/AA253),0)</f>
        <v>0.33798834818368745</v>
      </c>
      <c r="J248" s="829">
        <f t="shared" ref="J248" si="1846">IF(AB253&gt;0,(AB248/AB253),0)</f>
        <v>0</v>
      </c>
      <c r="K248" s="830">
        <f t="shared" ref="K248" si="1847">IF(AC253&gt;0,(AC248/AC253),0)</f>
        <v>0.20767386091127099</v>
      </c>
      <c r="L248" s="830">
        <f t="shared" ref="L248" si="1848">IF(AD253&gt;0,(AD248/AD253),0)</f>
        <v>0.20854700854700856</v>
      </c>
      <c r="M248" s="830">
        <f t="shared" ref="M248" si="1849">IF(AE253&gt;0,(AE248/AE253),0)</f>
        <v>0.23262839879154079</v>
      </c>
      <c r="N248" s="830">
        <f t="shared" ref="N248" si="1850">IF(AF253&gt;0,(AF248/AF253),0)</f>
        <v>0</v>
      </c>
      <c r="O248" s="829">
        <f t="shared" ref="O248" si="1851">IF(AG253&gt;0,(AG248/AG253),0)</f>
        <v>0.21059646784405198</v>
      </c>
      <c r="P248" s="829">
        <f t="shared" ref="P248" si="1852">IF(AH253&gt;0,(AH248/AH253),0)</f>
        <v>0</v>
      </c>
      <c r="Q248" s="830">
        <f t="shared" ref="Q248" si="1853">IF(AI253&gt;0,(AI248/AI253),0)</f>
        <v>0</v>
      </c>
      <c r="R248" s="831">
        <f t="shared" ref="R248" si="1854">IF(AJ253&gt;0,(AJ248/AJ253),0)</f>
        <v>0</v>
      </c>
      <c r="S248" s="829">
        <f t="shared" ref="S248" si="1855">IF(AK253&gt;0,(AK248/AK253),0)</f>
        <v>0</v>
      </c>
      <c r="U248" s="349">
        <v>2184</v>
      </c>
      <c r="V248" s="349">
        <v>392</v>
      </c>
      <c r="W248" s="349">
        <v>918</v>
      </c>
      <c r="X248" s="349">
        <v>424</v>
      </c>
      <c r="Y248" s="349"/>
      <c r="Z248" s="349">
        <v>27</v>
      </c>
      <c r="AA248" s="803">
        <v>3945</v>
      </c>
      <c r="AB248" s="803"/>
      <c r="AC248" s="349">
        <v>433</v>
      </c>
      <c r="AD248" s="349">
        <v>122</v>
      </c>
      <c r="AE248" s="349">
        <v>77</v>
      </c>
      <c r="AF248" s="349"/>
      <c r="AG248" s="803">
        <v>632</v>
      </c>
      <c r="AH248" s="803"/>
      <c r="AI248" s="349"/>
      <c r="AJ248" s="812"/>
      <c r="AK248" s="803"/>
    </row>
    <row r="249" spans="1:37">
      <c r="A249" s="239"/>
      <c r="B249" s="239" t="s">
        <v>93</v>
      </c>
      <c r="C249" s="832">
        <f>IF(U253&gt;0,(U249/U253),0)</f>
        <v>0.22914521112255407</v>
      </c>
      <c r="D249" s="830">
        <f t="shared" ref="D249" si="1856">IF(V253&gt;0,(V249/V253),0)</f>
        <v>0.33742833742833744</v>
      </c>
      <c r="E249" s="830">
        <f t="shared" ref="E249" si="1857">IF(W253&gt;0,(W249/W253),0)</f>
        <v>0.27486664574835268</v>
      </c>
      <c r="F249" s="830">
        <f t="shared" ref="F249" si="1858">IF(X253&gt;0,(X249/X253),0)</f>
        <v>0.25579655946148094</v>
      </c>
      <c r="G249" s="830">
        <f t="shared" ref="G249" si="1859">IF(Y253&gt;0,(Y249/Y253),0)</f>
        <v>0</v>
      </c>
      <c r="H249" s="830">
        <f t="shared" ref="H249" si="1860">IF(Z253&gt;0,(Z249/Z253),0)</f>
        <v>0.24752475247524752</v>
      </c>
      <c r="I249" s="832">
        <f t="shared" ref="I249" si="1861">IF(AA253&gt;0,(AA249/AA253),0)</f>
        <v>0.25616860863605206</v>
      </c>
      <c r="J249" s="832">
        <f t="shared" ref="J249" si="1862">IF(AB253&gt;0,(AB249/AB253),0)</f>
        <v>0</v>
      </c>
      <c r="K249" s="830">
        <f t="shared" ref="K249" si="1863">IF(AC253&gt;0,(AC249/AC253),0)</f>
        <v>5.371702637889688E-2</v>
      </c>
      <c r="L249" s="830">
        <f t="shared" ref="L249" si="1864">IF(AD253&gt;0,(AD249/AD253),0)</f>
        <v>6.6666666666666666E-2</v>
      </c>
      <c r="M249" s="830">
        <f t="shared" ref="M249" si="1865">IF(AE253&gt;0,(AE249/AE253),0)</f>
        <v>0</v>
      </c>
      <c r="N249" s="830">
        <f t="shared" ref="N249" si="1866">IF(AF253&gt;0,(AF249/AF253),0)</f>
        <v>0</v>
      </c>
      <c r="O249" s="832">
        <f t="shared" ref="O249" si="1867">IF(AG253&gt;0,(AG249/AG253),0)</f>
        <v>5.031656114628457E-2</v>
      </c>
      <c r="P249" s="832">
        <f t="shared" ref="P249" si="1868">IF(AH253&gt;0,(AH249/AH253),0)</f>
        <v>0</v>
      </c>
      <c r="Q249" s="830">
        <f t="shared" ref="Q249" si="1869">IF(AI253&gt;0,(AI249/AI253),0)</f>
        <v>0</v>
      </c>
      <c r="R249" s="833">
        <f t="shared" ref="R249" si="1870">IF(AJ253&gt;0,(AJ249/AJ253),0)</f>
        <v>0</v>
      </c>
      <c r="S249" s="832">
        <f t="shared" ref="S249" si="1871">IF(AK253&gt;0,(AK249/AK253),0)</f>
        <v>0</v>
      </c>
      <c r="U249" s="349">
        <v>1335</v>
      </c>
      <c r="V249" s="349">
        <v>412</v>
      </c>
      <c r="W249" s="349">
        <v>876</v>
      </c>
      <c r="X249" s="349">
        <v>342</v>
      </c>
      <c r="Y249" s="349"/>
      <c r="Z249" s="349">
        <v>25</v>
      </c>
      <c r="AA249" s="804">
        <v>2990</v>
      </c>
      <c r="AB249" s="804"/>
      <c r="AC249" s="349">
        <v>112</v>
      </c>
      <c r="AD249" s="349">
        <v>39</v>
      </c>
      <c r="AE249" s="349"/>
      <c r="AF249" s="349"/>
      <c r="AG249" s="804">
        <v>151</v>
      </c>
      <c r="AH249" s="804"/>
      <c r="AI249" s="349"/>
      <c r="AJ249" s="813"/>
      <c r="AK249" s="804"/>
    </row>
    <row r="250" spans="1:37">
      <c r="A250" s="239"/>
      <c r="B250" s="239" t="s">
        <v>55</v>
      </c>
      <c r="C250" s="832">
        <f>IF(U253&gt;0,(U250/U253),0)</f>
        <v>0.25008582217645037</v>
      </c>
      <c r="D250" s="830">
        <f t="shared" ref="D250" si="1872">IF(V253&gt;0,(V250/V253),0)</f>
        <v>0.26044226044226043</v>
      </c>
      <c r="E250" s="830">
        <f t="shared" ref="E250" si="1873">IF(W253&gt;0,(W250/W253),0)</f>
        <v>0.29337935362409789</v>
      </c>
      <c r="F250" s="830">
        <f t="shared" ref="F250" si="1874">IF(X253&gt;0,(X250/X253),0)</f>
        <v>0.25953627524308154</v>
      </c>
      <c r="G250" s="830">
        <f t="shared" ref="G250" si="1875">IF(Y253&gt;0,(Y250/Y253),0)</f>
        <v>0</v>
      </c>
      <c r="H250" s="830">
        <f t="shared" ref="H250" si="1876">IF(Z253&gt;0,(Z250/Z253),0)</f>
        <v>0.46534653465346537</v>
      </c>
      <c r="I250" s="832">
        <f t="shared" ref="I250" si="1877">IF(AA253&gt;0,(AA250/AA253),0)</f>
        <v>0.26593557230980125</v>
      </c>
      <c r="J250" s="832">
        <f t="shared" ref="J250" si="1878">IF(AB253&gt;0,(AB250/AB253),0)</f>
        <v>0</v>
      </c>
      <c r="K250" s="830">
        <f t="shared" ref="K250" si="1879">IF(AC253&gt;0,(AC250/AC253),0)</f>
        <v>4.60431654676259E-2</v>
      </c>
      <c r="L250" s="830">
        <f t="shared" ref="L250" si="1880">IF(AD253&gt;0,(AD250/AD253),0)</f>
        <v>9.5726495726495733E-2</v>
      </c>
      <c r="M250" s="830">
        <f t="shared" ref="M250" si="1881">IF(AE253&gt;0,(AE250/AE253),0)</f>
        <v>0</v>
      </c>
      <c r="N250" s="830">
        <f t="shared" ref="N250" si="1882">IF(AF253&gt;0,(AF250/AF253),0)</f>
        <v>0</v>
      </c>
      <c r="O250" s="832">
        <f t="shared" ref="O250" si="1883">IF(AG253&gt;0,(AG250/AG253),0)</f>
        <v>5.0649783405531487E-2</v>
      </c>
      <c r="P250" s="832">
        <f t="shared" ref="P250" si="1884">IF(AH253&gt;0,(AH250/AH253),0)</f>
        <v>0</v>
      </c>
      <c r="Q250" s="830">
        <f t="shared" ref="Q250" si="1885">IF(AI253&gt;0,(AI250/AI253),0)</f>
        <v>0</v>
      </c>
      <c r="R250" s="833">
        <f t="shared" ref="R250" si="1886">IF(AJ253&gt;0,(AJ250/AJ253),0)</f>
        <v>0</v>
      </c>
      <c r="S250" s="832">
        <f t="shared" ref="S250" si="1887">IF(AK253&gt;0,(AK250/AK253),0)</f>
        <v>0</v>
      </c>
      <c r="U250" s="349">
        <v>1457</v>
      </c>
      <c r="V250" s="349">
        <v>318</v>
      </c>
      <c r="W250" s="349">
        <v>935</v>
      </c>
      <c r="X250" s="349">
        <v>347</v>
      </c>
      <c r="Y250" s="349"/>
      <c r="Z250" s="349">
        <v>47</v>
      </c>
      <c r="AA250" s="804">
        <v>3104</v>
      </c>
      <c r="AB250" s="804"/>
      <c r="AC250" s="349">
        <v>96</v>
      </c>
      <c r="AD250" s="349">
        <v>56</v>
      </c>
      <c r="AE250" s="349"/>
      <c r="AF250" s="349"/>
      <c r="AG250" s="804">
        <v>152</v>
      </c>
      <c r="AH250" s="804"/>
      <c r="AI250" s="349"/>
      <c r="AJ250" s="813"/>
      <c r="AK250" s="804"/>
    </row>
    <row r="251" spans="1:37">
      <c r="A251" s="239"/>
      <c r="B251" s="239" t="s">
        <v>78</v>
      </c>
      <c r="C251" s="832">
        <f>IF(U253&gt;0,(U251/U253),0)</f>
        <v>3.2955715756951595E-2</v>
      </c>
      <c r="D251" s="830">
        <f t="shared" ref="D251" si="1888">IF(V253&gt;0,(V251/V253),0)</f>
        <v>4.9140049140049137E-2</v>
      </c>
      <c r="E251" s="830">
        <f t="shared" ref="E251" si="1889">IF(W253&gt;0,(W251/W253),0)</f>
        <v>7.0599309695638532E-2</v>
      </c>
      <c r="F251" s="830">
        <f t="shared" ref="F251" si="1890">IF(X253&gt;0,(X251/X253),0)</f>
        <v>4.8616305160807775E-2</v>
      </c>
      <c r="G251" s="830">
        <f t="shared" ref="G251" si="1891">IF(Y253&gt;0,(Y251/Y253),0)</f>
        <v>0</v>
      </c>
      <c r="H251" s="830">
        <f t="shared" ref="H251" si="1892">IF(Z253&gt;0,(Z251/Z253),0)</f>
        <v>1.9801980198019802E-2</v>
      </c>
      <c r="I251" s="832">
        <f t="shared" ref="I251" si="1893">IF(AA253&gt;0,(AA251/AA253),0)</f>
        <v>4.6607265250171351E-2</v>
      </c>
      <c r="J251" s="832">
        <f t="shared" ref="J251" si="1894">IF(AB253&gt;0,(AB251/AB253),0)</f>
        <v>0</v>
      </c>
      <c r="K251" s="830">
        <f t="shared" ref="K251" si="1895">IF(AC253&gt;0,(AC251/AC253),0)</f>
        <v>0.29352517985611509</v>
      </c>
      <c r="L251" s="830">
        <f t="shared" ref="L251" si="1896">IF(AD253&gt;0,(AD251/AD253),0)</f>
        <v>0.48205128205128206</v>
      </c>
      <c r="M251" s="830">
        <f t="shared" ref="M251" si="1897">IF(AE253&gt;0,(AE251/AE253),0)</f>
        <v>0.38368580060422963</v>
      </c>
      <c r="N251" s="830">
        <f t="shared" ref="N251" si="1898">IF(AF253&gt;0,(AF251/AF253),0)</f>
        <v>0</v>
      </c>
      <c r="O251" s="832">
        <f t="shared" ref="O251" si="1899">IF(AG253&gt;0,(AG251/AG253),0)</f>
        <v>0.34021992669110296</v>
      </c>
      <c r="P251" s="832">
        <f t="shared" ref="P251" si="1900">IF(AH253&gt;0,(AH251/AH253),0)</f>
        <v>0</v>
      </c>
      <c r="Q251" s="830">
        <f t="shared" ref="Q251" si="1901">IF(AI253&gt;0,(AI251/AI253),0)</f>
        <v>0</v>
      </c>
      <c r="R251" s="833">
        <f t="shared" ref="R251" si="1902">IF(AJ253&gt;0,(AJ251/AJ253),0)</f>
        <v>0</v>
      </c>
      <c r="S251" s="832">
        <f t="shared" ref="S251" si="1903">IF(AK253&gt;0,(AK251/AK253),0)</f>
        <v>0</v>
      </c>
      <c r="U251" s="349">
        <v>192</v>
      </c>
      <c r="V251" s="349">
        <v>60</v>
      </c>
      <c r="W251" s="349">
        <v>225</v>
      </c>
      <c r="X251" s="349">
        <v>65</v>
      </c>
      <c r="Y251" s="349"/>
      <c r="Z251" s="349">
        <v>2</v>
      </c>
      <c r="AA251" s="804">
        <v>544</v>
      </c>
      <c r="AB251" s="804"/>
      <c r="AC251" s="349">
        <v>612</v>
      </c>
      <c r="AD251" s="349">
        <v>282</v>
      </c>
      <c r="AE251" s="349">
        <v>127</v>
      </c>
      <c r="AF251" s="349"/>
      <c r="AG251" s="804">
        <v>1021</v>
      </c>
      <c r="AH251" s="804"/>
      <c r="AI251" s="349"/>
      <c r="AJ251" s="813"/>
      <c r="AK251" s="804"/>
    </row>
    <row r="252" spans="1:37">
      <c r="A252" s="580"/>
      <c r="B252" s="580" t="s">
        <v>131</v>
      </c>
      <c r="C252" s="832">
        <f>IF(U253&gt;0,(U252/U253),0)</f>
        <v>0.11294198420871954</v>
      </c>
      <c r="D252" s="830">
        <f t="shared" ref="D252" si="1904">IF(V253&gt;0,(V252/V253),0)</f>
        <v>3.1941031941031942E-2</v>
      </c>
      <c r="E252" s="830">
        <f t="shared" ref="E252" si="1905">IF(W253&gt;0,(W252/W253),0)</f>
        <v>7.3109507373705682E-2</v>
      </c>
      <c r="F252" s="830">
        <f t="shared" ref="F252" si="1906">IF(X253&gt;0,(X252/X253),0)</f>
        <v>0.11892296185489903</v>
      </c>
      <c r="G252" s="830">
        <f t="shared" ref="G252" si="1907">IF(Y253&gt;0,(Y252/Y253),0)</f>
        <v>0</v>
      </c>
      <c r="H252" s="830">
        <f t="shared" ref="H252" si="1908">IF(Z253&gt;0,(Z252/Z253),0)</f>
        <v>0</v>
      </c>
      <c r="I252" s="832">
        <f t="shared" ref="I252" si="1909">IF(AA253&gt;0,(AA252/AA253),0)</f>
        <v>9.3300205620287874E-2</v>
      </c>
      <c r="J252" s="832">
        <f t="shared" ref="J252" si="1910">IF(AB253&gt;0,(AB252/AB253),0)</f>
        <v>0</v>
      </c>
      <c r="K252" s="830">
        <f t="shared" ref="K252" si="1911">IF(AC253&gt;0,(AC252/AC253),0)</f>
        <v>0.39904076738609112</v>
      </c>
      <c r="L252" s="830">
        <f t="shared" ref="L252" si="1912">IF(AD253&gt;0,(AD252/AD253),0)</f>
        <v>0.14700854700854701</v>
      </c>
      <c r="M252" s="830">
        <f t="shared" ref="M252" si="1913">IF(AE253&gt;0,(AE252/AE253),0)</f>
        <v>0.38368580060422963</v>
      </c>
      <c r="N252" s="830">
        <f t="shared" ref="N252" si="1914">IF(AF253&gt;0,(AF252/AF253),0)</f>
        <v>0</v>
      </c>
      <c r="O252" s="832">
        <f t="shared" ref="O252" si="1915">IF(AG253&gt;0,(AG252/AG253),0)</f>
        <v>0.34821726091302901</v>
      </c>
      <c r="P252" s="832">
        <f t="shared" ref="P252" si="1916">IF(AH253&gt;0,(AH252/AH253),0)</f>
        <v>0</v>
      </c>
      <c r="Q252" s="830">
        <f t="shared" ref="Q252" si="1917">IF(AI253&gt;0,(AI252/AI253),0)</f>
        <v>0</v>
      </c>
      <c r="R252" s="833">
        <f t="shared" ref="R252" si="1918">IF(AJ253&gt;0,(AJ252/AJ253),0)</f>
        <v>0</v>
      </c>
      <c r="S252" s="832">
        <f t="shared" ref="S252" si="1919">IF(AK253&gt;0,(AK252/AK253),0)</f>
        <v>0</v>
      </c>
      <c r="U252" s="349">
        <v>658</v>
      </c>
      <c r="V252" s="349">
        <v>39</v>
      </c>
      <c r="W252" s="349">
        <v>233</v>
      </c>
      <c r="X252" s="349">
        <v>159</v>
      </c>
      <c r="Y252" s="349"/>
      <c r="Z252" s="349"/>
      <c r="AA252" s="804">
        <v>1089</v>
      </c>
      <c r="AB252" s="804"/>
      <c r="AC252" s="349">
        <v>832</v>
      </c>
      <c r="AD252" s="349">
        <v>86</v>
      </c>
      <c r="AE252" s="349">
        <v>127</v>
      </c>
      <c r="AF252" s="349"/>
      <c r="AG252" s="804">
        <v>1045</v>
      </c>
      <c r="AH252" s="804"/>
      <c r="AI252" s="349"/>
      <c r="AJ252" s="813"/>
      <c r="AK252" s="804"/>
    </row>
    <row r="253" spans="1:37">
      <c r="A253" s="436"/>
      <c r="B253" s="436" t="s">
        <v>59</v>
      </c>
      <c r="C253" s="834">
        <f>IF(U253&gt;0,(U253/U253),0)</f>
        <v>1</v>
      </c>
      <c r="D253" s="835">
        <f t="shared" ref="D253" si="1920">IF(V253&gt;0,(V253/V253),0)</f>
        <v>1</v>
      </c>
      <c r="E253" s="835">
        <f t="shared" ref="E253" si="1921">IF(W253&gt;0,(W253/W253),0)</f>
        <v>1</v>
      </c>
      <c r="F253" s="835">
        <f t="shared" ref="F253" si="1922">IF(X253&gt;0,(X253/X253),0)</f>
        <v>1</v>
      </c>
      <c r="G253" s="835">
        <f t="shared" ref="G253" si="1923">IF(Y253&gt;0,(Y253/Y253),0)</f>
        <v>0</v>
      </c>
      <c r="H253" s="835">
        <f t="shared" ref="H253" si="1924">IF(Z253&gt;0,(Z253/Z253),0)</f>
        <v>1</v>
      </c>
      <c r="I253" s="834">
        <f t="shared" ref="I253" si="1925">IF(AA253&gt;0,(AA253/AA253),0)</f>
        <v>1</v>
      </c>
      <c r="J253" s="834">
        <f t="shared" ref="J253" si="1926">IF(AB253&gt;0,(AB253/AB253),0)</f>
        <v>0</v>
      </c>
      <c r="K253" s="835">
        <f t="shared" ref="K253" si="1927">IF(AC253&gt;0,(AC253/AC253),0)</f>
        <v>1</v>
      </c>
      <c r="L253" s="835">
        <f t="shared" ref="L253" si="1928">IF(AD253&gt;0,(AD253/AD253),0)</f>
        <v>1</v>
      </c>
      <c r="M253" s="835">
        <f t="shared" ref="M253" si="1929">IF(AE253&gt;0,(AE253/AE253),0)</f>
        <v>1</v>
      </c>
      <c r="N253" s="835">
        <f t="shared" ref="N253" si="1930">IF(AF253&gt;0,(AF253/AF253),0)</f>
        <v>0</v>
      </c>
      <c r="O253" s="834">
        <f t="shared" ref="O253" si="1931">IF(AG253&gt;0,(AG253/AG253),0)</f>
        <v>1</v>
      </c>
      <c r="P253" s="834">
        <f t="shared" ref="P253" si="1932">IF(AH253&gt;0,(AH253/AH253),0)</f>
        <v>0</v>
      </c>
      <c r="Q253" s="835">
        <f t="shared" ref="Q253" si="1933">IF(AI253&gt;0,(AI253/AI253),0)</f>
        <v>0</v>
      </c>
      <c r="R253" s="836">
        <f t="shared" ref="R253" si="1934">IF(AJ253&gt;0,(AJ253/AJ253),0)</f>
        <v>0</v>
      </c>
      <c r="S253" s="834">
        <f t="shared" ref="S253" si="1935">IF(AK253&gt;0,(AK253/AK253),0)</f>
        <v>0</v>
      </c>
      <c r="U253" s="816">
        <v>5826</v>
      </c>
      <c r="V253" s="816">
        <v>1221</v>
      </c>
      <c r="W253" s="816">
        <v>3187</v>
      </c>
      <c r="X253" s="816">
        <v>1337</v>
      </c>
      <c r="Y253" s="816"/>
      <c r="Z253" s="816">
        <v>101</v>
      </c>
      <c r="AA253" s="805">
        <v>11672</v>
      </c>
      <c r="AB253" s="805"/>
      <c r="AC253" s="816">
        <v>2085</v>
      </c>
      <c r="AD253" s="816">
        <v>585</v>
      </c>
      <c r="AE253" s="816">
        <v>331</v>
      </c>
      <c r="AF253" s="816"/>
      <c r="AG253" s="805">
        <v>3001</v>
      </c>
      <c r="AH253" s="805"/>
      <c r="AI253" s="816"/>
      <c r="AJ253" s="817"/>
      <c r="AK253" s="805"/>
    </row>
    <row r="254" spans="1:37">
      <c r="A254" s="240" t="s">
        <v>150</v>
      </c>
      <c r="B254" s="240" t="s">
        <v>53</v>
      </c>
      <c r="C254" s="829">
        <f>IF(U259&gt;0,(U254/U259),0)</f>
        <v>0.47426900584795323</v>
      </c>
      <c r="D254" s="830">
        <f t="shared" ref="D254" si="1936">IF(V259&gt;0,(V254/V259),0)</f>
        <v>0</v>
      </c>
      <c r="E254" s="830">
        <f t="shared" ref="E254" si="1937">IF(W259&gt;0,(W254/W259),0)</f>
        <v>0.32389502762430938</v>
      </c>
      <c r="F254" s="830">
        <f t="shared" ref="F254" si="1938">IF(X259&gt;0,(X254/X259),0)</f>
        <v>0.36298932384341637</v>
      </c>
      <c r="G254" s="830">
        <f t="shared" ref="G254" si="1939">IF(Y259&gt;0,(Y254/Y259),0)</f>
        <v>0.3888888888888889</v>
      </c>
      <c r="H254" s="830">
        <f t="shared" ref="H254" si="1940">IF(Z259&gt;0,(Z254/Z259),0)</f>
        <v>0.18124999999999999</v>
      </c>
      <c r="I254" s="829">
        <f t="shared" ref="I254" si="1941">IF(AA259&gt;0,(AA254/AA259),0)</f>
        <v>0.38983833718244804</v>
      </c>
      <c r="J254" s="829">
        <f t="shared" ref="J254" si="1942">IF(AB259&gt;0,(AB254/AB259),0)</f>
        <v>0</v>
      </c>
      <c r="K254" s="830">
        <f t="shared" ref="K254" si="1943">IF(AC259&gt;0,(AC254/AC259),0)</f>
        <v>0</v>
      </c>
      <c r="L254" s="830">
        <f t="shared" ref="L254" si="1944">IF(AD259&gt;0,(AD254/AD259),0)</f>
        <v>0</v>
      </c>
      <c r="M254" s="830">
        <f t="shared" ref="M254" si="1945">IF(AE259&gt;0,(AE254/AE259),0)</f>
        <v>0</v>
      </c>
      <c r="N254" s="830">
        <f t="shared" ref="N254" si="1946">IF(AF259&gt;0,(AF254/AF259),0)</f>
        <v>0</v>
      </c>
      <c r="O254" s="829">
        <f t="shared" ref="O254" si="1947">IF(AG259&gt;0,(AG254/AG259),0)</f>
        <v>0</v>
      </c>
      <c r="P254" s="829">
        <f t="shared" ref="P254" si="1948">IF(AH259&gt;0,(AH254/AH259),0)</f>
        <v>0</v>
      </c>
      <c r="Q254" s="830">
        <f t="shared" ref="Q254" si="1949">IF(AI259&gt;0,(AI254/AI259),0)</f>
        <v>0</v>
      </c>
      <c r="R254" s="831">
        <f t="shared" ref="R254" si="1950">IF(AJ259&gt;0,(AJ254/AJ259),0)</f>
        <v>0</v>
      </c>
      <c r="S254" s="829">
        <f t="shared" ref="S254" si="1951">IF(AK259&gt;0,(AK254/AK259),0)</f>
        <v>0</v>
      </c>
      <c r="U254" s="349">
        <v>811</v>
      </c>
      <c r="V254" s="349"/>
      <c r="W254" s="349">
        <v>469</v>
      </c>
      <c r="X254" s="349">
        <v>204</v>
      </c>
      <c r="Y254" s="349">
        <v>175</v>
      </c>
      <c r="Z254" s="349">
        <v>29</v>
      </c>
      <c r="AA254" s="803">
        <v>1688</v>
      </c>
      <c r="AB254" s="803"/>
      <c r="AC254" s="349"/>
      <c r="AD254" s="349"/>
      <c r="AE254" s="349"/>
      <c r="AF254" s="349"/>
      <c r="AG254" s="803"/>
      <c r="AH254" s="803"/>
      <c r="AI254" s="349"/>
      <c r="AJ254" s="812"/>
      <c r="AK254" s="803"/>
    </row>
    <row r="255" spans="1:37">
      <c r="A255" s="239"/>
      <c r="B255" s="239" t="s">
        <v>93</v>
      </c>
      <c r="C255" s="832">
        <f>IF(U259&gt;0,(U255/U259),0)</f>
        <v>0.29883040935672517</v>
      </c>
      <c r="D255" s="830">
        <f t="shared" ref="D255" si="1952">IF(V259&gt;0,(V255/V259),0)</f>
        <v>0</v>
      </c>
      <c r="E255" s="830">
        <f t="shared" ref="E255" si="1953">IF(W259&gt;0,(W255/W259),0)</f>
        <v>0.231353591160221</v>
      </c>
      <c r="F255" s="830">
        <f t="shared" ref="F255" si="1954">IF(X259&gt;0,(X255/X259),0)</f>
        <v>0.2597864768683274</v>
      </c>
      <c r="G255" s="830">
        <f t="shared" ref="G255" si="1955">IF(Y259&gt;0,(Y255/Y259),0)</f>
        <v>0.24888888888888888</v>
      </c>
      <c r="H255" s="830">
        <f t="shared" ref="H255" si="1956">IF(Z259&gt;0,(Z255/Z259),0)</f>
        <v>0.39374999999999999</v>
      </c>
      <c r="I255" s="832">
        <f t="shared" ref="I255" si="1957">IF(AA259&gt;0,(AA255/AA259),0)</f>
        <v>0.26951501154734409</v>
      </c>
      <c r="J255" s="832">
        <f t="shared" ref="J255" si="1958">IF(AB259&gt;0,(AB255/AB259),0)</f>
        <v>0</v>
      </c>
      <c r="K255" s="830">
        <f t="shared" ref="K255" si="1959">IF(AC259&gt;0,(AC255/AC259),0)</f>
        <v>0</v>
      </c>
      <c r="L255" s="830">
        <f t="shared" ref="L255" si="1960">IF(AD259&gt;0,(AD255/AD259),0)</f>
        <v>0</v>
      </c>
      <c r="M255" s="830">
        <f t="shared" ref="M255" si="1961">IF(AE259&gt;0,(AE255/AE259),0)</f>
        <v>0</v>
      </c>
      <c r="N255" s="830">
        <f t="shared" ref="N255" si="1962">IF(AF259&gt;0,(AF255/AF259),0)</f>
        <v>0</v>
      </c>
      <c r="O255" s="832">
        <f t="shared" ref="O255" si="1963">IF(AG259&gt;0,(AG255/AG259),0)</f>
        <v>0</v>
      </c>
      <c r="P255" s="832">
        <f t="shared" ref="P255" si="1964">IF(AH259&gt;0,(AH255/AH259),0)</f>
        <v>0</v>
      </c>
      <c r="Q255" s="830">
        <f t="shared" ref="Q255" si="1965">IF(AI259&gt;0,(AI255/AI259),0)</f>
        <v>0</v>
      </c>
      <c r="R255" s="833">
        <f t="shared" ref="R255" si="1966">IF(AJ259&gt;0,(AJ255/AJ259),0)</f>
        <v>0</v>
      </c>
      <c r="S255" s="832">
        <f t="shared" ref="S255" si="1967">IF(AK259&gt;0,(AK255/AK259),0)</f>
        <v>0</v>
      </c>
      <c r="U255" s="349">
        <v>511</v>
      </c>
      <c r="V255" s="349"/>
      <c r="W255" s="349">
        <v>335</v>
      </c>
      <c r="X255" s="349">
        <v>146</v>
      </c>
      <c r="Y255" s="349">
        <v>112</v>
      </c>
      <c r="Z255" s="349">
        <v>63</v>
      </c>
      <c r="AA255" s="804">
        <v>1167</v>
      </c>
      <c r="AB255" s="804"/>
      <c r="AC255" s="349"/>
      <c r="AD255" s="349"/>
      <c r="AE255" s="349"/>
      <c r="AF255" s="349"/>
      <c r="AG255" s="804"/>
      <c r="AH255" s="804"/>
      <c r="AI255" s="349"/>
      <c r="AJ255" s="813"/>
      <c r="AK255" s="804"/>
    </row>
    <row r="256" spans="1:37">
      <c r="A256" s="239"/>
      <c r="B256" s="239" t="s">
        <v>55</v>
      </c>
      <c r="C256" s="832">
        <f>IF(U259&gt;0,(U256/U259),0)</f>
        <v>0.21695906432748538</v>
      </c>
      <c r="D256" s="830">
        <f t="shared" ref="D256" si="1968">IF(V259&gt;0,(V256/V259),0)</f>
        <v>0</v>
      </c>
      <c r="E256" s="830">
        <f t="shared" ref="E256" si="1969">IF(W259&gt;0,(W256/W259),0)</f>
        <v>0.35704419889502764</v>
      </c>
      <c r="F256" s="830">
        <f t="shared" ref="F256" si="1970">IF(X259&gt;0,(X256/X259),0)</f>
        <v>0.32562277580071175</v>
      </c>
      <c r="G256" s="830">
        <f t="shared" ref="G256" si="1971">IF(Y259&gt;0,(Y256/Y259),0)</f>
        <v>0.27555555555555555</v>
      </c>
      <c r="H256" s="830">
        <f t="shared" ref="H256" si="1972">IF(Z259&gt;0,(Z256/Z259),0)</f>
        <v>0.33750000000000002</v>
      </c>
      <c r="I256" s="832">
        <f t="shared" ref="I256" si="1973">IF(AA259&gt;0,(AA256/AA259),0)</f>
        <v>0.28845265588914548</v>
      </c>
      <c r="J256" s="832">
        <f t="shared" ref="J256" si="1974">IF(AB259&gt;0,(AB256/AB259),0)</f>
        <v>0</v>
      </c>
      <c r="K256" s="830">
        <f t="shared" ref="K256" si="1975">IF(AC259&gt;0,(AC256/AC259),0)</f>
        <v>0</v>
      </c>
      <c r="L256" s="830">
        <f t="shared" ref="L256" si="1976">IF(AD259&gt;0,(AD256/AD259),0)</f>
        <v>0</v>
      </c>
      <c r="M256" s="830">
        <f t="shared" ref="M256" si="1977">IF(AE259&gt;0,(AE256/AE259),0)</f>
        <v>0</v>
      </c>
      <c r="N256" s="830">
        <f t="shared" ref="N256" si="1978">IF(AF259&gt;0,(AF256/AF259),0)</f>
        <v>0</v>
      </c>
      <c r="O256" s="832">
        <f t="shared" ref="O256" si="1979">IF(AG259&gt;0,(AG256/AG259),0)</f>
        <v>0</v>
      </c>
      <c r="P256" s="832">
        <f t="shared" ref="P256" si="1980">IF(AH259&gt;0,(AH256/AH259),0)</f>
        <v>0</v>
      </c>
      <c r="Q256" s="830">
        <f t="shared" ref="Q256" si="1981">IF(AI259&gt;0,(AI256/AI259),0)</f>
        <v>0</v>
      </c>
      <c r="R256" s="833">
        <f t="shared" ref="R256" si="1982">IF(AJ259&gt;0,(AJ256/AJ259),0)</f>
        <v>0</v>
      </c>
      <c r="S256" s="832">
        <f t="shared" ref="S256" si="1983">IF(AK259&gt;0,(AK256/AK259),0)</f>
        <v>0</v>
      </c>
      <c r="U256" s="349">
        <v>371</v>
      </c>
      <c r="V256" s="349"/>
      <c r="W256" s="349">
        <v>517</v>
      </c>
      <c r="X256" s="349">
        <v>183</v>
      </c>
      <c r="Y256" s="349">
        <v>124</v>
      </c>
      <c r="Z256" s="349">
        <v>54</v>
      </c>
      <c r="AA256" s="804">
        <v>1249</v>
      </c>
      <c r="AB256" s="804"/>
      <c r="AC256" s="349"/>
      <c r="AD256" s="349"/>
      <c r="AE256" s="349"/>
      <c r="AF256" s="349"/>
      <c r="AG256" s="804"/>
      <c r="AH256" s="804"/>
      <c r="AI256" s="349"/>
      <c r="AJ256" s="813"/>
      <c r="AK256" s="804"/>
    </row>
    <row r="257" spans="1:37">
      <c r="A257" s="239"/>
      <c r="B257" s="239" t="s">
        <v>78</v>
      </c>
      <c r="C257" s="832">
        <f>IF(U259&gt;0,(U257/U259),0)</f>
        <v>9.3567251461988306E-3</v>
      </c>
      <c r="D257" s="830">
        <f t="shared" ref="D257" si="1984">IF(V259&gt;0,(V257/V259),0)</f>
        <v>0</v>
      </c>
      <c r="E257" s="830">
        <f t="shared" ref="E257" si="1985">IF(W259&gt;0,(W257/W259),0)</f>
        <v>8.7707182320441987E-2</v>
      </c>
      <c r="F257" s="830">
        <f t="shared" ref="F257" si="1986">IF(X259&gt;0,(X257/X259),0)</f>
        <v>5.1601423487544484E-2</v>
      </c>
      <c r="G257" s="830">
        <f t="shared" ref="G257" si="1987">IF(Y259&gt;0,(Y257/Y259),0)</f>
        <v>8.666666666666667E-2</v>
      </c>
      <c r="H257" s="830">
        <f t="shared" ref="H257" si="1988">IF(Z259&gt;0,(Z257/Z259),0)</f>
        <v>8.7499999999999994E-2</v>
      </c>
      <c r="I257" s="832">
        <f t="shared" ref="I257" si="1989">IF(AA259&gt;0,(AA257/AA259),0)</f>
        <v>5.1963048498845268E-2</v>
      </c>
      <c r="J257" s="832">
        <f t="shared" ref="J257" si="1990">IF(AB259&gt;0,(AB257/AB259),0)</f>
        <v>0</v>
      </c>
      <c r="K257" s="830">
        <f t="shared" ref="K257" si="1991">IF(AC259&gt;0,(AC257/AC259),0)</f>
        <v>0</v>
      </c>
      <c r="L257" s="830">
        <f t="shared" ref="L257" si="1992">IF(AD259&gt;0,(AD257/AD259),0)</f>
        <v>0</v>
      </c>
      <c r="M257" s="830">
        <f t="shared" ref="M257" si="1993">IF(AE259&gt;0,(AE257/AE259),0)</f>
        <v>0</v>
      </c>
      <c r="N257" s="830">
        <f t="shared" ref="N257" si="1994">IF(AF259&gt;0,(AF257/AF259),0)</f>
        <v>0</v>
      </c>
      <c r="O257" s="832">
        <f t="shared" ref="O257" si="1995">IF(AG259&gt;0,(AG257/AG259),0)</f>
        <v>0</v>
      </c>
      <c r="P257" s="832">
        <f t="shared" ref="P257" si="1996">IF(AH259&gt;0,(AH257/AH259),0)</f>
        <v>0</v>
      </c>
      <c r="Q257" s="830">
        <f t="shared" ref="Q257" si="1997">IF(AI259&gt;0,(AI257/AI259),0)</f>
        <v>0</v>
      </c>
      <c r="R257" s="833">
        <f t="shared" ref="R257" si="1998">IF(AJ259&gt;0,(AJ257/AJ259),0)</f>
        <v>0</v>
      </c>
      <c r="S257" s="832">
        <f t="shared" ref="S257" si="1999">IF(AK259&gt;0,(AK257/AK259),0)</f>
        <v>0</v>
      </c>
      <c r="U257" s="349">
        <v>16</v>
      </c>
      <c r="V257" s="349"/>
      <c r="W257" s="349">
        <v>127</v>
      </c>
      <c r="X257" s="349">
        <v>29</v>
      </c>
      <c r="Y257" s="349">
        <v>39</v>
      </c>
      <c r="Z257" s="349">
        <v>14</v>
      </c>
      <c r="AA257" s="804">
        <v>225</v>
      </c>
      <c r="AB257" s="804"/>
      <c r="AC257" s="349"/>
      <c r="AD257" s="349"/>
      <c r="AE257" s="349"/>
      <c r="AF257" s="349"/>
      <c r="AG257" s="804"/>
      <c r="AH257" s="804"/>
      <c r="AI257" s="349"/>
      <c r="AJ257" s="813"/>
      <c r="AK257" s="804"/>
    </row>
    <row r="258" spans="1:37">
      <c r="A258" s="580"/>
      <c r="B258" s="580" t="s">
        <v>131</v>
      </c>
      <c r="C258" s="832">
        <f>IF(U259&gt;0,(U258/U259),0)</f>
        <v>5.8479532163742691E-4</v>
      </c>
      <c r="D258" s="830">
        <f t="shared" ref="D258" si="2000">IF(V259&gt;0,(V258/V259),0)</f>
        <v>0</v>
      </c>
      <c r="E258" s="830">
        <f t="shared" ref="E258" si="2001">IF(W259&gt;0,(W258/W259),0)</f>
        <v>0</v>
      </c>
      <c r="F258" s="830">
        <f t="shared" ref="F258" si="2002">IF(X259&gt;0,(X258/X259),0)</f>
        <v>0</v>
      </c>
      <c r="G258" s="830">
        <f t="shared" ref="G258" si="2003">IF(Y259&gt;0,(Y258/Y259),0)</f>
        <v>0</v>
      </c>
      <c r="H258" s="830">
        <f t="shared" ref="H258" si="2004">IF(Z259&gt;0,(Z258/Z259),0)</f>
        <v>0</v>
      </c>
      <c r="I258" s="832">
        <f t="shared" ref="I258" si="2005">IF(AA259&gt;0,(AA258/AA259),0)</f>
        <v>2.3094688221709007E-4</v>
      </c>
      <c r="J258" s="832">
        <f t="shared" ref="J258" si="2006">IF(AB259&gt;0,(AB258/AB259),0)</f>
        <v>0</v>
      </c>
      <c r="K258" s="830">
        <f t="shared" ref="K258" si="2007">IF(AC259&gt;0,(AC258/AC259),0)</f>
        <v>1</v>
      </c>
      <c r="L258" s="830">
        <f t="shared" ref="L258" si="2008">IF(AD259&gt;0,(AD258/AD259),0)</f>
        <v>1</v>
      </c>
      <c r="M258" s="830">
        <f t="shared" ref="M258" si="2009">IF(AE259&gt;0,(AE258/AE259),0)</f>
        <v>1</v>
      </c>
      <c r="N258" s="830">
        <f t="shared" ref="N258" si="2010">IF(AF259&gt;0,(AF258/AF259),0)</f>
        <v>0</v>
      </c>
      <c r="O258" s="832">
        <f t="shared" ref="O258" si="2011">IF(AG259&gt;0,(AG258/AG259),0)</f>
        <v>1</v>
      </c>
      <c r="P258" s="832">
        <f t="shared" ref="P258" si="2012">IF(AH259&gt;0,(AH258/AH259),0)</f>
        <v>0</v>
      </c>
      <c r="Q258" s="830">
        <f t="shared" ref="Q258" si="2013">IF(AI259&gt;0,(AI258/AI259),0)</f>
        <v>0</v>
      </c>
      <c r="R258" s="833">
        <f t="shared" ref="R258" si="2014">IF(AJ259&gt;0,(AJ258/AJ259),0)</f>
        <v>0</v>
      </c>
      <c r="S258" s="832">
        <f t="shared" ref="S258" si="2015">IF(AK259&gt;0,(AK258/AK259),0)</f>
        <v>0</v>
      </c>
      <c r="U258" s="349">
        <v>1</v>
      </c>
      <c r="V258" s="349"/>
      <c r="W258" s="349"/>
      <c r="X258" s="349"/>
      <c r="Y258" s="349"/>
      <c r="Z258" s="349"/>
      <c r="AA258" s="804">
        <v>1</v>
      </c>
      <c r="AB258" s="804"/>
      <c r="AC258" s="349">
        <v>372</v>
      </c>
      <c r="AD258" s="349">
        <v>1769</v>
      </c>
      <c r="AE258" s="349">
        <v>476</v>
      </c>
      <c r="AF258" s="349"/>
      <c r="AG258" s="804">
        <v>2617</v>
      </c>
      <c r="AH258" s="804"/>
      <c r="AI258" s="349"/>
      <c r="AJ258" s="813"/>
      <c r="AK258" s="804"/>
    </row>
    <row r="259" spans="1:37">
      <c r="A259" s="436"/>
      <c r="B259" s="436" t="s">
        <v>59</v>
      </c>
      <c r="C259" s="834">
        <f>IF(U259&gt;0,(U259/U259),0)</f>
        <v>1</v>
      </c>
      <c r="D259" s="835">
        <f t="shared" ref="D259" si="2016">IF(V259&gt;0,(V259/V259),0)</f>
        <v>0</v>
      </c>
      <c r="E259" s="835">
        <f t="shared" ref="E259" si="2017">IF(W259&gt;0,(W259/W259),0)</f>
        <v>1</v>
      </c>
      <c r="F259" s="835">
        <f t="shared" ref="F259" si="2018">IF(X259&gt;0,(X259/X259),0)</f>
        <v>1</v>
      </c>
      <c r="G259" s="835">
        <f t="shared" ref="G259" si="2019">IF(Y259&gt;0,(Y259/Y259),0)</f>
        <v>1</v>
      </c>
      <c r="H259" s="835">
        <f t="shared" ref="H259" si="2020">IF(Z259&gt;0,(Z259/Z259),0)</f>
        <v>1</v>
      </c>
      <c r="I259" s="834">
        <f t="shared" ref="I259" si="2021">IF(AA259&gt;0,(AA259/AA259),0)</f>
        <v>1</v>
      </c>
      <c r="J259" s="834">
        <f t="shared" ref="J259" si="2022">IF(AB259&gt;0,(AB259/AB259),0)</f>
        <v>0</v>
      </c>
      <c r="K259" s="835">
        <f t="shared" ref="K259" si="2023">IF(AC259&gt;0,(AC259/AC259),0)</f>
        <v>1</v>
      </c>
      <c r="L259" s="835">
        <f t="shared" ref="L259" si="2024">IF(AD259&gt;0,(AD259/AD259),0)</f>
        <v>1</v>
      </c>
      <c r="M259" s="835">
        <f t="shared" ref="M259" si="2025">IF(AE259&gt;0,(AE259/AE259),0)</f>
        <v>1</v>
      </c>
      <c r="N259" s="835">
        <f t="shared" ref="N259" si="2026">IF(AF259&gt;0,(AF259/AF259),0)</f>
        <v>0</v>
      </c>
      <c r="O259" s="834">
        <f t="shared" ref="O259" si="2027">IF(AG259&gt;0,(AG259/AG259),0)</f>
        <v>1</v>
      </c>
      <c r="P259" s="834">
        <f t="shared" ref="P259" si="2028">IF(AH259&gt;0,(AH259/AH259),0)</f>
        <v>0</v>
      </c>
      <c r="Q259" s="835">
        <f t="shared" ref="Q259" si="2029">IF(AI259&gt;0,(AI259/AI259),0)</f>
        <v>0</v>
      </c>
      <c r="R259" s="836">
        <f t="shared" ref="R259" si="2030">IF(AJ259&gt;0,(AJ259/AJ259),0)</f>
        <v>0</v>
      </c>
      <c r="S259" s="834">
        <f t="shared" ref="S259" si="2031">IF(AK259&gt;0,(AK259/AK259),0)</f>
        <v>0</v>
      </c>
      <c r="U259" s="816">
        <v>1710</v>
      </c>
      <c r="V259" s="816"/>
      <c r="W259" s="816">
        <v>1448</v>
      </c>
      <c r="X259" s="816">
        <v>562</v>
      </c>
      <c r="Y259" s="816">
        <v>450</v>
      </c>
      <c r="Z259" s="816">
        <v>160</v>
      </c>
      <c r="AA259" s="805">
        <v>4330</v>
      </c>
      <c r="AB259" s="805"/>
      <c r="AC259" s="816">
        <v>372</v>
      </c>
      <c r="AD259" s="816">
        <v>1769</v>
      </c>
      <c r="AE259" s="816">
        <v>476</v>
      </c>
      <c r="AF259" s="816"/>
      <c r="AG259" s="805">
        <v>2617</v>
      </c>
      <c r="AH259" s="805"/>
      <c r="AI259" s="816"/>
      <c r="AJ259" s="817"/>
      <c r="AK259" s="805"/>
    </row>
    <row r="260" spans="1:37">
      <c r="A260" s="240" t="s">
        <v>151</v>
      </c>
      <c r="B260" s="240" t="s">
        <v>53</v>
      </c>
      <c r="C260" s="829">
        <f>IF(U265&gt;0,(U260/U265),0)</f>
        <v>0.27272727272727271</v>
      </c>
      <c r="D260" s="830">
        <f t="shared" ref="D260" si="2032">IF(V265&gt;0,(V260/V265),0)</f>
        <v>0.21526586620926244</v>
      </c>
      <c r="E260" s="830">
        <f t="shared" ref="E260" si="2033">IF(W265&gt;0,(W260/W265),0)</f>
        <v>0.33503836317135549</v>
      </c>
      <c r="F260" s="830">
        <f t="shared" ref="F260" si="2034">IF(X265&gt;0,(X260/X265),0)</f>
        <v>0.31562740569668979</v>
      </c>
      <c r="G260" s="830">
        <f t="shared" ref="G260" si="2035">IF(Y265&gt;0,(Y260/Y265),0)</f>
        <v>0.2558139534883721</v>
      </c>
      <c r="H260" s="830">
        <f t="shared" ref="H260" si="2036">IF(Z265&gt;0,(Z260/Z265),0)</f>
        <v>0.2595936794582393</v>
      </c>
      <c r="I260" s="829">
        <f t="shared" ref="I260" si="2037">IF(AA265&gt;0,(AA260/AA265),0)</f>
        <v>0.28253736784542471</v>
      </c>
      <c r="J260" s="829">
        <f t="shared" ref="J260" si="2038">IF(AB265&gt;0,(AB260/AB265),0)</f>
        <v>0</v>
      </c>
      <c r="K260" s="830">
        <f t="shared" ref="K260" si="2039">IF(AC265&gt;0,(AC260/AC265),0)</f>
        <v>0.22727272727272727</v>
      </c>
      <c r="L260" s="830">
        <f t="shared" ref="L260" si="2040">IF(AD265&gt;0,(AD260/AD265),0)</f>
        <v>0.16324435318275154</v>
      </c>
      <c r="M260" s="830">
        <f t="shared" ref="M260" si="2041">IF(AE265&gt;0,(AE260/AE265),0)</f>
        <v>2.0242914979757085E-2</v>
      </c>
      <c r="N260" s="830">
        <f t="shared" ref="N260" si="2042">IF(AF265&gt;0,(AF260/AF265),0)</f>
        <v>0</v>
      </c>
      <c r="O260" s="829">
        <f t="shared" ref="O260" si="2043">IF(AG265&gt;0,(AG260/AG265),0)</f>
        <v>0.15409413281753706</v>
      </c>
      <c r="P260" s="829">
        <f t="shared" ref="P260" si="2044">IF(AH265&gt;0,(AH260/AH265),0)</f>
        <v>0</v>
      </c>
      <c r="Q260" s="830">
        <f t="shared" ref="Q260" si="2045">IF(AI265&gt;0,(AI260/AI265),0)</f>
        <v>0</v>
      </c>
      <c r="R260" s="831">
        <f t="shared" ref="R260" si="2046">IF(AJ265&gt;0,(AJ260/AJ265),0)</f>
        <v>0</v>
      </c>
      <c r="S260" s="829">
        <f t="shared" ref="S260" si="2047">IF(AK265&gt;0,(AK260/AK265),0)</f>
        <v>0</v>
      </c>
      <c r="U260" s="349">
        <v>348</v>
      </c>
      <c r="V260" s="349">
        <v>251</v>
      </c>
      <c r="W260" s="349">
        <v>393</v>
      </c>
      <c r="X260" s="349">
        <v>410</v>
      </c>
      <c r="Y260" s="349">
        <v>33</v>
      </c>
      <c r="Z260" s="349">
        <v>115</v>
      </c>
      <c r="AA260" s="803">
        <v>1550</v>
      </c>
      <c r="AB260" s="803"/>
      <c r="AC260" s="349">
        <v>75</v>
      </c>
      <c r="AD260" s="349">
        <v>159</v>
      </c>
      <c r="AE260" s="349">
        <v>5</v>
      </c>
      <c r="AF260" s="349"/>
      <c r="AG260" s="803">
        <v>239</v>
      </c>
      <c r="AH260" s="803"/>
      <c r="AI260" s="349"/>
      <c r="AJ260" s="812"/>
      <c r="AK260" s="803"/>
    </row>
    <row r="261" spans="1:37">
      <c r="A261" s="239"/>
      <c r="B261" s="239" t="s">
        <v>93</v>
      </c>
      <c r="C261" s="832">
        <f>IF(U265&gt;0,(U261/U265),0)</f>
        <v>0.26959247648902823</v>
      </c>
      <c r="D261" s="830">
        <f t="shared" ref="D261" si="2048">IF(V265&gt;0,(V261/V265),0)</f>
        <v>0.27873070325900512</v>
      </c>
      <c r="E261" s="830">
        <f t="shared" ref="E261" si="2049">IF(W265&gt;0,(W261/W265),0)</f>
        <v>0.22506393861892582</v>
      </c>
      <c r="F261" s="830">
        <f t="shared" ref="F261" si="2050">IF(X265&gt;0,(X261/X265),0)</f>
        <v>0.25866050808314089</v>
      </c>
      <c r="G261" s="830">
        <f t="shared" ref="G261" si="2051">IF(Y265&gt;0,(Y261/Y265),0)</f>
        <v>0.21705426356589147</v>
      </c>
      <c r="H261" s="830">
        <f t="shared" ref="H261" si="2052">IF(Z265&gt;0,(Z261/Z265),0)</f>
        <v>0.26636568848758463</v>
      </c>
      <c r="I261" s="832">
        <f t="shared" ref="I261" si="2053">IF(AA265&gt;0,(AA261/AA265),0)</f>
        <v>0.25792927451695224</v>
      </c>
      <c r="J261" s="832">
        <f t="shared" ref="J261" si="2054">IF(AB265&gt;0,(AB261/AB265),0)</f>
        <v>0</v>
      </c>
      <c r="K261" s="830">
        <f t="shared" ref="K261" si="2055">IF(AC265&gt;0,(AC261/AC265),0)</f>
        <v>0.1393939393939394</v>
      </c>
      <c r="L261" s="830">
        <f t="shared" ref="L261" si="2056">IF(AD265&gt;0,(AD261/AD265),0)</f>
        <v>0.14989733059548255</v>
      </c>
      <c r="M261" s="830">
        <f t="shared" ref="M261" si="2057">IF(AE265&gt;0,(AE261/AE265),0)</f>
        <v>8.0971659919028341E-3</v>
      </c>
      <c r="N261" s="830">
        <f t="shared" ref="N261" si="2058">IF(AF265&gt;0,(AF261/AF265),0)</f>
        <v>0</v>
      </c>
      <c r="O261" s="832">
        <f t="shared" ref="O261" si="2059">IF(AG265&gt;0,(AG261/AG265),0)</f>
        <v>0.12508059316569956</v>
      </c>
      <c r="P261" s="832">
        <f t="shared" ref="P261" si="2060">IF(AH265&gt;0,(AH261/AH265),0)</f>
        <v>0</v>
      </c>
      <c r="Q261" s="830">
        <f t="shared" ref="Q261" si="2061">IF(AI265&gt;0,(AI261/AI265),0)</f>
        <v>0</v>
      </c>
      <c r="R261" s="833">
        <f t="shared" ref="R261" si="2062">IF(AJ265&gt;0,(AJ261/AJ265),0)</f>
        <v>0</v>
      </c>
      <c r="S261" s="832">
        <f t="shared" ref="S261" si="2063">IF(AK265&gt;0,(AK261/AK265),0)</f>
        <v>0</v>
      </c>
      <c r="U261" s="349">
        <v>344</v>
      </c>
      <c r="V261" s="349">
        <v>325</v>
      </c>
      <c r="W261" s="349">
        <v>264</v>
      </c>
      <c r="X261" s="349">
        <v>336</v>
      </c>
      <c r="Y261" s="349">
        <v>28</v>
      </c>
      <c r="Z261" s="349">
        <v>118</v>
      </c>
      <c r="AA261" s="804">
        <v>1415</v>
      </c>
      <c r="AB261" s="804"/>
      <c r="AC261" s="349">
        <v>46</v>
      </c>
      <c r="AD261" s="349">
        <v>146</v>
      </c>
      <c r="AE261" s="349">
        <v>2</v>
      </c>
      <c r="AF261" s="349"/>
      <c r="AG261" s="804">
        <v>194</v>
      </c>
      <c r="AH261" s="804"/>
      <c r="AI261" s="349"/>
      <c r="AJ261" s="813"/>
      <c r="AK261" s="804"/>
    </row>
    <row r="262" spans="1:37">
      <c r="A262" s="239"/>
      <c r="B262" s="239" t="s">
        <v>55</v>
      </c>
      <c r="C262" s="832">
        <f>IF(U265&gt;0,(U262/U265),0)</f>
        <v>0.31034482758620691</v>
      </c>
      <c r="D262" s="830">
        <f t="shared" ref="D262" si="2064">IF(V265&gt;0,(V262/V265),0)</f>
        <v>0.26843910806174959</v>
      </c>
      <c r="E262" s="830">
        <f t="shared" ref="E262" si="2065">IF(W265&gt;0,(W262/W265),0)</f>
        <v>0.25660699062233588</v>
      </c>
      <c r="F262" s="830">
        <f t="shared" ref="F262" si="2066">IF(X265&gt;0,(X262/X265),0)</f>
        <v>0.23787528868360278</v>
      </c>
      <c r="G262" s="830">
        <f t="shared" ref="G262" si="2067">IF(Y265&gt;0,(Y262/Y265),0)</f>
        <v>0.4263565891472868</v>
      </c>
      <c r="H262" s="830">
        <f t="shared" ref="H262" si="2068">IF(Z265&gt;0,(Z262/Z265),0)</f>
        <v>0.30925507900677202</v>
      </c>
      <c r="I262" s="832">
        <f t="shared" ref="I262" si="2069">IF(AA265&gt;0,(AA262/AA265),0)</f>
        <v>0.2754283631060882</v>
      </c>
      <c r="J262" s="832">
        <f t="shared" ref="J262" si="2070">IF(AB265&gt;0,(AB262/AB265),0)</f>
        <v>0</v>
      </c>
      <c r="K262" s="830">
        <f t="shared" ref="K262" si="2071">IF(AC265&gt;0,(AC262/AC265),0)</f>
        <v>0.14242424242424243</v>
      </c>
      <c r="L262" s="830">
        <f t="shared" ref="L262" si="2072">IF(AD265&gt;0,(AD262/AD265),0)</f>
        <v>0.13039014373716631</v>
      </c>
      <c r="M262" s="830">
        <f t="shared" ref="M262" si="2073">IF(AE265&gt;0,(AE262/AE265),0)</f>
        <v>6.4777327935222673E-2</v>
      </c>
      <c r="N262" s="830">
        <f t="shared" ref="N262" si="2074">IF(AF265&gt;0,(AF262/AF265),0)</f>
        <v>0</v>
      </c>
      <c r="O262" s="832">
        <f t="shared" ref="O262" si="2075">IF(AG265&gt;0,(AG262/AG265),0)</f>
        <v>0.12250161186331399</v>
      </c>
      <c r="P262" s="832">
        <f t="shared" ref="P262" si="2076">IF(AH265&gt;0,(AH262/AH265),0)</f>
        <v>0</v>
      </c>
      <c r="Q262" s="830">
        <f t="shared" ref="Q262" si="2077">IF(AI265&gt;0,(AI262/AI265),0)</f>
        <v>0</v>
      </c>
      <c r="R262" s="833">
        <f t="shared" ref="R262" si="2078">IF(AJ265&gt;0,(AJ262/AJ265),0)</f>
        <v>0</v>
      </c>
      <c r="S262" s="832">
        <f t="shared" ref="S262" si="2079">IF(AK265&gt;0,(AK262/AK265),0)</f>
        <v>0</v>
      </c>
      <c r="U262" s="349">
        <v>396</v>
      </c>
      <c r="V262" s="349">
        <v>313</v>
      </c>
      <c r="W262" s="349">
        <v>301</v>
      </c>
      <c r="X262" s="349">
        <v>309</v>
      </c>
      <c r="Y262" s="349">
        <v>55</v>
      </c>
      <c r="Z262" s="349">
        <v>137</v>
      </c>
      <c r="AA262" s="804">
        <v>1511</v>
      </c>
      <c r="AB262" s="804"/>
      <c r="AC262" s="349">
        <v>47</v>
      </c>
      <c r="AD262" s="349">
        <v>127</v>
      </c>
      <c r="AE262" s="349">
        <v>16</v>
      </c>
      <c r="AF262" s="349"/>
      <c r="AG262" s="804">
        <v>190</v>
      </c>
      <c r="AH262" s="804"/>
      <c r="AI262" s="349"/>
      <c r="AJ262" s="813"/>
      <c r="AK262" s="804"/>
    </row>
    <row r="263" spans="1:37">
      <c r="A263" s="239"/>
      <c r="B263" s="239" t="s">
        <v>78</v>
      </c>
      <c r="C263" s="832">
        <f>IF(U265&gt;0,(U263/U265),0)</f>
        <v>8.0721003134796243E-2</v>
      </c>
      <c r="D263" s="830">
        <f t="shared" ref="D263" si="2080">IF(V265&gt;0,(V263/V265),0)</f>
        <v>4.8027444253859346E-2</v>
      </c>
      <c r="E263" s="830">
        <f t="shared" ref="E263" si="2081">IF(W265&gt;0,(W263/W265),0)</f>
        <v>7.5873827791986356E-2</v>
      </c>
      <c r="F263" s="830">
        <f t="shared" ref="F263" si="2082">IF(X265&gt;0,(X263/X265),0)</f>
        <v>0.15627405696689761</v>
      </c>
      <c r="G263" s="830">
        <f t="shared" ref="G263" si="2083">IF(Y265&gt;0,(Y263/Y265),0)</f>
        <v>0.10077519379844961</v>
      </c>
      <c r="H263" s="830">
        <f t="shared" ref="H263" si="2084">IF(Z265&gt;0,(Z263/Z265),0)</f>
        <v>0.16252821670428894</v>
      </c>
      <c r="I263" s="832">
        <f t="shared" ref="I263" si="2085">IF(AA265&gt;0,(AA263/AA265),0)</f>
        <v>9.7703244622675905E-2</v>
      </c>
      <c r="J263" s="832">
        <f t="shared" ref="J263" si="2086">IF(AB265&gt;0,(AB263/AB265),0)</f>
        <v>0</v>
      </c>
      <c r="K263" s="830">
        <f t="shared" ref="K263" si="2087">IF(AC265&gt;0,(AC263/AC265),0)</f>
        <v>0.49090909090909091</v>
      </c>
      <c r="L263" s="830">
        <f t="shared" ref="L263" si="2088">IF(AD265&gt;0,(AD263/AD265),0)</f>
        <v>0.2433264887063655</v>
      </c>
      <c r="M263" s="830">
        <f t="shared" ref="M263" si="2089">IF(AE265&gt;0,(AE263/AE265),0)</f>
        <v>0.39271255060728744</v>
      </c>
      <c r="N263" s="830">
        <f t="shared" ref="N263" si="2090">IF(AF265&gt;0,(AF263/AF265),0)</f>
        <v>0</v>
      </c>
      <c r="O263" s="832">
        <f t="shared" ref="O263" si="2091">IF(AG265&gt;0,(AG263/AG265),0)</f>
        <v>0.31979368149580917</v>
      </c>
      <c r="P263" s="832">
        <f t="shared" ref="P263" si="2092">IF(AH265&gt;0,(AH263/AH265),0)</f>
        <v>0</v>
      </c>
      <c r="Q263" s="830">
        <f t="shared" ref="Q263" si="2093">IF(AI265&gt;0,(AI263/AI265),0)</f>
        <v>0</v>
      </c>
      <c r="R263" s="833">
        <f t="shared" ref="R263" si="2094">IF(AJ265&gt;0,(AJ263/AJ265),0)</f>
        <v>0</v>
      </c>
      <c r="S263" s="832">
        <f t="shared" ref="S263" si="2095">IF(AK265&gt;0,(AK263/AK265),0)</f>
        <v>0</v>
      </c>
      <c r="U263" s="349">
        <v>103</v>
      </c>
      <c r="V263" s="349">
        <v>56</v>
      </c>
      <c r="W263" s="349">
        <v>89</v>
      </c>
      <c r="X263" s="349">
        <v>203</v>
      </c>
      <c r="Y263" s="349">
        <v>13</v>
      </c>
      <c r="Z263" s="349">
        <v>72</v>
      </c>
      <c r="AA263" s="804">
        <v>536</v>
      </c>
      <c r="AB263" s="804"/>
      <c r="AC263" s="349">
        <v>162</v>
      </c>
      <c r="AD263" s="349">
        <v>237</v>
      </c>
      <c r="AE263" s="349">
        <v>97</v>
      </c>
      <c r="AF263" s="349"/>
      <c r="AG263" s="804">
        <v>496</v>
      </c>
      <c r="AH263" s="804"/>
      <c r="AI263" s="349"/>
      <c r="AJ263" s="813"/>
      <c r="AK263" s="804"/>
    </row>
    <row r="264" spans="1:37">
      <c r="A264" s="580"/>
      <c r="B264" s="580" t="s">
        <v>131</v>
      </c>
      <c r="C264" s="832">
        <f>IF(U265&gt;0,(U264/U265),0)</f>
        <v>6.6614420062695925E-2</v>
      </c>
      <c r="D264" s="830">
        <f t="shared" ref="D264" si="2096">IF(V265&gt;0,(V264/V265),0)</f>
        <v>0.1895368782161235</v>
      </c>
      <c r="E264" s="830">
        <f t="shared" ref="E264" si="2097">IF(W265&gt;0,(W264/W265),0)</f>
        <v>0.10741687979539642</v>
      </c>
      <c r="F264" s="830">
        <f t="shared" ref="F264" si="2098">IF(X265&gt;0,(X264/X265),0)</f>
        <v>3.1562740569668978E-2</v>
      </c>
      <c r="G264" s="830">
        <f t="shared" ref="G264" si="2099">IF(Y265&gt;0,(Y264/Y265),0)</f>
        <v>0</v>
      </c>
      <c r="H264" s="830">
        <f t="shared" ref="H264" si="2100">IF(Z265&gt;0,(Z264/Z265),0)</f>
        <v>2.257336343115124E-3</v>
      </c>
      <c r="I264" s="832">
        <f t="shared" ref="I264" si="2101">IF(AA265&gt;0,(AA264/AA265),0)</f>
        <v>8.6401749908858919E-2</v>
      </c>
      <c r="J264" s="832">
        <f t="shared" ref="J264" si="2102">IF(AB265&gt;0,(AB264/AB265),0)</f>
        <v>0</v>
      </c>
      <c r="K264" s="830">
        <f t="shared" ref="K264" si="2103">IF(AC265&gt;0,(AC264/AC265),0)</f>
        <v>0</v>
      </c>
      <c r="L264" s="830">
        <f t="shared" ref="L264" si="2104">IF(AD265&gt;0,(AD264/AD265),0)</f>
        <v>0.31314168377823409</v>
      </c>
      <c r="M264" s="830">
        <f t="shared" ref="M264" si="2105">IF(AE265&gt;0,(AE264/AE265),0)</f>
        <v>0.51417004048582993</v>
      </c>
      <c r="N264" s="830">
        <f t="shared" ref="N264" si="2106">IF(AF265&gt;0,(AF264/AF265),0)</f>
        <v>0</v>
      </c>
      <c r="O264" s="832">
        <f t="shared" ref="O264" si="2107">IF(AG265&gt;0,(AG264/AG265),0)</f>
        <v>0.27852998065764023</v>
      </c>
      <c r="P264" s="832">
        <f t="shared" ref="P264" si="2108">IF(AH265&gt;0,(AH264/AH265),0)</f>
        <v>0</v>
      </c>
      <c r="Q264" s="830">
        <f t="shared" ref="Q264" si="2109">IF(AI265&gt;0,(AI264/AI265),0)</f>
        <v>0</v>
      </c>
      <c r="R264" s="833">
        <f t="shared" ref="R264" si="2110">IF(AJ265&gt;0,(AJ264/AJ265),0)</f>
        <v>0</v>
      </c>
      <c r="S264" s="832">
        <f t="shared" ref="S264" si="2111">IF(AK265&gt;0,(AK264/AK265),0)</f>
        <v>0</v>
      </c>
      <c r="U264" s="349">
        <v>85</v>
      </c>
      <c r="V264" s="349">
        <v>221</v>
      </c>
      <c r="W264" s="349">
        <v>126</v>
      </c>
      <c r="X264" s="349">
        <v>41</v>
      </c>
      <c r="Y264" s="349"/>
      <c r="Z264" s="349">
        <v>1</v>
      </c>
      <c r="AA264" s="804">
        <v>474</v>
      </c>
      <c r="AB264" s="804"/>
      <c r="AC264" s="349"/>
      <c r="AD264" s="349">
        <v>305</v>
      </c>
      <c r="AE264" s="349">
        <v>127</v>
      </c>
      <c r="AF264" s="349"/>
      <c r="AG264" s="804">
        <v>432</v>
      </c>
      <c r="AH264" s="804"/>
      <c r="AI264" s="349"/>
      <c r="AJ264" s="813"/>
      <c r="AK264" s="804"/>
    </row>
    <row r="265" spans="1:37">
      <c r="A265" s="436"/>
      <c r="B265" s="436" t="s">
        <v>59</v>
      </c>
      <c r="C265" s="834">
        <f>IF(U265&gt;0,(U265/U265),0)</f>
        <v>1</v>
      </c>
      <c r="D265" s="835">
        <f t="shared" ref="D265" si="2112">IF(V265&gt;0,(V265/V265),0)</f>
        <v>1</v>
      </c>
      <c r="E265" s="835">
        <f t="shared" ref="E265" si="2113">IF(W265&gt;0,(W265/W265),0)</f>
        <v>1</v>
      </c>
      <c r="F265" s="835">
        <f t="shared" ref="F265" si="2114">IF(X265&gt;0,(X265/X265),0)</f>
        <v>1</v>
      </c>
      <c r="G265" s="835">
        <f t="shared" ref="G265" si="2115">IF(Y265&gt;0,(Y265/Y265),0)</f>
        <v>1</v>
      </c>
      <c r="H265" s="835">
        <f t="shared" ref="H265" si="2116">IF(Z265&gt;0,(Z265/Z265),0)</f>
        <v>1</v>
      </c>
      <c r="I265" s="834">
        <f t="shared" ref="I265" si="2117">IF(AA265&gt;0,(AA265/AA265),0)</f>
        <v>1</v>
      </c>
      <c r="J265" s="834">
        <f t="shared" ref="J265" si="2118">IF(AB265&gt;0,(AB265/AB265),0)</f>
        <v>0</v>
      </c>
      <c r="K265" s="835">
        <f t="shared" ref="K265" si="2119">IF(AC265&gt;0,(AC265/AC265),0)</f>
        <v>1</v>
      </c>
      <c r="L265" s="835">
        <f t="shared" ref="L265" si="2120">IF(AD265&gt;0,(AD265/AD265),0)</f>
        <v>1</v>
      </c>
      <c r="M265" s="835">
        <f t="shared" ref="M265" si="2121">IF(AE265&gt;0,(AE265/AE265),0)</f>
        <v>1</v>
      </c>
      <c r="N265" s="835">
        <f t="shared" ref="N265" si="2122">IF(AF265&gt;0,(AF265/AF265),0)</f>
        <v>0</v>
      </c>
      <c r="O265" s="834">
        <f t="shared" ref="O265" si="2123">IF(AG265&gt;0,(AG265/AG265),0)</f>
        <v>1</v>
      </c>
      <c r="P265" s="834">
        <f t="shared" ref="P265" si="2124">IF(AH265&gt;0,(AH265/AH265),0)</f>
        <v>0</v>
      </c>
      <c r="Q265" s="835">
        <f t="shared" ref="Q265" si="2125">IF(AI265&gt;0,(AI265/AI265),0)</f>
        <v>0</v>
      </c>
      <c r="R265" s="836">
        <f t="shared" ref="R265" si="2126">IF(AJ265&gt;0,(AJ265/AJ265),0)</f>
        <v>0</v>
      </c>
      <c r="S265" s="834">
        <f t="shared" ref="S265" si="2127">IF(AK265&gt;0,(AK265/AK265),0)</f>
        <v>0</v>
      </c>
      <c r="U265" s="816">
        <v>1276</v>
      </c>
      <c r="V265" s="816">
        <v>1166</v>
      </c>
      <c r="W265" s="816">
        <v>1173</v>
      </c>
      <c r="X265" s="816">
        <v>1299</v>
      </c>
      <c r="Y265" s="816">
        <v>129</v>
      </c>
      <c r="Z265" s="816">
        <v>443</v>
      </c>
      <c r="AA265" s="805">
        <v>5486</v>
      </c>
      <c r="AB265" s="805"/>
      <c r="AC265" s="816">
        <v>330</v>
      </c>
      <c r="AD265" s="816">
        <v>974</v>
      </c>
      <c r="AE265" s="816">
        <v>247</v>
      </c>
      <c r="AF265" s="816"/>
      <c r="AG265" s="805">
        <v>1551</v>
      </c>
      <c r="AH265" s="805"/>
      <c r="AI265" s="816"/>
      <c r="AJ265" s="817"/>
      <c r="AK265" s="805"/>
    </row>
    <row r="266" spans="1:37">
      <c r="A266" s="240" t="s">
        <v>154</v>
      </c>
      <c r="B266" s="240" t="s">
        <v>53</v>
      </c>
      <c r="C266" s="829">
        <f>IF(U271&gt;0,(U266/U271),0)</f>
        <v>0.40583554376657827</v>
      </c>
      <c r="D266" s="830">
        <f t="shared" ref="D266" si="2128">IF(V271&gt;0,(V266/V271),0)</f>
        <v>0</v>
      </c>
      <c r="E266" s="830">
        <f t="shared" ref="E266" si="2129">IF(W271&gt;0,(W266/W271),0)</f>
        <v>0.31779661016949151</v>
      </c>
      <c r="F266" s="830">
        <f t="shared" ref="F266" si="2130">IF(X271&gt;0,(X266/X271),0)</f>
        <v>0.25362318840579712</v>
      </c>
      <c r="G266" s="830">
        <f t="shared" ref="G266" si="2131">IF(Y271&gt;0,(Y266/Y271),0)</f>
        <v>0.40112994350282488</v>
      </c>
      <c r="H266" s="830">
        <f t="shared" ref="H266" si="2132">IF(Z271&gt;0,(Z266/Z271),0)</f>
        <v>0</v>
      </c>
      <c r="I266" s="829">
        <f t="shared" ref="I266" si="2133">IF(AA271&gt;0,(AA266/AA271),0)</f>
        <v>0.35779398359161352</v>
      </c>
      <c r="J266" s="829">
        <f t="shared" ref="J266" si="2134">IF(AB271&gt;0,(AB266/AB271),0)</f>
        <v>0</v>
      </c>
      <c r="K266" s="830">
        <f t="shared" ref="K266" si="2135">IF(AC271&gt;0,(AC266/AC271),0)</f>
        <v>0</v>
      </c>
      <c r="L266" s="830">
        <f t="shared" ref="L266" si="2136">IF(AD271&gt;0,(AD266/AD271),0)</f>
        <v>0</v>
      </c>
      <c r="M266" s="830">
        <f t="shared" ref="M266" si="2137">IF(AE271&gt;0,(AE266/AE271),0)</f>
        <v>2.6845637583892617E-2</v>
      </c>
      <c r="N266" s="830">
        <f t="shared" ref="N266" si="2138">IF(AF271&gt;0,(AF266/AF271),0)</f>
        <v>0</v>
      </c>
      <c r="O266" s="829">
        <f t="shared" ref="O266" si="2139">IF(AG271&gt;0,(AG266/AG271),0)</f>
        <v>4.4296788482834993E-3</v>
      </c>
      <c r="P266" s="829">
        <f t="shared" ref="P266" si="2140">IF(AH271&gt;0,(AH266/AH271),0)</f>
        <v>0</v>
      </c>
      <c r="Q266" s="830">
        <f t="shared" ref="Q266" si="2141">IF(AI271&gt;0,(AI266/AI271),0)</f>
        <v>0</v>
      </c>
      <c r="R266" s="831">
        <f t="shared" ref="R266" si="2142">IF(AJ271&gt;0,(AJ266/AJ271),0)</f>
        <v>0</v>
      </c>
      <c r="S266" s="829">
        <f t="shared" ref="S266" si="2143">IF(AK271&gt;0,(AK266/AK271),0)</f>
        <v>0</v>
      </c>
      <c r="U266" s="349">
        <v>459</v>
      </c>
      <c r="V266" s="349"/>
      <c r="W266" s="349">
        <v>150</v>
      </c>
      <c r="X266" s="349">
        <v>105</v>
      </c>
      <c r="Y266" s="349">
        <v>71</v>
      </c>
      <c r="Z266" s="349"/>
      <c r="AA266" s="803">
        <v>785</v>
      </c>
      <c r="AB266" s="803"/>
      <c r="AC266" s="349"/>
      <c r="AD266" s="349"/>
      <c r="AE266" s="349">
        <v>4</v>
      </c>
      <c r="AF266" s="349"/>
      <c r="AG266" s="803">
        <v>4</v>
      </c>
      <c r="AH266" s="803"/>
      <c r="AI266" s="349"/>
      <c r="AJ266" s="812"/>
      <c r="AK266" s="803"/>
    </row>
    <row r="267" spans="1:37">
      <c r="A267" s="239"/>
      <c r="B267" s="239" t="s">
        <v>93</v>
      </c>
      <c r="C267" s="832">
        <f>IF(U271&gt;0,(U267/U271),0)</f>
        <v>0.28647214854111408</v>
      </c>
      <c r="D267" s="830">
        <f t="shared" ref="D267" si="2144">IF(V271&gt;0,(V267/V271),0)</f>
        <v>0</v>
      </c>
      <c r="E267" s="830">
        <f t="shared" ref="E267" si="2145">IF(W271&gt;0,(W267/W271),0)</f>
        <v>0.28813559322033899</v>
      </c>
      <c r="F267" s="830">
        <f t="shared" ref="F267" si="2146">IF(X271&gt;0,(X267/X271),0)</f>
        <v>0.29468599033816423</v>
      </c>
      <c r="G267" s="830">
        <f t="shared" ref="G267" si="2147">IF(Y271&gt;0,(Y267/Y271),0)</f>
        <v>0.21468926553672316</v>
      </c>
      <c r="H267" s="830">
        <f t="shared" ref="H267" si="2148">IF(Z271&gt;0,(Z267/Z271),0)</f>
        <v>0</v>
      </c>
      <c r="I267" s="832">
        <f t="shared" ref="I267" si="2149">IF(AA271&gt;0,(AA267/AA271),0)</f>
        <v>0.28258887876025524</v>
      </c>
      <c r="J267" s="832">
        <f t="shared" ref="J267" si="2150">IF(AB271&gt;0,(AB267/AB271),0)</f>
        <v>0</v>
      </c>
      <c r="K267" s="830">
        <f t="shared" ref="K267" si="2151">IF(AC271&gt;0,(AC267/AC271),0)</f>
        <v>0</v>
      </c>
      <c r="L267" s="830">
        <f t="shared" ref="L267" si="2152">IF(AD271&gt;0,(AD267/AD271),0)</f>
        <v>0</v>
      </c>
      <c r="M267" s="830">
        <f t="shared" ref="M267" si="2153">IF(AE271&gt;0,(AE267/AE271),0)</f>
        <v>1.3422818791946308E-2</v>
      </c>
      <c r="N267" s="830">
        <f t="shared" ref="N267" si="2154">IF(AF271&gt;0,(AF267/AF271),0)</f>
        <v>0</v>
      </c>
      <c r="O267" s="832">
        <f t="shared" ref="O267" si="2155">IF(AG271&gt;0,(AG267/AG271),0)</f>
        <v>2.2148394241417496E-3</v>
      </c>
      <c r="P267" s="832">
        <f t="shared" ref="P267" si="2156">IF(AH271&gt;0,(AH267/AH271),0)</f>
        <v>0</v>
      </c>
      <c r="Q267" s="830">
        <f t="shared" ref="Q267" si="2157">IF(AI271&gt;0,(AI267/AI271),0)</f>
        <v>0</v>
      </c>
      <c r="R267" s="833">
        <f t="shared" ref="R267" si="2158">IF(AJ271&gt;0,(AJ267/AJ271),0)</f>
        <v>0</v>
      </c>
      <c r="S267" s="832">
        <f t="shared" ref="S267" si="2159">IF(AK271&gt;0,(AK267/AK271),0)</f>
        <v>0</v>
      </c>
      <c r="U267" s="349">
        <v>324</v>
      </c>
      <c r="V267" s="349"/>
      <c r="W267" s="349">
        <v>136</v>
      </c>
      <c r="X267" s="349">
        <v>122</v>
      </c>
      <c r="Y267" s="349">
        <v>38</v>
      </c>
      <c r="Z267" s="349"/>
      <c r="AA267" s="804">
        <v>620</v>
      </c>
      <c r="AB267" s="804"/>
      <c r="AC267" s="349"/>
      <c r="AD267" s="349"/>
      <c r="AE267" s="349">
        <v>2</v>
      </c>
      <c r="AF267" s="349"/>
      <c r="AG267" s="804">
        <v>2</v>
      </c>
      <c r="AH267" s="804"/>
      <c r="AI267" s="349"/>
      <c r="AJ267" s="813"/>
      <c r="AK267" s="804"/>
    </row>
    <row r="268" spans="1:37">
      <c r="A268" s="239"/>
      <c r="B268" s="239" t="s">
        <v>55</v>
      </c>
      <c r="C268" s="832">
        <f>IF(U271&gt;0,(U268/U271),0)</f>
        <v>0.19098143236074269</v>
      </c>
      <c r="D268" s="830">
        <f t="shared" ref="D268" si="2160">IF(V271&gt;0,(V268/V271),0)</f>
        <v>0</v>
      </c>
      <c r="E268" s="830">
        <f t="shared" ref="E268" si="2161">IF(W271&gt;0,(W268/W271),0)</f>
        <v>0.27542372881355931</v>
      </c>
      <c r="F268" s="830">
        <f t="shared" ref="F268" si="2162">IF(X271&gt;0,(X268/X271),0)</f>
        <v>0.26570048309178745</v>
      </c>
      <c r="G268" s="830">
        <f t="shared" ref="G268" si="2163">IF(Y271&gt;0,(Y268/Y271),0)</f>
        <v>0.20338983050847459</v>
      </c>
      <c r="H268" s="830">
        <f t="shared" ref="H268" si="2164">IF(Z271&gt;0,(Z268/Z271),0)</f>
        <v>0</v>
      </c>
      <c r="I268" s="832">
        <f t="shared" ref="I268" si="2165">IF(AA271&gt;0,(AA268/AA271),0)</f>
        <v>0.22424794895168643</v>
      </c>
      <c r="J268" s="832">
        <f t="shared" ref="J268" si="2166">IF(AB271&gt;0,(AB268/AB271),0)</f>
        <v>0</v>
      </c>
      <c r="K268" s="830">
        <f t="shared" ref="K268" si="2167">IF(AC271&gt;0,(AC268/AC271),0)</f>
        <v>0</v>
      </c>
      <c r="L268" s="830">
        <f t="shared" ref="L268" si="2168">IF(AD271&gt;0,(AD268/AD271),0)</f>
        <v>0</v>
      </c>
      <c r="M268" s="830">
        <f t="shared" ref="M268" si="2169">IF(AE271&gt;0,(AE268/AE271),0)</f>
        <v>3.3557046979865772E-2</v>
      </c>
      <c r="N268" s="830">
        <f t="shared" ref="N268" si="2170">IF(AF271&gt;0,(AF268/AF271),0)</f>
        <v>0</v>
      </c>
      <c r="O268" s="832">
        <f t="shared" ref="O268" si="2171">IF(AG271&gt;0,(AG268/AG271),0)</f>
        <v>5.5370985603543747E-3</v>
      </c>
      <c r="P268" s="832">
        <f t="shared" ref="P268" si="2172">IF(AH271&gt;0,(AH268/AH271),0)</f>
        <v>0</v>
      </c>
      <c r="Q268" s="830">
        <f t="shared" ref="Q268" si="2173">IF(AI271&gt;0,(AI268/AI271),0)</f>
        <v>0</v>
      </c>
      <c r="R268" s="833">
        <f t="shared" ref="R268" si="2174">IF(AJ271&gt;0,(AJ268/AJ271),0)</f>
        <v>0</v>
      </c>
      <c r="S268" s="832">
        <f t="shared" ref="S268" si="2175">IF(AK271&gt;0,(AK268/AK271),0)</f>
        <v>0</v>
      </c>
      <c r="U268" s="349">
        <v>216</v>
      </c>
      <c r="V268" s="349"/>
      <c r="W268" s="349">
        <v>130</v>
      </c>
      <c r="X268" s="349">
        <v>110</v>
      </c>
      <c r="Y268" s="349">
        <v>36</v>
      </c>
      <c r="Z268" s="349"/>
      <c r="AA268" s="804">
        <v>492</v>
      </c>
      <c r="AB268" s="804"/>
      <c r="AC268" s="349"/>
      <c r="AD268" s="349"/>
      <c r="AE268" s="349">
        <v>5</v>
      </c>
      <c r="AF268" s="349"/>
      <c r="AG268" s="804">
        <v>5</v>
      </c>
      <c r="AH268" s="804"/>
      <c r="AI268" s="349"/>
      <c r="AJ268" s="813"/>
      <c r="AK268" s="804"/>
    </row>
    <row r="269" spans="1:37">
      <c r="A269" s="239"/>
      <c r="B269" s="239" t="s">
        <v>78</v>
      </c>
      <c r="C269" s="832">
        <f>IF(U271&gt;0,(U269/U271),0)</f>
        <v>3.5366931918656055E-3</v>
      </c>
      <c r="D269" s="830">
        <f t="shared" ref="D269" si="2176">IF(V271&gt;0,(V269/V271),0)</f>
        <v>0</v>
      </c>
      <c r="E269" s="830">
        <f t="shared" ref="E269" si="2177">IF(W271&gt;0,(W269/W271),0)</f>
        <v>8.2627118644067798E-2</v>
      </c>
      <c r="F269" s="830">
        <f t="shared" ref="F269" si="2178">IF(X271&gt;0,(X269/X271),0)</f>
        <v>4.1062801932367152E-2</v>
      </c>
      <c r="G269" s="830">
        <f t="shared" ref="G269" si="2179">IF(Y271&gt;0,(Y269/Y271),0)</f>
        <v>0.1751412429378531</v>
      </c>
      <c r="H269" s="830">
        <f t="shared" ref="H269" si="2180">IF(Z271&gt;0,(Z269/Z271),0)</f>
        <v>0</v>
      </c>
      <c r="I269" s="832">
        <f t="shared" ref="I269" si="2181">IF(AA271&gt;0,(AA269/AA271),0)</f>
        <v>4.1476754785779398E-2</v>
      </c>
      <c r="J269" s="832">
        <f t="shared" ref="J269" si="2182">IF(AB271&gt;0,(AB269/AB271),0)</f>
        <v>0</v>
      </c>
      <c r="K269" s="830">
        <f t="shared" ref="K269" si="2183">IF(AC271&gt;0,(AC269/AC271),0)</f>
        <v>0.41082164328657317</v>
      </c>
      <c r="L269" s="830">
        <f t="shared" ref="L269" si="2184">IF(AD271&gt;0,(AD269/AD271),0)</f>
        <v>0</v>
      </c>
      <c r="M269" s="830">
        <f t="shared" ref="M269" si="2185">IF(AE271&gt;0,(AE269/AE271),0)</f>
        <v>0</v>
      </c>
      <c r="N269" s="830">
        <f t="shared" ref="N269" si="2186">IF(AF271&gt;0,(AF269/AF271),0)</f>
        <v>0</v>
      </c>
      <c r="O269" s="832">
        <f t="shared" ref="O269" si="2187">IF(AG271&gt;0,(AG269/AG271),0)</f>
        <v>0.22702104097452935</v>
      </c>
      <c r="P269" s="832">
        <f t="shared" ref="P269" si="2188">IF(AH271&gt;0,(AH269/AH271),0)</f>
        <v>0</v>
      </c>
      <c r="Q269" s="830">
        <f t="shared" ref="Q269" si="2189">IF(AI271&gt;0,(AI269/AI271),0)</f>
        <v>0</v>
      </c>
      <c r="R269" s="833">
        <f t="shared" ref="R269" si="2190">IF(AJ271&gt;0,(AJ269/AJ271),0)</f>
        <v>0</v>
      </c>
      <c r="S269" s="832">
        <f t="shared" ref="S269" si="2191">IF(AK271&gt;0,(AK269/AK271),0)</f>
        <v>0</v>
      </c>
      <c r="U269" s="349">
        <v>4</v>
      </c>
      <c r="V269" s="349"/>
      <c r="W269" s="349">
        <v>39</v>
      </c>
      <c r="X269" s="349">
        <v>17</v>
      </c>
      <c r="Y269" s="349">
        <v>31</v>
      </c>
      <c r="Z269" s="349"/>
      <c r="AA269" s="804">
        <v>91</v>
      </c>
      <c r="AB269" s="804"/>
      <c r="AC269" s="349">
        <v>205</v>
      </c>
      <c r="AD269" s="349"/>
      <c r="AE269" s="349"/>
      <c r="AF269" s="349"/>
      <c r="AG269" s="804">
        <v>205</v>
      </c>
      <c r="AH269" s="804"/>
      <c r="AI269" s="349"/>
      <c r="AJ269" s="813"/>
      <c r="AK269" s="804"/>
    </row>
    <row r="270" spans="1:37">
      <c r="A270" s="580"/>
      <c r="B270" s="580" t="s">
        <v>131</v>
      </c>
      <c r="C270" s="832">
        <f>IF(U271&gt;0,(U270/U271),0)</f>
        <v>0.11317418213969938</v>
      </c>
      <c r="D270" s="830">
        <f t="shared" ref="D270" si="2192">IF(V271&gt;0,(V270/V271),0)</f>
        <v>0</v>
      </c>
      <c r="E270" s="830">
        <f t="shared" ref="E270" si="2193">IF(W271&gt;0,(W270/W271),0)</f>
        <v>3.6016949152542374E-2</v>
      </c>
      <c r="F270" s="830">
        <f t="shared" ref="F270" si="2194">IF(X271&gt;0,(X270/X271),0)</f>
        <v>0.14492753623188406</v>
      </c>
      <c r="G270" s="830">
        <f t="shared" ref="G270" si="2195">IF(Y271&gt;0,(Y270/Y271),0)</f>
        <v>5.6497175141242938E-3</v>
      </c>
      <c r="H270" s="830">
        <f t="shared" ref="H270" si="2196">IF(Z271&gt;0,(Z270/Z271),0)</f>
        <v>0</v>
      </c>
      <c r="I270" s="832">
        <f t="shared" ref="I270" si="2197">IF(AA271&gt;0,(AA270/AA271),0)</f>
        <v>9.3892433910665457E-2</v>
      </c>
      <c r="J270" s="832">
        <f t="shared" ref="J270" si="2198">IF(AB271&gt;0,(AB270/AB271),0)</f>
        <v>0</v>
      </c>
      <c r="K270" s="830">
        <f t="shared" ref="K270" si="2199">IF(AC271&gt;0,(AC270/AC271),0)</f>
        <v>0.58917835671342689</v>
      </c>
      <c r="L270" s="830">
        <f t="shared" ref="L270" si="2200">IF(AD271&gt;0,(AD270/AD271),0)</f>
        <v>1</v>
      </c>
      <c r="M270" s="830">
        <f t="shared" ref="M270" si="2201">IF(AE271&gt;0,(AE270/AE271),0)</f>
        <v>0.9261744966442953</v>
      </c>
      <c r="N270" s="830">
        <f t="shared" ref="N270" si="2202">IF(AF271&gt;0,(AF270/AF271),0)</f>
        <v>0</v>
      </c>
      <c r="O270" s="832">
        <f t="shared" ref="O270" si="2203">IF(AG271&gt;0,(AG270/AG271),0)</f>
        <v>0.76079734219269102</v>
      </c>
      <c r="P270" s="832">
        <f t="shared" ref="P270" si="2204">IF(AH271&gt;0,(AH270/AH271),0)</f>
        <v>0</v>
      </c>
      <c r="Q270" s="830">
        <f t="shared" ref="Q270" si="2205">IF(AI271&gt;0,(AI270/AI271),0)</f>
        <v>0</v>
      </c>
      <c r="R270" s="833">
        <f t="shared" ref="R270" si="2206">IF(AJ271&gt;0,(AJ270/AJ271),0)</f>
        <v>0</v>
      </c>
      <c r="S270" s="832">
        <f t="shared" ref="S270" si="2207">IF(AK271&gt;0,(AK270/AK271),0)</f>
        <v>0</v>
      </c>
      <c r="U270" s="349">
        <v>128</v>
      </c>
      <c r="V270" s="349"/>
      <c r="W270" s="349">
        <v>17</v>
      </c>
      <c r="X270" s="349">
        <v>60</v>
      </c>
      <c r="Y270" s="349">
        <v>1</v>
      </c>
      <c r="Z270" s="349"/>
      <c r="AA270" s="804">
        <v>206</v>
      </c>
      <c r="AB270" s="804"/>
      <c r="AC270" s="349">
        <v>294</v>
      </c>
      <c r="AD270" s="349">
        <v>255</v>
      </c>
      <c r="AE270" s="349">
        <v>138</v>
      </c>
      <c r="AF270" s="349"/>
      <c r="AG270" s="804">
        <v>687</v>
      </c>
      <c r="AH270" s="804"/>
      <c r="AI270" s="349"/>
      <c r="AJ270" s="813"/>
      <c r="AK270" s="804"/>
    </row>
    <row r="271" spans="1:37">
      <c r="A271" s="436"/>
      <c r="B271" s="436" t="s">
        <v>59</v>
      </c>
      <c r="C271" s="834">
        <f>IF(U271&gt;0,(U271/U271),0)</f>
        <v>1</v>
      </c>
      <c r="D271" s="835">
        <f t="shared" ref="D271" si="2208">IF(V271&gt;0,(V271/V271),0)</f>
        <v>0</v>
      </c>
      <c r="E271" s="835">
        <f t="shared" ref="E271" si="2209">IF(W271&gt;0,(W271/W271),0)</f>
        <v>1</v>
      </c>
      <c r="F271" s="835">
        <f t="shared" ref="F271" si="2210">IF(X271&gt;0,(X271/X271),0)</f>
        <v>1</v>
      </c>
      <c r="G271" s="835">
        <f t="shared" ref="G271" si="2211">IF(Y271&gt;0,(Y271/Y271),0)</f>
        <v>1</v>
      </c>
      <c r="H271" s="835">
        <f t="shared" ref="H271" si="2212">IF(Z271&gt;0,(Z271/Z271),0)</f>
        <v>0</v>
      </c>
      <c r="I271" s="834">
        <f t="shared" ref="I271" si="2213">IF(AA271&gt;0,(AA271/AA271),0)</f>
        <v>1</v>
      </c>
      <c r="J271" s="834">
        <f t="shared" ref="J271" si="2214">IF(AB271&gt;0,(AB271/AB271),0)</f>
        <v>0</v>
      </c>
      <c r="K271" s="835">
        <f t="shared" ref="K271" si="2215">IF(AC271&gt;0,(AC271/AC271),0)</f>
        <v>1</v>
      </c>
      <c r="L271" s="835">
        <f t="shared" ref="L271" si="2216">IF(AD271&gt;0,(AD271/AD271),0)</f>
        <v>1</v>
      </c>
      <c r="M271" s="835">
        <f t="shared" ref="M271" si="2217">IF(AE271&gt;0,(AE271/AE271),0)</f>
        <v>1</v>
      </c>
      <c r="N271" s="835">
        <f t="shared" ref="N271" si="2218">IF(AF271&gt;0,(AF271/AF271),0)</f>
        <v>0</v>
      </c>
      <c r="O271" s="834">
        <f t="shared" ref="O271" si="2219">IF(AG271&gt;0,(AG271/AG271),0)</f>
        <v>1</v>
      </c>
      <c r="P271" s="834">
        <f t="shared" ref="P271" si="2220">IF(AH271&gt;0,(AH271/AH271),0)</f>
        <v>0</v>
      </c>
      <c r="Q271" s="835">
        <f t="shared" ref="Q271" si="2221">IF(AI271&gt;0,(AI271/AI271),0)</f>
        <v>0</v>
      </c>
      <c r="R271" s="836">
        <f t="shared" ref="R271" si="2222">IF(AJ271&gt;0,(AJ271/AJ271),0)</f>
        <v>0</v>
      </c>
      <c r="S271" s="834">
        <f t="shared" ref="S271" si="2223">IF(AK271&gt;0,(AK271/AK271),0)</f>
        <v>0</v>
      </c>
      <c r="U271" s="816">
        <v>1131</v>
      </c>
      <c r="V271" s="816"/>
      <c r="W271" s="816">
        <v>472</v>
      </c>
      <c r="X271" s="816">
        <v>414</v>
      </c>
      <c r="Y271" s="816">
        <v>177</v>
      </c>
      <c r="Z271" s="816"/>
      <c r="AA271" s="805">
        <v>2194</v>
      </c>
      <c r="AB271" s="805"/>
      <c r="AC271" s="816">
        <v>499</v>
      </c>
      <c r="AD271" s="816">
        <v>255</v>
      </c>
      <c r="AE271" s="816">
        <v>149</v>
      </c>
      <c r="AF271" s="816"/>
      <c r="AG271" s="805">
        <v>903</v>
      </c>
      <c r="AH271" s="805"/>
      <c r="AI271" s="816"/>
      <c r="AJ271" s="817"/>
      <c r="AK271" s="805"/>
    </row>
    <row r="272" spans="1:37">
      <c r="A272" s="240" t="s">
        <v>153</v>
      </c>
      <c r="B272" s="240" t="s">
        <v>53</v>
      </c>
      <c r="C272" s="829">
        <f>IF(U277&gt;0,(U272/U277),0)</f>
        <v>0</v>
      </c>
      <c r="D272" s="830">
        <f t="shared" ref="D272" si="2224">IF(V277&gt;0,(V272/V277),0)</f>
        <v>0.2020618556701031</v>
      </c>
      <c r="E272" s="830">
        <f t="shared" ref="E272" si="2225">IF(W277&gt;0,(W272/W277),0)</f>
        <v>0.23448275862068965</v>
      </c>
      <c r="F272" s="830">
        <f t="shared" ref="F272" si="2226">IF(X277&gt;0,(X272/X277),0)</f>
        <v>0.14594594594594595</v>
      </c>
      <c r="G272" s="830">
        <f t="shared" ref="G272" si="2227">IF(Y277&gt;0,(Y272/Y277),0)</f>
        <v>0</v>
      </c>
      <c r="H272" s="830">
        <f t="shared" ref="H272" si="2228">IF(Z277&gt;0,(Z272/Z277),0)</f>
        <v>0.17297297297297298</v>
      </c>
      <c r="I272" s="829">
        <f t="shared" ref="I272" si="2229">IF(AA277&gt;0,(AA272/AA277),0)</f>
        <v>0.20418118466898955</v>
      </c>
      <c r="J272" s="829">
        <f t="shared" ref="J272" si="2230">IF(AB277&gt;0,(AB272/AB277),0)</f>
        <v>0</v>
      </c>
      <c r="K272" s="830">
        <f t="shared" ref="K272" si="2231">IF(AC277&gt;0,(AC272/AC277),0)</f>
        <v>0</v>
      </c>
      <c r="L272" s="830">
        <f t="shared" ref="L272" si="2232">IF(AD277&gt;0,(AD272/AD277),0)</f>
        <v>3.0434782608695653E-2</v>
      </c>
      <c r="M272" s="830">
        <f t="shared" ref="M272" si="2233">IF(AE277&gt;0,(AE272/AE277),0)</f>
        <v>6.8627450980392163E-2</v>
      </c>
      <c r="N272" s="830">
        <f t="shared" ref="N272" si="2234">IF(AF277&gt;0,(AF272/AF277),0)</f>
        <v>0</v>
      </c>
      <c r="O272" s="829">
        <f t="shared" ref="O272" si="2235">IF(AG277&gt;0,(AG272/AG277),0)</f>
        <v>4.2168674698795178E-2</v>
      </c>
      <c r="P272" s="829">
        <f t="shared" ref="P272" si="2236">IF(AH277&gt;0,(AH272/AH277),0)</f>
        <v>0</v>
      </c>
      <c r="Q272" s="830">
        <f t="shared" ref="Q272" si="2237">IF(AI277&gt;0,(AI272/AI277),0)</f>
        <v>0</v>
      </c>
      <c r="R272" s="831">
        <f t="shared" ref="R272" si="2238">IF(AJ277&gt;0,(AJ272/AJ277),0)</f>
        <v>0</v>
      </c>
      <c r="S272" s="829">
        <f t="shared" ref="S272" si="2239">IF(AK277&gt;0,(AK272/AK277),0)</f>
        <v>0</v>
      </c>
      <c r="U272" s="349"/>
      <c r="V272" s="349">
        <v>98</v>
      </c>
      <c r="W272" s="349">
        <v>136</v>
      </c>
      <c r="X272" s="349">
        <v>27</v>
      </c>
      <c r="Y272" s="349"/>
      <c r="Z272" s="349">
        <v>32</v>
      </c>
      <c r="AA272" s="803">
        <v>293</v>
      </c>
      <c r="AB272" s="803"/>
      <c r="AC272" s="349"/>
      <c r="AD272" s="349">
        <v>7</v>
      </c>
      <c r="AE272" s="349">
        <v>7</v>
      </c>
      <c r="AF272" s="349"/>
      <c r="AG272" s="803">
        <v>14</v>
      </c>
      <c r="AH272" s="803"/>
      <c r="AI272" s="349"/>
      <c r="AJ272" s="812"/>
      <c r="AK272" s="803"/>
    </row>
    <row r="273" spans="1:37">
      <c r="A273" s="239"/>
      <c r="B273" s="239" t="s">
        <v>93</v>
      </c>
      <c r="C273" s="832">
        <f>IF(U277&gt;0,(U273/U277),0)</f>
        <v>0</v>
      </c>
      <c r="D273" s="830">
        <f t="shared" ref="D273" si="2240">IF(V277&gt;0,(V273/V277),0)</f>
        <v>0.2907216494845361</v>
      </c>
      <c r="E273" s="830">
        <f t="shared" ref="E273" si="2241">IF(W277&gt;0,(W273/W277),0)</f>
        <v>0.26724137931034481</v>
      </c>
      <c r="F273" s="830">
        <f t="shared" ref="F273" si="2242">IF(X277&gt;0,(X273/X277),0)</f>
        <v>0.21621621621621623</v>
      </c>
      <c r="G273" s="830">
        <f t="shared" ref="G273" si="2243">IF(Y277&gt;0,(Y273/Y277),0)</f>
        <v>0</v>
      </c>
      <c r="H273" s="830">
        <f t="shared" ref="H273" si="2244">IF(Z277&gt;0,(Z273/Z277),0)</f>
        <v>0.25405405405405407</v>
      </c>
      <c r="I273" s="832">
        <f t="shared" ref="I273" si="2245">IF(AA277&gt;0,(AA273/AA277),0)</f>
        <v>0.26689895470383274</v>
      </c>
      <c r="J273" s="832">
        <f t="shared" ref="J273" si="2246">IF(AB277&gt;0,(AB273/AB277),0)</f>
        <v>0</v>
      </c>
      <c r="K273" s="830">
        <f t="shared" ref="K273" si="2247">IF(AC277&gt;0,(AC273/AC277),0)</f>
        <v>0</v>
      </c>
      <c r="L273" s="830">
        <f t="shared" ref="L273" si="2248">IF(AD277&gt;0,(AD273/AD277),0)</f>
        <v>0.42608695652173911</v>
      </c>
      <c r="M273" s="830">
        <f t="shared" ref="M273" si="2249">IF(AE277&gt;0,(AE273/AE277),0)</f>
        <v>9.8039215686274508E-2</v>
      </c>
      <c r="N273" s="830">
        <f t="shared" ref="N273" si="2250">IF(AF277&gt;0,(AF273/AF277),0)</f>
        <v>0</v>
      </c>
      <c r="O273" s="832">
        <f t="shared" ref="O273" si="2251">IF(AG277&gt;0,(AG273/AG277),0)</f>
        <v>0.3253012048192771</v>
      </c>
      <c r="P273" s="832">
        <f t="shared" ref="P273" si="2252">IF(AH277&gt;0,(AH273/AH277),0)</f>
        <v>0</v>
      </c>
      <c r="Q273" s="830">
        <f t="shared" ref="Q273" si="2253">IF(AI277&gt;0,(AI273/AI277),0)</f>
        <v>0</v>
      </c>
      <c r="R273" s="833">
        <f t="shared" ref="R273" si="2254">IF(AJ277&gt;0,(AJ273/AJ277),0)</f>
        <v>0</v>
      </c>
      <c r="S273" s="832">
        <f t="shared" ref="S273" si="2255">IF(AK277&gt;0,(AK273/AK277),0)</f>
        <v>0</v>
      </c>
      <c r="U273" s="349"/>
      <c r="V273" s="349">
        <v>141</v>
      </c>
      <c r="W273" s="349">
        <v>155</v>
      </c>
      <c r="X273" s="349">
        <v>40</v>
      </c>
      <c r="Y273" s="349"/>
      <c r="Z273" s="349">
        <v>47</v>
      </c>
      <c r="AA273" s="804">
        <v>383</v>
      </c>
      <c r="AB273" s="804"/>
      <c r="AC273" s="349"/>
      <c r="AD273" s="349">
        <v>98</v>
      </c>
      <c r="AE273" s="349">
        <v>10</v>
      </c>
      <c r="AF273" s="349"/>
      <c r="AG273" s="804">
        <v>108</v>
      </c>
      <c r="AH273" s="804"/>
      <c r="AI273" s="349"/>
      <c r="AJ273" s="813"/>
      <c r="AK273" s="804"/>
    </row>
    <row r="274" spans="1:37">
      <c r="A274" s="239"/>
      <c r="B274" s="239" t="s">
        <v>55</v>
      </c>
      <c r="C274" s="832">
        <f>IF(U277&gt;0,(U274/U277),0)</f>
        <v>0</v>
      </c>
      <c r="D274" s="830">
        <f t="shared" ref="D274" si="2256">IF(V277&gt;0,(V274/V277),0)</f>
        <v>0.40206185567010311</v>
      </c>
      <c r="E274" s="830">
        <f t="shared" ref="E274" si="2257">IF(W277&gt;0,(W274/W277),0)</f>
        <v>0.30689655172413793</v>
      </c>
      <c r="F274" s="830">
        <f t="shared" ref="F274" si="2258">IF(X277&gt;0,(X274/X277),0)</f>
        <v>0.36216216216216218</v>
      </c>
      <c r="G274" s="830">
        <f t="shared" ref="G274" si="2259">IF(Y277&gt;0,(Y274/Y277),0)</f>
        <v>0</v>
      </c>
      <c r="H274" s="830">
        <f t="shared" ref="H274" si="2260">IF(Z277&gt;0,(Z274/Z277),0)</f>
        <v>0.36756756756756759</v>
      </c>
      <c r="I274" s="832">
        <f t="shared" ref="I274" si="2261">IF(AA277&gt;0,(AA274/AA277),0)</f>
        <v>0.35400696864111497</v>
      </c>
      <c r="J274" s="832">
        <f t="shared" ref="J274" si="2262">IF(AB277&gt;0,(AB274/AB277),0)</f>
        <v>0</v>
      </c>
      <c r="K274" s="830">
        <f t="shared" ref="K274" si="2263">IF(AC277&gt;0,(AC274/AC277),0)</f>
        <v>0</v>
      </c>
      <c r="L274" s="830">
        <f t="shared" ref="L274" si="2264">IF(AD277&gt;0,(AD274/AD277),0)</f>
        <v>0.29130434782608694</v>
      </c>
      <c r="M274" s="830">
        <f t="shared" ref="M274" si="2265">IF(AE277&gt;0,(AE274/AE277),0)</f>
        <v>0.19607843137254902</v>
      </c>
      <c r="N274" s="830">
        <f t="shared" ref="N274" si="2266">IF(AF277&gt;0,(AF274/AF277),0)</f>
        <v>0</v>
      </c>
      <c r="O274" s="832">
        <f t="shared" ref="O274" si="2267">IF(AG277&gt;0,(AG274/AG277),0)</f>
        <v>0.26204819277108432</v>
      </c>
      <c r="P274" s="832">
        <f t="shared" ref="P274" si="2268">IF(AH277&gt;0,(AH274/AH277),0)</f>
        <v>0</v>
      </c>
      <c r="Q274" s="830">
        <f t="shared" ref="Q274" si="2269">IF(AI277&gt;0,(AI274/AI277),0)</f>
        <v>0</v>
      </c>
      <c r="R274" s="833">
        <f t="shared" ref="R274" si="2270">IF(AJ277&gt;0,(AJ274/AJ277),0)</f>
        <v>0</v>
      </c>
      <c r="S274" s="832">
        <f t="shared" ref="S274" si="2271">IF(AK277&gt;0,(AK274/AK277),0)</f>
        <v>0</v>
      </c>
      <c r="U274" s="349"/>
      <c r="V274" s="349">
        <v>195</v>
      </c>
      <c r="W274" s="349">
        <v>178</v>
      </c>
      <c r="X274" s="349">
        <v>67</v>
      </c>
      <c r="Y274" s="349"/>
      <c r="Z274" s="349">
        <v>68</v>
      </c>
      <c r="AA274" s="804">
        <v>508</v>
      </c>
      <c r="AB274" s="804"/>
      <c r="AC274" s="349"/>
      <c r="AD274" s="349">
        <v>67</v>
      </c>
      <c r="AE274" s="349">
        <v>20</v>
      </c>
      <c r="AF274" s="349"/>
      <c r="AG274" s="804">
        <v>87</v>
      </c>
      <c r="AH274" s="804"/>
      <c r="AI274" s="349"/>
      <c r="AJ274" s="813"/>
      <c r="AK274" s="804"/>
    </row>
    <row r="275" spans="1:37">
      <c r="A275" s="239"/>
      <c r="B275" s="239" t="s">
        <v>78</v>
      </c>
      <c r="C275" s="832">
        <f>IF(U277&gt;0,(U275/U277),0)</f>
        <v>0</v>
      </c>
      <c r="D275" s="830">
        <f t="shared" ref="D275" si="2272">IF(V277&gt;0,(V275/V277),0)</f>
        <v>3.2989690721649485E-2</v>
      </c>
      <c r="E275" s="830">
        <f t="shared" ref="E275" si="2273">IF(W277&gt;0,(W275/W277),0)</f>
        <v>1.7241379310344827E-2</v>
      </c>
      <c r="F275" s="830">
        <f t="shared" ref="F275" si="2274">IF(X277&gt;0,(X275/X277),0)</f>
        <v>0.21621621621621623</v>
      </c>
      <c r="G275" s="830">
        <f t="shared" ref="G275" si="2275">IF(Y277&gt;0,(Y275/Y277),0)</f>
        <v>0</v>
      </c>
      <c r="H275" s="830">
        <f t="shared" ref="H275" si="2276">IF(Z277&gt;0,(Z275/Z277),0)</f>
        <v>0.15675675675675677</v>
      </c>
      <c r="I275" s="832">
        <f t="shared" ref="I275" si="2277">IF(AA277&gt;0,(AA275/AA277),0)</f>
        <v>6.6202090592334492E-2</v>
      </c>
      <c r="J275" s="832">
        <f t="shared" ref="J275" si="2278">IF(AB277&gt;0,(AB275/AB277),0)</f>
        <v>0</v>
      </c>
      <c r="K275" s="830">
        <f t="shared" ref="K275" si="2279">IF(AC277&gt;0,(AC275/AC277),0)</f>
        <v>0</v>
      </c>
      <c r="L275" s="830">
        <f t="shared" ref="L275" si="2280">IF(AD277&gt;0,(AD275/AD277),0)</f>
        <v>0.24347826086956523</v>
      </c>
      <c r="M275" s="830">
        <f t="shared" ref="M275" si="2281">IF(AE277&gt;0,(AE275/AE277),0)</f>
        <v>0.61764705882352944</v>
      </c>
      <c r="N275" s="830">
        <f t="shared" ref="N275" si="2282">IF(AF277&gt;0,(AF275/AF277),0)</f>
        <v>0</v>
      </c>
      <c r="O275" s="832">
        <f t="shared" ref="O275" si="2283">IF(AG277&gt;0,(AG275/AG277),0)</f>
        <v>0.35843373493975905</v>
      </c>
      <c r="P275" s="832">
        <f t="shared" ref="P275" si="2284">IF(AH277&gt;0,(AH275/AH277),0)</f>
        <v>0</v>
      </c>
      <c r="Q275" s="830">
        <f t="shared" ref="Q275" si="2285">IF(AI277&gt;0,(AI275/AI277),0)</f>
        <v>0</v>
      </c>
      <c r="R275" s="833">
        <f t="shared" ref="R275" si="2286">IF(AJ277&gt;0,(AJ275/AJ277),0)</f>
        <v>0</v>
      </c>
      <c r="S275" s="832">
        <f t="shared" ref="S275" si="2287">IF(AK277&gt;0,(AK275/AK277),0)</f>
        <v>0</v>
      </c>
      <c r="U275" s="349"/>
      <c r="V275" s="349">
        <v>16</v>
      </c>
      <c r="W275" s="349">
        <v>10</v>
      </c>
      <c r="X275" s="349">
        <v>40</v>
      </c>
      <c r="Y275" s="349"/>
      <c r="Z275" s="349">
        <v>29</v>
      </c>
      <c r="AA275" s="804">
        <v>95</v>
      </c>
      <c r="AB275" s="804"/>
      <c r="AC275" s="349"/>
      <c r="AD275" s="349">
        <v>56</v>
      </c>
      <c r="AE275" s="349">
        <v>63</v>
      </c>
      <c r="AF275" s="349"/>
      <c r="AG275" s="804">
        <v>119</v>
      </c>
      <c r="AH275" s="804"/>
      <c r="AI275" s="349"/>
      <c r="AJ275" s="813"/>
      <c r="AK275" s="804"/>
    </row>
    <row r="276" spans="1:37">
      <c r="A276" s="580"/>
      <c r="B276" s="580" t="s">
        <v>131</v>
      </c>
      <c r="C276" s="832">
        <f>IF(U277&gt;0,(U276/U277),0)</f>
        <v>0</v>
      </c>
      <c r="D276" s="830">
        <f t="shared" ref="D276" si="2288">IF(V277&gt;0,(V276/V277),0)</f>
        <v>7.2164948453608241E-2</v>
      </c>
      <c r="E276" s="830">
        <f t="shared" ref="E276" si="2289">IF(W277&gt;0,(W276/W277),0)</f>
        <v>0.17413793103448275</v>
      </c>
      <c r="F276" s="830">
        <f t="shared" ref="F276" si="2290">IF(X277&gt;0,(X276/X277),0)</f>
        <v>5.9459459459459463E-2</v>
      </c>
      <c r="G276" s="830">
        <f t="shared" ref="G276" si="2291">IF(Y277&gt;0,(Y276/Y277),0)</f>
        <v>0</v>
      </c>
      <c r="H276" s="830">
        <f t="shared" ref="H276" si="2292">IF(Z277&gt;0,(Z276/Z277),0)</f>
        <v>4.8648648648648651E-2</v>
      </c>
      <c r="I276" s="832">
        <f t="shared" ref="I276" si="2293">IF(AA277&gt;0,(AA276/AA277),0)</f>
        <v>0.10871080139372823</v>
      </c>
      <c r="J276" s="832">
        <f t="shared" ref="J276" si="2294">IF(AB277&gt;0,(AB276/AB277),0)</f>
        <v>0</v>
      </c>
      <c r="K276" s="830">
        <f t="shared" ref="K276" si="2295">IF(AC277&gt;0,(AC276/AC277),0)</f>
        <v>0</v>
      </c>
      <c r="L276" s="830">
        <f t="shared" ref="L276" si="2296">IF(AD277&gt;0,(AD276/AD277),0)</f>
        <v>8.6956521739130436E-3</v>
      </c>
      <c r="M276" s="830">
        <f t="shared" ref="M276" si="2297">IF(AE277&gt;0,(AE276/AE277),0)</f>
        <v>1.9607843137254902E-2</v>
      </c>
      <c r="N276" s="830">
        <f t="shared" ref="N276" si="2298">IF(AF277&gt;0,(AF276/AF277),0)</f>
        <v>0</v>
      </c>
      <c r="O276" s="832">
        <f t="shared" ref="O276" si="2299">IF(AG277&gt;0,(AG276/AG277),0)</f>
        <v>1.2048192771084338E-2</v>
      </c>
      <c r="P276" s="832">
        <f t="shared" ref="P276" si="2300">IF(AH277&gt;0,(AH276/AH277),0)</f>
        <v>0</v>
      </c>
      <c r="Q276" s="830">
        <f t="shared" ref="Q276" si="2301">IF(AI277&gt;0,(AI276/AI277),0)</f>
        <v>0</v>
      </c>
      <c r="R276" s="833">
        <f t="shared" ref="R276" si="2302">IF(AJ277&gt;0,(AJ276/AJ277),0)</f>
        <v>0</v>
      </c>
      <c r="S276" s="832">
        <f t="shared" ref="S276" si="2303">IF(AK277&gt;0,(AK276/AK277),0)</f>
        <v>0</v>
      </c>
      <c r="U276" s="349"/>
      <c r="V276" s="349">
        <v>35</v>
      </c>
      <c r="W276" s="349">
        <v>101</v>
      </c>
      <c r="X276" s="349">
        <v>11</v>
      </c>
      <c r="Y276" s="349"/>
      <c r="Z276" s="349">
        <v>9</v>
      </c>
      <c r="AA276" s="804">
        <v>156</v>
      </c>
      <c r="AB276" s="804"/>
      <c r="AC276" s="349"/>
      <c r="AD276" s="349">
        <v>2</v>
      </c>
      <c r="AE276" s="349">
        <v>2</v>
      </c>
      <c r="AF276" s="349"/>
      <c r="AG276" s="804">
        <v>4</v>
      </c>
      <c r="AH276" s="804"/>
      <c r="AI276" s="349"/>
      <c r="AJ276" s="813"/>
      <c r="AK276" s="804"/>
    </row>
    <row r="277" spans="1:37">
      <c r="A277" s="436"/>
      <c r="B277" s="436" t="s">
        <v>59</v>
      </c>
      <c r="C277" s="834">
        <f>IF(U277&gt;0,(U277/U277),0)</f>
        <v>0</v>
      </c>
      <c r="D277" s="835">
        <f t="shared" ref="D277" si="2304">IF(V277&gt;0,(V277/V277),0)</f>
        <v>1</v>
      </c>
      <c r="E277" s="835">
        <f t="shared" ref="E277" si="2305">IF(W277&gt;0,(W277/W277),0)</f>
        <v>1</v>
      </c>
      <c r="F277" s="835">
        <f t="shared" ref="F277" si="2306">IF(X277&gt;0,(X277/X277),0)</f>
        <v>1</v>
      </c>
      <c r="G277" s="835">
        <f t="shared" ref="G277" si="2307">IF(Y277&gt;0,(Y277/Y277),0)</f>
        <v>0</v>
      </c>
      <c r="H277" s="835">
        <f t="shared" ref="H277" si="2308">IF(Z277&gt;0,(Z277/Z277),0)</f>
        <v>1</v>
      </c>
      <c r="I277" s="834">
        <f t="shared" ref="I277" si="2309">IF(AA277&gt;0,(AA277/AA277),0)</f>
        <v>1</v>
      </c>
      <c r="J277" s="834">
        <f t="shared" ref="J277" si="2310">IF(AB277&gt;0,(AB277/AB277),0)</f>
        <v>0</v>
      </c>
      <c r="K277" s="835">
        <f t="shared" ref="K277" si="2311">IF(AC277&gt;0,(AC277/AC277),0)</f>
        <v>0</v>
      </c>
      <c r="L277" s="835">
        <f t="shared" ref="L277" si="2312">IF(AD277&gt;0,(AD277/AD277),0)</f>
        <v>1</v>
      </c>
      <c r="M277" s="835">
        <f t="shared" ref="M277" si="2313">IF(AE277&gt;0,(AE277/AE277),0)</f>
        <v>1</v>
      </c>
      <c r="N277" s="835">
        <f t="shared" ref="N277" si="2314">IF(AF277&gt;0,(AF277/AF277),0)</f>
        <v>0</v>
      </c>
      <c r="O277" s="834">
        <f t="shared" ref="O277" si="2315">IF(AG277&gt;0,(AG277/AG277),0)</f>
        <v>1</v>
      </c>
      <c r="P277" s="834">
        <f t="shared" ref="P277" si="2316">IF(AH277&gt;0,(AH277/AH277),0)</f>
        <v>0</v>
      </c>
      <c r="Q277" s="835">
        <f t="shared" ref="Q277" si="2317">IF(AI277&gt;0,(AI277/AI277),0)</f>
        <v>0</v>
      </c>
      <c r="R277" s="836">
        <f t="shared" ref="R277" si="2318">IF(AJ277&gt;0,(AJ277/AJ277),0)</f>
        <v>0</v>
      </c>
      <c r="S277" s="834">
        <f t="shared" ref="S277" si="2319">IF(AK277&gt;0,(AK277/AK277),0)</f>
        <v>0</v>
      </c>
      <c r="U277" s="816"/>
      <c r="V277" s="816">
        <v>485</v>
      </c>
      <c r="W277" s="816">
        <v>580</v>
      </c>
      <c r="X277" s="816">
        <v>185</v>
      </c>
      <c r="Y277" s="816"/>
      <c r="Z277" s="816">
        <v>185</v>
      </c>
      <c r="AA277" s="805">
        <v>1435</v>
      </c>
      <c r="AB277" s="805"/>
      <c r="AC277" s="816"/>
      <c r="AD277" s="816">
        <v>230</v>
      </c>
      <c r="AE277" s="816">
        <v>102</v>
      </c>
      <c r="AF277" s="816"/>
      <c r="AG277" s="805">
        <v>332</v>
      </c>
      <c r="AH277" s="805"/>
      <c r="AI277" s="816"/>
      <c r="AJ277" s="817"/>
      <c r="AK277" s="805"/>
    </row>
    <row r="278" spans="1:37">
      <c r="A278" s="240" t="s">
        <v>160</v>
      </c>
      <c r="B278" s="240" t="s">
        <v>53</v>
      </c>
      <c r="C278" s="829">
        <f>IF(U283&gt;0,(U278/U283),0)</f>
        <v>0.34234930448222567</v>
      </c>
      <c r="D278" s="830">
        <f t="shared" ref="D278" si="2320">IF(V283&gt;0,(V278/V283),0)</f>
        <v>0.27998924152770305</v>
      </c>
      <c r="E278" s="830">
        <f t="shared" ref="E278" si="2321">IF(W283&gt;0,(W278/W283),0)</f>
        <v>0.31303520456707895</v>
      </c>
      <c r="F278" s="830">
        <f t="shared" ref="F278" si="2322">IF(X283&gt;0,(X278/X283),0)</f>
        <v>0</v>
      </c>
      <c r="G278" s="830">
        <f t="shared" ref="G278" si="2323">IF(Y283&gt;0,(Y278/Y283),0)</f>
        <v>0</v>
      </c>
      <c r="H278" s="830">
        <f t="shared" ref="H278" si="2324">IF(Z283&gt;0,(Z278/Z283),0)</f>
        <v>0.16552901023890784</v>
      </c>
      <c r="I278" s="829">
        <f t="shared" ref="I278" si="2325">IF(AA283&gt;0,(AA278/AA283),0)</f>
        <v>0.3075681321811794</v>
      </c>
      <c r="J278" s="829">
        <f t="shared" ref="J278" si="2326">IF(AB283&gt;0,(AB278/AB283),0)</f>
        <v>0.27464788732394368</v>
      </c>
      <c r="K278" s="830">
        <f t="shared" ref="K278" si="2327">IF(AC283&gt;0,(AC278/AC283),0)</f>
        <v>0.23868852459016393</v>
      </c>
      <c r="L278" s="830">
        <f t="shared" ref="L278" si="2328">IF(AD283&gt;0,(AD278/AD283),0)</f>
        <v>0.21791044776119403</v>
      </c>
      <c r="M278" s="830">
        <f t="shared" ref="M278" si="2329">IF(AE283&gt;0,(AE278/AE283),0)</f>
        <v>0.13532338308457711</v>
      </c>
      <c r="N278" s="830">
        <f t="shared" ref="N278" si="2330">IF(AF283&gt;0,(AF278/AF283),0)</f>
        <v>0</v>
      </c>
      <c r="O278" s="829">
        <f t="shared" ref="O278" si="2331">IF(AG283&gt;0,(AG278/AG283),0)</f>
        <v>0.20496708557749851</v>
      </c>
      <c r="P278" s="829">
        <f t="shared" ref="P278" si="2332">IF(AH283&gt;0,(AH278/AH283),0)</f>
        <v>0</v>
      </c>
      <c r="Q278" s="830">
        <f t="shared" ref="Q278" si="2333">IF(AI283&gt;0,(AI278/AI283),0)</f>
        <v>0</v>
      </c>
      <c r="R278" s="831">
        <f t="shared" ref="R278" si="2334">IF(AJ283&gt;0,(AJ278/AJ283),0)</f>
        <v>0</v>
      </c>
      <c r="S278" s="829">
        <f t="shared" ref="S278" si="2335">IF(AK283&gt;0,(AK278/AK283),0)</f>
        <v>0</v>
      </c>
      <c r="U278" s="349">
        <v>1772</v>
      </c>
      <c r="V278" s="349">
        <v>1041</v>
      </c>
      <c r="W278" s="349">
        <v>329</v>
      </c>
      <c r="X278" s="349"/>
      <c r="Y278" s="349"/>
      <c r="Z278" s="349">
        <v>97</v>
      </c>
      <c r="AA278" s="803">
        <v>3239</v>
      </c>
      <c r="AB278" s="803">
        <v>39</v>
      </c>
      <c r="AC278" s="349">
        <v>364</v>
      </c>
      <c r="AD278" s="349">
        <v>146</v>
      </c>
      <c r="AE278" s="349">
        <v>136</v>
      </c>
      <c r="AF278" s="349"/>
      <c r="AG278" s="803">
        <v>685</v>
      </c>
      <c r="AH278" s="803"/>
      <c r="AI278" s="349"/>
      <c r="AJ278" s="812"/>
      <c r="AK278" s="803"/>
    </row>
    <row r="279" spans="1:37">
      <c r="A279" s="239"/>
      <c r="B279" s="239" t="s">
        <v>93</v>
      </c>
      <c r="C279" s="832">
        <f>IF(U283&gt;0,(U279/U283),0)</f>
        <v>0.32399536321483774</v>
      </c>
      <c r="D279" s="830">
        <f t="shared" ref="D279" si="2336">IF(V283&gt;0,(V279/V283),0)</f>
        <v>0.30849919311457774</v>
      </c>
      <c r="E279" s="830">
        <f t="shared" ref="E279" si="2337">IF(W283&gt;0,(W279/W283),0)</f>
        <v>0.2825880114176974</v>
      </c>
      <c r="F279" s="830">
        <f t="shared" ref="F279" si="2338">IF(X283&gt;0,(X279/X283),0)</f>
        <v>0</v>
      </c>
      <c r="G279" s="830">
        <f t="shared" ref="G279" si="2339">IF(Y283&gt;0,(Y279/Y283),0)</f>
        <v>0</v>
      </c>
      <c r="H279" s="830">
        <f t="shared" ref="H279" si="2340">IF(Z283&gt;0,(Z279/Z283),0)</f>
        <v>0.32423208191126279</v>
      </c>
      <c r="I279" s="832">
        <f t="shared" ref="I279" si="2341">IF(AA283&gt;0,(AA279/AA283),0)</f>
        <v>0.31440508973506792</v>
      </c>
      <c r="J279" s="832">
        <f t="shared" ref="J279" si="2342">IF(AB283&gt;0,(AB279/AB283),0)</f>
        <v>0.29577464788732394</v>
      </c>
      <c r="K279" s="830">
        <f t="shared" ref="K279" si="2343">IF(AC283&gt;0,(AC279/AC283),0)</f>
        <v>0.17901639344262296</v>
      </c>
      <c r="L279" s="830">
        <f t="shared" ref="L279" si="2344">IF(AD283&gt;0,(AD279/AD283),0)</f>
        <v>0.2701492537313433</v>
      </c>
      <c r="M279" s="830">
        <f t="shared" ref="M279" si="2345">IF(AE283&gt;0,(AE279/AE283),0)</f>
        <v>0.28059701492537314</v>
      </c>
      <c r="N279" s="830">
        <f t="shared" ref="N279" si="2346">IF(AF283&gt;0,(AF279/AF283),0)</f>
        <v>0</v>
      </c>
      <c r="O279" s="832">
        <f t="shared" ref="O279" si="2347">IF(AG283&gt;0,(AG279/AG283),0)</f>
        <v>0.23279473369239975</v>
      </c>
      <c r="P279" s="832">
        <f t="shared" ref="P279" si="2348">IF(AH283&gt;0,(AH279/AH283),0)</f>
        <v>0</v>
      </c>
      <c r="Q279" s="830">
        <f t="shared" ref="Q279" si="2349">IF(AI283&gt;0,(AI279/AI283),0)</f>
        <v>0</v>
      </c>
      <c r="R279" s="833">
        <f t="shared" ref="R279" si="2350">IF(AJ283&gt;0,(AJ279/AJ283),0)</f>
        <v>0</v>
      </c>
      <c r="S279" s="832">
        <f t="shared" ref="S279" si="2351">IF(AK283&gt;0,(AK279/AK283),0)</f>
        <v>0</v>
      </c>
      <c r="U279" s="349">
        <v>1677</v>
      </c>
      <c r="V279" s="349">
        <v>1147</v>
      </c>
      <c r="W279" s="349">
        <v>297</v>
      </c>
      <c r="X279" s="349"/>
      <c r="Y279" s="349"/>
      <c r="Z279" s="349">
        <v>190</v>
      </c>
      <c r="AA279" s="804">
        <v>3311</v>
      </c>
      <c r="AB279" s="804">
        <v>42</v>
      </c>
      <c r="AC279" s="349">
        <v>273</v>
      </c>
      <c r="AD279" s="349">
        <v>181</v>
      </c>
      <c r="AE279" s="349">
        <v>282</v>
      </c>
      <c r="AF279" s="349"/>
      <c r="AG279" s="804">
        <v>778</v>
      </c>
      <c r="AH279" s="804"/>
      <c r="AI279" s="349"/>
      <c r="AJ279" s="813"/>
      <c r="AK279" s="804"/>
    </row>
    <row r="280" spans="1:37">
      <c r="A280" s="239"/>
      <c r="B280" s="239" t="s">
        <v>55</v>
      </c>
      <c r="C280" s="832">
        <f>IF(U283&gt;0,(U280/U283),0)</f>
        <v>0.27724111282843894</v>
      </c>
      <c r="D280" s="830">
        <f t="shared" ref="D280" si="2352">IF(V283&gt;0,(V280/V283),0)</f>
        <v>0.23991393222162452</v>
      </c>
      <c r="E280" s="830">
        <f t="shared" ref="E280" si="2353">IF(W283&gt;0,(W280/W283),0)</f>
        <v>0.25118934348239774</v>
      </c>
      <c r="F280" s="830">
        <f t="shared" ref="F280" si="2354">IF(X283&gt;0,(X280/X283),0)</f>
        <v>0</v>
      </c>
      <c r="G280" s="830">
        <f t="shared" ref="G280" si="2355">IF(Y283&gt;0,(Y280/Y283),0)</f>
        <v>0</v>
      </c>
      <c r="H280" s="830">
        <f t="shared" ref="H280" si="2356">IF(Z283&gt;0,(Z280/Z283),0)</f>
        <v>0.39590443686006827</v>
      </c>
      <c r="I280" s="832">
        <f t="shared" ref="I280" si="2357">IF(AA283&gt;0,(AA280/AA283),0)</f>
        <v>0.26806571075871238</v>
      </c>
      <c r="J280" s="832">
        <f t="shared" ref="J280" si="2358">IF(AB283&gt;0,(AB280/AB283),0)</f>
        <v>0.34507042253521125</v>
      </c>
      <c r="K280" s="830">
        <f t="shared" ref="K280" si="2359">IF(AC283&gt;0,(AC280/AC283),0)</f>
        <v>0.26491803278688525</v>
      </c>
      <c r="L280" s="830">
        <f t="shared" ref="L280" si="2360">IF(AD283&gt;0,(AD280/AD283),0)</f>
        <v>0.2</v>
      </c>
      <c r="M280" s="830">
        <f t="shared" ref="M280" si="2361">IF(AE283&gt;0,(AE280/AE283),0)</f>
        <v>0.33432835820895523</v>
      </c>
      <c r="N280" s="830">
        <f t="shared" ref="N280" si="2362">IF(AF283&gt;0,(AF280/AF283),0)</f>
        <v>0</v>
      </c>
      <c r="O280" s="832">
        <f t="shared" ref="O280" si="2363">IF(AG283&gt;0,(AG280/AG283),0)</f>
        <v>0.27618192698982647</v>
      </c>
      <c r="P280" s="832">
        <f t="shared" ref="P280" si="2364">IF(AH283&gt;0,(AH280/AH283),0)</f>
        <v>0</v>
      </c>
      <c r="Q280" s="830">
        <f t="shared" ref="Q280" si="2365">IF(AI283&gt;0,(AI280/AI283),0)</f>
        <v>0</v>
      </c>
      <c r="R280" s="833">
        <f t="shared" ref="R280" si="2366">IF(AJ283&gt;0,(AJ280/AJ283),0)</f>
        <v>0</v>
      </c>
      <c r="S280" s="832">
        <f t="shared" ref="S280" si="2367">IF(AK283&gt;0,(AK280/AK283),0)</f>
        <v>0</v>
      </c>
      <c r="U280" s="349">
        <v>1435</v>
      </c>
      <c r="V280" s="349">
        <v>892</v>
      </c>
      <c r="W280" s="349">
        <v>264</v>
      </c>
      <c r="X280" s="349"/>
      <c r="Y280" s="349"/>
      <c r="Z280" s="349">
        <v>232</v>
      </c>
      <c r="AA280" s="804">
        <v>2823</v>
      </c>
      <c r="AB280" s="804">
        <v>49</v>
      </c>
      <c r="AC280" s="349">
        <v>404</v>
      </c>
      <c r="AD280" s="349">
        <v>134</v>
      </c>
      <c r="AE280" s="349">
        <v>336</v>
      </c>
      <c r="AF280" s="349"/>
      <c r="AG280" s="804">
        <v>923</v>
      </c>
      <c r="AH280" s="804"/>
      <c r="AI280" s="349"/>
      <c r="AJ280" s="813"/>
      <c r="AK280" s="804"/>
    </row>
    <row r="281" spans="1:37">
      <c r="A281" s="239"/>
      <c r="B281" s="239" t="s">
        <v>78</v>
      </c>
      <c r="C281" s="832">
        <f>IF(U283&gt;0,(U281/U283),0)</f>
        <v>3.7094281298299843E-2</v>
      </c>
      <c r="D281" s="830">
        <f t="shared" ref="D281" si="2368">IF(V283&gt;0,(V281/V283),0)</f>
        <v>9.8708983324367935E-2</v>
      </c>
      <c r="E281" s="830">
        <f t="shared" ref="E281" si="2369">IF(W283&gt;0,(W281/W283),0)</f>
        <v>0.10846812559467174</v>
      </c>
      <c r="F281" s="830">
        <f t="shared" ref="F281" si="2370">IF(X283&gt;0,(X281/X283),0)</f>
        <v>0</v>
      </c>
      <c r="G281" s="830">
        <f t="shared" ref="G281" si="2371">IF(Y283&gt;0,(Y281/Y283),0)</f>
        <v>0</v>
      </c>
      <c r="H281" s="830">
        <f t="shared" ref="H281" si="2372">IF(Z283&gt;0,(Z281/Z283),0)</f>
        <v>0.10068259385665529</v>
      </c>
      <c r="I281" s="832">
        <f t="shared" ref="I281" si="2373">IF(AA283&gt;0,(AA281/AA283),0)</f>
        <v>6.950906846453328E-2</v>
      </c>
      <c r="J281" s="832">
        <f t="shared" ref="J281" si="2374">IF(AB283&gt;0,(AB281/AB283),0)</f>
        <v>8.4507042253521125E-2</v>
      </c>
      <c r="K281" s="830">
        <f t="shared" ref="K281" si="2375">IF(AC283&gt;0,(AC281/AC283),0)</f>
        <v>0.14622950819672131</v>
      </c>
      <c r="L281" s="830">
        <f t="shared" ref="L281" si="2376">IF(AD283&gt;0,(AD281/AD283),0)</f>
        <v>0.2537313432835821</v>
      </c>
      <c r="M281" s="830">
        <f t="shared" ref="M281" si="2377">IF(AE283&gt;0,(AE281/AE283),0)</f>
        <v>0.18407960199004975</v>
      </c>
      <c r="N281" s="830">
        <f t="shared" ref="N281" si="2378">IF(AF283&gt;0,(AF281/AF283),0)</f>
        <v>0</v>
      </c>
      <c r="O281" s="832">
        <f t="shared" ref="O281" si="2379">IF(AG283&gt;0,(AG281/AG283),0)</f>
        <v>0.17654099341711549</v>
      </c>
      <c r="P281" s="832">
        <f t="shared" ref="P281" si="2380">IF(AH283&gt;0,(AH281/AH283),0)</f>
        <v>0</v>
      </c>
      <c r="Q281" s="830">
        <f t="shared" ref="Q281" si="2381">IF(AI283&gt;0,(AI281/AI283),0)</f>
        <v>0</v>
      </c>
      <c r="R281" s="833">
        <f t="shared" ref="R281" si="2382">IF(AJ283&gt;0,(AJ281/AJ283),0)</f>
        <v>0</v>
      </c>
      <c r="S281" s="832">
        <f t="shared" ref="S281" si="2383">IF(AK283&gt;0,(AK281/AK283),0)</f>
        <v>0</v>
      </c>
      <c r="U281" s="349">
        <v>192</v>
      </c>
      <c r="V281" s="349">
        <v>367</v>
      </c>
      <c r="W281" s="349">
        <v>114</v>
      </c>
      <c r="X281" s="349"/>
      <c r="Y281" s="349"/>
      <c r="Z281" s="349">
        <v>59</v>
      </c>
      <c r="AA281" s="804">
        <v>732</v>
      </c>
      <c r="AB281" s="804">
        <v>12</v>
      </c>
      <c r="AC281" s="349">
        <v>223</v>
      </c>
      <c r="AD281" s="349">
        <v>170</v>
      </c>
      <c r="AE281" s="349">
        <v>185</v>
      </c>
      <c r="AF281" s="349"/>
      <c r="AG281" s="804">
        <v>590</v>
      </c>
      <c r="AH281" s="804"/>
      <c r="AI281" s="349"/>
      <c r="AJ281" s="813"/>
      <c r="AK281" s="804"/>
    </row>
    <row r="282" spans="1:37">
      <c r="A282" s="580"/>
      <c r="B282" s="580" t="s">
        <v>131</v>
      </c>
      <c r="C282" s="832">
        <f>IF(U283&gt;0,(U282/U283),0)</f>
        <v>1.9319938176197836E-2</v>
      </c>
      <c r="D282" s="830">
        <f t="shared" ref="D282" si="2384">IF(V283&gt;0,(V282/V283),0)</f>
        <v>7.2888649811726741E-2</v>
      </c>
      <c r="E282" s="830">
        <f t="shared" ref="E282" si="2385">IF(W283&gt;0,(W282/W283),0)</f>
        <v>4.4719314938154141E-2</v>
      </c>
      <c r="F282" s="830">
        <f t="shared" ref="F282" si="2386">IF(X283&gt;0,(X282/X283),0)</f>
        <v>0</v>
      </c>
      <c r="G282" s="830">
        <f t="shared" ref="G282" si="2387">IF(Y283&gt;0,(Y282/Y283),0)</f>
        <v>0</v>
      </c>
      <c r="H282" s="830">
        <f t="shared" ref="H282" si="2388">IF(Z283&gt;0,(Z282/Z283),0)</f>
        <v>1.3651877133105802E-2</v>
      </c>
      <c r="I282" s="832">
        <f t="shared" ref="I282" si="2389">IF(AA283&gt;0,(AA282/AA283),0)</f>
        <v>4.0451998860507071E-2</v>
      </c>
      <c r="J282" s="832">
        <f t="shared" ref="J282" si="2390">IF(AB283&gt;0,(AB282/AB283),0)</f>
        <v>0</v>
      </c>
      <c r="K282" s="830">
        <f t="shared" ref="K282" si="2391">IF(AC283&gt;0,(AC282/AC283),0)</f>
        <v>0.17114754098360654</v>
      </c>
      <c r="L282" s="830">
        <f t="shared" ref="L282" si="2392">IF(AD283&gt;0,(AD282/AD283),0)</f>
        <v>5.8208955223880594E-2</v>
      </c>
      <c r="M282" s="830">
        <f t="shared" ref="M282" si="2393">IF(AE283&gt;0,(AE282/AE283),0)</f>
        <v>6.5671641791044774E-2</v>
      </c>
      <c r="N282" s="830">
        <f t="shared" ref="N282" si="2394">IF(AF283&gt;0,(AF282/AF283),0)</f>
        <v>0</v>
      </c>
      <c r="O282" s="832">
        <f t="shared" ref="O282" si="2395">IF(AG283&gt;0,(AG282/AG283),0)</f>
        <v>0.10951526032315978</v>
      </c>
      <c r="P282" s="832">
        <f t="shared" ref="P282" si="2396">IF(AH283&gt;0,(AH282/AH283),0)</f>
        <v>0</v>
      </c>
      <c r="Q282" s="830">
        <f t="shared" ref="Q282" si="2397">IF(AI283&gt;0,(AI282/AI283),0)</f>
        <v>0</v>
      </c>
      <c r="R282" s="833">
        <f t="shared" ref="R282" si="2398">IF(AJ283&gt;0,(AJ282/AJ283),0)</f>
        <v>0</v>
      </c>
      <c r="S282" s="832">
        <f t="shared" ref="S282" si="2399">IF(AK283&gt;0,(AK282/AK283),0)</f>
        <v>0</v>
      </c>
      <c r="U282" s="349">
        <v>100</v>
      </c>
      <c r="V282" s="349">
        <v>271</v>
      </c>
      <c r="W282" s="349">
        <v>47</v>
      </c>
      <c r="X282" s="349"/>
      <c r="Y282" s="349"/>
      <c r="Z282" s="349">
        <v>8</v>
      </c>
      <c r="AA282" s="804">
        <v>426</v>
      </c>
      <c r="AB282" s="804"/>
      <c r="AC282" s="349">
        <v>261</v>
      </c>
      <c r="AD282" s="349">
        <v>39</v>
      </c>
      <c r="AE282" s="349">
        <v>66</v>
      </c>
      <c r="AF282" s="349"/>
      <c r="AG282" s="804">
        <v>366</v>
      </c>
      <c r="AH282" s="804"/>
      <c r="AI282" s="349"/>
      <c r="AJ282" s="813"/>
      <c r="AK282" s="804"/>
    </row>
    <row r="283" spans="1:37">
      <c r="A283" s="436"/>
      <c r="B283" s="436" t="s">
        <v>59</v>
      </c>
      <c r="C283" s="834">
        <f>IF(U283&gt;0,(U283/U283),0)</f>
        <v>1</v>
      </c>
      <c r="D283" s="835">
        <f t="shared" ref="D283" si="2400">IF(V283&gt;0,(V283/V283),0)</f>
        <v>1</v>
      </c>
      <c r="E283" s="835">
        <f t="shared" ref="E283" si="2401">IF(W283&gt;0,(W283/W283),0)</f>
        <v>1</v>
      </c>
      <c r="F283" s="835">
        <f t="shared" ref="F283" si="2402">IF(X283&gt;0,(X283/X283),0)</f>
        <v>0</v>
      </c>
      <c r="G283" s="835">
        <f t="shared" ref="G283" si="2403">IF(Y283&gt;0,(Y283/Y283),0)</f>
        <v>0</v>
      </c>
      <c r="H283" s="835">
        <f t="shared" ref="H283" si="2404">IF(Z283&gt;0,(Z283/Z283),0)</f>
        <v>1</v>
      </c>
      <c r="I283" s="834">
        <f t="shared" ref="I283" si="2405">IF(AA283&gt;0,(AA283/AA283),0)</f>
        <v>1</v>
      </c>
      <c r="J283" s="834">
        <f t="shared" ref="J283" si="2406">IF(AB283&gt;0,(AB283/AB283),0)</f>
        <v>1</v>
      </c>
      <c r="K283" s="835">
        <f t="shared" ref="K283" si="2407">IF(AC283&gt;0,(AC283/AC283),0)</f>
        <v>1</v>
      </c>
      <c r="L283" s="835">
        <f t="shared" ref="L283" si="2408">IF(AD283&gt;0,(AD283/AD283),0)</f>
        <v>1</v>
      </c>
      <c r="M283" s="835">
        <f t="shared" ref="M283" si="2409">IF(AE283&gt;0,(AE283/AE283),0)</f>
        <v>1</v>
      </c>
      <c r="N283" s="835">
        <f t="shared" ref="N283" si="2410">IF(AF283&gt;0,(AF283/AF283),0)</f>
        <v>0</v>
      </c>
      <c r="O283" s="834">
        <f t="shared" ref="O283" si="2411">IF(AG283&gt;0,(AG283/AG283),0)</f>
        <v>1</v>
      </c>
      <c r="P283" s="834">
        <f t="shared" ref="P283" si="2412">IF(AH283&gt;0,(AH283/AH283),0)</f>
        <v>0</v>
      </c>
      <c r="Q283" s="835">
        <f t="shared" ref="Q283" si="2413">IF(AI283&gt;0,(AI283/AI283),0)</f>
        <v>0</v>
      </c>
      <c r="R283" s="836">
        <f t="shared" ref="R283" si="2414">IF(AJ283&gt;0,(AJ283/AJ283),0)</f>
        <v>0</v>
      </c>
      <c r="S283" s="834">
        <f t="shared" ref="S283" si="2415">IF(AK283&gt;0,(AK283/AK283),0)</f>
        <v>0</v>
      </c>
      <c r="U283" s="816">
        <v>5176</v>
      </c>
      <c r="V283" s="816">
        <v>3718</v>
      </c>
      <c r="W283" s="816">
        <v>1051</v>
      </c>
      <c r="X283" s="816"/>
      <c r="Y283" s="816"/>
      <c r="Z283" s="816">
        <v>586</v>
      </c>
      <c r="AA283" s="805">
        <v>10531</v>
      </c>
      <c r="AB283" s="805">
        <v>142</v>
      </c>
      <c r="AC283" s="816">
        <v>1525</v>
      </c>
      <c r="AD283" s="816">
        <v>670</v>
      </c>
      <c r="AE283" s="816">
        <v>1005</v>
      </c>
      <c r="AF283" s="816"/>
      <c r="AG283" s="805">
        <v>3342</v>
      </c>
      <c r="AH283" s="805"/>
      <c r="AI283" s="816"/>
      <c r="AJ283" s="817"/>
      <c r="AK283" s="805"/>
    </row>
    <row r="284" spans="1:37">
      <c r="A284" s="240" t="s">
        <v>164</v>
      </c>
      <c r="B284" s="240" t="s">
        <v>53</v>
      </c>
      <c r="C284" s="829">
        <f>IF(U289&gt;0,(U284/U289),0)</f>
        <v>0</v>
      </c>
      <c r="D284" s="830">
        <f t="shared" ref="D284" si="2416">IF(V289&gt;0,(V284/V289),0)</f>
        <v>0</v>
      </c>
      <c r="E284" s="830">
        <f t="shared" ref="E284" si="2417">IF(W289&gt;0,(W284/W289),0)</f>
        <v>0.30985915492957744</v>
      </c>
      <c r="F284" s="830">
        <f t="shared" ref="F284" si="2418">IF(X289&gt;0,(X284/X289),0)</f>
        <v>0</v>
      </c>
      <c r="G284" s="830">
        <f t="shared" ref="G284" si="2419">IF(Y289&gt;0,(Y284/Y289),0)</f>
        <v>0.18367346938775511</v>
      </c>
      <c r="H284" s="830">
        <f t="shared" ref="H284" si="2420">IF(Z289&gt;0,(Z284/Z289),0)</f>
        <v>0</v>
      </c>
      <c r="I284" s="829">
        <f t="shared" ref="I284" si="2421">IF(AA289&gt;0,(AA284/AA289),0)</f>
        <v>0.25849056603773585</v>
      </c>
      <c r="J284" s="829">
        <f t="shared" ref="J284" si="2422">IF(AB289&gt;0,(AB284/AB289),0)</f>
        <v>0</v>
      </c>
      <c r="K284" s="830">
        <f t="shared" ref="K284" si="2423">IF(AC289&gt;0,(AC284/AC289),0)</f>
        <v>0</v>
      </c>
      <c r="L284" s="830">
        <f t="shared" ref="L284" si="2424">IF(AD289&gt;0,(AD284/AD289),0)</f>
        <v>0</v>
      </c>
      <c r="M284" s="830">
        <f t="shared" ref="M284" si="2425">IF(AE289&gt;0,(AE284/AE289),0)</f>
        <v>0</v>
      </c>
      <c r="N284" s="830">
        <f t="shared" ref="N284" si="2426">IF(AF289&gt;0,(AF284/AF289),0)</f>
        <v>0</v>
      </c>
      <c r="O284" s="829">
        <f t="shared" ref="O284" si="2427">IF(AG289&gt;0,(AG284/AG289),0)</f>
        <v>0</v>
      </c>
      <c r="P284" s="829">
        <f t="shared" ref="P284" si="2428">IF(AH289&gt;0,(AH284/AH289),0)</f>
        <v>0</v>
      </c>
      <c r="Q284" s="830">
        <f t="shared" ref="Q284" si="2429">IF(AI289&gt;0,(AI284/AI289),0)</f>
        <v>0</v>
      </c>
      <c r="R284" s="831">
        <f t="shared" ref="R284" si="2430">IF(AJ289&gt;0,(AJ284/AJ289),0)</f>
        <v>0</v>
      </c>
      <c r="S284" s="829">
        <f t="shared" ref="S284" si="2431">IF(AK289&gt;0,(AK284/AK289),0)</f>
        <v>0</v>
      </c>
      <c r="U284" s="349"/>
      <c r="V284" s="349"/>
      <c r="W284" s="349">
        <v>220</v>
      </c>
      <c r="X284" s="349"/>
      <c r="Y284" s="349">
        <v>54</v>
      </c>
      <c r="Z284" s="349"/>
      <c r="AA284" s="803">
        <v>274</v>
      </c>
      <c r="AB284" s="803"/>
      <c r="AC284" s="349"/>
      <c r="AD284" s="349"/>
      <c r="AE284" s="349"/>
      <c r="AF284" s="349"/>
      <c r="AG284" s="803"/>
      <c r="AH284" s="803"/>
      <c r="AI284" s="349"/>
      <c r="AJ284" s="812"/>
      <c r="AK284" s="803"/>
    </row>
    <row r="285" spans="1:37">
      <c r="A285" s="239"/>
      <c r="B285" s="239" t="s">
        <v>93</v>
      </c>
      <c r="C285" s="832">
        <f>IF(U289&gt;0,(U285/U289),0)</f>
        <v>0</v>
      </c>
      <c r="D285" s="830">
        <f t="shared" ref="D285" si="2432">IF(V289&gt;0,(V285/V289),0)</f>
        <v>0</v>
      </c>
      <c r="E285" s="830">
        <f t="shared" ref="E285" si="2433">IF(W289&gt;0,(W285/W289),0)</f>
        <v>0.21690140845070421</v>
      </c>
      <c r="F285" s="830">
        <f t="shared" ref="F285" si="2434">IF(X289&gt;0,(X285/X289),0)</f>
        <v>0</v>
      </c>
      <c r="G285" s="830">
        <f t="shared" ref="G285" si="2435">IF(Y289&gt;0,(Y285/Y289),0)</f>
        <v>0.29251700680272108</v>
      </c>
      <c r="H285" s="830">
        <f t="shared" ref="H285" si="2436">IF(Z289&gt;0,(Z285/Z289),0)</f>
        <v>0</v>
      </c>
      <c r="I285" s="832">
        <f t="shared" ref="I285" si="2437">IF(AA289&gt;0,(AA285/AA289),0)</f>
        <v>0.22641509433962265</v>
      </c>
      <c r="J285" s="832">
        <f t="shared" ref="J285" si="2438">IF(AB289&gt;0,(AB285/AB289),0)</f>
        <v>0</v>
      </c>
      <c r="K285" s="830">
        <f t="shared" ref="K285" si="2439">IF(AC289&gt;0,(AC285/AC289),0)</f>
        <v>0</v>
      </c>
      <c r="L285" s="830">
        <f t="shared" ref="L285" si="2440">IF(AD289&gt;0,(AD285/AD289),0)</f>
        <v>0</v>
      </c>
      <c r="M285" s="830">
        <f t="shared" ref="M285" si="2441">IF(AE289&gt;0,(AE285/AE289),0)</f>
        <v>0</v>
      </c>
      <c r="N285" s="830">
        <f t="shared" ref="N285" si="2442">IF(AF289&gt;0,(AF285/AF289),0)</f>
        <v>0</v>
      </c>
      <c r="O285" s="832">
        <f t="shared" ref="O285" si="2443">IF(AG289&gt;0,(AG285/AG289),0)</f>
        <v>0</v>
      </c>
      <c r="P285" s="832">
        <f t="shared" ref="P285" si="2444">IF(AH289&gt;0,(AH285/AH289),0)</f>
        <v>0</v>
      </c>
      <c r="Q285" s="830">
        <f t="shared" ref="Q285" si="2445">IF(AI289&gt;0,(AI285/AI289),0)</f>
        <v>0</v>
      </c>
      <c r="R285" s="833">
        <f t="shared" ref="R285" si="2446">IF(AJ289&gt;0,(AJ285/AJ289),0)</f>
        <v>0</v>
      </c>
      <c r="S285" s="832">
        <f t="shared" ref="S285" si="2447">IF(AK289&gt;0,(AK285/AK289),0)</f>
        <v>0</v>
      </c>
      <c r="U285" s="349"/>
      <c r="V285" s="349"/>
      <c r="W285" s="349">
        <v>154</v>
      </c>
      <c r="X285" s="349"/>
      <c r="Y285" s="349">
        <v>86</v>
      </c>
      <c r="Z285" s="349"/>
      <c r="AA285" s="804">
        <v>240</v>
      </c>
      <c r="AB285" s="804"/>
      <c r="AC285" s="349"/>
      <c r="AD285" s="349"/>
      <c r="AE285" s="349"/>
      <c r="AF285" s="349"/>
      <c r="AG285" s="804"/>
      <c r="AH285" s="804"/>
      <c r="AI285" s="349"/>
      <c r="AJ285" s="813"/>
      <c r="AK285" s="804"/>
    </row>
    <row r="286" spans="1:37">
      <c r="A286" s="239"/>
      <c r="B286" s="239" t="s">
        <v>55</v>
      </c>
      <c r="C286" s="832">
        <f>IF(U289&gt;0,(U286/U289),0)</f>
        <v>0</v>
      </c>
      <c r="D286" s="830">
        <f t="shared" ref="D286" si="2448">IF(V289&gt;0,(V286/V289),0)</f>
        <v>0</v>
      </c>
      <c r="E286" s="830">
        <f t="shared" ref="E286" si="2449">IF(W289&gt;0,(W286/W289),0)</f>
        <v>0.28028169014084509</v>
      </c>
      <c r="F286" s="830">
        <f t="shared" ref="F286" si="2450">IF(X289&gt;0,(X286/X289),0)</f>
        <v>0</v>
      </c>
      <c r="G286" s="830">
        <f t="shared" ref="G286" si="2451">IF(Y289&gt;0,(Y286/Y289),0)</f>
        <v>0.35714285714285715</v>
      </c>
      <c r="H286" s="830">
        <f t="shared" ref="H286" si="2452">IF(Z289&gt;0,(Z286/Z289),0)</f>
        <v>0</v>
      </c>
      <c r="I286" s="832">
        <f t="shared" ref="I286" si="2453">IF(AA289&gt;0,(AA286/AA289),0)</f>
        <v>0.28679245283018867</v>
      </c>
      <c r="J286" s="832">
        <f t="shared" ref="J286" si="2454">IF(AB289&gt;0,(AB286/AB289),0)</f>
        <v>0</v>
      </c>
      <c r="K286" s="830">
        <f t="shared" ref="K286" si="2455">IF(AC289&gt;0,(AC286/AC289),0)</f>
        <v>0</v>
      </c>
      <c r="L286" s="830">
        <f t="shared" ref="L286" si="2456">IF(AD289&gt;0,(AD286/AD289),0)</f>
        <v>0</v>
      </c>
      <c r="M286" s="830">
        <f t="shared" ref="M286" si="2457">IF(AE289&gt;0,(AE286/AE289),0)</f>
        <v>0</v>
      </c>
      <c r="N286" s="830">
        <f t="shared" ref="N286" si="2458">IF(AF289&gt;0,(AF286/AF289),0)</f>
        <v>0</v>
      </c>
      <c r="O286" s="832">
        <f t="shared" ref="O286" si="2459">IF(AG289&gt;0,(AG286/AG289),0)</f>
        <v>0</v>
      </c>
      <c r="P286" s="832">
        <f t="shared" ref="P286" si="2460">IF(AH289&gt;0,(AH286/AH289),0)</f>
        <v>0</v>
      </c>
      <c r="Q286" s="830">
        <f t="shared" ref="Q286" si="2461">IF(AI289&gt;0,(AI286/AI289),0)</f>
        <v>0</v>
      </c>
      <c r="R286" s="833">
        <f t="shared" ref="R286" si="2462">IF(AJ289&gt;0,(AJ286/AJ289),0)</f>
        <v>0</v>
      </c>
      <c r="S286" s="832">
        <f t="shared" ref="S286" si="2463">IF(AK289&gt;0,(AK286/AK289),0)</f>
        <v>0</v>
      </c>
      <c r="U286" s="349"/>
      <c r="V286" s="349"/>
      <c r="W286" s="349">
        <v>199</v>
      </c>
      <c r="X286" s="349"/>
      <c r="Y286" s="349">
        <v>105</v>
      </c>
      <c r="Z286" s="349"/>
      <c r="AA286" s="804">
        <v>304</v>
      </c>
      <c r="AB286" s="804"/>
      <c r="AC286" s="349"/>
      <c r="AD286" s="349"/>
      <c r="AE286" s="349"/>
      <c r="AF286" s="349"/>
      <c r="AG286" s="804"/>
      <c r="AH286" s="804"/>
      <c r="AI286" s="349"/>
      <c r="AJ286" s="813"/>
      <c r="AK286" s="804"/>
    </row>
    <row r="287" spans="1:37">
      <c r="A287" s="239"/>
      <c r="B287" s="239" t="s">
        <v>78</v>
      </c>
      <c r="C287" s="832">
        <f>IF(U289&gt;0,(U287/U289),0)</f>
        <v>0</v>
      </c>
      <c r="D287" s="830">
        <f t="shared" ref="D287" si="2464">IF(V289&gt;0,(V287/V289),0)</f>
        <v>0</v>
      </c>
      <c r="E287" s="830">
        <f t="shared" ref="E287" si="2465">IF(W289&gt;0,(W287/W289),0)</f>
        <v>0.18873239436619718</v>
      </c>
      <c r="F287" s="830">
        <f t="shared" ref="F287" si="2466">IF(X289&gt;0,(X287/X289),0)</f>
        <v>0</v>
      </c>
      <c r="G287" s="830">
        <f t="shared" ref="G287" si="2467">IF(Y289&gt;0,(Y287/Y289),0)</f>
        <v>0.16666666666666666</v>
      </c>
      <c r="H287" s="830">
        <f t="shared" ref="H287" si="2468">IF(Z289&gt;0,(Z287/Z289),0)</f>
        <v>1</v>
      </c>
      <c r="I287" s="832">
        <f t="shared" ref="I287" si="2469">IF(AA289&gt;0,(AA287/AA289),0)</f>
        <v>0.22547169811320755</v>
      </c>
      <c r="J287" s="832">
        <f t="shared" ref="J287" si="2470">IF(AB289&gt;0,(AB287/AB289),0)</f>
        <v>0</v>
      </c>
      <c r="K287" s="830">
        <f t="shared" ref="K287" si="2471">IF(AC289&gt;0,(AC287/AC289),0)</f>
        <v>0</v>
      </c>
      <c r="L287" s="830">
        <f t="shared" ref="L287" si="2472">IF(AD289&gt;0,(AD287/AD289),0)</f>
        <v>1</v>
      </c>
      <c r="M287" s="830">
        <f t="shared" ref="M287" si="2473">IF(AE289&gt;0,(AE287/AE289),0)</f>
        <v>0.73575129533678751</v>
      </c>
      <c r="N287" s="830">
        <f t="shared" ref="N287" si="2474">IF(AF289&gt;0,(AF287/AF289),0)</f>
        <v>0</v>
      </c>
      <c r="O287" s="832">
        <f t="shared" ref="O287" si="2475">IF(AG289&gt;0,(AG287/AG289),0)</f>
        <v>0.81040892193308545</v>
      </c>
      <c r="P287" s="832">
        <f t="shared" ref="P287" si="2476">IF(AH289&gt;0,(AH287/AH289),0)</f>
        <v>0</v>
      </c>
      <c r="Q287" s="830">
        <f t="shared" ref="Q287" si="2477">IF(AI289&gt;0,(AI287/AI289),0)</f>
        <v>0</v>
      </c>
      <c r="R287" s="833">
        <f t="shared" ref="R287" si="2478">IF(AJ289&gt;0,(AJ287/AJ289),0)</f>
        <v>0</v>
      </c>
      <c r="S287" s="832">
        <f t="shared" ref="S287" si="2479">IF(AK289&gt;0,(AK287/AK289),0)</f>
        <v>0</v>
      </c>
      <c r="U287" s="349"/>
      <c r="V287" s="349"/>
      <c r="W287" s="349">
        <v>134</v>
      </c>
      <c r="X287" s="349"/>
      <c r="Y287" s="349">
        <v>49</v>
      </c>
      <c r="Z287" s="349">
        <v>56</v>
      </c>
      <c r="AA287" s="804">
        <v>239</v>
      </c>
      <c r="AB287" s="804"/>
      <c r="AC287" s="349"/>
      <c r="AD287" s="349">
        <v>76</v>
      </c>
      <c r="AE287" s="349">
        <v>142</v>
      </c>
      <c r="AF287" s="349"/>
      <c r="AG287" s="804">
        <v>218</v>
      </c>
      <c r="AH287" s="804"/>
      <c r="AI287" s="349"/>
      <c r="AJ287" s="813"/>
      <c r="AK287" s="804"/>
    </row>
    <row r="288" spans="1:37">
      <c r="A288" s="580"/>
      <c r="B288" s="580" t="s">
        <v>131</v>
      </c>
      <c r="C288" s="832">
        <f>IF(U289&gt;0,(U288/U289),0)</f>
        <v>0</v>
      </c>
      <c r="D288" s="830">
        <f t="shared" ref="D288" si="2480">IF(V289&gt;0,(V288/V289),0)</f>
        <v>0</v>
      </c>
      <c r="E288" s="830">
        <f t="shared" ref="E288" si="2481">IF(W289&gt;0,(W288/W289),0)</f>
        <v>4.2253521126760559E-3</v>
      </c>
      <c r="F288" s="830">
        <f t="shared" ref="F288" si="2482">IF(X289&gt;0,(X288/X289),0)</f>
        <v>0</v>
      </c>
      <c r="G288" s="830">
        <f t="shared" ref="G288" si="2483">IF(Y289&gt;0,(Y288/Y289),0)</f>
        <v>0</v>
      </c>
      <c r="H288" s="830">
        <f t="shared" ref="H288" si="2484">IF(Z289&gt;0,(Z288/Z289),0)</f>
        <v>0</v>
      </c>
      <c r="I288" s="832">
        <f t="shared" ref="I288" si="2485">IF(AA289&gt;0,(AA288/AA289),0)</f>
        <v>2.8301886792452828E-3</v>
      </c>
      <c r="J288" s="832">
        <f t="shared" ref="J288" si="2486">IF(AB289&gt;0,(AB288/AB289),0)</f>
        <v>0</v>
      </c>
      <c r="K288" s="830">
        <f t="shared" ref="K288" si="2487">IF(AC289&gt;0,(AC288/AC289),0)</f>
        <v>0</v>
      </c>
      <c r="L288" s="830">
        <f t="shared" ref="L288" si="2488">IF(AD289&gt;0,(AD288/AD289),0)</f>
        <v>0</v>
      </c>
      <c r="M288" s="830">
        <f t="shared" ref="M288" si="2489">IF(AE289&gt;0,(AE288/AE289),0)</f>
        <v>0.26424870466321243</v>
      </c>
      <c r="N288" s="830">
        <f t="shared" ref="N288" si="2490">IF(AF289&gt;0,(AF288/AF289),0)</f>
        <v>0</v>
      </c>
      <c r="O288" s="832">
        <f t="shared" ref="O288" si="2491">IF(AG289&gt;0,(AG288/AG289),0)</f>
        <v>0.1895910780669145</v>
      </c>
      <c r="P288" s="832">
        <f t="shared" ref="P288" si="2492">IF(AH289&gt;0,(AH288/AH289),0)</f>
        <v>0</v>
      </c>
      <c r="Q288" s="830">
        <f t="shared" ref="Q288" si="2493">IF(AI289&gt;0,(AI288/AI289),0)</f>
        <v>0</v>
      </c>
      <c r="R288" s="833">
        <f t="shared" ref="R288" si="2494">IF(AJ289&gt;0,(AJ288/AJ289),0)</f>
        <v>0</v>
      </c>
      <c r="S288" s="832">
        <f t="shared" ref="S288" si="2495">IF(AK289&gt;0,(AK288/AK289),0)</f>
        <v>0</v>
      </c>
      <c r="U288" s="349"/>
      <c r="V288" s="349"/>
      <c r="W288" s="349">
        <v>3</v>
      </c>
      <c r="X288" s="349"/>
      <c r="Y288" s="349"/>
      <c r="Z288" s="349"/>
      <c r="AA288" s="804">
        <v>3</v>
      </c>
      <c r="AB288" s="804"/>
      <c r="AC288" s="349"/>
      <c r="AD288" s="349"/>
      <c r="AE288" s="349">
        <v>51</v>
      </c>
      <c r="AF288" s="349"/>
      <c r="AG288" s="804">
        <v>51</v>
      </c>
      <c r="AH288" s="804"/>
      <c r="AI288" s="349"/>
      <c r="AJ288" s="813"/>
      <c r="AK288" s="804"/>
    </row>
    <row r="289" spans="1:37">
      <c r="A289" s="436"/>
      <c r="B289" s="436" t="s">
        <v>59</v>
      </c>
      <c r="C289" s="834">
        <f>IF(U289&gt;0,(U289/U289),0)</f>
        <v>0</v>
      </c>
      <c r="D289" s="835">
        <f t="shared" ref="D289" si="2496">IF(V289&gt;0,(V289/V289),0)</f>
        <v>0</v>
      </c>
      <c r="E289" s="835">
        <f t="shared" ref="E289" si="2497">IF(W289&gt;0,(W289/W289),0)</f>
        <v>1</v>
      </c>
      <c r="F289" s="835">
        <f t="shared" ref="F289" si="2498">IF(X289&gt;0,(X289/X289),0)</f>
        <v>0</v>
      </c>
      <c r="G289" s="835">
        <f t="shared" ref="G289" si="2499">IF(Y289&gt;0,(Y289/Y289),0)</f>
        <v>1</v>
      </c>
      <c r="H289" s="835">
        <f t="shared" ref="H289" si="2500">IF(Z289&gt;0,(Z289/Z289),0)</f>
        <v>1</v>
      </c>
      <c r="I289" s="834">
        <f t="shared" ref="I289" si="2501">IF(AA289&gt;0,(AA289/AA289),0)</f>
        <v>1</v>
      </c>
      <c r="J289" s="834">
        <f t="shared" ref="J289" si="2502">IF(AB289&gt;0,(AB289/AB289),0)</f>
        <v>0</v>
      </c>
      <c r="K289" s="835">
        <f t="shared" ref="K289" si="2503">IF(AC289&gt;0,(AC289/AC289),0)</f>
        <v>0</v>
      </c>
      <c r="L289" s="835">
        <f t="shared" ref="L289" si="2504">IF(AD289&gt;0,(AD289/AD289),0)</f>
        <v>1</v>
      </c>
      <c r="M289" s="835">
        <f t="shared" ref="M289" si="2505">IF(AE289&gt;0,(AE289/AE289),0)</f>
        <v>1</v>
      </c>
      <c r="N289" s="835">
        <f t="shared" ref="N289" si="2506">IF(AF289&gt;0,(AF289/AF289),0)</f>
        <v>0</v>
      </c>
      <c r="O289" s="834">
        <f t="shared" ref="O289" si="2507">IF(AG289&gt;0,(AG289/AG289),0)</f>
        <v>1</v>
      </c>
      <c r="P289" s="834">
        <f t="shared" ref="P289" si="2508">IF(AH289&gt;0,(AH289/AH289),0)</f>
        <v>0</v>
      </c>
      <c r="Q289" s="835">
        <f t="shared" ref="Q289" si="2509">IF(AI289&gt;0,(AI289/AI289),0)</f>
        <v>0</v>
      </c>
      <c r="R289" s="836">
        <f t="shared" ref="R289" si="2510">IF(AJ289&gt;0,(AJ289/AJ289),0)</f>
        <v>0</v>
      </c>
      <c r="S289" s="834">
        <f t="shared" ref="S289" si="2511">IF(AK289&gt;0,(AK289/AK289),0)</f>
        <v>0</v>
      </c>
      <c r="U289" s="816"/>
      <c r="V289" s="816"/>
      <c r="W289" s="816">
        <v>710</v>
      </c>
      <c r="X289" s="816"/>
      <c r="Y289" s="816">
        <v>294</v>
      </c>
      <c r="Z289" s="816">
        <v>56</v>
      </c>
      <c r="AA289" s="805">
        <v>1060</v>
      </c>
      <c r="AB289" s="805"/>
      <c r="AC289" s="816"/>
      <c r="AD289" s="816">
        <v>76</v>
      </c>
      <c r="AE289" s="816">
        <v>193</v>
      </c>
      <c r="AF289" s="816"/>
      <c r="AG289" s="805">
        <v>269</v>
      </c>
      <c r="AH289" s="805"/>
      <c r="AI289" s="816"/>
      <c r="AJ289" s="817"/>
      <c r="AK289" s="805"/>
    </row>
    <row r="290" spans="1:37">
      <c r="A290" s="240" t="s">
        <v>168</v>
      </c>
      <c r="B290" s="240" t="s">
        <v>53</v>
      </c>
      <c r="C290" s="829">
        <f>IF(U295&gt;0,(U290/U295),0)</f>
        <v>0.51720047449584816</v>
      </c>
      <c r="D290" s="830">
        <f t="shared" ref="D290" si="2512">IF(V295&gt;0,(V290/V295),0)</f>
        <v>0.21695257315842584</v>
      </c>
      <c r="E290" s="830">
        <f t="shared" ref="E290" si="2513">IF(W295&gt;0,(W290/W295),0)</f>
        <v>0</v>
      </c>
      <c r="F290" s="830">
        <f t="shared" ref="F290" si="2514">IF(X295&gt;0,(X290/X295),0)</f>
        <v>0.29198244914240129</v>
      </c>
      <c r="G290" s="830">
        <f t="shared" ref="G290" si="2515">IF(Y295&gt;0,(Y290/Y295),0)</f>
        <v>0.32005689900426743</v>
      </c>
      <c r="H290" s="830">
        <f t="shared" ref="H290" si="2516">IF(Z295&gt;0,(Z290/Z295),0)</f>
        <v>0</v>
      </c>
      <c r="I290" s="829">
        <f t="shared" ref="I290" si="2517">IF(AA295&gt;0,(AA290/AA295),0)</f>
        <v>0.34720570749108204</v>
      </c>
      <c r="J290" s="829">
        <f t="shared" ref="J290" si="2518">IF(AB295&gt;0,(AB290/AB295),0)</f>
        <v>0</v>
      </c>
      <c r="K290" s="830">
        <f t="shared" ref="K290" si="2519">IF(AC295&gt;0,(AC290/AC295),0)</f>
        <v>4.6988749172733289E-2</v>
      </c>
      <c r="L290" s="830">
        <f t="shared" ref="L290" si="2520">IF(AD295&gt;0,(AD290/AD295),0)</f>
        <v>0</v>
      </c>
      <c r="M290" s="830">
        <f t="shared" ref="M290" si="2521">IF(AE295&gt;0,(AE290/AE295),0)</f>
        <v>0</v>
      </c>
      <c r="N290" s="830">
        <f t="shared" ref="N290" si="2522">IF(AF295&gt;0,(AF290/AF295),0)</f>
        <v>0</v>
      </c>
      <c r="O290" s="829">
        <f t="shared" ref="O290" si="2523">IF(AG295&gt;0,(AG290/AG295),0)</f>
        <v>1.9988738738738739E-2</v>
      </c>
      <c r="P290" s="829">
        <f t="shared" ref="P290" si="2524">IF(AH295&gt;0,(AH290/AH295),0)</f>
        <v>0</v>
      </c>
      <c r="Q290" s="830">
        <f t="shared" ref="Q290" si="2525">IF(AI295&gt;0,(AI290/AI295),0)</f>
        <v>0</v>
      </c>
      <c r="R290" s="831">
        <f t="shared" ref="R290" si="2526">IF(AJ295&gt;0,(AJ290/AJ295),0)</f>
        <v>0</v>
      </c>
      <c r="S290" s="829">
        <f t="shared" ref="S290" si="2527">IF(AK295&gt;0,(AK290/AK295),0)</f>
        <v>0</v>
      </c>
      <c r="U290" s="349">
        <v>872</v>
      </c>
      <c r="V290" s="349">
        <v>215</v>
      </c>
      <c r="W290" s="349"/>
      <c r="X290" s="349">
        <v>732</v>
      </c>
      <c r="Y290" s="349">
        <v>225</v>
      </c>
      <c r="Z290" s="349"/>
      <c r="AA290" s="803">
        <v>2044</v>
      </c>
      <c r="AB290" s="803"/>
      <c r="AC290" s="349">
        <v>71</v>
      </c>
      <c r="AD290" s="349"/>
      <c r="AE290" s="349"/>
      <c r="AF290" s="349"/>
      <c r="AG290" s="803">
        <v>71</v>
      </c>
      <c r="AH290" s="803"/>
      <c r="AI290" s="349"/>
      <c r="AJ290" s="812"/>
      <c r="AK290" s="803"/>
    </row>
    <row r="291" spans="1:37">
      <c r="A291" s="239"/>
      <c r="B291" s="239" t="s">
        <v>93</v>
      </c>
      <c r="C291" s="832">
        <f>IF(U295&gt;0,(U291/U295),0)</f>
        <v>0.19039145907473309</v>
      </c>
      <c r="D291" s="830">
        <f t="shared" ref="D291" si="2528">IF(V295&gt;0,(V291/V295),0)</f>
        <v>0.28960645812310798</v>
      </c>
      <c r="E291" s="830">
        <f t="shared" ref="E291" si="2529">IF(W295&gt;0,(W291/W295),0)</f>
        <v>0</v>
      </c>
      <c r="F291" s="830">
        <f t="shared" ref="F291" si="2530">IF(X295&gt;0,(X291/X295),0)</f>
        <v>0.27562824092540883</v>
      </c>
      <c r="G291" s="830">
        <f t="shared" ref="G291" si="2531">IF(Y295&gt;0,(Y291/Y295),0)</f>
        <v>0.28733997155049784</v>
      </c>
      <c r="H291" s="830">
        <f t="shared" ref="H291" si="2532">IF(Z295&gt;0,(Z291/Z295),0)</f>
        <v>0</v>
      </c>
      <c r="I291" s="832">
        <f t="shared" ref="I291" si="2533">IF(AA295&gt;0,(AA291/AA295),0)</f>
        <v>0.25496857482588753</v>
      </c>
      <c r="J291" s="832">
        <f t="shared" ref="J291" si="2534">IF(AB295&gt;0,(AB291/AB295),0)</f>
        <v>0</v>
      </c>
      <c r="K291" s="830">
        <f t="shared" ref="K291" si="2535">IF(AC295&gt;0,(AC291/AC295),0)</f>
        <v>6.6843150231634674E-2</v>
      </c>
      <c r="L291" s="830">
        <f t="shared" ref="L291" si="2536">IF(AD295&gt;0,(AD291/AD295),0)</f>
        <v>0</v>
      </c>
      <c r="M291" s="830">
        <f t="shared" ref="M291" si="2537">IF(AE295&gt;0,(AE291/AE295),0)</f>
        <v>0</v>
      </c>
      <c r="N291" s="830">
        <f t="shared" ref="N291" si="2538">IF(AF295&gt;0,(AF291/AF295),0)</f>
        <v>0</v>
      </c>
      <c r="O291" s="832">
        <f t="shared" ref="O291" si="2539">IF(AG295&gt;0,(AG291/AG295),0)</f>
        <v>2.8434684684684686E-2</v>
      </c>
      <c r="P291" s="832">
        <f t="shared" ref="P291" si="2540">IF(AH295&gt;0,(AH291/AH295),0)</f>
        <v>0</v>
      </c>
      <c r="Q291" s="830">
        <f t="shared" ref="Q291" si="2541">IF(AI295&gt;0,(AI291/AI295),0)</f>
        <v>0</v>
      </c>
      <c r="R291" s="833">
        <f t="shared" ref="R291" si="2542">IF(AJ295&gt;0,(AJ291/AJ295),0)</f>
        <v>0</v>
      </c>
      <c r="S291" s="832">
        <f t="shared" ref="S291" si="2543">IF(AK295&gt;0,(AK291/AK295),0)</f>
        <v>0</v>
      </c>
      <c r="U291" s="349">
        <v>321</v>
      </c>
      <c r="V291" s="349">
        <v>287</v>
      </c>
      <c r="W291" s="349"/>
      <c r="X291" s="349">
        <v>691</v>
      </c>
      <c r="Y291" s="349">
        <v>202</v>
      </c>
      <c r="Z291" s="349"/>
      <c r="AA291" s="804">
        <v>1501</v>
      </c>
      <c r="AB291" s="804"/>
      <c r="AC291" s="349">
        <v>101</v>
      </c>
      <c r="AD291" s="349"/>
      <c r="AE291" s="349"/>
      <c r="AF291" s="349"/>
      <c r="AG291" s="804">
        <v>101</v>
      </c>
      <c r="AH291" s="804"/>
      <c r="AI291" s="349"/>
      <c r="AJ291" s="813"/>
      <c r="AK291" s="804"/>
    </row>
    <row r="292" spans="1:37">
      <c r="A292" s="239"/>
      <c r="B292" s="239" t="s">
        <v>55</v>
      </c>
      <c r="C292" s="832">
        <f>IF(U295&gt;0,(U292/U295),0)</f>
        <v>0.2354685646500593</v>
      </c>
      <c r="D292" s="830">
        <f t="shared" ref="D292" si="2544">IF(V295&gt;0,(V292/V295),0)</f>
        <v>0.29969727547931385</v>
      </c>
      <c r="E292" s="830">
        <f t="shared" ref="E292" si="2545">IF(W295&gt;0,(W292/W295),0)</f>
        <v>0</v>
      </c>
      <c r="F292" s="830">
        <f t="shared" ref="F292" si="2546">IF(X295&gt;0,(X292/X295),0)</f>
        <v>0.24212205823693658</v>
      </c>
      <c r="G292" s="830">
        <f t="shared" ref="G292" si="2547">IF(Y295&gt;0,(Y292/Y295),0)</f>
        <v>0.21621621621621623</v>
      </c>
      <c r="H292" s="830">
        <f t="shared" ref="H292" si="2548">IF(Z295&gt;0,(Z292/Z295),0)</f>
        <v>0</v>
      </c>
      <c r="I292" s="832">
        <f t="shared" ref="I292" si="2549">IF(AA295&gt;0,(AA292/AA295),0)</f>
        <v>0.24681501613725157</v>
      </c>
      <c r="J292" s="832">
        <f t="shared" ref="J292" si="2550">IF(AB295&gt;0,(AB292/AB295),0)</f>
        <v>0</v>
      </c>
      <c r="K292" s="830">
        <f t="shared" ref="K292" si="2551">IF(AC295&gt;0,(AC292/AC295),0)</f>
        <v>7.9417604235605566E-2</v>
      </c>
      <c r="L292" s="830">
        <f t="shared" ref="L292" si="2552">IF(AD295&gt;0,(AD292/AD295),0)</f>
        <v>0</v>
      </c>
      <c r="M292" s="830">
        <f t="shared" ref="M292" si="2553">IF(AE295&gt;0,(AE292/AE295),0)</f>
        <v>0</v>
      </c>
      <c r="N292" s="830">
        <f t="shared" ref="N292" si="2554">IF(AF295&gt;0,(AF292/AF295),0)</f>
        <v>0</v>
      </c>
      <c r="O292" s="832">
        <f t="shared" ref="O292" si="2555">IF(AG295&gt;0,(AG292/AG295),0)</f>
        <v>3.3783783783783786E-2</v>
      </c>
      <c r="P292" s="832">
        <f t="shared" ref="P292" si="2556">IF(AH295&gt;0,(AH292/AH295),0)</f>
        <v>0</v>
      </c>
      <c r="Q292" s="830">
        <f t="shared" ref="Q292" si="2557">IF(AI295&gt;0,(AI292/AI295),0)</f>
        <v>0</v>
      </c>
      <c r="R292" s="833">
        <f t="shared" ref="R292" si="2558">IF(AJ295&gt;0,(AJ292/AJ295),0)</f>
        <v>0</v>
      </c>
      <c r="S292" s="832">
        <f t="shared" ref="S292" si="2559">IF(AK295&gt;0,(AK292/AK295),0)</f>
        <v>0</v>
      </c>
      <c r="U292" s="349">
        <v>397</v>
      </c>
      <c r="V292" s="349">
        <v>297</v>
      </c>
      <c r="W292" s="349"/>
      <c r="X292" s="349">
        <v>607</v>
      </c>
      <c r="Y292" s="349">
        <v>152</v>
      </c>
      <c r="Z292" s="349"/>
      <c r="AA292" s="804">
        <v>1453</v>
      </c>
      <c r="AB292" s="804"/>
      <c r="AC292" s="349">
        <v>120</v>
      </c>
      <c r="AD292" s="349"/>
      <c r="AE292" s="349"/>
      <c r="AF292" s="349"/>
      <c r="AG292" s="804">
        <v>120</v>
      </c>
      <c r="AH292" s="804"/>
      <c r="AI292" s="349"/>
      <c r="AJ292" s="813"/>
      <c r="AK292" s="804"/>
    </row>
    <row r="293" spans="1:37">
      <c r="A293" s="239"/>
      <c r="B293" s="239" t="s">
        <v>78</v>
      </c>
      <c r="C293" s="832">
        <f>IF(U295&gt;0,(U293/U295),0)</f>
        <v>1.0676156583629894E-2</v>
      </c>
      <c r="D293" s="830">
        <f t="shared" ref="D293" si="2560">IF(V295&gt;0,(V293/V295),0)</f>
        <v>8.0726538849646822E-3</v>
      </c>
      <c r="E293" s="830">
        <f t="shared" ref="E293" si="2561">IF(W295&gt;0,(W293/W295),0)</f>
        <v>0</v>
      </c>
      <c r="F293" s="830">
        <f t="shared" ref="F293" si="2562">IF(X295&gt;0,(X293/X295),0)</f>
        <v>9.1743119266055051E-3</v>
      </c>
      <c r="G293" s="830">
        <f t="shared" ref="G293" si="2563">IF(Y295&gt;0,(Y293/Y295),0)</f>
        <v>4.2674253200568994E-3</v>
      </c>
      <c r="H293" s="830">
        <f t="shared" ref="H293" si="2564">IF(Z295&gt;0,(Z293/Z295),0)</f>
        <v>0</v>
      </c>
      <c r="I293" s="832">
        <f t="shared" ref="I293" si="2565">IF(AA295&gt;0,(AA293/AA295),0)</f>
        <v>8.8330219126889764E-3</v>
      </c>
      <c r="J293" s="832">
        <f t="shared" ref="J293" si="2566">IF(AB295&gt;0,(AB293/AB295),0)</f>
        <v>0</v>
      </c>
      <c r="K293" s="830">
        <f t="shared" ref="K293" si="2567">IF(AC295&gt;0,(AC293/AC295),0)</f>
        <v>0.65056254136333558</v>
      </c>
      <c r="L293" s="830">
        <f t="shared" ref="L293" si="2568">IF(AD295&gt;0,(AD293/AD295),0)</f>
        <v>0.85182849936948302</v>
      </c>
      <c r="M293" s="830">
        <f t="shared" ref="M293" si="2569">IF(AE295&gt;0,(AE293/AE295),0)</f>
        <v>0.78241758241758241</v>
      </c>
      <c r="N293" s="830">
        <f t="shared" ref="N293" si="2570">IF(AF295&gt;0,(AF293/AF295),0)</f>
        <v>0</v>
      </c>
      <c r="O293" s="832">
        <f t="shared" ref="O293" si="2571">IF(AG295&gt;0,(AG293/AG295),0)</f>
        <v>0.75731981981981977</v>
      </c>
      <c r="P293" s="832">
        <f t="shared" ref="P293" si="2572">IF(AH295&gt;0,(AH293/AH295),0)</f>
        <v>0</v>
      </c>
      <c r="Q293" s="830">
        <f t="shared" ref="Q293" si="2573">IF(AI295&gt;0,(AI293/AI295),0)</f>
        <v>0</v>
      </c>
      <c r="R293" s="833">
        <f t="shared" ref="R293" si="2574">IF(AJ295&gt;0,(AJ293/AJ295),0)</f>
        <v>0</v>
      </c>
      <c r="S293" s="832">
        <f t="shared" ref="S293" si="2575">IF(AK295&gt;0,(AK293/AK295),0)</f>
        <v>0</v>
      </c>
      <c r="U293" s="349">
        <v>18</v>
      </c>
      <c r="V293" s="349">
        <v>8</v>
      </c>
      <c r="W293" s="349"/>
      <c r="X293" s="349">
        <v>23</v>
      </c>
      <c r="Y293" s="349">
        <v>3</v>
      </c>
      <c r="Z293" s="349"/>
      <c r="AA293" s="804">
        <v>52</v>
      </c>
      <c r="AB293" s="804"/>
      <c r="AC293" s="349">
        <v>983</v>
      </c>
      <c r="AD293" s="349">
        <v>1351</v>
      </c>
      <c r="AE293" s="349">
        <v>356</v>
      </c>
      <c r="AF293" s="349"/>
      <c r="AG293" s="804">
        <v>2690</v>
      </c>
      <c r="AH293" s="804"/>
      <c r="AI293" s="349"/>
      <c r="AJ293" s="813"/>
      <c r="AK293" s="804"/>
    </row>
    <row r="294" spans="1:37">
      <c r="A294" s="580"/>
      <c r="B294" s="580" t="s">
        <v>131</v>
      </c>
      <c r="C294" s="832">
        <f>IF(U295&gt;0,(U294/U295),0)</f>
        <v>4.6263345195729534E-2</v>
      </c>
      <c r="D294" s="830">
        <f t="shared" ref="D294" si="2576">IF(V295&gt;0,(V294/V295),0)</f>
        <v>0.18567103935418769</v>
      </c>
      <c r="E294" s="830">
        <f t="shared" ref="E294" si="2577">IF(W295&gt;0,(W294/W295),0)</f>
        <v>0</v>
      </c>
      <c r="F294" s="830">
        <f t="shared" ref="F294" si="2578">IF(X295&gt;0,(X294/X295),0)</f>
        <v>0.18109293976864779</v>
      </c>
      <c r="G294" s="830">
        <f t="shared" ref="G294" si="2579">IF(Y295&gt;0,(Y294/Y295),0)</f>
        <v>0.17211948790896159</v>
      </c>
      <c r="H294" s="830">
        <f t="shared" ref="H294" si="2580">IF(Z295&gt;0,(Z294/Z295),0)</f>
        <v>0</v>
      </c>
      <c r="I294" s="832">
        <f t="shared" ref="I294" si="2581">IF(AA295&gt;0,(AA294/AA295),0)</f>
        <v>0.14217767963308986</v>
      </c>
      <c r="J294" s="832">
        <f t="shared" ref="J294" si="2582">IF(AB295&gt;0,(AB294/AB295),0)</f>
        <v>0</v>
      </c>
      <c r="K294" s="830">
        <f t="shared" ref="K294" si="2583">IF(AC295&gt;0,(AC294/AC295),0)</f>
        <v>0.15618795499669094</v>
      </c>
      <c r="L294" s="830">
        <f t="shared" ref="L294" si="2584">IF(AD295&gt;0,(AD294/AD295),0)</f>
        <v>0.14817150063051701</v>
      </c>
      <c r="M294" s="830">
        <f t="shared" ref="M294" si="2585">IF(AE295&gt;0,(AE294/AE295),0)</f>
        <v>0.21758241758241759</v>
      </c>
      <c r="N294" s="830">
        <f t="shared" ref="N294" si="2586">IF(AF295&gt;0,(AF294/AF295),0)</f>
        <v>0</v>
      </c>
      <c r="O294" s="832">
        <f t="shared" ref="O294" si="2587">IF(AG295&gt;0,(AG294/AG295),0)</f>
        <v>0.16047297297297297</v>
      </c>
      <c r="P294" s="832">
        <f t="shared" ref="P294" si="2588">IF(AH295&gt;0,(AH294/AH295),0)</f>
        <v>0</v>
      </c>
      <c r="Q294" s="830">
        <f t="shared" ref="Q294" si="2589">IF(AI295&gt;0,(AI294/AI295),0)</f>
        <v>0</v>
      </c>
      <c r="R294" s="833">
        <f t="shared" ref="R294" si="2590">IF(AJ295&gt;0,(AJ294/AJ295),0)</f>
        <v>0</v>
      </c>
      <c r="S294" s="832">
        <f t="shared" ref="S294" si="2591">IF(AK295&gt;0,(AK294/AK295),0)</f>
        <v>0</v>
      </c>
      <c r="U294" s="349">
        <v>78</v>
      </c>
      <c r="V294" s="349">
        <v>184</v>
      </c>
      <c r="W294" s="349"/>
      <c r="X294" s="349">
        <v>454</v>
      </c>
      <c r="Y294" s="349">
        <v>121</v>
      </c>
      <c r="Z294" s="349"/>
      <c r="AA294" s="804">
        <v>837</v>
      </c>
      <c r="AB294" s="804"/>
      <c r="AC294" s="349">
        <v>236</v>
      </c>
      <c r="AD294" s="349">
        <v>235</v>
      </c>
      <c r="AE294" s="349">
        <v>99</v>
      </c>
      <c r="AF294" s="349"/>
      <c r="AG294" s="804">
        <v>570</v>
      </c>
      <c r="AH294" s="804"/>
      <c r="AI294" s="349"/>
      <c r="AJ294" s="813"/>
      <c r="AK294" s="804"/>
    </row>
    <row r="295" spans="1:37">
      <c r="A295" s="436"/>
      <c r="B295" s="436" t="s">
        <v>59</v>
      </c>
      <c r="C295" s="834">
        <f>IF(U295&gt;0,(U295/U295),0)</f>
        <v>1</v>
      </c>
      <c r="D295" s="835">
        <f t="shared" ref="D295" si="2592">IF(V295&gt;0,(V295/V295),0)</f>
        <v>1</v>
      </c>
      <c r="E295" s="835">
        <f t="shared" ref="E295" si="2593">IF(W295&gt;0,(W295/W295),0)</f>
        <v>0</v>
      </c>
      <c r="F295" s="835">
        <f t="shared" ref="F295" si="2594">IF(X295&gt;0,(X295/X295),0)</f>
        <v>1</v>
      </c>
      <c r="G295" s="835">
        <f t="shared" ref="G295" si="2595">IF(Y295&gt;0,(Y295/Y295),0)</f>
        <v>1</v>
      </c>
      <c r="H295" s="835">
        <f t="shared" ref="H295" si="2596">IF(Z295&gt;0,(Z295/Z295),0)</f>
        <v>0</v>
      </c>
      <c r="I295" s="834">
        <f t="shared" ref="I295" si="2597">IF(AA295&gt;0,(AA295/AA295),0)</f>
        <v>1</v>
      </c>
      <c r="J295" s="834">
        <f t="shared" ref="J295" si="2598">IF(AB295&gt;0,(AB295/AB295),0)</f>
        <v>0</v>
      </c>
      <c r="K295" s="835">
        <f t="shared" ref="K295" si="2599">IF(AC295&gt;0,(AC295/AC295),0)</f>
        <v>1</v>
      </c>
      <c r="L295" s="835">
        <f t="shared" ref="L295" si="2600">IF(AD295&gt;0,(AD295/AD295),0)</f>
        <v>1</v>
      </c>
      <c r="M295" s="835">
        <f t="shared" ref="M295" si="2601">IF(AE295&gt;0,(AE295/AE295),0)</f>
        <v>1</v>
      </c>
      <c r="N295" s="835">
        <f t="shared" ref="N295" si="2602">IF(AF295&gt;0,(AF295/AF295),0)</f>
        <v>0</v>
      </c>
      <c r="O295" s="834">
        <f t="shared" ref="O295" si="2603">IF(AG295&gt;0,(AG295/AG295),0)</f>
        <v>1</v>
      </c>
      <c r="P295" s="834">
        <f t="shared" ref="P295" si="2604">IF(AH295&gt;0,(AH295/AH295),0)</f>
        <v>0</v>
      </c>
      <c r="Q295" s="835">
        <f t="shared" ref="Q295" si="2605">IF(AI295&gt;0,(AI295/AI295),0)</f>
        <v>0</v>
      </c>
      <c r="R295" s="836">
        <f t="shared" ref="R295" si="2606">IF(AJ295&gt;0,(AJ295/AJ295),0)</f>
        <v>0</v>
      </c>
      <c r="S295" s="834">
        <f t="shared" ref="S295" si="2607">IF(AK295&gt;0,(AK295/AK295),0)</f>
        <v>0</v>
      </c>
      <c r="U295" s="816">
        <v>1686</v>
      </c>
      <c r="V295" s="816">
        <v>991</v>
      </c>
      <c r="W295" s="816"/>
      <c r="X295" s="816">
        <v>2507</v>
      </c>
      <c r="Y295" s="816">
        <v>703</v>
      </c>
      <c r="Z295" s="816"/>
      <c r="AA295" s="805">
        <v>5887</v>
      </c>
      <c r="AB295" s="805"/>
      <c r="AC295" s="816">
        <v>1511</v>
      </c>
      <c r="AD295" s="816">
        <v>1586</v>
      </c>
      <c r="AE295" s="816">
        <v>455</v>
      </c>
      <c r="AF295" s="816"/>
      <c r="AG295" s="805">
        <v>3552</v>
      </c>
      <c r="AH295" s="805"/>
      <c r="AI295" s="816"/>
      <c r="AJ295" s="817"/>
      <c r="AK295" s="805"/>
    </row>
    <row r="296" spans="1:37">
      <c r="A296" s="240" t="s">
        <v>173</v>
      </c>
      <c r="B296" s="240" t="s">
        <v>53</v>
      </c>
      <c r="C296" s="829">
        <f>IF(U301&gt;0,(U296/U301),0)</f>
        <v>0.34845875667298087</v>
      </c>
      <c r="D296" s="830">
        <f t="shared" ref="D296" si="2608">IF(V301&gt;0,(V296/V301),0)</f>
        <v>0.35855714565771418</v>
      </c>
      <c r="E296" s="830">
        <f t="shared" ref="E296" si="2609">IF(W301&gt;0,(W296/W301),0)</f>
        <v>0.33525146737253997</v>
      </c>
      <c r="F296" s="830">
        <f t="shared" ref="F296" si="2610">IF(X301&gt;0,(X296/X301),0)</f>
        <v>0.30454545454545456</v>
      </c>
      <c r="G296" s="830">
        <f t="shared" ref="G296" si="2611">IF(Y301&gt;0,(Y296/Y301),0)</f>
        <v>0.28076550387596899</v>
      </c>
      <c r="H296" s="830">
        <f t="shared" ref="H296" si="2612">IF(Z301&gt;0,(Z296/Z301),0)</f>
        <v>0.18773738469886056</v>
      </c>
      <c r="I296" s="829">
        <f t="shared" ref="I296" si="2613">IF(AA301&gt;0,(AA296/AA301),0)</f>
        <v>0.31799270635369048</v>
      </c>
      <c r="J296" s="829">
        <f t="shared" ref="J296" si="2614">IF(AB301&gt;0,(AB296/AB301),0)</f>
        <v>0</v>
      </c>
      <c r="K296" s="830">
        <f t="shared" ref="K296" si="2615">IF(AC301&gt;0,(AC296/AC301),0)</f>
        <v>0.32435530085959885</v>
      </c>
      <c r="L296" s="830">
        <f t="shared" ref="L296" si="2616">IF(AD301&gt;0,(AD296/AD301),0)</f>
        <v>0.39151776948753192</v>
      </c>
      <c r="M296" s="830">
        <f t="shared" ref="M296" si="2617">IF(AE301&gt;0,(AE296/AE301),0)</f>
        <v>0.31261595547309834</v>
      </c>
      <c r="N296" s="830">
        <f t="shared" ref="N296" si="2618">IF(AF301&gt;0,(AF296/AF301),0)</f>
        <v>0.31838565022421522</v>
      </c>
      <c r="O296" s="829">
        <f t="shared" ref="O296" si="2619">IF(AG301&gt;0,(AG296/AG301),0)</f>
        <v>0.34888589801106623</v>
      </c>
      <c r="P296" s="829">
        <f t="shared" ref="P296" si="2620">IF(AH301&gt;0,(AH296/AH301),0)</f>
        <v>0</v>
      </c>
      <c r="Q296" s="830">
        <f t="shared" ref="Q296" si="2621">IF(AI301&gt;0,(AI296/AI301),0)</f>
        <v>0</v>
      </c>
      <c r="R296" s="831">
        <f t="shared" ref="R296" si="2622">IF(AJ301&gt;0,(AJ296/AJ301),0)</f>
        <v>0</v>
      </c>
      <c r="S296" s="829">
        <f t="shared" ref="S296" si="2623">IF(AK301&gt;0,(AK296/AK301),0)</f>
        <v>0</v>
      </c>
      <c r="U296" s="796">
        <f>U302+U308+U314+U320+U326+U332+U338+U344+U350</f>
        <v>4047</v>
      </c>
      <c r="V296" s="796">
        <f t="shared" ref="V296:AK301" si="2624">V302+V308+V314+V320+V326+V332+V338+V344+V350</f>
        <v>1829</v>
      </c>
      <c r="W296" s="796">
        <f t="shared" si="2624"/>
        <v>2913</v>
      </c>
      <c r="X296" s="796">
        <f t="shared" si="2624"/>
        <v>1742</v>
      </c>
      <c r="Y296" s="796">
        <f t="shared" si="2624"/>
        <v>1159</v>
      </c>
      <c r="Z296" s="796">
        <f t="shared" si="2624"/>
        <v>692</v>
      </c>
      <c r="AA296" s="801">
        <f t="shared" si="2624"/>
        <v>12382</v>
      </c>
      <c r="AB296" s="801">
        <f t="shared" si="2624"/>
        <v>0</v>
      </c>
      <c r="AC296" s="796">
        <f t="shared" si="2624"/>
        <v>2264</v>
      </c>
      <c r="AD296" s="796">
        <f t="shared" si="2624"/>
        <v>1994</v>
      </c>
      <c r="AE296" s="796">
        <f t="shared" si="2624"/>
        <v>337</v>
      </c>
      <c r="AF296" s="796">
        <f t="shared" si="2624"/>
        <v>71</v>
      </c>
      <c r="AG296" s="801">
        <f t="shared" si="2624"/>
        <v>4666</v>
      </c>
      <c r="AH296" s="801">
        <f t="shared" si="2624"/>
        <v>0</v>
      </c>
      <c r="AI296" s="796">
        <f t="shared" si="2624"/>
        <v>0</v>
      </c>
      <c r="AJ296" s="818">
        <f t="shared" si="2624"/>
        <v>0</v>
      </c>
      <c r="AK296" s="801">
        <f t="shared" si="2624"/>
        <v>0</v>
      </c>
    </row>
    <row r="297" spans="1:37">
      <c r="A297" s="239"/>
      <c r="B297" s="239" t="s">
        <v>93</v>
      </c>
      <c r="C297" s="832">
        <f>IF(U301&gt;0,(U297/U301),0)</f>
        <v>0.26209746857241262</v>
      </c>
      <c r="D297" s="830">
        <f t="shared" ref="D297" si="2625">IF(V301&gt;0,(V297/V301),0)</f>
        <v>0.28151342873946283</v>
      </c>
      <c r="E297" s="830">
        <f t="shared" ref="E297" si="2626">IF(W301&gt;0,(W297/W301),0)</f>
        <v>0.29404994821038094</v>
      </c>
      <c r="F297" s="830">
        <f t="shared" ref="F297" si="2627">IF(X301&gt;0,(X297/X301),0)</f>
        <v>0.28076923076923077</v>
      </c>
      <c r="G297" s="830">
        <f t="shared" ref="G297" si="2628">IF(Y301&gt;0,(Y297/Y301),0)</f>
        <v>0.29675387596899228</v>
      </c>
      <c r="H297" s="830">
        <f t="shared" ref="H297" si="2629">IF(Z301&gt;0,(Z297/Z301),0)</f>
        <v>0.26180141074335322</v>
      </c>
      <c r="I297" s="832">
        <f t="shared" ref="I297" si="2630">IF(AA301&gt;0,(AA297/AA301),0)</f>
        <v>0.27816015203657096</v>
      </c>
      <c r="J297" s="832">
        <f t="shared" ref="J297" si="2631">IF(AB301&gt;0,(AB297/AB301),0)</f>
        <v>0</v>
      </c>
      <c r="K297" s="830">
        <f t="shared" ref="K297" si="2632">IF(AC301&gt;0,(AC297/AC301),0)</f>
        <v>0.20386819484240687</v>
      </c>
      <c r="L297" s="830">
        <f t="shared" ref="L297" si="2633">IF(AD301&gt;0,(AD297/AD301),0)</f>
        <v>0.18515609660318083</v>
      </c>
      <c r="M297" s="830">
        <f t="shared" ref="M297" si="2634">IF(AE301&gt;0,(AE297/AE301),0)</f>
        <v>0.15306122448979592</v>
      </c>
      <c r="N297" s="830">
        <f t="shared" ref="N297" si="2635">IF(AF301&gt;0,(AF297/AF301),0)</f>
        <v>0.22421524663677131</v>
      </c>
      <c r="O297" s="832">
        <f t="shared" ref="O297" si="2636">IF(AG301&gt;0,(AG297/AG301),0)</f>
        <v>0.19298639150590699</v>
      </c>
      <c r="P297" s="832">
        <f t="shared" ref="P297" si="2637">IF(AH301&gt;0,(AH297/AH301),0)</f>
        <v>0</v>
      </c>
      <c r="Q297" s="830">
        <f t="shared" ref="Q297" si="2638">IF(AI301&gt;0,(AI297/AI301),0)</f>
        <v>0</v>
      </c>
      <c r="R297" s="833">
        <f t="shared" ref="R297" si="2639">IF(AJ301&gt;0,(AJ297/AJ301),0)</f>
        <v>0</v>
      </c>
      <c r="S297" s="832">
        <f t="shared" ref="S297" si="2640">IF(AK301&gt;0,(AK297/AK301),0)</f>
        <v>0</v>
      </c>
      <c r="U297" s="796">
        <f t="shared" ref="U297:AJ301" si="2641">U303+U309+U315+U321+U327+U333+U339+U345+U351</f>
        <v>3044</v>
      </c>
      <c r="V297" s="796">
        <f t="shared" si="2641"/>
        <v>1436</v>
      </c>
      <c r="W297" s="796">
        <f t="shared" si="2641"/>
        <v>2555</v>
      </c>
      <c r="X297" s="796">
        <f t="shared" si="2641"/>
        <v>1606</v>
      </c>
      <c r="Y297" s="796">
        <f t="shared" si="2641"/>
        <v>1225</v>
      </c>
      <c r="Z297" s="796">
        <f t="shared" si="2641"/>
        <v>965</v>
      </c>
      <c r="AA297" s="802">
        <f t="shared" si="2641"/>
        <v>10831</v>
      </c>
      <c r="AB297" s="802">
        <f t="shared" si="2641"/>
        <v>0</v>
      </c>
      <c r="AC297" s="796">
        <f t="shared" si="2641"/>
        <v>1423</v>
      </c>
      <c r="AD297" s="796">
        <f t="shared" si="2641"/>
        <v>943</v>
      </c>
      <c r="AE297" s="796">
        <f t="shared" si="2641"/>
        <v>165</v>
      </c>
      <c r="AF297" s="796">
        <f t="shared" si="2641"/>
        <v>50</v>
      </c>
      <c r="AG297" s="802">
        <f t="shared" si="2641"/>
        <v>2581</v>
      </c>
      <c r="AH297" s="802">
        <f t="shared" si="2641"/>
        <v>0</v>
      </c>
      <c r="AI297" s="796">
        <f t="shared" si="2641"/>
        <v>0</v>
      </c>
      <c r="AJ297" s="819">
        <f t="shared" si="2641"/>
        <v>0</v>
      </c>
      <c r="AK297" s="802">
        <f t="shared" si="2624"/>
        <v>0</v>
      </c>
    </row>
    <row r="298" spans="1:37">
      <c r="A298" s="239"/>
      <c r="B298" s="239" t="s">
        <v>55</v>
      </c>
      <c r="C298" s="832">
        <f>IF(U301&gt;0,(U298/U301),0)</f>
        <v>0.23428620630273808</v>
      </c>
      <c r="D298" s="830">
        <f t="shared" ref="D298" si="2642">IF(V301&gt;0,(V298/V301),0)</f>
        <v>0.23701235051950598</v>
      </c>
      <c r="E298" s="830">
        <f t="shared" ref="E298" si="2643">IF(W301&gt;0,(W298/W301),0)</f>
        <v>0.29266889170215216</v>
      </c>
      <c r="F298" s="830">
        <f t="shared" ref="F298" si="2644">IF(X301&gt;0,(X298/X301),0)</f>
        <v>0.33006993006993007</v>
      </c>
      <c r="G298" s="830">
        <f t="shared" ref="G298" si="2645">IF(Y301&gt;0,(Y298/Y301),0)</f>
        <v>0.32655038759689925</v>
      </c>
      <c r="H298" s="830">
        <f t="shared" ref="H298" si="2646">IF(Z301&gt;0,(Z298/Z301),0)</f>
        <v>0.33098209441128595</v>
      </c>
      <c r="I298" s="832">
        <f t="shared" ref="I298" si="2647">IF(AA301&gt;0,(AA298/AA301),0)</f>
        <v>0.2806769736504186</v>
      </c>
      <c r="J298" s="832">
        <f t="shared" ref="J298" si="2648">IF(AB301&gt;0,(AB298/AB301),0)</f>
        <v>0</v>
      </c>
      <c r="K298" s="830">
        <f t="shared" ref="K298" si="2649">IF(AC301&gt;0,(AC298/AC301),0)</f>
        <v>0.30515759312320917</v>
      </c>
      <c r="L298" s="830">
        <f t="shared" ref="L298" si="2650">IF(AD301&gt;0,(AD298/AD301),0)</f>
        <v>0.24464951894757511</v>
      </c>
      <c r="M298" s="830">
        <f t="shared" ref="M298" si="2651">IF(AE301&gt;0,(AE298/AE301),0)</f>
        <v>0.18181818181818182</v>
      </c>
      <c r="N298" s="830">
        <f t="shared" ref="N298" si="2652">IF(AF301&gt;0,(AF298/AF301),0)</f>
        <v>0.16143497757847533</v>
      </c>
      <c r="O298" s="832">
        <f t="shared" ref="O298" si="2653">IF(AG301&gt;0,(AG298/AG301),0)</f>
        <v>0.26977717960221326</v>
      </c>
      <c r="P298" s="832">
        <f t="shared" ref="P298" si="2654">IF(AH301&gt;0,(AH298/AH301),0)</f>
        <v>0</v>
      </c>
      <c r="Q298" s="830">
        <f t="shared" ref="Q298" si="2655">IF(AI301&gt;0,(AI298/AI301),0)</f>
        <v>0</v>
      </c>
      <c r="R298" s="833">
        <f t="shared" ref="R298" si="2656">IF(AJ301&gt;0,(AJ298/AJ301),0)</f>
        <v>0</v>
      </c>
      <c r="S298" s="832">
        <f t="shared" ref="S298" si="2657">IF(AK301&gt;0,(AK298/AK301),0)</f>
        <v>0</v>
      </c>
      <c r="U298" s="796">
        <f t="shared" si="2641"/>
        <v>2721</v>
      </c>
      <c r="V298" s="796">
        <f t="shared" si="2624"/>
        <v>1209</v>
      </c>
      <c r="W298" s="796">
        <f t="shared" si="2624"/>
        <v>2543</v>
      </c>
      <c r="X298" s="796">
        <f t="shared" si="2624"/>
        <v>1888</v>
      </c>
      <c r="Y298" s="796">
        <f t="shared" si="2624"/>
        <v>1348</v>
      </c>
      <c r="Z298" s="796">
        <f t="shared" si="2624"/>
        <v>1220</v>
      </c>
      <c r="AA298" s="802">
        <f t="shared" si="2624"/>
        <v>10929</v>
      </c>
      <c r="AB298" s="802">
        <f t="shared" si="2624"/>
        <v>0</v>
      </c>
      <c r="AC298" s="796">
        <f t="shared" si="2624"/>
        <v>2130</v>
      </c>
      <c r="AD298" s="796">
        <f t="shared" si="2624"/>
        <v>1246</v>
      </c>
      <c r="AE298" s="796">
        <f t="shared" si="2624"/>
        <v>196</v>
      </c>
      <c r="AF298" s="796">
        <f t="shared" si="2624"/>
        <v>36</v>
      </c>
      <c r="AG298" s="802">
        <f t="shared" si="2624"/>
        <v>3608</v>
      </c>
      <c r="AH298" s="802">
        <f t="shared" si="2624"/>
        <v>0</v>
      </c>
      <c r="AI298" s="796">
        <f t="shared" si="2624"/>
        <v>0</v>
      </c>
      <c r="AJ298" s="819">
        <f t="shared" si="2624"/>
        <v>0</v>
      </c>
      <c r="AK298" s="802">
        <f t="shared" si="2624"/>
        <v>0</v>
      </c>
    </row>
    <row r="299" spans="1:37">
      <c r="A299" s="239"/>
      <c r="B299" s="239" t="s">
        <v>78</v>
      </c>
      <c r="C299" s="832">
        <f>IF(U301&gt;0,(U299/U301),0)</f>
        <v>5.1661787497847424E-2</v>
      </c>
      <c r="D299" s="830">
        <f t="shared" ref="D299" si="2658">IF(V301&gt;0,(V299/V301),0)</f>
        <v>3.0190158792393649E-2</v>
      </c>
      <c r="E299" s="830">
        <f t="shared" ref="E299" si="2659">IF(W301&gt;0,(W299/W301),0)</f>
        <v>4.5920128898607436E-2</v>
      </c>
      <c r="F299" s="830">
        <f t="shared" ref="F299" si="2660">IF(X301&gt;0,(X299/X301),0)</f>
        <v>4.5454545454545456E-2</v>
      </c>
      <c r="G299" s="830">
        <f t="shared" ref="G299" si="2661">IF(Y301&gt;0,(Y299/Y301),0)</f>
        <v>3.2703488372093026E-2</v>
      </c>
      <c r="H299" s="830">
        <f t="shared" ref="H299" si="2662">IF(Z301&gt;0,(Z299/Z301),0)</f>
        <v>0.16250678241996744</v>
      </c>
      <c r="I299" s="832">
        <f t="shared" ref="I299" si="2663">IF(AA301&gt;0,(AA299/AA301),0)</f>
        <v>5.513893882582567E-2</v>
      </c>
      <c r="J299" s="832">
        <f t="shared" ref="J299" si="2664">IF(AB301&gt;0,(AB299/AB301),0)</f>
        <v>0</v>
      </c>
      <c r="K299" s="830">
        <f t="shared" ref="K299" si="2665">IF(AC301&gt;0,(AC299/AC301),0)</f>
        <v>0.12979942693409743</v>
      </c>
      <c r="L299" s="830">
        <f t="shared" ref="L299" si="2666">IF(AD301&gt;0,(AD299/AD301),0)</f>
        <v>0.14883172982525034</v>
      </c>
      <c r="M299" s="830">
        <f t="shared" ref="M299" si="2667">IF(AE301&gt;0,(AE299/AE301),0)</f>
        <v>0.33302411873840443</v>
      </c>
      <c r="N299" s="830">
        <f t="shared" ref="N299" si="2668">IF(AF301&gt;0,(AF299/AF301),0)</f>
        <v>0.29596412556053814</v>
      </c>
      <c r="O299" s="832">
        <f t="shared" ref="O299" si="2669">IF(AG301&gt;0,(AG299/AG301),0)</f>
        <v>0.15619859428742336</v>
      </c>
      <c r="P299" s="832">
        <f t="shared" ref="P299" si="2670">IF(AH301&gt;0,(AH299/AH301),0)</f>
        <v>0</v>
      </c>
      <c r="Q299" s="830">
        <f t="shared" ref="Q299" si="2671">IF(AI301&gt;0,(AI299/AI301),0)</f>
        <v>0</v>
      </c>
      <c r="R299" s="833">
        <f t="shared" ref="R299" si="2672">IF(AJ301&gt;0,(AJ299/AJ301),0)</f>
        <v>0</v>
      </c>
      <c r="S299" s="832">
        <f t="shared" ref="S299" si="2673">IF(AK301&gt;0,(AK299/AK301),0)</f>
        <v>0</v>
      </c>
      <c r="U299" s="796">
        <f t="shared" si="2641"/>
        <v>600</v>
      </c>
      <c r="V299" s="796">
        <f t="shared" si="2624"/>
        <v>154</v>
      </c>
      <c r="W299" s="796">
        <f t="shared" si="2624"/>
        <v>399</v>
      </c>
      <c r="X299" s="796">
        <f t="shared" si="2624"/>
        <v>260</v>
      </c>
      <c r="Y299" s="796">
        <f t="shared" si="2624"/>
        <v>135</v>
      </c>
      <c r="Z299" s="796">
        <f t="shared" si="2624"/>
        <v>599</v>
      </c>
      <c r="AA299" s="802">
        <f t="shared" si="2624"/>
        <v>2147</v>
      </c>
      <c r="AB299" s="802">
        <f t="shared" si="2624"/>
        <v>0</v>
      </c>
      <c r="AC299" s="796">
        <f t="shared" si="2624"/>
        <v>906</v>
      </c>
      <c r="AD299" s="796">
        <f t="shared" si="2624"/>
        <v>758</v>
      </c>
      <c r="AE299" s="796">
        <f t="shared" si="2624"/>
        <v>359</v>
      </c>
      <c r="AF299" s="796">
        <f t="shared" si="2624"/>
        <v>66</v>
      </c>
      <c r="AG299" s="802">
        <f t="shared" si="2624"/>
        <v>2089</v>
      </c>
      <c r="AH299" s="802">
        <f t="shared" si="2624"/>
        <v>0</v>
      </c>
      <c r="AI299" s="796">
        <f t="shared" si="2624"/>
        <v>0</v>
      </c>
      <c r="AJ299" s="819">
        <f t="shared" si="2624"/>
        <v>0</v>
      </c>
      <c r="AK299" s="802">
        <f t="shared" si="2624"/>
        <v>0</v>
      </c>
    </row>
    <row r="300" spans="1:37">
      <c r="A300" s="580"/>
      <c r="B300" s="580" t="s">
        <v>131</v>
      </c>
      <c r="C300" s="832">
        <f>IF(U301&gt;0,(U300/U301),0)</f>
        <v>0.10349578095402101</v>
      </c>
      <c r="D300" s="830">
        <f t="shared" ref="D300" si="2674">IF(V301&gt;0,(V300/V301),0)</f>
        <v>9.2726916290923347E-2</v>
      </c>
      <c r="E300" s="830">
        <f t="shared" ref="E300" si="2675">IF(W301&gt;0,(W300/W301),0)</f>
        <v>3.2109563816319485E-2</v>
      </c>
      <c r="F300" s="830">
        <f t="shared" ref="F300" si="2676">IF(X301&gt;0,(X300/X301),0)</f>
        <v>3.9160839160839164E-2</v>
      </c>
      <c r="G300" s="830">
        <f t="shared" ref="G300" si="2677">IF(Y301&gt;0,(Y300/Y301),0)</f>
        <v>6.3226744186046513E-2</v>
      </c>
      <c r="H300" s="830">
        <f t="shared" ref="H300" si="2678">IF(Z301&gt;0,(Z300/Z301),0)</f>
        <v>5.697232772653283E-2</v>
      </c>
      <c r="I300" s="832">
        <f t="shared" ref="I300" si="2679">IF(AA301&gt;0,(AA300/AA301),0)</f>
        <v>6.803122913349427E-2</v>
      </c>
      <c r="J300" s="832">
        <f t="shared" ref="J300" si="2680">IF(AB301&gt;0,(AB300/AB301),0)</f>
        <v>0</v>
      </c>
      <c r="K300" s="830">
        <f t="shared" ref="K300" si="2681">IF(AC301&gt;0,(AC300/AC301),0)</f>
        <v>3.6819484240687678E-2</v>
      </c>
      <c r="L300" s="830">
        <f t="shared" ref="L300" si="2682">IF(AD301&gt;0,(AD300/AD301),0)</f>
        <v>2.9844885136461809E-2</v>
      </c>
      <c r="M300" s="830">
        <f t="shared" ref="M300" si="2683">IF(AE301&gt;0,(AE300/AE301),0)</f>
        <v>1.948051948051948E-2</v>
      </c>
      <c r="N300" s="830">
        <f t="shared" ref="N300" si="2684">IF(AF301&gt;0,(AF300/AF301),0)</f>
        <v>0</v>
      </c>
      <c r="O300" s="832">
        <f t="shared" ref="O300" si="2685">IF(AG301&gt;0,(AG300/AG301),0)</f>
        <v>3.2151936593390162E-2</v>
      </c>
      <c r="P300" s="832">
        <f t="shared" ref="P300" si="2686">IF(AH301&gt;0,(AH300/AH301),0)</f>
        <v>0</v>
      </c>
      <c r="Q300" s="830">
        <f t="shared" ref="Q300" si="2687">IF(AI301&gt;0,(AI300/AI301),0)</f>
        <v>0</v>
      </c>
      <c r="R300" s="833">
        <f t="shared" ref="R300" si="2688">IF(AJ301&gt;0,(AJ300/AJ301),0)</f>
        <v>0</v>
      </c>
      <c r="S300" s="832">
        <f t="shared" ref="S300" si="2689">IF(AK301&gt;0,(AK300/AK301),0)</f>
        <v>0</v>
      </c>
      <c r="U300" s="796">
        <f t="shared" si="2641"/>
        <v>1202</v>
      </c>
      <c r="V300" s="796">
        <f t="shared" si="2624"/>
        <v>473</v>
      </c>
      <c r="W300" s="796">
        <f t="shared" si="2624"/>
        <v>279</v>
      </c>
      <c r="X300" s="796">
        <f t="shared" si="2624"/>
        <v>224</v>
      </c>
      <c r="Y300" s="796">
        <f t="shared" si="2624"/>
        <v>261</v>
      </c>
      <c r="Z300" s="796">
        <f t="shared" si="2624"/>
        <v>210</v>
      </c>
      <c r="AA300" s="802">
        <f t="shared" si="2624"/>
        <v>2649</v>
      </c>
      <c r="AB300" s="802">
        <f t="shared" si="2624"/>
        <v>0</v>
      </c>
      <c r="AC300" s="796">
        <f t="shared" si="2624"/>
        <v>257</v>
      </c>
      <c r="AD300" s="796">
        <f t="shared" si="2624"/>
        <v>152</v>
      </c>
      <c r="AE300" s="796">
        <f t="shared" si="2624"/>
        <v>21</v>
      </c>
      <c r="AF300" s="796">
        <f t="shared" si="2624"/>
        <v>0</v>
      </c>
      <c r="AG300" s="802">
        <f t="shared" si="2624"/>
        <v>430</v>
      </c>
      <c r="AH300" s="802">
        <f t="shared" si="2624"/>
        <v>0</v>
      </c>
      <c r="AI300" s="796">
        <f t="shared" si="2624"/>
        <v>0</v>
      </c>
      <c r="AJ300" s="819">
        <f t="shared" si="2624"/>
        <v>0</v>
      </c>
      <c r="AK300" s="802">
        <f t="shared" si="2624"/>
        <v>0</v>
      </c>
    </row>
    <row r="301" spans="1:37">
      <c r="A301" s="436" t="s">
        <v>86</v>
      </c>
      <c r="B301" s="436" t="s">
        <v>59</v>
      </c>
      <c r="C301" s="834">
        <f>IF(U301&gt;0,(U301/U301),0)</f>
        <v>1</v>
      </c>
      <c r="D301" s="835">
        <f t="shared" ref="D301" si="2690">IF(V301&gt;0,(V301/V301),0)</f>
        <v>1</v>
      </c>
      <c r="E301" s="835">
        <f t="shared" ref="E301" si="2691">IF(W301&gt;0,(W301/W301),0)</f>
        <v>1</v>
      </c>
      <c r="F301" s="835">
        <f t="shared" ref="F301" si="2692">IF(X301&gt;0,(X301/X301),0)</f>
        <v>1</v>
      </c>
      <c r="G301" s="835">
        <f t="shared" ref="G301" si="2693">IF(Y301&gt;0,(Y301/Y301),0)</f>
        <v>1</v>
      </c>
      <c r="H301" s="835">
        <f t="shared" ref="H301" si="2694">IF(Z301&gt;0,(Z301/Z301),0)</f>
        <v>1</v>
      </c>
      <c r="I301" s="834">
        <f t="shared" ref="I301" si="2695">IF(AA301&gt;0,(AA301/AA301),0)</f>
        <v>1</v>
      </c>
      <c r="J301" s="834">
        <f t="shared" ref="J301" si="2696">IF(AB301&gt;0,(AB301/AB301),0)</f>
        <v>0</v>
      </c>
      <c r="K301" s="835">
        <f t="shared" ref="K301" si="2697">IF(AC301&gt;0,(AC301/AC301),0)</f>
        <v>1</v>
      </c>
      <c r="L301" s="835">
        <f t="shared" ref="L301" si="2698">IF(AD301&gt;0,(AD301/AD301),0)</f>
        <v>1</v>
      </c>
      <c r="M301" s="835">
        <f t="shared" ref="M301" si="2699">IF(AE301&gt;0,(AE301/AE301),0)</f>
        <v>1</v>
      </c>
      <c r="N301" s="835">
        <f t="shared" ref="N301" si="2700">IF(AF301&gt;0,(AF301/AF301),0)</f>
        <v>1</v>
      </c>
      <c r="O301" s="834">
        <f t="shared" ref="O301" si="2701">IF(AG301&gt;0,(AG301/AG301),0)</f>
        <v>1</v>
      </c>
      <c r="P301" s="834">
        <f t="shared" ref="P301" si="2702">IF(AH301&gt;0,(AH301/AH301),0)</f>
        <v>0</v>
      </c>
      <c r="Q301" s="835">
        <f t="shared" ref="Q301" si="2703">IF(AI301&gt;0,(AI301/AI301),0)</f>
        <v>0</v>
      </c>
      <c r="R301" s="836">
        <f t="shared" ref="R301" si="2704">IF(AJ301&gt;0,(AJ301/AJ301),0)</f>
        <v>0</v>
      </c>
      <c r="S301" s="834">
        <f t="shared" ref="S301" si="2705">IF(AK301&gt;0,(AK301/AK301),0)</f>
        <v>0</v>
      </c>
      <c r="U301" s="814">
        <f t="shared" si="2641"/>
        <v>11614</v>
      </c>
      <c r="V301" s="814">
        <f t="shared" si="2624"/>
        <v>5101</v>
      </c>
      <c r="W301" s="814">
        <f t="shared" si="2624"/>
        <v>8689</v>
      </c>
      <c r="X301" s="814">
        <f t="shared" si="2624"/>
        <v>5720</v>
      </c>
      <c r="Y301" s="814">
        <f t="shared" si="2624"/>
        <v>4128</v>
      </c>
      <c r="Z301" s="814">
        <f t="shared" si="2624"/>
        <v>3686</v>
      </c>
      <c r="AA301" s="815">
        <f t="shared" si="2624"/>
        <v>38938</v>
      </c>
      <c r="AB301" s="815">
        <f t="shared" si="2624"/>
        <v>0</v>
      </c>
      <c r="AC301" s="814">
        <f t="shared" si="2624"/>
        <v>6980</v>
      </c>
      <c r="AD301" s="814">
        <f t="shared" si="2624"/>
        <v>5093</v>
      </c>
      <c r="AE301" s="814">
        <f t="shared" si="2624"/>
        <v>1078</v>
      </c>
      <c r="AF301" s="814">
        <f t="shared" si="2624"/>
        <v>223</v>
      </c>
      <c r="AG301" s="815">
        <f t="shared" si="2624"/>
        <v>13374</v>
      </c>
      <c r="AH301" s="815">
        <f t="shared" si="2624"/>
        <v>0</v>
      </c>
      <c r="AI301" s="814">
        <f t="shared" si="2624"/>
        <v>0</v>
      </c>
      <c r="AJ301" s="820">
        <f t="shared" si="2624"/>
        <v>0</v>
      </c>
      <c r="AK301" s="815">
        <f t="shared" si="2624"/>
        <v>0</v>
      </c>
    </row>
    <row r="302" spans="1:37">
      <c r="A302" s="240" t="s">
        <v>140</v>
      </c>
      <c r="B302" s="240" t="s">
        <v>53</v>
      </c>
      <c r="C302" s="829">
        <f>IF(U307&gt;0,(U302/U307),0)</f>
        <v>0.36688851913477538</v>
      </c>
      <c r="D302" s="830">
        <f t="shared" ref="D302" si="2706">IF(V307&gt;0,(V302/V307),0)</f>
        <v>0</v>
      </c>
      <c r="E302" s="830">
        <f t="shared" ref="E302" si="2707">IF(W307&gt;0,(W302/W307),0)</f>
        <v>0.39346246973365617</v>
      </c>
      <c r="F302" s="830">
        <f t="shared" ref="F302" si="2708">IF(X307&gt;0,(X302/X307),0)</f>
        <v>0.46500000000000002</v>
      </c>
      <c r="G302" s="830">
        <f t="shared" ref="G302" si="2709">IF(Y307&gt;0,(Y302/Y307),0)</f>
        <v>0.34042553191489361</v>
      </c>
      <c r="H302" s="830">
        <f t="shared" ref="H302" si="2710">IF(Z307&gt;0,(Z302/Z307),0)</f>
        <v>0</v>
      </c>
      <c r="I302" s="829">
        <f t="shared" ref="I302" si="2711">IF(AA307&gt;0,(AA302/AA307),0)</f>
        <v>0.38203642384105962</v>
      </c>
      <c r="J302" s="829">
        <f t="shared" ref="J302" si="2712">IF(AB307&gt;0,(AB302/AB307),0)</f>
        <v>0</v>
      </c>
      <c r="K302" s="830">
        <f t="shared" ref="K302" si="2713">IF(AC307&gt;0,(AC302/AC307),0)</f>
        <v>0</v>
      </c>
      <c r="L302" s="830">
        <f t="shared" ref="L302" si="2714">IF(AD307&gt;0,(AD302/AD307),0)</f>
        <v>0.38725490196078433</v>
      </c>
      <c r="M302" s="830">
        <f t="shared" ref="M302" si="2715">IF(AE307&gt;0,(AE302/AE307),0)</f>
        <v>0.45263157894736844</v>
      </c>
      <c r="N302" s="830">
        <f t="shared" ref="N302" si="2716">IF(AF307&gt;0,(AF302/AF307),0)</f>
        <v>0</v>
      </c>
      <c r="O302" s="829">
        <f t="shared" ref="O302" si="2717">IF(AG307&gt;0,(AG302/AG307),0)</f>
        <v>0.40274314214463841</v>
      </c>
      <c r="P302" s="829">
        <f t="shared" ref="P302" si="2718">IF(AH307&gt;0,(AH302/AH307),0)</f>
        <v>0</v>
      </c>
      <c r="Q302" s="830">
        <f t="shared" ref="Q302" si="2719">IF(AI307&gt;0,(AI302/AI307),0)</f>
        <v>0</v>
      </c>
      <c r="R302" s="831">
        <f t="shared" ref="R302" si="2720">IF(AJ307&gt;0,(AJ302/AJ307),0)</f>
        <v>0</v>
      </c>
      <c r="S302" s="829">
        <f t="shared" ref="S302" si="2721">IF(AK307&gt;0,(AK302/AK307),0)</f>
        <v>0</v>
      </c>
      <c r="U302" s="349">
        <v>441</v>
      </c>
      <c r="V302" s="349"/>
      <c r="W302" s="349">
        <v>325</v>
      </c>
      <c r="X302" s="349">
        <v>93</v>
      </c>
      <c r="Y302" s="349">
        <v>64</v>
      </c>
      <c r="Z302" s="349"/>
      <c r="AA302" s="803">
        <v>923</v>
      </c>
      <c r="AB302" s="803"/>
      <c r="AC302" s="349"/>
      <c r="AD302" s="349">
        <v>237</v>
      </c>
      <c r="AE302" s="349">
        <v>86</v>
      </c>
      <c r="AF302" s="349"/>
      <c r="AG302" s="803">
        <v>323</v>
      </c>
      <c r="AH302" s="803"/>
      <c r="AI302" s="349"/>
      <c r="AJ302" s="812"/>
      <c r="AK302" s="803"/>
    </row>
    <row r="303" spans="1:37">
      <c r="A303" s="239"/>
      <c r="B303" s="239" t="s">
        <v>93</v>
      </c>
      <c r="C303" s="832">
        <f>IF(U307&gt;0,(U303/U307),0)</f>
        <v>0.31281198003327787</v>
      </c>
      <c r="D303" s="830">
        <f t="shared" ref="D303" si="2722">IF(V307&gt;0,(V303/V307),0)</f>
        <v>0</v>
      </c>
      <c r="E303" s="830">
        <f t="shared" ref="E303" si="2723">IF(W307&gt;0,(W303/W307),0)</f>
        <v>0.33898305084745761</v>
      </c>
      <c r="F303" s="830">
        <f t="shared" ref="F303" si="2724">IF(X307&gt;0,(X303/X307),0)</f>
        <v>0.26</v>
      </c>
      <c r="G303" s="830">
        <f t="shared" ref="G303" si="2725">IF(Y307&gt;0,(Y303/Y307),0)</f>
        <v>0.32446808510638298</v>
      </c>
      <c r="H303" s="830">
        <f t="shared" ref="H303" si="2726">IF(Z307&gt;0,(Z303/Z307),0)</f>
        <v>0</v>
      </c>
      <c r="I303" s="832">
        <f t="shared" ref="I303" si="2727">IF(AA307&gt;0,(AA303/AA307),0)</f>
        <v>0.31829470198675497</v>
      </c>
      <c r="J303" s="832">
        <f t="shared" ref="J303" si="2728">IF(AB307&gt;0,(AB303/AB307),0)</f>
        <v>0</v>
      </c>
      <c r="K303" s="830">
        <f t="shared" ref="K303" si="2729">IF(AC307&gt;0,(AC303/AC307),0)</f>
        <v>0</v>
      </c>
      <c r="L303" s="830">
        <f t="shared" ref="L303" si="2730">IF(AD307&gt;0,(AD303/AD307),0)</f>
        <v>0.20915032679738563</v>
      </c>
      <c r="M303" s="830">
        <f t="shared" ref="M303" si="2731">IF(AE307&gt;0,(AE303/AE307),0)</f>
        <v>0.1736842105263158</v>
      </c>
      <c r="N303" s="830">
        <f t="shared" ref="N303" si="2732">IF(AF307&gt;0,(AF303/AF307),0)</f>
        <v>0</v>
      </c>
      <c r="O303" s="832">
        <f t="shared" ref="O303" si="2733">IF(AG307&gt;0,(AG303/AG307),0)</f>
        <v>0.20074812967581046</v>
      </c>
      <c r="P303" s="832">
        <f t="shared" ref="P303" si="2734">IF(AH307&gt;0,(AH303/AH307),0)</f>
        <v>0</v>
      </c>
      <c r="Q303" s="830">
        <f t="shared" ref="Q303" si="2735">IF(AI307&gt;0,(AI303/AI307),0)</f>
        <v>0</v>
      </c>
      <c r="R303" s="833">
        <f t="shared" ref="R303" si="2736">IF(AJ307&gt;0,(AJ303/AJ307),0)</f>
        <v>0</v>
      </c>
      <c r="S303" s="832">
        <f t="shared" ref="S303" si="2737">IF(AK307&gt;0,(AK303/AK307),0)</f>
        <v>0</v>
      </c>
      <c r="U303" s="349">
        <v>376</v>
      </c>
      <c r="V303" s="349"/>
      <c r="W303" s="349">
        <v>280</v>
      </c>
      <c r="X303" s="349">
        <v>52</v>
      </c>
      <c r="Y303" s="349">
        <v>61</v>
      </c>
      <c r="Z303" s="349"/>
      <c r="AA303" s="804">
        <v>769</v>
      </c>
      <c r="AB303" s="804"/>
      <c r="AC303" s="349"/>
      <c r="AD303" s="349">
        <v>128</v>
      </c>
      <c r="AE303" s="349">
        <v>33</v>
      </c>
      <c r="AF303" s="349"/>
      <c r="AG303" s="804">
        <v>161</v>
      </c>
      <c r="AH303" s="804"/>
      <c r="AI303" s="349"/>
      <c r="AJ303" s="813"/>
      <c r="AK303" s="804"/>
    </row>
    <row r="304" spans="1:37">
      <c r="A304" s="239"/>
      <c r="B304" s="239" t="s">
        <v>55</v>
      </c>
      <c r="C304" s="832">
        <f>IF(U307&gt;0,(U304/U307),0)</f>
        <v>0.24625623960066556</v>
      </c>
      <c r="D304" s="830">
        <f t="shared" ref="D304" si="2738">IF(V307&gt;0,(V304/V307),0)</f>
        <v>0</v>
      </c>
      <c r="E304" s="830">
        <f t="shared" ref="E304" si="2739">IF(W307&gt;0,(W304/W307),0)</f>
        <v>0.24213075060532688</v>
      </c>
      <c r="F304" s="830">
        <f t="shared" ref="F304" si="2740">IF(X307&gt;0,(X304/X307),0)</f>
        <v>0.255</v>
      </c>
      <c r="G304" s="830">
        <f t="shared" ref="G304" si="2741">IF(Y307&gt;0,(Y304/Y307),0)</f>
        <v>0.30851063829787234</v>
      </c>
      <c r="H304" s="830">
        <f t="shared" ref="H304" si="2742">IF(Z307&gt;0,(Z304/Z307),0)</f>
        <v>0</v>
      </c>
      <c r="I304" s="832">
        <f t="shared" ref="I304" si="2743">IF(AA307&gt;0,(AA304/AA307),0)</f>
        <v>0.2504139072847682</v>
      </c>
      <c r="J304" s="832">
        <f t="shared" ref="J304" si="2744">IF(AB307&gt;0,(AB304/AB307),0)</f>
        <v>0</v>
      </c>
      <c r="K304" s="830">
        <f t="shared" ref="K304" si="2745">IF(AC307&gt;0,(AC304/AC307),0)</f>
        <v>0</v>
      </c>
      <c r="L304" s="830">
        <f t="shared" ref="L304" si="2746">IF(AD307&gt;0,(AD304/AD307),0)</f>
        <v>0.2173202614379085</v>
      </c>
      <c r="M304" s="830">
        <f t="shared" ref="M304" si="2747">IF(AE307&gt;0,(AE304/AE307),0)</f>
        <v>0.16842105263157894</v>
      </c>
      <c r="N304" s="830">
        <f t="shared" ref="N304" si="2748">IF(AF307&gt;0,(AF304/AF307),0)</f>
        <v>0</v>
      </c>
      <c r="O304" s="832">
        <f t="shared" ref="O304" si="2749">IF(AG307&gt;0,(AG304/AG307),0)</f>
        <v>0.20573566084788031</v>
      </c>
      <c r="P304" s="832">
        <f t="shared" ref="P304" si="2750">IF(AH307&gt;0,(AH304/AH307),0)</f>
        <v>0</v>
      </c>
      <c r="Q304" s="830">
        <f t="shared" ref="Q304" si="2751">IF(AI307&gt;0,(AI304/AI307),0)</f>
        <v>0</v>
      </c>
      <c r="R304" s="833">
        <f t="shared" ref="R304" si="2752">IF(AJ307&gt;0,(AJ304/AJ307),0)</f>
        <v>0</v>
      </c>
      <c r="S304" s="832">
        <f t="shared" ref="S304" si="2753">IF(AK307&gt;0,(AK304/AK307),0)</f>
        <v>0</v>
      </c>
      <c r="U304" s="349">
        <v>296</v>
      </c>
      <c r="V304" s="349"/>
      <c r="W304" s="349">
        <v>200</v>
      </c>
      <c r="X304" s="349">
        <v>51</v>
      </c>
      <c r="Y304" s="349">
        <v>58</v>
      </c>
      <c r="Z304" s="349"/>
      <c r="AA304" s="804">
        <v>605</v>
      </c>
      <c r="AB304" s="804"/>
      <c r="AC304" s="349"/>
      <c r="AD304" s="349">
        <v>133</v>
      </c>
      <c r="AE304" s="349">
        <v>32</v>
      </c>
      <c r="AF304" s="349"/>
      <c r="AG304" s="804">
        <v>165</v>
      </c>
      <c r="AH304" s="804"/>
      <c r="AI304" s="349"/>
      <c r="AJ304" s="813"/>
      <c r="AK304" s="804"/>
    </row>
    <row r="305" spans="1:37">
      <c r="A305" s="239"/>
      <c r="B305" s="239" t="s">
        <v>78</v>
      </c>
      <c r="C305" s="832">
        <f>IF(U307&gt;0,(U305/U307),0)</f>
        <v>3.9101497504159734E-2</v>
      </c>
      <c r="D305" s="830">
        <f t="shared" ref="D305" si="2754">IF(V307&gt;0,(V305/V307),0)</f>
        <v>0</v>
      </c>
      <c r="E305" s="830">
        <f t="shared" ref="E305" si="2755">IF(W307&gt;0,(W305/W307),0)</f>
        <v>2.5423728813559324E-2</v>
      </c>
      <c r="F305" s="830">
        <f t="shared" ref="F305" si="2756">IF(X307&gt;0,(X305/X307),0)</f>
        <v>0.02</v>
      </c>
      <c r="G305" s="830">
        <f t="shared" ref="G305" si="2757">IF(Y307&gt;0,(Y305/Y307),0)</f>
        <v>2.6595744680851064E-2</v>
      </c>
      <c r="H305" s="830">
        <f t="shared" ref="H305" si="2758">IF(Z307&gt;0,(Z305/Z307),0)</f>
        <v>0</v>
      </c>
      <c r="I305" s="832">
        <f t="shared" ref="I305" si="2759">IF(AA307&gt;0,(AA305/AA307),0)</f>
        <v>3.1870860927152321E-2</v>
      </c>
      <c r="J305" s="832">
        <f t="shared" ref="J305" si="2760">IF(AB307&gt;0,(AB305/AB307),0)</f>
        <v>0</v>
      </c>
      <c r="K305" s="830">
        <f t="shared" ref="K305" si="2761">IF(AC307&gt;0,(AC305/AC307),0)</f>
        <v>0</v>
      </c>
      <c r="L305" s="830">
        <f t="shared" ref="L305" si="2762">IF(AD307&gt;0,(AD305/AD307),0)</f>
        <v>0.16339869281045752</v>
      </c>
      <c r="M305" s="830">
        <f t="shared" ref="M305" si="2763">IF(AE307&gt;0,(AE305/AE307),0)</f>
        <v>0.1736842105263158</v>
      </c>
      <c r="N305" s="830">
        <f t="shared" ref="N305" si="2764">IF(AF307&gt;0,(AF305/AF307),0)</f>
        <v>0</v>
      </c>
      <c r="O305" s="832">
        <f t="shared" ref="O305" si="2765">IF(AG307&gt;0,(AG305/AG307),0)</f>
        <v>0.16583541147132169</v>
      </c>
      <c r="P305" s="832">
        <f t="shared" ref="P305" si="2766">IF(AH307&gt;0,(AH305/AH307),0)</f>
        <v>0</v>
      </c>
      <c r="Q305" s="830">
        <f t="shared" ref="Q305" si="2767">IF(AI307&gt;0,(AI305/AI307),0)</f>
        <v>0</v>
      </c>
      <c r="R305" s="833">
        <f t="shared" ref="R305" si="2768">IF(AJ307&gt;0,(AJ305/AJ307),0)</f>
        <v>0</v>
      </c>
      <c r="S305" s="832">
        <f t="shared" ref="S305" si="2769">IF(AK307&gt;0,(AK305/AK307),0)</f>
        <v>0</v>
      </c>
      <c r="U305" s="349">
        <v>47</v>
      </c>
      <c r="V305" s="349"/>
      <c r="W305" s="349">
        <v>21</v>
      </c>
      <c r="X305" s="349">
        <v>4</v>
      </c>
      <c r="Y305" s="349">
        <v>5</v>
      </c>
      <c r="Z305" s="349"/>
      <c r="AA305" s="804">
        <v>77</v>
      </c>
      <c r="AB305" s="804"/>
      <c r="AC305" s="349"/>
      <c r="AD305" s="349">
        <v>100</v>
      </c>
      <c r="AE305" s="349">
        <v>33</v>
      </c>
      <c r="AF305" s="349"/>
      <c r="AG305" s="804">
        <v>133</v>
      </c>
      <c r="AH305" s="804"/>
      <c r="AI305" s="349"/>
      <c r="AJ305" s="813"/>
      <c r="AK305" s="804"/>
    </row>
    <row r="306" spans="1:37">
      <c r="A306" s="580"/>
      <c r="B306" s="580" t="s">
        <v>131</v>
      </c>
      <c r="C306" s="832">
        <f>IF(U307&gt;0,(U306/U307),0)</f>
        <v>3.4941763727121461E-2</v>
      </c>
      <c r="D306" s="830">
        <f t="shared" ref="D306" si="2770">IF(V307&gt;0,(V306/V307),0)</f>
        <v>0</v>
      </c>
      <c r="E306" s="830">
        <f t="shared" ref="E306" si="2771">IF(W307&gt;0,(W306/W307),0)</f>
        <v>0</v>
      </c>
      <c r="F306" s="830">
        <f t="shared" ref="F306" si="2772">IF(X307&gt;0,(X306/X307),0)</f>
        <v>0</v>
      </c>
      <c r="G306" s="830">
        <f t="shared" ref="G306" si="2773">IF(Y307&gt;0,(Y306/Y307),0)</f>
        <v>0</v>
      </c>
      <c r="H306" s="830">
        <f t="shared" ref="H306" si="2774">IF(Z307&gt;0,(Z306/Z307),0)</f>
        <v>0</v>
      </c>
      <c r="I306" s="832">
        <f t="shared" ref="I306" si="2775">IF(AA307&gt;0,(AA306/AA307),0)</f>
        <v>1.7384105960264899E-2</v>
      </c>
      <c r="J306" s="832">
        <f t="shared" ref="J306" si="2776">IF(AB307&gt;0,(AB306/AB307),0)</f>
        <v>0</v>
      </c>
      <c r="K306" s="830">
        <f t="shared" ref="K306" si="2777">IF(AC307&gt;0,(AC306/AC307),0)</f>
        <v>0</v>
      </c>
      <c r="L306" s="830">
        <f t="shared" ref="L306" si="2778">IF(AD307&gt;0,(AD306/AD307),0)</f>
        <v>2.2875816993464051E-2</v>
      </c>
      <c r="M306" s="830">
        <f t="shared" ref="M306" si="2779">IF(AE307&gt;0,(AE306/AE307),0)</f>
        <v>3.1578947368421054E-2</v>
      </c>
      <c r="N306" s="830">
        <f t="shared" ref="N306" si="2780">IF(AF307&gt;0,(AF306/AF307),0)</f>
        <v>0</v>
      </c>
      <c r="O306" s="832">
        <f t="shared" ref="O306" si="2781">IF(AG307&gt;0,(AG306/AG307),0)</f>
        <v>2.4937655860349128E-2</v>
      </c>
      <c r="P306" s="832">
        <f t="shared" ref="P306" si="2782">IF(AH307&gt;0,(AH306/AH307),0)</f>
        <v>0</v>
      </c>
      <c r="Q306" s="830">
        <f t="shared" ref="Q306" si="2783">IF(AI307&gt;0,(AI306/AI307),0)</f>
        <v>0</v>
      </c>
      <c r="R306" s="833">
        <f t="shared" ref="R306" si="2784">IF(AJ307&gt;0,(AJ306/AJ307),0)</f>
        <v>0</v>
      </c>
      <c r="S306" s="832">
        <f t="shared" ref="S306" si="2785">IF(AK307&gt;0,(AK306/AK307),0)</f>
        <v>0</v>
      </c>
      <c r="U306" s="349">
        <v>42</v>
      </c>
      <c r="V306" s="349"/>
      <c r="W306" s="349"/>
      <c r="X306" s="349"/>
      <c r="Y306" s="349"/>
      <c r="Z306" s="349"/>
      <c r="AA306" s="804">
        <v>42</v>
      </c>
      <c r="AB306" s="804"/>
      <c r="AC306" s="349"/>
      <c r="AD306" s="349">
        <v>14</v>
      </c>
      <c r="AE306" s="349">
        <v>6</v>
      </c>
      <c r="AF306" s="349"/>
      <c r="AG306" s="804">
        <v>20</v>
      </c>
      <c r="AH306" s="804"/>
      <c r="AI306" s="349"/>
      <c r="AJ306" s="813"/>
      <c r="AK306" s="804"/>
    </row>
    <row r="307" spans="1:37">
      <c r="A307" s="436"/>
      <c r="B307" s="436" t="s">
        <v>59</v>
      </c>
      <c r="C307" s="834">
        <f>IF(U307&gt;0,(U307/U307),0)</f>
        <v>1</v>
      </c>
      <c r="D307" s="835">
        <f t="shared" ref="D307" si="2786">IF(V307&gt;0,(V307/V307),0)</f>
        <v>0</v>
      </c>
      <c r="E307" s="835">
        <f t="shared" ref="E307" si="2787">IF(W307&gt;0,(W307/W307),0)</f>
        <v>1</v>
      </c>
      <c r="F307" s="835">
        <f t="shared" ref="F307" si="2788">IF(X307&gt;0,(X307/X307),0)</f>
        <v>1</v>
      </c>
      <c r="G307" s="835">
        <f t="shared" ref="G307" si="2789">IF(Y307&gt;0,(Y307/Y307),0)</f>
        <v>1</v>
      </c>
      <c r="H307" s="835">
        <f t="shared" ref="H307" si="2790">IF(Z307&gt;0,(Z307/Z307),0)</f>
        <v>0</v>
      </c>
      <c r="I307" s="834">
        <f t="shared" ref="I307" si="2791">IF(AA307&gt;0,(AA307/AA307),0)</f>
        <v>1</v>
      </c>
      <c r="J307" s="834">
        <f t="shared" ref="J307" si="2792">IF(AB307&gt;0,(AB307/AB307),0)</f>
        <v>0</v>
      </c>
      <c r="K307" s="835">
        <f t="shared" ref="K307" si="2793">IF(AC307&gt;0,(AC307/AC307),0)</f>
        <v>0</v>
      </c>
      <c r="L307" s="835">
        <f t="shared" ref="L307" si="2794">IF(AD307&gt;0,(AD307/AD307),0)</f>
        <v>1</v>
      </c>
      <c r="M307" s="835">
        <f t="shared" ref="M307" si="2795">IF(AE307&gt;0,(AE307/AE307),0)</f>
        <v>1</v>
      </c>
      <c r="N307" s="835">
        <f t="shared" ref="N307" si="2796">IF(AF307&gt;0,(AF307/AF307),0)</f>
        <v>0</v>
      </c>
      <c r="O307" s="834">
        <f t="shared" ref="O307" si="2797">IF(AG307&gt;0,(AG307/AG307),0)</f>
        <v>1</v>
      </c>
      <c r="P307" s="834">
        <f t="shared" ref="P307" si="2798">IF(AH307&gt;0,(AH307/AH307),0)</f>
        <v>0</v>
      </c>
      <c r="Q307" s="835">
        <f t="shared" ref="Q307" si="2799">IF(AI307&gt;0,(AI307/AI307),0)</f>
        <v>0</v>
      </c>
      <c r="R307" s="836">
        <f t="shared" ref="R307" si="2800">IF(AJ307&gt;0,(AJ307/AJ307),0)</f>
        <v>0</v>
      </c>
      <c r="S307" s="834">
        <f t="shared" ref="S307" si="2801">IF(AK307&gt;0,(AK307/AK307),0)</f>
        <v>0</v>
      </c>
      <c r="U307" s="816">
        <v>1202</v>
      </c>
      <c r="V307" s="816"/>
      <c r="W307" s="816">
        <v>826</v>
      </c>
      <c r="X307" s="816">
        <v>200</v>
      </c>
      <c r="Y307" s="816">
        <v>188</v>
      </c>
      <c r="Z307" s="816"/>
      <c r="AA307" s="805">
        <v>2416</v>
      </c>
      <c r="AB307" s="805"/>
      <c r="AC307" s="816"/>
      <c r="AD307" s="816">
        <v>612</v>
      </c>
      <c r="AE307" s="816">
        <v>190</v>
      </c>
      <c r="AF307" s="816"/>
      <c r="AG307" s="805">
        <v>802</v>
      </c>
      <c r="AH307" s="805"/>
      <c r="AI307" s="816"/>
      <c r="AJ307" s="817"/>
      <c r="AK307" s="805"/>
    </row>
    <row r="308" spans="1:37">
      <c r="A308" s="240" t="s">
        <v>148</v>
      </c>
      <c r="B308" s="240" t="s">
        <v>53</v>
      </c>
      <c r="C308" s="829">
        <f>IF(U313&gt;0,(U308/U313),0)</f>
        <v>0</v>
      </c>
      <c r="D308" s="830">
        <f t="shared" ref="D308" si="2802">IF(V313&gt;0,(V308/V313),0)</f>
        <v>0.29648241206030151</v>
      </c>
      <c r="E308" s="830">
        <f t="shared" ref="E308" si="2803">IF(W313&gt;0,(W308/W313),0)</f>
        <v>0.2779220779220779</v>
      </c>
      <c r="F308" s="830">
        <f t="shared" ref="F308" si="2804">IF(X313&gt;0,(X308/X313),0)</f>
        <v>0</v>
      </c>
      <c r="G308" s="830">
        <f t="shared" ref="G308" si="2805">IF(Y313&gt;0,(Y308/Y313),0)</f>
        <v>0</v>
      </c>
      <c r="H308" s="830">
        <f t="shared" ref="H308" si="2806">IF(Z313&gt;0,(Z308/Z313),0)</f>
        <v>0.28405797101449276</v>
      </c>
      <c r="I308" s="829">
        <f t="shared" ref="I308" si="2807">IF(AA313&gt;0,(AA308/AA313),0)</f>
        <v>0.28634751773049644</v>
      </c>
      <c r="J308" s="829">
        <f t="shared" ref="J308" si="2808">IF(AB313&gt;0,(AB308/AB313),0)</f>
        <v>0</v>
      </c>
      <c r="K308" s="830">
        <f t="shared" ref="K308" si="2809">IF(AC313&gt;0,(AC308/AC313),0)</f>
        <v>0</v>
      </c>
      <c r="L308" s="830">
        <f t="shared" ref="L308" si="2810">IF(AD313&gt;0,(AD308/AD313),0)</f>
        <v>0.37894736842105264</v>
      </c>
      <c r="M308" s="830">
        <f t="shared" ref="M308" si="2811">IF(AE313&gt;0,(AE308/AE313),0)</f>
        <v>0</v>
      </c>
      <c r="N308" s="830">
        <f t="shared" ref="N308" si="2812">IF(AF313&gt;0,(AF308/AF313),0)</f>
        <v>0</v>
      </c>
      <c r="O308" s="829">
        <f t="shared" ref="O308" si="2813">IF(AG313&gt;0,(AG308/AG313),0)</f>
        <v>0.11285266457680251</v>
      </c>
      <c r="P308" s="829">
        <f t="shared" ref="P308" si="2814">IF(AH313&gt;0,(AH308/AH313),0)</f>
        <v>0</v>
      </c>
      <c r="Q308" s="830">
        <f t="shared" ref="Q308" si="2815">IF(AI313&gt;0,(AI308/AI313),0)</f>
        <v>0</v>
      </c>
      <c r="R308" s="831">
        <f t="shared" ref="R308" si="2816">IF(AJ313&gt;0,(AJ308/AJ313),0)</f>
        <v>0</v>
      </c>
      <c r="S308" s="829">
        <f t="shared" ref="S308" si="2817">IF(AK313&gt;0,(AK308/AK313),0)</f>
        <v>0</v>
      </c>
      <c r="U308" s="349"/>
      <c r="V308" s="349">
        <v>118</v>
      </c>
      <c r="W308" s="349">
        <v>107</v>
      </c>
      <c r="X308" s="349"/>
      <c r="Y308" s="349"/>
      <c r="Z308" s="349">
        <v>98</v>
      </c>
      <c r="AA308" s="803">
        <v>323</v>
      </c>
      <c r="AB308" s="803"/>
      <c r="AC308" s="349"/>
      <c r="AD308" s="349">
        <v>36</v>
      </c>
      <c r="AE308" s="349"/>
      <c r="AF308" s="349"/>
      <c r="AG308" s="803">
        <v>36</v>
      </c>
      <c r="AH308" s="803"/>
      <c r="AI308" s="349"/>
      <c r="AJ308" s="812"/>
      <c r="AK308" s="803"/>
    </row>
    <row r="309" spans="1:37">
      <c r="A309" s="239"/>
      <c r="B309" s="239" t="s">
        <v>93</v>
      </c>
      <c r="C309" s="832">
        <f>IF(U313&gt;0,(U309/U313),0)</f>
        <v>0</v>
      </c>
      <c r="D309" s="830">
        <f t="shared" ref="D309" si="2818">IF(V313&gt;0,(V309/V313),0)</f>
        <v>0.35175879396984927</v>
      </c>
      <c r="E309" s="830">
        <f t="shared" ref="E309" si="2819">IF(W313&gt;0,(W309/W313),0)</f>
        <v>0.44155844155844154</v>
      </c>
      <c r="F309" s="830">
        <f t="shared" ref="F309" si="2820">IF(X313&gt;0,(X309/X313),0)</f>
        <v>0</v>
      </c>
      <c r="G309" s="830">
        <f t="shared" ref="G309" si="2821">IF(Y313&gt;0,(Y309/Y313),0)</f>
        <v>0</v>
      </c>
      <c r="H309" s="830">
        <f t="shared" ref="H309" si="2822">IF(Z313&gt;0,(Z309/Z313),0)</f>
        <v>0.30434782608695654</v>
      </c>
      <c r="I309" s="832">
        <f t="shared" ref="I309" si="2823">IF(AA313&gt;0,(AA309/AA313),0)</f>
        <v>0.36790780141843971</v>
      </c>
      <c r="J309" s="832">
        <f t="shared" ref="J309" si="2824">IF(AB313&gt;0,(AB309/AB313),0)</f>
        <v>0</v>
      </c>
      <c r="K309" s="830">
        <f t="shared" ref="K309" si="2825">IF(AC313&gt;0,(AC309/AC313),0)</f>
        <v>0</v>
      </c>
      <c r="L309" s="830">
        <f t="shared" ref="L309" si="2826">IF(AD313&gt;0,(AD309/AD313),0)</f>
        <v>0.10526315789473684</v>
      </c>
      <c r="M309" s="830">
        <f t="shared" ref="M309" si="2827">IF(AE313&gt;0,(AE309/AE313),0)</f>
        <v>0</v>
      </c>
      <c r="N309" s="830">
        <f t="shared" ref="N309" si="2828">IF(AF313&gt;0,(AF309/AF313),0)</f>
        <v>0</v>
      </c>
      <c r="O309" s="832">
        <f t="shared" ref="O309" si="2829">IF(AG313&gt;0,(AG309/AG313),0)</f>
        <v>3.1347962382445138E-2</v>
      </c>
      <c r="P309" s="832">
        <f t="shared" ref="P309" si="2830">IF(AH313&gt;0,(AH309/AH313),0)</f>
        <v>0</v>
      </c>
      <c r="Q309" s="830">
        <f t="shared" ref="Q309" si="2831">IF(AI313&gt;0,(AI309/AI313),0)</f>
        <v>0</v>
      </c>
      <c r="R309" s="833">
        <f t="shared" ref="R309" si="2832">IF(AJ313&gt;0,(AJ309/AJ313),0)</f>
        <v>0</v>
      </c>
      <c r="S309" s="832">
        <f t="shared" ref="S309" si="2833">IF(AK313&gt;0,(AK309/AK313),0)</f>
        <v>0</v>
      </c>
      <c r="U309" s="349"/>
      <c r="V309" s="349">
        <v>140</v>
      </c>
      <c r="W309" s="349">
        <v>170</v>
      </c>
      <c r="X309" s="349"/>
      <c r="Y309" s="349"/>
      <c r="Z309" s="349">
        <v>105</v>
      </c>
      <c r="AA309" s="804">
        <v>415</v>
      </c>
      <c r="AB309" s="804"/>
      <c r="AC309" s="349"/>
      <c r="AD309" s="349">
        <v>10</v>
      </c>
      <c r="AE309" s="349"/>
      <c r="AF309" s="349"/>
      <c r="AG309" s="804">
        <v>10</v>
      </c>
      <c r="AH309" s="804"/>
      <c r="AI309" s="349"/>
      <c r="AJ309" s="813"/>
      <c r="AK309" s="804"/>
    </row>
    <row r="310" spans="1:37">
      <c r="A310" s="239"/>
      <c r="B310" s="239" t="s">
        <v>55</v>
      </c>
      <c r="C310" s="832">
        <f>IF(U313&gt;0,(U310/U313),0)</f>
        <v>0</v>
      </c>
      <c r="D310" s="830">
        <f t="shared" ref="D310" si="2834">IF(V313&gt;0,(V310/V313),0)</f>
        <v>0.21356783919597991</v>
      </c>
      <c r="E310" s="830">
        <f t="shared" ref="E310" si="2835">IF(W313&gt;0,(W310/W313),0)</f>
        <v>0.16883116883116883</v>
      </c>
      <c r="F310" s="830">
        <f t="shared" ref="F310" si="2836">IF(X313&gt;0,(X310/X313),0)</f>
        <v>0</v>
      </c>
      <c r="G310" s="830">
        <f t="shared" ref="G310" si="2837">IF(Y313&gt;0,(Y310/Y313),0)</f>
        <v>0</v>
      </c>
      <c r="H310" s="830">
        <f t="shared" ref="H310" si="2838">IF(Z313&gt;0,(Z310/Z313),0)</f>
        <v>0.27246376811594203</v>
      </c>
      <c r="I310" s="832">
        <f t="shared" ref="I310" si="2839">IF(AA313&gt;0,(AA310/AA313),0)</f>
        <v>0.21631205673758866</v>
      </c>
      <c r="J310" s="832">
        <f t="shared" ref="J310" si="2840">IF(AB313&gt;0,(AB310/AB313),0)</f>
        <v>0</v>
      </c>
      <c r="K310" s="830">
        <f t="shared" ref="K310" si="2841">IF(AC313&gt;0,(AC310/AC313),0)</f>
        <v>0</v>
      </c>
      <c r="L310" s="830">
        <f t="shared" ref="L310" si="2842">IF(AD313&gt;0,(AD310/AD313),0)</f>
        <v>0.21052631578947367</v>
      </c>
      <c r="M310" s="830">
        <f t="shared" ref="M310" si="2843">IF(AE313&gt;0,(AE310/AE313),0)</f>
        <v>0</v>
      </c>
      <c r="N310" s="830">
        <f t="shared" ref="N310" si="2844">IF(AF313&gt;0,(AF310/AF313),0)</f>
        <v>0</v>
      </c>
      <c r="O310" s="832">
        <f t="shared" ref="O310" si="2845">IF(AG313&gt;0,(AG310/AG313),0)</f>
        <v>6.2695924764890276E-2</v>
      </c>
      <c r="P310" s="832">
        <f t="shared" ref="P310" si="2846">IF(AH313&gt;0,(AH310/AH313),0)</f>
        <v>0</v>
      </c>
      <c r="Q310" s="830">
        <f t="shared" ref="Q310" si="2847">IF(AI313&gt;0,(AI310/AI313),0)</f>
        <v>0</v>
      </c>
      <c r="R310" s="833">
        <f t="shared" ref="R310" si="2848">IF(AJ313&gt;0,(AJ310/AJ313),0)</f>
        <v>0</v>
      </c>
      <c r="S310" s="832">
        <f t="shared" ref="S310" si="2849">IF(AK313&gt;0,(AK310/AK313),0)</f>
        <v>0</v>
      </c>
      <c r="U310" s="349"/>
      <c r="V310" s="349">
        <v>85</v>
      </c>
      <c r="W310" s="349">
        <v>65</v>
      </c>
      <c r="X310" s="349"/>
      <c r="Y310" s="349"/>
      <c r="Z310" s="349">
        <v>94</v>
      </c>
      <c r="AA310" s="804">
        <v>244</v>
      </c>
      <c r="AB310" s="804"/>
      <c r="AC310" s="349"/>
      <c r="AD310" s="349">
        <v>20</v>
      </c>
      <c r="AE310" s="349"/>
      <c r="AF310" s="349"/>
      <c r="AG310" s="804">
        <v>20</v>
      </c>
      <c r="AH310" s="804"/>
      <c r="AI310" s="349"/>
      <c r="AJ310" s="813"/>
      <c r="AK310" s="804"/>
    </row>
    <row r="311" spans="1:37">
      <c r="A311" s="239"/>
      <c r="B311" s="239" t="s">
        <v>78</v>
      </c>
      <c r="C311" s="832">
        <f>IF(U313&gt;0,(U311/U313),0)</f>
        <v>0</v>
      </c>
      <c r="D311" s="830">
        <f t="shared" ref="D311" si="2850">IF(V313&gt;0,(V311/V313),0)</f>
        <v>4.5226130653266333E-2</v>
      </c>
      <c r="E311" s="830">
        <f t="shared" ref="E311" si="2851">IF(W313&gt;0,(W311/W313),0)</f>
        <v>2.8571428571428571E-2</v>
      </c>
      <c r="F311" s="830">
        <f t="shared" ref="F311" si="2852">IF(X313&gt;0,(X311/X313),0)</f>
        <v>0</v>
      </c>
      <c r="G311" s="830">
        <f t="shared" ref="G311" si="2853">IF(Y313&gt;0,(Y311/Y313),0)</f>
        <v>0</v>
      </c>
      <c r="H311" s="830">
        <f t="shared" ref="H311" si="2854">IF(Z313&gt;0,(Z311/Z313),0)</f>
        <v>6.0869565217391307E-2</v>
      </c>
      <c r="I311" s="832">
        <f t="shared" ref="I311" si="2855">IF(AA313&gt;0,(AA311/AA313),0)</f>
        <v>4.4326241134751775E-2</v>
      </c>
      <c r="J311" s="832">
        <f t="shared" ref="J311" si="2856">IF(AB313&gt;0,(AB311/AB313),0)</f>
        <v>0</v>
      </c>
      <c r="K311" s="830">
        <f t="shared" ref="K311" si="2857">IF(AC313&gt;0,(AC311/AC313),0)</f>
        <v>0</v>
      </c>
      <c r="L311" s="830">
        <f t="shared" ref="L311" si="2858">IF(AD313&gt;0,(AD311/AD313),0)</f>
        <v>0.29473684210526313</v>
      </c>
      <c r="M311" s="830">
        <f t="shared" ref="M311" si="2859">IF(AE313&gt;0,(AE311/AE313),0)</f>
        <v>0.9508928571428571</v>
      </c>
      <c r="N311" s="830">
        <f t="shared" ref="N311" si="2860">IF(AF313&gt;0,(AF311/AF313),0)</f>
        <v>0</v>
      </c>
      <c r="O311" s="832">
        <f t="shared" ref="O311" si="2861">IF(AG313&gt;0,(AG311/AG313),0)</f>
        <v>0.75548589341692785</v>
      </c>
      <c r="P311" s="832">
        <f t="shared" ref="P311" si="2862">IF(AH313&gt;0,(AH311/AH313),0)</f>
        <v>0</v>
      </c>
      <c r="Q311" s="830">
        <f t="shared" ref="Q311" si="2863">IF(AI313&gt;0,(AI311/AI313),0)</f>
        <v>0</v>
      </c>
      <c r="R311" s="833">
        <f t="shared" ref="R311" si="2864">IF(AJ313&gt;0,(AJ311/AJ313),0)</f>
        <v>0</v>
      </c>
      <c r="S311" s="832">
        <f t="shared" ref="S311" si="2865">IF(AK313&gt;0,(AK311/AK313),0)</f>
        <v>0</v>
      </c>
      <c r="U311" s="349"/>
      <c r="V311" s="349">
        <v>18</v>
      </c>
      <c r="W311" s="349">
        <v>11</v>
      </c>
      <c r="X311" s="349"/>
      <c r="Y311" s="349"/>
      <c r="Z311" s="349">
        <v>21</v>
      </c>
      <c r="AA311" s="804">
        <v>50</v>
      </c>
      <c r="AB311" s="804"/>
      <c r="AC311" s="349"/>
      <c r="AD311" s="349">
        <v>28</v>
      </c>
      <c r="AE311" s="349">
        <v>213</v>
      </c>
      <c r="AF311" s="349"/>
      <c r="AG311" s="804">
        <v>241</v>
      </c>
      <c r="AH311" s="804"/>
      <c r="AI311" s="349"/>
      <c r="AJ311" s="813"/>
      <c r="AK311" s="804"/>
    </row>
    <row r="312" spans="1:37">
      <c r="A312" s="580"/>
      <c r="B312" s="580" t="s">
        <v>131</v>
      </c>
      <c r="C312" s="832">
        <f>IF(U313&gt;0,(U312/U313),0)</f>
        <v>0</v>
      </c>
      <c r="D312" s="830">
        <f t="shared" ref="D312" si="2866">IF(V313&gt;0,(V312/V313),0)</f>
        <v>9.2964824120603015E-2</v>
      </c>
      <c r="E312" s="830">
        <f t="shared" ref="E312" si="2867">IF(W313&gt;0,(W312/W313),0)</f>
        <v>8.3116883116883117E-2</v>
      </c>
      <c r="F312" s="830">
        <f t="shared" ref="F312" si="2868">IF(X313&gt;0,(X312/X313),0)</f>
        <v>0</v>
      </c>
      <c r="G312" s="830">
        <f t="shared" ref="G312" si="2869">IF(Y313&gt;0,(Y312/Y313),0)</f>
        <v>0</v>
      </c>
      <c r="H312" s="830">
        <f t="shared" ref="H312" si="2870">IF(Z313&gt;0,(Z312/Z313),0)</f>
        <v>7.8260869565217397E-2</v>
      </c>
      <c r="I312" s="832">
        <f t="shared" ref="I312" si="2871">IF(AA313&gt;0,(AA312/AA313),0)</f>
        <v>8.5106382978723402E-2</v>
      </c>
      <c r="J312" s="832">
        <f t="shared" ref="J312" si="2872">IF(AB313&gt;0,(AB312/AB313),0)</f>
        <v>0</v>
      </c>
      <c r="K312" s="830">
        <f t="shared" ref="K312" si="2873">IF(AC313&gt;0,(AC312/AC313),0)</f>
        <v>0</v>
      </c>
      <c r="L312" s="830">
        <f t="shared" ref="L312" si="2874">IF(AD313&gt;0,(AD312/AD313),0)</f>
        <v>1.0526315789473684E-2</v>
      </c>
      <c r="M312" s="830">
        <f t="shared" ref="M312" si="2875">IF(AE313&gt;0,(AE312/AE313),0)</f>
        <v>4.9107142857142856E-2</v>
      </c>
      <c r="N312" s="830">
        <f t="shared" ref="N312" si="2876">IF(AF313&gt;0,(AF312/AF313),0)</f>
        <v>0</v>
      </c>
      <c r="O312" s="832">
        <f t="shared" ref="O312" si="2877">IF(AG313&gt;0,(AG312/AG313),0)</f>
        <v>3.7617554858934171E-2</v>
      </c>
      <c r="P312" s="832">
        <f t="shared" ref="P312" si="2878">IF(AH313&gt;0,(AH312/AH313),0)</f>
        <v>0</v>
      </c>
      <c r="Q312" s="830">
        <f t="shared" ref="Q312" si="2879">IF(AI313&gt;0,(AI312/AI313),0)</f>
        <v>0</v>
      </c>
      <c r="R312" s="833">
        <f t="shared" ref="R312" si="2880">IF(AJ313&gt;0,(AJ312/AJ313),0)</f>
        <v>0</v>
      </c>
      <c r="S312" s="832">
        <f t="shared" ref="S312" si="2881">IF(AK313&gt;0,(AK312/AK313),0)</f>
        <v>0</v>
      </c>
      <c r="U312" s="349"/>
      <c r="V312" s="349">
        <v>37</v>
      </c>
      <c r="W312" s="349">
        <v>32</v>
      </c>
      <c r="X312" s="349"/>
      <c r="Y312" s="349"/>
      <c r="Z312" s="349">
        <v>27</v>
      </c>
      <c r="AA312" s="804">
        <v>96</v>
      </c>
      <c r="AB312" s="804"/>
      <c r="AC312" s="349"/>
      <c r="AD312" s="349">
        <v>1</v>
      </c>
      <c r="AE312" s="349">
        <v>11</v>
      </c>
      <c r="AF312" s="349"/>
      <c r="AG312" s="804">
        <v>12</v>
      </c>
      <c r="AH312" s="804"/>
      <c r="AI312" s="349"/>
      <c r="AJ312" s="813"/>
      <c r="AK312" s="804"/>
    </row>
    <row r="313" spans="1:37">
      <c r="A313" s="436"/>
      <c r="B313" s="436" t="s">
        <v>59</v>
      </c>
      <c r="C313" s="834">
        <f>IF(U313&gt;0,(U313/U313),0)</f>
        <v>0</v>
      </c>
      <c r="D313" s="835">
        <f t="shared" ref="D313" si="2882">IF(V313&gt;0,(V313/V313),0)</f>
        <v>1</v>
      </c>
      <c r="E313" s="835">
        <f t="shared" ref="E313" si="2883">IF(W313&gt;0,(W313/W313),0)</f>
        <v>1</v>
      </c>
      <c r="F313" s="835">
        <f t="shared" ref="F313" si="2884">IF(X313&gt;0,(X313/X313),0)</f>
        <v>0</v>
      </c>
      <c r="G313" s="835">
        <f t="shared" ref="G313" si="2885">IF(Y313&gt;0,(Y313/Y313),0)</f>
        <v>0</v>
      </c>
      <c r="H313" s="835">
        <f t="shared" ref="H313" si="2886">IF(Z313&gt;0,(Z313/Z313),0)</f>
        <v>1</v>
      </c>
      <c r="I313" s="834">
        <f t="shared" ref="I313" si="2887">IF(AA313&gt;0,(AA313/AA313),0)</f>
        <v>1</v>
      </c>
      <c r="J313" s="834">
        <f t="shared" ref="J313" si="2888">IF(AB313&gt;0,(AB313/AB313),0)</f>
        <v>0</v>
      </c>
      <c r="K313" s="835">
        <f t="shared" ref="K313" si="2889">IF(AC313&gt;0,(AC313/AC313),0)</f>
        <v>0</v>
      </c>
      <c r="L313" s="835">
        <f t="shared" ref="L313" si="2890">IF(AD313&gt;0,(AD313/AD313),0)</f>
        <v>1</v>
      </c>
      <c r="M313" s="835">
        <f t="shared" ref="M313" si="2891">IF(AE313&gt;0,(AE313/AE313),0)</f>
        <v>1</v>
      </c>
      <c r="N313" s="835">
        <f t="shared" ref="N313" si="2892">IF(AF313&gt;0,(AF313/AF313),0)</f>
        <v>0</v>
      </c>
      <c r="O313" s="834">
        <f t="shared" ref="O313" si="2893">IF(AG313&gt;0,(AG313/AG313),0)</f>
        <v>1</v>
      </c>
      <c r="P313" s="834">
        <f t="shared" ref="P313" si="2894">IF(AH313&gt;0,(AH313/AH313),0)</f>
        <v>0</v>
      </c>
      <c r="Q313" s="835">
        <f t="shared" ref="Q313" si="2895">IF(AI313&gt;0,(AI313/AI313),0)</f>
        <v>0</v>
      </c>
      <c r="R313" s="836">
        <f t="shared" ref="R313" si="2896">IF(AJ313&gt;0,(AJ313/AJ313),0)</f>
        <v>0</v>
      </c>
      <c r="S313" s="834">
        <f t="shared" ref="S313" si="2897">IF(AK313&gt;0,(AK313/AK313),0)</f>
        <v>0</v>
      </c>
      <c r="U313" s="816"/>
      <c r="V313" s="816">
        <v>398</v>
      </c>
      <c r="W313" s="816">
        <v>385</v>
      </c>
      <c r="X313" s="816"/>
      <c r="Y313" s="816"/>
      <c r="Z313" s="816">
        <v>345</v>
      </c>
      <c r="AA313" s="805">
        <v>1128</v>
      </c>
      <c r="AB313" s="805"/>
      <c r="AC313" s="816"/>
      <c r="AD313" s="816">
        <v>95</v>
      </c>
      <c r="AE313" s="816">
        <v>224</v>
      </c>
      <c r="AF313" s="816"/>
      <c r="AG313" s="805">
        <v>319</v>
      </c>
      <c r="AH313" s="805"/>
      <c r="AI313" s="816"/>
      <c r="AJ313" s="817"/>
      <c r="AK313" s="805"/>
    </row>
    <row r="314" spans="1:37">
      <c r="A314" s="240" t="s">
        <v>147</v>
      </c>
      <c r="B314" s="240" t="s">
        <v>53</v>
      </c>
      <c r="C314" s="829">
        <f>IF(U319&gt;0,(U314/U319),0)</f>
        <v>0.4041095890410959</v>
      </c>
      <c r="D314" s="830">
        <f t="shared" ref="D314" si="2898">IF(V319&gt;0,(V314/V319),0)</f>
        <v>0.38095238095238093</v>
      </c>
      <c r="E314" s="830">
        <f t="shared" ref="E314" si="2899">IF(W319&gt;0,(W314/W319),0)</f>
        <v>0.38161559888579388</v>
      </c>
      <c r="F314" s="830">
        <f t="shared" ref="F314" si="2900">IF(X319&gt;0,(X314/X319),0)</f>
        <v>0.33684210526315789</v>
      </c>
      <c r="G314" s="830">
        <f t="shared" ref="G314" si="2901">IF(Y319&gt;0,(Y314/Y319),0)</f>
        <v>0.34324942791762014</v>
      </c>
      <c r="H314" s="830">
        <f t="shared" ref="H314" si="2902">IF(Z319&gt;0,(Z314/Z319),0)</f>
        <v>0.1111111111111111</v>
      </c>
      <c r="I314" s="829">
        <f t="shared" ref="I314" si="2903">IF(AA319&gt;0,(AA314/AA319),0)</f>
        <v>0.37080137529754031</v>
      </c>
      <c r="J314" s="829">
        <f t="shared" ref="J314" si="2904">IF(AB319&gt;0,(AB314/AB319),0)</f>
        <v>0</v>
      </c>
      <c r="K314" s="830">
        <f t="shared" ref="K314" si="2905">IF(AC319&gt;0,(AC314/AC319),0)</f>
        <v>0</v>
      </c>
      <c r="L314" s="830">
        <f t="shared" ref="L314" si="2906">IF(AD319&gt;0,(AD314/AD319),0)</f>
        <v>0.57948717948717954</v>
      </c>
      <c r="M314" s="830">
        <f t="shared" ref="M314" si="2907">IF(AE319&gt;0,(AE314/AE319),0)</f>
        <v>0.60509554140127386</v>
      </c>
      <c r="N314" s="830">
        <f t="shared" ref="N314" si="2908">IF(AF319&gt;0,(AF314/AF319),0)</f>
        <v>0</v>
      </c>
      <c r="O314" s="829">
        <f t="shared" ref="O314" si="2909">IF(AG319&gt;0,(AG314/AG319),0)</f>
        <v>0.58212877792378448</v>
      </c>
      <c r="P314" s="829">
        <f t="shared" ref="P314" si="2910">IF(AH319&gt;0,(AH314/AH319),0)</f>
        <v>0</v>
      </c>
      <c r="Q314" s="830">
        <f t="shared" ref="Q314" si="2911">IF(AI319&gt;0,(AI314/AI319),0)</f>
        <v>0</v>
      </c>
      <c r="R314" s="831">
        <f t="shared" ref="R314" si="2912">IF(AJ319&gt;0,(AJ314/AJ319),0)</f>
        <v>0</v>
      </c>
      <c r="S314" s="829">
        <f t="shared" ref="S314" si="2913">IF(AK319&gt;0,(AK314/AK319),0)</f>
        <v>0</v>
      </c>
      <c r="U314" s="349">
        <v>472</v>
      </c>
      <c r="V314" s="349">
        <v>320</v>
      </c>
      <c r="W314" s="349">
        <v>137</v>
      </c>
      <c r="X314" s="349">
        <v>320</v>
      </c>
      <c r="Y314" s="349">
        <v>150</v>
      </c>
      <c r="Z314" s="349">
        <v>3</v>
      </c>
      <c r="AA314" s="803">
        <v>1402</v>
      </c>
      <c r="AB314" s="803"/>
      <c r="AC314" s="349"/>
      <c r="AD314" s="349">
        <v>791</v>
      </c>
      <c r="AE314" s="349">
        <v>95</v>
      </c>
      <c r="AF314" s="349"/>
      <c r="AG314" s="803">
        <v>886</v>
      </c>
      <c r="AH314" s="803"/>
      <c r="AI314" s="349"/>
      <c r="AJ314" s="812"/>
      <c r="AK314" s="803"/>
    </row>
    <row r="315" spans="1:37">
      <c r="A315" s="239"/>
      <c r="B315" s="239" t="s">
        <v>93</v>
      </c>
      <c r="C315" s="832">
        <f>IF(U319&gt;0,(U315/U319),0)</f>
        <v>0.23715753424657535</v>
      </c>
      <c r="D315" s="830">
        <f t="shared" ref="D315" si="2914">IF(V319&gt;0,(V315/V319),0)</f>
        <v>0.2392857142857143</v>
      </c>
      <c r="E315" s="830">
        <f t="shared" ref="E315" si="2915">IF(W319&gt;0,(W315/W319),0)</f>
        <v>0.22841225626740946</v>
      </c>
      <c r="F315" s="830">
        <f t="shared" ref="F315" si="2916">IF(X319&gt;0,(X315/X319),0)</f>
        <v>0.22842105263157894</v>
      </c>
      <c r="G315" s="830">
        <f t="shared" ref="G315" si="2917">IF(Y319&gt;0,(Y315/Y319),0)</f>
        <v>0.28832951945080093</v>
      </c>
      <c r="H315" s="830">
        <f t="shared" ref="H315" si="2918">IF(Z319&gt;0,(Z315/Z319),0)</f>
        <v>0.29629629629629628</v>
      </c>
      <c r="I315" s="832">
        <f t="shared" ref="I315" si="2919">IF(AA319&gt;0,(AA315/AA319),0)</f>
        <v>0.24094154985453584</v>
      </c>
      <c r="J315" s="832">
        <f t="shared" ref="J315" si="2920">IF(AB319&gt;0,(AB315/AB319),0)</f>
        <v>0</v>
      </c>
      <c r="K315" s="830">
        <f t="shared" ref="K315" si="2921">IF(AC319&gt;0,(AC315/AC319),0)</f>
        <v>0</v>
      </c>
      <c r="L315" s="830">
        <f t="shared" ref="L315" si="2922">IF(AD319&gt;0,(AD315/AD319),0)</f>
        <v>0.14139194139194139</v>
      </c>
      <c r="M315" s="830">
        <f t="shared" ref="M315" si="2923">IF(AE319&gt;0,(AE315/AE319),0)</f>
        <v>0.14012738853503184</v>
      </c>
      <c r="N315" s="830">
        <f t="shared" ref="N315" si="2924">IF(AF319&gt;0,(AF315/AF319),0)</f>
        <v>0</v>
      </c>
      <c r="O315" s="832">
        <f t="shared" ref="O315" si="2925">IF(AG319&gt;0,(AG315/AG319),0)</f>
        <v>0.14126149802890933</v>
      </c>
      <c r="P315" s="832">
        <f t="shared" ref="P315" si="2926">IF(AH319&gt;0,(AH315/AH319),0)</f>
        <v>0</v>
      </c>
      <c r="Q315" s="830">
        <f t="shared" ref="Q315" si="2927">IF(AI319&gt;0,(AI315/AI319),0)</f>
        <v>0</v>
      </c>
      <c r="R315" s="833">
        <f t="shared" ref="R315" si="2928">IF(AJ319&gt;0,(AJ315/AJ319),0)</f>
        <v>0</v>
      </c>
      <c r="S315" s="832">
        <f t="shared" ref="S315" si="2929">IF(AK319&gt;0,(AK315/AK319),0)</f>
        <v>0</v>
      </c>
      <c r="U315" s="349">
        <v>277</v>
      </c>
      <c r="V315" s="349">
        <v>201</v>
      </c>
      <c r="W315" s="349">
        <v>82</v>
      </c>
      <c r="X315" s="349">
        <v>217</v>
      </c>
      <c r="Y315" s="349">
        <v>126</v>
      </c>
      <c r="Z315" s="349">
        <v>8</v>
      </c>
      <c r="AA315" s="804">
        <v>911</v>
      </c>
      <c r="AB315" s="804"/>
      <c r="AC315" s="349"/>
      <c r="AD315" s="349">
        <v>193</v>
      </c>
      <c r="AE315" s="349">
        <v>22</v>
      </c>
      <c r="AF315" s="349"/>
      <c r="AG315" s="804">
        <v>215</v>
      </c>
      <c r="AH315" s="804"/>
      <c r="AI315" s="349"/>
      <c r="AJ315" s="813"/>
      <c r="AK315" s="804"/>
    </row>
    <row r="316" spans="1:37">
      <c r="A316" s="239"/>
      <c r="B316" s="239" t="s">
        <v>55</v>
      </c>
      <c r="C316" s="832">
        <f>IF(U319&gt;0,(U316/U319),0)</f>
        <v>0.20633561643835616</v>
      </c>
      <c r="D316" s="830">
        <f t="shared" ref="D316" si="2930">IF(V319&gt;0,(V316/V319),0)</f>
        <v>0.28928571428571431</v>
      </c>
      <c r="E316" s="830">
        <f t="shared" ref="E316" si="2931">IF(W319&gt;0,(W316/W319),0)</f>
        <v>0.2785515320334262</v>
      </c>
      <c r="F316" s="830">
        <f t="shared" ref="F316" si="2932">IF(X319&gt;0,(X316/X319),0)</f>
        <v>0.40210526315789474</v>
      </c>
      <c r="G316" s="830">
        <f t="shared" ref="G316" si="2933">IF(Y319&gt;0,(Y316/Y319),0)</f>
        <v>0.31578947368421051</v>
      </c>
      <c r="H316" s="830">
        <f t="shared" ref="H316" si="2934">IF(Z319&gt;0,(Z316/Z319),0)</f>
        <v>0.51851851851851849</v>
      </c>
      <c r="I316" s="832">
        <f t="shared" ref="I316" si="2935">IF(AA319&gt;0,(AA316/AA319),0)</f>
        <v>0.29568897117164772</v>
      </c>
      <c r="J316" s="832">
        <f t="shared" ref="J316" si="2936">IF(AB319&gt;0,(AB316/AB319),0)</f>
        <v>0</v>
      </c>
      <c r="K316" s="830">
        <f t="shared" ref="K316" si="2937">IF(AC319&gt;0,(AC316/AC319),0)</f>
        <v>0</v>
      </c>
      <c r="L316" s="830">
        <f t="shared" ref="L316" si="2938">IF(AD319&gt;0,(AD316/AD319),0)</f>
        <v>0.17435897435897435</v>
      </c>
      <c r="M316" s="830">
        <f t="shared" ref="M316" si="2939">IF(AE319&gt;0,(AE316/AE319),0)</f>
        <v>0.20382165605095542</v>
      </c>
      <c r="N316" s="830">
        <f t="shared" ref="N316" si="2940">IF(AF319&gt;0,(AF316/AF319),0)</f>
        <v>0</v>
      </c>
      <c r="O316" s="832">
        <f t="shared" ref="O316" si="2941">IF(AG319&gt;0,(AG316/AG319),0)</f>
        <v>0.1773981603153745</v>
      </c>
      <c r="P316" s="832">
        <f t="shared" ref="P316" si="2942">IF(AH319&gt;0,(AH316/AH319),0)</f>
        <v>0</v>
      </c>
      <c r="Q316" s="830">
        <f t="shared" ref="Q316" si="2943">IF(AI319&gt;0,(AI316/AI319),0)</f>
        <v>0</v>
      </c>
      <c r="R316" s="833">
        <f t="shared" ref="R316" si="2944">IF(AJ319&gt;0,(AJ316/AJ319),0)</f>
        <v>0</v>
      </c>
      <c r="S316" s="832">
        <f t="shared" ref="S316" si="2945">IF(AK319&gt;0,(AK316/AK319),0)</f>
        <v>0</v>
      </c>
      <c r="U316" s="349">
        <v>241</v>
      </c>
      <c r="V316" s="349">
        <v>243</v>
      </c>
      <c r="W316" s="349">
        <v>100</v>
      </c>
      <c r="X316" s="349">
        <v>382</v>
      </c>
      <c r="Y316" s="349">
        <v>138</v>
      </c>
      <c r="Z316" s="349">
        <v>14</v>
      </c>
      <c r="AA316" s="804">
        <v>1118</v>
      </c>
      <c r="AB316" s="804"/>
      <c r="AC316" s="349"/>
      <c r="AD316" s="349">
        <v>238</v>
      </c>
      <c r="AE316" s="349">
        <v>32</v>
      </c>
      <c r="AF316" s="349"/>
      <c r="AG316" s="804">
        <v>270</v>
      </c>
      <c r="AH316" s="804"/>
      <c r="AI316" s="349"/>
      <c r="AJ316" s="813"/>
      <c r="AK316" s="804"/>
    </row>
    <row r="317" spans="1:37">
      <c r="A317" s="239"/>
      <c r="B317" s="239" t="s">
        <v>78</v>
      </c>
      <c r="C317" s="832">
        <f>IF(U319&gt;0,(U317/U319),0)</f>
        <v>3.4246575342465752E-3</v>
      </c>
      <c r="D317" s="830">
        <f t="shared" ref="D317" si="2946">IF(V319&gt;0,(V317/V319),0)</f>
        <v>1.1904761904761906E-3</v>
      </c>
      <c r="E317" s="830">
        <f t="shared" ref="E317" si="2947">IF(W319&gt;0,(W317/W319),0)</f>
        <v>0</v>
      </c>
      <c r="F317" s="830">
        <f t="shared" ref="F317" si="2948">IF(X319&gt;0,(X317/X319),0)</f>
        <v>3.2631578947368421E-2</v>
      </c>
      <c r="G317" s="830">
        <f t="shared" ref="G317" si="2949">IF(Y319&gt;0,(Y317/Y319),0)</f>
        <v>4.3478260869565216E-2</v>
      </c>
      <c r="H317" s="830">
        <f t="shared" ref="H317" si="2950">IF(Z319&gt;0,(Z317/Z319),0)</f>
        <v>7.407407407407407E-2</v>
      </c>
      <c r="I317" s="832">
        <f t="shared" ref="I317" si="2951">IF(AA319&gt;0,(AA317/AA319),0)</f>
        <v>1.507537688442211E-2</v>
      </c>
      <c r="J317" s="832">
        <f t="shared" ref="J317" si="2952">IF(AB319&gt;0,(AB317/AB319),0)</f>
        <v>0</v>
      </c>
      <c r="K317" s="830">
        <f t="shared" ref="K317" si="2953">IF(AC319&gt;0,(AC317/AC319),0)</f>
        <v>0</v>
      </c>
      <c r="L317" s="830">
        <f t="shared" ref="L317" si="2954">IF(AD319&gt;0,(AD317/AD319),0)</f>
        <v>9.0842490842490839E-2</v>
      </c>
      <c r="M317" s="830">
        <f t="shared" ref="M317" si="2955">IF(AE319&gt;0,(AE317/AE319),0)</f>
        <v>5.0955414012738856E-2</v>
      </c>
      <c r="N317" s="830">
        <f t="shared" ref="N317" si="2956">IF(AF319&gt;0,(AF317/AF319),0)</f>
        <v>0</v>
      </c>
      <c r="O317" s="832">
        <f t="shared" ref="O317" si="2957">IF(AG319&gt;0,(AG317/AG319),0)</f>
        <v>8.6727989487516421E-2</v>
      </c>
      <c r="P317" s="832">
        <f t="shared" ref="P317" si="2958">IF(AH319&gt;0,(AH317/AH319),0)</f>
        <v>0</v>
      </c>
      <c r="Q317" s="830">
        <f t="shared" ref="Q317" si="2959">IF(AI319&gt;0,(AI317/AI319),0)</f>
        <v>0</v>
      </c>
      <c r="R317" s="833">
        <f t="shared" ref="R317" si="2960">IF(AJ319&gt;0,(AJ317/AJ319),0)</f>
        <v>0</v>
      </c>
      <c r="S317" s="832">
        <f t="shared" ref="S317" si="2961">IF(AK319&gt;0,(AK317/AK319),0)</f>
        <v>0</v>
      </c>
      <c r="U317" s="349">
        <v>4</v>
      </c>
      <c r="V317" s="349">
        <v>1</v>
      </c>
      <c r="W317" s="349"/>
      <c r="X317" s="349">
        <v>31</v>
      </c>
      <c r="Y317" s="349">
        <v>19</v>
      </c>
      <c r="Z317" s="349">
        <v>2</v>
      </c>
      <c r="AA317" s="804">
        <v>57</v>
      </c>
      <c r="AB317" s="804"/>
      <c r="AC317" s="349"/>
      <c r="AD317" s="349">
        <v>124</v>
      </c>
      <c r="AE317" s="349">
        <v>8</v>
      </c>
      <c r="AF317" s="349"/>
      <c r="AG317" s="804">
        <v>132</v>
      </c>
      <c r="AH317" s="804"/>
      <c r="AI317" s="349"/>
      <c r="AJ317" s="813"/>
      <c r="AK317" s="804"/>
    </row>
    <row r="318" spans="1:37">
      <c r="A318" s="580"/>
      <c r="B318" s="580" t="s">
        <v>131</v>
      </c>
      <c r="C318" s="832">
        <f>IF(U319&gt;0,(U318/U319),0)</f>
        <v>0.14897260273972604</v>
      </c>
      <c r="D318" s="830">
        <f t="shared" ref="D318" si="2962">IF(V319&gt;0,(V318/V319),0)</f>
        <v>8.9285714285714288E-2</v>
      </c>
      <c r="E318" s="830">
        <f t="shared" ref="E318" si="2963">IF(W319&gt;0,(W318/W319),0)</f>
        <v>0.11142061281337047</v>
      </c>
      <c r="F318" s="830">
        <f t="shared" ref="F318" si="2964">IF(X319&gt;0,(X318/X319),0)</f>
        <v>0</v>
      </c>
      <c r="G318" s="830">
        <f t="shared" ref="G318" si="2965">IF(Y319&gt;0,(Y318/Y319),0)</f>
        <v>9.1533180778032037E-3</v>
      </c>
      <c r="H318" s="830">
        <f t="shared" ref="H318" si="2966">IF(Z319&gt;0,(Z318/Z319),0)</f>
        <v>0</v>
      </c>
      <c r="I318" s="832">
        <f t="shared" ref="I318" si="2967">IF(AA319&gt;0,(AA318/AA319),0)</f>
        <v>7.7492726791854011E-2</v>
      </c>
      <c r="J318" s="832">
        <f t="shared" ref="J318" si="2968">IF(AB319&gt;0,(AB318/AB319),0)</f>
        <v>0</v>
      </c>
      <c r="K318" s="830">
        <f t="shared" ref="K318" si="2969">IF(AC319&gt;0,(AC318/AC319),0)</f>
        <v>0</v>
      </c>
      <c r="L318" s="830">
        <f t="shared" ref="L318" si="2970">IF(AD319&gt;0,(AD318/AD319),0)</f>
        <v>1.391941391941392E-2</v>
      </c>
      <c r="M318" s="830">
        <f t="shared" ref="M318" si="2971">IF(AE319&gt;0,(AE318/AE319),0)</f>
        <v>0</v>
      </c>
      <c r="N318" s="830">
        <f t="shared" ref="N318" si="2972">IF(AF319&gt;0,(AF318/AF319),0)</f>
        <v>0</v>
      </c>
      <c r="O318" s="832">
        <f t="shared" ref="O318" si="2973">IF(AG319&gt;0,(AG318/AG319),0)</f>
        <v>1.2483574244415242E-2</v>
      </c>
      <c r="P318" s="832">
        <f t="shared" ref="P318" si="2974">IF(AH319&gt;0,(AH318/AH319),0)</f>
        <v>0</v>
      </c>
      <c r="Q318" s="830">
        <f t="shared" ref="Q318" si="2975">IF(AI319&gt;0,(AI318/AI319),0)</f>
        <v>0</v>
      </c>
      <c r="R318" s="833">
        <f t="shared" ref="R318" si="2976">IF(AJ319&gt;0,(AJ318/AJ319),0)</f>
        <v>0</v>
      </c>
      <c r="S318" s="832">
        <f t="shared" ref="S318" si="2977">IF(AK319&gt;0,(AK318/AK319),0)</f>
        <v>0</v>
      </c>
      <c r="U318" s="349">
        <v>174</v>
      </c>
      <c r="V318" s="349">
        <v>75</v>
      </c>
      <c r="W318" s="349">
        <v>40</v>
      </c>
      <c r="X318" s="349"/>
      <c r="Y318" s="349">
        <v>4</v>
      </c>
      <c r="Z318" s="349"/>
      <c r="AA318" s="804">
        <v>293</v>
      </c>
      <c r="AB318" s="804"/>
      <c r="AC318" s="349"/>
      <c r="AD318" s="349">
        <v>19</v>
      </c>
      <c r="AE318" s="349"/>
      <c r="AF318" s="349"/>
      <c r="AG318" s="804">
        <v>19</v>
      </c>
      <c r="AH318" s="804"/>
      <c r="AI318" s="349"/>
      <c r="AJ318" s="813"/>
      <c r="AK318" s="804"/>
    </row>
    <row r="319" spans="1:37">
      <c r="A319" s="436"/>
      <c r="B319" s="436" t="s">
        <v>59</v>
      </c>
      <c r="C319" s="834">
        <f>IF(U319&gt;0,(U319/U319),0)</f>
        <v>1</v>
      </c>
      <c r="D319" s="835">
        <f t="shared" ref="D319" si="2978">IF(V319&gt;0,(V319/V319),0)</f>
        <v>1</v>
      </c>
      <c r="E319" s="835">
        <f t="shared" ref="E319" si="2979">IF(W319&gt;0,(W319/W319),0)</f>
        <v>1</v>
      </c>
      <c r="F319" s="835">
        <f t="shared" ref="F319" si="2980">IF(X319&gt;0,(X319/X319),0)</f>
        <v>1</v>
      </c>
      <c r="G319" s="835">
        <f t="shared" ref="G319" si="2981">IF(Y319&gt;0,(Y319/Y319),0)</f>
        <v>1</v>
      </c>
      <c r="H319" s="835">
        <f t="shared" ref="H319" si="2982">IF(Z319&gt;0,(Z319/Z319),0)</f>
        <v>1</v>
      </c>
      <c r="I319" s="834">
        <f t="shared" ref="I319" si="2983">IF(AA319&gt;0,(AA319/AA319),0)</f>
        <v>1</v>
      </c>
      <c r="J319" s="834">
        <f t="shared" ref="J319" si="2984">IF(AB319&gt;0,(AB319/AB319),0)</f>
        <v>0</v>
      </c>
      <c r="K319" s="835">
        <f t="shared" ref="K319" si="2985">IF(AC319&gt;0,(AC319/AC319),0)</f>
        <v>0</v>
      </c>
      <c r="L319" s="835">
        <f t="shared" ref="L319" si="2986">IF(AD319&gt;0,(AD319/AD319),0)</f>
        <v>1</v>
      </c>
      <c r="M319" s="835">
        <f t="shared" ref="M319" si="2987">IF(AE319&gt;0,(AE319/AE319),0)</f>
        <v>1</v>
      </c>
      <c r="N319" s="835">
        <f t="shared" ref="N319" si="2988">IF(AF319&gt;0,(AF319/AF319),0)</f>
        <v>0</v>
      </c>
      <c r="O319" s="834">
        <f t="shared" ref="O319" si="2989">IF(AG319&gt;0,(AG319/AG319),0)</f>
        <v>1</v>
      </c>
      <c r="P319" s="834">
        <f t="shared" ref="P319" si="2990">IF(AH319&gt;0,(AH319/AH319),0)</f>
        <v>0</v>
      </c>
      <c r="Q319" s="835">
        <f t="shared" ref="Q319" si="2991">IF(AI319&gt;0,(AI319/AI319),0)</f>
        <v>0</v>
      </c>
      <c r="R319" s="836">
        <f t="shared" ref="R319" si="2992">IF(AJ319&gt;0,(AJ319/AJ319),0)</f>
        <v>0</v>
      </c>
      <c r="S319" s="834">
        <f t="shared" ref="S319" si="2993">IF(AK319&gt;0,(AK319/AK319),0)</f>
        <v>0</v>
      </c>
      <c r="U319" s="816">
        <v>1168</v>
      </c>
      <c r="V319" s="816">
        <v>840</v>
      </c>
      <c r="W319" s="816">
        <v>359</v>
      </c>
      <c r="X319" s="816">
        <v>950</v>
      </c>
      <c r="Y319" s="816">
        <v>437</v>
      </c>
      <c r="Z319" s="816">
        <v>27</v>
      </c>
      <c r="AA319" s="805">
        <v>3781</v>
      </c>
      <c r="AB319" s="805"/>
      <c r="AC319" s="816"/>
      <c r="AD319" s="816">
        <v>1365</v>
      </c>
      <c r="AE319" s="816">
        <v>157</v>
      </c>
      <c r="AF319" s="816"/>
      <c r="AG319" s="805">
        <v>1522</v>
      </c>
      <c r="AH319" s="805"/>
      <c r="AI319" s="816"/>
      <c r="AJ319" s="817"/>
      <c r="AK319" s="805"/>
    </row>
    <row r="320" spans="1:37">
      <c r="A320" s="240" t="s">
        <v>155</v>
      </c>
      <c r="B320" s="240" t="s">
        <v>53</v>
      </c>
      <c r="C320" s="829">
        <f>IF(U325&gt;0,(U320/U325),0)</f>
        <v>0</v>
      </c>
      <c r="D320" s="830">
        <f t="shared" ref="D320" si="2994">IF(V325&gt;0,(V320/V325),0)</f>
        <v>0.37617554858934171</v>
      </c>
      <c r="E320" s="830">
        <f t="shared" ref="E320" si="2995">IF(W325&gt;0,(W320/W325),0)</f>
        <v>0</v>
      </c>
      <c r="F320" s="830">
        <f t="shared" ref="F320" si="2996">IF(X325&gt;0,(X320/X325),0)</f>
        <v>0</v>
      </c>
      <c r="G320" s="830">
        <f t="shared" ref="G320" si="2997">IF(Y325&gt;0,(Y320/Y325),0)</f>
        <v>0.40437158469945356</v>
      </c>
      <c r="H320" s="830">
        <f t="shared" ref="H320" si="2998">IF(Z325&gt;0,(Z320/Z325),0)</f>
        <v>0.13333333333333333</v>
      </c>
      <c r="I320" s="829">
        <f t="shared" ref="I320" si="2999">IF(AA325&gt;0,(AA320/AA325),0)</f>
        <v>0.379110251450677</v>
      </c>
      <c r="J320" s="829">
        <f t="shared" ref="J320" si="3000">IF(AB325&gt;0,(AB320/AB325),0)</f>
        <v>0</v>
      </c>
      <c r="K320" s="830">
        <f t="shared" ref="K320" si="3001">IF(AC325&gt;0,(AC320/AC325),0)</f>
        <v>0</v>
      </c>
      <c r="L320" s="830">
        <f t="shared" ref="L320" si="3002">IF(AD325&gt;0,(AD320/AD325),0)</f>
        <v>0.76774193548387093</v>
      </c>
      <c r="M320" s="830">
        <f t="shared" ref="M320" si="3003">IF(AE325&gt;0,(AE320/AE325),0)</f>
        <v>0.75342465753424659</v>
      </c>
      <c r="N320" s="830">
        <f t="shared" ref="N320" si="3004">IF(AF325&gt;0,(AF320/AF325),0)</f>
        <v>0.64423076923076927</v>
      </c>
      <c r="O320" s="829">
        <f t="shared" ref="O320" si="3005">IF(AG325&gt;0,(AG320/AG325),0)</f>
        <v>0.72590361445783136</v>
      </c>
      <c r="P320" s="829">
        <f t="shared" ref="P320" si="3006">IF(AH325&gt;0,(AH320/AH325),0)</f>
        <v>0</v>
      </c>
      <c r="Q320" s="830">
        <f t="shared" ref="Q320" si="3007">IF(AI325&gt;0,(AI320/AI325),0)</f>
        <v>0</v>
      </c>
      <c r="R320" s="831">
        <f t="shared" ref="R320" si="3008">IF(AJ325&gt;0,(AJ320/AJ325),0)</f>
        <v>0</v>
      </c>
      <c r="S320" s="829">
        <f t="shared" ref="S320" si="3009">IF(AK325&gt;0,(AK320/AK325),0)</f>
        <v>0</v>
      </c>
      <c r="U320" s="349"/>
      <c r="V320" s="349">
        <v>240</v>
      </c>
      <c r="W320" s="349"/>
      <c r="X320" s="349"/>
      <c r="Y320" s="349">
        <v>148</v>
      </c>
      <c r="Z320" s="349">
        <v>4</v>
      </c>
      <c r="AA320" s="803">
        <v>392</v>
      </c>
      <c r="AB320" s="803"/>
      <c r="AC320" s="349"/>
      <c r="AD320" s="349">
        <v>119</v>
      </c>
      <c r="AE320" s="349">
        <v>55</v>
      </c>
      <c r="AF320" s="349">
        <v>67</v>
      </c>
      <c r="AG320" s="803">
        <v>241</v>
      </c>
      <c r="AH320" s="803"/>
      <c r="AI320" s="349"/>
      <c r="AJ320" s="812"/>
      <c r="AK320" s="803"/>
    </row>
    <row r="321" spans="1:37">
      <c r="A321" s="239"/>
      <c r="B321" s="239" t="s">
        <v>93</v>
      </c>
      <c r="C321" s="832">
        <f>IF(U325&gt;0,(U321/U325),0)</f>
        <v>0</v>
      </c>
      <c r="D321" s="830">
        <f t="shared" ref="D321" si="3010">IF(V325&gt;0,(V321/V325),0)</f>
        <v>0.38401253918495298</v>
      </c>
      <c r="E321" s="830">
        <f t="shared" ref="E321" si="3011">IF(W325&gt;0,(W321/W325),0)</f>
        <v>0</v>
      </c>
      <c r="F321" s="830">
        <f t="shared" ref="F321" si="3012">IF(X325&gt;0,(X321/X325),0)</f>
        <v>0</v>
      </c>
      <c r="G321" s="830">
        <f t="shared" ref="G321" si="3013">IF(Y325&gt;0,(Y321/Y325),0)</f>
        <v>0.25409836065573771</v>
      </c>
      <c r="H321" s="830">
        <f t="shared" ref="H321" si="3014">IF(Z325&gt;0,(Z321/Z325),0)</f>
        <v>0.56666666666666665</v>
      </c>
      <c r="I321" s="832">
        <f t="shared" ref="I321" si="3015">IF(AA325&gt;0,(AA321/AA325),0)</f>
        <v>0.34332688588007737</v>
      </c>
      <c r="J321" s="832">
        <f t="shared" ref="J321" si="3016">IF(AB325&gt;0,(AB321/AB325),0)</f>
        <v>0</v>
      </c>
      <c r="K321" s="830">
        <f t="shared" ref="K321" si="3017">IF(AC325&gt;0,(AC321/AC325),0)</f>
        <v>0</v>
      </c>
      <c r="L321" s="830">
        <f t="shared" ref="L321" si="3018">IF(AD325&gt;0,(AD321/AD325),0)</f>
        <v>0.14193548387096774</v>
      </c>
      <c r="M321" s="830">
        <f t="shared" ref="M321" si="3019">IF(AE325&gt;0,(AE321/AE325),0)</f>
        <v>8.2191780821917804E-2</v>
      </c>
      <c r="N321" s="830">
        <f t="shared" ref="N321" si="3020">IF(AF325&gt;0,(AF321/AF325),0)</f>
        <v>0.25</v>
      </c>
      <c r="O321" s="832">
        <f t="shared" ref="O321" si="3021">IF(AG325&gt;0,(AG321/AG325),0)</f>
        <v>0.16265060240963855</v>
      </c>
      <c r="P321" s="832">
        <f t="shared" ref="P321" si="3022">IF(AH325&gt;0,(AH321/AH325),0)</f>
        <v>0</v>
      </c>
      <c r="Q321" s="830">
        <f t="shared" ref="Q321" si="3023">IF(AI325&gt;0,(AI321/AI325),0)</f>
        <v>0</v>
      </c>
      <c r="R321" s="833">
        <f t="shared" ref="R321" si="3024">IF(AJ325&gt;0,(AJ321/AJ325),0)</f>
        <v>0</v>
      </c>
      <c r="S321" s="832">
        <f t="shared" ref="S321" si="3025">IF(AK325&gt;0,(AK321/AK325),0)</f>
        <v>0</v>
      </c>
      <c r="U321" s="349"/>
      <c r="V321" s="349">
        <v>245</v>
      </c>
      <c r="W321" s="349"/>
      <c r="X321" s="349"/>
      <c r="Y321" s="349">
        <v>93</v>
      </c>
      <c r="Z321" s="349">
        <v>17</v>
      </c>
      <c r="AA321" s="804">
        <v>355</v>
      </c>
      <c r="AB321" s="804"/>
      <c r="AC321" s="349"/>
      <c r="AD321" s="349">
        <v>22</v>
      </c>
      <c r="AE321" s="349">
        <v>6</v>
      </c>
      <c r="AF321" s="349">
        <v>26</v>
      </c>
      <c r="AG321" s="804">
        <v>54</v>
      </c>
      <c r="AH321" s="804"/>
      <c r="AI321" s="349"/>
      <c r="AJ321" s="813"/>
      <c r="AK321" s="804"/>
    </row>
    <row r="322" spans="1:37">
      <c r="A322" s="239"/>
      <c r="B322" s="239" t="s">
        <v>55</v>
      </c>
      <c r="C322" s="832">
        <f>IF(U325&gt;0,(U322/U325),0)</f>
        <v>0</v>
      </c>
      <c r="D322" s="830">
        <f t="shared" ref="D322" si="3026">IF(V325&gt;0,(V322/V325),0)</f>
        <v>0.19905956112852666</v>
      </c>
      <c r="E322" s="830">
        <f t="shared" ref="E322" si="3027">IF(W325&gt;0,(W322/W325),0)</f>
        <v>0</v>
      </c>
      <c r="F322" s="830">
        <f t="shared" ref="F322" si="3028">IF(X325&gt;0,(X322/X325),0)</f>
        <v>0</v>
      </c>
      <c r="G322" s="830">
        <f t="shared" ref="G322" si="3029">IF(Y325&gt;0,(Y322/Y325),0)</f>
        <v>0.21584699453551912</v>
      </c>
      <c r="H322" s="830">
        <f t="shared" ref="H322" si="3030">IF(Z325&gt;0,(Z322/Z325),0)</f>
        <v>0.13333333333333333</v>
      </c>
      <c r="I322" s="832">
        <f t="shared" ref="I322" si="3031">IF(AA325&gt;0,(AA322/AA325),0)</f>
        <v>0.20309477756286268</v>
      </c>
      <c r="J322" s="832">
        <f t="shared" ref="J322" si="3032">IF(AB325&gt;0,(AB322/AB325),0)</f>
        <v>0</v>
      </c>
      <c r="K322" s="830">
        <f t="shared" ref="K322" si="3033">IF(AC325&gt;0,(AC322/AC325),0)</f>
        <v>0</v>
      </c>
      <c r="L322" s="830">
        <f t="shared" ref="L322" si="3034">IF(AD325&gt;0,(AD322/AD325),0)</f>
        <v>9.0322580645161285E-2</v>
      </c>
      <c r="M322" s="830">
        <f t="shared" ref="M322" si="3035">IF(AE325&gt;0,(AE322/AE325),0)</f>
        <v>9.5890410958904104E-2</v>
      </c>
      <c r="N322" s="830">
        <f t="shared" ref="N322" si="3036">IF(AF325&gt;0,(AF322/AF325),0)</f>
        <v>3.8461538461538464E-2</v>
      </c>
      <c r="O322" s="832">
        <f t="shared" ref="O322" si="3037">IF(AG325&gt;0,(AG322/AG325),0)</f>
        <v>7.5301204819277115E-2</v>
      </c>
      <c r="P322" s="832">
        <f t="shared" ref="P322" si="3038">IF(AH325&gt;0,(AH322/AH325),0)</f>
        <v>0</v>
      </c>
      <c r="Q322" s="830">
        <f t="shared" ref="Q322" si="3039">IF(AI325&gt;0,(AI322/AI325),0)</f>
        <v>0</v>
      </c>
      <c r="R322" s="833">
        <f t="shared" ref="R322" si="3040">IF(AJ325&gt;0,(AJ322/AJ325),0)</f>
        <v>0</v>
      </c>
      <c r="S322" s="832">
        <f t="shared" ref="S322" si="3041">IF(AK325&gt;0,(AK322/AK325),0)</f>
        <v>0</v>
      </c>
      <c r="U322" s="349"/>
      <c r="V322" s="349">
        <v>127</v>
      </c>
      <c r="W322" s="349"/>
      <c r="X322" s="349"/>
      <c r="Y322" s="349">
        <v>79</v>
      </c>
      <c r="Z322" s="349">
        <v>4</v>
      </c>
      <c r="AA322" s="804">
        <v>210</v>
      </c>
      <c r="AB322" s="804"/>
      <c r="AC322" s="349"/>
      <c r="AD322" s="349">
        <v>14</v>
      </c>
      <c r="AE322" s="349">
        <v>7</v>
      </c>
      <c r="AF322" s="349">
        <v>4</v>
      </c>
      <c r="AG322" s="804">
        <v>25</v>
      </c>
      <c r="AH322" s="804"/>
      <c r="AI322" s="349"/>
      <c r="AJ322" s="813"/>
      <c r="AK322" s="804"/>
    </row>
    <row r="323" spans="1:37">
      <c r="A323" s="239"/>
      <c r="B323" s="239" t="s">
        <v>78</v>
      </c>
      <c r="C323" s="832">
        <f>IF(U325&gt;0,(U323/U325),0)</f>
        <v>0</v>
      </c>
      <c r="D323" s="830">
        <f t="shared" ref="D323" si="3042">IF(V325&gt;0,(V323/V325),0)</f>
        <v>3.134796238244514E-3</v>
      </c>
      <c r="E323" s="830">
        <f t="shared" ref="E323" si="3043">IF(W325&gt;0,(W323/W325),0)</f>
        <v>0</v>
      </c>
      <c r="F323" s="830">
        <f t="shared" ref="F323" si="3044">IF(X325&gt;0,(X323/X325),0)</f>
        <v>0</v>
      </c>
      <c r="G323" s="830">
        <f t="shared" ref="G323" si="3045">IF(Y325&gt;0,(Y323/Y325),0)</f>
        <v>3.0054644808743168E-2</v>
      </c>
      <c r="H323" s="830">
        <f t="shared" ref="H323" si="3046">IF(Z325&gt;0,(Z323/Z325),0)</f>
        <v>0.1</v>
      </c>
      <c r="I323" s="832">
        <f t="shared" ref="I323" si="3047">IF(AA325&gt;0,(AA323/AA325),0)</f>
        <v>1.5473887814313346E-2</v>
      </c>
      <c r="J323" s="832">
        <f t="shared" ref="J323" si="3048">IF(AB325&gt;0,(AB323/AB325),0)</f>
        <v>0</v>
      </c>
      <c r="K323" s="830">
        <f t="shared" ref="K323" si="3049">IF(AC325&gt;0,(AC323/AC325),0)</f>
        <v>0</v>
      </c>
      <c r="L323" s="830">
        <f t="shared" ref="L323" si="3050">IF(AD325&gt;0,(AD323/AD325),0)</f>
        <v>0</v>
      </c>
      <c r="M323" s="830">
        <f t="shared" ref="M323" si="3051">IF(AE325&gt;0,(AE323/AE325),0)</f>
        <v>6.8493150684931503E-2</v>
      </c>
      <c r="N323" s="830">
        <f t="shared" ref="N323" si="3052">IF(AF325&gt;0,(AF323/AF325),0)</f>
        <v>6.7307692307692304E-2</v>
      </c>
      <c r="O323" s="832">
        <f t="shared" ref="O323" si="3053">IF(AG325&gt;0,(AG323/AG325),0)</f>
        <v>3.614457831325301E-2</v>
      </c>
      <c r="P323" s="832">
        <f t="shared" ref="P323" si="3054">IF(AH325&gt;0,(AH323/AH325),0)</f>
        <v>0</v>
      </c>
      <c r="Q323" s="830">
        <f t="shared" ref="Q323" si="3055">IF(AI325&gt;0,(AI323/AI325),0)</f>
        <v>0</v>
      </c>
      <c r="R323" s="833">
        <f t="shared" ref="R323" si="3056">IF(AJ325&gt;0,(AJ323/AJ325),0)</f>
        <v>0</v>
      </c>
      <c r="S323" s="832">
        <f t="shared" ref="S323" si="3057">IF(AK325&gt;0,(AK323/AK325),0)</f>
        <v>0</v>
      </c>
      <c r="U323" s="349"/>
      <c r="V323" s="349">
        <v>2</v>
      </c>
      <c r="W323" s="349"/>
      <c r="X323" s="349"/>
      <c r="Y323" s="349">
        <v>11</v>
      </c>
      <c r="Z323" s="349">
        <v>3</v>
      </c>
      <c r="AA323" s="804">
        <v>16</v>
      </c>
      <c r="AB323" s="804"/>
      <c r="AC323" s="349"/>
      <c r="AD323" s="349"/>
      <c r="AE323" s="349">
        <v>5</v>
      </c>
      <c r="AF323" s="349">
        <v>7</v>
      </c>
      <c r="AG323" s="804">
        <v>12</v>
      </c>
      <c r="AH323" s="804"/>
      <c r="AI323" s="349"/>
      <c r="AJ323" s="813"/>
      <c r="AK323" s="804"/>
    </row>
    <row r="324" spans="1:37">
      <c r="A324" s="580"/>
      <c r="B324" s="580" t="s">
        <v>131</v>
      </c>
      <c r="C324" s="832">
        <f>IF(U325&gt;0,(U324/U325),0)</f>
        <v>0</v>
      </c>
      <c r="D324" s="830">
        <f t="shared" ref="D324" si="3058">IF(V325&gt;0,(V324/V325),0)</f>
        <v>3.7617554858934171E-2</v>
      </c>
      <c r="E324" s="830">
        <f t="shared" ref="E324" si="3059">IF(W325&gt;0,(W324/W325),0)</f>
        <v>0</v>
      </c>
      <c r="F324" s="830">
        <f t="shared" ref="F324" si="3060">IF(X325&gt;0,(X324/X325),0)</f>
        <v>0</v>
      </c>
      <c r="G324" s="830">
        <f t="shared" ref="G324" si="3061">IF(Y325&gt;0,(Y324/Y325),0)</f>
        <v>9.5628415300546443E-2</v>
      </c>
      <c r="H324" s="830">
        <f t="shared" ref="H324" si="3062">IF(Z325&gt;0,(Z324/Z325),0)</f>
        <v>6.6666666666666666E-2</v>
      </c>
      <c r="I324" s="832">
        <f t="shared" ref="I324" si="3063">IF(AA325&gt;0,(AA324/AA325),0)</f>
        <v>5.8994197292069631E-2</v>
      </c>
      <c r="J324" s="832">
        <f t="shared" ref="J324" si="3064">IF(AB325&gt;0,(AB324/AB325),0)</f>
        <v>0</v>
      </c>
      <c r="K324" s="830">
        <f t="shared" ref="K324" si="3065">IF(AC325&gt;0,(AC324/AC325),0)</f>
        <v>0</v>
      </c>
      <c r="L324" s="830">
        <f t="shared" ref="L324" si="3066">IF(AD325&gt;0,(AD324/AD325),0)</f>
        <v>0</v>
      </c>
      <c r="M324" s="830">
        <f t="shared" ref="M324" si="3067">IF(AE325&gt;0,(AE324/AE325),0)</f>
        <v>0</v>
      </c>
      <c r="N324" s="830">
        <f t="shared" ref="N324" si="3068">IF(AF325&gt;0,(AF324/AF325),0)</f>
        <v>0</v>
      </c>
      <c r="O324" s="832">
        <f t="shared" ref="O324" si="3069">IF(AG325&gt;0,(AG324/AG325),0)</f>
        <v>0</v>
      </c>
      <c r="P324" s="832">
        <f t="shared" ref="P324" si="3070">IF(AH325&gt;0,(AH324/AH325),0)</f>
        <v>0</v>
      </c>
      <c r="Q324" s="830">
        <f t="shared" ref="Q324" si="3071">IF(AI325&gt;0,(AI324/AI325),0)</f>
        <v>0</v>
      </c>
      <c r="R324" s="833">
        <f t="shared" ref="R324" si="3072">IF(AJ325&gt;0,(AJ324/AJ325),0)</f>
        <v>0</v>
      </c>
      <c r="S324" s="832">
        <f t="shared" ref="S324" si="3073">IF(AK325&gt;0,(AK324/AK325),0)</f>
        <v>0</v>
      </c>
      <c r="U324" s="349"/>
      <c r="V324" s="349">
        <v>24</v>
      </c>
      <c r="W324" s="349"/>
      <c r="X324" s="349"/>
      <c r="Y324" s="349">
        <v>35</v>
      </c>
      <c r="Z324" s="349">
        <v>2</v>
      </c>
      <c r="AA324" s="804">
        <v>61</v>
      </c>
      <c r="AB324" s="804"/>
      <c r="AC324" s="349"/>
      <c r="AD324" s="349"/>
      <c r="AE324" s="349"/>
      <c r="AF324" s="349"/>
      <c r="AG324" s="804"/>
      <c r="AH324" s="804"/>
      <c r="AI324" s="349"/>
      <c r="AJ324" s="813"/>
      <c r="AK324" s="804"/>
    </row>
    <row r="325" spans="1:37">
      <c r="A325" s="436"/>
      <c r="B325" s="436" t="s">
        <v>59</v>
      </c>
      <c r="C325" s="834">
        <f>IF(U325&gt;0,(U325/U325),0)</f>
        <v>0</v>
      </c>
      <c r="D325" s="835">
        <f t="shared" ref="D325" si="3074">IF(V325&gt;0,(V325/V325),0)</f>
        <v>1</v>
      </c>
      <c r="E325" s="835">
        <f t="shared" ref="E325" si="3075">IF(W325&gt;0,(W325/W325),0)</f>
        <v>0</v>
      </c>
      <c r="F325" s="835">
        <f t="shared" ref="F325" si="3076">IF(X325&gt;0,(X325/X325),0)</f>
        <v>0</v>
      </c>
      <c r="G325" s="835">
        <f t="shared" ref="G325" si="3077">IF(Y325&gt;0,(Y325/Y325),0)</f>
        <v>1</v>
      </c>
      <c r="H325" s="835">
        <f t="shared" ref="H325" si="3078">IF(Z325&gt;0,(Z325/Z325),0)</f>
        <v>1</v>
      </c>
      <c r="I325" s="834">
        <f t="shared" ref="I325" si="3079">IF(AA325&gt;0,(AA325/AA325),0)</f>
        <v>1</v>
      </c>
      <c r="J325" s="834">
        <f t="shared" ref="J325" si="3080">IF(AB325&gt;0,(AB325/AB325),0)</f>
        <v>0</v>
      </c>
      <c r="K325" s="835">
        <f t="shared" ref="K325" si="3081">IF(AC325&gt;0,(AC325/AC325),0)</f>
        <v>0</v>
      </c>
      <c r="L325" s="835">
        <f t="shared" ref="L325" si="3082">IF(AD325&gt;0,(AD325/AD325),0)</f>
        <v>1</v>
      </c>
      <c r="M325" s="835">
        <f t="shared" ref="M325" si="3083">IF(AE325&gt;0,(AE325/AE325),0)</f>
        <v>1</v>
      </c>
      <c r="N325" s="835">
        <f t="shared" ref="N325" si="3084">IF(AF325&gt;0,(AF325/AF325),0)</f>
        <v>1</v>
      </c>
      <c r="O325" s="834">
        <f t="shared" ref="O325" si="3085">IF(AG325&gt;0,(AG325/AG325),0)</f>
        <v>1</v>
      </c>
      <c r="P325" s="834">
        <f t="shared" ref="P325" si="3086">IF(AH325&gt;0,(AH325/AH325),0)</f>
        <v>0</v>
      </c>
      <c r="Q325" s="835">
        <f t="shared" ref="Q325" si="3087">IF(AI325&gt;0,(AI325/AI325),0)</f>
        <v>0</v>
      </c>
      <c r="R325" s="836">
        <f t="shared" ref="R325" si="3088">IF(AJ325&gt;0,(AJ325/AJ325),0)</f>
        <v>0</v>
      </c>
      <c r="S325" s="834">
        <f t="shared" ref="S325" si="3089">IF(AK325&gt;0,(AK325/AK325),0)</f>
        <v>0</v>
      </c>
      <c r="U325" s="816"/>
      <c r="V325" s="816">
        <v>638</v>
      </c>
      <c r="W325" s="816"/>
      <c r="X325" s="816"/>
      <c r="Y325" s="816">
        <v>366</v>
      </c>
      <c r="Z325" s="816">
        <v>30</v>
      </c>
      <c r="AA325" s="805">
        <v>1034</v>
      </c>
      <c r="AB325" s="805"/>
      <c r="AC325" s="816"/>
      <c r="AD325" s="816">
        <v>155</v>
      </c>
      <c r="AE325" s="816">
        <v>73</v>
      </c>
      <c r="AF325" s="816">
        <v>104</v>
      </c>
      <c r="AG325" s="805">
        <v>332</v>
      </c>
      <c r="AH325" s="805"/>
      <c r="AI325" s="816"/>
      <c r="AJ325" s="817"/>
      <c r="AK325" s="805"/>
    </row>
    <row r="326" spans="1:37">
      <c r="A326" s="240" t="s">
        <v>156</v>
      </c>
      <c r="B326" s="240" t="s">
        <v>53</v>
      </c>
      <c r="C326" s="829">
        <f>IF(U331&gt;0,(U326/U331),0)</f>
        <v>0.4566181127295757</v>
      </c>
      <c r="D326" s="830">
        <f t="shared" ref="D326" si="3090">IF(V331&gt;0,(V326/V331),0)</f>
        <v>0.37484586929716401</v>
      </c>
      <c r="E326" s="830">
        <f t="shared" ref="E326" si="3091">IF(W331&gt;0,(W326/W331),0)</f>
        <v>0.36723549488054608</v>
      </c>
      <c r="F326" s="830">
        <f t="shared" ref="F326" si="3092">IF(X331&gt;0,(X326/X331),0)</f>
        <v>0.29646017699115046</v>
      </c>
      <c r="G326" s="830">
        <f t="shared" ref="G326" si="3093">IF(Y331&gt;0,(Y326/Y331),0)</f>
        <v>0.28221649484536082</v>
      </c>
      <c r="H326" s="830">
        <f t="shared" ref="H326" si="3094">IF(Z331&gt;0,(Z326/Z331),0)</f>
        <v>0</v>
      </c>
      <c r="I326" s="829">
        <f t="shared" ref="I326" si="3095">IF(AA331&gt;0,(AA326/AA331),0)</f>
        <v>0.37351666980598985</v>
      </c>
      <c r="J326" s="829">
        <f t="shared" ref="J326" si="3096">IF(AB331&gt;0,(AB326/AB331),0)</f>
        <v>0</v>
      </c>
      <c r="K326" s="830">
        <f t="shared" ref="K326" si="3097">IF(AC331&gt;0,(AC326/AC331),0)</f>
        <v>0.30343897505057316</v>
      </c>
      <c r="L326" s="830">
        <f t="shared" ref="L326" si="3098">IF(AD331&gt;0,(AD326/AD331),0)</f>
        <v>0.14789915966386555</v>
      </c>
      <c r="M326" s="830">
        <f t="shared" ref="M326" si="3099">IF(AE331&gt;0,(AE326/AE331),0)</f>
        <v>0.1276595744680851</v>
      </c>
      <c r="N326" s="830">
        <f t="shared" ref="N326" si="3100">IF(AF331&gt;0,(AF326/AF331),0)</f>
        <v>0</v>
      </c>
      <c r="O326" s="829">
        <f t="shared" ref="O326" si="3101">IF(AG331&gt;0,(AG326/AG331),0)</f>
        <v>0.25600000000000001</v>
      </c>
      <c r="P326" s="829">
        <f t="shared" ref="P326" si="3102">IF(AH331&gt;0,(AH326/AH331),0)</f>
        <v>0</v>
      </c>
      <c r="Q326" s="830">
        <f t="shared" ref="Q326" si="3103">IF(AI331&gt;0,(AI326/AI331),0)</f>
        <v>0</v>
      </c>
      <c r="R326" s="831">
        <f t="shared" ref="R326" si="3104">IF(AJ331&gt;0,(AJ326/AJ331),0)</f>
        <v>0</v>
      </c>
      <c r="S326" s="829">
        <f t="shared" ref="S326" si="3105">IF(AK331&gt;0,(AK326/AK331),0)</f>
        <v>0</v>
      </c>
      <c r="U326" s="349">
        <v>721</v>
      </c>
      <c r="V326" s="349">
        <v>304</v>
      </c>
      <c r="W326" s="349">
        <v>538</v>
      </c>
      <c r="X326" s="349">
        <v>201</v>
      </c>
      <c r="Y326" s="349">
        <v>219</v>
      </c>
      <c r="Z326" s="349"/>
      <c r="AA326" s="803">
        <v>1983</v>
      </c>
      <c r="AB326" s="803"/>
      <c r="AC326" s="349">
        <v>450</v>
      </c>
      <c r="AD326" s="349">
        <v>88</v>
      </c>
      <c r="AE326" s="349">
        <v>6</v>
      </c>
      <c r="AF326" s="349"/>
      <c r="AG326" s="803">
        <v>544</v>
      </c>
      <c r="AH326" s="803"/>
      <c r="AI326" s="349"/>
      <c r="AJ326" s="812"/>
      <c r="AK326" s="803"/>
    </row>
    <row r="327" spans="1:37">
      <c r="A327" s="239"/>
      <c r="B327" s="239" t="s">
        <v>93</v>
      </c>
      <c r="C327" s="832">
        <f>IF(U331&gt;0,(U327/U331),0)</f>
        <v>0.27549081697276756</v>
      </c>
      <c r="D327" s="830">
        <f t="shared" ref="D327" si="3106">IF(V331&gt;0,(V327/V331),0)</f>
        <v>0.26140567200986436</v>
      </c>
      <c r="E327" s="830">
        <f t="shared" ref="E327" si="3107">IF(W331&gt;0,(W327/W331),0)</f>
        <v>0.29078498293515359</v>
      </c>
      <c r="F327" s="830">
        <f t="shared" ref="F327" si="3108">IF(X331&gt;0,(X327/X331),0)</f>
        <v>0.31858407079646017</v>
      </c>
      <c r="G327" s="830">
        <f t="shared" ref="G327" si="3109">IF(Y331&gt;0,(Y327/Y331),0)</f>
        <v>0.31572164948453607</v>
      </c>
      <c r="H327" s="830">
        <f t="shared" ref="H327" si="3110">IF(Z331&gt;0,(Z327/Z331),0)</f>
        <v>0</v>
      </c>
      <c r="I327" s="832">
        <f t="shared" ref="I327" si="3111">IF(AA331&gt;0,(AA327/AA331),0)</f>
        <v>0.2889433038236956</v>
      </c>
      <c r="J327" s="832">
        <f t="shared" ref="J327" si="3112">IF(AB331&gt;0,(AB327/AB331),0)</f>
        <v>0</v>
      </c>
      <c r="K327" s="830">
        <f t="shared" ref="K327" si="3113">IF(AC331&gt;0,(AC327/AC331),0)</f>
        <v>0.2528658125421443</v>
      </c>
      <c r="L327" s="830">
        <f t="shared" ref="L327" si="3114">IF(AD331&gt;0,(AD327/AD331),0)</f>
        <v>0.17310924369747899</v>
      </c>
      <c r="M327" s="830">
        <f t="shared" ref="M327" si="3115">IF(AE331&gt;0,(AE327/AE331),0)</f>
        <v>0.25531914893617019</v>
      </c>
      <c r="N327" s="830">
        <f t="shared" ref="N327" si="3116">IF(AF331&gt;0,(AF327/AF331),0)</f>
        <v>0</v>
      </c>
      <c r="O327" s="832">
        <f t="shared" ref="O327" si="3117">IF(AG331&gt;0,(AG327/AG331),0)</f>
        <v>0.23058823529411765</v>
      </c>
      <c r="P327" s="832">
        <f t="shared" ref="P327" si="3118">IF(AH331&gt;0,(AH327/AH331),0)</f>
        <v>0</v>
      </c>
      <c r="Q327" s="830">
        <f t="shared" ref="Q327" si="3119">IF(AI331&gt;0,(AI327/AI331),0)</f>
        <v>0</v>
      </c>
      <c r="R327" s="833">
        <f t="shared" ref="R327" si="3120">IF(AJ331&gt;0,(AJ327/AJ331),0)</f>
        <v>0</v>
      </c>
      <c r="S327" s="832">
        <f t="shared" ref="S327" si="3121">IF(AK331&gt;0,(AK327/AK331),0)</f>
        <v>0</v>
      </c>
      <c r="U327" s="349">
        <v>435</v>
      </c>
      <c r="V327" s="349">
        <v>212</v>
      </c>
      <c r="W327" s="349">
        <v>426</v>
      </c>
      <c r="X327" s="349">
        <v>216</v>
      </c>
      <c r="Y327" s="349">
        <v>245</v>
      </c>
      <c r="Z327" s="349"/>
      <c r="AA327" s="804">
        <v>1534</v>
      </c>
      <c r="AB327" s="804"/>
      <c r="AC327" s="349">
        <v>375</v>
      </c>
      <c r="AD327" s="349">
        <v>103</v>
      </c>
      <c r="AE327" s="349">
        <v>12</v>
      </c>
      <c r="AF327" s="349"/>
      <c r="AG327" s="804">
        <v>490</v>
      </c>
      <c r="AH327" s="804"/>
      <c r="AI327" s="349"/>
      <c r="AJ327" s="813"/>
      <c r="AK327" s="804"/>
    </row>
    <row r="328" spans="1:37">
      <c r="A328" s="239"/>
      <c r="B328" s="239" t="s">
        <v>55</v>
      </c>
      <c r="C328" s="832">
        <f>IF(U331&gt;0,(U328/U331),0)</f>
        <v>0.1779607346421786</v>
      </c>
      <c r="D328" s="830">
        <f t="shared" ref="D328" si="3122">IF(V331&gt;0,(V328/V331),0)</f>
        <v>0.16399506781750925</v>
      </c>
      <c r="E328" s="830">
        <f t="shared" ref="E328" si="3123">IF(W331&gt;0,(W328/W331),0)</f>
        <v>0.31467576791808871</v>
      </c>
      <c r="F328" s="830">
        <f t="shared" ref="F328" si="3124">IF(X331&gt;0,(X328/X331),0)</f>
        <v>0.32743362831858408</v>
      </c>
      <c r="G328" s="830">
        <f t="shared" ref="G328" si="3125">IF(Y331&gt;0,(Y328/Y331),0)</f>
        <v>0.38917525773195877</v>
      </c>
      <c r="H328" s="830">
        <f t="shared" ref="H328" si="3126">IF(Z331&gt;0,(Z328/Z331),0)</f>
        <v>0</v>
      </c>
      <c r="I328" s="832">
        <f t="shared" ref="I328" si="3127">IF(AA331&gt;0,(AA328/AA331),0)</f>
        <v>0.26351478621209268</v>
      </c>
      <c r="J328" s="832">
        <f t="shared" ref="J328" si="3128">IF(AB331&gt;0,(AB328/AB331),0)</f>
        <v>0</v>
      </c>
      <c r="K328" s="830">
        <f t="shared" ref="K328" si="3129">IF(AC331&gt;0,(AC328/AC331),0)</f>
        <v>0.30411328388401887</v>
      </c>
      <c r="L328" s="830">
        <f t="shared" ref="L328" si="3130">IF(AD331&gt;0,(AD328/AD331),0)</f>
        <v>0.35966386554621849</v>
      </c>
      <c r="M328" s="830">
        <f t="shared" ref="M328" si="3131">IF(AE331&gt;0,(AE328/AE331),0)</f>
        <v>0.42553191489361702</v>
      </c>
      <c r="N328" s="830">
        <f t="shared" ref="N328" si="3132">IF(AF331&gt;0,(AF328/AF331),0)</f>
        <v>0</v>
      </c>
      <c r="O328" s="832">
        <f t="shared" ref="O328" si="3133">IF(AG331&gt;0,(AG328/AG331),0)</f>
        <v>0.32235294117647056</v>
      </c>
      <c r="P328" s="832">
        <f t="shared" ref="P328" si="3134">IF(AH331&gt;0,(AH328/AH331),0)</f>
        <v>0</v>
      </c>
      <c r="Q328" s="830">
        <f t="shared" ref="Q328" si="3135">IF(AI331&gt;0,(AI328/AI331),0)</f>
        <v>0</v>
      </c>
      <c r="R328" s="833">
        <f t="shared" ref="R328" si="3136">IF(AJ331&gt;0,(AJ328/AJ331),0)</f>
        <v>0</v>
      </c>
      <c r="S328" s="832">
        <f t="shared" ref="S328" si="3137">IF(AK331&gt;0,(AK328/AK331),0)</f>
        <v>0</v>
      </c>
      <c r="U328" s="349">
        <v>281</v>
      </c>
      <c r="V328" s="349">
        <v>133</v>
      </c>
      <c r="W328" s="349">
        <v>461</v>
      </c>
      <c r="X328" s="349">
        <v>222</v>
      </c>
      <c r="Y328" s="349">
        <v>302</v>
      </c>
      <c r="Z328" s="349"/>
      <c r="AA328" s="804">
        <v>1399</v>
      </c>
      <c r="AB328" s="804"/>
      <c r="AC328" s="349">
        <v>451</v>
      </c>
      <c r="AD328" s="349">
        <v>214</v>
      </c>
      <c r="AE328" s="349">
        <v>20</v>
      </c>
      <c r="AF328" s="349"/>
      <c r="AG328" s="804">
        <v>685</v>
      </c>
      <c r="AH328" s="804"/>
      <c r="AI328" s="349"/>
      <c r="AJ328" s="813"/>
      <c r="AK328" s="804"/>
    </row>
    <row r="329" spans="1:37">
      <c r="A329" s="239"/>
      <c r="B329" s="239" t="s">
        <v>78</v>
      </c>
      <c r="C329" s="832">
        <f>IF(U331&gt;0,(U329/U331),0)</f>
        <v>7.156428119062698E-2</v>
      </c>
      <c r="D329" s="830">
        <f t="shared" ref="D329" si="3138">IF(V331&gt;0,(V329/V331),0)</f>
        <v>7.1516646115906288E-2</v>
      </c>
      <c r="E329" s="830">
        <f t="shared" ref="E329" si="3139">IF(W331&gt;0,(W329/W331),0)</f>
        <v>2.7303754266211604E-2</v>
      </c>
      <c r="F329" s="830">
        <f t="shared" ref="F329" si="3140">IF(X331&gt;0,(X329/X331),0)</f>
        <v>4.5722713864306784E-2</v>
      </c>
      <c r="G329" s="830">
        <f t="shared" ref="G329" si="3141">IF(Y331&gt;0,(Y329/Y331),0)</f>
        <v>6.4432989690721646E-3</v>
      </c>
      <c r="H329" s="830">
        <f t="shared" ref="H329" si="3142">IF(Z331&gt;0,(Z329/Z331),0)</f>
        <v>0</v>
      </c>
      <c r="I329" s="832">
        <f t="shared" ref="I329" si="3143">IF(AA331&gt;0,(AA329/AA331),0)</f>
        <v>4.6524769259747599E-2</v>
      </c>
      <c r="J329" s="832">
        <f t="shared" ref="J329" si="3144">IF(AB331&gt;0,(AB329/AB331),0)</f>
        <v>0</v>
      </c>
      <c r="K329" s="830">
        <f t="shared" ref="K329" si="3145">IF(AC331&gt;0,(AC329/AC331),0)</f>
        <v>0.12879298718813217</v>
      </c>
      <c r="L329" s="830">
        <f t="shared" ref="L329" si="3146">IF(AD331&gt;0,(AD329/AD331),0)</f>
        <v>0.24537815126050419</v>
      </c>
      <c r="M329" s="830">
        <f t="shared" ref="M329" si="3147">IF(AE331&gt;0,(AE329/AE331),0)</f>
        <v>0.1276595744680851</v>
      </c>
      <c r="N329" s="830">
        <f t="shared" ref="N329" si="3148">IF(AF331&gt;0,(AF329/AF331),0)</f>
        <v>0</v>
      </c>
      <c r="O329" s="832">
        <f t="shared" ref="O329" si="3149">IF(AG331&gt;0,(AG329/AG331),0)</f>
        <v>0.16141176470588237</v>
      </c>
      <c r="P329" s="832">
        <f t="shared" ref="P329" si="3150">IF(AH331&gt;0,(AH329/AH331),0)</f>
        <v>0</v>
      </c>
      <c r="Q329" s="830">
        <f t="shared" ref="Q329" si="3151">IF(AI331&gt;0,(AI329/AI331),0)</f>
        <v>0</v>
      </c>
      <c r="R329" s="833">
        <f t="shared" ref="R329" si="3152">IF(AJ331&gt;0,(AJ329/AJ331),0)</f>
        <v>0</v>
      </c>
      <c r="S329" s="832">
        <f t="shared" ref="S329" si="3153">IF(AK331&gt;0,(AK329/AK331),0)</f>
        <v>0</v>
      </c>
      <c r="U329" s="349">
        <v>113</v>
      </c>
      <c r="V329" s="349">
        <v>58</v>
      </c>
      <c r="W329" s="349">
        <v>40</v>
      </c>
      <c r="X329" s="349">
        <v>31</v>
      </c>
      <c r="Y329" s="349">
        <v>5</v>
      </c>
      <c r="Z329" s="349"/>
      <c r="AA329" s="804">
        <v>247</v>
      </c>
      <c r="AB329" s="804"/>
      <c r="AC329" s="349">
        <v>191</v>
      </c>
      <c r="AD329" s="349">
        <v>146</v>
      </c>
      <c r="AE329" s="349">
        <v>6</v>
      </c>
      <c r="AF329" s="349"/>
      <c r="AG329" s="804">
        <v>343</v>
      </c>
      <c r="AH329" s="804"/>
      <c r="AI329" s="349"/>
      <c r="AJ329" s="813"/>
      <c r="AK329" s="804"/>
    </row>
    <row r="330" spans="1:37">
      <c r="A330" s="580"/>
      <c r="B330" s="580" t="s">
        <v>131</v>
      </c>
      <c r="C330" s="832">
        <f>IF(U331&gt;0,(U330/U331),0)</f>
        <v>1.8366054464851171E-2</v>
      </c>
      <c r="D330" s="830">
        <f t="shared" ref="D330" si="3154">IF(V331&gt;0,(V330/V331),0)</f>
        <v>0.1282367447595561</v>
      </c>
      <c r="E330" s="830">
        <f t="shared" ref="E330" si="3155">IF(W331&gt;0,(W330/W331),0)</f>
        <v>0</v>
      </c>
      <c r="F330" s="830">
        <f t="shared" ref="F330" si="3156">IF(X331&gt;0,(X330/X331),0)</f>
        <v>1.1799410029498525E-2</v>
      </c>
      <c r="G330" s="830">
        <f t="shared" ref="G330" si="3157">IF(Y331&gt;0,(Y330/Y331),0)</f>
        <v>6.4432989690721646E-3</v>
      </c>
      <c r="H330" s="830">
        <f t="shared" ref="H330" si="3158">IF(Z331&gt;0,(Z330/Z331),0)</f>
        <v>0</v>
      </c>
      <c r="I330" s="832">
        <f t="shared" ref="I330" si="3159">IF(AA331&gt;0,(AA330/AA331),0)</f>
        <v>2.7500470898474291E-2</v>
      </c>
      <c r="J330" s="832">
        <f t="shared" ref="J330" si="3160">IF(AB331&gt;0,(AB330/AB331),0)</f>
        <v>0</v>
      </c>
      <c r="K330" s="830">
        <f t="shared" ref="K330" si="3161">IF(AC331&gt;0,(AC330/AC331),0)</f>
        <v>1.078894133513149E-2</v>
      </c>
      <c r="L330" s="830">
        <f t="shared" ref="L330" si="3162">IF(AD331&gt;0,(AD330/AD331),0)</f>
        <v>7.3949579831932774E-2</v>
      </c>
      <c r="M330" s="830">
        <f t="shared" ref="M330" si="3163">IF(AE331&gt;0,(AE330/AE331),0)</f>
        <v>6.3829787234042548E-2</v>
      </c>
      <c r="N330" s="830">
        <f t="shared" ref="N330" si="3164">IF(AF331&gt;0,(AF330/AF331),0)</f>
        <v>0</v>
      </c>
      <c r="O330" s="832">
        <f t="shared" ref="O330" si="3165">IF(AG331&gt;0,(AG330/AG331),0)</f>
        <v>2.9647058823529412E-2</v>
      </c>
      <c r="P330" s="832">
        <f t="shared" ref="P330" si="3166">IF(AH331&gt;0,(AH330/AH331),0)</f>
        <v>0</v>
      </c>
      <c r="Q330" s="830">
        <f t="shared" ref="Q330" si="3167">IF(AI331&gt;0,(AI330/AI331),0)</f>
        <v>0</v>
      </c>
      <c r="R330" s="833">
        <f t="shared" ref="R330" si="3168">IF(AJ331&gt;0,(AJ330/AJ331),0)</f>
        <v>0</v>
      </c>
      <c r="S330" s="832">
        <f t="shared" ref="S330" si="3169">IF(AK331&gt;0,(AK330/AK331),0)</f>
        <v>0</v>
      </c>
      <c r="U330" s="349">
        <v>29</v>
      </c>
      <c r="V330" s="349">
        <v>104</v>
      </c>
      <c r="W330" s="349"/>
      <c r="X330" s="349">
        <v>8</v>
      </c>
      <c r="Y330" s="349">
        <v>5</v>
      </c>
      <c r="Z330" s="349"/>
      <c r="AA330" s="804">
        <v>146</v>
      </c>
      <c r="AB330" s="804"/>
      <c r="AC330" s="349">
        <v>16</v>
      </c>
      <c r="AD330" s="349">
        <v>44</v>
      </c>
      <c r="AE330" s="349">
        <v>3</v>
      </c>
      <c r="AF330" s="349"/>
      <c r="AG330" s="804">
        <v>63</v>
      </c>
      <c r="AH330" s="804"/>
      <c r="AI330" s="349"/>
      <c r="AJ330" s="813"/>
      <c r="AK330" s="804"/>
    </row>
    <row r="331" spans="1:37">
      <c r="A331" s="436"/>
      <c r="B331" s="436" t="s">
        <v>59</v>
      </c>
      <c r="C331" s="834">
        <f>IF(U331&gt;0,(U331/U331),0)</f>
        <v>1</v>
      </c>
      <c r="D331" s="835">
        <f t="shared" ref="D331" si="3170">IF(V331&gt;0,(V331/V331),0)</f>
        <v>1</v>
      </c>
      <c r="E331" s="835">
        <f t="shared" ref="E331" si="3171">IF(W331&gt;0,(W331/W331),0)</f>
        <v>1</v>
      </c>
      <c r="F331" s="835">
        <f t="shared" ref="F331" si="3172">IF(X331&gt;0,(X331/X331),0)</f>
        <v>1</v>
      </c>
      <c r="G331" s="835">
        <f t="shared" ref="G331" si="3173">IF(Y331&gt;0,(Y331/Y331),0)</f>
        <v>1</v>
      </c>
      <c r="H331" s="835">
        <f t="shared" ref="H331" si="3174">IF(Z331&gt;0,(Z331/Z331),0)</f>
        <v>0</v>
      </c>
      <c r="I331" s="834">
        <f t="shared" ref="I331" si="3175">IF(AA331&gt;0,(AA331/AA331),0)</f>
        <v>1</v>
      </c>
      <c r="J331" s="834">
        <f t="shared" ref="J331" si="3176">IF(AB331&gt;0,(AB331/AB331),0)</f>
        <v>0</v>
      </c>
      <c r="K331" s="835">
        <f t="shared" ref="K331" si="3177">IF(AC331&gt;0,(AC331/AC331),0)</f>
        <v>1</v>
      </c>
      <c r="L331" s="835">
        <f t="shared" ref="L331" si="3178">IF(AD331&gt;0,(AD331/AD331),0)</f>
        <v>1</v>
      </c>
      <c r="M331" s="835">
        <f t="shared" ref="M331" si="3179">IF(AE331&gt;0,(AE331/AE331),0)</f>
        <v>1</v>
      </c>
      <c r="N331" s="835">
        <f t="shared" ref="N331" si="3180">IF(AF331&gt;0,(AF331/AF331),0)</f>
        <v>0</v>
      </c>
      <c r="O331" s="834">
        <f t="shared" ref="O331" si="3181">IF(AG331&gt;0,(AG331/AG331),0)</f>
        <v>1</v>
      </c>
      <c r="P331" s="834">
        <f t="shared" ref="P331" si="3182">IF(AH331&gt;0,(AH331/AH331),0)</f>
        <v>0</v>
      </c>
      <c r="Q331" s="835">
        <f t="shared" ref="Q331" si="3183">IF(AI331&gt;0,(AI331/AI331),0)</f>
        <v>0</v>
      </c>
      <c r="R331" s="836">
        <f t="shared" ref="R331" si="3184">IF(AJ331&gt;0,(AJ331/AJ331),0)</f>
        <v>0</v>
      </c>
      <c r="S331" s="834">
        <f t="shared" ref="S331" si="3185">IF(AK331&gt;0,(AK331/AK331),0)</f>
        <v>0</v>
      </c>
      <c r="U331" s="816">
        <v>1579</v>
      </c>
      <c r="V331" s="816">
        <v>811</v>
      </c>
      <c r="W331" s="816">
        <v>1465</v>
      </c>
      <c r="X331" s="816">
        <v>678</v>
      </c>
      <c r="Y331" s="816">
        <v>776</v>
      </c>
      <c r="Z331" s="816"/>
      <c r="AA331" s="805">
        <v>5309</v>
      </c>
      <c r="AB331" s="805"/>
      <c r="AC331" s="816">
        <v>1483</v>
      </c>
      <c r="AD331" s="816">
        <v>595</v>
      </c>
      <c r="AE331" s="816">
        <v>47</v>
      </c>
      <c r="AF331" s="816"/>
      <c r="AG331" s="805">
        <v>2125</v>
      </c>
      <c r="AH331" s="805"/>
      <c r="AI331" s="816"/>
      <c r="AJ331" s="817"/>
      <c r="AK331" s="805"/>
    </row>
    <row r="332" spans="1:37">
      <c r="A332" s="240" t="s">
        <v>159</v>
      </c>
      <c r="B332" s="240" t="s">
        <v>53</v>
      </c>
      <c r="C332" s="829">
        <f>IF(U337&gt;0,(U332/U337),0)</f>
        <v>0.35510541546093427</v>
      </c>
      <c r="D332" s="830">
        <f t="shared" ref="D332" si="3186">IF(V337&gt;0,(V332/V337),0)</f>
        <v>0.31870229007633588</v>
      </c>
      <c r="E332" s="830">
        <f t="shared" ref="E332" si="3187">IF(W337&gt;0,(W332/W337),0)</f>
        <v>0.3515151515151515</v>
      </c>
      <c r="F332" s="830">
        <f t="shared" ref="F332" si="3188">IF(X337&gt;0,(X332/X337),0)</f>
        <v>0.27502833396297693</v>
      </c>
      <c r="G332" s="830">
        <f t="shared" ref="G332" si="3189">IF(Y337&gt;0,(Y332/Y337),0)</f>
        <v>0.23792613636363635</v>
      </c>
      <c r="H332" s="830">
        <f t="shared" ref="H332" si="3190">IF(Z337&gt;0,(Z332/Z337),0)</f>
        <v>0.26199740596627757</v>
      </c>
      <c r="I332" s="829">
        <f t="shared" ref="I332" si="3191">IF(AA337&gt;0,(AA332/AA337),0)</f>
        <v>0.30729800173761945</v>
      </c>
      <c r="J332" s="829">
        <f t="shared" ref="J332" si="3192">IF(AB337&gt;0,(AB332/AB337),0)</f>
        <v>0</v>
      </c>
      <c r="K332" s="830">
        <f t="shared" ref="K332" si="3193">IF(AC337&gt;0,(AC332/AC337),0)</f>
        <v>0.30834403080872913</v>
      </c>
      <c r="L332" s="830">
        <f t="shared" ref="L332" si="3194">IF(AD337&gt;0,(AD332/AD337),0)</f>
        <v>0.32680115273775218</v>
      </c>
      <c r="M332" s="830">
        <f t="shared" ref="M332" si="3195">IF(AE337&gt;0,(AE332/AE337),0)</f>
        <v>0.22175732217573221</v>
      </c>
      <c r="N332" s="830">
        <f t="shared" ref="N332" si="3196">IF(AF337&gt;0,(AF332/AF337),0)</f>
        <v>0</v>
      </c>
      <c r="O332" s="829">
        <f t="shared" ref="O332" si="3197">IF(AG337&gt;0,(AG332/AG337),0)</f>
        <v>0.3102743227125575</v>
      </c>
      <c r="P332" s="829">
        <f t="shared" ref="P332" si="3198">IF(AH337&gt;0,(AH332/AH337),0)</f>
        <v>0</v>
      </c>
      <c r="Q332" s="830">
        <f t="shared" ref="Q332" si="3199">IF(AI337&gt;0,(AI332/AI337),0)</f>
        <v>0</v>
      </c>
      <c r="R332" s="831">
        <f t="shared" ref="R332" si="3200">IF(AJ337&gt;0,(AJ332/AJ337),0)</f>
        <v>0</v>
      </c>
      <c r="S332" s="829">
        <f t="shared" ref="S332" si="3201">IF(AK337&gt;0,(AK332/AK337),0)</f>
        <v>0</v>
      </c>
      <c r="U332" s="349">
        <v>859</v>
      </c>
      <c r="V332" s="349">
        <v>167</v>
      </c>
      <c r="W332" s="349">
        <v>1044</v>
      </c>
      <c r="X332" s="349">
        <v>728</v>
      </c>
      <c r="Y332" s="349">
        <v>335</v>
      </c>
      <c r="Z332" s="349">
        <v>404</v>
      </c>
      <c r="AA332" s="803">
        <v>3537</v>
      </c>
      <c r="AB332" s="803"/>
      <c r="AC332" s="349">
        <v>1201</v>
      </c>
      <c r="AD332" s="349">
        <v>567</v>
      </c>
      <c r="AE332" s="349">
        <v>53</v>
      </c>
      <c r="AF332" s="349"/>
      <c r="AG332" s="803">
        <v>1821</v>
      </c>
      <c r="AH332" s="803"/>
      <c r="AI332" s="349"/>
      <c r="AJ332" s="812"/>
      <c r="AK332" s="803"/>
    </row>
    <row r="333" spans="1:37">
      <c r="A333" s="239"/>
      <c r="B333" s="239" t="s">
        <v>93</v>
      </c>
      <c r="C333" s="832">
        <f>IF(U337&gt;0,(U333/U337),0)</f>
        <v>0.28813559322033899</v>
      </c>
      <c r="D333" s="830">
        <f t="shared" ref="D333" si="3202">IF(V337&gt;0,(V333/V337),0)</f>
        <v>0.32061068702290074</v>
      </c>
      <c r="E333" s="830">
        <f t="shared" ref="E333" si="3203">IF(W337&gt;0,(W333/W337),0)</f>
        <v>0.28653198653198653</v>
      </c>
      <c r="F333" s="830">
        <f t="shared" ref="F333" si="3204">IF(X337&gt;0,(X333/X337),0)</f>
        <v>0.30487344163203628</v>
      </c>
      <c r="G333" s="830">
        <f t="shared" ref="G333" si="3205">IF(Y337&gt;0,(Y333/Y337),0)</f>
        <v>0.31818181818181818</v>
      </c>
      <c r="H333" s="830">
        <f t="shared" ref="H333" si="3206">IF(Z337&gt;0,(Z333/Z337),0)</f>
        <v>0.24319066147859922</v>
      </c>
      <c r="I333" s="832">
        <f t="shared" ref="I333" si="3207">IF(AA337&gt;0,(AA333/AA337),0)</f>
        <v>0.2907037358818419</v>
      </c>
      <c r="J333" s="832">
        <f t="shared" ref="J333" si="3208">IF(AB337&gt;0,(AB333/AB337),0)</f>
        <v>0</v>
      </c>
      <c r="K333" s="830">
        <f t="shared" ref="K333" si="3209">IF(AC337&gt;0,(AC333/AC337),0)</f>
        <v>0.1815147625160462</v>
      </c>
      <c r="L333" s="830">
        <f t="shared" ref="L333" si="3210">IF(AD337&gt;0,(AD333/AD337),0)</f>
        <v>0.2138328530259366</v>
      </c>
      <c r="M333" s="830">
        <f t="shared" ref="M333" si="3211">IF(AE337&gt;0,(AE333/AE337),0)</f>
        <v>0.2594142259414226</v>
      </c>
      <c r="N333" s="830">
        <f t="shared" ref="N333" si="3212">IF(AF337&gt;0,(AF333/AF337),0)</f>
        <v>0</v>
      </c>
      <c r="O333" s="832">
        <f t="shared" ref="O333" si="3213">IF(AG337&gt;0,(AG333/AG337),0)</f>
        <v>0.19424092690407224</v>
      </c>
      <c r="P333" s="832">
        <f t="shared" ref="P333" si="3214">IF(AH337&gt;0,(AH333/AH337),0)</f>
        <v>0</v>
      </c>
      <c r="Q333" s="830">
        <f t="shared" ref="Q333" si="3215">IF(AI337&gt;0,(AI333/AI337),0)</f>
        <v>0</v>
      </c>
      <c r="R333" s="833">
        <f t="shared" ref="R333" si="3216">IF(AJ337&gt;0,(AJ333/AJ337),0)</f>
        <v>0</v>
      </c>
      <c r="S333" s="832">
        <f t="shared" ref="S333" si="3217">IF(AK337&gt;0,(AK333/AK337),0)</f>
        <v>0</v>
      </c>
      <c r="U333" s="349">
        <v>697</v>
      </c>
      <c r="V333" s="349">
        <v>168</v>
      </c>
      <c r="W333" s="349">
        <v>851</v>
      </c>
      <c r="X333" s="349">
        <v>807</v>
      </c>
      <c r="Y333" s="349">
        <v>448</v>
      </c>
      <c r="Z333" s="349">
        <v>375</v>
      </c>
      <c r="AA333" s="804">
        <v>3346</v>
      </c>
      <c r="AB333" s="804"/>
      <c r="AC333" s="349">
        <v>707</v>
      </c>
      <c r="AD333" s="349">
        <v>371</v>
      </c>
      <c r="AE333" s="349">
        <v>62</v>
      </c>
      <c r="AF333" s="349"/>
      <c r="AG333" s="804">
        <v>1140</v>
      </c>
      <c r="AH333" s="804"/>
      <c r="AI333" s="349"/>
      <c r="AJ333" s="813"/>
      <c r="AK333" s="804"/>
    </row>
    <row r="334" spans="1:37">
      <c r="A334" s="239"/>
      <c r="B334" s="239" t="s">
        <v>55</v>
      </c>
      <c r="C334" s="832">
        <f>IF(U337&gt;0,(U334/U337),0)</f>
        <v>0.28689541132699464</v>
      </c>
      <c r="D334" s="830">
        <f t="shared" ref="D334" si="3218">IF(V337&gt;0,(V334/V337),0)</f>
        <v>0.26335877862595419</v>
      </c>
      <c r="E334" s="830">
        <f t="shared" ref="E334" si="3219">IF(W337&gt;0,(W334/W337),0)</f>
        <v>0.27441077441077444</v>
      </c>
      <c r="F334" s="830">
        <f t="shared" ref="F334" si="3220">IF(X337&gt;0,(X334/X337),0)</f>
        <v>0.31016244805440119</v>
      </c>
      <c r="G334" s="830">
        <f t="shared" ref="G334" si="3221">IF(Y337&gt;0,(Y334/Y337),0)</f>
        <v>0.3359375</v>
      </c>
      <c r="H334" s="830">
        <f t="shared" ref="H334" si="3222">IF(Z337&gt;0,(Z334/Z337),0)</f>
        <v>0.35084306095979245</v>
      </c>
      <c r="I334" s="832">
        <f t="shared" ref="I334" si="3223">IF(AA337&gt;0,(AA334/AA337),0)</f>
        <v>0.30251954821894006</v>
      </c>
      <c r="J334" s="832">
        <f t="shared" ref="J334" si="3224">IF(AB337&gt;0,(AB334/AB337),0)</f>
        <v>0</v>
      </c>
      <c r="K334" s="830">
        <f t="shared" ref="K334" si="3225">IF(AC337&gt;0,(AC334/AC337),0)</f>
        <v>0.30603337612323489</v>
      </c>
      <c r="L334" s="830">
        <f t="shared" ref="L334" si="3226">IF(AD337&gt;0,(AD334/AD337),0)</f>
        <v>0.26743515850144089</v>
      </c>
      <c r="M334" s="830">
        <f t="shared" ref="M334" si="3227">IF(AE337&gt;0,(AE334/AE337),0)</f>
        <v>0.28033472803347281</v>
      </c>
      <c r="N334" s="830">
        <f t="shared" ref="N334" si="3228">IF(AF337&gt;0,(AF334/AF337),0)</f>
        <v>0</v>
      </c>
      <c r="O334" s="832">
        <f t="shared" ref="O334" si="3229">IF(AG337&gt;0,(AG334/AG337),0)</f>
        <v>0.29357641846992671</v>
      </c>
      <c r="P334" s="832">
        <f t="shared" ref="P334" si="3230">IF(AH337&gt;0,(AH334/AH337),0)</f>
        <v>0</v>
      </c>
      <c r="Q334" s="830">
        <f t="shared" ref="Q334" si="3231">IF(AI337&gt;0,(AI334/AI337),0)</f>
        <v>0</v>
      </c>
      <c r="R334" s="833">
        <f t="shared" ref="R334" si="3232">IF(AJ337&gt;0,(AJ334/AJ337),0)</f>
        <v>0</v>
      </c>
      <c r="S334" s="832">
        <f t="shared" ref="S334" si="3233">IF(AK337&gt;0,(AK334/AK337),0)</f>
        <v>0</v>
      </c>
      <c r="U334" s="349">
        <v>694</v>
      </c>
      <c r="V334" s="349">
        <v>138</v>
      </c>
      <c r="W334" s="349">
        <v>815</v>
      </c>
      <c r="X334" s="349">
        <v>821</v>
      </c>
      <c r="Y334" s="349">
        <v>473</v>
      </c>
      <c r="Z334" s="349">
        <v>541</v>
      </c>
      <c r="AA334" s="804">
        <v>3482</v>
      </c>
      <c r="AB334" s="804"/>
      <c r="AC334" s="349">
        <v>1192</v>
      </c>
      <c r="AD334" s="349">
        <v>464</v>
      </c>
      <c r="AE334" s="349">
        <v>67</v>
      </c>
      <c r="AF334" s="349"/>
      <c r="AG334" s="804">
        <v>1723</v>
      </c>
      <c r="AH334" s="804"/>
      <c r="AI334" s="349"/>
      <c r="AJ334" s="813"/>
      <c r="AK334" s="804"/>
    </row>
    <row r="335" spans="1:37">
      <c r="A335" s="239"/>
      <c r="B335" s="239" t="s">
        <v>78</v>
      </c>
      <c r="C335" s="832">
        <f>IF(U337&gt;0,(U335/U337),0)</f>
        <v>3.7205456800330715E-3</v>
      </c>
      <c r="D335" s="830">
        <f t="shared" ref="D335" si="3234">IF(V337&gt;0,(V335/V337),0)</f>
        <v>1.9083969465648856E-2</v>
      </c>
      <c r="E335" s="830">
        <f t="shared" ref="E335" si="3235">IF(W337&gt;0,(W335/W337),0)</f>
        <v>1.8181818181818181E-2</v>
      </c>
      <c r="F335" s="830">
        <f t="shared" ref="F335" si="3236">IF(X337&gt;0,(X335/X337),0)</f>
        <v>2.8333962976955042E-2</v>
      </c>
      <c r="G335" s="830">
        <f t="shared" ref="G335" si="3237">IF(Y337&gt;0,(Y335/Y337),0)</f>
        <v>1.9176136363636364E-2</v>
      </c>
      <c r="H335" s="830">
        <f t="shared" ref="H335" si="3238">IF(Z337&gt;0,(Z335/Z337),0)</f>
        <v>8.3657587548638127E-2</v>
      </c>
      <c r="I335" s="832">
        <f t="shared" ref="I335" si="3239">IF(AA337&gt;0,(AA335/AA337),0)</f>
        <v>2.6411815812337099E-2</v>
      </c>
      <c r="J335" s="832">
        <f t="shared" ref="J335" si="3240">IF(AB337&gt;0,(AB335/AB337),0)</f>
        <v>0</v>
      </c>
      <c r="K335" s="830">
        <f t="shared" ref="K335" si="3241">IF(AC337&gt;0,(AC335/AC337),0)</f>
        <v>0.1430038510911425</v>
      </c>
      <c r="L335" s="830">
        <f t="shared" ref="L335" si="3242">IF(AD337&gt;0,(AD335/AD337),0)</f>
        <v>0.15043227665706052</v>
      </c>
      <c r="M335" s="830">
        <f t="shared" ref="M335" si="3243">IF(AE337&gt;0,(AE335/AE337),0)</f>
        <v>0.23430962343096234</v>
      </c>
      <c r="N335" s="830">
        <f t="shared" ref="N335" si="3244">IF(AF337&gt;0,(AF335/AF337),0)</f>
        <v>0</v>
      </c>
      <c r="O335" s="832">
        <f t="shared" ref="O335" si="3245">IF(AG337&gt;0,(AG335/AG337),0)</f>
        <v>0.14891804395978872</v>
      </c>
      <c r="P335" s="832">
        <f t="shared" ref="P335" si="3246">IF(AH337&gt;0,(AH335/AH337),0)</f>
        <v>0</v>
      </c>
      <c r="Q335" s="830">
        <f t="shared" ref="Q335" si="3247">IF(AI337&gt;0,(AI335/AI337),0)</f>
        <v>0</v>
      </c>
      <c r="R335" s="833">
        <f t="shared" ref="R335" si="3248">IF(AJ337&gt;0,(AJ335/AJ337),0)</f>
        <v>0</v>
      </c>
      <c r="S335" s="832">
        <f t="shared" ref="S335" si="3249">IF(AK337&gt;0,(AK335/AK337),0)</f>
        <v>0</v>
      </c>
      <c r="U335" s="349">
        <v>9</v>
      </c>
      <c r="V335" s="349">
        <v>10</v>
      </c>
      <c r="W335" s="349">
        <v>54</v>
      </c>
      <c r="X335" s="349">
        <v>75</v>
      </c>
      <c r="Y335" s="349">
        <v>27</v>
      </c>
      <c r="Z335" s="349">
        <v>129</v>
      </c>
      <c r="AA335" s="804">
        <v>304</v>
      </c>
      <c r="AB335" s="804"/>
      <c r="AC335" s="349">
        <v>557</v>
      </c>
      <c r="AD335" s="349">
        <v>261</v>
      </c>
      <c r="AE335" s="349">
        <v>56</v>
      </c>
      <c r="AF335" s="349"/>
      <c r="AG335" s="804">
        <v>874</v>
      </c>
      <c r="AH335" s="804"/>
      <c r="AI335" s="349"/>
      <c r="AJ335" s="813"/>
      <c r="AK335" s="804"/>
    </row>
    <row r="336" spans="1:37">
      <c r="A336" s="580"/>
      <c r="B336" s="580" t="s">
        <v>131</v>
      </c>
      <c r="C336" s="832">
        <f>IF(U337&gt;0,(U336/U337),0)</f>
        <v>6.6143034311699045E-2</v>
      </c>
      <c r="D336" s="830">
        <f t="shared" ref="D336" si="3250">IF(V337&gt;0,(V336/V337),0)</f>
        <v>7.8244274809160311E-2</v>
      </c>
      <c r="E336" s="830">
        <f t="shared" ref="E336" si="3251">IF(W337&gt;0,(W336/W337),0)</f>
        <v>6.9360269360269358E-2</v>
      </c>
      <c r="F336" s="830">
        <f t="shared" ref="F336" si="3252">IF(X337&gt;0,(X336/X337),0)</f>
        <v>8.1601813373630525E-2</v>
      </c>
      <c r="G336" s="830">
        <f t="shared" ref="G336" si="3253">IF(Y337&gt;0,(Y336/Y337),0)</f>
        <v>8.8778409090909088E-2</v>
      </c>
      <c r="H336" s="830">
        <f t="shared" ref="H336" si="3254">IF(Z337&gt;0,(Z336/Z337),0)</f>
        <v>6.0311284046692608E-2</v>
      </c>
      <c r="I336" s="832">
        <f t="shared" ref="I336" si="3255">IF(AA337&gt;0,(AA336/AA337),0)</f>
        <v>7.3066898349261514E-2</v>
      </c>
      <c r="J336" s="832">
        <f t="shared" ref="J336" si="3256">IF(AB337&gt;0,(AB336/AB337),0)</f>
        <v>0</v>
      </c>
      <c r="K336" s="830">
        <f t="shared" ref="K336" si="3257">IF(AC337&gt;0,(AC336/AC337),0)</f>
        <v>6.1103979460847238E-2</v>
      </c>
      <c r="L336" s="830">
        <f t="shared" ref="L336" si="3258">IF(AD337&gt;0,(AD336/AD337),0)</f>
        <v>4.1498559077809798E-2</v>
      </c>
      <c r="M336" s="830">
        <f t="shared" ref="M336" si="3259">IF(AE337&gt;0,(AE336/AE337),0)</f>
        <v>4.1841004184100415E-3</v>
      </c>
      <c r="N336" s="830">
        <f t="shared" ref="N336" si="3260">IF(AF337&gt;0,(AF336/AF337),0)</f>
        <v>0</v>
      </c>
      <c r="O336" s="832">
        <f t="shared" ref="O336" si="3261">IF(AG337&gt;0,(AG336/AG337),0)</f>
        <v>5.2990287953654798E-2</v>
      </c>
      <c r="P336" s="832">
        <f t="shared" ref="P336" si="3262">IF(AH337&gt;0,(AH336/AH337),0)</f>
        <v>0</v>
      </c>
      <c r="Q336" s="830">
        <f t="shared" ref="Q336" si="3263">IF(AI337&gt;0,(AI336/AI337),0)</f>
        <v>0</v>
      </c>
      <c r="R336" s="833">
        <f t="shared" ref="R336" si="3264">IF(AJ337&gt;0,(AJ336/AJ337),0)</f>
        <v>0</v>
      </c>
      <c r="S336" s="832">
        <f t="shared" ref="S336" si="3265">IF(AK337&gt;0,(AK336/AK337),0)</f>
        <v>0</v>
      </c>
      <c r="U336" s="349">
        <v>160</v>
      </c>
      <c r="V336" s="349">
        <v>41</v>
      </c>
      <c r="W336" s="349">
        <v>206</v>
      </c>
      <c r="X336" s="349">
        <v>216</v>
      </c>
      <c r="Y336" s="349">
        <v>125</v>
      </c>
      <c r="Z336" s="349">
        <v>93</v>
      </c>
      <c r="AA336" s="804">
        <v>841</v>
      </c>
      <c r="AB336" s="804"/>
      <c r="AC336" s="349">
        <v>238</v>
      </c>
      <c r="AD336" s="349">
        <v>72</v>
      </c>
      <c r="AE336" s="349">
        <v>1</v>
      </c>
      <c r="AF336" s="349"/>
      <c r="AG336" s="804">
        <v>311</v>
      </c>
      <c r="AH336" s="804"/>
      <c r="AI336" s="349"/>
      <c r="AJ336" s="813"/>
      <c r="AK336" s="804"/>
    </row>
    <row r="337" spans="1:37">
      <c r="A337" s="436"/>
      <c r="B337" s="436" t="s">
        <v>59</v>
      </c>
      <c r="C337" s="834">
        <f>IF(U337&gt;0,(U337/U337),0)</f>
        <v>1</v>
      </c>
      <c r="D337" s="835">
        <f t="shared" ref="D337" si="3266">IF(V337&gt;0,(V337/V337),0)</f>
        <v>1</v>
      </c>
      <c r="E337" s="835">
        <f t="shared" ref="E337" si="3267">IF(W337&gt;0,(W337/W337),0)</f>
        <v>1</v>
      </c>
      <c r="F337" s="835">
        <f t="shared" ref="F337" si="3268">IF(X337&gt;0,(X337/X337),0)</f>
        <v>1</v>
      </c>
      <c r="G337" s="835">
        <f t="shared" ref="G337" si="3269">IF(Y337&gt;0,(Y337/Y337),0)</f>
        <v>1</v>
      </c>
      <c r="H337" s="835">
        <f t="shared" ref="H337" si="3270">IF(Z337&gt;0,(Z337/Z337),0)</f>
        <v>1</v>
      </c>
      <c r="I337" s="834">
        <f t="shared" ref="I337" si="3271">IF(AA337&gt;0,(AA337/AA337),0)</f>
        <v>1</v>
      </c>
      <c r="J337" s="834">
        <f t="shared" ref="J337" si="3272">IF(AB337&gt;0,(AB337/AB337),0)</f>
        <v>0</v>
      </c>
      <c r="K337" s="835">
        <f t="shared" ref="K337" si="3273">IF(AC337&gt;0,(AC337/AC337),0)</f>
        <v>1</v>
      </c>
      <c r="L337" s="835">
        <f t="shared" ref="L337" si="3274">IF(AD337&gt;0,(AD337/AD337),0)</f>
        <v>1</v>
      </c>
      <c r="M337" s="835">
        <f t="shared" ref="M337" si="3275">IF(AE337&gt;0,(AE337/AE337),0)</f>
        <v>1</v>
      </c>
      <c r="N337" s="835">
        <f t="shared" ref="N337" si="3276">IF(AF337&gt;0,(AF337/AF337),0)</f>
        <v>0</v>
      </c>
      <c r="O337" s="834">
        <f t="shared" ref="O337" si="3277">IF(AG337&gt;0,(AG337/AG337),0)</f>
        <v>1</v>
      </c>
      <c r="P337" s="834">
        <f t="shared" ref="P337" si="3278">IF(AH337&gt;0,(AH337/AH337),0)</f>
        <v>0</v>
      </c>
      <c r="Q337" s="835">
        <f t="shared" ref="Q337" si="3279">IF(AI337&gt;0,(AI337/AI337),0)</f>
        <v>0</v>
      </c>
      <c r="R337" s="836">
        <f t="shared" ref="R337" si="3280">IF(AJ337&gt;0,(AJ337/AJ337),0)</f>
        <v>0</v>
      </c>
      <c r="S337" s="834">
        <f t="shared" ref="S337" si="3281">IF(AK337&gt;0,(AK337/AK337),0)</f>
        <v>0</v>
      </c>
      <c r="U337" s="816">
        <v>2419</v>
      </c>
      <c r="V337" s="816">
        <v>524</v>
      </c>
      <c r="W337" s="816">
        <v>2970</v>
      </c>
      <c r="X337" s="816">
        <v>2647</v>
      </c>
      <c r="Y337" s="816">
        <v>1408</v>
      </c>
      <c r="Z337" s="816">
        <v>1542</v>
      </c>
      <c r="AA337" s="805">
        <v>11510</v>
      </c>
      <c r="AB337" s="805"/>
      <c r="AC337" s="816">
        <v>3895</v>
      </c>
      <c r="AD337" s="816">
        <v>1735</v>
      </c>
      <c r="AE337" s="816">
        <v>239</v>
      </c>
      <c r="AF337" s="816"/>
      <c r="AG337" s="805">
        <v>5869</v>
      </c>
      <c r="AH337" s="805"/>
      <c r="AI337" s="816"/>
      <c r="AJ337" s="817"/>
      <c r="AK337" s="805"/>
    </row>
    <row r="338" spans="1:37">
      <c r="A338" s="240" t="s">
        <v>162</v>
      </c>
      <c r="B338" s="240" t="s">
        <v>53</v>
      </c>
      <c r="C338" s="829">
        <f>IF(U343&gt;0,(U338/U343),0)</f>
        <v>0.29622569576820434</v>
      </c>
      <c r="D338" s="830">
        <f t="shared" ref="D338" si="3282">IF(V343&gt;0,(V338/V343),0)</f>
        <v>0.32449297971918878</v>
      </c>
      <c r="E338" s="830">
        <f t="shared" ref="E338" si="3283">IF(W343&gt;0,(W338/W343),0)</f>
        <v>0.27222458528285837</v>
      </c>
      <c r="F338" s="830">
        <f t="shared" ref="F338" si="3284">IF(X343&gt;0,(X338/X343),0)</f>
        <v>0.32128514056224899</v>
      </c>
      <c r="G338" s="830">
        <f t="shared" ref="G338" si="3285">IF(Y343&gt;0,(Y338/Y343),0)</f>
        <v>0.20370370370370369</v>
      </c>
      <c r="H338" s="830">
        <f t="shared" ref="H338" si="3286">IF(Z343&gt;0,(Z338/Z343),0)</f>
        <v>8.3281541330018652E-2</v>
      </c>
      <c r="I338" s="829">
        <f t="shared" ref="I338" si="3287">IF(AA343&gt;0,(AA338/AA343),0)</f>
        <v>0.26054444631154428</v>
      </c>
      <c r="J338" s="829">
        <f t="shared" ref="J338" si="3288">IF(AB343&gt;0,(AB338/AB343),0)</f>
        <v>0</v>
      </c>
      <c r="K338" s="830">
        <f t="shared" ref="K338" si="3289">IF(AC343&gt;0,(AC338/AC343),0)</f>
        <v>0.36495791889824025</v>
      </c>
      <c r="L338" s="830">
        <f t="shared" ref="L338" si="3290">IF(AD343&gt;0,(AD338/AD343),0)</f>
        <v>0.29104477611940299</v>
      </c>
      <c r="M338" s="830">
        <f t="shared" ref="M338" si="3291">IF(AE343&gt;0,(AE338/AE343),0)</f>
        <v>0.28378378378378377</v>
      </c>
      <c r="N338" s="830">
        <f t="shared" ref="N338" si="3292">IF(AF343&gt;0,(AF338/AF343),0)</f>
        <v>3.3613445378151259E-2</v>
      </c>
      <c r="O338" s="829">
        <f t="shared" ref="O338" si="3293">IF(AG343&gt;0,(AG338/AG343),0)</f>
        <v>0.32180094786729857</v>
      </c>
      <c r="P338" s="829">
        <f t="shared" ref="P338" si="3294">IF(AH343&gt;0,(AH338/AH343),0)</f>
        <v>0</v>
      </c>
      <c r="Q338" s="830">
        <f t="shared" ref="Q338" si="3295">IF(AI343&gt;0,(AI338/AI343),0)</f>
        <v>0</v>
      </c>
      <c r="R338" s="831">
        <f t="shared" ref="R338" si="3296">IF(AJ343&gt;0,(AJ338/AJ343),0)</f>
        <v>0</v>
      </c>
      <c r="S338" s="829">
        <f t="shared" ref="S338" si="3297">IF(AK343&gt;0,(AK338/AK343),0)</f>
        <v>0</v>
      </c>
      <c r="U338" s="349">
        <v>1554</v>
      </c>
      <c r="V338" s="349">
        <v>208</v>
      </c>
      <c r="W338" s="349">
        <v>640</v>
      </c>
      <c r="X338" s="349">
        <v>400</v>
      </c>
      <c r="Y338" s="349">
        <v>165</v>
      </c>
      <c r="Z338" s="349">
        <v>134</v>
      </c>
      <c r="AA338" s="803">
        <v>3101</v>
      </c>
      <c r="AB338" s="803"/>
      <c r="AC338" s="349">
        <v>477</v>
      </c>
      <c r="AD338" s="349">
        <v>156</v>
      </c>
      <c r="AE338" s="349">
        <v>42</v>
      </c>
      <c r="AF338" s="349">
        <v>4</v>
      </c>
      <c r="AG338" s="803">
        <v>679</v>
      </c>
      <c r="AH338" s="803"/>
      <c r="AI338" s="349"/>
      <c r="AJ338" s="812"/>
      <c r="AK338" s="803"/>
    </row>
    <row r="339" spans="1:37">
      <c r="A339" s="239"/>
      <c r="B339" s="239" t="s">
        <v>93</v>
      </c>
      <c r="C339" s="832">
        <f>IF(U343&gt;0,(U339/U343),0)</f>
        <v>0.23999237514296606</v>
      </c>
      <c r="D339" s="830">
        <f t="shared" ref="D339" si="3298">IF(V343&gt;0,(V339/V343),0)</f>
        <v>0.27925117004680189</v>
      </c>
      <c r="E339" s="830">
        <f t="shared" ref="E339" si="3299">IF(W343&gt;0,(W339/W343),0)</f>
        <v>0.27350063802637176</v>
      </c>
      <c r="F339" s="830">
        <f t="shared" ref="F339" si="3300">IF(X343&gt;0,(X339/X343),0)</f>
        <v>0.25220883534136546</v>
      </c>
      <c r="G339" s="830">
        <f t="shared" ref="G339" si="3301">IF(Y343&gt;0,(Y339/Y343),0)</f>
        <v>0.2814814814814815</v>
      </c>
      <c r="H339" s="830">
        <f t="shared" ref="H339" si="3302">IF(Z343&gt;0,(Z339/Z343),0)</f>
        <v>0.26662523306401492</v>
      </c>
      <c r="I339" s="832">
        <f t="shared" ref="I339" si="3303">IF(AA343&gt;0,(AA339/AA343),0)</f>
        <v>0.25642749117795327</v>
      </c>
      <c r="J339" s="832">
        <f t="shared" ref="J339" si="3304">IF(AB343&gt;0,(AB339/AB343),0)</f>
        <v>0</v>
      </c>
      <c r="K339" s="830">
        <f t="shared" ref="K339" si="3305">IF(AC343&gt;0,(AC339/AC343),0)</f>
        <v>0.22570772762050498</v>
      </c>
      <c r="L339" s="830">
        <f t="shared" ref="L339" si="3306">IF(AD343&gt;0,(AD339/AD343),0)</f>
        <v>0.21641791044776118</v>
      </c>
      <c r="M339" s="830">
        <f t="shared" ref="M339" si="3307">IF(AE343&gt;0,(AE339/AE343),0)</f>
        <v>0.20270270270270271</v>
      </c>
      <c r="N339" s="830">
        <f t="shared" ref="N339" si="3308">IF(AF343&gt;0,(AF339/AF343),0)</f>
        <v>0.20168067226890757</v>
      </c>
      <c r="O339" s="832">
        <f t="shared" ref="O339" si="3309">IF(AG343&gt;0,(AG339/AG343),0)</f>
        <v>0.22037914691943128</v>
      </c>
      <c r="P339" s="832">
        <f t="shared" ref="P339" si="3310">IF(AH343&gt;0,(AH339/AH343),0)</f>
        <v>0</v>
      </c>
      <c r="Q339" s="830">
        <f t="shared" ref="Q339" si="3311">IF(AI343&gt;0,(AI339/AI343),0)</f>
        <v>0</v>
      </c>
      <c r="R339" s="833">
        <f t="shared" ref="R339" si="3312">IF(AJ343&gt;0,(AJ339/AJ343),0)</f>
        <v>0</v>
      </c>
      <c r="S339" s="832">
        <f t="shared" ref="S339" si="3313">IF(AK343&gt;0,(AK339/AK343),0)</f>
        <v>0</v>
      </c>
      <c r="U339" s="349">
        <v>1259</v>
      </c>
      <c r="V339" s="349">
        <v>179</v>
      </c>
      <c r="W339" s="349">
        <v>643</v>
      </c>
      <c r="X339" s="349">
        <v>314</v>
      </c>
      <c r="Y339" s="349">
        <v>228</v>
      </c>
      <c r="Z339" s="349">
        <v>429</v>
      </c>
      <c r="AA339" s="804">
        <v>3052</v>
      </c>
      <c r="AB339" s="804"/>
      <c r="AC339" s="349">
        <v>295</v>
      </c>
      <c r="AD339" s="349">
        <v>116</v>
      </c>
      <c r="AE339" s="349">
        <v>30</v>
      </c>
      <c r="AF339" s="349">
        <v>24</v>
      </c>
      <c r="AG339" s="804">
        <v>465</v>
      </c>
      <c r="AH339" s="804"/>
      <c r="AI339" s="349"/>
      <c r="AJ339" s="813"/>
      <c r="AK339" s="804"/>
    </row>
    <row r="340" spans="1:37">
      <c r="A340" s="239"/>
      <c r="B340" s="239" t="s">
        <v>55</v>
      </c>
      <c r="C340" s="832">
        <f>IF(U343&gt;0,(U340/U343),0)</f>
        <v>0.2304613038505528</v>
      </c>
      <c r="D340" s="830">
        <f t="shared" ref="D340" si="3314">IF(V343&gt;0,(V340/V343),0)</f>
        <v>0.29797191887675506</v>
      </c>
      <c r="E340" s="830">
        <f t="shared" ref="E340" si="3315">IF(W343&gt;0,(W340/W343),0)</f>
        <v>0.34155678434708636</v>
      </c>
      <c r="F340" s="830">
        <f t="shared" ref="F340" si="3316">IF(X343&gt;0,(X340/X343),0)</f>
        <v>0.33092369477911648</v>
      </c>
      <c r="G340" s="830">
        <f t="shared" ref="G340" si="3317">IF(Y343&gt;0,(Y340/Y343),0)</f>
        <v>0.31728395061728393</v>
      </c>
      <c r="H340" s="830">
        <f t="shared" ref="H340" si="3318">IF(Z343&gt;0,(Z340/Z343),0)</f>
        <v>0.32131758856432568</v>
      </c>
      <c r="I340" s="832">
        <f t="shared" ref="I340" si="3319">IF(AA343&gt;0,(AA340/AA343),0)</f>
        <v>0.28474206015795667</v>
      </c>
      <c r="J340" s="832">
        <f t="shared" ref="J340" si="3320">IF(AB343&gt;0,(AB340/AB343),0)</f>
        <v>0</v>
      </c>
      <c r="K340" s="830">
        <f t="shared" ref="K340" si="3321">IF(AC343&gt;0,(AC340/AC343),0)</f>
        <v>0.2861514919663351</v>
      </c>
      <c r="L340" s="830">
        <f t="shared" ref="L340" si="3322">IF(AD343&gt;0,(AD340/AD343),0)</f>
        <v>0.30410447761194032</v>
      </c>
      <c r="M340" s="830">
        <f t="shared" ref="M340" si="3323">IF(AE343&gt;0,(AE340/AE343),0)</f>
        <v>0.25675675675675674</v>
      </c>
      <c r="N340" s="830">
        <f t="shared" ref="N340" si="3324">IF(AF343&gt;0,(AF340/AF343),0)</f>
        <v>0.26890756302521007</v>
      </c>
      <c r="O340" s="832">
        <f t="shared" ref="O340" si="3325">IF(AG343&gt;0,(AG340/AG343),0)</f>
        <v>0.28767772511848339</v>
      </c>
      <c r="P340" s="832">
        <f t="shared" ref="P340" si="3326">IF(AH343&gt;0,(AH340/AH343),0)</f>
        <v>0</v>
      </c>
      <c r="Q340" s="830">
        <f t="shared" ref="Q340" si="3327">IF(AI343&gt;0,(AI340/AI343),0)</f>
        <v>0</v>
      </c>
      <c r="R340" s="833">
        <f t="shared" ref="R340" si="3328">IF(AJ343&gt;0,(AJ340/AJ343),0)</f>
        <v>0</v>
      </c>
      <c r="S340" s="832">
        <f t="shared" ref="S340" si="3329">IF(AK343&gt;0,(AK340/AK343),0)</f>
        <v>0</v>
      </c>
      <c r="U340" s="349">
        <v>1209</v>
      </c>
      <c r="V340" s="349">
        <v>191</v>
      </c>
      <c r="W340" s="349">
        <v>803</v>
      </c>
      <c r="X340" s="349">
        <v>412</v>
      </c>
      <c r="Y340" s="349">
        <v>257</v>
      </c>
      <c r="Z340" s="349">
        <v>517</v>
      </c>
      <c r="AA340" s="804">
        <v>3389</v>
      </c>
      <c r="AB340" s="804"/>
      <c r="AC340" s="349">
        <v>374</v>
      </c>
      <c r="AD340" s="349">
        <v>163</v>
      </c>
      <c r="AE340" s="349">
        <v>38</v>
      </c>
      <c r="AF340" s="349">
        <v>32</v>
      </c>
      <c r="AG340" s="804">
        <v>607</v>
      </c>
      <c r="AH340" s="804"/>
      <c r="AI340" s="349"/>
      <c r="AJ340" s="813"/>
      <c r="AK340" s="804"/>
    </row>
    <row r="341" spans="1:37">
      <c r="A341" s="239"/>
      <c r="B341" s="239" t="s">
        <v>78</v>
      </c>
      <c r="C341" s="832">
        <f>IF(U343&gt;0,(U341/U343),0)</f>
        <v>8.1395348837209308E-2</v>
      </c>
      <c r="D341" s="830">
        <f t="shared" ref="D341" si="3330">IF(V343&gt;0,(V341/V343),0)</f>
        <v>9.8283931357254287E-2</v>
      </c>
      <c r="E341" s="830">
        <f t="shared" ref="E341" si="3331">IF(W343&gt;0,(W341/W343),0)</f>
        <v>0.11229264142917907</v>
      </c>
      <c r="F341" s="830">
        <f t="shared" ref="F341" si="3332">IF(X343&gt;0,(X341/X343),0)</f>
        <v>9.558232931726908E-2</v>
      </c>
      <c r="G341" s="830">
        <f t="shared" ref="G341" si="3333">IF(Y343&gt;0,(Y341/Y343),0)</f>
        <v>8.3950617283950618E-2</v>
      </c>
      <c r="H341" s="830">
        <f t="shared" ref="H341" si="3334">IF(Z343&gt;0,(Z341/Z343),0)</f>
        <v>0.27408328154132999</v>
      </c>
      <c r="I341" s="832">
        <f t="shared" ref="I341" si="3335">IF(AA343&gt;0,(AA341/AA343),0)</f>
        <v>0.11611493866577045</v>
      </c>
      <c r="J341" s="832">
        <f t="shared" ref="J341" si="3336">IF(AB343&gt;0,(AB341/AB343),0)</f>
        <v>0</v>
      </c>
      <c r="K341" s="830">
        <f t="shared" ref="K341" si="3337">IF(AC343&gt;0,(AC341/AC343),0)</f>
        <v>0.12088752869166029</v>
      </c>
      <c r="L341" s="830">
        <f t="shared" ref="L341" si="3338">IF(AD343&gt;0,(AD341/AD343),0)</f>
        <v>0.18470149253731344</v>
      </c>
      <c r="M341" s="830">
        <f t="shared" ref="M341" si="3339">IF(AE343&gt;0,(AE341/AE343),0)</f>
        <v>0.25675675675675674</v>
      </c>
      <c r="N341" s="830">
        <f t="shared" ref="N341" si="3340">IF(AF343&gt;0,(AF341/AF343),0)</f>
        <v>0.49579831932773111</v>
      </c>
      <c r="O341" s="832">
        <f t="shared" ref="O341" si="3341">IF(AG343&gt;0,(AG341/AG343),0)</f>
        <v>0.16777251184834124</v>
      </c>
      <c r="P341" s="832">
        <f t="shared" ref="P341" si="3342">IF(AH343&gt;0,(AH341/AH343),0)</f>
        <v>0</v>
      </c>
      <c r="Q341" s="830">
        <f t="shared" ref="Q341" si="3343">IF(AI343&gt;0,(AI341/AI343),0)</f>
        <v>0</v>
      </c>
      <c r="R341" s="833">
        <f t="shared" ref="R341" si="3344">IF(AJ343&gt;0,(AJ341/AJ343),0)</f>
        <v>0</v>
      </c>
      <c r="S341" s="832">
        <f t="shared" ref="S341" si="3345">IF(AK343&gt;0,(AK341/AK343),0)</f>
        <v>0</v>
      </c>
      <c r="U341" s="349">
        <v>427</v>
      </c>
      <c r="V341" s="349">
        <v>63</v>
      </c>
      <c r="W341" s="349">
        <v>264</v>
      </c>
      <c r="X341" s="349">
        <v>119</v>
      </c>
      <c r="Y341" s="349">
        <v>68</v>
      </c>
      <c r="Z341" s="349">
        <v>441</v>
      </c>
      <c r="AA341" s="804">
        <v>1382</v>
      </c>
      <c r="AB341" s="804"/>
      <c r="AC341" s="349">
        <v>158</v>
      </c>
      <c r="AD341" s="349">
        <v>99</v>
      </c>
      <c r="AE341" s="349">
        <v>38</v>
      </c>
      <c r="AF341" s="349">
        <v>59</v>
      </c>
      <c r="AG341" s="804">
        <v>354</v>
      </c>
      <c r="AH341" s="804"/>
      <c r="AI341" s="349"/>
      <c r="AJ341" s="813"/>
      <c r="AK341" s="804"/>
    </row>
    <row r="342" spans="1:37">
      <c r="A342" s="580"/>
      <c r="B342" s="580" t="s">
        <v>131</v>
      </c>
      <c r="C342" s="832">
        <f>IF(U343&gt;0,(U342/U343),0)</f>
        <v>0.15192527640106748</v>
      </c>
      <c r="D342" s="830">
        <f t="shared" ref="D342" si="3346">IF(V343&gt;0,(V342/V343),0)</f>
        <v>0</v>
      </c>
      <c r="E342" s="830">
        <f t="shared" ref="E342" si="3347">IF(W343&gt;0,(W342/W343),0)</f>
        <v>4.253509145044662E-4</v>
      </c>
      <c r="F342" s="830">
        <f t="shared" ref="F342" si="3348">IF(X343&gt;0,(X342/X343),0)</f>
        <v>0</v>
      </c>
      <c r="G342" s="830">
        <f t="shared" ref="G342" si="3349">IF(Y343&gt;0,(Y342/Y343),0)</f>
        <v>0.11358024691358025</v>
      </c>
      <c r="H342" s="830">
        <f t="shared" ref="H342" si="3350">IF(Z343&gt;0,(Z342/Z343),0)</f>
        <v>5.4692355500310749E-2</v>
      </c>
      <c r="I342" s="832">
        <f t="shared" ref="I342" si="3351">IF(AA343&gt;0,(AA342/AA343),0)</f>
        <v>8.2171063686775334E-2</v>
      </c>
      <c r="J342" s="832">
        <f t="shared" ref="J342" si="3352">IF(AB343&gt;0,(AB342/AB343),0)</f>
        <v>0</v>
      </c>
      <c r="K342" s="830">
        <f t="shared" ref="K342" si="3353">IF(AC343&gt;0,(AC342/AC343),0)</f>
        <v>2.2953328232593728E-3</v>
      </c>
      <c r="L342" s="830">
        <f t="shared" ref="L342" si="3354">IF(AD343&gt;0,(AD342/AD343),0)</f>
        <v>3.7313432835820895E-3</v>
      </c>
      <c r="M342" s="830">
        <f t="shared" ref="M342" si="3355">IF(AE343&gt;0,(AE342/AE343),0)</f>
        <v>0</v>
      </c>
      <c r="N342" s="830">
        <f t="shared" ref="N342" si="3356">IF(AF343&gt;0,(AF342/AF343),0)</f>
        <v>0</v>
      </c>
      <c r="O342" s="832">
        <f t="shared" ref="O342" si="3357">IF(AG343&gt;0,(AG342/AG343),0)</f>
        <v>2.3696682464454978E-3</v>
      </c>
      <c r="P342" s="832">
        <f t="shared" ref="P342" si="3358">IF(AH343&gt;0,(AH342/AH343),0)</f>
        <v>0</v>
      </c>
      <c r="Q342" s="830">
        <f t="shared" ref="Q342" si="3359">IF(AI343&gt;0,(AI342/AI343),0)</f>
        <v>0</v>
      </c>
      <c r="R342" s="833">
        <f t="shared" ref="R342" si="3360">IF(AJ343&gt;0,(AJ342/AJ343),0)</f>
        <v>0</v>
      </c>
      <c r="S342" s="832">
        <f t="shared" ref="S342" si="3361">IF(AK343&gt;0,(AK342/AK343),0)</f>
        <v>0</v>
      </c>
      <c r="U342" s="349">
        <v>797</v>
      </c>
      <c r="V342" s="349"/>
      <c r="W342" s="349">
        <v>1</v>
      </c>
      <c r="X342" s="349"/>
      <c r="Y342" s="349">
        <v>92</v>
      </c>
      <c r="Z342" s="349">
        <v>88</v>
      </c>
      <c r="AA342" s="804">
        <v>978</v>
      </c>
      <c r="AB342" s="804"/>
      <c r="AC342" s="349">
        <v>3</v>
      </c>
      <c r="AD342" s="349">
        <v>2</v>
      </c>
      <c r="AE342" s="349"/>
      <c r="AF342" s="349"/>
      <c r="AG342" s="804">
        <v>5</v>
      </c>
      <c r="AH342" s="804"/>
      <c r="AI342" s="349"/>
      <c r="AJ342" s="813"/>
      <c r="AK342" s="804"/>
    </row>
    <row r="343" spans="1:37">
      <c r="A343" s="436"/>
      <c r="B343" s="436" t="s">
        <v>59</v>
      </c>
      <c r="C343" s="834">
        <f>IF(U343&gt;0,(U343/U343),0)</f>
        <v>1</v>
      </c>
      <c r="D343" s="835">
        <f t="shared" ref="D343" si="3362">IF(V343&gt;0,(V343/V343),0)</f>
        <v>1</v>
      </c>
      <c r="E343" s="835">
        <f t="shared" ref="E343" si="3363">IF(W343&gt;0,(W343/W343),0)</f>
        <v>1</v>
      </c>
      <c r="F343" s="835">
        <f t="shared" ref="F343" si="3364">IF(X343&gt;0,(X343/X343),0)</f>
        <v>1</v>
      </c>
      <c r="G343" s="835">
        <f t="shared" ref="G343" si="3365">IF(Y343&gt;0,(Y343/Y343),0)</f>
        <v>1</v>
      </c>
      <c r="H343" s="835">
        <f t="shared" ref="H343" si="3366">IF(Z343&gt;0,(Z343/Z343),0)</f>
        <v>1</v>
      </c>
      <c r="I343" s="834">
        <f t="shared" ref="I343" si="3367">IF(AA343&gt;0,(AA343/AA343),0)</f>
        <v>1</v>
      </c>
      <c r="J343" s="834">
        <f t="shared" ref="J343" si="3368">IF(AB343&gt;0,(AB343/AB343),0)</f>
        <v>0</v>
      </c>
      <c r="K343" s="835">
        <f t="shared" ref="K343" si="3369">IF(AC343&gt;0,(AC343/AC343),0)</f>
        <v>1</v>
      </c>
      <c r="L343" s="835">
        <f t="shared" ref="L343" si="3370">IF(AD343&gt;0,(AD343/AD343),0)</f>
        <v>1</v>
      </c>
      <c r="M343" s="835">
        <f t="shared" ref="M343" si="3371">IF(AE343&gt;0,(AE343/AE343),0)</f>
        <v>1</v>
      </c>
      <c r="N343" s="835">
        <f t="shared" ref="N343" si="3372">IF(AF343&gt;0,(AF343/AF343),0)</f>
        <v>1</v>
      </c>
      <c r="O343" s="834">
        <f t="shared" ref="O343" si="3373">IF(AG343&gt;0,(AG343/AG343),0)</f>
        <v>1</v>
      </c>
      <c r="P343" s="834">
        <f t="shared" ref="P343" si="3374">IF(AH343&gt;0,(AH343/AH343),0)</f>
        <v>0</v>
      </c>
      <c r="Q343" s="835">
        <f t="shared" ref="Q343" si="3375">IF(AI343&gt;0,(AI343/AI343),0)</f>
        <v>0</v>
      </c>
      <c r="R343" s="836">
        <f t="shared" ref="R343" si="3376">IF(AJ343&gt;0,(AJ343/AJ343),0)</f>
        <v>0</v>
      </c>
      <c r="S343" s="834">
        <f t="shared" ref="S343" si="3377">IF(AK343&gt;0,(AK343/AK343),0)</f>
        <v>0</v>
      </c>
      <c r="U343" s="816">
        <v>5246</v>
      </c>
      <c r="V343" s="816">
        <v>641</v>
      </c>
      <c r="W343" s="816">
        <v>2351</v>
      </c>
      <c r="X343" s="816">
        <v>1245</v>
      </c>
      <c r="Y343" s="816">
        <v>810</v>
      </c>
      <c r="Z343" s="816">
        <v>1609</v>
      </c>
      <c r="AA343" s="805">
        <v>11902</v>
      </c>
      <c r="AB343" s="805"/>
      <c r="AC343" s="816">
        <v>1307</v>
      </c>
      <c r="AD343" s="816">
        <v>536</v>
      </c>
      <c r="AE343" s="816">
        <v>148</v>
      </c>
      <c r="AF343" s="816">
        <v>119</v>
      </c>
      <c r="AG343" s="805">
        <v>2110</v>
      </c>
      <c r="AH343" s="805"/>
      <c r="AI343" s="816"/>
      <c r="AJ343" s="817"/>
      <c r="AK343" s="805"/>
    </row>
    <row r="344" spans="1:37">
      <c r="A344" s="240" t="s">
        <v>163</v>
      </c>
      <c r="B344" s="240" t="s">
        <v>53</v>
      </c>
      <c r="C344" s="829">
        <f>IF(U349&gt;0,(U344/U349),0)</f>
        <v>0</v>
      </c>
      <c r="D344" s="830">
        <f t="shared" ref="D344" si="3378">IF(V349&gt;0,(V344/V349),0)</f>
        <v>0.49633967789165445</v>
      </c>
      <c r="E344" s="830">
        <f t="shared" ref="E344" si="3379">IF(W349&gt;0,(W344/W349),0)</f>
        <v>0.36636636636636638</v>
      </c>
      <c r="F344" s="830">
        <f t="shared" ref="F344" si="3380">IF(X349&gt;0,(X344/X349),0)</f>
        <v>0</v>
      </c>
      <c r="G344" s="830">
        <f t="shared" ref="G344" si="3381">IF(Y349&gt;0,(Y344/Y349),0)</f>
        <v>0</v>
      </c>
      <c r="H344" s="830">
        <f t="shared" ref="H344" si="3382">IF(Z349&gt;0,(Z344/Z349),0)</f>
        <v>0</v>
      </c>
      <c r="I344" s="829">
        <f t="shared" ref="I344" si="3383">IF(AA349&gt;0,(AA344/AA349),0)</f>
        <v>0.45374015748031499</v>
      </c>
      <c r="J344" s="829">
        <f t="shared" ref="J344" si="3384">IF(AB349&gt;0,(AB344/AB349),0)</f>
        <v>0</v>
      </c>
      <c r="K344" s="830">
        <f t="shared" ref="K344" si="3385">IF(AC349&gt;0,(AC344/AC349),0)</f>
        <v>0.46101694915254238</v>
      </c>
      <c r="L344" s="830">
        <f t="shared" ref="L344" si="3386">IF(AD349&gt;0,(AD344/AD349),0)</f>
        <v>0</v>
      </c>
      <c r="M344" s="830">
        <f t="shared" ref="M344" si="3387">IF(AE349&gt;0,(AE344/AE349),0)</f>
        <v>0</v>
      </c>
      <c r="N344" s="830">
        <f t="shared" ref="N344" si="3388">IF(AF349&gt;0,(AF344/AF349),0)</f>
        <v>0</v>
      </c>
      <c r="O344" s="829">
        <f t="shared" ref="O344" si="3389">IF(AG349&gt;0,(AG344/AG349),0)</f>
        <v>0.46101694915254238</v>
      </c>
      <c r="P344" s="829">
        <f t="shared" ref="P344" si="3390">IF(AH349&gt;0,(AH344/AH349),0)</f>
        <v>0</v>
      </c>
      <c r="Q344" s="830">
        <f t="shared" ref="Q344" si="3391">IF(AI349&gt;0,(AI344/AI349),0)</f>
        <v>0</v>
      </c>
      <c r="R344" s="831">
        <f t="shared" ref="R344" si="3392">IF(AJ349&gt;0,(AJ344/AJ349),0)</f>
        <v>0</v>
      </c>
      <c r="S344" s="829">
        <f t="shared" ref="S344" si="3393">IF(AK349&gt;0,(AK344/AK349),0)</f>
        <v>0</v>
      </c>
      <c r="U344" s="349"/>
      <c r="V344" s="349">
        <v>339</v>
      </c>
      <c r="W344" s="349">
        <v>122</v>
      </c>
      <c r="X344" s="349"/>
      <c r="Y344" s="349"/>
      <c r="Z344" s="349"/>
      <c r="AA344" s="803">
        <v>461</v>
      </c>
      <c r="AB344" s="803"/>
      <c r="AC344" s="349">
        <v>136</v>
      </c>
      <c r="AD344" s="349"/>
      <c r="AE344" s="349"/>
      <c r="AF344" s="349"/>
      <c r="AG344" s="803">
        <v>136</v>
      </c>
      <c r="AH344" s="803"/>
      <c r="AI344" s="349"/>
      <c r="AJ344" s="812"/>
      <c r="AK344" s="803"/>
    </row>
    <row r="345" spans="1:37">
      <c r="A345" s="239"/>
      <c r="B345" s="239" t="s">
        <v>93</v>
      </c>
      <c r="C345" s="832">
        <f>IF(U349&gt;0,(U345/U349),0)</f>
        <v>0</v>
      </c>
      <c r="D345" s="830">
        <f t="shared" ref="D345" si="3394">IF(V349&gt;0,(V345/V349),0)</f>
        <v>0.17862371888726208</v>
      </c>
      <c r="E345" s="830">
        <f t="shared" ref="E345" si="3395">IF(W349&gt;0,(W345/W349),0)</f>
        <v>0.30930930930930933</v>
      </c>
      <c r="F345" s="830">
        <f t="shared" ref="F345" si="3396">IF(X349&gt;0,(X345/X349),0)</f>
        <v>0</v>
      </c>
      <c r="G345" s="830">
        <f t="shared" ref="G345" si="3397">IF(Y349&gt;0,(Y345/Y349),0)</f>
        <v>0</v>
      </c>
      <c r="H345" s="830">
        <f t="shared" ref="H345" si="3398">IF(Z349&gt;0,(Z345/Z349),0)</f>
        <v>0</v>
      </c>
      <c r="I345" s="832">
        <f t="shared" ref="I345" si="3399">IF(AA349&gt;0,(AA345/AA349),0)</f>
        <v>0.22145669291338582</v>
      </c>
      <c r="J345" s="832">
        <f t="shared" ref="J345" si="3400">IF(AB349&gt;0,(AB345/AB349),0)</f>
        <v>0</v>
      </c>
      <c r="K345" s="830">
        <f t="shared" ref="K345" si="3401">IF(AC349&gt;0,(AC345/AC349),0)</f>
        <v>0.15593220338983052</v>
      </c>
      <c r="L345" s="830">
        <f t="shared" ref="L345" si="3402">IF(AD349&gt;0,(AD345/AD349),0)</f>
        <v>0</v>
      </c>
      <c r="M345" s="830">
        <f t="shared" ref="M345" si="3403">IF(AE349&gt;0,(AE345/AE349),0)</f>
        <v>0</v>
      </c>
      <c r="N345" s="830">
        <f t="shared" ref="N345" si="3404">IF(AF349&gt;0,(AF345/AF349),0)</f>
        <v>0</v>
      </c>
      <c r="O345" s="832">
        <f t="shared" ref="O345" si="3405">IF(AG349&gt;0,(AG345/AG349),0)</f>
        <v>0.15593220338983052</v>
      </c>
      <c r="P345" s="832">
        <f t="shared" ref="P345" si="3406">IF(AH349&gt;0,(AH345/AH349),0)</f>
        <v>0</v>
      </c>
      <c r="Q345" s="830">
        <f t="shared" ref="Q345" si="3407">IF(AI349&gt;0,(AI345/AI349),0)</f>
        <v>0</v>
      </c>
      <c r="R345" s="833">
        <f t="shared" ref="R345" si="3408">IF(AJ349&gt;0,(AJ345/AJ349),0)</f>
        <v>0</v>
      </c>
      <c r="S345" s="832">
        <f t="shared" ref="S345" si="3409">IF(AK349&gt;0,(AK345/AK349),0)</f>
        <v>0</v>
      </c>
      <c r="U345" s="349"/>
      <c r="V345" s="349">
        <v>122</v>
      </c>
      <c r="W345" s="349">
        <v>103</v>
      </c>
      <c r="X345" s="349"/>
      <c r="Y345" s="349"/>
      <c r="Z345" s="349"/>
      <c r="AA345" s="804">
        <v>225</v>
      </c>
      <c r="AB345" s="804"/>
      <c r="AC345" s="349">
        <v>46</v>
      </c>
      <c r="AD345" s="349"/>
      <c r="AE345" s="349"/>
      <c r="AF345" s="349"/>
      <c r="AG345" s="804">
        <v>46</v>
      </c>
      <c r="AH345" s="804"/>
      <c r="AI345" s="349"/>
      <c r="AJ345" s="813"/>
      <c r="AK345" s="804"/>
    </row>
    <row r="346" spans="1:37">
      <c r="A346" s="239"/>
      <c r="B346" s="239" t="s">
        <v>55</v>
      </c>
      <c r="C346" s="832">
        <f>IF(U349&gt;0,(U346/U349),0)</f>
        <v>0</v>
      </c>
      <c r="D346" s="830">
        <f t="shared" ref="D346" si="3410">IF(V349&gt;0,(V346/V349),0)</f>
        <v>0.212298682284041</v>
      </c>
      <c r="E346" s="830">
        <f t="shared" ref="E346" si="3411">IF(W349&gt;0,(W346/W349),0)</f>
        <v>0.29729729729729731</v>
      </c>
      <c r="F346" s="830">
        <f t="shared" ref="F346" si="3412">IF(X349&gt;0,(X346/X349),0)</f>
        <v>0</v>
      </c>
      <c r="G346" s="830">
        <f t="shared" ref="G346" si="3413">IF(Y349&gt;0,(Y346/Y349),0)</f>
        <v>0</v>
      </c>
      <c r="H346" s="830">
        <f t="shared" ref="H346" si="3414">IF(Z349&gt;0,(Z346/Z349),0)</f>
        <v>0</v>
      </c>
      <c r="I346" s="832">
        <f t="shared" ref="I346" si="3415">IF(AA349&gt;0,(AA346/AA349),0)</f>
        <v>0.24015748031496062</v>
      </c>
      <c r="J346" s="832">
        <f t="shared" ref="J346" si="3416">IF(AB349&gt;0,(AB346/AB349),0)</f>
        <v>0</v>
      </c>
      <c r="K346" s="830">
        <f t="shared" ref="K346" si="3417">IF(AC349&gt;0,(AC346/AC349),0)</f>
        <v>0.38305084745762713</v>
      </c>
      <c r="L346" s="830">
        <f t="shared" ref="L346" si="3418">IF(AD349&gt;0,(AD346/AD349),0)</f>
        <v>0</v>
      </c>
      <c r="M346" s="830">
        <f t="shared" ref="M346" si="3419">IF(AE349&gt;0,(AE346/AE349),0)</f>
        <v>0</v>
      </c>
      <c r="N346" s="830">
        <f t="shared" ref="N346" si="3420">IF(AF349&gt;0,(AF346/AF349),0)</f>
        <v>0</v>
      </c>
      <c r="O346" s="832">
        <f t="shared" ref="O346" si="3421">IF(AG349&gt;0,(AG346/AG349),0)</f>
        <v>0.38305084745762713</v>
      </c>
      <c r="P346" s="832">
        <f t="shared" ref="P346" si="3422">IF(AH349&gt;0,(AH346/AH349),0)</f>
        <v>0</v>
      </c>
      <c r="Q346" s="830">
        <f t="shared" ref="Q346" si="3423">IF(AI349&gt;0,(AI346/AI349),0)</f>
        <v>0</v>
      </c>
      <c r="R346" s="833">
        <f t="shared" ref="R346" si="3424">IF(AJ349&gt;0,(AJ346/AJ349),0)</f>
        <v>0</v>
      </c>
      <c r="S346" s="832">
        <f t="shared" ref="S346" si="3425">IF(AK349&gt;0,(AK346/AK349),0)</f>
        <v>0</v>
      </c>
      <c r="U346" s="349"/>
      <c r="V346" s="349">
        <v>145</v>
      </c>
      <c r="W346" s="349">
        <v>99</v>
      </c>
      <c r="X346" s="349"/>
      <c r="Y346" s="349"/>
      <c r="Z346" s="349"/>
      <c r="AA346" s="804">
        <v>244</v>
      </c>
      <c r="AB346" s="804"/>
      <c r="AC346" s="349">
        <v>113</v>
      </c>
      <c r="AD346" s="349"/>
      <c r="AE346" s="349"/>
      <c r="AF346" s="349"/>
      <c r="AG346" s="804">
        <v>113</v>
      </c>
      <c r="AH346" s="804"/>
      <c r="AI346" s="349"/>
      <c r="AJ346" s="813"/>
      <c r="AK346" s="804"/>
    </row>
    <row r="347" spans="1:37">
      <c r="A347" s="239"/>
      <c r="B347" s="239" t="s">
        <v>78</v>
      </c>
      <c r="C347" s="832">
        <f>IF(U349&gt;0,(U347/U349),0)</f>
        <v>0</v>
      </c>
      <c r="D347" s="830">
        <f t="shared" ref="D347" si="3426">IF(V349&gt;0,(V347/V349),0)</f>
        <v>1.4641288433382138E-3</v>
      </c>
      <c r="E347" s="830">
        <f t="shared" ref="E347" si="3427">IF(W349&gt;0,(W347/W349),0)</f>
        <v>2.7027027027027029E-2</v>
      </c>
      <c r="F347" s="830">
        <f t="shared" ref="F347" si="3428">IF(X349&gt;0,(X347/X349),0)</f>
        <v>0</v>
      </c>
      <c r="G347" s="830">
        <f t="shared" ref="G347" si="3429">IF(Y349&gt;0,(Y347/Y349),0)</f>
        <v>0</v>
      </c>
      <c r="H347" s="830">
        <f t="shared" ref="H347" si="3430">IF(Z349&gt;0,(Z347/Z349),0)</f>
        <v>0</v>
      </c>
      <c r="I347" s="832">
        <f t="shared" ref="I347" si="3431">IF(AA349&gt;0,(AA347/AA349),0)</f>
        <v>9.8425196850393699E-3</v>
      </c>
      <c r="J347" s="832">
        <f t="shared" ref="J347" si="3432">IF(AB349&gt;0,(AB347/AB349),0)</f>
        <v>0</v>
      </c>
      <c r="K347" s="830">
        <f t="shared" ref="K347" si="3433">IF(AC349&gt;0,(AC347/AC349),0)</f>
        <v>0</v>
      </c>
      <c r="L347" s="830">
        <f t="shared" ref="L347" si="3434">IF(AD349&gt;0,(AD347/AD349),0)</f>
        <v>0</v>
      </c>
      <c r="M347" s="830">
        <f t="shared" ref="M347" si="3435">IF(AE349&gt;0,(AE347/AE349),0)</f>
        <v>0</v>
      </c>
      <c r="N347" s="830">
        <f t="shared" ref="N347" si="3436">IF(AF349&gt;0,(AF347/AF349),0)</f>
        <v>0</v>
      </c>
      <c r="O347" s="832">
        <f t="shared" ref="O347" si="3437">IF(AG349&gt;0,(AG347/AG349),0)</f>
        <v>0</v>
      </c>
      <c r="P347" s="832">
        <f t="shared" ref="P347" si="3438">IF(AH349&gt;0,(AH347/AH349),0)</f>
        <v>0</v>
      </c>
      <c r="Q347" s="830">
        <f t="shared" ref="Q347" si="3439">IF(AI349&gt;0,(AI347/AI349),0)</f>
        <v>0</v>
      </c>
      <c r="R347" s="833">
        <f t="shared" ref="R347" si="3440">IF(AJ349&gt;0,(AJ347/AJ349),0)</f>
        <v>0</v>
      </c>
      <c r="S347" s="832">
        <f t="shared" ref="S347" si="3441">IF(AK349&gt;0,(AK347/AK349),0)</f>
        <v>0</v>
      </c>
      <c r="U347" s="349"/>
      <c r="V347" s="349">
        <v>1</v>
      </c>
      <c r="W347" s="349">
        <v>9</v>
      </c>
      <c r="X347" s="349"/>
      <c r="Y347" s="349"/>
      <c r="Z347" s="349"/>
      <c r="AA347" s="804">
        <v>10</v>
      </c>
      <c r="AB347" s="804"/>
      <c r="AC347" s="349"/>
      <c r="AD347" s="349"/>
      <c r="AE347" s="349"/>
      <c r="AF347" s="349"/>
      <c r="AG347" s="804"/>
      <c r="AH347" s="804"/>
      <c r="AI347" s="349"/>
      <c r="AJ347" s="813"/>
      <c r="AK347" s="804"/>
    </row>
    <row r="348" spans="1:37">
      <c r="A348" s="580"/>
      <c r="B348" s="580" t="s">
        <v>131</v>
      </c>
      <c r="C348" s="832">
        <f>IF(U349&gt;0,(U348/U349),0)</f>
        <v>0</v>
      </c>
      <c r="D348" s="830">
        <f t="shared" ref="D348" si="3442">IF(V349&gt;0,(V348/V349),0)</f>
        <v>0.11127379209370425</v>
      </c>
      <c r="E348" s="830">
        <f t="shared" ref="E348" si="3443">IF(W349&gt;0,(W348/W349),0)</f>
        <v>0</v>
      </c>
      <c r="F348" s="830">
        <f t="shared" ref="F348" si="3444">IF(X349&gt;0,(X348/X349),0)</f>
        <v>0</v>
      </c>
      <c r="G348" s="830">
        <f t="shared" ref="G348" si="3445">IF(Y349&gt;0,(Y348/Y349),0)</f>
        <v>0</v>
      </c>
      <c r="H348" s="830">
        <f t="shared" ref="H348" si="3446">IF(Z349&gt;0,(Z348/Z349),0)</f>
        <v>0</v>
      </c>
      <c r="I348" s="832">
        <f t="shared" ref="I348" si="3447">IF(AA349&gt;0,(AA348/AA349),0)</f>
        <v>7.4803149606299218E-2</v>
      </c>
      <c r="J348" s="832">
        <f t="shared" ref="J348" si="3448">IF(AB349&gt;0,(AB348/AB349),0)</f>
        <v>0</v>
      </c>
      <c r="K348" s="830">
        <f t="shared" ref="K348" si="3449">IF(AC349&gt;0,(AC348/AC349),0)</f>
        <v>0</v>
      </c>
      <c r="L348" s="830">
        <f t="shared" ref="L348" si="3450">IF(AD349&gt;0,(AD348/AD349),0)</f>
        <v>0</v>
      </c>
      <c r="M348" s="830">
        <f t="shared" ref="M348" si="3451">IF(AE349&gt;0,(AE348/AE349),0)</f>
        <v>0</v>
      </c>
      <c r="N348" s="830">
        <f t="shared" ref="N348" si="3452">IF(AF349&gt;0,(AF348/AF349),0)</f>
        <v>0</v>
      </c>
      <c r="O348" s="832">
        <f t="shared" ref="O348" si="3453">IF(AG349&gt;0,(AG348/AG349),0)</f>
        <v>0</v>
      </c>
      <c r="P348" s="832">
        <f t="shared" ref="P348" si="3454">IF(AH349&gt;0,(AH348/AH349),0)</f>
        <v>0</v>
      </c>
      <c r="Q348" s="830">
        <f t="shared" ref="Q348" si="3455">IF(AI349&gt;0,(AI348/AI349),0)</f>
        <v>0</v>
      </c>
      <c r="R348" s="833">
        <f t="shared" ref="R348" si="3456">IF(AJ349&gt;0,(AJ348/AJ349),0)</f>
        <v>0</v>
      </c>
      <c r="S348" s="832">
        <f t="shared" ref="S348" si="3457">IF(AK349&gt;0,(AK348/AK349),0)</f>
        <v>0</v>
      </c>
      <c r="U348" s="349"/>
      <c r="V348" s="349">
        <v>76</v>
      </c>
      <c r="W348" s="349"/>
      <c r="X348" s="349"/>
      <c r="Y348" s="349"/>
      <c r="Z348" s="349"/>
      <c r="AA348" s="804">
        <v>76</v>
      </c>
      <c r="AB348" s="804"/>
      <c r="AC348" s="349"/>
      <c r="AD348" s="349"/>
      <c r="AE348" s="349"/>
      <c r="AF348" s="349"/>
      <c r="AG348" s="804"/>
      <c r="AH348" s="804"/>
      <c r="AI348" s="349"/>
      <c r="AJ348" s="813"/>
      <c r="AK348" s="804"/>
    </row>
    <row r="349" spans="1:37">
      <c r="A349" s="436"/>
      <c r="B349" s="436" t="s">
        <v>59</v>
      </c>
      <c r="C349" s="834">
        <f>IF(U349&gt;0,(U349/U349),0)</f>
        <v>0</v>
      </c>
      <c r="D349" s="835">
        <f t="shared" ref="D349" si="3458">IF(V349&gt;0,(V349/V349),0)</f>
        <v>1</v>
      </c>
      <c r="E349" s="835">
        <f t="shared" ref="E349" si="3459">IF(W349&gt;0,(W349/W349),0)</f>
        <v>1</v>
      </c>
      <c r="F349" s="835">
        <f t="shared" ref="F349" si="3460">IF(X349&gt;0,(X349/X349),0)</f>
        <v>0</v>
      </c>
      <c r="G349" s="835">
        <f t="shared" ref="G349" si="3461">IF(Y349&gt;0,(Y349/Y349),0)</f>
        <v>0</v>
      </c>
      <c r="H349" s="835">
        <f t="shared" ref="H349" si="3462">IF(Z349&gt;0,(Z349/Z349),0)</f>
        <v>0</v>
      </c>
      <c r="I349" s="834">
        <f t="shared" ref="I349" si="3463">IF(AA349&gt;0,(AA349/AA349),0)</f>
        <v>1</v>
      </c>
      <c r="J349" s="834">
        <f t="shared" ref="J349" si="3464">IF(AB349&gt;0,(AB349/AB349),0)</f>
        <v>0</v>
      </c>
      <c r="K349" s="835">
        <f t="shared" ref="K349" si="3465">IF(AC349&gt;0,(AC349/AC349),0)</f>
        <v>1</v>
      </c>
      <c r="L349" s="835">
        <f t="shared" ref="L349" si="3466">IF(AD349&gt;0,(AD349/AD349),0)</f>
        <v>0</v>
      </c>
      <c r="M349" s="835">
        <f t="shared" ref="M349" si="3467">IF(AE349&gt;0,(AE349/AE349),0)</f>
        <v>0</v>
      </c>
      <c r="N349" s="835">
        <f t="shared" ref="N349" si="3468">IF(AF349&gt;0,(AF349/AF349),0)</f>
        <v>0</v>
      </c>
      <c r="O349" s="834">
        <f t="shared" ref="O349" si="3469">IF(AG349&gt;0,(AG349/AG349),0)</f>
        <v>1</v>
      </c>
      <c r="P349" s="834">
        <f t="shared" ref="P349" si="3470">IF(AH349&gt;0,(AH349/AH349),0)</f>
        <v>0</v>
      </c>
      <c r="Q349" s="835">
        <f t="shared" ref="Q349" si="3471">IF(AI349&gt;0,(AI349/AI349),0)</f>
        <v>0</v>
      </c>
      <c r="R349" s="836">
        <f t="shared" ref="R349" si="3472">IF(AJ349&gt;0,(AJ349/AJ349),0)</f>
        <v>0</v>
      </c>
      <c r="S349" s="834">
        <f t="shared" ref="S349" si="3473">IF(AK349&gt;0,(AK349/AK349),0)</f>
        <v>0</v>
      </c>
      <c r="U349" s="816"/>
      <c r="V349" s="816">
        <v>683</v>
      </c>
      <c r="W349" s="816">
        <v>333</v>
      </c>
      <c r="X349" s="816"/>
      <c r="Y349" s="816"/>
      <c r="Z349" s="816"/>
      <c r="AA349" s="805">
        <v>1016</v>
      </c>
      <c r="AB349" s="805"/>
      <c r="AC349" s="816">
        <v>295</v>
      </c>
      <c r="AD349" s="816"/>
      <c r="AE349" s="816"/>
      <c r="AF349" s="816"/>
      <c r="AG349" s="805">
        <v>295</v>
      </c>
      <c r="AH349" s="805"/>
      <c r="AI349" s="816"/>
      <c r="AJ349" s="817"/>
      <c r="AK349" s="805"/>
    </row>
    <row r="350" spans="1:37">
      <c r="A350" s="240" t="s">
        <v>166</v>
      </c>
      <c r="B350" s="240" t="s">
        <v>53</v>
      </c>
      <c r="C350" s="829">
        <f>IF(U355&gt;0,(U350/U355),0)</f>
        <v>0</v>
      </c>
      <c r="D350" s="830">
        <f t="shared" ref="D350" si="3474">IF(V355&gt;0,(V350/V355),0)</f>
        <v>0.23498233215547704</v>
      </c>
      <c r="E350" s="830">
        <f t="shared" ref="E350" si="3475">IF(W355&gt;0,(W350/W355),0)</f>
        <v>0</v>
      </c>
      <c r="F350" s="830">
        <f t="shared" ref="F350" si="3476">IF(X355&gt;0,(X350/X355),0)</f>
        <v>0</v>
      </c>
      <c r="G350" s="830">
        <f t="shared" ref="G350" si="3477">IF(Y355&gt;0,(Y350/Y355),0)</f>
        <v>0.54545454545454541</v>
      </c>
      <c r="H350" s="830">
        <f t="shared" ref="H350" si="3478">IF(Z355&gt;0,(Z350/Z355),0)</f>
        <v>0.36842105263157893</v>
      </c>
      <c r="I350" s="829">
        <f t="shared" ref="I350" si="3479">IF(AA355&gt;0,(AA350/AA355),0)</f>
        <v>0.30878859857482183</v>
      </c>
      <c r="J350" s="829">
        <f t="shared" ref="J350" si="3480">IF(AB355&gt;0,(AB350/AB355),0)</f>
        <v>0</v>
      </c>
      <c r="K350" s="830">
        <f t="shared" ref="K350" si="3481">IF(AC355&gt;0,(AC350/AC355),0)</f>
        <v>0</v>
      </c>
      <c r="L350" s="830">
        <f t="shared" ref="L350" si="3482">IF(AD355&gt;0,(AD350/AD355),0)</f>
        <v>0</v>
      </c>
      <c r="M350" s="830">
        <f t="shared" ref="M350" si="3483">IF(AE355&gt;0,(AE350/AE355),0)</f>
        <v>0</v>
      </c>
      <c r="N350" s="830">
        <f t="shared" ref="N350" si="3484">IF(AF355&gt;0,(AF350/AF355),0)</f>
        <v>0</v>
      </c>
      <c r="O350" s="829">
        <f t="shared" ref="O350" si="3485">IF(AG355&gt;0,(AG350/AG355),0)</f>
        <v>0</v>
      </c>
      <c r="P350" s="829">
        <f t="shared" ref="P350" si="3486">IF(AH355&gt;0,(AH350/AH355),0)</f>
        <v>0</v>
      </c>
      <c r="Q350" s="830">
        <f t="shared" ref="Q350" si="3487">IF(AI355&gt;0,(AI350/AI355),0)</f>
        <v>0</v>
      </c>
      <c r="R350" s="831">
        <f t="shared" ref="R350" si="3488">IF(AJ355&gt;0,(AJ350/AJ355),0)</f>
        <v>0</v>
      </c>
      <c r="S350" s="829">
        <f t="shared" ref="S350" si="3489">IF(AK355&gt;0,(AK350/AK355),0)</f>
        <v>0</v>
      </c>
      <c r="U350" s="349"/>
      <c r="V350" s="349">
        <v>133</v>
      </c>
      <c r="W350" s="349"/>
      <c r="X350" s="349"/>
      <c r="Y350" s="349">
        <v>78</v>
      </c>
      <c r="Z350" s="349">
        <v>49</v>
      </c>
      <c r="AA350" s="803">
        <v>260</v>
      </c>
      <c r="AB350" s="803"/>
      <c r="AC350" s="349"/>
      <c r="AD350" s="349"/>
      <c r="AE350" s="349"/>
      <c r="AF350" s="349"/>
      <c r="AG350" s="803"/>
      <c r="AH350" s="803"/>
      <c r="AI350" s="349"/>
      <c r="AJ350" s="812"/>
      <c r="AK350" s="803"/>
    </row>
    <row r="351" spans="1:37">
      <c r="A351" s="239"/>
      <c r="B351" s="239" t="s">
        <v>93</v>
      </c>
      <c r="C351" s="832">
        <f>IF(U355&gt;0,(U351/U355),0)</f>
        <v>0</v>
      </c>
      <c r="D351" s="830">
        <f t="shared" ref="D351" si="3490">IF(V355&gt;0,(V351/V355),0)</f>
        <v>0.29858657243816256</v>
      </c>
      <c r="E351" s="830">
        <f t="shared" ref="E351" si="3491">IF(W355&gt;0,(W351/W355),0)</f>
        <v>0</v>
      </c>
      <c r="F351" s="830">
        <f t="shared" ref="F351" si="3492">IF(X355&gt;0,(X351/X355),0)</f>
        <v>0</v>
      </c>
      <c r="G351" s="830">
        <f t="shared" ref="G351" si="3493">IF(Y355&gt;0,(Y351/Y355),0)</f>
        <v>0.16783216783216784</v>
      </c>
      <c r="H351" s="830">
        <f t="shared" ref="H351" si="3494">IF(Z355&gt;0,(Z351/Z355),0)</f>
        <v>0.23308270676691728</v>
      </c>
      <c r="I351" s="832">
        <f t="shared" ref="I351" si="3495">IF(AA355&gt;0,(AA351/AA355),0)</f>
        <v>0.26603325415676959</v>
      </c>
      <c r="J351" s="832">
        <f t="shared" ref="J351" si="3496">IF(AB355&gt;0,(AB351/AB355),0)</f>
        <v>0</v>
      </c>
      <c r="K351" s="830">
        <f t="shared" ref="K351" si="3497">IF(AC355&gt;0,(AC351/AC355),0)</f>
        <v>0</v>
      </c>
      <c r="L351" s="830">
        <f t="shared" ref="L351" si="3498">IF(AD355&gt;0,(AD351/AD355),0)</f>
        <v>0</v>
      </c>
      <c r="M351" s="830">
        <f t="shared" ref="M351" si="3499">IF(AE355&gt;0,(AE351/AE355),0)</f>
        <v>0</v>
      </c>
      <c r="N351" s="830">
        <f t="shared" ref="N351" si="3500">IF(AF355&gt;0,(AF351/AF355),0)</f>
        <v>0</v>
      </c>
      <c r="O351" s="832">
        <f t="shared" ref="O351" si="3501">IF(AG355&gt;0,(AG351/AG355),0)</f>
        <v>0</v>
      </c>
      <c r="P351" s="832">
        <f t="shared" ref="P351" si="3502">IF(AH355&gt;0,(AH351/AH355),0)</f>
        <v>0</v>
      </c>
      <c r="Q351" s="830">
        <f t="shared" ref="Q351" si="3503">IF(AI355&gt;0,(AI351/AI355),0)</f>
        <v>0</v>
      </c>
      <c r="R351" s="833">
        <f t="shared" ref="R351" si="3504">IF(AJ355&gt;0,(AJ351/AJ355),0)</f>
        <v>0</v>
      </c>
      <c r="S351" s="832">
        <f t="shared" ref="S351" si="3505">IF(AK355&gt;0,(AK351/AK355),0)</f>
        <v>0</v>
      </c>
      <c r="U351" s="349"/>
      <c r="V351" s="349">
        <v>169</v>
      </c>
      <c r="W351" s="349"/>
      <c r="X351" s="349"/>
      <c r="Y351" s="349">
        <v>24</v>
      </c>
      <c r="Z351" s="349">
        <v>31</v>
      </c>
      <c r="AA351" s="804">
        <v>224</v>
      </c>
      <c r="AB351" s="804"/>
      <c r="AC351" s="349"/>
      <c r="AD351" s="349"/>
      <c r="AE351" s="349"/>
      <c r="AF351" s="349"/>
      <c r="AG351" s="804"/>
      <c r="AH351" s="804"/>
      <c r="AI351" s="349"/>
      <c r="AJ351" s="813"/>
      <c r="AK351" s="804"/>
    </row>
    <row r="352" spans="1:37">
      <c r="A352" s="239"/>
      <c r="B352" s="239" t="s">
        <v>55</v>
      </c>
      <c r="C352" s="832">
        <f>IF(U355&gt;0,(U352/U355),0)</f>
        <v>0</v>
      </c>
      <c r="D352" s="830">
        <f t="shared" ref="D352" si="3506">IF(V355&gt;0,(V352/V355),0)</f>
        <v>0.25971731448763252</v>
      </c>
      <c r="E352" s="830">
        <f t="shared" ref="E352" si="3507">IF(W355&gt;0,(W352/W355),0)</f>
        <v>0</v>
      </c>
      <c r="F352" s="830">
        <f t="shared" ref="F352" si="3508">IF(X355&gt;0,(X352/X355),0)</f>
        <v>0</v>
      </c>
      <c r="G352" s="830">
        <f t="shared" ref="G352" si="3509">IF(Y355&gt;0,(Y352/Y355),0)</f>
        <v>0.28671328671328672</v>
      </c>
      <c r="H352" s="830">
        <f t="shared" ref="H352" si="3510">IF(Z355&gt;0,(Z352/Z355),0)</f>
        <v>0.37593984962406013</v>
      </c>
      <c r="I352" s="832">
        <f t="shared" ref="I352" si="3511">IF(AA355&gt;0,(AA352/AA355),0)</f>
        <v>0.28266033254156769</v>
      </c>
      <c r="J352" s="832">
        <f t="shared" ref="J352" si="3512">IF(AB355&gt;0,(AB352/AB355),0)</f>
        <v>0</v>
      </c>
      <c r="K352" s="830">
        <f t="shared" ref="K352" si="3513">IF(AC355&gt;0,(AC352/AC355),0)</f>
        <v>0</v>
      </c>
      <c r="L352" s="830">
        <f t="shared" ref="L352" si="3514">IF(AD355&gt;0,(AD352/AD355),0)</f>
        <v>0</v>
      </c>
      <c r="M352" s="830">
        <f t="shared" ref="M352" si="3515">IF(AE355&gt;0,(AE352/AE355),0)</f>
        <v>0</v>
      </c>
      <c r="N352" s="830">
        <f t="shared" ref="N352" si="3516">IF(AF355&gt;0,(AF352/AF355),0)</f>
        <v>0</v>
      </c>
      <c r="O352" s="832">
        <f t="shared" ref="O352" si="3517">IF(AG355&gt;0,(AG352/AG355),0)</f>
        <v>0</v>
      </c>
      <c r="P352" s="832">
        <f t="shared" ref="P352" si="3518">IF(AH355&gt;0,(AH352/AH355),0)</f>
        <v>0</v>
      </c>
      <c r="Q352" s="830">
        <f t="shared" ref="Q352" si="3519">IF(AI355&gt;0,(AI352/AI355),0)</f>
        <v>0</v>
      </c>
      <c r="R352" s="833">
        <f t="shared" ref="R352" si="3520">IF(AJ355&gt;0,(AJ352/AJ355),0)</f>
        <v>0</v>
      </c>
      <c r="S352" s="832">
        <f t="shared" ref="S352" si="3521">IF(AK355&gt;0,(AK352/AK355),0)</f>
        <v>0</v>
      </c>
      <c r="U352" s="349"/>
      <c r="V352" s="349">
        <v>147</v>
      </c>
      <c r="W352" s="349"/>
      <c r="X352" s="349"/>
      <c r="Y352" s="349">
        <v>41</v>
      </c>
      <c r="Z352" s="349">
        <v>50</v>
      </c>
      <c r="AA352" s="804">
        <v>238</v>
      </c>
      <c r="AB352" s="804"/>
      <c r="AC352" s="349"/>
      <c r="AD352" s="349"/>
      <c r="AE352" s="349"/>
      <c r="AF352" s="349"/>
      <c r="AG352" s="804"/>
      <c r="AH352" s="804"/>
      <c r="AI352" s="349"/>
      <c r="AJ352" s="813"/>
      <c r="AK352" s="804"/>
    </row>
    <row r="353" spans="1:37">
      <c r="A353" s="239"/>
      <c r="B353" s="239" t="s">
        <v>78</v>
      </c>
      <c r="C353" s="832">
        <f>IF(U355&gt;0,(U353/U355),0)</f>
        <v>0</v>
      </c>
      <c r="D353" s="830">
        <f t="shared" ref="D353" si="3522">IF(V355&gt;0,(V353/V355),0)</f>
        <v>1.7667844522968198E-3</v>
      </c>
      <c r="E353" s="830">
        <f t="shared" ref="E353" si="3523">IF(W355&gt;0,(W353/W355),0)</f>
        <v>0</v>
      </c>
      <c r="F353" s="830">
        <f t="shared" ref="F353" si="3524">IF(X355&gt;0,(X353/X355),0)</f>
        <v>0</v>
      </c>
      <c r="G353" s="830">
        <f t="shared" ref="G353" si="3525">IF(Y355&gt;0,(Y353/Y355),0)</f>
        <v>0</v>
      </c>
      <c r="H353" s="830">
        <f t="shared" ref="H353" si="3526">IF(Z355&gt;0,(Z353/Z355),0)</f>
        <v>2.2556390977443608E-2</v>
      </c>
      <c r="I353" s="832">
        <f t="shared" ref="I353" si="3527">IF(AA355&gt;0,(AA353/AA355),0)</f>
        <v>4.7505938242280287E-3</v>
      </c>
      <c r="J353" s="832">
        <f t="shared" ref="J353" si="3528">IF(AB355&gt;0,(AB353/AB355),0)</f>
        <v>0</v>
      </c>
      <c r="K353" s="830">
        <f t="shared" ref="K353" si="3529">IF(AC355&gt;0,(AC353/AC355),0)</f>
        <v>0</v>
      </c>
      <c r="L353" s="830">
        <f t="shared" ref="L353" si="3530">IF(AD355&gt;0,(AD353/AD355),0)</f>
        <v>0</v>
      </c>
      <c r="M353" s="830">
        <f t="shared" ref="M353" si="3531">IF(AE355&gt;0,(AE353/AE355),0)</f>
        <v>0</v>
      </c>
      <c r="N353" s="830">
        <f t="shared" ref="N353" si="3532">IF(AF355&gt;0,(AF353/AF355),0)</f>
        <v>0</v>
      </c>
      <c r="O353" s="832">
        <f t="shared" ref="O353" si="3533">IF(AG355&gt;0,(AG353/AG355),0)</f>
        <v>0</v>
      </c>
      <c r="P353" s="832">
        <f t="shared" ref="P353" si="3534">IF(AH355&gt;0,(AH353/AH355),0)</f>
        <v>0</v>
      </c>
      <c r="Q353" s="830">
        <f t="shared" ref="Q353" si="3535">IF(AI355&gt;0,(AI353/AI355),0)</f>
        <v>0</v>
      </c>
      <c r="R353" s="833">
        <f t="shared" ref="R353" si="3536">IF(AJ355&gt;0,(AJ353/AJ355),0)</f>
        <v>0</v>
      </c>
      <c r="S353" s="832">
        <f t="shared" ref="S353" si="3537">IF(AK355&gt;0,(AK353/AK355),0)</f>
        <v>0</v>
      </c>
      <c r="U353" s="349"/>
      <c r="V353" s="349">
        <v>1</v>
      </c>
      <c r="W353" s="349"/>
      <c r="X353" s="349"/>
      <c r="Y353" s="349"/>
      <c r="Z353" s="349">
        <v>3</v>
      </c>
      <c r="AA353" s="804">
        <v>4</v>
      </c>
      <c r="AB353" s="804"/>
      <c r="AC353" s="349"/>
      <c r="AD353" s="349"/>
      <c r="AE353" s="349"/>
      <c r="AF353" s="349"/>
      <c r="AG353" s="804"/>
      <c r="AH353" s="804"/>
      <c r="AI353" s="349"/>
      <c r="AJ353" s="813"/>
      <c r="AK353" s="804"/>
    </row>
    <row r="354" spans="1:37">
      <c r="A354" s="580"/>
      <c r="B354" s="580" t="s">
        <v>131</v>
      </c>
      <c r="C354" s="832">
        <f>IF(U355&gt;0,(U354/U355),0)</f>
        <v>0</v>
      </c>
      <c r="D354" s="830">
        <f t="shared" ref="D354" si="3538">IF(V355&gt;0,(V354/V355),0)</f>
        <v>0.20494699646643111</v>
      </c>
      <c r="E354" s="830">
        <f t="shared" ref="E354" si="3539">IF(W355&gt;0,(W354/W355),0)</f>
        <v>0</v>
      </c>
      <c r="F354" s="830">
        <f t="shared" ref="F354" si="3540">IF(X355&gt;0,(X354/X355),0)</f>
        <v>0</v>
      </c>
      <c r="G354" s="830">
        <f t="shared" ref="G354" si="3541">IF(Y355&gt;0,(Y354/Y355),0)</f>
        <v>0</v>
      </c>
      <c r="H354" s="830">
        <f t="shared" ref="H354" si="3542">IF(Z355&gt;0,(Z354/Z355),0)</f>
        <v>0</v>
      </c>
      <c r="I354" s="832">
        <f t="shared" ref="I354" si="3543">IF(AA355&gt;0,(AA354/AA355),0)</f>
        <v>0.13776722090261281</v>
      </c>
      <c r="J354" s="832">
        <f t="shared" ref="J354" si="3544">IF(AB355&gt;0,(AB354/AB355),0)</f>
        <v>0</v>
      </c>
      <c r="K354" s="830">
        <f t="shared" ref="K354" si="3545">IF(AC355&gt;0,(AC354/AC355),0)</f>
        <v>0</v>
      </c>
      <c r="L354" s="830">
        <f t="shared" ref="L354" si="3546">IF(AD355&gt;0,(AD354/AD355),0)</f>
        <v>0</v>
      </c>
      <c r="M354" s="830">
        <f t="shared" ref="M354" si="3547">IF(AE355&gt;0,(AE354/AE355),0)</f>
        <v>0</v>
      </c>
      <c r="N354" s="830">
        <f t="shared" ref="N354" si="3548">IF(AF355&gt;0,(AF354/AF355),0)</f>
        <v>0</v>
      </c>
      <c r="O354" s="832">
        <f t="shared" ref="O354" si="3549">IF(AG355&gt;0,(AG354/AG355),0)</f>
        <v>0</v>
      </c>
      <c r="P354" s="832">
        <f t="shared" ref="P354" si="3550">IF(AH355&gt;0,(AH354/AH355),0)</f>
        <v>0</v>
      </c>
      <c r="Q354" s="830">
        <f t="shared" ref="Q354" si="3551">IF(AI355&gt;0,(AI354/AI355),0)</f>
        <v>0</v>
      </c>
      <c r="R354" s="833">
        <f t="shared" ref="R354" si="3552">IF(AJ355&gt;0,(AJ354/AJ355),0)</f>
        <v>0</v>
      </c>
      <c r="S354" s="832">
        <f t="shared" ref="S354" si="3553">IF(AK355&gt;0,(AK354/AK355),0)</f>
        <v>0</v>
      </c>
      <c r="U354" s="349"/>
      <c r="V354" s="349">
        <v>116</v>
      </c>
      <c r="W354" s="349"/>
      <c r="X354" s="349"/>
      <c r="Y354" s="349"/>
      <c r="Z354" s="349"/>
      <c r="AA354" s="804">
        <v>116</v>
      </c>
      <c r="AB354" s="804"/>
      <c r="AC354" s="349"/>
      <c r="AD354" s="349"/>
      <c r="AE354" s="349"/>
      <c r="AF354" s="349"/>
      <c r="AG354" s="804"/>
      <c r="AH354" s="804"/>
      <c r="AI354" s="349"/>
      <c r="AJ354" s="813"/>
      <c r="AK354" s="804"/>
    </row>
    <row r="355" spans="1:37">
      <c r="A355" s="436"/>
      <c r="B355" s="436" t="s">
        <v>59</v>
      </c>
      <c r="C355" s="834">
        <f>IF(U355&gt;0,(U355/U355),0)</f>
        <v>0</v>
      </c>
      <c r="D355" s="835">
        <f t="shared" ref="D355" si="3554">IF(V355&gt;0,(V355/V355),0)</f>
        <v>1</v>
      </c>
      <c r="E355" s="835">
        <f t="shared" ref="E355" si="3555">IF(W355&gt;0,(W355/W355),0)</f>
        <v>0</v>
      </c>
      <c r="F355" s="835">
        <f t="shared" ref="F355" si="3556">IF(X355&gt;0,(X355/X355),0)</f>
        <v>0</v>
      </c>
      <c r="G355" s="835">
        <f t="shared" ref="G355" si="3557">IF(Y355&gt;0,(Y355/Y355),0)</f>
        <v>1</v>
      </c>
      <c r="H355" s="835">
        <f t="shared" ref="H355" si="3558">IF(Z355&gt;0,(Z355/Z355),0)</f>
        <v>1</v>
      </c>
      <c r="I355" s="834">
        <f t="shared" ref="I355" si="3559">IF(AA355&gt;0,(AA355/AA355),0)</f>
        <v>1</v>
      </c>
      <c r="J355" s="834">
        <f t="shared" ref="J355" si="3560">IF(AB355&gt;0,(AB355/AB355),0)</f>
        <v>0</v>
      </c>
      <c r="K355" s="835">
        <f t="shared" ref="K355" si="3561">IF(AC355&gt;0,(AC355/AC355),0)</f>
        <v>0</v>
      </c>
      <c r="L355" s="835">
        <f t="shared" ref="L355" si="3562">IF(AD355&gt;0,(AD355/AD355),0)</f>
        <v>0</v>
      </c>
      <c r="M355" s="835">
        <f t="shared" ref="M355" si="3563">IF(AE355&gt;0,(AE355/AE355),0)</f>
        <v>0</v>
      </c>
      <c r="N355" s="835">
        <f t="shared" ref="N355" si="3564">IF(AF355&gt;0,(AF355/AF355),0)</f>
        <v>0</v>
      </c>
      <c r="O355" s="834">
        <f t="shared" ref="O355" si="3565">IF(AG355&gt;0,(AG355/AG355),0)</f>
        <v>0</v>
      </c>
      <c r="P355" s="834">
        <f t="shared" ref="P355" si="3566">IF(AH355&gt;0,(AH355/AH355),0)</f>
        <v>0</v>
      </c>
      <c r="Q355" s="835">
        <f t="shared" ref="Q355" si="3567">IF(AI355&gt;0,(AI355/AI355),0)</f>
        <v>0</v>
      </c>
      <c r="R355" s="836">
        <f t="shared" ref="R355" si="3568">IF(AJ355&gt;0,(AJ355/AJ355),0)</f>
        <v>0</v>
      </c>
      <c r="S355" s="834">
        <f t="shared" ref="S355" si="3569">IF(AK355&gt;0,(AK355/AK355),0)</f>
        <v>0</v>
      </c>
      <c r="U355" s="816"/>
      <c r="V355" s="816">
        <v>566</v>
      </c>
      <c r="W355" s="816"/>
      <c r="X355" s="816"/>
      <c r="Y355" s="816">
        <v>143</v>
      </c>
      <c r="Z355" s="816">
        <v>133</v>
      </c>
      <c r="AA355" s="805">
        <v>842</v>
      </c>
      <c r="AB355" s="805"/>
      <c r="AC355" s="816"/>
      <c r="AD355" s="816"/>
      <c r="AE355" s="816"/>
      <c r="AF355" s="816"/>
      <c r="AG355" s="805"/>
      <c r="AH355" s="805"/>
      <c r="AI355" s="816"/>
      <c r="AJ355" s="817"/>
      <c r="AK355" s="805"/>
    </row>
    <row r="356" spans="1:37">
      <c r="A356" s="240" t="s">
        <v>170</v>
      </c>
      <c r="B356" s="240" t="s">
        <v>53</v>
      </c>
      <c r="C356" s="829">
        <f>IF(U361&gt;0,(U356/U361),0)</f>
        <v>0</v>
      </c>
      <c r="D356" s="830">
        <f t="shared" ref="D356" si="3570">IF(V361&gt;0,(V356/V361),0)</f>
        <v>0</v>
      </c>
      <c r="E356" s="830">
        <f t="shared" ref="E356" si="3571">IF(W361&gt;0,(W356/W361),0)</f>
        <v>0</v>
      </c>
      <c r="F356" s="830">
        <f t="shared" ref="F356" si="3572">IF(X361&gt;0,(X356/X361),0)</f>
        <v>0.40930232558139534</v>
      </c>
      <c r="G356" s="830">
        <f t="shared" ref="G356" si="3573">IF(Y361&gt;0,(Y356/Y361),0)</f>
        <v>0</v>
      </c>
      <c r="H356" s="830">
        <f t="shared" ref="H356" si="3574">IF(Z361&gt;0,(Z356/Z361),0)</f>
        <v>0</v>
      </c>
      <c r="I356" s="829">
        <f t="shared" ref="I356" si="3575">IF(AA361&gt;0,(AA356/AA361),0)</f>
        <v>0.40930232558139534</v>
      </c>
      <c r="J356" s="829">
        <f t="shared" ref="J356" si="3576">IF(AB361&gt;0,(AB356/AB361),0)</f>
        <v>0</v>
      </c>
      <c r="K356" s="830">
        <f t="shared" ref="K356" si="3577">IF(AC361&gt;0,(AC356/AC361),0)</f>
        <v>0</v>
      </c>
      <c r="L356" s="830">
        <f t="shared" ref="L356" si="3578">IF(AD361&gt;0,(AD356/AD361),0)</f>
        <v>0</v>
      </c>
      <c r="M356" s="830">
        <f t="shared" ref="M356" si="3579">IF(AE361&gt;0,(AE356/AE361),0)</f>
        <v>0</v>
      </c>
      <c r="N356" s="830">
        <f t="shared" ref="N356" si="3580">IF(AF361&gt;0,(AF356/AF361),0)</f>
        <v>0</v>
      </c>
      <c r="O356" s="829">
        <f t="shared" ref="O356" si="3581">IF(AG361&gt;0,(AG356/AG361),0)</f>
        <v>0</v>
      </c>
      <c r="P356" s="829">
        <f t="shared" ref="P356" si="3582">IF(AH361&gt;0,(AH356/AH361),0)</f>
        <v>0</v>
      </c>
      <c r="Q356" s="830">
        <f t="shared" ref="Q356" si="3583">IF(AI361&gt;0,(AI356/AI361),0)</f>
        <v>0</v>
      </c>
      <c r="R356" s="831">
        <f t="shared" ref="R356" si="3584">IF(AJ361&gt;0,(AJ356/AJ361),0)</f>
        <v>0</v>
      </c>
      <c r="S356" s="829">
        <f t="shared" ref="S356" si="3585">IF(AK361&gt;0,(AK356/AK361),0)</f>
        <v>0</v>
      </c>
      <c r="U356" s="349"/>
      <c r="V356" s="349"/>
      <c r="W356" s="349"/>
      <c r="X356" s="349">
        <v>88</v>
      </c>
      <c r="Y356" s="349"/>
      <c r="Z356" s="349"/>
      <c r="AA356" s="803">
        <v>88</v>
      </c>
      <c r="AB356" s="803"/>
      <c r="AC356" s="349"/>
      <c r="AD356" s="349"/>
      <c r="AE356" s="349"/>
      <c r="AF356" s="349"/>
      <c r="AG356" s="803"/>
      <c r="AH356" s="803"/>
      <c r="AI356" s="349"/>
      <c r="AJ356" s="812"/>
      <c r="AK356" s="803"/>
    </row>
    <row r="357" spans="1:37">
      <c r="A357" s="239"/>
      <c r="B357" s="239" t="s">
        <v>93</v>
      </c>
      <c r="C357" s="832">
        <f>IF(U361&gt;0,(U357/U361),0)</f>
        <v>0</v>
      </c>
      <c r="D357" s="830">
        <f t="shared" ref="D357" si="3586">IF(V361&gt;0,(V357/V361),0)</f>
        <v>0</v>
      </c>
      <c r="E357" s="830">
        <f t="shared" ref="E357" si="3587">IF(W361&gt;0,(W357/W361),0)</f>
        <v>0</v>
      </c>
      <c r="F357" s="830">
        <f t="shared" ref="F357" si="3588">IF(X361&gt;0,(X357/X361),0)</f>
        <v>0.34883720930232559</v>
      </c>
      <c r="G357" s="830">
        <f t="shared" ref="G357" si="3589">IF(Y361&gt;0,(Y357/Y361),0)</f>
        <v>0</v>
      </c>
      <c r="H357" s="830">
        <f t="shared" ref="H357" si="3590">IF(Z361&gt;0,(Z357/Z361),0)</f>
        <v>0</v>
      </c>
      <c r="I357" s="832">
        <f t="shared" ref="I357" si="3591">IF(AA361&gt;0,(AA357/AA361),0)</f>
        <v>0.34883720930232559</v>
      </c>
      <c r="J357" s="832">
        <f t="shared" ref="J357" si="3592">IF(AB361&gt;0,(AB357/AB361),0)</f>
        <v>0</v>
      </c>
      <c r="K357" s="830">
        <f t="shared" ref="K357" si="3593">IF(AC361&gt;0,(AC357/AC361),0)</f>
        <v>0</v>
      </c>
      <c r="L357" s="830">
        <f t="shared" ref="L357" si="3594">IF(AD361&gt;0,(AD357/AD361),0)</f>
        <v>0</v>
      </c>
      <c r="M357" s="830">
        <f t="shared" ref="M357" si="3595">IF(AE361&gt;0,(AE357/AE361),0)</f>
        <v>0</v>
      </c>
      <c r="N357" s="830">
        <f t="shared" ref="N357" si="3596">IF(AF361&gt;0,(AF357/AF361),0)</f>
        <v>0</v>
      </c>
      <c r="O357" s="832">
        <f t="shared" ref="O357" si="3597">IF(AG361&gt;0,(AG357/AG361),0)</f>
        <v>0</v>
      </c>
      <c r="P357" s="832">
        <f t="shared" ref="P357" si="3598">IF(AH361&gt;0,(AH357/AH361),0)</f>
        <v>0</v>
      </c>
      <c r="Q357" s="830">
        <f t="shared" ref="Q357" si="3599">IF(AI361&gt;0,(AI357/AI361),0)</f>
        <v>0</v>
      </c>
      <c r="R357" s="833">
        <f t="shared" ref="R357" si="3600">IF(AJ361&gt;0,(AJ357/AJ361),0)</f>
        <v>0</v>
      </c>
      <c r="S357" s="832">
        <f t="shared" ref="S357" si="3601">IF(AK361&gt;0,(AK357/AK361),0)</f>
        <v>0</v>
      </c>
      <c r="U357" s="349"/>
      <c r="V357" s="349"/>
      <c r="W357" s="349"/>
      <c r="X357" s="349">
        <v>75</v>
      </c>
      <c r="Y357" s="349"/>
      <c r="Z357" s="349"/>
      <c r="AA357" s="804">
        <v>75</v>
      </c>
      <c r="AB357" s="804"/>
      <c r="AC357" s="349"/>
      <c r="AD357" s="349"/>
      <c r="AE357" s="349"/>
      <c r="AF357" s="349"/>
      <c r="AG357" s="804"/>
      <c r="AH357" s="804"/>
      <c r="AI357" s="349"/>
      <c r="AJ357" s="813"/>
      <c r="AK357" s="804"/>
    </row>
    <row r="358" spans="1:37">
      <c r="A358" s="239"/>
      <c r="B358" s="239" t="s">
        <v>55</v>
      </c>
      <c r="C358" s="832">
        <f>IF(U361&gt;0,(U358/U361),0)</f>
        <v>0</v>
      </c>
      <c r="D358" s="830">
        <f t="shared" ref="D358" si="3602">IF(V361&gt;0,(V358/V361),0)</f>
        <v>0</v>
      </c>
      <c r="E358" s="830">
        <f t="shared" ref="E358" si="3603">IF(W361&gt;0,(W358/W361),0)</f>
        <v>0</v>
      </c>
      <c r="F358" s="830">
        <f t="shared" ref="F358" si="3604">IF(X361&gt;0,(X358/X361),0)</f>
        <v>0.20465116279069767</v>
      </c>
      <c r="G358" s="830">
        <f t="shared" ref="G358" si="3605">IF(Y361&gt;0,(Y358/Y361),0)</f>
        <v>0</v>
      </c>
      <c r="H358" s="830">
        <f t="shared" ref="H358" si="3606">IF(Z361&gt;0,(Z358/Z361),0)</f>
        <v>0</v>
      </c>
      <c r="I358" s="832">
        <f t="shared" ref="I358" si="3607">IF(AA361&gt;0,(AA358/AA361),0)</f>
        <v>0.20465116279069767</v>
      </c>
      <c r="J358" s="832">
        <f t="shared" ref="J358" si="3608">IF(AB361&gt;0,(AB358/AB361),0)</f>
        <v>0</v>
      </c>
      <c r="K358" s="830">
        <f t="shared" ref="K358" si="3609">IF(AC361&gt;0,(AC358/AC361),0)</f>
        <v>0</v>
      </c>
      <c r="L358" s="830">
        <f t="shared" ref="L358" si="3610">IF(AD361&gt;0,(AD358/AD361),0)</f>
        <v>0</v>
      </c>
      <c r="M358" s="830">
        <f t="shared" ref="M358" si="3611">IF(AE361&gt;0,(AE358/AE361),0)</f>
        <v>0</v>
      </c>
      <c r="N358" s="830">
        <f t="shared" ref="N358" si="3612">IF(AF361&gt;0,(AF358/AF361),0)</f>
        <v>0</v>
      </c>
      <c r="O358" s="832">
        <f t="shared" ref="O358" si="3613">IF(AG361&gt;0,(AG358/AG361),0)</f>
        <v>0</v>
      </c>
      <c r="P358" s="832">
        <f t="shared" ref="P358" si="3614">IF(AH361&gt;0,(AH358/AH361),0)</f>
        <v>0</v>
      </c>
      <c r="Q358" s="830">
        <f t="shared" ref="Q358" si="3615">IF(AI361&gt;0,(AI358/AI361),0)</f>
        <v>0</v>
      </c>
      <c r="R358" s="833">
        <f t="shared" ref="R358" si="3616">IF(AJ361&gt;0,(AJ358/AJ361),0)</f>
        <v>0</v>
      </c>
      <c r="S358" s="832">
        <f t="shared" ref="S358" si="3617">IF(AK361&gt;0,(AK358/AK361),0)</f>
        <v>0</v>
      </c>
      <c r="U358" s="349"/>
      <c r="V358" s="349"/>
      <c r="W358" s="349"/>
      <c r="X358" s="349">
        <v>44</v>
      </c>
      <c r="Y358" s="349"/>
      <c r="Z358" s="349"/>
      <c r="AA358" s="804">
        <v>44</v>
      </c>
      <c r="AB358" s="804"/>
      <c r="AC358" s="349"/>
      <c r="AD358" s="349"/>
      <c r="AE358" s="349"/>
      <c r="AF358" s="349"/>
      <c r="AG358" s="804"/>
      <c r="AH358" s="804"/>
      <c r="AI358" s="349"/>
      <c r="AJ358" s="813"/>
      <c r="AK358" s="804"/>
    </row>
    <row r="359" spans="1:37">
      <c r="A359" s="239"/>
      <c r="B359" s="239" t="s">
        <v>78</v>
      </c>
      <c r="C359" s="832">
        <f>IF(U361&gt;0,(U359/U361),0)</f>
        <v>0</v>
      </c>
      <c r="D359" s="830">
        <f t="shared" ref="D359" si="3618">IF(V361&gt;0,(V359/V361),0)</f>
        <v>0</v>
      </c>
      <c r="E359" s="830">
        <f t="shared" ref="E359" si="3619">IF(W361&gt;0,(W359/W361),0)</f>
        <v>0</v>
      </c>
      <c r="F359" s="830">
        <f t="shared" ref="F359" si="3620">IF(X361&gt;0,(X359/X361),0)</f>
        <v>3.7209302325581395E-2</v>
      </c>
      <c r="G359" s="830">
        <f t="shared" ref="G359" si="3621">IF(Y361&gt;0,(Y359/Y361),0)</f>
        <v>0</v>
      </c>
      <c r="H359" s="830">
        <f t="shared" ref="H359" si="3622">IF(Z361&gt;0,(Z359/Z361),0)</f>
        <v>0</v>
      </c>
      <c r="I359" s="832">
        <f t="shared" ref="I359" si="3623">IF(AA361&gt;0,(AA359/AA361),0)</f>
        <v>3.7209302325581395E-2</v>
      </c>
      <c r="J359" s="832">
        <f t="shared" ref="J359" si="3624">IF(AB361&gt;0,(AB359/AB361),0)</f>
        <v>0</v>
      </c>
      <c r="K359" s="830">
        <f t="shared" ref="K359" si="3625">IF(AC361&gt;0,(AC359/AC361),0)</f>
        <v>0</v>
      </c>
      <c r="L359" s="830">
        <f t="shared" ref="L359" si="3626">IF(AD361&gt;0,(AD359/AD361),0)</f>
        <v>0</v>
      </c>
      <c r="M359" s="830">
        <f t="shared" ref="M359" si="3627">IF(AE361&gt;0,(AE359/AE361),0)</f>
        <v>0</v>
      </c>
      <c r="N359" s="830">
        <f t="shared" ref="N359" si="3628">IF(AF361&gt;0,(AF359/AF361),0)</f>
        <v>0</v>
      </c>
      <c r="O359" s="832">
        <f t="shared" ref="O359" si="3629">IF(AG361&gt;0,(AG359/AG361),0)</f>
        <v>0</v>
      </c>
      <c r="P359" s="832">
        <f t="shared" ref="P359" si="3630">IF(AH361&gt;0,(AH359/AH361),0)</f>
        <v>0</v>
      </c>
      <c r="Q359" s="830">
        <f t="shared" ref="Q359" si="3631">IF(AI361&gt;0,(AI359/AI361),0)</f>
        <v>0</v>
      </c>
      <c r="R359" s="833">
        <f t="shared" ref="R359" si="3632">IF(AJ361&gt;0,(AJ359/AJ361),0)</f>
        <v>0</v>
      </c>
      <c r="S359" s="832">
        <f t="shared" ref="S359" si="3633">IF(AK361&gt;0,(AK359/AK361),0)</f>
        <v>0</v>
      </c>
      <c r="U359" s="349"/>
      <c r="V359" s="349"/>
      <c r="W359" s="349"/>
      <c r="X359" s="349">
        <v>8</v>
      </c>
      <c r="Y359" s="349"/>
      <c r="Z359" s="349"/>
      <c r="AA359" s="804">
        <v>8</v>
      </c>
      <c r="AB359" s="804"/>
      <c r="AC359" s="349"/>
      <c r="AD359" s="349"/>
      <c r="AE359" s="349"/>
      <c r="AF359" s="349"/>
      <c r="AG359" s="804"/>
      <c r="AH359" s="804"/>
      <c r="AI359" s="349"/>
      <c r="AJ359" s="813"/>
      <c r="AK359" s="804"/>
    </row>
    <row r="360" spans="1:37">
      <c r="A360" s="580"/>
      <c r="B360" s="580" t="s">
        <v>131</v>
      </c>
      <c r="C360" s="832">
        <f>IF(U361&gt;0,(U360/U361),0)</f>
        <v>0</v>
      </c>
      <c r="D360" s="830">
        <f t="shared" ref="D360" si="3634">IF(V361&gt;0,(V360/V361),0)</f>
        <v>0</v>
      </c>
      <c r="E360" s="830">
        <f t="shared" ref="E360" si="3635">IF(W361&gt;0,(W360/W361),0)</f>
        <v>0</v>
      </c>
      <c r="F360" s="830">
        <f t="shared" ref="F360" si="3636">IF(X361&gt;0,(X360/X361),0)</f>
        <v>0</v>
      </c>
      <c r="G360" s="830">
        <f t="shared" ref="G360" si="3637">IF(Y361&gt;0,(Y360/Y361),0)</f>
        <v>0</v>
      </c>
      <c r="H360" s="830">
        <f t="shared" ref="H360" si="3638">IF(Z361&gt;0,(Z360/Z361),0)</f>
        <v>0</v>
      </c>
      <c r="I360" s="832">
        <f t="shared" ref="I360" si="3639">IF(AA361&gt;0,(AA360/AA361),0)</f>
        <v>0</v>
      </c>
      <c r="J360" s="832">
        <f t="shared" ref="J360" si="3640">IF(AB361&gt;0,(AB360/AB361),0)</f>
        <v>0</v>
      </c>
      <c r="K360" s="830">
        <f t="shared" ref="K360" si="3641">IF(AC361&gt;0,(AC360/AC361),0)</f>
        <v>0</v>
      </c>
      <c r="L360" s="830">
        <f t="shared" ref="L360" si="3642">IF(AD361&gt;0,(AD360/AD361),0)</f>
        <v>0</v>
      </c>
      <c r="M360" s="830">
        <f t="shared" ref="M360" si="3643">IF(AE361&gt;0,(AE360/AE361),0)</f>
        <v>0</v>
      </c>
      <c r="N360" s="830">
        <f t="shared" ref="N360" si="3644">IF(AF361&gt;0,(AF360/AF361),0)</f>
        <v>0</v>
      </c>
      <c r="O360" s="832">
        <f t="shared" ref="O360" si="3645">IF(AG361&gt;0,(AG360/AG361),0)</f>
        <v>0</v>
      </c>
      <c r="P360" s="832">
        <f t="shared" ref="P360" si="3646">IF(AH361&gt;0,(AH360/AH361),0)</f>
        <v>0</v>
      </c>
      <c r="Q360" s="830">
        <f t="shared" ref="Q360" si="3647">IF(AI361&gt;0,(AI360/AI361),0)</f>
        <v>0</v>
      </c>
      <c r="R360" s="833">
        <f t="shared" ref="R360" si="3648">IF(AJ361&gt;0,(AJ360/AJ361),0)</f>
        <v>0</v>
      </c>
      <c r="S360" s="832">
        <f t="shared" ref="S360" si="3649">IF(AK361&gt;0,(AK360/AK361),0)</f>
        <v>0</v>
      </c>
      <c r="U360" s="349"/>
      <c r="V360" s="349"/>
      <c r="W360" s="349"/>
      <c r="X360" s="349"/>
      <c r="Y360" s="349"/>
      <c r="Z360" s="349"/>
      <c r="AA360" s="804"/>
      <c r="AB360" s="804"/>
      <c r="AC360" s="349"/>
      <c r="AD360" s="349"/>
      <c r="AE360" s="349"/>
      <c r="AF360" s="349"/>
      <c r="AG360" s="804"/>
      <c r="AH360" s="804"/>
      <c r="AI360" s="349"/>
      <c r="AJ360" s="813"/>
      <c r="AK360" s="804"/>
    </row>
    <row r="361" spans="1:37">
      <c r="A361" s="436"/>
      <c r="B361" s="436" t="s">
        <v>59</v>
      </c>
      <c r="C361" s="834">
        <f>IF(U361&gt;0,(U361/U361),0)</f>
        <v>0</v>
      </c>
      <c r="D361" s="835">
        <f t="shared" ref="D361" si="3650">IF(V361&gt;0,(V361/V361),0)</f>
        <v>0</v>
      </c>
      <c r="E361" s="835">
        <f t="shared" ref="E361" si="3651">IF(W361&gt;0,(W361/W361),0)</f>
        <v>0</v>
      </c>
      <c r="F361" s="835">
        <f t="shared" ref="F361" si="3652">IF(X361&gt;0,(X361/X361),0)</f>
        <v>1</v>
      </c>
      <c r="G361" s="835">
        <f t="shared" ref="G361" si="3653">IF(Y361&gt;0,(Y361/Y361),0)</f>
        <v>0</v>
      </c>
      <c r="H361" s="835">
        <f t="shared" ref="H361" si="3654">IF(Z361&gt;0,(Z361/Z361),0)</f>
        <v>0</v>
      </c>
      <c r="I361" s="834">
        <f t="shared" ref="I361" si="3655">IF(AA361&gt;0,(AA361/AA361),0)</f>
        <v>1</v>
      </c>
      <c r="J361" s="834">
        <f t="shared" ref="J361" si="3656">IF(AB361&gt;0,(AB361/AB361),0)</f>
        <v>0</v>
      </c>
      <c r="K361" s="835">
        <f t="shared" ref="K361" si="3657">IF(AC361&gt;0,(AC361/AC361),0)</f>
        <v>0</v>
      </c>
      <c r="L361" s="835">
        <f t="shared" ref="L361" si="3658">IF(AD361&gt;0,(AD361/AD361),0)</f>
        <v>0</v>
      </c>
      <c r="M361" s="835">
        <f t="shared" ref="M361" si="3659">IF(AE361&gt;0,(AE361/AE361),0)</f>
        <v>0</v>
      </c>
      <c r="N361" s="835">
        <f t="shared" ref="N361" si="3660">IF(AF361&gt;0,(AF361/AF361),0)</f>
        <v>0</v>
      </c>
      <c r="O361" s="834">
        <f t="shared" ref="O361" si="3661">IF(AG361&gt;0,(AG361/AG361),0)</f>
        <v>0</v>
      </c>
      <c r="P361" s="834">
        <f t="shared" ref="P361" si="3662">IF(AH361&gt;0,(AH361/AH361),0)</f>
        <v>0</v>
      </c>
      <c r="Q361" s="835">
        <f t="shared" ref="Q361" si="3663">IF(AI361&gt;0,(AI361/AI361),0)</f>
        <v>0</v>
      </c>
      <c r="R361" s="836">
        <f t="shared" ref="R361" si="3664">IF(AJ361&gt;0,(AJ361/AJ361),0)</f>
        <v>0</v>
      </c>
      <c r="S361" s="834">
        <f t="shared" ref="S361" si="3665">IF(AK361&gt;0,(AK361/AK361),0)</f>
        <v>0</v>
      </c>
      <c r="U361" s="816"/>
      <c r="V361" s="816"/>
      <c r="W361" s="816"/>
      <c r="X361" s="816">
        <v>215</v>
      </c>
      <c r="Y361" s="816"/>
      <c r="Z361" s="816"/>
      <c r="AA361" s="805">
        <v>215</v>
      </c>
      <c r="AB361" s="805"/>
      <c r="AC361" s="816"/>
      <c r="AD361" s="816"/>
      <c r="AE361" s="816"/>
      <c r="AF361" s="816"/>
      <c r="AG361" s="805"/>
      <c r="AH361" s="805"/>
      <c r="AI361" s="816"/>
      <c r="AJ361" s="817"/>
      <c r="AK361" s="805"/>
    </row>
    <row r="362" spans="1:37">
      <c r="C362" s="358"/>
      <c r="D362" s="358"/>
      <c r="E362" s="358"/>
      <c r="F362" s="358"/>
      <c r="G362" s="358"/>
      <c r="H362" s="358"/>
      <c r="I362" s="358"/>
      <c r="J362" s="358"/>
      <c r="K362" s="358"/>
      <c r="L362" s="358"/>
      <c r="M362" s="358"/>
      <c r="N362" s="358"/>
      <c r="O362" s="358"/>
      <c r="P362" s="358"/>
      <c r="Q362" s="358"/>
      <c r="R362" s="358"/>
      <c r="S362" s="358"/>
    </row>
    <row r="363" spans="1:37">
      <c r="C363" s="358"/>
      <c r="D363" s="358"/>
      <c r="E363" s="358"/>
      <c r="F363" s="358"/>
      <c r="G363" s="358"/>
      <c r="H363" s="358"/>
      <c r="I363" s="358"/>
      <c r="J363" s="358"/>
      <c r="K363" s="358"/>
      <c r="L363" s="358"/>
      <c r="M363" s="358"/>
      <c r="N363" s="358"/>
      <c r="O363" s="358"/>
      <c r="P363" s="358"/>
      <c r="Q363" s="358"/>
      <c r="R363" s="358"/>
      <c r="S363" s="358"/>
    </row>
    <row r="364" spans="1:37">
      <c r="C364" s="358"/>
      <c r="D364" s="358"/>
      <c r="E364" s="358"/>
      <c r="F364" s="358"/>
      <c r="G364" s="358"/>
      <c r="H364" s="358"/>
      <c r="I364" s="358"/>
      <c r="J364" s="358"/>
      <c r="K364" s="358"/>
      <c r="L364" s="358"/>
      <c r="M364" s="358"/>
      <c r="N364" s="358"/>
      <c r="O364" s="358"/>
      <c r="P364" s="358"/>
      <c r="Q364" s="358"/>
      <c r="R364" s="358"/>
      <c r="S364" s="358"/>
    </row>
    <row r="365" spans="1:37">
      <c r="C365" s="358"/>
      <c r="D365" s="358"/>
      <c r="E365" s="358"/>
      <c r="F365" s="358"/>
      <c r="G365" s="358"/>
      <c r="H365" s="358"/>
      <c r="I365" s="358"/>
      <c r="J365" s="358"/>
      <c r="K365" s="358"/>
      <c r="L365" s="358"/>
      <c r="M365" s="358"/>
      <c r="N365" s="358"/>
      <c r="O365" s="358"/>
      <c r="P365" s="358"/>
      <c r="Q365" s="358"/>
      <c r="R365" s="358"/>
      <c r="S365" s="358"/>
    </row>
    <row r="366" spans="1:37">
      <c r="C366" s="358"/>
      <c r="D366" s="358"/>
      <c r="E366" s="358"/>
      <c r="F366" s="358"/>
      <c r="G366" s="358"/>
      <c r="H366" s="358"/>
      <c r="I366" s="358"/>
      <c r="J366" s="358"/>
      <c r="K366" s="358"/>
      <c r="L366" s="358"/>
      <c r="M366" s="358"/>
      <c r="N366" s="358"/>
      <c r="O366" s="358"/>
      <c r="P366" s="358"/>
      <c r="Q366" s="358"/>
      <c r="R366" s="358"/>
      <c r="S366" s="358"/>
    </row>
    <row r="367" spans="1:37">
      <c r="C367" s="358"/>
      <c r="D367" s="358"/>
      <c r="E367" s="358"/>
      <c r="F367" s="358"/>
      <c r="G367" s="358"/>
      <c r="H367" s="358"/>
      <c r="I367" s="358"/>
      <c r="J367" s="358"/>
      <c r="K367" s="358"/>
      <c r="L367" s="358"/>
      <c r="M367" s="358"/>
      <c r="N367" s="358"/>
      <c r="O367" s="358"/>
      <c r="P367" s="358"/>
      <c r="Q367" s="358"/>
      <c r="R367" s="358"/>
      <c r="S367" s="358"/>
    </row>
  </sheetData>
  <phoneticPr fontId="44" type="noConversion"/>
  <conditionalFormatting sqref="C21:S21 C28:S28 C35:S35 C42:S42 C49:S49 C56:S56 C63:S63 C70:S70 C77:S77 C84:S84 C91:S91 C98:S98 C105:S105 C112:S112 C119:S119 C126:S126 C133:S133">
    <cfRule type="cellIs" dxfId="0" priority="1" stopIfTrue="1" operator="notEqual">
      <formula>1</formula>
    </cfRule>
  </conditionalFormatting>
  <pageMargins left="0.75" right="0.75" top="1" bottom="1" header="0.5" footer="0.5"/>
  <headerFooter alignWithMargins="0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R369"/>
  <sheetViews>
    <sheetView workbookViewId="0">
      <selection activeCell="J21" sqref="J21"/>
    </sheetView>
  </sheetViews>
  <sheetFormatPr defaultColWidth="7.88671875" defaultRowHeight="15"/>
  <cols>
    <col min="1" max="1" width="5" style="80" customWidth="1"/>
    <col min="2" max="2" width="13.88671875" style="84" customWidth="1"/>
    <col min="3" max="3" width="5.5546875" style="80" bestFit="1" customWidth="1"/>
    <col min="4" max="4" width="5.21875" style="80" customWidth="1"/>
    <col min="5" max="5" width="5.109375" style="80" customWidth="1"/>
    <col min="6" max="6" width="4.6640625" style="80" customWidth="1"/>
    <col min="7" max="7" width="5.109375" style="80" customWidth="1"/>
    <col min="8" max="9" width="4.88671875" style="80" customWidth="1"/>
    <col min="10" max="10" width="4.6640625" style="80" customWidth="1"/>
    <col min="11" max="11" width="5.21875" style="80" customWidth="1"/>
    <col min="12" max="14" width="4.33203125" style="80" customWidth="1"/>
    <col min="15" max="15" width="5.109375" style="80" customWidth="1"/>
    <col min="16" max="18" width="4.33203125" style="80" customWidth="1"/>
    <col min="19" max="19" width="5" style="80" customWidth="1"/>
    <col min="20" max="20" width="4.6640625" style="84" customWidth="1"/>
    <col min="21" max="21" width="3.21875" style="213" customWidth="1"/>
    <col min="22" max="22" width="5.88671875" style="209" customWidth="1"/>
    <col min="23" max="24" width="6" style="209" customWidth="1"/>
    <col min="25" max="25" width="6.44140625" style="209" customWidth="1"/>
    <col min="26" max="26" width="6" style="209" bestFit="1" customWidth="1"/>
    <col min="27" max="27" width="6.21875" style="209" customWidth="1"/>
    <col min="28" max="28" width="6.6640625" style="209" customWidth="1"/>
    <col min="29" max="29" width="6.77734375" style="209" bestFit="1" customWidth="1"/>
    <col min="30" max="30" width="4.77734375" style="209" customWidth="1"/>
    <col min="31" max="31" width="5.77734375" style="209" customWidth="1"/>
    <col min="32" max="32" width="6.109375" style="209" customWidth="1"/>
    <col min="33" max="33" width="5.77734375" style="209" customWidth="1"/>
    <col min="34" max="34" width="4.77734375" style="209" customWidth="1"/>
    <col min="35" max="36" width="6" style="209" customWidth="1"/>
    <col min="37" max="37" width="5" style="209" customWidth="1"/>
    <col min="38" max="38" width="4.77734375" style="209" customWidth="1"/>
    <col min="39" max="39" width="5.6640625" style="214" customWidth="1"/>
    <col min="40" max="40" width="4.77734375" style="209" customWidth="1"/>
    <col min="41" max="41" width="7.88671875" style="209" customWidth="1"/>
    <col min="42" max="16384" width="7.88671875" style="80"/>
  </cols>
  <sheetData>
    <row r="1" spans="1:41" ht="18">
      <c r="A1" s="203" t="s">
        <v>49</v>
      </c>
      <c r="B1" s="204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4"/>
      <c r="U1" s="206" t="s">
        <v>86</v>
      </c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8"/>
    </row>
    <row r="2" spans="1:41" ht="18">
      <c r="A2" s="203" t="s">
        <v>124</v>
      </c>
      <c r="B2" s="204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4"/>
      <c r="U2" s="206" t="s">
        <v>86</v>
      </c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  <c r="AK2" s="207"/>
      <c r="AL2" s="207"/>
      <c r="AM2" s="208"/>
    </row>
    <row r="3" spans="1:41" s="55" customFormat="1" ht="18.75" customHeight="1">
      <c r="A3" s="143" t="s">
        <v>129</v>
      </c>
      <c r="B3" s="82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2"/>
      <c r="U3" s="210" t="s">
        <v>86</v>
      </c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2"/>
      <c r="AN3" s="64"/>
      <c r="AO3" s="64"/>
    </row>
    <row r="4" spans="1:41" s="55" customFormat="1" ht="15.75" customHeight="1">
      <c r="A4" s="81"/>
      <c r="B4" s="82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2"/>
      <c r="U4" s="210" t="s">
        <v>86</v>
      </c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2"/>
      <c r="AN4" s="64"/>
      <c r="AO4" s="64"/>
    </row>
    <row r="5" spans="1:41" ht="15.75" customHeight="1">
      <c r="A5" s="57"/>
      <c r="U5" s="213" t="s">
        <v>86</v>
      </c>
    </row>
    <row r="6" spans="1:41">
      <c r="A6" s="215"/>
      <c r="B6" s="60"/>
      <c r="C6" s="87" t="s">
        <v>95</v>
      </c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216"/>
      <c r="V6" s="87" t="s">
        <v>52</v>
      </c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</row>
    <row r="7" spans="1:41">
      <c r="A7" s="218"/>
      <c r="B7" s="219"/>
      <c r="C7" s="90" t="s">
        <v>96</v>
      </c>
      <c r="D7" s="91"/>
      <c r="E7" s="91"/>
      <c r="F7" s="91"/>
      <c r="G7" s="91"/>
      <c r="H7" s="91"/>
      <c r="I7" s="91"/>
      <c r="J7" s="91"/>
      <c r="K7" s="92" t="s">
        <v>97</v>
      </c>
      <c r="L7" s="220"/>
      <c r="M7" s="220"/>
      <c r="N7" s="220"/>
      <c r="O7" s="221"/>
      <c r="P7" s="222"/>
      <c r="Q7" s="92" t="s">
        <v>110</v>
      </c>
      <c r="R7" s="220"/>
      <c r="S7" s="220"/>
      <c r="T7" s="91"/>
      <c r="V7" s="90" t="s">
        <v>96</v>
      </c>
      <c r="W7" s="223"/>
      <c r="X7" s="223"/>
      <c r="Y7" s="223"/>
      <c r="Z7" s="223"/>
      <c r="AA7" s="223"/>
      <c r="AB7" s="223"/>
      <c r="AC7" s="223"/>
      <c r="AD7" s="224" t="s">
        <v>97</v>
      </c>
      <c r="AE7" s="225"/>
      <c r="AF7" s="225"/>
      <c r="AG7" s="225"/>
      <c r="AH7" s="226"/>
      <c r="AI7" s="227"/>
      <c r="AJ7" s="224" t="s">
        <v>110</v>
      </c>
      <c r="AK7" s="225"/>
      <c r="AL7" s="225"/>
      <c r="AM7" s="223"/>
    </row>
    <row r="8" spans="1:41" ht="54" customHeight="1">
      <c r="A8" s="228"/>
      <c r="B8" s="229"/>
      <c r="C8" s="230">
        <v>1</v>
      </c>
      <c r="D8" s="93">
        <v>2</v>
      </c>
      <c r="E8" s="93">
        <v>3</v>
      </c>
      <c r="F8" s="93">
        <v>4</v>
      </c>
      <c r="G8" s="93">
        <v>5</v>
      </c>
      <c r="H8" s="93">
        <v>6</v>
      </c>
      <c r="I8" s="93" t="s">
        <v>120</v>
      </c>
      <c r="J8" s="656" t="s">
        <v>119</v>
      </c>
      <c r="K8" s="232" t="s">
        <v>111</v>
      </c>
      <c r="L8" s="93">
        <v>1</v>
      </c>
      <c r="M8" s="93">
        <v>2</v>
      </c>
      <c r="N8" s="93">
        <v>3</v>
      </c>
      <c r="O8" s="232" t="s">
        <v>120</v>
      </c>
      <c r="P8" s="231" t="s">
        <v>121</v>
      </c>
      <c r="Q8" s="232">
        <v>1</v>
      </c>
      <c r="R8" s="232">
        <v>2</v>
      </c>
      <c r="S8" s="232" t="s">
        <v>120</v>
      </c>
      <c r="T8" s="233" t="s">
        <v>113</v>
      </c>
      <c r="U8" s="234"/>
      <c r="V8" s="235">
        <v>1</v>
      </c>
      <c r="W8" s="236">
        <v>2</v>
      </c>
      <c r="X8" s="236">
        <v>3</v>
      </c>
      <c r="Y8" s="236">
        <v>4</v>
      </c>
      <c r="Z8" s="236">
        <v>5</v>
      </c>
      <c r="AA8" s="236">
        <v>6</v>
      </c>
      <c r="AB8" s="523" t="s">
        <v>217</v>
      </c>
      <c r="AC8" s="341" t="s">
        <v>98</v>
      </c>
      <c r="AD8" s="237" t="s">
        <v>111</v>
      </c>
      <c r="AE8" s="236">
        <v>1</v>
      </c>
      <c r="AF8" s="236">
        <v>2</v>
      </c>
      <c r="AG8" s="236">
        <v>3</v>
      </c>
      <c r="AH8" s="237" t="s">
        <v>114</v>
      </c>
      <c r="AI8" s="341" t="s">
        <v>113</v>
      </c>
      <c r="AJ8" s="237">
        <v>1</v>
      </c>
      <c r="AK8" s="237">
        <v>2</v>
      </c>
      <c r="AL8" s="237" t="s">
        <v>114</v>
      </c>
      <c r="AM8" s="238" t="s">
        <v>113</v>
      </c>
    </row>
    <row r="9" spans="1:41" s="9" customFormat="1" ht="15.75" customHeight="1">
      <c r="A9" s="239" t="s">
        <v>2</v>
      </c>
      <c r="B9" s="240" t="s">
        <v>53</v>
      </c>
      <c r="C9" s="241">
        <v>0.39187401706018976</v>
      </c>
      <c r="D9" s="242">
        <v>0.30327463781309333</v>
      </c>
      <c r="E9" s="242">
        <v>0.30533390109788383</v>
      </c>
      <c r="F9" s="242">
        <v>0.27066059225512529</v>
      </c>
      <c r="G9" s="242">
        <v>0.28362868423468918</v>
      </c>
      <c r="H9" s="243">
        <v>0.24182660489741892</v>
      </c>
      <c r="I9" s="242"/>
      <c r="J9" s="529">
        <v>0.33483783299616809</v>
      </c>
      <c r="K9" s="282"/>
      <c r="L9" s="282"/>
      <c r="M9" s="282"/>
      <c r="N9" s="282"/>
      <c r="O9" s="282"/>
      <c r="P9" s="241">
        <v>0.16578509339744776</v>
      </c>
      <c r="Q9" s="282"/>
      <c r="R9" s="282"/>
      <c r="S9" s="282"/>
      <c r="T9" s="241">
        <v>0</v>
      </c>
      <c r="U9" s="391"/>
      <c r="V9" s="421">
        <v>37625</v>
      </c>
      <c r="W9" s="421">
        <v>11660</v>
      </c>
      <c r="X9" s="421">
        <v>16492</v>
      </c>
      <c r="Y9" s="421">
        <v>5941</v>
      </c>
      <c r="Z9" s="421">
        <v>3089</v>
      </c>
      <c r="AA9" s="421">
        <v>1827</v>
      </c>
      <c r="AB9" s="421"/>
      <c r="AC9" s="392">
        <f>SUM(V9:AA9)</f>
        <v>76634</v>
      </c>
      <c r="AD9" s="393"/>
      <c r="AE9" s="394"/>
      <c r="AF9" s="394"/>
      <c r="AG9" s="394"/>
      <c r="AH9" s="395"/>
      <c r="AI9" s="396">
        <v>4482</v>
      </c>
      <c r="AJ9" s="393"/>
      <c r="AK9" s="393"/>
      <c r="AL9" s="393"/>
      <c r="AM9" s="397"/>
      <c r="AN9" s="349"/>
      <c r="AO9" s="349"/>
    </row>
    <row r="10" spans="1:41" s="9" customFormat="1" ht="15.75" customHeight="1">
      <c r="A10" s="249"/>
      <c r="B10" s="239" t="s">
        <v>93</v>
      </c>
      <c r="C10" s="250">
        <v>0.25788174518034018</v>
      </c>
      <c r="D10" s="251">
        <v>0.27983977943662702</v>
      </c>
      <c r="E10" s="251">
        <v>0.24982874493177568</v>
      </c>
      <c r="F10" s="251">
        <v>0.26633257403189065</v>
      </c>
      <c r="G10" s="251">
        <v>0.26792764668074559</v>
      </c>
      <c r="H10" s="252">
        <v>0.26737260092653869</v>
      </c>
      <c r="I10" s="251"/>
      <c r="J10" s="530">
        <v>0.26127173186407943</v>
      </c>
      <c r="K10" s="283"/>
      <c r="L10" s="283"/>
      <c r="M10" s="283"/>
      <c r="N10" s="283"/>
      <c r="O10" s="283"/>
      <c r="P10" s="250">
        <v>0.13911596079156649</v>
      </c>
      <c r="Q10" s="283"/>
      <c r="R10" s="283"/>
      <c r="S10" s="283"/>
      <c r="T10" s="250">
        <v>0</v>
      </c>
      <c r="U10" s="391"/>
      <c r="V10" s="422">
        <v>24760</v>
      </c>
      <c r="W10" s="422">
        <v>10759</v>
      </c>
      <c r="X10" s="422">
        <v>13494</v>
      </c>
      <c r="Y10" s="422">
        <v>5846</v>
      </c>
      <c r="Z10" s="422">
        <v>2918</v>
      </c>
      <c r="AA10" s="422">
        <v>2020</v>
      </c>
      <c r="AB10" s="422"/>
      <c r="AC10" s="423">
        <f>SUM(V10:AA10)</f>
        <v>59797</v>
      </c>
      <c r="AD10" s="393"/>
      <c r="AE10" s="394"/>
      <c r="AF10" s="394"/>
      <c r="AG10" s="394"/>
      <c r="AH10" s="395"/>
      <c r="AI10" s="396">
        <v>3761</v>
      </c>
      <c r="AJ10" s="393"/>
      <c r="AK10" s="393"/>
      <c r="AL10" s="393"/>
      <c r="AM10" s="397"/>
      <c r="AN10" s="349"/>
      <c r="AO10" s="349"/>
    </row>
    <row r="11" spans="1:41" s="9" customFormat="1" ht="15.75" customHeight="1">
      <c r="A11" s="249"/>
      <c r="B11" s="239" t="s">
        <v>55</v>
      </c>
      <c r="C11" s="250">
        <v>0.2329163759074292</v>
      </c>
      <c r="D11" s="251">
        <v>0.27344136083439541</v>
      </c>
      <c r="E11" s="251">
        <v>0.28420935700664657</v>
      </c>
      <c r="F11" s="251">
        <v>0.30123006833712984</v>
      </c>
      <c r="G11" s="251">
        <v>0.31447984574419247</v>
      </c>
      <c r="H11" s="252">
        <v>0.33156849768365321</v>
      </c>
      <c r="I11" s="251"/>
      <c r="J11" s="530">
        <v>0.26551870283874179</v>
      </c>
      <c r="K11" s="283"/>
      <c r="L11" s="283"/>
      <c r="M11" s="283"/>
      <c r="N11" s="283"/>
      <c r="O11" s="283"/>
      <c r="P11" s="250">
        <v>0.14991677455150731</v>
      </c>
      <c r="Q11" s="283"/>
      <c r="R11" s="283"/>
      <c r="S11" s="283"/>
      <c r="T11" s="250">
        <v>0</v>
      </c>
      <c r="U11" s="391"/>
      <c r="V11" s="422">
        <v>22363</v>
      </c>
      <c r="W11" s="422">
        <v>10513</v>
      </c>
      <c r="X11" s="422">
        <v>15351</v>
      </c>
      <c r="Y11" s="422">
        <v>6612</v>
      </c>
      <c r="Z11" s="422">
        <v>3425</v>
      </c>
      <c r="AA11" s="422">
        <v>2505</v>
      </c>
      <c r="AB11" s="422"/>
      <c r="AC11" s="423">
        <f>SUM(V11:AA11)</f>
        <v>60769</v>
      </c>
      <c r="AD11" s="393"/>
      <c r="AE11" s="394"/>
      <c r="AF11" s="394"/>
      <c r="AG11" s="394"/>
      <c r="AH11" s="395"/>
      <c r="AI11" s="427">
        <v>4053</v>
      </c>
      <c r="AJ11" s="393"/>
      <c r="AK11" s="393"/>
      <c r="AL11" s="393"/>
      <c r="AM11" s="397"/>
      <c r="AN11" s="349"/>
      <c r="AO11" s="349"/>
    </row>
    <row r="12" spans="1:41" s="9" customFormat="1" ht="15.75" customHeight="1">
      <c r="A12" s="249"/>
      <c r="B12" s="239" t="s">
        <v>78</v>
      </c>
      <c r="C12" s="250">
        <v>3.7505337818837033E-2</v>
      </c>
      <c r="D12" s="251">
        <v>7.7821416495435281E-2</v>
      </c>
      <c r="E12" s="251">
        <v>7.4056245718623293E-2</v>
      </c>
      <c r="F12" s="251">
        <v>7.5353075170842831E-2</v>
      </c>
      <c r="G12" s="251">
        <v>7.7678817372142134E-2</v>
      </c>
      <c r="H12" s="252">
        <v>8.8550628722700198E-2</v>
      </c>
      <c r="I12" s="251"/>
      <c r="J12" s="530">
        <v>6.0130467647431497E-2</v>
      </c>
      <c r="K12" s="283"/>
      <c r="L12" s="283"/>
      <c r="M12" s="283"/>
      <c r="N12" s="283"/>
      <c r="O12" s="283"/>
      <c r="P12" s="250">
        <v>9.3138524135380069E-2</v>
      </c>
      <c r="Q12" s="283"/>
      <c r="R12" s="283"/>
      <c r="S12" s="283"/>
      <c r="T12" s="250">
        <v>0</v>
      </c>
      <c r="U12" s="391"/>
      <c r="V12" s="422">
        <v>3601</v>
      </c>
      <c r="W12" s="422">
        <v>2992</v>
      </c>
      <c r="X12" s="422">
        <v>4000</v>
      </c>
      <c r="Y12" s="422">
        <v>1654</v>
      </c>
      <c r="Z12" s="422">
        <v>846</v>
      </c>
      <c r="AA12" s="422">
        <v>669</v>
      </c>
      <c r="AB12" s="422"/>
      <c r="AC12" s="423">
        <f>SUM(V12:AA12)</f>
        <v>13762</v>
      </c>
      <c r="AD12" s="393"/>
      <c r="AE12" s="394"/>
      <c r="AF12" s="394"/>
      <c r="AG12" s="394"/>
      <c r="AH12" s="395"/>
      <c r="AI12" s="396">
        <v>2518</v>
      </c>
      <c r="AJ12" s="393"/>
      <c r="AK12" s="393"/>
      <c r="AL12" s="393"/>
      <c r="AM12" s="397"/>
      <c r="AN12" s="349"/>
      <c r="AO12" s="349"/>
    </row>
    <row r="13" spans="1:41" s="9" customFormat="1" ht="15.75" customHeight="1">
      <c r="A13" s="239"/>
      <c r="B13" s="782" t="s">
        <v>131</v>
      </c>
      <c r="C13" s="581">
        <v>7.9822524033203834E-2</v>
      </c>
      <c r="D13" s="581">
        <v>6.5622805420448932E-2</v>
      </c>
      <c r="E13" s="581">
        <v>8.6571751245070633E-2</v>
      </c>
      <c r="F13" s="581">
        <v>8.6423690205011394E-2</v>
      </c>
      <c r="G13" s="581">
        <v>5.6285005968230647E-2</v>
      </c>
      <c r="H13" s="581">
        <v>7.0681667769688941E-2</v>
      </c>
      <c r="I13" s="581">
        <v>0</v>
      </c>
      <c r="J13" s="581">
        <v>7.8241264653579126E-2</v>
      </c>
      <c r="K13" s="581">
        <v>0</v>
      </c>
      <c r="L13" s="581">
        <v>0</v>
      </c>
      <c r="M13" s="581">
        <v>0</v>
      </c>
      <c r="N13" s="581">
        <v>0</v>
      </c>
      <c r="O13" s="581">
        <v>0</v>
      </c>
      <c r="P13" s="581">
        <v>0.45204364712409839</v>
      </c>
      <c r="Q13" s="581">
        <v>0</v>
      </c>
      <c r="R13" s="581">
        <v>0</v>
      </c>
      <c r="S13" s="581">
        <v>0</v>
      </c>
      <c r="T13" s="581">
        <v>0</v>
      </c>
      <c r="U13" s="391"/>
      <c r="V13" s="254"/>
      <c r="W13" s="255"/>
      <c r="X13" s="255"/>
      <c r="Y13" s="255"/>
      <c r="Z13" s="255"/>
      <c r="AA13" s="255"/>
      <c r="AB13" s="255"/>
      <c r="AC13" s="256"/>
      <c r="AD13" s="393"/>
      <c r="AE13" s="394"/>
      <c r="AF13" s="394"/>
      <c r="AG13" s="394"/>
      <c r="AH13" s="395"/>
      <c r="AI13" s="428"/>
      <c r="AJ13" s="393"/>
      <c r="AK13" s="393"/>
      <c r="AL13" s="393"/>
      <c r="AM13" s="397"/>
      <c r="AN13" s="349"/>
      <c r="AO13" s="349"/>
    </row>
    <row r="14" spans="1:41" s="9" customFormat="1" ht="15.75" customHeight="1">
      <c r="A14" s="259"/>
      <c r="B14" s="260" t="s">
        <v>59</v>
      </c>
      <c r="C14" s="261">
        <v>1</v>
      </c>
      <c r="D14" s="262">
        <v>1</v>
      </c>
      <c r="E14" s="262">
        <v>1</v>
      </c>
      <c r="F14" s="262">
        <v>1</v>
      </c>
      <c r="G14" s="262">
        <v>1</v>
      </c>
      <c r="H14" s="263">
        <v>1</v>
      </c>
      <c r="I14" s="262"/>
      <c r="J14" s="531">
        <v>1</v>
      </c>
      <c r="K14" s="284"/>
      <c r="L14" s="284"/>
      <c r="M14" s="284"/>
      <c r="N14" s="284"/>
      <c r="O14" s="284"/>
      <c r="P14" s="261">
        <v>1</v>
      </c>
      <c r="Q14" s="284"/>
      <c r="R14" s="284"/>
      <c r="S14" s="284"/>
      <c r="T14" s="261">
        <v>0</v>
      </c>
      <c r="U14" s="391"/>
      <c r="V14" s="425">
        <v>96013</v>
      </c>
      <c r="W14" s="426">
        <v>38447</v>
      </c>
      <c r="X14" s="426">
        <v>54013</v>
      </c>
      <c r="Y14" s="426">
        <v>21950</v>
      </c>
      <c r="Z14" s="426">
        <v>10891</v>
      </c>
      <c r="AA14" s="426">
        <v>7555</v>
      </c>
      <c r="AB14" s="784"/>
      <c r="AC14" s="423">
        <v>228869</v>
      </c>
      <c r="AD14" s="400"/>
      <c r="AE14" s="401"/>
      <c r="AF14" s="401"/>
      <c r="AG14" s="401"/>
      <c r="AH14" s="402"/>
      <c r="AI14" s="429">
        <f>SUM(AI9:AI12)</f>
        <v>14814</v>
      </c>
      <c r="AJ14" s="400"/>
      <c r="AK14" s="400"/>
      <c r="AL14" s="400"/>
      <c r="AM14" s="397"/>
      <c r="AN14" s="349"/>
      <c r="AO14" s="349"/>
    </row>
    <row r="15" spans="1:41" ht="13.9" customHeight="1">
      <c r="A15" s="239" t="s">
        <v>3</v>
      </c>
      <c r="B15" s="240" t="s">
        <v>53</v>
      </c>
      <c r="C15" s="241">
        <v>0.36351030110935023</v>
      </c>
      <c r="D15" s="242">
        <v>0.283720615134476</v>
      </c>
      <c r="E15" s="242">
        <v>0.25205216884036835</v>
      </c>
      <c r="F15" s="242">
        <v>0.22562102237733525</v>
      </c>
      <c r="G15" s="242">
        <v>0.22124670763827919</v>
      </c>
      <c r="H15" s="243">
        <v>0.23659517426273458</v>
      </c>
      <c r="I15" s="242"/>
      <c r="J15" s="529">
        <v>0.29541027380769991</v>
      </c>
      <c r="K15" s="241">
        <v>6.5689467969598264E-2</v>
      </c>
      <c r="L15" s="242">
        <v>0.1193182770351419</v>
      </c>
      <c r="M15" s="242">
        <v>8.808854027638037E-2</v>
      </c>
      <c r="N15" s="242">
        <v>8.681022880215343E-2</v>
      </c>
      <c r="O15" s="243">
        <v>0.20627143557079863</v>
      </c>
      <c r="P15" s="241">
        <v>0.10652828433652363</v>
      </c>
      <c r="Q15" s="342">
        <v>1.9477989871445266E-3</v>
      </c>
      <c r="R15" s="242">
        <v>3.7831021437578815E-3</v>
      </c>
      <c r="S15" s="243">
        <v>0</v>
      </c>
      <c r="T15" s="342">
        <v>2.3221448173949759E-3</v>
      </c>
      <c r="U15" s="244"/>
      <c r="V15" s="245">
        <v>12845</v>
      </c>
      <c r="W15" s="246">
        <v>4188</v>
      </c>
      <c r="X15" s="246">
        <v>6049</v>
      </c>
      <c r="Y15" s="246">
        <v>2198</v>
      </c>
      <c r="Z15" s="246">
        <v>1008</v>
      </c>
      <c r="AA15" s="246">
        <v>706</v>
      </c>
      <c r="AB15" s="246"/>
      <c r="AC15" s="247">
        <v>26994</v>
      </c>
      <c r="AD15" s="245">
        <v>121</v>
      </c>
      <c r="AE15" s="246">
        <v>2136</v>
      </c>
      <c r="AF15" s="246">
        <v>1287</v>
      </c>
      <c r="AG15" s="246">
        <v>387</v>
      </c>
      <c r="AH15" s="248">
        <v>421</v>
      </c>
      <c r="AI15" s="248">
        <v>4352</v>
      </c>
      <c r="AJ15" s="245">
        <v>5</v>
      </c>
      <c r="AK15" s="246">
        <v>6</v>
      </c>
      <c r="AL15" s="248">
        <v>0</v>
      </c>
      <c r="AM15" s="245">
        <v>11</v>
      </c>
    </row>
    <row r="16" spans="1:41" ht="13.9" customHeight="1">
      <c r="A16" s="249"/>
      <c r="B16" s="239" t="s">
        <v>93</v>
      </c>
      <c r="C16" s="250">
        <v>0.26528186551958344</v>
      </c>
      <c r="D16" s="251">
        <v>0.27410067068626787</v>
      </c>
      <c r="E16" s="251">
        <v>0.25076044835201466</v>
      </c>
      <c r="F16" s="251">
        <v>0.25272018066105523</v>
      </c>
      <c r="G16" s="251">
        <v>0.23419666374012291</v>
      </c>
      <c r="H16" s="252">
        <v>0.25134048257372654</v>
      </c>
      <c r="I16" s="251"/>
      <c r="J16" s="530">
        <v>0.25954825012585087</v>
      </c>
      <c r="K16" s="250">
        <v>9.2833876221498371E-2</v>
      </c>
      <c r="L16" s="251">
        <v>0.10915164481585547</v>
      </c>
      <c r="M16" s="251">
        <v>8.7267201905505021E-2</v>
      </c>
      <c r="N16" s="251">
        <v>8.995065051592642E-2</v>
      </c>
      <c r="O16" s="252">
        <v>0.30916217540421365</v>
      </c>
      <c r="P16" s="250">
        <v>0.10848652485741561</v>
      </c>
      <c r="Q16" s="250">
        <v>5.0642773665757696E-3</v>
      </c>
      <c r="R16" s="251">
        <v>6.9356872635561164E-3</v>
      </c>
      <c r="S16" s="252">
        <v>0</v>
      </c>
      <c r="T16" s="250">
        <v>5.0664977834072198E-3</v>
      </c>
      <c r="U16" s="253"/>
      <c r="V16" s="254">
        <v>9374</v>
      </c>
      <c r="W16" s="255">
        <v>4046</v>
      </c>
      <c r="X16" s="255">
        <v>6018</v>
      </c>
      <c r="Y16" s="255">
        <v>2462</v>
      </c>
      <c r="Z16" s="255">
        <v>1067</v>
      </c>
      <c r="AA16" s="255">
        <v>750</v>
      </c>
      <c r="AB16" s="255"/>
      <c r="AC16" s="256">
        <v>23717</v>
      </c>
      <c r="AD16" s="254">
        <v>171</v>
      </c>
      <c r="AE16" s="255">
        <v>1954</v>
      </c>
      <c r="AF16" s="255">
        <v>1275</v>
      </c>
      <c r="AG16" s="255">
        <v>401</v>
      </c>
      <c r="AH16" s="257">
        <v>631</v>
      </c>
      <c r="AI16" s="257">
        <v>4432</v>
      </c>
      <c r="AJ16" s="254">
        <v>13</v>
      </c>
      <c r="AK16" s="255">
        <v>11</v>
      </c>
      <c r="AL16" s="257">
        <v>0</v>
      </c>
      <c r="AM16" s="254">
        <v>24</v>
      </c>
    </row>
    <row r="17" spans="1:41" ht="13.9" customHeight="1">
      <c r="A17" s="249"/>
      <c r="B17" s="239" t="s">
        <v>55</v>
      </c>
      <c r="C17" s="250">
        <v>0.23545392800543355</v>
      </c>
      <c r="D17" s="251">
        <v>0.27782670550775695</v>
      </c>
      <c r="E17" s="251">
        <v>0.30392933038876618</v>
      </c>
      <c r="F17" s="251">
        <v>0.33145144734140836</v>
      </c>
      <c r="G17" s="251">
        <v>0.35338015803336259</v>
      </c>
      <c r="H17" s="252">
        <v>0.31903485254691688</v>
      </c>
      <c r="I17" s="251"/>
      <c r="J17" s="530">
        <v>0.27912626671627744</v>
      </c>
      <c r="K17" s="250">
        <v>0.16286644951140064</v>
      </c>
      <c r="L17" s="251">
        <v>7.8037281375511816E-2</v>
      </c>
      <c r="M17" s="251">
        <v>7.2483111229748876E-2</v>
      </c>
      <c r="N17" s="251">
        <v>9.6680125616868548E-2</v>
      </c>
      <c r="O17" s="252">
        <v>0.2846643802057815</v>
      </c>
      <c r="P17" s="250">
        <v>9.2233128534012193E-2</v>
      </c>
      <c r="Q17" s="250">
        <v>9.3494351382937286E-3</v>
      </c>
      <c r="R17" s="251">
        <v>1.1979823455233291E-2</v>
      </c>
      <c r="S17" s="252">
        <v>0</v>
      </c>
      <c r="T17" s="250">
        <v>9.0774751952712694E-3</v>
      </c>
      <c r="U17" s="253"/>
      <c r="V17" s="254">
        <v>8320</v>
      </c>
      <c r="W17" s="255">
        <v>4101</v>
      </c>
      <c r="X17" s="255">
        <v>7294</v>
      </c>
      <c r="Y17" s="255">
        <v>3229</v>
      </c>
      <c r="Z17" s="255">
        <v>1610</v>
      </c>
      <c r="AA17" s="255">
        <v>952</v>
      </c>
      <c r="AB17" s="255"/>
      <c r="AC17" s="256">
        <v>25506</v>
      </c>
      <c r="AD17" s="254">
        <v>300</v>
      </c>
      <c r="AE17" s="255">
        <v>1397</v>
      </c>
      <c r="AF17" s="255">
        <v>1059</v>
      </c>
      <c r="AG17" s="255">
        <v>431</v>
      </c>
      <c r="AH17" s="257">
        <v>581</v>
      </c>
      <c r="AI17" s="257">
        <v>3768</v>
      </c>
      <c r="AJ17" s="254">
        <v>24</v>
      </c>
      <c r="AK17" s="255">
        <v>19</v>
      </c>
      <c r="AL17" s="257">
        <v>0</v>
      </c>
      <c r="AM17" s="254">
        <v>43</v>
      </c>
    </row>
    <row r="18" spans="1:41" ht="13.9" customHeight="1">
      <c r="A18" s="249"/>
      <c r="B18" s="239" t="s">
        <v>78</v>
      </c>
      <c r="C18" s="250">
        <v>5.5156214625311298E-2</v>
      </c>
      <c r="D18" s="251">
        <v>0.10155138540749271</v>
      </c>
      <c r="E18" s="251">
        <v>9.7295720655027298E-2</v>
      </c>
      <c r="F18" s="251">
        <v>0.11619790597413263</v>
      </c>
      <c r="G18" s="251">
        <v>0.14793678665496049</v>
      </c>
      <c r="H18" s="252">
        <v>0.10924932975871314</v>
      </c>
      <c r="I18" s="251"/>
      <c r="J18" s="530">
        <v>8.6618223204710104E-2</v>
      </c>
      <c r="K18" s="250">
        <v>7.9804560260586313E-2</v>
      </c>
      <c r="L18" s="251">
        <v>0.13819916544238814</v>
      </c>
      <c r="M18" s="251">
        <v>0.1550276175027207</v>
      </c>
      <c r="N18" s="251">
        <v>0.14266487213997309</v>
      </c>
      <c r="O18" s="252">
        <v>0.19941205291523764</v>
      </c>
      <c r="P18" s="250">
        <v>0.14513010060460677</v>
      </c>
      <c r="Q18" s="250">
        <v>9.037787300350604E-2</v>
      </c>
      <c r="R18" s="251">
        <v>0.35056746532156369</v>
      </c>
      <c r="S18" s="252">
        <v>0</v>
      </c>
      <c r="T18" s="250">
        <v>0.16635001055520371</v>
      </c>
      <c r="U18" s="253"/>
      <c r="V18" s="254">
        <v>1949</v>
      </c>
      <c r="W18" s="255">
        <v>1499</v>
      </c>
      <c r="X18" s="255">
        <v>2335</v>
      </c>
      <c r="Y18" s="255">
        <v>1132</v>
      </c>
      <c r="Z18" s="255">
        <v>674</v>
      </c>
      <c r="AA18" s="255">
        <v>326</v>
      </c>
      <c r="AB18" s="255"/>
      <c r="AC18" s="256">
        <v>7915</v>
      </c>
      <c r="AD18" s="254">
        <v>147</v>
      </c>
      <c r="AE18" s="255">
        <v>2474</v>
      </c>
      <c r="AF18" s="255">
        <v>2265</v>
      </c>
      <c r="AG18" s="255">
        <v>636</v>
      </c>
      <c r="AH18" s="257">
        <v>407</v>
      </c>
      <c r="AI18" s="257">
        <v>5929</v>
      </c>
      <c r="AJ18" s="254">
        <v>232</v>
      </c>
      <c r="AK18" s="255">
        <v>556</v>
      </c>
      <c r="AL18" s="257">
        <v>0</v>
      </c>
      <c r="AM18" s="254">
        <v>788</v>
      </c>
    </row>
    <row r="19" spans="1:41" s="9" customFormat="1" ht="15.75" customHeight="1">
      <c r="A19" s="239"/>
      <c r="B19" s="782" t="s">
        <v>131</v>
      </c>
      <c r="C19" s="581">
        <v>8.0597690740321484E-2</v>
      </c>
      <c r="D19" s="581">
        <v>6.2800623264006497E-2</v>
      </c>
      <c r="E19" s="581">
        <v>9.5962331763823489E-2</v>
      </c>
      <c r="F19" s="581">
        <v>7.4009443646068568E-2</v>
      </c>
      <c r="G19" s="581">
        <v>4.3239683933274806E-2</v>
      </c>
      <c r="H19" s="581">
        <v>8.3780160857908847E-2</v>
      </c>
      <c r="I19" s="581">
        <v>0</v>
      </c>
      <c r="J19" s="581">
        <v>7.9296986145461712E-2</v>
      </c>
      <c r="K19" s="581">
        <v>0.59880564603691644</v>
      </c>
      <c r="L19" s="581">
        <v>0.55529363133110266</v>
      </c>
      <c r="M19" s="581">
        <v>0.5971335290856451</v>
      </c>
      <c r="N19" s="581">
        <v>0.58389412292507858</v>
      </c>
      <c r="O19" s="581">
        <v>4.8995590396864281E-4</v>
      </c>
      <c r="P19" s="581">
        <v>0.54762196166744181</v>
      </c>
      <c r="Q19" s="581">
        <v>0.89326061550447988</v>
      </c>
      <c r="R19" s="581">
        <v>0.62673392181588905</v>
      </c>
      <c r="S19" s="581">
        <v>1</v>
      </c>
      <c r="T19" s="581">
        <v>0.81718387164872286</v>
      </c>
      <c r="U19" s="391"/>
      <c r="V19" s="254"/>
      <c r="W19" s="255"/>
      <c r="X19" s="255"/>
      <c r="Y19" s="255"/>
      <c r="Z19" s="255"/>
      <c r="AA19" s="255"/>
      <c r="AB19" s="255"/>
      <c r="AC19" s="256"/>
      <c r="AD19" s="393"/>
      <c r="AE19" s="394"/>
      <c r="AF19" s="394"/>
      <c r="AG19" s="394"/>
      <c r="AH19" s="395"/>
      <c r="AI19" s="428"/>
      <c r="AJ19" s="393"/>
      <c r="AK19" s="393"/>
      <c r="AL19" s="393"/>
      <c r="AM19" s="397"/>
      <c r="AN19" s="349"/>
      <c r="AO19" s="349"/>
    </row>
    <row r="20" spans="1:41" s="271" customFormat="1" ht="23.45" customHeight="1">
      <c r="A20" s="259"/>
      <c r="B20" s="260" t="s">
        <v>59</v>
      </c>
      <c r="C20" s="261">
        <v>1</v>
      </c>
      <c r="D20" s="262">
        <v>1</v>
      </c>
      <c r="E20" s="262">
        <v>1</v>
      </c>
      <c r="F20" s="262">
        <v>1</v>
      </c>
      <c r="G20" s="262">
        <v>1</v>
      </c>
      <c r="H20" s="263">
        <v>1</v>
      </c>
      <c r="I20" s="262"/>
      <c r="J20" s="531">
        <v>1</v>
      </c>
      <c r="K20" s="261">
        <v>1</v>
      </c>
      <c r="L20" s="262">
        <v>1</v>
      </c>
      <c r="M20" s="262">
        <v>1</v>
      </c>
      <c r="N20" s="262">
        <v>1</v>
      </c>
      <c r="O20" s="263">
        <v>1</v>
      </c>
      <c r="P20" s="261">
        <v>1</v>
      </c>
      <c r="Q20" s="261">
        <v>1</v>
      </c>
      <c r="R20" s="262">
        <v>1</v>
      </c>
      <c r="S20" s="263">
        <v>1</v>
      </c>
      <c r="T20" s="261">
        <v>1</v>
      </c>
      <c r="U20" s="264"/>
      <c r="V20" s="265">
        <v>35336</v>
      </c>
      <c r="W20" s="266">
        <v>14761</v>
      </c>
      <c r="X20" s="266">
        <v>23999</v>
      </c>
      <c r="Y20" s="266">
        <v>9742</v>
      </c>
      <c r="Z20" s="266">
        <v>4556</v>
      </c>
      <c r="AA20" s="266">
        <v>2984</v>
      </c>
      <c r="AB20" s="266"/>
      <c r="AC20" s="267">
        <v>91378</v>
      </c>
      <c r="AD20" s="265">
        <v>1842</v>
      </c>
      <c r="AE20" s="266">
        <v>17901.7</v>
      </c>
      <c r="AF20" s="266">
        <v>14610.3</v>
      </c>
      <c r="AG20" s="266">
        <v>4458</v>
      </c>
      <c r="AH20" s="268">
        <v>2041</v>
      </c>
      <c r="AI20" s="268">
        <v>40853</v>
      </c>
      <c r="AJ20" s="265">
        <v>2567</v>
      </c>
      <c r="AK20" s="266">
        <v>1586</v>
      </c>
      <c r="AL20" s="268">
        <v>584</v>
      </c>
      <c r="AM20" s="265">
        <v>4737</v>
      </c>
      <c r="AN20" s="270"/>
      <c r="AO20" s="270"/>
    </row>
    <row r="21" spans="1:41" ht="13.5" customHeight="1">
      <c r="A21" s="249" t="s">
        <v>4</v>
      </c>
      <c r="B21" s="239" t="s">
        <v>53</v>
      </c>
      <c r="C21" s="241">
        <v>0.35833629576964093</v>
      </c>
      <c r="D21" s="242">
        <v>0.27142857142857141</v>
      </c>
      <c r="E21" s="242">
        <v>0.20926090828138913</v>
      </c>
      <c r="F21" s="242">
        <v>0.23799359658484526</v>
      </c>
      <c r="G21" s="242">
        <v>0.26406926406926406</v>
      </c>
      <c r="H21" s="243">
        <v>0.26666666666666666</v>
      </c>
      <c r="I21" s="242"/>
      <c r="J21" s="529">
        <v>0.29730719912071807</v>
      </c>
      <c r="K21" s="241">
        <v>0</v>
      </c>
      <c r="L21" s="242">
        <v>0</v>
      </c>
      <c r="M21" s="242">
        <v>0</v>
      </c>
      <c r="N21" s="242">
        <v>0</v>
      </c>
      <c r="O21" s="243">
        <v>0</v>
      </c>
      <c r="P21" s="241">
        <v>0</v>
      </c>
      <c r="Q21" s="241">
        <v>0</v>
      </c>
      <c r="R21" s="242">
        <v>0</v>
      </c>
      <c r="S21" s="243">
        <v>0</v>
      </c>
      <c r="T21" s="241">
        <v>0</v>
      </c>
      <c r="U21" s="253"/>
      <c r="V21" s="245">
        <v>1008</v>
      </c>
      <c r="W21" s="246">
        <v>76</v>
      </c>
      <c r="X21" s="246">
        <v>235</v>
      </c>
      <c r="Y21" s="246">
        <v>223</v>
      </c>
      <c r="Z21" s="246">
        <v>61</v>
      </c>
      <c r="AA21" s="246">
        <v>20</v>
      </c>
      <c r="AB21" s="246"/>
      <c r="AC21" s="247">
        <v>1623</v>
      </c>
      <c r="AD21" s="245">
        <v>0</v>
      </c>
      <c r="AE21" s="246">
        <v>0</v>
      </c>
      <c r="AF21" s="246">
        <v>0</v>
      </c>
      <c r="AG21" s="246">
        <v>0</v>
      </c>
      <c r="AH21" s="248">
        <v>0</v>
      </c>
      <c r="AI21" s="248">
        <v>0</v>
      </c>
      <c r="AJ21" s="245">
        <v>0</v>
      </c>
      <c r="AK21" s="246">
        <v>0</v>
      </c>
      <c r="AL21" s="248">
        <v>0</v>
      </c>
      <c r="AM21" s="245">
        <v>0</v>
      </c>
    </row>
    <row r="22" spans="1:41" ht="13.9" customHeight="1">
      <c r="A22" s="249"/>
      <c r="B22" s="239" t="s">
        <v>93</v>
      </c>
      <c r="C22" s="250">
        <v>0.29114824031283326</v>
      </c>
      <c r="D22" s="251">
        <v>0.30714285714285716</v>
      </c>
      <c r="E22" s="251">
        <v>0.22617987533392697</v>
      </c>
      <c r="F22" s="251">
        <v>0.2657417289220918</v>
      </c>
      <c r="G22" s="251">
        <v>0.22943722943722944</v>
      </c>
      <c r="H22" s="252">
        <v>0.16</v>
      </c>
      <c r="I22" s="251"/>
      <c r="J22" s="530">
        <v>0.26982963912804542</v>
      </c>
      <c r="K22" s="250">
        <v>0</v>
      </c>
      <c r="L22" s="251">
        <v>0</v>
      </c>
      <c r="M22" s="251">
        <v>0</v>
      </c>
      <c r="N22" s="251">
        <v>0</v>
      </c>
      <c r="O22" s="252">
        <v>0</v>
      </c>
      <c r="P22" s="250">
        <v>0</v>
      </c>
      <c r="Q22" s="250">
        <v>0</v>
      </c>
      <c r="R22" s="251">
        <v>0</v>
      </c>
      <c r="S22" s="252">
        <v>0</v>
      </c>
      <c r="T22" s="250">
        <v>0</v>
      </c>
      <c r="U22" s="253"/>
      <c r="V22" s="254">
        <v>819</v>
      </c>
      <c r="W22" s="255">
        <v>86</v>
      </c>
      <c r="X22" s="255">
        <v>254</v>
      </c>
      <c r="Y22" s="255">
        <v>249</v>
      </c>
      <c r="Z22" s="255">
        <v>53</v>
      </c>
      <c r="AA22" s="255">
        <v>12</v>
      </c>
      <c r="AB22" s="255"/>
      <c r="AC22" s="256">
        <v>1473</v>
      </c>
      <c r="AD22" s="254">
        <v>0</v>
      </c>
      <c r="AE22" s="255">
        <v>0</v>
      </c>
      <c r="AF22" s="255">
        <v>0</v>
      </c>
      <c r="AG22" s="255">
        <v>0</v>
      </c>
      <c r="AH22" s="257">
        <v>0</v>
      </c>
      <c r="AI22" s="257">
        <v>0</v>
      </c>
      <c r="AJ22" s="254">
        <v>0</v>
      </c>
      <c r="AK22" s="255">
        <v>0</v>
      </c>
      <c r="AL22" s="257">
        <v>0</v>
      </c>
      <c r="AM22" s="254">
        <v>0</v>
      </c>
    </row>
    <row r="23" spans="1:41" ht="13.9" customHeight="1">
      <c r="A23" s="249"/>
      <c r="B23" s="239" t="s">
        <v>55</v>
      </c>
      <c r="C23" s="250">
        <v>0.24848915748311412</v>
      </c>
      <c r="D23" s="251">
        <v>0.27857142857142858</v>
      </c>
      <c r="E23" s="251">
        <v>0.34461264470169189</v>
      </c>
      <c r="F23" s="251">
        <v>0.34898612593383138</v>
      </c>
      <c r="G23" s="251">
        <v>0.354978354978355</v>
      </c>
      <c r="H23" s="252">
        <v>0</v>
      </c>
      <c r="I23" s="251"/>
      <c r="J23" s="530">
        <v>0.28814801245649385</v>
      </c>
      <c r="K23" s="250">
        <v>0</v>
      </c>
      <c r="L23" s="251">
        <v>0</v>
      </c>
      <c r="M23" s="251">
        <v>0</v>
      </c>
      <c r="N23" s="251">
        <v>0</v>
      </c>
      <c r="O23" s="252">
        <v>0</v>
      </c>
      <c r="P23" s="250">
        <v>0</v>
      </c>
      <c r="Q23" s="250">
        <v>0</v>
      </c>
      <c r="R23" s="251">
        <v>0</v>
      </c>
      <c r="S23" s="252">
        <v>0</v>
      </c>
      <c r="T23" s="250">
        <v>0</v>
      </c>
      <c r="U23" s="253"/>
      <c r="V23" s="254">
        <v>699</v>
      </c>
      <c r="W23" s="255">
        <v>78</v>
      </c>
      <c r="X23" s="255">
        <v>387</v>
      </c>
      <c r="Y23" s="255">
        <v>327</v>
      </c>
      <c r="Z23" s="255">
        <v>82</v>
      </c>
      <c r="AA23" s="255">
        <v>0</v>
      </c>
      <c r="AB23" s="255"/>
      <c r="AC23" s="256">
        <v>1573</v>
      </c>
      <c r="AD23" s="254">
        <v>0</v>
      </c>
      <c r="AE23" s="255">
        <v>0</v>
      </c>
      <c r="AF23" s="255">
        <v>0</v>
      </c>
      <c r="AG23" s="255">
        <v>0</v>
      </c>
      <c r="AH23" s="257">
        <v>0</v>
      </c>
      <c r="AI23" s="257">
        <v>0</v>
      </c>
      <c r="AJ23" s="254">
        <v>0</v>
      </c>
      <c r="AK23" s="255">
        <v>0</v>
      </c>
      <c r="AL23" s="257">
        <v>0</v>
      </c>
      <c r="AM23" s="254">
        <v>0</v>
      </c>
    </row>
    <row r="24" spans="1:41" ht="13.9" customHeight="1">
      <c r="A24" s="249"/>
      <c r="B24" s="239" t="s">
        <v>78</v>
      </c>
      <c r="C24" s="250">
        <v>8.8873089228581587E-2</v>
      </c>
      <c r="D24" s="273">
        <v>1.4285714285714285E-2</v>
      </c>
      <c r="E24" s="251">
        <v>0.21371326803205698</v>
      </c>
      <c r="F24" s="251">
        <v>0.12273212379935966</v>
      </c>
      <c r="G24" s="251">
        <v>9.5238095238095233E-2</v>
      </c>
      <c r="H24" s="252">
        <v>0</v>
      </c>
      <c r="I24" s="251"/>
      <c r="J24" s="530">
        <v>0.11558893570250962</v>
      </c>
      <c r="K24" s="250">
        <v>0</v>
      </c>
      <c r="L24" s="251">
        <v>0</v>
      </c>
      <c r="M24" s="251">
        <v>0</v>
      </c>
      <c r="N24" s="251">
        <v>0</v>
      </c>
      <c r="O24" s="252">
        <v>0</v>
      </c>
      <c r="P24" s="250">
        <v>0</v>
      </c>
      <c r="Q24" s="250">
        <v>0</v>
      </c>
      <c r="R24" s="251">
        <v>0</v>
      </c>
      <c r="S24" s="252">
        <v>0</v>
      </c>
      <c r="T24" s="250">
        <v>0</v>
      </c>
      <c r="U24" s="253"/>
      <c r="V24" s="254">
        <v>250</v>
      </c>
      <c r="W24" s="255">
        <v>4</v>
      </c>
      <c r="X24" s="255">
        <v>240</v>
      </c>
      <c r="Y24" s="255">
        <v>115</v>
      </c>
      <c r="Z24" s="255">
        <v>22</v>
      </c>
      <c r="AA24" s="255">
        <v>0</v>
      </c>
      <c r="AB24" s="255"/>
      <c r="AC24" s="256">
        <v>631</v>
      </c>
      <c r="AD24" s="254">
        <v>0</v>
      </c>
      <c r="AE24" s="255">
        <v>0</v>
      </c>
      <c r="AF24" s="255">
        <v>0</v>
      </c>
      <c r="AG24" s="255">
        <v>0</v>
      </c>
      <c r="AH24" s="257">
        <v>0</v>
      </c>
      <c r="AI24" s="257">
        <v>0</v>
      </c>
      <c r="AJ24" s="254">
        <v>0</v>
      </c>
      <c r="AK24" s="255">
        <v>0</v>
      </c>
      <c r="AL24" s="257">
        <v>0</v>
      </c>
      <c r="AM24" s="254">
        <v>0</v>
      </c>
    </row>
    <row r="25" spans="1:41" s="9" customFormat="1" ht="15.75" customHeight="1">
      <c r="A25" s="239"/>
      <c r="B25" s="782" t="s">
        <v>131</v>
      </c>
      <c r="C25" s="581">
        <v>1.3153217205830075E-2</v>
      </c>
      <c r="D25" s="581">
        <v>0.12857142857142856</v>
      </c>
      <c r="E25" s="581">
        <v>6.2333036509349959E-3</v>
      </c>
      <c r="F25" s="581">
        <v>2.454642475987193E-2</v>
      </c>
      <c r="G25" s="581">
        <v>5.627705627705628E-2</v>
      </c>
      <c r="H25" s="581">
        <v>0.57333333333333336</v>
      </c>
      <c r="I25" s="581">
        <v>0</v>
      </c>
      <c r="J25" s="581">
        <v>2.9126213592233011E-2</v>
      </c>
      <c r="K25" s="581">
        <v>0</v>
      </c>
      <c r="L25" s="581">
        <v>1</v>
      </c>
      <c r="M25" s="581">
        <v>1</v>
      </c>
      <c r="N25" s="581">
        <v>1</v>
      </c>
      <c r="O25" s="581">
        <v>0</v>
      </c>
      <c r="P25" s="581">
        <v>1</v>
      </c>
      <c r="Q25" s="581">
        <v>1</v>
      </c>
      <c r="R25" s="581">
        <v>1</v>
      </c>
      <c r="S25" s="581">
        <v>0</v>
      </c>
      <c r="T25" s="581">
        <v>1</v>
      </c>
      <c r="U25" s="391"/>
      <c r="V25" s="254"/>
      <c r="W25" s="255"/>
      <c r="X25" s="255"/>
      <c r="Y25" s="255"/>
      <c r="Z25" s="255"/>
      <c r="AA25" s="255"/>
      <c r="AB25" s="255"/>
      <c r="AC25" s="256"/>
      <c r="AD25" s="393"/>
      <c r="AE25" s="394"/>
      <c r="AF25" s="394"/>
      <c r="AG25" s="394"/>
      <c r="AH25" s="395"/>
      <c r="AI25" s="428"/>
      <c r="AJ25" s="393"/>
      <c r="AK25" s="393"/>
      <c r="AL25" s="393"/>
      <c r="AM25" s="397"/>
      <c r="AN25" s="349"/>
      <c r="AO25" s="349"/>
    </row>
    <row r="26" spans="1:41" s="271" customFormat="1" ht="23.45" customHeight="1">
      <c r="A26" s="259"/>
      <c r="B26" s="260" t="s">
        <v>59</v>
      </c>
      <c r="C26" s="261">
        <v>1</v>
      </c>
      <c r="D26" s="262">
        <v>1</v>
      </c>
      <c r="E26" s="262">
        <v>1</v>
      </c>
      <c r="F26" s="262">
        <v>1</v>
      </c>
      <c r="G26" s="262">
        <v>1</v>
      </c>
      <c r="H26" s="263">
        <v>1</v>
      </c>
      <c r="I26" s="262"/>
      <c r="J26" s="531">
        <v>1</v>
      </c>
      <c r="K26" s="261">
        <v>0</v>
      </c>
      <c r="L26" s="262">
        <v>1</v>
      </c>
      <c r="M26" s="262">
        <v>1</v>
      </c>
      <c r="N26" s="262">
        <v>1</v>
      </c>
      <c r="O26" s="263">
        <v>0</v>
      </c>
      <c r="P26" s="261">
        <v>1</v>
      </c>
      <c r="Q26" s="261">
        <v>1</v>
      </c>
      <c r="R26" s="262">
        <v>1</v>
      </c>
      <c r="S26" s="263">
        <v>0</v>
      </c>
      <c r="T26" s="261">
        <v>1</v>
      </c>
      <c r="U26" s="264"/>
      <c r="V26" s="265">
        <v>2813</v>
      </c>
      <c r="W26" s="266">
        <v>280</v>
      </c>
      <c r="X26" s="266">
        <v>1123</v>
      </c>
      <c r="Y26" s="266">
        <v>937</v>
      </c>
      <c r="Z26" s="266">
        <v>231</v>
      </c>
      <c r="AA26" s="266">
        <v>75</v>
      </c>
      <c r="AB26" s="266"/>
      <c r="AC26" s="267">
        <v>5459</v>
      </c>
      <c r="AD26" s="265">
        <v>0</v>
      </c>
      <c r="AE26" s="266">
        <v>254</v>
      </c>
      <c r="AF26" s="266">
        <v>1001</v>
      </c>
      <c r="AG26" s="266">
        <v>382</v>
      </c>
      <c r="AH26" s="268">
        <v>0</v>
      </c>
      <c r="AI26" s="268">
        <v>1637</v>
      </c>
      <c r="AJ26" s="265">
        <v>64</v>
      </c>
      <c r="AK26" s="266">
        <v>91</v>
      </c>
      <c r="AL26" s="268">
        <v>0</v>
      </c>
      <c r="AM26" s="265">
        <v>155</v>
      </c>
      <c r="AN26" s="270"/>
      <c r="AO26" s="270"/>
    </row>
    <row r="27" spans="1:41" ht="13.5" customHeight="1">
      <c r="A27" s="239" t="s">
        <v>5</v>
      </c>
      <c r="B27" s="239" t="s">
        <v>53</v>
      </c>
      <c r="C27" s="241">
        <v>0.4</v>
      </c>
      <c r="D27" s="242">
        <v>0</v>
      </c>
      <c r="E27" s="242">
        <v>0.22183588317107092</v>
      </c>
      <c r="F27" s="242">
        <v>0.26150121065375304</v>
      </c>
      <c r="G27" s="242">
        <v>0.18275862068965518</v>
      </c>
      <c r="H27" s="243">
        <v>0.23780487804878048</v>
      </c>
      <c r="I27" s="242"/>
      <c r="J27" s="529">
        <v>0.27445482866043613</v>
      </c>
      <c r="K27" s="241">
        <v>5.3763440860215055E-2</v>
      </c>
      <c r="L27" s="242">
        <v>0</v>
      </c>
      <c r="M27" s="242">
        <v>0</v>
      </c>
      <c r="N27" s="242">
        <v>0</v>
      </c>
      <c r="O27" s="243">
        <v>0</v>
      </c>
      <c r="P27" s="241">
        <v>7.1479628305932807E-3</v>
      </c>
      <c r="Q27" s="241">
        <v>0</v>
      </c>
      <c r="R27" s="242">
        <v>0</v>
      </c>
      <c r="S27" s="243">
        <v>0</v>
      </c>
      <c r="T27" s="241">
        <v>0</v>
      </c>
      <c r="U27" s="253"/>
      <c r="V27" s="245">
        <v>362</v>
      </c>
      <c r="W27" s="246">
        <v>0</v>
      </c>
      <c r="X27" s="246">
        <v>319</v>
      </c>
      <c r="Y27" s="246">
        <v>108</v>
      </c>
      <c r="Z27" s="246">
        <v>53</v>
      </c>
      <c r="AA27" s="246">
        <v>39</v>
      </c>
      <c r="AB27" s="246"/>
      <c r="AC27" s="247">
        <v>881</v>
      </c>
      <c r="AD27" s="245">
        <v>10</v>
      </c>
      <c r="AE27" s="246">
        <v>0</v>
      </c>
      <c r="AF27" s="246">
        <v>0</v>
      </c>
      <c r="AG27" s="246">
        <v>0</v>
      </c>
      <c r="AH27" s="246">
        <v>0</v>
      </c>
      <c r="AI27" s="247">
        <v>10</v>
      </c>
      <c r="AJ27" s="246">
        <v>0</v>
      </c>
      <c r="AK27" s="246">
        <v>0</v>
      </c>
      <c r="AL27" s="246">
        <v>0</v>
      </c>
      <c r="AM27" s="245">
        <v>0</v>
      </c>
    </row>
    <row r="28" spans="1:41" ht="13.5" customHeight="1">
      <c r="A28" s="249"/>
      <c r="B28" s="239" t="s">
        <v>93</v>
      </c>
      <c r="C28" s="250">
        <v>0.2718232044198895</v>
      </c>
      <c r="D28" s="251">
        <v>0</v>
      </c>
      <c r="E28" s="251">
        <v>0.22531293463143254</v>
      </c>
      <c r="F28" s="251">
        <v>0.24455205811138014</v>
      </c>
      <c r="G28" s="251">
        <v>0.18965517241379309</v>
      </c>
      <c r="H28" s="252">
        <v>0.14634146341463414</v>
      </c>
      <c r="I28" s="251"/>
      <c r="J28" s="530">
        <v>0.23364485981308411</v>
      </c>
      <c r="K28" s="250">
        <v>0.17741935483870969</v>
      </c>
      <c r="L28" s="251">
        <v>0</v>
      </c>
      <c r="M28" s="251">
        <v>0</v>
      </c>
      <c r="N28" s="251">
        <v>0</v>
      </c>
      <c r="O28" s="252">
        <v>0</v>
      </c>
      <c r="P28" s="250">
        <v>2.3588277340957826E-2</v>
      </c>
      <c r="Q28" s="250">
        <v>0</v>
      </c>
      <c r="R28" s="251">
        <v>0</v>
      </c>
      <c r="S28" s="252">
        <v>0</v>
      </c>
      <c r="T28" s="250">
        <v>0</v>
      </c>
      <c r="U28" s="253"/>
      <c r="V28" s="254">
        <v>246</v>
      </c>
      <c r="W28" s="255">
        <v>0</v>
      </c>
      <c r="X28" s="255">
        <v>324</v>
      </c>
      <c r="Y28" s="255">
        <v>101</v>
      </c>
      <c r="Z28" s="255">
        <v>55</v>
      </c>
      <c r="AA28" s="255">
        <v>24</v>
      </c>
      <c r="AB28" s="255"/>
      <c r="AC28" s="256">
        <v>750</v>
      </c>
      <c r="AD28" s="254">
        <v>33</v>
      </c>
      <c r="AE28" s="255">
        <v>0</v>
      </c>
      <c r="AF28" s="255">
        <v>0</v>
      </c>
      <c r="AG28" s="255">
        <v>0</v>
      </c>
      <c r="AH28" s="255">
        <v>0</v>
      </c>
      <c r="AI28" s="256">
        <v>33</v>
      </c>
      <c r="AJ28" s="255">
        <v>0</v>
      </c>
      <c r="AK28" s="255">
        <v>0</v>
      </c>
      <c r="AL28" s="255">
        <v>0</v>
      </c>
      <c r="AM28" s="254">
        <v>0</v>
      </c>
    </row>
    <row r="29" spans="1:41" ht="13.9" customHeight="1">
      <c r="A29" s="249"/>
      <c r="B29" s="239" t="s">
        <v>55</v>
      </c>
      <c r="C29" s="250">
        <v>0.22099447513812154</v>
      </c>
      <c r="D29" s="251">
        <v>0</v>
      </c>
      <c r="E29" s="251">
        <v>0.31015299026425591</v>
      </c>
      <c r="F29" s="251">
        <v>0.30992736077481842</v>
      </c>
      <c r="G29" s="251">
        <v>0.31034482758620691</v>
      </c>
      <c r="H29" s="252">
        <v>0.34146341463414637</v>
      </c>
      <c r="I29" s="251"/>
      <c r="J29" s="530">
        <v>0.28660436137071649</v>
      </c>
      <c r="K29" s="250">
        <v>0.41397849462365593</v>
      </c>
      <c r="L29" s="251">
        <v>0</v>
      </c>
      <c r="M29" s="251">
        <v>0</v>
      </c>
      <c r="N29" s="251">
        <v>0</v>
      </c>
      <c r="O29" s="252">
        <v>0</v>
      </c>
      <c r="P29" s="250">
        <v>5.5039313795568263E-2</v>
      </c>
      <c r="Q29" s="250">
        <v>0</v>
      </c>
      <c r="R29" s="251">
        <v>0</v>
      </c>
      <c r="S29" s="252">
        <v>0</v>
      </c>
      <c r="T29" s="250">
        <v>0</v>
      </c>
      <c r="U29" s="253"/>
      <c r="V29" s="254">
        <v>200</v>
      </c>
      <c r="W29" s="255">
        <v>0</v>
      </c>
      <c r="X29" s="255">
        <v>446</v>
      </c>
      <c r="Y29" s="255">
        <v>128</v>
      </c>
      <c r="Z29" s="255">
        <v>90</v>
      </c>
      <c r="AA29" s="255">
        <v>56</v>
      </c>
      <c r="AB29" s="255"/>
      <c r="AC29" s="256">
        <v>920</v>
      </c>
      <c r="AD29" s="254">
        <v>77</v>
      </c>
      <c r="AE29" s="255">
        <v>0</v>
      </c>
      <c r="AF29" s="255">
        <v>0</v>
      </c>
      <c r="AG29" s="255">
        <v>0</v>
      </c>
      <c r="AH29" s="255">
        <v>0</v>
      </c>
      <c r="AI29" s="256">
        <v>77</v>
      </c>
      <c r="AJ29" s="255">
        <v>0</v>
      </c>
      <c r="AK29" s="255">
        <v>0</v>
      </c>
      <c r="AL29" s="255">
        <v>0</v>
      </c>
      <c r="AM29" s="254">
        <v>0</v>
      </c>
    </row>
    <row r="30" spans="1:41" ht="13.9" customHeight="1">
      <c r="A30" s="249"/>
      <c r="B30" s="239" t="s">
        <v>78</v>
      </c>
      <c r="C30" s="250">
        <v>8.9502762430939228E-2</v>
      </c>
      <c r="D30" s="251">
        <v>0</v>
      </c>
      <c r="E30" s="251">
        <v>0.20305980528511822</v>
      </c>
      <c r="F30" s="251">
        <v>0.13801452784503632</v>
      </c>
      <c r="G30" s="251">
        <v>0.23448275862068965</v>
      </c>
      <c r="H30" s="252">
        <v>0.27439024390243905</v>
      </c>
      <c r="I30" s="251"/>
      <c r="J30" s="530">
        <v>0.1691588785046729</v>
      </c>
      <c r="K30" s="250">
        <v>0.24731182795698925</v>
      </c>
      <c r="L30" s="251">
        <v>0</v>
      </c>
      <c r="M30" s="251">
        <v>0</v>
      </c>
      <c r="N30" s="251">
        <v>0</v>
      </c>
      <c r="O30" s="252">
        <v>0</v>
      </c>
      <c r="P30" s="250">
        <v>3.2880629020729094E-2</v>
      </c>
      <c r="Q30" s="250">
        <v>0</v>
      </c>
      <c r="R30" s="251">
        <v>0</v>
      </c>
      <c r="S30" s="252">
        <v>0</v>
      </c>
      <c r="T30" s="250">
        <v>0</v>
      </c>
      <c r="U30" s="253"/>
      <c r="V30" s="254">
        <v>81</v>
      </c>
      <c r="W30" s="255">
        <v>0</v>
      </c>
      <c r="X30" s="255">
        <v>292</v>
      </c>
      <c r="Y30" s="255">
        <v>57</v>
      </c>
      <c r="Z30" s="255">
        <v>68</v>
      </c>
      <c r="AA30" s="255">
        <v>45</v>
      </c>
      <c r="AB30" s="255"/>
      <c r="AC30" s="256">
        <v>543</v>
      </c>
      <c r="AD30" s="254">
        <v>46</v>
      </c>
      <c r="AE30" s="255">
        <v>0</v>
      </c>
      <c r="AF30" s="255">
        <v>0</v>
      </c>
      <c r="AG30" s="255">
        <v>0</v>
      </c>
      <c r="AH30" s="255">
        <v>0</v>
      </c>
      <c r="AI30" s="256">
        <v>46</v>
      </c>
      <c r="AJ30" s="255">
        <v>0</v>
      </c>
      <c r="AK30" s="255">
        <v>0</v>
      </c>
      <c r="AL30" s="255">
        <v>0</v>
      </c>
      <c r="AM30" s="254">
        <v>0</v>
      </c>
    </row>
    <row r="31" spans="1:41" s="9" customFormat="1" ht="15.75" customHeight="1">
      <c r="A31" s="239"/>
      <c r="B31" s="782" t="s">
        <v>131</v>
      </c>
      <c r="C31" s="581">
        <v>1.7679558011049725E-2</v>
      </c>
      <c r="D31" s="581">
        <v>0</v>
      </c>
      <c r="E31" s="581">
        <v>3.9638386648122394E-2</v>
      </c>
      <c r="F31" s="581">
        <v>4.6004842615012108E-2</v>
      </c>
      <c r="G31" s="581">
        <v>8.2758620689655171E-2</v>
      </c>
      <c r="H31" s="581">
        <v>0</v>
      </c>
      <c r="I31" s="581">
        <v>0</v>
      </c>
      <c r="J31" s="581">
        <v>3.6137071651090341E-2</v>
      </c>
      <c r="K31" s="581">
        <v>0.10752688172043011</v>
      </c>
      <c r="L31" s="581">
        <v>0</v>
      </c>
      <c r="M31" s="581">
        <v>1</v>
      </c>
      <c r="N31" s="581">
        <v>1</v>
      </c>
      <c r="O31" s="581">
        <v>0</v>
      </c>
      <c r="P31" s="581">
        <v>0.88134381701215148</v>
      </c>
      <c r="Q31" s="581">
        <v>0</v>
      </c>
      <c r="R31" s="581">
        <v>0</v>
      </c>
      <c r="S31" s="581">
        <v>0</v>
      </c>
      <c r="T31" s="581">
        <v>0</v>
      </c>
      <c r="U31" s="391"/>
      <c r="V31" s="254"/>
      <c r="W31" s="255"/>
      <c r="X31" s="255"/>
      <c r="Y31" s="255"/>
      <c r="Z31" s="255"/>
      <c r="AA31" s="255"/>
      <c r="AB31" s="255"/>
      <c r="AC31" s="256"/>
      <c r="AD31" s="393"/>
      <c r="AE31" s="394"/>
      <c r="AF31" s="394"/>
      <c r="AG31" s="394"/>
      <c r="AH31" s="395"/>
      <c r="AI31" s="428"/>
      <c r="AJ31" s="393"/>
      <c r="AK31" s="393"/>
      <c r="AL31" s="393"/>
      <c r="AM31" s="397"/>
      <c r="AN31" s="349"/>
      <c r="AO31" s="349"/>
    </row>
    <row r="32" spans="1:41" s="271" customFormat="1" ht="14.25" customHeight="1">
      <c r="A32" s="259"/>
      <c r="B32" s="260" t="s">
        <v>59</v>
      </c>
      <c r="C32" s="261">
        <v>1</v>
      </c>
      <c r="D32" s="262">
        <v>0</v>
      </c>
      <c r="E32" s="262">
        <v>1</v>
      </c>
      <c r="F32" s="262">
        <v>1</v>
      </c>
      <c r="G32" s="262">
        <v>1</v>
      </c>
      <c r="H32" s="263">
        <v>1</v>
      </c>
      <c r="I32" s="262"/>
      <c r="J32" s="531">
        <v>1</v>
      </c>
      <c r="K32" s="261">
        <v>1</v>
      </c>
      <c r="L32" s="262">
        <v>0</v>
      </c>
      <c r="M32" s="262">
        <v>1</v>
      </c>
      <c r="N32" s="262">
        <v>1</v>
      </c>
      <c r="O32" s="263">
        <v>0</v>
      </c>
      <c r="P32" s="261">
        <v>1</v>
      </c>
      <c r="Q32" s="261">
        <v>0</v>
      </c>
      <c r="R32" s="262">
        <v>0</v>
      </c>
      <c r="S32" s="263">
        <v>0</v>
      </c>
      <c r="T32" s="261">
        <v>0</v>
      </c>
      <c r="U32" s="264"/>
      <c r="V32" s="265">
        <v>905</v>
      </c>
      <c r="W32" s="266">
        <v>0</v>
      </c>
      <c r="X32" s="266">
        <v>1438</v>
      </c>
      <c r="Y32" s="266">
        <v>413</v>
      </c>
      <c r="Z32" s="266">
        <v>290</v>
      </c>
      <c r="AA32" s="266">
        <v>164</v>
      </c>
      <c r="AB32" s="266"/>
      <c r="AC32" s="267">
        <v>3210</v>
      </c>
      <c r="AD32" s="265">
        <v>186</v>
      </c>
      <c r="AE32" s="266">
        <v>0</v>
      </c>
      <c r="AF32" s="266">
        <v>332</v>
      </c>
      <c r="AG32" s="266">
        <v>881</v>
      </c>
      <c r="AH32" s="268">
        <v>0</v>
      </c>
      <c r="AI32" s="268">
        <v>1399</v>
      </c>
      <c r="AJ32" s="265">
        <v>0</v>
      </c>
      <c r="AK32" s="266">
        <v>0</v>
      </c>
      <c r="AL32" s="268">
        <v>0</v>
      </c>
      <c r="AM32" s="265">
        <v>0</v>
      </c>
      <c r="AN32" s="270"/>
      <c r="AO32" s="270"/>
    </row>
    <row r="33" spans="1:44" s="271" customFormat="1" ht="13.5" customHeight="1">
      <c r="A33" s="239" t="s">
        <v>82</v>
      </c>
      <c r="B33" s="239" t="s">
        <v>53</v>
      </c>
      <c r="C33" s="241">
        <v>0.3305478180129991</v>
      </c>
      <c r="D33" s="242">
        <v>0</v>
      </c>
      <c r="E33" s="242">
        <v>0</v>
      </c>
      <c r="F33" s="242">
        <v>0.20338983050847459</v>
      </c>
      <c r="G33" s="242">
        <v>0</v>
      </c>
      <c r="H33" s="243">
        <v>0</v>
      </c>
      <c r="I33" s="242"/>
      <c r="J33" s="529">
        <v>0.31259968102073366</v>
      </c>
      <c r="K33" s="241">
        <v>0</v>
      </c>
      <c r="L33" s="242">
        <v>0</v>
      </c>
      <c r="M33" s="242">
        <v>0</v>
      </c>
      <c r="N33" s="242">
        <v>0</v>
      </c>
      <c r="O33" s="243">
        <v>0</v>
      </c>
      <c r="P33" s="241">
        <v>0</v>
      </c>
      <c r="Q33" s="241">
        <v>0</v>
      </c>
      <c r="R33" s="242">
        <v>0</v>
      </c>
      <c r="S33" s="243">
        <v>0</v>
      </c>
      <c r="T33" s="241">
        <v>0</v>
      </c>
      <c r="U33" s="253"/>
      <c r="V33" s="254">
        <v>356</v>
      </c>
      <c r="W33" s="255">
        <v>0</v>
      </c>
      <c r="X33" s="255">
        <v>0</v>
      </c>
      <c r="Y33" s="255">
        <v>36</v>
      </c>
      <c r="Z33" s="255">
        <v>0</v>
      </c>
      <c r="AA33" s="255">
        <v>0</v>
      </c>
      <c r="AB33" s="255"/>
      <c r="AC33" s="256">
        <v>392</v>
      </c>
      <c r="AD33" s="254">
        <v>0</v>
      </c>
      <c r="AE33" s="255">
        <v>0</v>
      </c>
      <c r="AF33" s="255">
        <v>0</v>
      </c>
      <c r="AG33" s="255">
        <v>0</v>
      </c>
      <c r="AH33" s="255">
        <v>0</v>
      </c>
      <c r="AI33" s="256">
        <v>0</v>
      </c>
      <c r="AJ33" s="255">
        <v>0</v>
      </c>
      <c r="AK33" s="255">
        <v>0</v>
      </c>
      <c r="AL33" s="255">
        <v>0</v>
      </c>
      <c r="AM33" s="254">
        <v>0</v>
      </c>
      <c r="AN33" s="209"/>
      <c r="AO33" s="209"/>
      <c r="AP33" s="80"/>
      <c r="AQ33" s="80"/>
      <c r="AR33" s="80"/>
    </row>
    <row r="34" spans="1:44" s="271" customFormat="1" ht="13.5" customHeight="1">
      <c r="A34" s="249"/>
      <c r="B34" s="239" t="s">
        <v>93</v>
      </c>
      <c r="C34" s="250">
        <v>0.29247910863509752</v>
      </c>
      <c r="D34" s="251">
        <v>0</v>
      </c>
      <c r="E34" s="251">
        <v>0</v>
      </c>
      <c r="F34" s="251">
        <v>0.3559322033898305</v>
      </c>
      <c r="G34" s="251">
        <v>0</v>
      </c>
      <c r="H34" s="252">
        <v>0</v>
      </c>
      <c r="I34" s="251"/>
      <c r="J34" s="530">
        <v>0.30143540669856461</v>
      </c>
      <c r="K34" s="250">
        <v>0</v>
      </c>
      <c r="L34" s="251">
        <v>0</v>
      </c>
      <c r="M34" s="251">
        <v>0</v>
      </c>
      <c r="N34" s="251">
        <v>0</v>
      </c>
      <c r="O34" s="252">
        <v>0</v>
      </c>
      <c r="P34" s="250">
        <v>0</v>
      </c>
      <c r="Q34" s="250">
        <v>0</v>
      </c>
      <c r="R34" s="251">
        <v>0</v>
      </c>
      <c r="S34" s="252">
        <v>0</v>
      </c>
      <c r="T34" s="250">
        <v>0</v>
      </c>
      <c r="U34" s="253"/>
      <c r="V34" s="254">
        <v>315</v>
      </c>
      <c r="W34" s="255">
        <v>0</v>
      </c>
      <c r="X34" s="255">
        <v>0</v>
      </c>
      <c r="Y34" s="255">
        <v>63</v>
      </c>
      <c r="Z34" s="255">
        <v>0</v>
      </c>
      <c r="AA34" s="255">
        <v>0</v>
      </c>
      <c r="AB34" s="255"/>
      <c r="AC34" s="256">
        <v>378</v>
      </c>
      <c r="AD34" s="254">
        <v>0</v>
      </c>
      <c r="AE34" s="255">
        <v>0</v>
      </c>
      <c r="AF34" s="255">
        <v>0</v>
      </c>
      <c r="AG34" s="255">
        <v>0</v>
      </c>
      <c r="AH34" s="255">
        <v>0</v>
      </c>
      <c r="AI34" s="256">
        <v>0</v>
      </c>
      <c r="AJ34" s="255">
        <v>0</v>
      </c>
      <c r="AK34" s="255">
        <v>0</v>
      </c>
      <c r="AL34" s="255">
        <v>0</v>
      </c>
      <c r="AM34" s="254">
        <v>0</v>
      </c>
      <c r="AN34" s="209"/>
      <c r="AO34" s="209"/>
      <c r="AP34" s="80"/>
      <c r="AQ34" s="80"/>
      <c r="AR34" s="80"/>
    </row>
    <row r="35" spans="1:44" s="271" customFormat="1" ht="13.5" customHeight="1">
      <c r="A35" s="249"/>
      <c r="B35" s="239" t="s">
        <v>55</v>
      </c>
      <c r="C35" s="250">
        <v>0.26648096564531104</v>
      </c>
      <c r="D35" s="251">
        <v>0</v>
      </c>
      <c r="E35" s="251">
        <v>0</v>
      </c>
      <c r="F35" s="251">
        <v>0.2768361581920904</v>
      </c>
      <c r="G35" s="251">
        <v>0</v>
      </c>
      <c r="H35" s="252">
        <v>0</v>
      </c>
      <c r="I35" s="251"/>
      <c r="J35" s="530">
        <v>0.26794258373205743</v>
      </c>
      <c r="K35" s="250">
        <v>0</v>
      </c>
      <c r="L35" s="251">
        <v>0</v>
      </c>
      <c r="M35" s="251">
        <v>0</v>
      </c>
      <c r="N35" s="251">
        <v>0</v>
      </c>
      <c r="O35" s="252">
        <v>0</v>
      </c>
      <c r="P35" s="250">
        <v>0</v>
      </c>
      <c r="Q35" s="250">
        <v>0</v>
      </c>
      <c r="R35" s="251">
        <v>0</v>
      </c>
      <c r="S35" s="252">
        <v>0</v>
      </c>
      <c r="T35" s="250">
        <v>0</v>
      </c>
      <c r="U35" s="253"/>
      <c r="V35" s="254">
        <v>287</v>
      </c>
      <c r="W35" s="255">
        <v>0</v>
      </c>
      <c r="X35" s="255">
        <v>0</v>
      </c>
      <c r="Y35" s="255">
        <v>49</v>
      </c>
      <c r="Z35" s="255">
        <v>0</v>
      </c>
      <c r="AA35" s="255">
        <v>0</v>
      </c>
      <c r="AB35" s="255"/>
      <c r="AC35" s="256">
        <v>336</v>
      </c>
      <c r="AD35" s="254">
        <v>0</v>
      </c>
      <c r="AE35" s="255">
        <v>0</v>
      </c>
      <c r="AF35" s="255">
        <v>0</v>
      </c>
      <c r="AG35" s="255">
        <v>0</v>
      </c>
      <c r="AH35" s="255">
        <v>0</v>
      </c>
      <c r="AI35" s="256">
        <v>0</v>
      </c>
      <c r="AJ35" s="255">
        <v>0</v>
      </c>
      <c r="AK35" s="255">
        <v>0</v>
      </c>
      <c r="AL35" s="255">
        <v>0</v>
      </c>
      <c r="AM35" s="254">
        <v>0</v>
      </c>
      <c r="AN35" s="209"/>
      <c r="AO35" s="209"/>
      <c r="AP35" s="80"/>
      <c r="AQ35" s="80"/>
      <c r="AR35" s="80"/>
    </row>
    <row r="36" spans="1:44" s="271" customFormat="1" ht="13.5" customHeight="1">
      <c r="A36" s="249"/>
      <c r="B36" s="239" t="s">
        <v>78</v>
      </c>
      <c r="C36" s="250">
        <v>0.10956360259981431</v>
      </c>
      <c r="D36" s="251">
        <v>0</v>
      </c>
      <c r="E36" s="251">
        <v>0</v>
      </c>
      <c r="F36" s="251">
        <v>5.0847457627118647E-2</v>
      </c>
      <c r="G36" s="251">
        <v>0</v>
      </c>
      <c r="H36" s="252">
        <v>0</v>
      </c>
      <c r="I36" s="251"/>
      <c r="J36" s="530">
        <v>0.10127591706539076</v>
      </c>
      <c r="K36" s="250">
        <v>0</v>
      </c>
      <c r="L36" s="251">
        <v>0</v>
      </c>
      <c r="M36" s="251">
        <v>0</v>
      </c>
      <c r="N36" s="251">
        <v>0</v>
      </c>
      <c r="O36" s="252">
        <v>0</v>
      </c>
      <c r="P36" s="250">
        <v>0</v>
      </c>
      <c r="Q36" s="250">
        <v>0</v>
      </c>
      <c r="R36" s="251">
        <v>0</v>
      </c>
      <c r="S36" s="252">
        <v>0</v>
      </c>
      <c r="T36" s="250">
        <v>0</v>
      </c>
      <c r="U36" s="253"/>
      <c r="V36" s="254">
        <v>118</v>
      </c>
      <c r="W36" s="255">
        <v>0</v>
      </c>
      <c r="X36" s="255">
        <v>0</v>
      </c>
      <c r="Y36" s="255">
        <v>9</v>
      </c>
      <c r="Z36" s="255">
        <v>0</v>
      </c>
      <c r="AA36" s="255">
        <v>0</v>
      </c>
      <c r="AB36" s="255"/>
      <c r="AC36" s="256">
        <v>127</v>
      </c>
      <c r="AD36" s="254">
        <v>0</v>
      </c>
      <c r="AE36" s="255">
        <v>0</v>
      </c>
      <c r="AF36" s="255">
        <v>0</v>
      </c>
      <c r="AG36" s="255">
        <v>0</v>
      </c>
      <c r="AH36" s="255">
        <v>0</v>
      </c>
      <c r="AI36" s="256">
        <v>0</v>
      </c>
      <c r="AJ36" s="255">
        <v>0</v>
      </c>
      <c r="AK36" s="255">
        <v>0</v>
      </c>
      <c r="AL36" s="255">
        <v>0</v>
      </c>
      <c r="AM36" s="254">
        <v>0</v>
      </c>
      <c r="AN36" s="209"/>
      <c r="AO36" s="209"/>
      <c r="AP36" s="80"/>
      <c r="AQ36" s="80"/>
      <c r="AR36" s="80"/>
    </row>
    <row r="37" spans="1:44" s="9" customFormat="1" ht="15.75" customHeight="1">
      <c r="A37" s="239"/>
      <c r="B37" s="782" t="s">
        <v>131</v>
      </c>
      <c r="C37" s="581">
        <v>9.2850510677808728E-4</v>
      </c>
      <c r="D37" s="581">
        <v>0</v>
      </c>
      <c r="E37" s="581">
        <v>0</v>
      </c>
      <c r="F37" s="581">
        <v>0.11299435028248588</v>
      </c>
      <c r="G37" s="581">
        <v>0</v>
      </c>
      <c r="H37" s="581">
        <v>0</v>
      </c>
      <c r="I37" s="581">
        <v>0</v>
      </c>
      <c r="J37" s="581">
        <v>1.6746411483253589E-2</v>
      </c>
      <c r="K37" s="581">
        <v>0</v>
      </c>
      <c r="L37" s="581">
        <v>0</v>
      </c>
      <c r="M37" s="581">
        <v>1</v>
      </c>
      <c r="N37" s="581">
        <v>1</v>
      </c>
      <c r="O37" s="581">
        <v>0</v>
      </c>
      <c r="P37" s="581">
        <v>1</v>
      </c>
      <c r="Q37" s="581">
        <v>0</v>
      </c>
      <c r="R37" s="581">
        <v>0</v>
      </c>
      <c r="S37" s="581">
        <v>0</v>
      </c>
      <c r="T37" s="581">
        <v>0</v>
      </c>
      <c r="U37" s="391"/>
      <c r="V37" s="254"/>
      <c r="W37" s="255"/>
      <c r="X37" s="255"/>
      <c r="Y37" s="255"/>
      <c r="Z37" s="255"/>
      <c r="AA37" s="255"/>
      <c r="AB37" s="255"/>
      <c r="AC37" s="256"/>
      <c r="AD37" s="393"/>
      <c r="AE37" s="394"/>
      <c r="AF37" s="394"/>
      <c r="AG37" s="394"/>
      <c r="AH37" s="395"/>
      <c r="AI37" s="428"/>
      <c r="AJ37" s="393"/>
      <c r="AK37" s="393"/>
      <c r="AL37" s="393"/>
      <c r="AM37" s="397"/>
      <c r="AN37" s="349"/>
      <c r="AO37" s="349"/>
    </row>
    <row r="38" spans="1:44" s="271" customFormat="1" ht="23.45" customHeight="1">
      <c r="A38" s="259"/>
      <c r="B38" s="260" t="s">
        <v>59</v>
      </c>
      <c r="C38" s="261">
        <v>1</v>
      </c>
      <c r="D38" s="262">
        <v>0</v>
      </c>
      <c r="E38" s="262">
        <v>0</v>
      </c>
      <c r="F38" s="262">
        <v>1</v>
      </c>
      <c r="G38" s="262">
        <v>0</v>
      </c>
      <c r="H38" s="263">
        <v>0</v>
      </c>
      <c r="I38" s="262"/>
      <c r="J38" s="531">
        <v>1</v>
      </c>
      <c r="K38" s="261">
        <v>0</v>
      </c>
      <c r="L38" s="262">
        <v>0</v>
      </c>
      <c r="M38" s="262">
        <v>1</v>
      </c>
      <c r="N38" s="262">
        <v>1</v>
      </c>
      <c r="O38" s="263">
        <v>0</v>
      </c>
      <c r="P38" s="261">
        <v>1</v>
      </c>
      <c r="Q38" s="261">
        <v>0</v>
      </c>
      <c r="R38" s="262">
        <v>0</v>
      </c>
      <c r="S38" s="263">
        <v>0</v>
      </c>
      <c r="T38" s="261">
        <v>0</v>
      </c>
      <c r="U38" s="264"/>
      <c r="V38" s="265">
        <v>1077</v>
      </c>
      <c r="W38" s="266">
        <v>0</v>
      </c>
      <c r="X38" s="266">
        <v>0</v>
      </c>
      <c r="Y38" s="266">
        <v>177</v>
      </c>
      <c r="Z38" s="266">
        <v>0</v>
      </c>
      <c r="AA38" s="266">
        <v>0</v>
      </c>
      <c r="AB38" s="266"/>
      <c r="AC38" s="267">
        <v>1254</v>
      </c>
      <c r="AD38" s="265">
        <v>0</v>
      </c>
      <c r="AE38" s="266">
        <v>0</v>
      </c>
      <c r="AF38" s="266">
        <v>265</v>
      </c>
      <c r="AG38" s="266">
        <v>64</v>
      </c>
      <c r="AH38" s="268">
        <v>0</v>
      </c>
      <c r="AI38" s="268">
        <v>329</v>
      </c>
      <c r="AJ38" s="265">
        <v>0</v>
      </c>
      <c r="AK38" s="266">
        <v>0</v>
      </c>
      <c r="AL38" s="268">
        <v>0</v>
      </c>
      <c r="AM38" s="265">
        <v>0</v>
      </c>
      <c r="AN38" s="270"/>
      <c r="AO38" s="270"/>
    </row>
    <row r="39" spans="1:44" ht="13.5" customHeight="1">
      <c r="A39" s="239" t="s">
        <v>6</v>
      </c>
      <c r="B39" s="239" t="s">
        <v>53</v>
      </c>
      <c r="C39" s="241">
        <v>0.34423490093100978</v>
      </c>
      <c r="D39" s="242">
        <v>0.23852520692249812</v>
      </c>
      <c r="E39" s="242">
        <v>0.22842639593908629</v>
      </c>
      <c r="F39" s="242">
        <v>0</v>
      </c>
      <c r="G39" s="242">
        <v>0.17391304347826086</v>
      </c>
      <c r="H39" s="243">
        <v>0.27692307692307694</v>
      </c>
      <c r="I39" s="242"/>
      <c r="J39" s="529">
        <v>0.28710205992509363</v>
      </c>
      <c r="K39" s="241">
        <v>0</v>
      </c>
      <c r="L39" s="242">
        <v>0</v>
      </c>
      <c r="M39" s="242">
        <v>0</v>
      </c>
      <c r="N39" s="242">
        <v>0</v>
      </c>
      <c r="O39" s="243">
        <v>0</v>
      </c>
      <c r="P39" s="241">
        <v>0</v>
      </c>
      <c r="Q39" s="241">
        <v>0</v>
      </c>
      <c r="R39" s="242">
        <v>0</v>
      </c>
      <c r="S39" s="243">
        <v>0</v>
      </c>
      <c r="T39" s="241">
        <v>0</v>
      </c>
      <c r="U39" s="253"/>
      <c r="V39" s="245">
        <v>1442</v>
      </c>
      <c r="W39" s="246">
        <v>634</v>
      </c>
      <c r="X39" s="246">
        <v>315</v>
      </c>
      <c r="Y39" s="246">
        <v>0</v>
      </c>
      <c r="Z39" s="246">
        <v>44</v>
      </c>
      <c r="AA39" s="246">
        <v>18</v>
      </c>
      <c r="AB39" s="246"/>
      <c r="AC39" s="247">
        <v>2453</v>
      </c>
      <c r="AD39" s="245">
        <v>0</v>
      </c>
      <c r="AE39" s="246">
        <v>0</v>
      </c>
      <c r="AF39" s="246">
        <v>0</v>
      </c>
      <c r="AG39" s="246">
        <v>0</v>
      </c>
      <c r="AH39" s="246">
        <v>0</v>
      </c>
      <c r="AI39" s="247">
        <v>0</v>
      </c>
      <c r="AJ39" s="246">
        <v>0</v>
      </c>
      <c r="AK39" s="246">
        <v>0</v>
      </c>
      <c r="AL39" s="246">
        <v>0</v>
      </c>
      <c r="AM39" s="245">
        <v>0</v>
      </c>
    </row>
    <row r="40" spans="1:44" ht="13.5" customHeight="1">
      <c r="A40" s="249"/>
      <c r="B40" s="239" t="s">
        <v>93</v>
      </c>
      <c r="C40" s="250">
        <v>0.27954165671998088</v>
      </c>
      <c r="D40" s="251">
        <v>0.30210684725357412</v>
      </c>
      <c r="E40" s="251">
        <v>0.29441624365482233</v>
      </c>
      <c r="F40" s="251">
        <v>0</v>
      </c>
      <c r="G40" s="251">
        <v>0.27272727272727271</v>
      </c>
      <c r="H40" s="252">
        <v>0.35384615384615387</v>
      </c>
      <c r="I40" s="251"/>
      <c r="J40" s="530">
        <v>0.2893258426966292</v>
      </c>
      <c r="K40" s="250">
        <v>0</v>
      </c>
      <c r="L40" s="251">
        <v>0</v>
      </c>
      <c r="M40" s="251">
        <v>0</v>
      </c>
      <c r="N40" s="251">
        <v>0</v>
      </c>
      <c r="O40" s="252">
        <v>0</v>
      </c>
      <c r="P40" s="250">
        <v>0</v>
      </c>
      <c r="Q40" s="250">
        <v>0</v>
      </c>
      <c r="R40" s="251">
        <v>0</v>
      </c>
      <c r="S40" s="252">
        <v>0</v>
      </c>
      <c r="T40" s="250">
        <v>0</v>
      </c>
      <c r="U40" s="253"/>
      <c r="V40" s="254">
        <v>1171</v>
      </c>
      <c r="W40" s="255">
        <v>803</v>
      </c>
      <c r="X40" s="255">
        <v>406</v>
      </c>
      <c r="Y40" s="255">
        <v>0</v>
      </c>
      <c r="Z40" s="255">
        <v>69</v>
      </c>
      <c r="AA40" s="255">
        <v>23</v>
      </c>
      <c r="AB40" s="255"/>
      <c r="AC40" s="256">
        <v>2472</v>
      </c>
      <c r="AD40" s="254">
        <v>0</v>
      </c>
      <c r="AE40" s="255">
        <v>0</v>
      </c>
      <c r="AF40" s="255">
        <v>0</v>
      </c>
      <c r="AG40" s="255">
        <v>0</v>
      </c>
      <c r="AH40" s="255">
        <v>0</v>
      </c>
      <c r="AI40" s="256">
        <v>0</v>
      </c>
      <c r="AJ40" s="255">
        <v>0</v>
      </c>
      <c r="AK40" s="255">
        <v>0</v>
      </c>
      <c r="AL40" s="255">
        <v>0</v>
      </c>
      <c r="AM40" s="254">
        <v>0</v>
      </c>
    </row>
    <row r="41" spans="1:44" ht="13.5" customHeight="1">
      <c r="A41" s="249"/>
      <c r="B41" s="239" t="s">
        <v>55</v>
      </c>
      <c r="C41" s="250">
        <v>0.28073525901169732</v>
      </c>
      <c r="D41" s="251">
        <v>0.24642588412340105</v>
      </c>
      <c r="E41" s="251">
        <v>0.31254532269760699</v>
      </c>
      <c r="F41" s="251">
        <v>0</v>
      </c>
      <c r="G41" s="251">
        <v>0.30039525691699603</v>
      </c>
      <c r="H41" s="252">
        <v>0.33846153846153848</v>
      </c>
      <c r="I41" s="251"/>
      <c r="J41" s="530">
        <v>0.27621722846441948</v>
      </c>
      <c r="K41" s="250">
        <v>0</v>
      </c>
      <c r="L41" s="251">
        <v>0</v>
      </c>
      <c r="M41" s="251">
        <v>0</v>
      </c>
      <c r="N41" s="251">
        <v>0</v>
      </c>
      <c r="O41" s="252">
        <v>0</v>
      </c>
      <c r="P41" s="250">
        <v>0</v>
      </c>
      <c r="Q41" s="250">
        <v>0</v>
      </c>
      <c r="R41" s="251">
        <v>0</v>
      </c>
      <c r="S41" s="252">
        <v>0</v>
      </c>
      <c r="T41" s="250">
        <v>0</v>
      </c>
      <c r="U41" s="253"/>
      <c r="V41" s="254">
        <v>1176</v>
      </c>
      <c r="W41" s="255">
        <v>655</v>
      </c>
      <c r="X41" s="255">
        <v>431</v>
      </c>
      <c r="Y41" s="255">
        <v>0</v>
      </c>
      <c r="Z41" s="255">
        <v>76</v>
      </c>
      <c r="AA41" s="255">
        <v>22</v>
      </c>
      <c r="AB41" s="255"/>
      <c r="AC41" s="256">
        <v>2360</v>
      </c>
      <c r="AD41" s="254">
        <v>0</v>
      </c>
      <c r="AE41" s="255">
        <v>0</v>
      </c>
      <c r="AF41" s="255">
        <v>0</v>
      </c>
      <c r="AG41" s="255">
        <v>0</v>
      </c>
      <c r="AH41" s="255">
        <v>0</v>
      </c>
      <c r="AI41" s="256">
        <v>0</v>
      </c>
      <c r="AJ41" s="255">
        <v>0</v>
      </c>
      <c r="AK41" s="255">
        <v>0</v>
      </c>
      <c r="AL41" s="255">
        <v>0</v>
      </c>
      <c r="AM41" s="254">
        <v>0</v>
      </c>
    </row>
    <row r="42" spans="1:44" ht="13.5" customHeight="1">
      <c r="A42" s="249"/>
      <c r="B42" s="239" t="s">
        <v>78</v>
      </c>
      <c r="C42" s="250">
        <v>5.1324898543805203E-2</v>
      </c>
      <c r="D42" s="251">
        <v>0.18999247554552295</v>
      </c>
      <c r="E42" s="251">
        <v>0.13705583756345177</v>
      </c>
      <c r="F42" s="251">
        <v>0</v>
      </c>
      <c r="G42" s="251">
        <v>0.25296442687747034</v>
      </c>
      <c r="H42" s="252">
        <v>3.0769230769230771E-2</v>
      </c>
      <c r="I42" s="251"/>
      <c r="J42" s="530">
        <v>0.11411516853932584</v>
      </c>
      <c r="K42" s="250">
        <v>0</v>
      </c>
      <c r="L42" s="251">
        <v>0</v>
      </c>
      <c r="M42" s="251">
        <v>0</v>
      </c>
      <c r="N42" s="251">
        <v>0</v>
      </c>
      <c r="O42" s="252">
        <v>0</v>
      </c>
      <c r="P42" s="250">
        <v>0</v>
      </c>
      <c r="Q42" s="250">
        <v>0</v>
      </c>
      <c r="R42" s="251">
        <v>0</v>
      </c>
      <c r="S42" s="252">
        <v>0</v>
      </c>
      <c r="T42" s="250">
        <v>0</v>
      </c>
      <c r="U42" s="253"/>
      <c r="V42" s="254">
        <v>215</v>
      </c>
      <c r="W42" s="255">
        <v>505</v>
      </c>
      <c r="X42" s="255">
        <v>189</v>
      </c>
      <c r="Y42" s="255">
        <v>0</v>
      </c>
      <c r="Z42" s="255">
        <v>64</v>
      </c>
      <c r="AA42" s="255">
        <v>2</v>
      </c>
      <c r="AB42" s="255"/>
      <c r="AC42" s="256">
        <v>975</v>
      </c>
      <c r="AD42" s="254">
        <v>0</v>
      </c>
      <c r="AE42" s="255">
        <v>0</v>
      </c>
      <c r="AF42" s="255">
        <v>0</v>
      </c>
      <c r="AG42" s="255">
        <v>0</v>
      </c>
      <c r="AH42" s="255">
        <v>0</v>
      </c>
      <c r="AI42" s="256">
        <v>0</v>
      </c>
      <c r="AJ42" s="255">
        <v>0</v>
      </c>
      <c r="AK42" s="255">
        <v>0</v>
      </c>
      <c r="AL42" s="255">
        <v>0</v>
      </c>
      <c r="AM42" s="254">
        <v>0</v>
      </c>
    </row>
    <row r="43" spans="1:44" s="9" customFormat="1" ht="15.75" customHeight="1">
      <c r="A43" s="239"/>
      <c r="B43" s="782" t="s">
        <v>131</v>
      </c>
      <c r="C43" s="581">
        <v>4.4163284793506806E-2</v>
      </c>
      <c r="D43" s="581">
        <v>2.2949586155003761E-2</v>
      </c>
      <c r="E43" s="581">
        <v>2.7556200145032631E-2</v>
      </c>
      <c r="F43" s="581">
        <v>0</v>
      </c>
      <c r="G43" s="581">
        <v>0</v>
      </c>
      <c r="H43" s="581">
        <v>0</v>
      </c>
      <c r="I43" s="581">
        <v>0</v>
      </c>
      <c r="J43" s="581">
        <v>3.3239700374531833E-2</v>
      </c>
      <c r="K43" s="581">
        <v>1</v>
      </c>
      <c r="L43" s="581">
        <v>1</v>
      </c>
      <c r="M43" s="581">
        <v>1</v>
      </c>
      <c r="N43" s="581">
        <v>1</v>
      </c>
      <c r="O43" s="581">
        <v>0</v>
      </c>
      <c r="P43" s="581">
        <v>1</v>
      </c>
      <c r="Q43" s="581">
        <v>0</v>
      </c>
      <c r="R43" s="581">
        <v>0</v>
      </c>
      <c r="S43" s="581">
        <v>0</v>
      </c>
      <c r="T43" s="581">
        <v>0</v>
      </c>
      <c r="U43" s="391"/>
      <c r="V43" s="254"/>
      <c r="W43" s="255"/>
      <c r="X43" s="255"/>
      <c r="Y43" s="255"/>
      <c r="Z43" s="255"/>
      <c r="AA43" s="255"/>
      <c r="AB43" s="255"/>
      <c r="AC43" s="256"/>
      <c r="AD43" s="393"/>
      <c r="AE43" s="394"/>
      <c r="AF43" s="394"/>
      <c r="AG43" s="394"/>
      <c r="AH43" s="395"/>
      <c r="AI43" s="428"/>
      <c r="AJ43" s="393"/>
      <c r="AK43" s="393"/>
      <c r="AL43" s="393"/>
      <c r="AM43" s="397"/>
      <c r="AN43" s="349"/>
      <c r="AO43" s="349"/>
    </row>
    <row r="44" spans="1:44" s="271" customFormat="1" ht="23.45" customHeight="1">
      <c r="A44" s="259"/>
      <c r="B44" s="260" t="s">
        <v>59</v>
      </c>
      <c r="C44" s="261">
        <v>1</v>
      </c>
      <c r="D44" s="262">
        <v>1</v>
      </c>
      <c r="E44" s="262">
        <v>1</v>
      </c>
      <c r="F44" s="262">
        <v>0</v>
      </c>
      <c r="G44" s="262">
        <v>1</v>
      </c>
      <c r="H44" s="263">
        <v>1</v>
      </c>
      <c r="I44" s="262"/>
      <c r="J44" s="531">
        <v>1</v>
      </c>
      <c r="K44" s="261">
        <v>1</v>
      </c>
      <c r="L44" s="262">
        <v>1</v>
      </c>
      <c r="M44" s="262">
        <v>1</v>
      </c>
      <c r="N44" s="262">
        <v>1</v>
      </c>
      <c r="O44" s="263">
        <v>0</v>
      </c>
      <c r="P44" s="261">
        <v>1</v>
      </c>
      <c r="Q44" s="261">
        <v>0</v>
      </c>
      <c r="R44" s="262">
        <v>0</v>
      </c>
      <c r="S44" s="263">
        <v>0</v>
      </c>
      <c r="T44" s="261">
        <v>0</v>
      </c>
      <c r="U44" s="264"/>
      <c r="V44" s="265">
        <v>4189</v>
      </c>
      <c r="W44" s="266">
        <v>2658</v>
      </c>
      <c r="X44" s="266">
        <v>1379</v>
      </c>
      <c r="Y44" s="266">
        <v>0</v>
      </c>
      <c r="Z44" s="266">
        <v>253</v>
      </c>
      <c r="AA44" s="266">
        <v>65</v>
      </c>
      <c r="AB44" s="266"/>
      <c r="AC44" s="267">
        <v>8544</v>
      </c>
      <c r="AD44" s="265">
        <v>1083</v>
      </c>
      <c r="AE44" s="266">
        <v>3171</v>
      </c>
      <c r="AF44" s="266">
        <v>789</v>
      </c>
      <c r="AG44" s="266">
        <v>56</v>
      </c>
      <c r="AH44" s="268">
        <v>0</v>
      </c>
      <c r="AI44" s="268">
        <v>5099</v>
      </c>
      <c r="AJ44" s="265">
        <v>0</v>
      </c>
      <c r="AK44" s="266">
        <v>0</v>
      </c>
      <c r="AL44" s="268">
        <v>0</v>
      </c>
      <c r="AM44" s="265">
        <v>0</v>
      </c>
      <c r="AN44" s="270"/>
      <c r="AO44" s="270"/>
    </row>
    <row r="45" spans="1:44" ht="13.9" customHeight="1">
      <c r="A45" s="239" t="s">
        <v>7</v>
      </c>
      <c r="B45" s="239" t="s">
        <v>53</v>
      </c>
      <c r="C45" s="241">
        <v>0.3495771244462344</v>
      </c>
      <c r="D45" s="242">
        <v>0.45654834761321911</v>
      </c>
      <c r="E45" s="242">
        <v>0.26583268178264269</v>
      </c>
      <c r="F45" s="242">
        <v>0.23215686274509803</v>
      </c>
      <c r="G45" s="242">
        <v>0.26325088339222613</v>
      </c>
      <c r="H45" s="243">
        <v>0.14285714285714285</v>
      </c>
      <c r="I45" s="242"/>
      <c r="J45" s="529">
        <v>0.31225175679804462</v>
      </c>
      <c r="K45" s="241">
        <v>0.14979757085020243</v>
      </c>
      <c r="L45" s="242">
        <v>0.1</v>
      </c>
      <c r="M45" s="242">
        <v>0.16117216117216118</v>
      </c>
      <c r="N45" s="242">
        <v>0.12272727272727273</v>
      </c>
      <c r="O45" s="243">
        <v>0</v>
      </c>
      <c r="P45" s="241">
        <v>0.13719735876742481</v>
      </c>
      <c r="Q45" s="241">
        <v>0</v>
      </c>
      <c r="R45" s="242">
        <v>0</v>
      </c>
      <c r="S45" s="243">
        <v>0</v>
      </c>
      <c r="T45" s="241">
        <v>0</v>
      </c>
      <c r="U45" s="253"/>
      <c r="V45" s="245">
        <v>868</v>
      </c>
      <c r="W45" s="246">
        <v>373</v>
      </c>
      <c r="X45" s="246">
        <v>340</v>
      </c>
      <c r="Y45" s="246">
        <v>296</v>
      </c>
      <c r="Z45" s="246">
        <v>149</v>
      </c>
      <c r="AA45" s="246">
        <v>18</v>
      </c>
      <c r="AB45" s="246"/>
      <c r="AC45" s="247">
        <v>2044</v>
      </c>
      <c r="AD45" s="245">
        <v>37</v>
      </c>
      <c r="AE45" s="246">
        <v>35</v>
      </c>
      <c r="AF45" s="246">
        <v>88</v>
      </c>
      <c r="AG45" s="246">
        <v>27</v>
      </c>
      <c r="AH45" s="246">
        <v>0</v>
      </c>
      <c r="AI45" s="247">
        <v>187</v>
      </c>
      <c r="AJ45" s="246">
        <v>0</v>
      </c>
      <c r="AK45" s="246">
        <v>0</v>
      </c>
      <c r="AL45" s="246">
        <v>0</v>
      </c>
      <c r="AM45" s="245">
        <v>0</v>
      </c>
    </row>
    <row r="46" spans="1:44" ht="13.9" customHeight="1">
      <c r="A46" s="249"/>
      <c r="B46" s="239" t="s">
        <v>93</v>
      </c>
      <c r="C46" s="250">
        <v>0.32541280708819975</v>
      </c>
      <c r="D46" s="251">
        <v>0.29253365973072215</v>
      </c>
      <c r="E46" s="251">
        <v>0.27365129007036748</v>
      </c>
      <c r="F46" s="251">
        <v>0.28549019607843135</v>
      </c>
      <c r="G46" s="251">
        <v>0.33922261484098942</v>
      </c>
      <c r="H46" s="252">
        <v>0.18253968253968253</v>
      </c>
      <c r="I46" s="251"/>
      <c r="J46" s="530">
        <v>0.30186373357775742</v>
      </c>
      <c r="K46" s="250">
        <v>0.29554655870445345</v>
      </c>
      <c r="L46" s="251">
        <v>0.41428571428571431</v>
      </c>
      <c r="M46" s="251">
        <v>0.26923076923076922</v>
      </c>
      <c r="N46" s="251">
        <v>0.25</v>
      </c>
      <c r="O46" s="252">
        <v>0</v>
      </c>
      <c r="P46" s="250">
        <v>0.30814380044020545</v>
      </c>
      <c r="Q46" s="250">
        <v>0</v>
      </c>
      <c r="R46" s="251">
        <v>0</v>
      </c>
      <c r="S46" s="252">
        <v>0</v>
      </c>
      <c r="T46" s="250">
        <v>0</v>
      </c>
      <c r="U46" s="253"/>
      <c r="V46" s="254">
        <v>808</v>
      </c>
      <c r="W46" s="255">
        <v>239</v>
      </c>
      <c r="X46" s="255">
        <v>350</v>
      </c>
      <c r="Y46" s="255">
        <v>364</v>
      </c>
      <c r="Z46" s="255">
        <v>192</v>
      </c>
      <c r="AA46" s="255">
        <v>23</v>
      </c>
      <c r="AB46" s="255"/>
      <c r="AC46" s="256">
        <v>1976</v>
      </c>
      <c r="AD46" s="254">
        <v>73</v>
      </c>
      <c r="AE46" s="255">
        <v>145</v>
      </c>
      <c r="AF46" s="255">
        <v>147</v>
      </c>
      <c r="AG46" s="255">
        <v>55</v>
      </c>
      <c r="AH46" s="255">
        <v>0</v>
      </c>
      <c r="AI46" s="256">
        <v>420</v>
      </c>
      <c r="AJ46" s="255">
        <v>0</v>
      </c>
      <c r="AK46" s="255">
        <v>0</v>
      </c>
      <c r="AL46" s="255">
        <v>0</v>
      </c>
      <c r="AM46" s="254">
        <v>0</v>
      </c>
    </row>
    <row r="47" spans="1:44" ht="13.9" customHeight="1">
      <c r="A47" s="249"/>
      <c r="B47" s="239" t="s">
        <v>55</v>
      </c>
      <c r="C47" s="250">
        <v>0.27265404752315747</v>
      </c>
      <c r="D47" s="251">
        <v>0.25091799265605874</v>
      </c>
      <c r="E47" s="251">
        <v>0.36512900703674744</v>
      </c>
      <c r="F47" s="251">
        <v>0.38666666666666666</v>
      </c>
      <c r="G47" s="251">
        <v>0.35865724381625441</v>
      </c>
      <c r="H47" s="252">
        <v>0.58730158730158732</v>
      </c>
      <c r="I47" s="251"/>
      <c r="J47" s="530">
        <v>0.32370913534983198</v>
      </c>
      <c r="K47" s="250">
        <v>0.47368421052631576</v>
      </c>
      <c r="L47" s="251">
        <v>0.23714285714285716</v>
      </c>
      <c r="M47" s="251">
        <v>0.34798534798534797</v>
      </c>
      <c r="N47" s="251">
        <v>0.37272727272727274</v>
      </c>
      <c r="O47" s="252">
        <v>0</v>
      </c>
      <c r="P47" s="250">
        <v>0.34629493763756419</v>
      </c>
      <c r="Q47" s="250">
        <v>0</v>
      </c>
      <c r="R47" s="251">
        <v>0</v>
      </c>
      <c r="S47" s="252">
        <v>0</v>
      </c>
      <c r="T47" s="250">
        <v>0</v>
      </c>
      <c r="U47" s="253"/>
      <c r="V47" s="254">
        <v>677</v>
      </c>
      <c r="W47" s="255">
        <v>205</v>
      </c>
      <c r="X47" s="255">
        <v>467</v>
      </c>
      <c r="Y47" s="255">
        <v>493</v>
      </c>
      <c r="Z47" s="255">
        <v>203</v>
      </c>
      <c r="AA47" s="255">
        <v>74</v>
      </c>
      <c r="AB47" s="255"/>
      <c r="AC47" s="256">
        <v>2119</v>
      </c>
      <c r="AD47" s="254">
        <v>117</v>
      </c>
      <c r="AE47" s="255">
        <v>83</v>
      </c>
      <c r="AF47" s="255">
        <v>190</v>
      </c>
      <c r="AG47" s="255">
        <v>82</v>
      </c>
      <c r="AH47" s="255">
        <v>0</v>
      </c>
      <c r="AI47" s="256">
        <v>472</v>
      </c>
      <c r="AJ47" s="255">
        <v>0</v>
      </c>
      <c r="AK47" s="255">
        <v>0</v>
      </c>
      <c r="AL47" s="255">
        <v>0</v>
      </c>
      <c r="AM47" s="254">
        <v>0</v>
      </c>
    </row>
    <row r="48" spans="1:44" ht="13.9" customHeight="1">
      <c r="A48" s="249"/>
      <c r="B48" s="239" t="s">
        <v>78</v>
      </c>
      <c r="C48" s="250">
        <v>2.8997180829641561E-2</v>
      </c>
      <c r="D48" s="273">
        <v>0</v>
      </c>
      <c r="E48" s="251">
        <v>9.5387021110242373E-2</v>
      </c>
      <c r="F48" s="251">
        <v>8.2352941176470587E-2</v>
      </c>
      <c r="G48" s="251">
        <v>3.7102473498233215E-2</v>
      </c>
      <c r="H48" s="252">
        <v>7.9365079365079361E-2</v>
      </c>
      <c r="I48" s="251"/>
      <c r="J48" s="530">
        <v>5.0412465627864347E-2</v>
      </c>
      <c r="K48" s="250">
        <v>8.0971659919028341E-2</v>
      </c>
      <c r="L48" s="251">
        <v>0.24857142857142858</v>
      </c>
      <c r="M48" s="251">
        <v>0.2216117216117216</v>
      </c>
      <c r="N48" s="251">
        <v>0.25454545454545452</v>
      </c>
      <c r="O48" s="252">
        <v>0</v>
      </c>
      <c r="P48" s="250">
        <v>0.20836390315480557</v>
      </c>
      <c r="Q48" s="250">
        <v>0</v>
      </c>
      <c r="R48" s="251">
        <v>0</v>
      </c>
      <c r="S48" s="252">
        <v>0</v>
      </c>
      <c r="T48" s="250">
        <v>0</v>
      </c>
      <c r="U48" s="253"/>
      <c r="V48" s="254">
        <v>72</v>
      </c>
      <c r="W48" s="255">
        <v>0</v>
      </c>
      <c r="X48" s="255">
        <v>122</v>
      </c>
      <c r="Y48" s="255">
        <v>105</v>
      </c>
      <c r="Z48" s="255">
        <v>21</v>
      </c>
      <c r="AA48" s="255">
        <v>10</v>
      </c>
      <c r="AB48" s="255"/>
      <c r="AC48" s="256">
        <v>330</v>
      </c>
      <c r="AD48" s="254">
        <v>20</v>
      </c>
      <c r="AE48" s="255">
        <v>87</v>
      </c>
      <c r="AF48" s="255">
        <v>121</v>
      </c>
      <c r="AG48" s="255">
        <v>56</v>
      </c>
      <c r="AH48" s="255">
        <v>0</v>
      </c>
      <c r="AI48" s="256">
        <v>284</v>
      </c>
      <c r="AJ48" s="255">
        <v>0</v>
      </c>
      <c r="AK48" s="255">
        <v>0</v>
      </c>
      <c r="AL48" s="255">
        <v>0</v>
      </c>
      <c r="AM48" s="254">
        <v>0</v>
      </c>
    </row>
    <row r="49" spans="1:41" s="9" customFormat="1" ht="15.75" customHeight="1">
      <c r="A49" s="239"/>
      <c r="B49" s="782" t="s">
        <v>131</v>
      </c>
      <c r="C49" s="581">
        <v>2.3358840112766815E-2</v>
      </c>
      <c r="D49" s="581">
        <v>0</v>
      </c>
      <c r="E49" s="581">
        <v>0</v>
      </c>
      <c r="F49" s="581">
        <v>1.3333333333333334E-2</v>
      </c>
      <c r="G49" s="581">
        <v>1.7667844522968198E-3</v>
      </c>
      <c r="H49" s="581">
        <v>7.9365079365079361E-3</v>
      </c>
      <c r="I49" s="581">
        <v>0</v>
      </c>
      <c r="J49" s="581">
        <v>1.1762908646501681E-2</v>
      </c>
      <c r="K49" s="581">
        <v>0</v>
      </c>
      <c r="L49" s="581">
        <v>0</v>
      </c>
      <c r="M49" s="581">
        <v>0</v>
      </c>
      <c r="N49" s="581">
        <v>0</v>
      </c>
      <c r="O49" s="581">
        <v>0</v>
      </c>
      <c r="P49" s="581">
        <v>0</v>
      </c>
      <c r="Q49" s="581">
        <v>1</v>
      </c>
      <c r="R49" s="581">
        <v>1</v>
      </c>
      <c r="S49" s="581">
        <v>0</v>
      </c>
      <c r="T49" s="581">
        <v>1</v>
      </c>
      <c r="U49" s="391"/>
      <c r="V49" s="254"/>
      <c r="W49" s="255"/>
      <c r="X49" s="255"/>
      <c r="Y49" s="255"/>
      <c r="Z49" s="255"/>
      <c r="AA49" s="255"/>
      <c r="AB49" s="255"/>
      <c r="AC49" s="256"/>
      <c r="AD49" s="393"/>
      <c r="AE49" s="394"/>
      <c r="AF49" s="394"/>
      <c r="AG49" s="394"/>
      <c r="AH49" s="395"/>
      <c r="AI49" s="428"/>
      <c r="AJ49" s="393"/>
      <c r="AK49" s="393"/>
      <c r="AL49" s="393"/>
      <c r="AM49" s="397"/>
      <c r="AN49" s="349"/>
      <c r="AO49" s="349"/>
    </row>
    <row r="50" spans="1:41" s="271" customFormat="1" ht="18" customHeight="1">
      <c r="A50" s="259"/>
      <c r="B50" s="260" t="s">
        <v>59</v>
      </c>
      <c r="C50" s="261">
        <v>1</v>
      </c>
      <c r="D50" s="262">
        <v>1</v>
      </c>
      <c r="E50" s="262">
        <v>1</v>
      </c>
      <c r="F50" s="262">
        <v>1</v>
      </c>
      <c r="G50" s="262">
        <v>1</v>
      </c>
      <c r="H50" s="263">
        <v>1</v>
      </c>
      <c r="I50" s="262"/>
      <c r="J50" s="531">
        <v>1</v>
      </c>
      <c r="K50" s="261">
        <v>1</v>
      </c>
      <c r="L50" s="262">
        <v>1</v>
      </c>
      <c r="M50" s="262">
        <v>1</v>
      </c>
      <c r="N50" s="262">
        <v>1</v>
      </c>
      <c r="O50" s="263">
        <v>0</v>
      </c>
      <c r="P50" s="261">
        <v>1</v>
      </c>
      <c r="Q50" s="261">
        <v>1</v>
      </c>
      <c r="R50" s="262">
        <v>1</v>
      </c>
      <c r="S50" s="263">
        <v>0</v>
      </c>
      <c r="T50" s="261">
        <v>1</v>
      </c>
      <c r="U50" s="264"/>
      <c r="V50" s="265">
        <v>2483</v>
      </c>
      <c r="W50" s="266">
        <v>817</v>
      </c>
      <c r="X50" s="266">
        <v>1279</v>
      </c>
      <c r="Y50" s="266">
        <v>1275</v>
      </c>
      <c r="Z50" s="266">
        <v>566</v>
      </c>
      <c r="AA50" s="266">
        <v>126</v>
      </c>
      <c r="AB50" s="266"/>
      <c r="AC50" s="267">
        <v>6546</v>
      </c>
      <c r="AD50" s="265">
        <v>247</v>
      </c>
      <c r="AE50" s="266">
        <v>350</v>
      </c>
      <c r="AF50" s="266">
        <v>546</v>
      </c>
      <c r="AG50" s="266">
        <v>220</v>
      </c>
      <c r="AH50" s="268">
        <v>0</v>
      </c>
      <c r="AI50" s="268">
        <v>1363</v>
      </c>
      <c r="AJ50" s="265">
        <v>2064</v>
      </c>
      <c r="AK50" s="266">
        <v>102</v>
      </c>
      <c r="AL50" s="268">
        <v>0</v>
      </c>
      <c r="AM50" s="265">
        <v>2166</v>
      </c>
      <c r="AN50" s="270"/>
      <c r="AO50" s="270"/>
    </row>
    <row r="51" spans="1:41" ht="13.9" customHeight="1">
      <c r="A51" s="239" t="s">
        <v>8</v>
      </c>
      <c r="B51" s="239" t="s">
        <v>53</v>
      </c>
      <c r="C51" s="241">
        <v>0.35672997522708505</v>
      </c>
      <c r="D51" s="242">
        <v>0.36907730673316708</v>
      </c>
      <c r="E51" s="242">
        <v>0.22348711803475135</v>
      </c>
      <c r="F51" s="242">
        <v>0.18004338394793926</v>
      </c>
      <c r="G51" s="242">
        <v>0.18421052631578946</v>
      </c>
      <c r="H51" s="243">
        <v>0</v>
      </c>
      <c r="I51" s="242"/>
      <c r="J51" s="529">
        <v>0.27228763666947015</v>
      </c>
      <c r="K51" s="241">
        <v>0</v>
      </c>
      <c r="L51" s="242">
        <v>0.24518388791593695</v>
      </c>
      <c r="M51" s="242">
        <v>0.33858267716535434</v>
      </c>
      <c r="N51" s="242">
        <v>0.34715025906735753</v>
      </c>
      <c r="O51" s="243">
        <v>0</v>
      </c>
      <c r="P51" s="241">
        <v>0.30955056179775281</v>
      </c>
      <c r="Q51" s="241">
        <v>7.4626865671641784E-2</v>
      </c>
      <c r="R51" s="242">
        <v>9.8360655737704916E-2</v>
      </c>
      <c r="S51" s="243">
        <v>0</v>
      </c>
      <c r="T51" s="241">
        <v>8.59375E-2</v>
      </c>
      <c r="U51" s="253"/>
      <c r="V51" s="245">
        <v>432</v>
      </c>
      <c r="W51" s="246">
        <v>296</v>
      </c>
      <c r="X51" s="246">
        <v>373</v>
      </c>
      <c r="Y51" s="246">
        <v>166</v>
      </c>
      <c r="Z51" s="246">
        <v>28</v>
      </c>
      <c r="AA51" s="246">
        <v>0</v>
      </c>
      <c r="AB51" s="246"/>
      <c r="AC51" s="247">
        <v>1295</v>
      </c>
      <c r="AD51" s="245">
        <v>0</v>
      </c>
      <c r="AE51" s="246">
        <v>140</v>
      </c>
      <c r="AF51" s="246">
        <v>344</v>
      </c>
      <c r="AG51" s="246">
        <v>67</v>
      </c>
      <c r="AH51" s="246">
        <v>0</v>
      </c>
      <c r="AI51" s="247">
        <v>551</v>
      </c>
      <c r="AJ51" s="246">
        <v>5</v>
      </c>
      <c r="AK51" s="246">
        <v>6</v>
      </c>
      <c r="AL51" s="246">
        <v>0</v>
      </c>
      <c r="AM51" s="245">
        <v>11</v>
      </c>
    </row>
    <row r="52" spans="1:41" ht="13.9" customHeight="1">
      <c r="A52" s="249"/>
      <c r="B52" s="239" t="s">
        <v>93</v>
      </c>
      <c r="C52" s="250">
        <v>0.36581337737407099</v>
      </c>
      <c r="D52" s="251">
        <v>0.24438902743142144</v>
      </c>
      <c r="E52" s="251">
        <v>0.25943678849610546</v>
      </c>
      <c r="F52" s="251">
        <v>0.24511930585683298</v>
      </c>
      <c r="G52" s="251">
        <v>0.33552631578947367</v>
      </c>
      <c r="H52" s="252">
        <v>0</v>
      </c>
      <c r="I52" s="251"/>
      <c r="J52" s="530">
        <v>0.28364171572750208</v>
      </c>
      <c r="K52" s="250">
        <v>0</v>
      </c>
      <c r="L52" s="251">
        <v>0.38528896672504376</v>
      </c>
      <c r="M52" s="251">
        <v>0.29133858267716534</v>
      </c>
      <c r="N52" s="251">
        <v>0.27461139896373055</v>
      </c>
      <c r="O52" s="252">
        <v>0</v>
      </c>
      <c r="P52" s="250">
        <v>0.31966292134831459</v>
      </c>
      <c r="Q52" s="250">
        <v>0.19402985074626866</v>
      </c>
      <c r="R52" s="251">
        <v>0.18032786885245902</v>
      </c>
      <c r="S52" s="252">
        <v>0</v>
      </c>
      <c r="T52" s="250">
        <v>0.1875</v>
      </c>
      <c r="U52" s="253"/>
      <c r="V52" s="254">
        <v>443</v>
      </c>
      <c r="W52" s="255">
        <v>196</v>
      </c>
      <c r="X52" s="255">
        <v>433</v>
      </c>
      <c r="Y52" s="255">
        <v>226</v>
      </c>
      <c r="Z52" s="255">
        <v>51</v>
      </c>
      <c r="AA52" s="255">
        <v>0</v>
      </c>
      <c r="AB52" s="255"/>
      <c r="AC52" s="256">
        <v>1349</v>
      </c>
      <c r="AD52" s="254">
        <v>0</v>
      </c>
      <c r="AE52" s="255">
        <v>220</v>
      </c>
      <c r="AF52" s="255">
        <v>296</v>
      </c>
      <c r="AG52" s="255">
        <v>53</v>
      </c>
      <c r="AH52" s="255">
        <v>0</v>
      </c>
      <c r="AI52" s="256">
        <v>569</v>
      </c>
      <c r="AJ52" s="255">
        <v>13</v>
      </c>
      <c r="AK52" s="255">
        <v>11</v>
      </c>
      <c r="AL52" s="255">
        <v>0</v>
      </c>
      <c r="AM52" s="254">
        <v>24</v>
      </c>
    </row>
    <row r="53" spans="1:41" ht="13.9" customHeight="1">
      <c r="A53" s="249"/>
      <c r="B53" s="239" t="s">
        <v>55</v>
      </c>
      <c r="C53" s="250">
        <v>0.19488026424442609</v>
      </c>
      <c r="D53" s="251">
        <v>0.28179551122194513</v>
      </c>
      <c r="E53" s="251">
        <v>0.31156381066506889</v>
      </c>
      <c r="F53" s="251">
        <v>0.28958785249457702</v>
      </c>
      <c r="G53" s="251">
        <v>0.38815789473684209</v>
      </c>
      <c r="H53" s="252">
        <v>0</v>
      </c>
      <c r="I53" s="251"/>
      <c r="J53" s="530">
        <v>0.2750210260723297</v>
      </c>
      <c r="K53" s="250">
        <v>0</v>
      </c>
      <c r="L53" s="251">
        <v>0.17162872154115585</v>
      </c>
      <c r="M53" s="251">
        <v>0.19488188976377951</v>
      </c>
      <c r="N53" s="251">
        <v>0.21761658031088082</v>
      </c>
      <c r="O53" s="252">
        <v>0</v>
      </c>
      <c r="P53" s="250">
        <v>0.18988764044943821</v>
      </c>
      <c r="Q53" s="250">
        <v>0.35820895522388058</v>
      </c>
      <c r="R53" s="251">
        <v>0.31147540983606559</v>
      </c>
      <c r="S53" s="252">
        <v>0</v>
      </c>
      <c r="T53" s="250">
        <v>0.3359375</v>
      </c>
      <c r="U53" s="253"/>
      <c r="V53" s="254">
        <v>236</v>
      </c>
      <c r="W53" s="255">
        <v>226</v>
      </c>
      <c r="X53" s="255">
        <v>520</v>
      </c>
      <c r="Y53" s="255">
        <v>267</v>
      </c>
      <c r="Z53" s="255">
        <v>59</v>
      </c>
      <c r="AA53" s="255">
        <v>0</v>
      </c>
      <c r="AB53" s="255"/>
      <c r="AC53" s="256">
        <v>1308</v>
      </c>
      <c r="AD53" s="254">
        <v>0</v>
      </c>
      <c r="AE53" s="255">
        <v>98</v>
      </c>
      <c r="AF53" s="255">
        <v>198</v>
      </c>
      <c r="AG53" s="255">
        <v>42</v>
      </c>
      <c r="AH53" s="255">
        <v>0</v>
      </c>
      <c r="AI53" s="256">
        <v>338</v>
      </c>
      <c r="AJ53" s="255">
        <v>24</v>
      </c>
      <c r="AK53" s="255">
        <v>19</v>
      </c>
      <c r="AL53" s="255">
        <v>0</v>
      </c>
      <c r="AM53" s="254">
        <v>43</v>
      </c>
    </row>
    <row r="54" spans="1:41" ht="13.9" customHeight="1">
      <c r="A54" s="249"/>
      <c r="B54" s="239" t="s">
        <v>78</v>
      </c>
      <c r="C54" s="272">
        <v>2.477291494632535E-3</v>
      </c>
      <c r="D54" s="251">
        <v>8.2294264339152115E-2</v>
      </c>
      <c r="E54" s="251">
        <v>0.10904733373277412</v>
      </c>
      <c r="F54" s="251">
        <v>7.5921908893709325E-2</v>
      </c>
      <c r="G54" s="251">
        <v>9.2105263157894732E-2</v>
      </c>
      <c r="H54" s="252">
        <v>0</v>
      </c>
      <c r="I54" s="251"/>
      <c r="J54" s="530">
        <v>7.0437342304457529E-2</v>
      </c>
      <c r="K54" s="250">
        <v>0</v>
      </c>
      <c r="L54" s="251">
        <v>0.19789842381786341</v>
      </c>
      <c r="M54" s="251">
        <v>0.17519685039370078</v>
      </c>
      <c r="N54" s="251">
        <v>0.16062176165803108</v>
      </c>
      <c r="O54" s="252">
        <v>0</v>
      </c>
      <c r="P54" s="250">
        <v>0.18089887640449437</v>
      </c>
      <c r="Q54" s="250">
        <v>0.37313432835820898</v>
      </c>
      <c r="R54" s="251">
        <v>0.4098360655737705</v>
      </c>
      <c r="S54" s="252">
        <v>0</v>
      </c>
      <c r="T54" s="250">
        <v>0.390625</v>
      </c>
      <c r="U54" s="253"/>
      <c r="V54" s="254">
        <v>3</v>
      </c>
      <c r="W54" s="255">
        <v>66</v>
      </c>
      <c r="X54" s="255">
        <v>182</v>
      </c>
      <c r="Y54" s="255">
        <v>70</v>
      </c>
      <c r="Z54" s="255">
        <v>14</v>
      </c>
      <c r="AA54" s="255">
        <v>0</v>
      </c>
      <c r="AB54" s="255"/>
      <c r="AC54" s="256">
        <v>335</v>
      </c>
      <c r="AD54" s="254">
        <v>0</v>
      </c>
      <c r="AE54" s="255">
        <v>113</v>
      </c>
      <c r="AF54" s="255">
        <v>178</v>
      </c>
      <c r="AG54" s="255">
        <v>31</v>
      </c>
      <c r="AH54" s="255">
        <v>0</v>
      </c>
      <c r="AI54" s="256">
        <v>322</v>
      </c>
      <c r="AJ54" s="255">
        <v>25</v>
      </c>
      <c r="AK54" s="255">
        <v>25</v>
      </c>
      <c r="AL54" s="255">
        <v>0</v>
      </c>
      <c r="AM54" s="254">
        <v>50</v>
      </c>
    </row>
    <row r="55" spans="1:41" s="9" customFormat="1" ht="15.75" customHeight="1">
      <c r="A55" s="239"/>
      <c r="B55" s="782" t="s">
        <v>131</v>
      </c>
      <c r="C55" s="581">
        <v>8.0099091659785307E-2</v>
      </c>
      <c r="D55" s="581">
        <v>2.2443890274314215E-2</v>
      </c>
      <c r="E55" s="581">
        <v>9.6464949071300182E-2</v>
      </c>
      <c r="F55" s="581">
        <v>0.20932754880694143</v>
      </c>
      <c r="G55" s="581">
        <v>0</v>
      </c>
      <c r="H55" s="581">
        <v>0</v>
      </c>
      <c r="I55" s="581">
        <v>0</v>
      </c>
      <c r="J55" s="581">
        <v>9.8612279226240537E-2</v>
      </c>
      <c r="K55" s="581">
        <v>0</v>
      </c>
      <c r="L55" s="581">
        <v>0</v>
      </c>
      <c r="M55" s="581">
        <v>0</v>
      </c>
      <c r="N55" s="581">
        <v>0</v>
      </c>
      <c r="O55" s="581">
        <v>0</v>
      </c>
      <c r="P55" s="581">
        <v>0</v>
      </c>
      <c r="Q55" s="581">
        <v>0</v>
      </c>
      <c r="R55" s="581">
        <v>0</v>
      </c>
      <c r="S55" s="581">
        <v>0</v>
      </c>
      <c r="T55" s="581">
        <v>0</v>
      </c>
      <c r="U55" s="391"/>
      <c r="V55" s="254"/>
      <c r="W55" s="255"/>
      <c r="X55" s="255"/>
      <c r="Y55" s="255"/>
      <c r="Z55" s="255"/>
      <c r="AA55" s="255"/>
      <c r="AB55" s="255"/>
      <c r="AC55" s="256"/>
      <c r="AD55" s="393"/>
      <c r="AE55" s="394"/>
      <c r="AF55" s="394"/>
      <c r="AG55" s="394"/>
      <c r="AH55" s="395"/>
      <c r="AI55" s="428"/>
      <c r="AJ55" s="393"/>
      <c r="AK55" s="393"/>
      <c r="AL55" s="393"/>
      <c r="AM55" s="397"/>
      <c r="AN55" s="349"/>
      <c r="AO55" s="349"/>
    </row>
    <row r="56" spans="1:41" s="271" customFormat="1" ht="14.25" customHeight="1">
      <c r="A56" s="259"/>
      <c r="B56" s="260" t="s">
        <v>59</v>
      </c>
      <c r="C56" s="261">
        <v>1</v>
      </c>
      <c r="D56" s="262">
        <v>1</v>
      </c>
      <c r="E56" s="262">
        <v>1</v>
      </c>
      <c r="F56" s="262">
        <v>1</v>
      </c>
      <c r="G56" s="262">
        <v>1</v>
      </c>
      <c r="H56" s="263">
        <v>0</v>
      </c>
      <c r="I56" s="262"/>
      <c r="J56" s="531">
        <v>1</v>
      </c>
      <c r="K56" s="261">
        <v>0</v>
      </c>
      <c r="L56" s="262">
        <v>1</v>
      </c>
      <c r="M56" s="262">
        <v>1</v>
      </c>
      <c r="N56" s="262">
        <v>1</v>
      </c>
      <c r="O56" s="263">
        <v>0</v>
      </c>
      <c r="P56" s="261">
        <v>1</v>
      </c>
      <c r="Q56" s="261">
        <v>1</v>
      </c>
      <c r="R56" s="262">
        <v>1</v>
      </c>
      <c r="S56" s="263">
        <v>0</v>
      </c>
      <c r="T56" s="261">
        <v>1</v>
      </c>
      <c r="U56" s="264"/>
      <c r="V56" s="265">
        <v>1211</v>
      </c>
      <c r="W56" s="266">
        <v>802</v>
      </c>
      <c r="X56" s="266">
        <v>1669</v>
      </c>
      <c r="Y56" s="266">
        <v>922</v>
      </c>
      <c r="Z56" s="266">
        <v>152</v>
      </c>
      <c r="AA56" s="266">
        <v>0</v>
      </c>
      <c r="AB56" s="266"/>
      <c r="AC56" s="267">
        <v>4756</v>
      </c>
      <c r="AD56" s="265">
        <v>0</v>
      </c>
      <c r="AE56" s="266">
        <v>571</v>
      </c>
      <c r="AF56" s="266">
        <v>1016</v>
      </c>
      <c r="AG56" s="266">
        <v>193</v>
      </c>
      <c r="AH56" s="268">
        <v>0</v>
      </c>
      <c r="AI56" s="268">
        <v>1780</v>
      </c>
      <c r="AJ56" s="265">
        <v>67</v>
      </c>
      <c r="AK56" s="266">
        <v>61</v>
      </c>
      <c r="AL56" s="268">
        <v>0</v>
      </c>
      <c r="AM56" s="265">
        <v>128</v>
      </c>
      <c r="AN56" s="270"/>
      <c r="AO56" s="270"/>
    </row>
    <row r="57" spans="1:41" ht="13.9" customHeight="1">
      <c r="A57" s="239" t="s">
        <v>9</v>
      </c>
      <c r="B57" s="239" t="s">
        <v>53</v>
      </c>
      <c r="C57" s="241">
        <v>0.33829287392325763</v>
      </c>
      <c r="D57" s="242">
        <v>0.30165289256198347</v>
      </c>
      <c r="E57" s="242">
        <v>0.21481481481481482</v>
      </c>
      <c r="F57" s="242">
        <v>0.20238095238095238</v>
      </c>
      <c r="G57" s="242">
        <v>0.15224913494809689</v>
      </c>
      <c r="H57" s="243">
        <v>0</v>
      </c>
      <c r="I57" s="242"/>
      <c r="J57" s="529">
        <v>0.26104868913857676</v>
      </c>
      <c r="K57" s="241">
        <v>0.18691588785046728</v>
      </c>
      <c r="L57" s="242">
        <v>0.17741935483870969</v>
      </c>
      <c r="M57" s="242">
        <v>8.3018867924528297E-2</v>
      </c>
      <c r="N57" s="242">
        <v>2.0833333333333332E-2</v>
      </c>
      <c r="O57" s="243">
        <v>0</v>
      </c>
      <c r="P57" s="241">
        <v>0.125</v>
      </c>
      <c r="Q57" s="241">
        <v>0</v>
      </c>
      <c r="R57" s="242">
        <v>0</v>
      </c>
      <c r="S57" s="243">
        <v>0</v>
      </c>
      <c r="T57" s="241">
        <v>0</v>
      </c>
      <c r="U57" s="253"/>
      <c r="V57" s="245">
        <v>432</v>
      </c>
      <c r="W57" s="246">
        <v>438</v>
      </c>
      <c r="X57" s="246">
        <v>174</v>
      </c>
      <c r="Y57" s="246">
        <v>306</v>
      </c>
      <c r="Z57" s="246">
        <v>44</v>
      </c>
      <c r="AA57" s="246">
        <v>0</v>
      </c>
      <c r="AB57" s="246"/>
      <c r="AC57" s="247">
        <v>1394</v>
      </c>
      <c r="AD57" s="245">
        <v>20</v>
      </c>
      <c r="AE57" s="246">
        <v>66</v>
      </c>
      <c r="AF57" s="246">
        <v>22</v>
      </c>
      <c r="AG57" s="246">
        <v>3</v>
      </c>
      <c r="AH57" s="246">
        <v>0</v>
      </c>
      <c r="AI57" s="247">
        <v>111</v>
      </c>
      <c r="AJ57" s="246">
        <v>0</v>
      </c>
      <c r="AK57" s="246">
        <v>0</v>
      </c>
      <c r="AL57" s="246">
        <v>0</v>
      </c>
      <c r="AM57" s="245">
        <v>0</v>
      </c>
    </row>
    <row r="58" spans="1:41" ht="13.9" customHeight="1">
      <c r="A58" s="249"/>
      <c r="B58" s="239" t="s">
        <v>93</v>
      </c>
      <c r="C58" s="250">
        <v>0.21221613155833985</v>
      </c>
      <c r="D58" s="251">
        <v>0.22107438016528927</v>
      </c>
      <c r="E58" s="251">
        <v>0.22839506172839505</v>
      </c>
      <c r="F58" s="251">
        <v>0.21759259259259259</v>
      </c>
      <c r="G58" s="251">
        <v>0.2179930795847751</v>
      </c>
      <c r="H58" s="252">
        <v>0</v>
      </c>
      <c r="I58" s="251"/>
      <c r="J58" s="530">
        <v>0.21891385767790261</v>
      </c>
      <c r="K58" s="250">
        <v>0.24299065420560748</v>
      </c>
      <c r="L58" s="251">
        <v>0.21774193548387097</v>
      </c>
      <c r="M58" s="251">
        <v>0.16981132075471697</v>
      </c>
      <c r="N58" s="251">
        <v>9.7222222222222224E-2</v>
      </c>
      <c r="O58" s="252">
        <v>0</v>
      </c>
      <c r="P58" s="250">
        <v>0.18693693693693694</v>
      </c>
      <c r="Q58" s="250">
        <v>0</v>
      </c>
      <c r="R58" s="251">
        <v>0</v>
      </c>
      <c r="S58" s="252">
        <v>0</v>
      </c>
      <c r="T58" s="250">
        <v>0</v>
      </c>
      <c r="U58" s="253"/>
      <c r="V58" s="254">
        <v>271</v>
      </c>
      <c r="W58" s="255">
        <v>321</v>
      </c>
      <c r="X58" s="255">
        <v>185</v>
      </c>
      <c r="Y58" s="255">
        <v>329</v>
      </c>
      <c r="Z58" s="255">
        <v>63</v>
      </c>
      <c r="AA58" s="255">
        <v>0</v>
      </c>
      <c r="AB58" s="255"/>
      <c r="AC58" s="256">
        <v>1169</v>
      </c>
      <c r="AD58" s="254">
        <v>26</v>
      </c>
      <c r="AE58" s="255">
        <v>81</v>
      </c>
      <c r="AF58" s="255">
        <v>45</v>
      </c>
      <c r="AG58" s="255">
        <v>14</v>
      </c>
      <c r="AH58" s="255">
        <v>0</v>
      </c>
      <c r="AI58" s="256">
        <v>166</v>
      </c>
      <c r="AJ58" s="255">
        <v>0</v>
      </c>
      <c r="AK58" s="255">
        <v>0</v>
      </c>
      <c r="AL58" s="255">
        <v>0</v>
      </c>
      <c r="AM58" s="254">
        <v>0</v>
      </c>
    </row>
    <row r="59" spans="1:41" ht="13.9" customHeight="1">
      <c r="A59" s="249"/>
      <c r="B59" s="239" t="s">
        <v>55</v>
      </c>
      <c r="C59" s="250">
        <v>0.22161315583398591</v>
      </c>
      <c r="D59" s="251">
        <v>0.28512396694214875</v>
      </c>
      <c r="E59" s="251">
        <v>0.33827160493827163</v>
      </c>
      <c r="F59" s="251">
        <v>0.35515873015873017</v>
      </c>
      <c r="G59" s="251">
        <v>0.36678200692041524</v>
      </c>
      <c r="H59" s="252">
        <v>0</v>
      </c>
      <c r="I59" s="251"/>
      <c r="J59" s="530">
        <v>0.30224719101123598</v>
      </c>
      <c r="K59" s="250">
        <v>0.3925233644859813</v>
      </c>
      <c r="L59" s="251">
        <v>0.15053763440860216</v>
      </c>
      <c r="M59" s="251">
        <v>0.2981132075471698</v>
      </c>
      <c r="N59" s="251">
        <v>0.39583333333333331</v>
      </c>
      <c r="O59" s="252">
        <v>0</v>
      </c>
      <c r="P59" s="250">
        <v>0.26351351351351349</v>
      </c>
      <c r="Q59" s="250">
        <v>0</v>
      </c>
      <c r="R59" s="251">
        <v>0</v>
      </c>
      <c r="S59" s="252">
        <v>0</v>
      </c>
      <c r="T59" s="250">
        <v>0</v>
      </c>
      <c r="U59" s="253"/>
      <c r="V59" s="254">
        <v>283</v>
      </c>
      <c r="W59" s="255">
        <v>414</v>
      </c>
      <c r="X59" s="255">
        <v>274</v>
      </c>
      <c r="Y59" s="255">
        <v>537</v>
      </c>
      <c r="Z59" s="255">
        <v>106</v>
      </c>
      <c r="AA59" s="255">
        <v>0</v>
      </c>
      <c r="AB59" s="255"/>
      <c r="AC59" s="256">
        <v>1614</v>
      </c>
      <c r="AD59" s="254">
        <v>42</v>
      </c>
      <c r="AE59" s="255">
        <v>56</v>
      </c>
      <c r="AF59" s="255">
        <v>79</v>
      </c>
      <c r="AG59" s="255">
        <v>57</v>
      </c>
      <c r="AH59" s="255">
        <v>0</v>
      </c>
      <c r="AI59" s="256">
        <v>234</v>
      </c>
      <c r="AJ59" s="255">
        <v>0</v>
      </c>
      <c r="AK59" s="255">
        <v>0</v>
      </c>
      <c r="AL59" s="255">
        <v>0</v>
      </c>
      <c r="AM59" s="254">
        <v>0</v>
      </c>
    </row>
    <row r="60" spans="1:41" ht="13.9" customHeight="1">
      <c r="A60" s="249"/>
      <c r="B60" s="239" t="s">
        <v>78</v>
      </c>
      <c r="C60" s="250">
        <v>0.21378230227094752</v>
      </c>
      <c r="D60" s="251">
        <v>0.18939393939393939</v>
      </c>
      <c r="E60" s="251">
        <v>0.2</v>
      </c>
      <c r="F60" s="251">
        <v>0.21494708994708994</v>
      </c>
      <c r="G60" s="251">
        <v>0.22491349480968859</v>
      </c>
      <c r="H60" s="252">
        <v>0</v>
      </c>
      <c r="I60" s="251"/>
      <c r="J60" s="530">
        <v>0.20599250936329588</v>
      </c>
      <c r="K60" s="250">
        <v>0.17757009345794392</v>
      </c>
      <c r="L60" s="251">
        <v>0.44892473118279569</v>
      </c>
      <c r="M60" s="251">
        <v>0.43773584905660379</v>
      </c>
      <c r="N60" s="251">
        <v>0.4861111111111111</v>
      </c>
      <c r="O60" s="252">
        <v>0</v>
      </c>
      <c r="P60" s="250">
        <v>0.41891891891891891</v>
      </c>
      <c r="Q60" s="250">
        <v>0</v>
      </c>
      <c r="R60" s="251">
        <v>0</v>
      </c>
      <c r="S60" s="252">
        <v>0</v>
      </c>
      <c r="T60" s="250">
        <v>0</v>
      </c>
      <c r="U60" s="253"/>
      <c r="V60" s="254">
        <v>273</v>
      </c>
      <c r="W60" s="255">
        <v>275</v>
      </c>
      <c r="X60" s="255">
        <v>162</v>
      </c>
      <c r="Y60" s="255">
        <v>325</v>
      </c>
      <c r="Z60" s="255">
        <v>65</v>
      </c>
      <c r="AA60" s="255">
        <v>0</v>
      </c>
      <c r="AB60" s="255"/>
      <c r="AC60" s="256">
        <v>1100</v>
      </c>
      <c r="AD60" s="254">
        <v>19</v>
      </c>
      <c r="AE60" s="255">
        <v>167</v>
      </c>
      <c r="AF60" s="255">
        <v>116</v>
      </c>
      <c r="AG60" s="255">
        <v>70</v>
      </c>
      <c r="AH60" s="255">
        <v>0</v>
      </c>
      <c r="AI60" s="256">
        <v>372</v>
      </c>
      <c r="AJ60" s="255">
        <v>0</v>
      </c>
      <c r="AK60" s="255">
        <v>0</v>
      </c>
      <c r="AL60" s="255">
        <v>0</v>
      </c>
      <c r="AM60" s="254">
        <v>0</v>
      </c>
    </row>
    <row r="61" spans="1:41" s="9" customFormat="1" ht="15.75" customHeight="1">
      <c r="A61" s="239"/>
      <c r="B61" s="782" t="s">
        <v>131</v>
      </c>
      <c r="C61" s="581">
        <v>1.4095536413469069E-2</v>
      </c>
      <c r="D61" s="581">
        <v>2.7548209366391185E-3</v>
      </c>
      <c r="E61" s="581">
        <v>1.8518518518518517E-2</v>
      </c>
      <c r="F61" s="581">
        <v>9.9206349206349201E-3</v>
      </c>
      <c r="G61" s="581">
        <v>3.8062283737024222E-2</v>
      </c>
      <c r="H61" s="581">
        <v>0</v>
      </c>
      <c r="I61" s="581">
        <v>0</v>
      </c>
      <c r="J61" s="581">
        <v>1.1797752808988765E-2</v>
      </c>
      <c r="K61" s="581">
        <v>0</v>
      </c>
      <c r="L61" s="581">
        <v>5.3763440860215058E-3</v>
      </c>
      <c r="M61" s="581">
        <v>1.1320754716981131E-2</v>
      </c>
      <c r="N61" s="581">
        <v>0</v>
      </c>
      <c r="O61" s="581">
        <v>0</v>
      </c>
      <c r="P61" s="581">
        <v>5.6306306306306304E-3</v>
      </c>
      <c r="Q61" s="581">
        <v>1</v>
      </c>
      <c r="R61" s="581">
        <v>1</v>
      </c>
      <c r="S61" s="581">
        <v>1</v>
      </c>
      <c r="T61" s="581">
        <v>1</v>
      </c>
      <c r="U61" s="391"/>
      <c r="V61" s="254"/>
      <c r="W61" s="255"/>
      <c r="X61" s="255"/>
      <c r="Y61" s="255"/>
      <c r="Z61" s="255"/>
      <c r="AA61" s="255"/>
      <c r="AB61" s="255"/>
      <c r="AC61" s="256"/>
      <c r="AD61" s="393"/>
      <c r="AE61" s="394"/>
      <c r="AF61" s="394"/>
      <c r="AG61" s="394"/>
      <c r="AH61" s="395"/>
      <c r="AI61" s="428"/>
      <c r="AJ61" s="393"/>
      <c r="AK61" s="393"/>
      <c r="AL61" s="393"/>
      <c r="AM61" s="397"/>
      <c r="AN61" s="349"/>
      <c r="AO61" s="349"/>
    </row>
    <row r="62" spans="1:41" s="271" customFormat="1" ht="18" customHeight="1">
      <c r="A62" s="259"/>
      <c r="B62" s="260" t="s">
        <v>59</v>
      </c>
      <c r="C62" s="261">
        <v>1</v>
      </c>
      <c r="D62" s="262">
        <v>1</v>
      </c>
      <c r="E62" s="262">
        <v>1</v>
      </c>
      <c r="F62" s="262">
        <v>1</v>
      </c>
      <c r="G62" s="262">
        <v>1</v>
      </c>
      <c r="H62" s="263">
        <v>0</v>
      </c>
      <c r="I62" s="262"/>
      <c r="J62" s="531">
        <v>1</v>
      </c>
      <c r="K62" s="261">
        <v>1</v>
      </c>
      <c r="L62" s="262">
        <v>1</v>
      </c>
      <c r="M62" s="262">
        <v>1</v>
      </c>
      <c r="N62" s="262">
        <v>1</v>
      </c>
      <c r="O62" s="263">
        <v>0</v>
      </c>
      <c r="P62" s="261">
        <v>1</v>
      </c>
      <c r="Q62" s="261">
        <v>1</v>
      </c>
      <c r="R62" s="262">
        <v>1</v>
      </c>
      <c r="S62" s="263">
        <v>1</v>
      </c>
      <c r="T62" s="261">
        <v>1</v>
      </c>
      <c r="U62" s="264"/>
      <c r="V62" s="265">
        <v>1277</v>
      </c>
      <c r="W62" s="266">
        <v>1452</v>
      </c>
      <c r="X62" s="266">
        <v>810</v>
      </c>
      <c r="Y62" s="266">
        <v>1512</v>
      </c>
      <c r="Z62" s="266">
        <v>289</v>
      </c>
      <c r="AA62" s="266">
        <v>0</v>
      </c>
      <c r="AB62" s="266"/>
      <c r="AC62" s="267">
        <v>5340</v>
      </c>
      <c r="AD62" s="265">
        <v>107</v>
      </c>
      <c r="AE62" s="266">
        <v>372</v>
      </c>
      <c r="AF62" s="266">
        <v>265</v>
      </c>
      <c r="AG62" s="266">
        <v>144</v>
      </c>
      <c r="AH62" s="268">
        <v>0</v>
      </c>
      <c r="AI62" s="268">
        <v>888</v>
      </c>
      <c r="AJ62" s="265">
        <v>61</v>
      </c>
      <c r="AK62" s="266">
        <v>41</v>
      </c>
      <c r="AL62" s="268">
        <v>584</v>
      </c>
      <c r="AM62" s="265">
        <v>686</v>
      </c>
      <c r="AN62" s="270"/>
      <c r="AO62" s="270"/>
    </row>
    <row r="63" spans="1:41" ht="13.9" customHeight="1">
      <c r="A63" s="239" t="s">
        <v>10</v>
      </c>
      <c r="B63" s="239" t="s">
        <v>53</v>
      </c>
      <c r="C63" s="241">
        <v>0.43204202232435984</v>
      </c>
      <c r="D63" s="242">
        <v>0.2816593886462882</v>
      </c>
      <c r="E63" s="242">
        <v>0.25791855203619912</v>
      </c>
      <c r="F63" s="242">
        <v>0.22007168458781362</v>
      </c>
      <c r="G63" s="242">
        <v>0.16030534351145037</v>
      </c>
      <c r="H63" s="243">
        <v>0.28467153284671531</v>
      </c>
      <c r="I63" s="242"/>
      <c r="J63" s="529">
        <v>0.30763872765265848</v>
      </c>
      <c r="K63" s="241">
        <v>0</v>
      </c>
      <c r="L63" s="242">
        <v>0.36328125</v>
      </c>
      <c r="M63" s="242">
        <v>0.3358070500927644</v>
      </c>
      <c r="N63" s="242">
        <v>0.27339901477832512</v>
      </c>
      <c r="O63" s="243">
        <v>0</v>
      </c>
      <c r="P63" s="241">
        <v>0.34022471910112362</v>
      </c>
      <c r="Q63" s="241">
        <v>0</v>
      </c>
      <c r="R63" s="242">
        <v>0</v>
      </c>
      <c r="S63" s="243">
        <v>0</v>
      </c>
      <c r="T63" s="241">
        <v>0</v>
      </c>
      <c r="U63" s="253"/>
      <c r="V63" s="245">
        <v>658</v>
      </c>
      <c r="W63" s="246">
        <v>129</v>
      </c>
      <c r="X63" s="246">
        <v>171</v>
      </c>
      <c r="Y63" s="246">
        <v>307</v>
      </c>
      <c r="Z63" s="246">
        <v>21</v>
      </c>
      <c r="AA63" s="246">
        <v>39</v>
      </c>
      <c r="AB63" s="246"/>
      <c r="AC63" s="247">
        <v>1325</v>
      </c>
      <c r="AD63" s="245">
        <v>0</v>
      </c>
      <c r="AE63" s="246">
        <v>465</v>
      </c>
      <c r="AF63" s="246">
        <v>181</v>
      </c>
      <c r="AG63" s="246">
        <v>111</v>
      </c>
      <c r="AH63" s="246">
        <v>0</v>
      </c>
      <c r="AI63" s="247">
        <v>757</v>
      </c>
      <c r="AJ63" s="246">
        <v>0</v>
      </c>
      <c r="AK63" s="246">
        <v>0</v>
      </c>
      <c r="AL63" s="246">
        <v>0</v>
      </c>
      <c r="AM63" s="245">
        <v>0</v>
      </c>
    </row>
    <row r="64" spans="1:41" ht="13.9" customHeight="1">
      <c r="A64" s="249"/>
      <c r="B64" s="239" t="s">
        <v>93</v>
      </c>
      <c r="C64" s="250">
        <v>0.27905449770190416</v>
      </c>
      <c r="D64" s="251">
        <v>0.30786026200873362</v>
      </c>
      <c r="E64" s="251">
        <v>0.2277526395173454</v>
      </c>
      <c r="F64" s="251">
        <v>0.24086021505376345</v>
      </c>
      <c r="G64" s="251">
        <v>0.21374045801526717</v>
      </c>
      <c r="H64" s="252">
        <v>0.23357664233576642</v>
      </c>
      <c r="I64" s="251"/>
      <c r="J64" s="530">
        <v>0.2584165312282331</v>
      </c>
      <c r="K64" s="250">
        <v>0</v>
      </c>
      <c r="L64" s="251">
        <v>0.31015625000000002</v>
      </c>
      <c r="M64" s="251">
        <v>0.22448979591836735</v>
      </c>
      <c r="N64" s="251">
        <v>0.26600985221674878</v>
      </c>
      <c r="O64" s="252">
        <v>0</v>
      </c>
      <c r="P64" s="250">
        <v>0.28134831460674159</v>
      </c>
      <c r="Q64" s="250">
        <v>0</v>
      </c>
      <c r="R64" s="251">
        <v>0</v>
      </c>
      <c r="S64" s="252">
        <v>0</v>
      </c>
      <c r="T64" s="250">
        <v>0</v>
      </c>
      <c r="U64" s="253"/>
      <c r="V64" s="254">
        <v>425</v>
      </c>
      <c r="W64" s="255">
        <v>141</v>
      </c>
      <c r="X64" s="255">
        <v>151</v>
      </c>
      <c r="Y64" s="255">
        <v>336</v>
      </c>
      <c r="Z64" s="255">
        <v>28</v>
      </c>
      <c r="AA64" s="255">
        <v>32</v>
      </c>
      <c r="AB64" s="255"/>
      <c r="AC64" s="256">
        <v>1113</v>
      </c>
      <c r="AD64" s="254">
        <v>0</v>
      </c>
      <c r="AE64" s="255">
        <v>397</v>
      </c>
      <c r="AF64" s="255">
        <v>121</v>
      </c>
      <c r="AG64" s="255">
        <v>108</v>
      </c>
      <c r="AH64" s="255">
        <v>0</v>
      </c>
      <c r="AI64" s="256">
        <v>626</v>
      </c>
      <c r="AJ64" s="255">
        <v>0</v>
      </c>
      <c r="AK64" s="255">
        <v>0</v>
      </c>
      <c r="AL64" s="255">
        <v>0</v>
      </c>
      <c r="AM64" s="254">
        <v>0</v>
      </c>
    </row>
    <row r="65" spans="1:41" ht="13.9" customHeight="1">
      <c r="A65" s="249"/>
      <c r="B65" s="239" t="s">
        <v>55</v>
      </c>
      <c r="C65" s="250">
        <v>0.16021011162179907</v>
      </c>
      <c r="D65" s="251">
        <v>0.27074235807860264</v>
      </c>
      <c r="E65" s="251">
        <v>0.27752639517345401</v>
      </c>
      <c r="F65" s="251">
        <v>0.29390681003584229</v>
      </c>
      <c r="G65" s="251">
        <v>0.46564885496183206</v>
      </c>
      <c r="H65" s="252">
        <v>0.41605839416058393</v>
      </c>
      <c r="I65" s="251"/>
      <c r="J65" s="530">
        <v>0.25075458555839331</v>
      </c>
      <c r="K65" s="250">
        <v>0</v>
      </c>
      <c r="L65" s="251">
        <v>0.28046874999999999</v>
      </c>
      <c r="M65" s="251">
        <v>0.30612244897959184</v>
      </c>
      <c r="N65" s="251">
        <v>0.25123152709359609</v>
      </c>
      <c r="O65" s="252">
        <v>0</v>
      </c>
      <c r="P65" s="250">
        <v>0.28134831460674159</v>
      </c>
      <c r="Q65" s="250">
        <v>0</v>
      </c>
      <c r="R65" s="251">
        <v>0</v>
      </c>
      <c r="S65" s="252">
        <v>0</v>
      </c>
      <c r="T65" s="250">
        <v>0</v>
      </c>
      <c r="U65" s="253"/>
      <c r="V65" s="254">
        <v>244</v>
      </c>
      <c r="W65" s="255">
        <v>124</v>
      </c>
      <c r="X65" s="255">
        <v>184</v>
      </c>
      <c r="Y65" s="255">
        <v>410</v>
      </c>
      <c r="Z65" s="255">
        <v>61</v>
      </c>
      <c r="AA65" s="255">
        <v>57</v>
      </c>
      <c r="AB65" s="255"/>
      <c r="AC65" s="256">
        <v>1080</v>
      </c>
      <c r="AD65" s="254">
        <v>0</v>
      </c>
      <c r="AE65" s="255">
        <v>359</v>
      </c>
      <c r="AF65" s="255">
        <v>165</v>
      </c>
      <c r="AG65" s="255">
        <v>102</v>
      </c>
      <c r="AH65" s="255">
        <v>0</v>
      </c>
      <c r="AI65" s="256">
        <v>626</v>
      </c>
      <c r="AJ65" s="255">
        <v>0</v>
      </c>
      <c r="AK65" s="255">
        <v>0</v>
      </c>
      <c r="AL65" s="255">
        <v>0</v>
      </c>
      <c r="AM65" s="254">
        <v>0</v>
      </c>
    </row>
    <row r="66" spans="1:41" ht="13.9" customHeight="1">
      <c r="A66" s="249"/>
      <c r="B66" s="239" t="s">
        <v>78</v>
      </c>
      <c r="C66" s="250">
        <v>1.7071569271175313E-2</v>
      </c>
      <c r="D66" s="251">
        <v>3.7117903930131008E-2</v>
      </c>
      <c r="E66" s="251">
        <v>3.6199095022624438E-2</v>
      </c>
      <c r="F66" s="251">
        <v>2.9390681003584228E-2</v>
      </c>
      <c r="G66" s="251">
        <v>3.8167938931297711E-2</v>
      </c>
      <c r="H66" s="252">
        <v>6.569343065693431E-2</v>
      </c>
      <c r="I66" s="251"/>
      <c r="J66" s="530">
        <v>2.8325980961225912E-2</v>
      </c>
      <c r="K66" s="250">
        <v>0</v>
      </c>
      <c r="L66" s="251">
        <v>4.3749999999999997E-2</v>
      </c>
      <c r="M66" s="251">
        <v>5.5658627087198514E-2</v>
      </c>
      <c r="N66" s="251">
        <v>0.20443349753694581</v>
      </c>
      <c r="O66" s="252">
        <v>0</v>
      </c>
      <c r="P66" s="250">
        <v>7.5955056179775285E-2</v>
      </c>
      <c r="Q66" s="250">
        <v>0</v>
      </c>
      <c r="R66" s="251">
        <v>0</v>
      </c>
      <c r="S66" s="252">
        <v>0</v>
      </c>
      <c r="T66" s="250">
        <v>0</v>
      </c>
      <c r="U66" s="253"/>
      <c r="V66" s="254">
        <v>26</v>
      </c>
      <c r="W66" s="255">
        <v>17</v>
      </c>
      <c r="X66" s="255">
        <v>24</v>
      </c>
      <c r="Y66" s="255">
        <v>41</v>
      </c>
      <c r="Z66" s="255">
        <v>5</v>
      </c>
      <c r="AA66" s="255">
        <v>9</v>
      </c>
      <c r="AB66" s="255"/>
      <c r="AC66" s="256">
        <v>122</v>
      </c>
      <c r="AD66" s="254">
        <v>0</v>
      </c>
      <c r="AE66" s="255">
        <v>56</v>
      </c>
      <c r="AF66" s="255">
        <v>30</v>
      </c>
      <c r="AG66" s="255">
        <v>83</v>
      </c>
      <c r="AH66" s="255">
        <v>0</v>
      </c>
      <c r="AI66" s="256">
        <v>169</v>
      </c>
      <c r="AJ66" s="255">
        <v>0</v>
      </c>
      <c r="AK66" s="255">
        <v>0</v>
      </c>
      <c r="AL66" s="255">
        <v>0</v>
      </c>
      <c r="AM66" s="254">
        <v>0</v>
      </c>
    </row>
    <row r="67" spans="1:41" s="9" customFormat="1" ht="15.75" customHeight="1">
      <c r="A67" s="239"/>
      <c r="B67" s="782" t="s">
        <v>131</v>
      </c>
      <c r="C67" s="581">
        <v>0.11162179908076166</v>
      </c>
      <c r="D67" s="581">
        <v>0.10262008733624454</v>
      </c>
      <c r="E67" s="581">
        <v>0.20060331825037708</v>
      </c>
      <c r="F67" s="581">
        <v>0.21577060931899641</v>
      </c>
      <c r="G67" s="581">
        <v>0.12213740458015267</v>
      </c>
      <c r="H67" s="581">
        <v>0</v>
      </c>
      <c r="I67" s="581">
        <v>0</v>
      </c>
      <c r="J67" s="581">
        <v>0.1548641745994892</v>
      </c>
      <c r="K67" s="581">
        <v>0</v>
      </c>
      <c r="L67" s="581">
        <v>2.3437499999999999E-3</v>
      </c>
      <c r="M67" s="581">
        <v>7.792207792207792E-2</v>
      </c>
      <c r="N67" s="581">
        <v>4.9261083743842365E-3</v>
      </c>
      <c r="O67" s="581">
        <v>0</v>
      </c>
      <c r="P67" s="581">
        <v>2.1123595505617977E-2</v>
      </c>
      <c r="Q67" s="581">
        <v>0</v>
      </c>
      <c r="R67" s="581">
        <v>0</v>
      </c>
      <c r="S67" s="581">
        <v>0</v>
      </c>
      <c r="T67" s="581">
        <v>0</v>
      </c>
      <c r="U67" s="391"/>
      <c r="V67" s="254"/>
      <c r="W67" s="255"/>
      <c r="X67" s="255"/>
      <c r="Y67" s="255"/>
      <c r="Z67" s="255"/>
      <c r="AA67" s="255"/>
      <c r="AB67" s="255"/>
      <c r="AC67" s="256"/>
      <c r="AD67" s="393"/>
      <c r="AE67" s="394"/>
      <c r="AF67" s="394"/>
      <c r="AG67" s="394"/>
      <c r="AH67" s="395"/>
      <c r="AI67" s="428"/>
      <c r="AJ67" s="393"/>
      <c r="AK67" s="393"/>
      <c r="AL67" s="393"/>
      <c r="AM67" s="397"/>
      <c r="AN67" s="349"/>
      <c r="AO67" s="349"/>
    </row>
    <row r="68" spans="1:41" s="271" customFormat="1" ht="14.25" customHeight="1">
      <c r="A68" s="259"/>
      <c r="B68" s="260" t="s">
        <v>59</v>
      </c>
      <c r="C68" s="261">
        <v>1</v>
      </c>
      <c r="D68" s="262">
        <v>1</v>
      </c>
      <c r="E68" s="262">
        <v>1</v>
      </c>
      <c r="F68" s="262">
        <v>1</v>
      </c>
      <c r="G68" s="262">
        <v>1</v>
      </c>
      <c r="H68" s="263">
        <v>1</v>
      </c>
      <c r="I68" s="262"/>
      <c r="J68" s="531">
        <v>1</v>
      </c>
      <c r="K68" s="261">
        <v>0</v>
      </c>
      <c r="L68" s="262">
        <v>1</v>
      </c>
      <c r="M68" s="262">
        <v>1</v>
      </c>
      <c r="N68" s="262">
        <v>1</v>
      </c>
      <c r="O68" s="263">
        <v>0</v>
      </c>
      <c r="P68" s="261">
        <v>1</v>
      </c>
      <c r="Q68" s="261">
        <v>0</v>
      </c>
      <c r="R68" s="262">
        <v>0</v>
      </c>
      <c r="S68" s="263">
        <v>0</v>
      </c>
      <c r="T68" s="261">
        <v>0</v>
      </c>
      <c r="U68" s="264"/>
      <c r="V68" s="265">
        <v>1523</v>
      </c>
      <c r="W68" s="266">
        <v>458</v>
      </c>
      <c r="X68" s="266">
        <v>663</v>
      </c>
      <c r="Y68" s="266">
        <v>1395</v>
      </c>
      <c r="Z68" s="266">
        <v>131</v>
      </c>
      <c r="AA68" s="266">
        <v>137</v>
      </c>
      <c r="AB68" s="266"/>
      <c r="AC68" s="267">
        <v>4307</v>
      </c>
      <c r="AD68" s="265">
        <v>0</v>
      </c>
      <c r="AE68" s="266">
        <v>1280</v>
      </c>
      <c r="AF68" s="266">
        <v>539</v>
      </c>
      <c r="AG68" s="266">
        <v>406</v>
      </c>
      <c r="AH68" s="268">
        <v>0</v>
      </c>
      <c r="AI68" s="268">
        <v>2225</v>
      </c>
      <c r="AJ68" s="265">
        <v>0</v>
      </c>
      <c r="AK68" s="266">
        <v>0</v>
      </c>
      <c r="AL68" s="268">
        <v>0</v>
      </c>
      <c r="AM68" s="265">
        <v>0</v>
      </c>
      <c r="AN68" s="270"/>
      <c r="AO68" s="270"/>
    </row>
    <row r="69" spans="1:41" ht="13.9" customHeight="1">
      <c r="A69" s="239" t="s">
        <v>11</v>
      </c>
      <c r="B69" s="239" t="s">
        <v>53</v>
      </c>
      <c r="C69" s="241">
        <v>0.25214899713467048</v>
      </c>
      <c r="D69" s="242">
        <v>0.2673956262425447</v>
      </c>
      <c r="E69" s="242">
        <v>0</v>
      </c>
      <c r="F69" s="242">
        <v>0.25356125356125359</v>
      </c>
      <c r="G69" s="242">
        <v>0.22222222222222221</v>
      </c>
      <c r="H69" s="243">
        <v>0</v>
      </c>
      <c r="I69" s="242"/>
      <c r="J69" s="529">
        <v>0.25928161786900089</v>
      </c>
      <c r="K69" s="241">
        <v>0</v>
      </c>
      <c r="L69" s="242">
        <v>0</v>
      </c>
      <c r="M69" s="242">
        <v>0</v>
      </c>
      <c r="N69" s="242">
        <v>0</v>
      </c>
      <c r="O69" s="243">
        <v>0</v>
      </c>
      <c r="P69" s="241">
        <v>0</v>
      </c>
      <c r="Q69" s="241">
        <v>0</v>
      </c>
      <c r="R69" s="242">
        <v>0</v>
      </c>
      <c r="S69" s="243">
        <v>0</v>
      </c>
      <c r="T69" s="241">
        <v>0</v>
      </c>
      <c r="U69" s="253"/>
      <c r="V69" s="245">
        <v>176</v>
      </c>
      <c r="W69" s="246">
        <v>538</v>
      </c>
      <c r="X69" s="246">
        <v>0</v>
      </c>
      <c r="Y69" s="246">
        <v>89</v>
      </c>
      <c r="Z69" s="246">
        <v>56</v>
      </c>
      <c r="AA69" s="246">
        <v>0</v>
      </c>
      <c r="AB69" s="246"/>
      <c r="AC69" s="247">
        <v>859</v>
      </c>
      <c r="AD69" s="245">
        <v>0</v>
      </c>
      <c r="AE69" s="246">
        <v>0</v>
      </c>
      <c r="AF69" s="246">
        <v>0</v>
      </c>
      <c r="AG69" s="246">
        <v>0</v>
      </c>
      <c r="AH69" s="246">
        <v>0</v>
      </c>
      <c r="AI69" s="247">
        <v>0</v>
      </c>
      <c r="AJ69" s="246">
        <v>0</v>
      </c>
      <c r="AK69" s="246">
        <v>0</v>
      </c>
      <c r="AL69" s="246">
        <v>0</v>
      </c>
      <c r="AM69" s="245">
        <v>0</v>
      </c>
    </row>
    <row r="70" spans="1:41" ht="13.9" customHeight="1">
      <c r="A70" s="249"/>
      <c r="B70" s="239" t="s">
        <v>93</v>
      </c>
      <c r="C70" s="250">
        <v>0.21919770773638969</v>
      </c>
      <c r="D70" s="251">
        <v>0.25049701789264411</v>
      </c>
      <c r="E70" s="251">
        <v>0</v>
      </c>
      <c r="F70" s="251">
        <v>0.150997150997151</v>
      </c>
      <c r="G70" s="251">
        <v>0.16666666666666666</v>
      </c>
      <c r="H70" s="252">
        <v>0</v>
      </c>
      <c r="I70" s="251"/>
      <c r="J70" s="530">
        <v>0.22698460609719287</v>
      </c>
      <c r="K70" s="250">
        <v>0</v>
      </c>
      <c r="L70" s="251">
        <v>0</v>
      </c>
      <c r="M70" s="251">
        <v>0</v>
      </c>
      <c r="N70" s="251">
        <v>0</v>
      </c>
      <c r="O70" s="252">
        <v>0</v>
      </c>
      <c r="P70" s="250">
        <v>0</v>
      </c>
      <c r="Q70" s="250">
        <v>0</v>
      </c>
      <c r="R70" s="251">
        <v>0</v>
      </c>
      <c r="S70" s="252">
        <v>0</v>
      </c>
      <c r="T70" s="250">
        <v>0</v>
      </c>
      <c r="U70" s="253"/>
      <c r="V70" s="254">
        <v>153</v>
      </c>
      <c r="W70" s="255">
        <v>504</v>
      </c>
      <c r="X70" s="255">
        <v>0</v>
      </c>
      <c r="Y70" s="255">
        <v>53</v>
      </c>
      <c r="Z70" s="255">
        <v>42</v>
      </c>
      <c r="AA70" s="255">
        <v>0</v>
      </c>
      <c r="AB70" s="255"/>
      <c r="AC70" s="256">
        <v>752</v>
      </c>
      <c r="AD70" s="254">
        <v>0</v>
      </c>
      <c r="AE70" s="255">
        <v>0</v>
      </c>
      <c r="AF70" s="255">
        <v>0</v>
      </c>
      <c r="AG70" s="255">
        <v>0</v>
      </c>
      <c r="AH70" s="255">
        <v>0</v>
      </c>
      <c r="AI70" s="256">
        <v>0</v>
      </c>
      <c r="AJ70" s="255">
        <v>0</v>
      </c>
      <c r="AK70" s="255">
        <v>0</v>
      </c>
      <c r="AL70" s="255">
        <v>0</v>
      </c>
      <c r="AM70" s="254">
        <v>0</v>
      </c>
    </row>
    <row r="71" spans="1:41" ht="13.9" customHeight="1">
      <c r="A71" s="249"/>
      <c r="B71" s="239" t="s">
        <v>55</v>
      </c>
      <c r="C71" s="250">
        <v>0.34670487106017189</v>
      </c>
      <c r="D71" s="251">
        <v>0.32753479125248508</v>
      </c>
      <c r="E71" s="251">
        <v>0</v>
      </c>
      <c r="F71" s="251">
        <v>0.33048433048433046</v>
      </c>
      <c r="G71" s="251">
        <v>0.36507936507936506</v>
      </c>
      <c r="H71" s="252">
        <v>0</v>
      </c>
      <c r="I71" s="251"/>
      <c r="J71" s="530">
        <v>0.33474192574705702</v>
      </c>
      <c r="K71" s="250">
        <v>0</v>
      </c>
      <c r="L71" s="251">
        <v>0</v>
      </c>
      <c r="M71" s="251">
        <v>0</v>
      </c>
      <c r="N71" s="251">
        <v>0</v>
      </c>
      <c r="O71" s="252">
        <v>0</v>
      </c>
      <c r="P71" s="250">
        <v>0</v>
      </c>
      <c r="Q71" s="250">
        <v>0</v>
      </c>
      <c r="R71" s="251">
        <v>0</v>
      </c>
      <c r="S71" s="252">
        <v>0</v>
      </c>
      <c r="T71" s="250">
        <v>0</v>
      </c>
      <c r="U71" s="253"/>
      <c r="V71" s="254">
        <v>242</v>
      </c>
      <c r="W71" s="255">
        <v>659</v>
      </c>
      <c r="X71" s="255">
        <v>0</v>
      </c>
      <c r="Y71" s="255">
        <v>116</v>
      </c>
      <c r="Z71" s="255">
        <v>92</v>
      </c>
      <c r="AA71" s="255">
        <v>0</v>
      </c>
      <c r="AB71" s="255"/>
      <c r="AC71" s="256">
        <v>1109</v>
      </c>
      <c r="AD71" s="254">
        <v>0</v>
      </c>
      <c r="AE71" s="255">
        <v>0</v>
      </c>
      <c r="AF71" s="255">
        <v>0</v>
      </c>
      <c r="AG71" s="255">
        <v>0</v>
      </c>
      <c r="AH71" s="255">
        <v>0</v>
      </c>
      <c r="AI71" s="256">
        <v>0</v>
      </c>
      <c r="AJ71" s="255">
        <v>0</v>
      </c>
      <c r="AK71" s="255">
        <v>0</v>
      </c>
      <c r="AL71" s="255">
        <v>0</v>
      </c>
      <c r="AM71" s="254">
        <v>0</v>
      </c>
    </row>
    <row r="72" spans="1:41" ht="13.9" customHeight="1">
      <c r="A72" s="249"/>
      <c r="B72" s="239" t="s">
        <v>78</v>
      </c>
      <c r="C72" s="250">
        <v>0.17908309455587393</v>
      </c>
      <c r="D72" s="251">
        <v>0.12773359840954274</v>
      </c>
      <c r="E72" s="251">
        <v>0</v>
      </c>
      <c r="F72" s="251">
        <v>0.26495726495726496</v>
      </c>
      <c r="G72" s="251">
        <v>0.24603174603174602</v>
      </c>
      <c r="H72" s="252">
        <v>0</v>
      </c>
      <c r="I72" s="251"/>
      <c r="J72" s="530">
        <v>0.16208874132206461</v>
      </c>
      <c r="K72" s="250">
        <v>0</v>
      </c>
      <c r="L72" s="251">
        <v>0</v>
      </c>
      <c r="M72" s="251">
        <v>0</v>
      </c>
      <c r="N72" s="251">
        <v>0</v>
      </c>
      <c r="O72" s="252">
        <v>0</v>
      </c>
      <c r="P72" s="250">
        <v>0</v>
      </c>
      <c r="Q72" s="250">
        <v>0</v>
      </c>
      <c r="R72" s="251">
        <v>0</v>
      </c>
      <c r="S72" s="252">
        <v>0</v>
      </c>
      <c r="T72" s="250">
        <v>0</v>
      </c>
      <c r="U72" s="253"/>
      <c r="V72" s="254">
        <v>125</v>
      </c>
      <c r="W72" s="255">
        <v>257</v>
      </c>
      <c r="X72" s="255">
        <v>0</v>
      </c>
      <c r="Y72" s="255">
        <v>93</v>
      </c>
      <c r="Z72" s="255">
        <v>62</v>
      </c>
      <c r="AA72" s="255">
        <v>0</v>
      </c>
      <c r="AB72" s="255"/>
      <c r="AC72" s="256">
        <v>537</v>
      </c>
      <c r="AD72" s="254">
        <v>0</v>
      </c>
      <c r="AE72" s="255">
        <v>0</v>
      </c>
      <c r="AF72" s="255">
        <v>0</v>
      </c>
      <c r="AG72" s="255">
        <v>0</v>
      </c>
      <c r="AH72" s="255">
        <v>0</v>
      </c>
      <c r="AI72" s="256">
        <v>0</v>
      </c>
      <c r="AJ72" s="255">
        <v>0</v>
      </c>
      <c r="AK72" s="255">
        <v>0</v>
      </c>
      <c r="AL72" s="255">
        <v>0</v>
      </c>
      <c r="AM72" s="254">
        <v>0</v>
      </c>
    </row>
    <row r="73" spans="1:41" s="9" customFormat="1" ht="15.75" customHeight="1">
      <c r="A73" s="239"/>
      <c r="B73" s="782" t="s">
        <v>131</v>
      </c>
      <c r="C73" s="581">
        <v>2.8653295128939827E-3</v>
      </c>
      <c r="D73" s="581">
        <v>2.6838966202783299E-2</v>
      </c>
      <c r="E73" s="581">
        <v>0</v>
      </c>
      <c r="F73" s="581">
        <v>0</v>
      </c>
      <c r="G73" s="581">
        <v>0</v>
      </c>
      <c r="H73" s="581">
        <v>0</v>
      </c>
      <c r="I73" s="581">
        <v>0</v>
      </c>
      <c r="J73" s="581">
        <v>1.6903108964684575E-2</v>
      </c>
      <c r="K73" s="581">
        <v>0</v>
      </c>
      <c r="L73" s="581">
        <v>1</v>
      </c>
      <c r="M73" s="581">
        <v>1</v>
      </c>
      <c r="N73" s="581">
        <v>1</v>
      </c>
      <c r="O73" s="581">
        <v>0</v>
      </c>
      <c r="P73" s="581">
        <v>1</v>
      </c>
      <c r="Q73" s="581">
        <v>0</v>
      </c>
      <c r="R73" s="581">
        <v>0</v>
      </c>
      <c r="S73" s="581">
        <v>0</v>
      </c>
      <c r="T73" s="581">
        <v>0</v>
      </c>
      <c r="U73" s="391"/>
      <c r="V73" s="254"/>
      <c r="W73" s="255"/>
      <c r="X73" s="255"/>
      <c r="Y73" s="255"/>
      <c r="Z73" s="255"/>
      <c r="AA73" s="255"/>
      <c r="AB73" s="255"/>
      <c r="AC73" s="256"/>
      <c r="AD73" s="393"/>
      <c r="AE73" s="394"/>
      <c r="AF73" s="394"/>
      <c r="AG73" s="394"/>
      <c r="AH73" s="395"/>
      <c r="AI73" s="428"/>
      <c r="AJ73" s="393"/>
      <c r="AK73" s="393"/>
      <c r="AL73" s="393"/>
      <c r="AM73" s="397"/>
      <c r="AN73" s="349"/>
      <c r="AO73" s="349"/>
    </row>
    <row r="74" spans="1:41" s="271" customFormat="1" ht="23.45" customHeight="1">
      <c r="A74" s="259"/>
      <c r="B74" s="260" t="s">
        <v>59</v>
      </c>
      <c r="C74" s="261">
        <v>1</v>
      </c>
      <c r="D74" s="262">
        <v>1</v>
      </c>
      <c r="E74" s="262">
        <v>0</v>
      </c>
      <c r="F74" s="262">
        <v>1</v>
      </c>
      <c r="G74" s="262">
        <v>1</v>
      </c>
      <c r="H74" s="263">
        <v>0</v>
      </c>
      <c r="I74" s="262"/>
      <c r="J74" s="531">
        <v>1</v>
      </c>
      <c r="K74" s="261">
        <v>0</v>
      </c>
      <c r="L74" s="262">
        <v>1</v>
      </c>
      <c r="M74" s="262">
        <v>1</v>
      </c>
      <c r="N74" s="262">
        <v>1</v>
      </c>
      <c r="O74" s="263">
        <v>0</v>
      </c>
      <c r="P74" s="261">
        <v>1</v>
      </c>
      <c r="Q74" s="261">
        <v>0</v>
      </c>
      <c r="R74" s="262">
        <v>0</v>
      </c>
      <c r="S74" s="263">
        <v>0</v>
      </c>
      <c r="T74" s="261">
        <v>0</v>
      </c>
      <c r="U74" s="264"/>
      <c r="V74" s="265">
        <v>698</v>
      </c>
      <c r="W74" s="266">
        <v>2012</v>
      </c>
      <c r="X74" s="266">
        <v>0</v>
      </c>
      <c r="Y74" s="266">
        <v>351</v>
      </c>
      <c r="Z74" s="266">
        <v>252</v>
      </c>
      <c r="AA74" s="266">
        <v>0</v>
      </c>
      <c r="AB74" s="266"/>
      <c r="AC74" s="267">
        <v>3313</v>
      </c>
      <c r="AD74" s="265">
        <v>0</v>
      </c>
      <c r="AE74" s="266">
        <v>993.7</v>
      </c>
      <c r="AF74" s="266">
        <v>1341.3</v>
      </c>
      <c r="AG74" s="266">
        <v>147</v>
      </c>
      <c r="AH74" s="268">
        <v>0</v>
      </c>
      <c r="AI74" s="268">
        <v>2482</v>
      </c>
      <c r="AJ74" s="265">
        <v>0</v>
      </c>
      <c r="AK74" s="266">
        <v>0</v>
      </c>
      <c r="AL74" s="268">
        <v>0</v>
      </c>
      <c r="AM74" s="265">
        <v>0</v>
      </c>
      <c r="AN74" s="270"/>
      <c r="AO74" s="270"/>
    </row>
    <row r="75" spans="1:41" ht="13.9" customHeight="1">
      <c r="A75" s="239" t="s">
        <v>12</v>
      </c>
      <c r="B75" s="239" t="s">
        <v>53</v>
      </c>
      <c r="C75" s="241">
        <v>0.39567638388470355</v>
      </c>
      <c r="D75" s="242">
        <v>0.22283356258596973</v>
      </c>
      <c r="E75" s="242">
        <v>0.23822441430332922</v>
      </c>
      <c r="F75" s="242">
        <v>0.14937759336099585</v>
      </c>
      <c r="G75" s="242">
        <v>0.15637860082304528</v>
      </c>
      <c r="H75" s="243">
        <v>0.24431818181818182</v>
      </c>
      <c r="I75" s="242"/>
      <c r="J75" s="529">
        <v>0.2869899400926868</v>
      </c>
      <c r="K75" s="241">
        <v>0</v>
      </c>
      <c r="L75" s="242">
        <v>0</v>
      </c>
      <c r="M75" s="242">
        <v>0</v>
      </c>
      <c r="N75" s="242">
        <v>0</v>
      </c>
      <c r="O75" s="243">
        <v>0</v>
      </c>
      <c r="P75" s="241">
        <v>0</v>
      </c>
      <c r="Q75" s="241">
        <v>0</v>
      </c>
      <c r="R75" s="242">
        <v>0</v>
      </c>
      <c r="S75" s="243">
        <v>0</v>
      </c>
      <c r="T75" s="241">
        <v>0</v>
      </c>
      <c r="U75" s="253"/>
      <c r="V75" s="245">
        <v>1208</v>
      </c>
      <c r="W75" s="246">
        <v>162</v>
      </c>
      <c r="X75" s="246">
        <v>966</v>
      </c>
      <c r="Y75" s="246">
        <v>36</v>
      </c>
      <c r="Z75" s="246">
        <v>38</v>
      </c>
      <c r="AA75" s="246">
        <v>129</v>
      </c>
      <c r="AB75" s="246"/>
      <c r="AC75" s="247">
        <v>2539</v>
      </c>
      <c r="AD75" s="245">
        <v>0</v>
      </c>
      <c r="AE75" s="246">
        <v>0</v>
      </c>
      <c r="AF75" s="246">
        <v>0</v>
      </c>
      <c r="AG75" s="246">
        <v>0</v>
      </c>
      <c r="AH75" s="246">
        <v>0</v>
      </c>
      <c r="AI75" s="247">
        <v>0</v>
      </c>
      <c r="AJ75" s="246">
        <v>0</v>
      </c>
      <c r="AK75" s="246">
        <v>0</v>
      </c>
      <c r="AL75" s="246">
        <v>0</v>
      </c>
      <c r="AM75" s="245">
        <v>0</v>
      </c>
    </row>
    <row r="76" spans="1:41" ht="13.9" customHeight="1">
      <c r="A76" s="249"/>
      <c r="B76" s="239" t="s">
        <v>93</v>
      </c>
      <c r="C76" s="250">
        <v>0.23321323288568621</v>
      </c>
      <c r="D76" s="251">
        <v>0.23246217331499311</v>
      </c>
      <c r="E76" s="251">
        <v>0.27620221948212081</v>
      </c>
      <c r="F76" s="251">
        <v>0.21991701244813278</v>
      </c>
      <c r="G76" s="251">
        <v>0.23045267489711935</v>
      </c>
      <c r="H76" s="252">
        <v>0.29734848484848486</v>
      </c>
      <c r="I76" s="251"/>
      <c r="J76" s="530">
        <v>0.2562450548208432</v>
      </c>
      <c r="K76" s="250">
        <v>0</v>
      </c>
      <c r="L76" s="251">
        <v>0</v>
      </c>
      <c r="M76" s="251">
        <v>0</v>
      </c>
      <c r="N76" s="251">
        <v>0</v>
      </c>
      <c r="O76" s="252">
        <v>0</v>
      </c>
      <c r="P76" s="250">
        <v>0</v>
      </c>
      <c r="Q76" s="250">
        <v>0</v>
      </c>
      <c r="R76" s="251">
        <v>0</v>
      </c>
      <c r="S76" s="252">
        <v>0</v>
      </c>
      <c r="T76" s="250">
        <v>0</v>
      </c>
      <c r="U76" s="253"/>
      <c r="V76" s="254">
        <v>712</v>
      </c>
      <c r="W76" s="255">
        <v>169</v>
      </c>
      <c r="X76" s="255">
        <v>1120</v>
      </c>
      <c r="Y76" s="255">
        <v>53</v>
      </c>
      <c r="Z76" s="255">
        <v>56</v>
      </c>
      <c r="AA76" s="255">
        <v>157</v>
      </c>
      <c r="AB76" s="255"/>
      <c r="AC76" s="256">
        <v>2267</v>
      </c>
      <c r="AD76" s="254">
        <v>0</v>
      </c>
      <c r="AE76" s="255">
        <v>0</v>
      </c>
      <c r="AF76" s="255">
        <v>0</v>
      </c>
      <c r="AG76" s="255">
        <v>0</v>
      </c>
      <c r="AH76" s="255">
        <v>0</v>
      </c>
      <c r="AI76" s="256">
        <v>0</v>
      </c>
      <c r="AJ76" s="255">
        <v>0</v>
      </c>
      <c r="AK76" s="255">
        <v>0</v>
      </c>
      <c r="AL76" s="255">
        <v>0</v>
      </c>
      <c r="AM76" s="254">
        <v>0</v>
      </c>
    </row>
    <row r="77" spans="1:41" ht="13.9" customHeight="1">
      <c r="A77" s="249"/>
      <c r="B77" s="239" t="s">
        <v>55</v>
      </c>
      <c r="C77" s="250">
        <v>0.20766459220438913</v>
      </c>
      <c r="D77" s="251">
        <v>0.26685006877579093</v>
      </c>
      <c r="E77" s="251">
        <v>0.27348951911220715</v>
      </c>
      <c r="F77" s="251">
        <v>0.44813278008298757</v>
      </c>
      <c r="G77" s="251">
        <v>0.29629629629629628</v>
      </c>
      <c r="H77" s="252">
        <v>0.25757575757575757</v>
      </c>
      <c r="I77" s="251"/>
      <c r="J77" s="530">
        <v>0.25466259749067482</v>
      </c>
      <c r="K77" s="250">
        <v>0</v>
      </c>
      <c r="L77" s="251">
        <v>0</v>
      </c>
      <c r="M77" s="251">
        <v>0</v>
      </c>
      <c r="N77" s="251">
        <v>0</v>
      </c>
      <c r="O77" s="252">
        <v>0</v>
      </c>
      <c r="P77" s="250">
        <v>0</v>
      </c>
      <c r="Q77" s="250">
        <v>0</v>
      </c>
      <c r="R77" s="251">
        <v>0</v>
      </c>
      <c r="S77" s="252">
        <v>0</v>
      </c>
      <c r="T77" s="250">
        <v>0</v>
      </c>
      <c r="U77" s="253"/>
      <c r="V77" s="254">
        <v>634</v>
      </c>
      <c r="W77" s="255">
        <v>194</v>
      </c>
      <c r="X77" s="255">
        <v>1109</v>
      </c>
      <c r="Y77" s="255">
        <v>108</v>
      </c>
      <c r="Z77" s="255">
        <v>72</v>
      </c>
      <c r="AA77" s="255">
        <v>136</v>
      </c>
      <c r="AB77" s="255"/>
      <c r="AC77" s="256">
        <v>2253</v>
      </c>
      <c r="AD77" s="254">
        <v>0</v>
      </c>
      <c r="AE77" s="255">
        <v>0</v>
      </c>
      <c r="AF77" s="255">
        <v>0</v>
      </c>
      <c r="AG77" s="255">
        <v>0</v>
      </c>
      <c r="AH77" s="255">
        <v>0</v>
      </c>
      <c r="AI77" s="256">
        <v>0</v>
      </c>
      <c r="AJ77" s="255">
        <v>0</v>
      </c>
      <c r="AK77" s="255">
        <v>0</v>
      </c>
      <c r="AL77" s="255">
        <v>0</v>
      </c>
      <c r="AM77" s="254">
        <v>0</v>
      </c>
    </row>
    <row r="78" spans="1:41" ht="13.9" customHeight="1">
      <c r="A78" s="249"/>
      <c r="B78" s="239" t="s">
        <v>78</v>
      </c>
      <c r="C78" s="272">
        <v>8.5162135604323619E-3</v>
      </c>
      <c r="D78" s="251">
        <v>5.5020632737276479E-3</v>
      </c>
      <c r="E78" s="251">
        <v>5.6720098643649819E-3</v>
      </c>
      <c r="F78" s="251">
        <v>1.6597510373443983E-2</v>
      </c>
      <c r="G78" s="251">
        <v>2.8806584362139918E-2</v>
      </c>
      <c r="H78" s="252">
        <v>3.0303030303030304E-2</v>
      </c>
      <c r="I78" s="251"/>
      <c r="J78" s="530">
        <v>9.0426133152481068E-3</v>
      </c>
      <c r="K78" s="250">
        <v>0</v>
      </c>
      <c r="L78" s="251">
        <v>0</v>
      </c>
      <c r="M78" s="251">
        <v>0</v>
      </c>
      <c r="N78" s="251">
        <v>0</v>
      </c>
      <c r="O78" s="252">
        <v>0</v>
      </c>
      <c r="P78" s="250">
        <v>0</v>
      </c>
      <c r="Q78" s="250">
        <v>0</v>
      </c>
      <c r="R78" s="251">
        <v>0</v>
      </c>
      <c r="S78" s="252">
        <v>0</v>
      </c>
      <c r="T78" s="250">
        <v>0</v>
      </c>
      <c r="U78" s="253"/>
      <c r="V78" s="254">
        <v>26</v>
      </c>
      <c r="W78" s="255">
        <v>4</v>
      </c>
      <c r="X78" s="255">
        <v>23</v>
      </c>
      <c r="Y78" s="255">
        <v>4</v>
      </c>
      <c r="Z78" s="255">
        <v>7</v>
      </c>
      <c r="AA78" s="255">
        <v>16</v>
      </c>
      <c r="AB78" s="255"/>
      <c r="AC78" s="256">
        <v>80</v>
      </c>
      <c r="AD78" s="254">
        <v>0</v>
      </c>
      <c r="AE78" s="255">
        <v>0</v>
      </c>
      <c r="AF78" s="255">
        <v>0</v>
      </c>
      <c r="AG78" s="255">
        <v>0</v>
      </c>
      <c r="AH78" s="255">
        <v>0</v>
      </c>
      <c r="AI78" s="256">
        <v>0</v>
      </c>
      <c r="AJ78" s="255">
        <v>0</v>
      </c>
      <c r="AK78" s="255">
        <v>0</v>
      </c>
      <c r="AL78" s="255">
        <v>0</v>
      </c>
      <c r="AM78" s="254">
        <v>0</v>
      </c>
    </row>
    <row r="79" spans="1:41" s="9" customFormat="1" ht="15.75" customHeight="1">
      <c r="A79" s="239"/>
      <c r="B79" s="782" t="s">
        <v>131</v>
      </c>
      <c r="C79" s="581">
        <v>0.15492957746478872</v>
      </c>
      <c r="D79" s="581">
        <v>0.27235213204951858</v>
      </c>
      <c r="E79" s="581">
        <v>0.20641183723797782</v>
      </c>
      <c r="F79" s="581">
        <v>0.16597510373443983</v>
      </c>
      <c r="G79" s="581">
        <v>0.2880658436213992</v>
      </c>
      <c r="H79" s="581">
        <v>0.17045454545454544</v>
      </c>
      <c r="I79" s="581">
        <v>0</v>
      </c>
      <c r="J79" s="581">
        <v>0.19305979428054706</v>
      </c>
      <c r="K79" s="581">
        <v>0</v>
      </c>
      <c r="L79" s="581">
        <v>1</v>
      </c>
      <c r="M79" s="581">
        <v>1</v>
      </c>
      <c r="N79" s="581">
        <v>1</v>
      </c>
      <c r="O79" s="581">
        <v>0</v>
      </c>
      <c r="P79" s="581">
        <v>1</v>
      </c>
      <c r="Q79" s="581">
        <v>0</v>
      </c>
      <c r="R79" s="581">
        <v>0</v>
      </c>
      <c r="S79" s="581">
        <v>0</v>
      </c>
      <c r="T79" s="581">
        <v>0</v>
      </c>
      <c r="U79" s="391"/>
      <c r="V79" s="254"/>
      <c r="W79" s="255"/>
      <c r="X79" s="255"/>
      <c r="Y79" s="255"/>
      <c r="Z79" s="255"/>
      <c r="AA79" s="255"/>
      <c r="AB79" s="255"/>
      <c r="AC79" s="256"/>
      <c r="AD79" s="393"/>
      <c r="AE79" s="394"/>
      <c r="AF79" s="394"/>
      <c r="AG79" s="394"/>
      <c r="AH79" s="395"/>
      <c r="AI79" s="428"/>
      <c r="AJ79" s="393"/>
      <c r="AK79" s="393"/>
      <c r="AL79" s="393"/>
      <c r="AM79" s="397"/>
      <c r="AN79" s="349"/>
      <c r="AO79" s="349"/>
    </row>
    <row r="80" spans="1:41" s="271" customFormat="1" ht="18" customHeight="1">
      <c r="A80" s="259"/>
      <c r="B80" s="260" t="s">
        <v>59</v>
      </c>
      <c r="C80" s="261">
        <v>1</v>
      </c>
      <c r="D80" s="262">
        <v>1</v>
      </c>
      <c r="E80" s="262">
        <v>1</v>
      </c>
      <c r="F80" s="262">
        <v>1</v>
      </c>
      <c r="G80" s="262">
        <v>1</v>
      </c>
      <c r="H80" s="263">
        <v>1</v>
      </c>
      <c r="I80" s="262"/>
      <c r="J80" s="531">
        <v>1</v>
      </c>
      <c r="K80" s="261">
        <v>0</v>
      </c>
      <c r="L80" s="262">
        <v>1</v>
      </c>
      <c r="M80" s="262">
        <v>1</v>
      </c>
      <c r="N80" s="262">
        <v>1</v>
      </c>
      <c r="O80" s="263">
        <v>0</v>
      </c>
      <c r="P80" s="261">
        <v>1</v>
      </c>
      <c r="Q80" s="261">
        <v>0</v>
      </c>
      <c r="R80" s="262">
        <v>0</v>
      </c>
      <c r="S80" s="263">
        <v>0</v>
      </c>
      <c r="T80" s="261">
        <v>0</v>
      </c>
      <c r="U80" s="264"/>
      <c r="V80" s="265">
        <v>3053</v>
      </c>
      <c r="W80" s="266">
        <v>727</v>
      </c>
      <c r="X80" s="266">
        <v>4055</v>
      </c>
      <c r="Y80" s="266">
        <v>241</v>
      </c>
      <c r="Z80" s="266">
        <v>243</v>
      </c>
      <c r="AA80" s="266">
        <v>528</v>
      </c>
      <c r="AB80" s="266"/>
      <c r="AC80" s="267">
        <v>8847</v>
      </c>
      <c r="AD80" s="265">
        <v>0</v>
      </c>
      <c r="AE80" s="266">
        <v>2079</v>
      </c>
      <c r="AF80" s="266">
        <v>2883</v>
      </c>
      <c r="AG80" s="266">
        <v>519</v>
      </c>
      <c r="AH80" s="268">
        <v>0</v>
      </c>
      <c r="AI80" s="268">
        <v>5481</v>
      </c>
      <c r="AJ80" s="265">
        <v>0</v>
      </c>
      <c r="AK80" s="266">
        <v>0</v>
      </c>
      <c r="AL80" s="268">
        <v>0</v>
      </c>
      <c r="AM80" s="265">
        <v>0</v>
      </c>
      <c r="AN80" s="270"/>
      <c r="AO80" s="270"/>
    </row>
    <row r="81" spans="1:41" ht="13.9" customHeight="1">
      <c r="A81" s="239" t="s">
        <v>13</v>
      </c>
      <c r="B81" s="239" t="s">
        <v>53</v>
      </c>
      <c r="C81" s="241">
        <v>0.3473053892215569</v>
      </c>
      <c r="D81" s="242">
        <v>0</v>
      </c>
      <c r="E81" s="242">
        <v>0.39172749391727496</v>
      </c>
      <c r="F81" s="242">
        <v>0.19745222929936307</v>
      </c>
      <c r="G81" s="242">
        <v>0.21364653243847875</v>
      </c>
      <c r="H81" s="243">
        <v>0.22330097087378642</v>
      </c>
      <c r="I81" s="242"/>
      <c r="J81" s="529">
        <v>0.30205113796010113</v>
      </c>
      <c r="K81" s="241">
        <v>9.0909090909090912E-2</v>
      </c>
      <c r="L81" s="242">
        <v>0</v>
      </c>
      <c r="M81" s="242">
        <v>0</v>
      </c>
      <c r="N81" s="242">
        <v>0</v>
      </c>
      <c r="O81" s="243">
        <v>0</v>
      </c>
      <c r="P81" s="241">
        <v>6.3191153238546603E-3</v>
      </c>
      <c r="Q81" s="241">
        <v>0</v>
      </c>
      <c r="R81" s="242">
        <v>0</v>
      </c>
      <c r="S81" s="243">
        <v>0</v>
      </c>
      <c r="T81" s="241">
        <v>0</v>
      </c>
      <c r="U81" s="253"/>
      <c r="V81" s="245">
        <v>638</v>
      </c>
      <c r="W81" s="246">
        <v>0</v>
      </c>
      <c r="X81" s="246">
        <v>161</v>
      </c>
      <c r="Y81" s="246">
        <v>62</v>
      </c>
      <c r="Z81" s="246">
        <v>191</v>
      </c>
      <c r="AA81" s="246">
        <v>23</v>
      </c>
      <c r="AB81" s="246"/>
      <c r="AC81" s="247">
        <v>1075</v>
      </c>
      <c r="AD81" s="245">
        <v>8</v>
      </c>
      <c r="AE81" s="246">
        <v>0</v>
      </c>
      <c r="AF81" s="246">
        <v>0</v>
      </c>
      <c r="AG81" s="246">
        <v>0</v>
      </c>
      <c r="AH81" s="246">
        <v>0</v>
      </c>
      <c r="AI81" s="247">
        <v>8</v>
      </c>
      <c r="AJ81" s="246">
        <v>0</v>
      </c>
      <c r="AK81" s="246">
        <v>0</v>
      </c>
      <c r="AL81" s="246">
        <v>0</v>
      </c>
      <c r="AM81" s="245">
        <v>0</v>
      </c>
    </row>
    <row r="82" spans="1:41" ht="13.9" customHeight="1">
      <c r="A82" s="249"/>
      <c r="B82" s="239" t="s">
        <v>93</v>
      </c>
      <c r="C82" s="250">
        <v>0.26075122482308111</v>
      </c>
      <c r="D82" s="251">
        <v>0</v>
      </c>
      <c r="E82" s="251">
        <v>0.13868613138686131</v>
      </c>
      <c r="F82" s="251">
        <v>0.24203821656050956</v>
      </c>
      <c r="G82" s="251">
        <v>0.20469798657718122</v>
      </c>
      <c r="H82" s="252">
        <v>0.18446601941747573</v>
      </c>
      <c r="I82" s="251"/>
      <c r="J82" s="530">
        <v>0.22871593144141614</v>
      </c>
      <c r="K82" s="250">
        <v>0.17045454545454544</v>
      </c>
      <c r="L82" s="251">
        <v>0</v>
      </c>
      <c r="M82" s="251">
        <v>0</v>
      </c>
      <c r="N82" s="251">
        <v>0</v>
      </c>
      <c r="O82" s="252">
        <v>0</v>
      </c>
      <c r="P82" s="250">
        <v>1.1848341232227487E-2</v>
      </c>
      <c r="Q82" s="250">
        <v>0</v>
      </c>
      <c r="R82" s="251">
        <v>0</v>
      </c>
      <c r="S82" s="252">
        <v>0</v>
      </c>
      <c r="T82" s="250">
        <v>0</v>
      </c>
      <c r="U82" s="253"/>
      <c r="V82" s="254">
        <v>479</v>
      </c>
      <c r="W82" s="255">
        <v>0</v>
      </c>
      <c r="X82" s="255">
        <v>57</v>
      </c>
      <c r="Y82" s="255">
        <v>76</v>
      </c>
      <c r="Z82" s="255">
        <v>183</v>
      </c>
      <c r="AA82" s="255">
        <v>19</v>
      </c>
      <c r="AB82" s="255"/>
      <c r="AC82" s="256">
        <v>814</v>
      </c>
      <c r="AD82" s="254">
        <v>15</v>
      </c>
      <c r="AE82" s="255">
        <v>0</v>
      </c>
      <c r="AF82" s="255">
        <v>0</v>
      </c>
      <c r="AG82" s="255">
        <v>0</v>
      </c>
      <c r="AH82" s="255">
        <v>0</v>
      </c>
      <c r="AI82" s="256">
        <v>15</v>
      </c>
      <c r="AJ82" s="255">
        <v>0</v>
      </c>
      <c r="AK82" s="255">
        <v>0</v>
      </c>
      <c r="AL82" s="255">
        <v>0</v>
      </c>
      <c r="AM82" s="254">
        <v>0</v>
      </c>
    </row>
    <row r="83" spans="1:41" ht="13.9" customHeight="1">
      <c r="A83" s="249"/>
      <c r="B83" s="239" t="s">
        <v>55</v>
      </c>
      <c r="C83" s="250">
        <v>0.24496461622210125</v>
      </c>
      <c r="D83" s="251">
        <v>0</v>
      </c>
      <c r="E83" s="251">
        <v>0.25304136253041365</v>
      </c>
      <c r="F83" s="251">
        <v>0.29617834394904458</v>
      </c>
      <c r="G83" s="251">
        <v>0.32662192393736017</v>
      </c>
      <c r="H83" s="252">
        <v>0.22330097087378642</v>
      </c>
      <c r="I83" s="251"/>
      <c r="J83" s="530">
        <v>0.27030064624894634</v>
      </c>
      <c r="K83" s="250">
        <v>0.45454545454545453</v>
      </c>
      <c r="L83" s="251">
        <v>0</v>
      </c>
      <c r="M83" s="251">
        <v>0</v>
      </c>
      <c r="N83" s="251">
        <v>0</v>
      </c>
      <c r="O83" s="252">
        <v>0</v>
      </c>
      <c r="P83" s="250">
        <v>3.15955766192733E-2</v>
      </c>
      <c r="Q83" s="250">
        <v>0</v>
      </c>
      <c r="R83" s="251">
        <v>0</v>
      </c>
      <c r="S83" s="252">
        <v>0</v>
      </c>
      <c r="T83" s="250">
        <v>0</v>
      </c>
      <c r="U83" s="253"/>
      <c r="V83" s="254">
        <v>450</v>
      </c>
      <c r="W83" s="255">
        <v>0</v>
      </c>
      <c r="X83" s="255">
        <v>104</v>
      </c>
      <c r="Y83" s="255">
        <v>93</v>
      </c>
      <c r="Z83" s="255">
        <v>292</v>
      </c>
      <c r="AA83" s="255">
        <v>23</v>
      </c>
      <c r="AB83" s="255"/>
      <c r="AC83" s="256">
        <v>962</v>
      </c>
      <c r="AD83" s="254">
        <v>40</v>
      </c>
      <c r="AE83" s="255">
        <v>0</v>
      </c>
      <c r="AF83" s="255">
        <v>0</v>
      </c>
      <c r="AG83" s="255">
        <v>0</v>
      </c>
      <c r="AH83" s="255">
        <v>0</v>
      </c>
      <c r="AI83" s="256">
        <v>40</v>
      </c>
      <c r="AJ83" s="255">
        <v>0</v>
      </c>
      <c r="AK83" s="255">
        <v>0</v>
      </c>
      <c r="AL83" s="255">
        <v>0</v>
      </c>
      <c r="AM83" s="254">
        <v>0</v>
      </c>
    </row>
    <row r="84" spans="1:41" ht="13.9" customHeight="1">
      <c r="A84" s="249"/>
      <c r="B84" s="239" t="s">
        <v>78</v>
      </c>
      <c r="C84" s="250">
        <v>0.14697876973326074</v>
      </c>
      <c r="D84" s="251">
        <v>0</v>
      </c>
      <c r="E84" s="251">
        <v>0.21654501216545013</v>
      </c>
      <c r="F84" s="251">
        <v>0.2643312101910828</v>
      </c>
      <c r="G84" s="251">
        <v>0.25503355704697989</v>
      </c>
      <c r="H84" s="252">
        <v>0.36893203883495146</v>
      </c>
      <c r="I84" s="251"/>
      <c r="J84" s="530">
        <v>0.19893228434953639</v>
      </c>
      <c r="K84" s="250">
        <v>0.28409090909090912</v>
      </c>
      <c r="L84" s="251">
        <v>0</v>
      </c>
      <c r="M84" s="251">
        <v>0</v>
      </c>
      <c r="N84" s="251">
        <v>0</v>
      </c>
      <c r="O84" s="252">
        <v>0</v>
      </c>
      <c r="P84" s="250">
        <v>1.9747235387045814E-2</v>
      </c>
      <c r="Q84" s="250">
        <v>0.66559485530546625</v>
      </c>
      <c r="R84" s="251">
        <v>0.64993880048959607</v>
      </c>
      <c r="S84" s="252">
        <v>0</v>
      </c>
      <c r="T84" s="250">
        <v>0.6542553191489362</v>
      </c>
      <c r="U84" s="253"/>
      <c r="V84" s="254">
        <v>270</v>
      </c>
      <c r="W84" s="255">
        <v>0</v>
      </c>
      <c r="X84" s="255">
        <v>89</v>
      </c>
      <c r="Y84" s="255">
        <v>83</v>
      </c>
      <c r="Z84" s="255">
        <v>228</v>
      </c>
      <c r="AA84" s="255">
        <v>38</v>
      </c>
      <c r="AB84" s="255"/>
      <c r="AC84" s="256">
        <v>708</v>
      </c>
      <c r="AD84" s="254">
        <v>25</v>
      </c>
      <c r="AE84" s="255">
        <v>0</v>
      </c>
      <c r="AF84" s="255">
        <v>0</v>
      </c>
      <c r="AG84" s="255">
        <v>0</v>
      </c>
      <c r="AH84" s="255">
        <v>0</v>
      </c>
      <c r="AI84" s="256">
        <v>25</v>
      </c>
      <c r="AJ84" s="255">
        <v>207</v>
      </c>
      <c r="AK84" s="255">
        <v>531</v>
      </c>
      <c r="AL84" s="255">
        <v>0</v>
      </c>
      <c r="AM84" s="254">
        <v>738</v>
      </c>
    </row>
    <row r="85" spans="1:41" s="9" customFormat="1" ht="15.75" customHeight="1">
      <c r="A85" s="239"/>
      <c r="B85" s="782" t="s">
        <v>131</v>
      </c>
      <c r="C85" s="581">
        <v>0</v>
      </c>
      <c r="D85" s="581">
        <v>0</v>
      </c>
      <c r="E85" s="581">
        <v>0</v>
      </c>
      <c r="F85" s="581">
        <v>0</v>
      </c>
      <c r="G85" s="581">
        <v>0</v>
      </c>
      <c r="H85" s="581">
        <v>0</v>
      </c>
      <c r="I85" s="581">
        <v>0</v>
      </c>
      <c r="J85" s="581">
        <v>0</v>
      </c>
      <c r="K85" s="581">
        <v>0</v>
      </c>
      <c r="L85" s="581">
        <v>1</v>
      </c>
      <c r="M85" s="581">
        <v>1</v>
      </c>
      <c r="N85" s="581">
        <v>1</v>
      </c>
      <c r="O85" s="581">
        <v>0</v>
      </c>
      <c r="P85" s="581">
        <v>0.93048973143759872</v>
      </c>
      <c r="Q85" s="581">
        <v>0.33440514469453375</v>
      </c>
      <c r="R85" s="581">
        <v>0.35006119951040393</v>
      </c>
      <c r="S85" s="581">
        <v>0</v>
      </c>
      <c r="T85" s="581">
        <v>0.34574468085106386</v>
      </c>
      <c r="U85" s="391"/>
      <c r="V85" s="254"/>
      <c r="W85" s="255"/>
      <c r="X85" s="255"/>
      <c r="Y85" s="255"/>
      <c r="Z85" s="255"/>
      <c r="AA85" s="255"/>
      <c r="AB85" s="255"/>
      <c r="AC85" s="256"/>
      <c r="AD85" s="393"/>
      <c r="AE85" s="394"/>
      <c r="AF85" s="394"/>
      <c r="AG85" s="394"/>
      <c r="AH85" s="395"/>
      <c r="AI85" s="428"/>
      <c r="AJ85" s="393"/>
      <c r="AK85" s="393"/>
      <c r="AL85" s="393"/>
      <c r="AM85" s="397"/>
      <c r="AN85" s="349"/>
      <c r="AO85" s="349"/>
    </row>
    <row r="86" spans="1:41" s="271" customFormat="1" ht="17.25" customHeight="1">
      <c r="A86" s="259"/>
      <c r="B86" s="260" t="s">
        <v>59</v>
      </c>
      <c r="C86" s="261">
        <v>1</v>
      </c>
      <c r="D86" s="262">
        <v>0</v>
      </c>
      <c r="E86" s="262">
        <v>1</v>
      </c>
      <c r="F86" s="262">
        <v>1</v>
      </c>
      <c r="G86" s="262">
        <v>1</v>
      </c>
      <c r="H86" s="263">
        <v>1</v>
      </c>
      <c r="I86" s="262"/>
      <c r="J86" s="531">
        <v>1</v>
      </c>
      <c r="K86" s="261">
        <v>1</v>
      </c>
      <c r="L86" s="262">
        <v>1</v>
      </c>
      <c r="M86" s="262">
        <v>1</v>
      </c>
      <c r="N86" s="262">
        <v>1</v>
      </c>
      <c r="O86" s="263">
        <v>0</v>
      </c>
      <c r="P86" s="261">
        <v>1</v>
      </c>
      <c r="Q86" s="261">
        <v>1</v>
      </c>
      <c r="R86" s="262">
        <v>1</v>
      </c>
      <c r="S86" s="263">
        <v>0</v>
      </c>
      <c r="T86" s="261">
        <v>1</v>
      </c>
      <c r="U86" s="264"/>
      <c r="V86" s="265">
        <v>1837</v>
      </c>
      <c r="W86" s="266">
        <v>0</v>
      </c>
      <c r="X86" s="266">
        <v>411</v>
      </c>
      <c r="Y86" s="266">
        <v>314</v>
      </c>
      <c r="Z86" s="266">
        <v>894</v>
      </c>
      <c r="AA86" s="266">
        <v>103</v>
      </c>
      <c r="AB86" s="266"/>
      <c r="AC86" s="267">
        <v>3559</v>
      </c>
      <c r="AD86" s="265">
        <v>88</v>
      </c>
      <c r="AE86" s="266">
        <v>421</v>
      </c>
      <c r="AF86" s="266">
        <v>378</v>
      </c>
      <c r="AG86" s="266">
        <v>379</v>
      </c>
      <c r="AH86" s="268">
        <v>0</v>
      </c>
      <c r="AI86" s="268">
        <v>1266</v>
      </c>
      <c r="AJ86" s="265">
        <v>311</v>
      </c>
      <c r="AK86" s="266">
        <v>817</v>
      </c>
      <c r="AL86" s="268">
        <v>0</v>
      </c>
      <c r="AM86" s="265">
        <v>1128</v>
      </c>
      <c r="AN86" s="270"/>
      <c r="AO86" s="270"/>
    </row>
    <row r="87" spans="1:41" ht="13.9" customHeight="1">
      <c r="A87" s="239" t="s">
        <v>14</v>
      </c>
      <c r="B87" s="239" t="s">
        <v>53</v>
      </c>
      <c r="C87" s="241">
        <v>0.35455794777828675</v>
      </c>
      <c r="D87" s="242">
        <v>0</v>
      </c>
      <c r="E87" s="242">
        <v>0.24705882352941178</v>
      </c>
      <c r="F87" s="242">
        <v>0.36942675159235666</v>
      </c>
      <c r="G87" s="242">
        <v>0.27</v>
      </c>
      <c r="H87" s="243">
        <v>0.22281639928698752</v>
      </c>
      <c r="I87" s="242"/>
      <c r="J87" s="529">
        <v>0.3074891982717235</v>
      </c>
      <c r="K87" s="241">
        <v>0.2</v>
      </c>
      <c r="L87" s="242">
        <v>0</v>
      </c>
      <c r="M87" s="242">
        <v>0</v>
      </c>
      <c r="N87" s="242">
        <v>0.14155251141552511</v>
      </c>
      <c r="O87" s="243">
        <v>0</v>
      </c>
      <c r="P87" s="241">
        <v>2.0460358056265986E-2</v>
      </c>
      <c r="Q87" s="241">
        <v>0</v>
      </c>
      <c r="R87" s="242">
        <v>0</v>
      </c>
      <c r="S87" s="243">
        <v>0</v>
      </c>
      <c r="T87" s="241">
        <v>0</v>
      </c>
      <c r="U87" s="253"/>
      <c r="V87" s="245">
        <v>774</v>
      </c>
      <c r="W87" s="246">
        <v>0</v>
      </c>
      <c r="X87" s="246">
        <v>189</v>
      </c>
      <c r="Y87" s="246">
        <v>58</v>
      </c>
      <c r="Z87" s="246">
        <v>135</v>
      </c>
      <c r="AA87" s="246">
        <v>125</v>
      </c>
      <c r="AB87" s="246"/>
      <c r="AC87" s="247">
        <v>1281</v>
      </c>
      <c r="AD87" s="245">
        <v>9</v>
      </c>
      <c r="AE87" s="246">
        <v>0</v>
      </c>
      <c r="AF87" s="246">
        <v>0</v>
      </c>
      <c r="AG87" s="246">
        <v>31</v>
      </c>
      <c r="AH87" s="246">
        <v>0</v>
      </c>
      <c r="AI87" s="247">
        <v>40</v>
      </c>
      <c r="AJ87" s="246">
        <v>0</v>
      </c>
      <c r="AK87" s="246">
        <v>0</v>
      </c>
      <c r="AL87" s="246">
        <v>0</v>
      </c>
      <c r="AM87" s="245">
        <v>0</v>
      </c>
    </row>
    <row r="88" spans="1:41" ht="13.9" customHeight="1">
      <c r="A88" s="249"/>
      <c r="B88" s="239" t="s">
        <v>93</v>
      </c>
      <c r="C88" s="250">
        <v>0.25515345854328902</v>
      </c>
      <c r="D88" s="251">
        <v>0</v>
      </c>
      <c r="E88" s="251">
        <v>0.32287581699346407</v>
      </c>
      <c r="F88" s="251">
        <v>0.37579617834394907</v>
      </c>
      <c r="G88" s="251">
        <v>0.20599999999999999</v>
      </c>
      <c r="H88" s="252">
        <v>0.25846702317290554</v>
      </c>
      <c r="I88" s="251"/>
      <c r="J88" s="530">
        <v>0.26668266922707634</v>
      </c>
      <c r="K88" s="250">
        <v>0.31111111111111112</v>
      </c>
      <c r="L88" s="251">
        <v>0</v>
      </c>
      <c r="M88" s="251">
        <v>0</v>
      </c>
      <c r="N88" s="251">
        <v>0.12328767123287671</v>
      </c>
      <c r="O88" s="252">
        <v>0</v>
      </c>
      <c r="P88" s="250">
        <v>2.0971867007672635E-2</v>
      </c>
      <c r="Q88" s="250">
        <v>0</v>
      </c>
      <c r="R88" s="251">
        <v>0</v>
      </c>
      <c r="S88" s="252">
        <v>0</v>
      </c>
      <c r="T88" s="250">
        <v>0</v>
      </c>
      <c r="U88" s="253"/>
      <c r="V88" s="254">
        <v>557</v>
      </c>
      <c r="W88" s="255">
        <v>0</v>
      </c>
      <c r="X88" s="255">
        <v>247</v>
      </c>
      <c r="Y88" s="255">
        <v>59</v>
      </c>
      <c r="Z88" s="255">
        <v>103</v>
      </c>
      <c r="AA88" s="255">
        <v>145</v>
      </c>
      <c r="AB88" s="255"/>
      <c r="AC88" s="256">
        <v>1111</v>
      </c>
      <c r="AD88" s="254">
        <v>14</v>
      </c>
      <c r="AE88" s="255">
        <v>0</v>
      </c>
      <c r="AF88" s="255">
        <v>0</v>
      </c>
      <c r="AG88" s="255">
        <v>27</v>
      </c>
      <c r="AH88" s="255">
        <v>0</v>
      </c>
      <c r="AI88" s="256">
        <v>41</v>
      </c>
      <c r="AJ88" s="255">
        <v>0</v>
      </c>
      <c r="AK88" s="255">
        <v>0</v>
      </c>
      <c r="AL88" s="255">
        <v>0</v>
      </c>
      <c r="AM88" s="254">
        <v>0</v>
      </c>
    </row>
    <row r="89" spans="1:41" ht="13.9" customHeight="1">
      <c r="A89" s="249"/>
      <c r="B89" s="239" t="s">
        <v>55</v>
      </c>
      <c r="C89" s="250">
        <v>0.24553366926248282</v>
      </c>
      <c r="D89" s="251">
        <v>0</v>
      </c>
      <c r="E89" s="251">
        <v>0.30849673202614381</v>
      </c>
      <c r="F89" s="251">
        <v>0.22929936305732485</v>
      </c>
      <c r="G89" s="251">
        <v>0.378</v>
      </c>
      <c r="H89" s="252">
        <v>0.32620320855614976</v>
      </c>
      <c r="I89" s="251"/>
      <c r="J89" s="530">
        <v>0.28324531925108015</v>
      </c>
      <c r="K89" s="250">
        <v>0.2</v>
      </c>
      <c r="L89" s="251">
        <v>0</v>
      </c>
      <c r="M89" s="251">
        <v>0</v>
      </c>
      <c r="N89" s="251">
        <v>0.1050228310502283</v>
      </c>
      <c r="O89" s="252">
        <v>0</v>
      </c>
      <c r="P89" s="250">
        <v>1.6368286445012786E-2</v>
      </c>
      <c r="Q89" s="250">
        <v>0</v>
      </c>
      <c r="R89" s="251">
        <v>0</v>
      </c>
      <c r="S89" s="252">
        <v>0</v>
      </c>
      <c r="T89" s="250">
        <v>0</v>
      </c>
      <c r="U89" s="253"/>
      <c r="V89" s="254">
        <v>536</v>
      </c>
      <c r="W89" s="255">
        <v>0</v>
      </c>
      <c r="X89" s="255">
        <v>236</v>
      </c>
      <c r="Y89" s="255">
        <v>36</v>
      </c>
      <c r="Z89" s="255">
        <v>189</v>
      </c>
      <c r="AA89" s="255">
        <v>183</v>
      </c>
      <c r="AB89" s="255"/>
      <c r="AC89" s="256">
        <v>1180</v>
      </c>
      <c r="AD89" s="254">
        <v>9</v>
      </c>
      <c r="AE89" s="255">
        <v>0</v>
      </c>
      <c r="AF89" s="255">
        <v>0</v>
      </c>
      <c r="AG89" s="255">
        <v>23</v>
      </c>
      <c r="AH89" s="255">
        <v>0</v>
      </c>
      <c r="AI89" s="256">
        <v>32</v>
      </c>
      <c r="AJ89" s="255">
        <v>0</v>
      </c>
      <c r="AK89" s="255">
        <v>0</v>
      </c>
      <c r="AL89" s="255">
        <v>0</v>
      </c>
      <c r="AM89" s="254">
        <v>0</v>
      </c>
    </row>
    <row r="90" spans="1:41" ht="13.9" customHeight="1">
      <c r="A90" s="249"/>
      <c r="B90" s="239" t="s">
        <v>78</v>
      </c>
      <c r="C90" s="250">
        <v>5.1763628034814477E-2</v>
      </c>
      <c r="D90" s="251">
        <v>0</v>
      </c>
      <c r="E90" s="251">
        <v>0.11633986928104575</v>
      </c>
      <c r="F90" s="251">
        <v>2.5477707006369428E-2</v>
      </c>
      <c r="G90" s="251">
        <v>0.11799999999999999</v>
      </c>
      <c r="H90" s="252">
        <v>0.17647058823529413</v>
      </c>
      <c r="I90" s="251"/>
      <c r="J90" s="530">
        <v>8.7373979836773891E-2</v>
      </c>
      <c r="K90" s="250">
        <v>0.28888888888888886</v>
      </c>
      <c r="L90" s="251">
        <v>0</v>
      </c>
      <c r="M90" s="251">
        <v>0</v>
      </c>
      <c r="N90" s="251">
        <v>6.3926940639269403E-2</v>
      </c>
      <c r="O90" s="252">
        <v>0</v>
      </c>
      <c r="P90" s="250">
        <v>1.3810741687979539E-2</v>
      </c>
      <c r="Q90" s="250">
        <v>0</v>
      </c>
      <c r="R90" s="251">
        <v>0</v>
      </c>
      <c r="S90" s="252">
        <v>0</v>
      </c>
      <c r="T90" s="250">
        <v>0</v>
      </c>
      <c r="U90" s="253"/>
      <c r="V90" s="254">
        <v>113</v>
      </c>
      <c r="W90" s="255">
        <v>0</v>
      </c>
      <c r="X90" s="255">
        <v>89</v>
      </c>
      <c r="Y90" s="255">
        <v>4</v>
      </c>
      <c r="Z90" s="255">
        <v>59</v>
      </c>
      <c r="AA90" s="255">
        <v>99</v>
      </c>
      <c r="AB90" s="255"/>
      <c r="AC90" s="256">
        <v>364</v>
      </c>
      <c r="AD90" s="254">
        <v>13</v>
      </c>
      <c r="AE90" s="255">
        <v>0</v>
      </c>
      <c r="AF90" s="255">
        <v>0</v>
      </c>
      <c r="AG90" s="255">
        <v>14</v>
      </c>
      <c r="AH90" s="255">
        <v>0</v>
      </c>
      <c r="AI90" s="256">
        <v>27</v>
      </c>
      <c r="AJ90" s="255">
        <v>0</v>
      </c>
      <c r="AK90" s="255">
        <v>0</v>
      </c>
      <c r="AL90" s="255">
        <v>0</v>
      </c>
      <c r="AM90" s="254">
        <v>0</v>
      </c>
    </row>
    <row r="91" spans="1:41" s="271" customFormat="1" ht="23.45" customHeight="1">
      <c r="A91" s="259"/>
      <c r="B91" s="260" t="s">
        <v>59</v>
      </c>
      <c r="C91" s="261">
        <v>1</v>
      </c>
      <c r="D91" s="262">
        <v>0</v>
      </c>
      <c r="E91" s="262">
        <v>1</v>
      </c>
      <c r="F91" s="262">
        <v>1</v>
      </c>
      <c r="G91" s="262">
        <v>1</v>
      </c>
      <c r="H91" s="263">
        <v>1</v>
      </c>
      <c r="I91" s="262"/>
      <c r="J91" s="531">
        <v>1</v>
      </c>
      <c r="K91" s="261">
        <v>1</v>
      </c>
      <c r="L91" s="262">
        <v>1</v>
      </c>
      <c r="M91" s="262">
        <v>1</v>
      </c>
      <c r="N91" s="262">
        <v>1</v>
      </c>
      <c r="O91" s="263">
        <v>0</v>
      </c>
      <c r="P91" s="261">
        <v>1</v>
      </c>
      <c r="Q91" s="261">
        <v>0</v>
      </c>
      <c r="R91" s="262">
        <v>0</v>
      </c>
      <c r="S91" s="263">
        <v>0</v>
      </c>
      <c r="T91" s="261">
        <v>0</v>
      </c>
      <c r="U91" s="264"/>
      <c r="V91" s="265">
        <v>2183</v>
      </c>
      <c r="W91" s="266">
        <v>0</v>
      </c>
      <c r="X91" s="266">
        <v>765</v>
      </c>
      <c r="Y91" s="266">
        <v>157</v>
      </c>
      <c r="Z91" s="266">
        <v>500</v>
      </c>
      <c r="AA91" s="266">
        <v>561</v>
      </c>
      <c r="AB91" s="266"/>
      <c r="AC91" s="267">
        <v>4166</v>
      </c>
      <c r="AD91" s="265">
        <v>45</v>
      </c>
      <c r="AE91" s="266">
        <v>813</v>
      </c>
      <c r="AF91" s="266">
        <v>878</v>
      </c>
      <c r="AG91" s="266">
        <v>219</v>
      </c>
      <c r="AH91" s="268">
        <v>0</v>
      </c>
      <c r="AI91" s="268">
        <v>1955</v>
      </c>
      <c r="AJ91" s="265">
        <v>0</v>
      </c>
      <c r="AK91" s="266">
        <v>0</v>
      </c>
      <c r="AL91" s="268">
        <v>0</v>
      </c>
      <c r="AM91" s="265">
        <v>0</v>
      </c>
      <c r="AN91" s="270"/>
      <c r="AO91" s="270"/>
    </row>
    <row r="92" spans="1:41" ht="13.9" customHeight="1">
      <c r="A92" s="239" t="s">
        <v>15</v>
      </c>
      <c r="B92" s="239" t="s">
        <v>53</v>
      </c>
      <c r="C92" s="241">
        <v>0.36281471917366043</v>
      </c>
      <c r="D92" s="242">
        <v>0.30281690140845069</v>
      </c>
      <c r="E92" s="242">
        <v>0.2922705314009662</v>
      </c>
      <c r="F92" s="242">
        <v>0.39814814814814814</v>
      </c>
      <c r="G92" s="242">
        <v>0.31325301204819278</v>
      </c>
      <c r="H92" s="243">
        <v>0</v>
      </c>
      <c r="I92" s="242"/>
      <c r="J92" s="529">
        <v>0.32805514157973176</v>
      </c>
      <c r="K92" s="241">
        <v>0</v>
      </c>
      <c r="L92" s="242">
        <v>0.13227513227513227</v>
      </c>
      <c r="M92" s="242">
        <v>0.11496531219028741</v>
      </c>
      <c r="N92" s="242">
        <v>0.17543859649122806</v>
      </c>
      <c r="O92" s="243">
        <v>0</v>
      </c>
      <c r="P92" s="241">
        <v>0.12308634415186773</v>
      </c>
      <c r="Q92" s="241">
        <v>0</v>
      </c>
      <c r="R92" s="242">
        <v>0</v>
      </c>
      <c r="S92" s="243">
        <v>0</v>
      </c>
      <c r="T92" s="241">
        <v>0</v>
      </c>
      <c r="U92" s="253"/>
      <c r="V92" s="245">
        <v>562</v>
      </c>
      <c r="W92" s="246">
        <v>258</v>
      </c>
      <c r="X92" s="246">
        <v>605</v>
      </c>
      <c r="Y92" s="246">
        <v>258</v>
      </c>
      <c r="Z92" s="246">
        <v>78</v>
      </c>
      <c r="AA92" s="246">
        <v>0</v>
      </c>
      <c r="AB92" s="246"/>
      <c r="AC92" s="247">
        <v>1761</v>
      </c>
      <c r="AD92" s="245">
        <v>0</v>
      </c>
      <c r="AE92" s="246">
        <v>75</v>
      </c>
      <c r="AF92" s="246">
        <v>116</v>
      </c>
      <c r="AG92" s="246">
        <v>10</v>
      </c>
      <c r="AH92" s="246">
        <v>0</v>
      </c>
      <c r="AI92" s="247">
        <v>201</v>
      </c>
      <c r="AJ92" s="246">
        <v>0</v>
      </c>
      <c r="AK92" s="246">
        <v>0</v>
      </c>
      <c r="AL92" s="246">
        <v>0</v>
      </c>
      <c r="AM92" s="245">
        <v>0</v>
      </c>
    </row>
    <row r="93" spans="1:41" ht="13.9" customHeight="1">
      <c r="A93" s="249"/>
      <c r="B93" s="239" t="s">
        <v>93</v>
      </c>
      <c r="C93" s="250">
        <v>0.23886378308586184</v>
      </c>
      <c r="D93" s="251">
        <v>0.2699530516431925</v>
      </c>
      <c r="E93" s="251">
        <v>0.26521739130434785</v>
      </c>
      <c r="F93" s="251">
        <v>0.23148148148148148</v>
      </c>
      <c r="G93" s="251">
        <v>0.15261044176706828</v>
      </c>
      <c r="H93" s="252">
        <v>0</v>
      </c>
      <c r="I93" s="251"/>
      <c r="J93" s="530">
        <v>0.24906855439642325</v>
      </c>
      <c r="K93" s="250">
        <v>0</v>
      </c>
      <c r="L93" s="251">
        <v>0.52910052910052907</v>
      </c>
      <c r="M93" s="251">
        <v>0.44301288404360756</v>
      </c>
      <c r="N93" s="251">
        <v>0.47368421052631576</v>
      </c>
      <c r="O93" s="252">
        <v>0</v>
      </c>
      <c r="P93" s="250">
        <v>0.47397428046540108</v>
      </c>
      <c r="Q93" s="250">
        <v>0</v>
      </c>
      <c r="R93" s="251">
        <v>0</v>
      </c>
      <c r="S93" s="252">
        <v>0</v>
      </c>
      <c r="T93" s="250">
        <v>0</v>
      </c>
      <c r="U93" s="253"/>
      <c r="V93" s="254">
        <v>370</v>
      </c>
      <c r="W93" s="255">
        <v>230</v>
      </c>
      <c r="X93" s="255">
        <v>549</v>
      </c>
      <c r="Y93" s="255">
        <v>150</v>
      </c>
      <c r="Z93" s="255">
        <v>38</v>
      </c>
      <c r="AA93" s="255">
        <v>0</v>
      </c>
      <c r="AB93" s="255"/>
      <c r="AC93" s="256">
        <v>1337</v>
      </c>
      <c r="AD93" s="254">
        <v>0</v>
      </c>
      <c r="AE93" s="255">
        <v>300</v>
      </c>
      <c r="AF93" s="255">
        <v>447</v>
      </c>
      <c r="AG93" s="255">
        <v>27</v>
      </c>
      <c r="AH93" s="255">
        <v>0</v>
      </c>
      <c r="AI93" s="256">
        <v>774</v>
      </c>
      <c r="AJ93" s="255">
        <v>0</v>
      </c>
      <c r="AK93" s="255">
        <v>0</v>
      </c>
      <c r="AL93" s="255">
        <v>0</v>
      </c>
      <c r="AM93" s="254">
        <v>0</v>
      </c>
    </row>
    <row r="94" spans="1:41" ht="13.9" customHeight="1">
      <c r="A94" s="249"/>
      <c r="B94" s="239" t="s">
        <v>55</v>
      </c>
      <c r="C94" s="250">
        <v>0.22918011620400258</v>
      </c>
      <c r="D94" s="251">
        <v>0.27934272300469482</v>
      </c>
      <c r="E94" s="251">
        <v>0.30193236714975846</v>
      </c>
      <c r="F94" s="251">
        <v>0.28858024691358025</v>
      </c>
      <c r="G94" s="251">
        <v>0.3493975903614458</v>
      </c>
      <c r="H94" s="252">
        <v>0</v>
      </c>
      <c r="I94" s="251"/>
      <c r="J94" s="530">
        <v>0.27794336810730252</v>
      </c>
      <c r="K94" s="250">
        <v>0</v>
      </c>
      <c r="L94" s="251">
        <v>0.20458553791887124</v>
      </c>
      <c r="M94" s="251">
        <v>0.22596630327056491</v>
      </c>
      <c r="N94" s="251">
        <v>0.10526315789473684</v>
      </c>
      <c r="O94" s="252">
        <v>0</v>
      </c>
      <c r="P94" s="250">
        <v>0.21432945499081446</v>
      </c>
      <c r="Q94" s="250">
        <v>0</v>
      </c>
      <c r="R94" s="251">
        <v>0</v>
      </c>
      <c r="S94" s="252">
        <v>0</v>
      </c>
      <c r="T94" s="250">
        <v>0</v>
      </c>
      <c r="U94" s="253"/>
      <c r="V94" s="254">
        <v>355</v>
      </c>
      <c r="W94" s="255">
        <v>238</v>
      </c>
      <c r="X94" s="255">
        <v>625</v>
      </c>
      <c r="Y94" s="255">
        <v>187</v>
      </c>
      <c r="Z94" s="255">
        <v>87</v>
      </c>
      <c r="AA94" s="255">
        <v>0</v>
      </c>
      <c r="AB94" s="255"/>
      <c r="AC94" s="256">
        <v>1492</v>
      </c>
      <c r="AD94" s="254">
        <v>0</v>
      </c>
      <c r="AE94" s="255">
        <v>116</v>
      </c>
      <c r="AF94" s="255">
        <v>228</v>
      </c>
      <c r="AG94" s="255">
        <v>6</v>
      </c>
      <c r="AH94" s="255">
        <v>0</v>
      </c>
      <c r="AI94" s="256">
        <v>350</v>
      </c>
      <c r="AJ94" s="255">
        <v>0</v>
      </c>
      <c r="AK94" s="255">
        <v>0</v>
      </c>
      <c r="AL94" s="255">
        <v>0</v>
      </c>
      <c r="AM94" s="254">
        <v>0</v>
      </c>
    </row>
    <row r="95" spans="1:41" ht="13.9" customHeight="1">
      <c r="A95" s="249"/>
      <c r="B95" s="239" t="s">
        <v>78</v>
      </c>
      <c r="C95" s="250">
        <v>2.5177533892834086E-2</v>
      </c>
      <c r="D95" s="251">
        <v>0.11971830985915492</v>
      </c>
      <c r="E95" s="251">
        <v>0.11497584541062802</v>
      </c>
      <c r="F95" s="251">
        <v>8.1790123456790126E-2</v>
      </c>
      <c r="G95" s="251">
        <v>0.17269076305220885</v>
      </c>
      <c r="H95" s="252">
        <v>0</v>
      </c>
      <c r="I95" s="251"/>
      <c r="J95" s="530">
        <v>8.848733233979135E-2</v>
      </c>
      <c r="K95" s="250">
        <v>0</v>
      </c>
      <c r="L95" s="251">
        <v>0.10758377425044091</v>
      </c>
      <c r="M95" s="251">
        <v>0.21605550049554015</v>
      </c>
      <c r="N95" s="251">
        <v>0.24561403508771928</v>
      </c>
      <c r="O95" s="252">
        <v>0</v>
      </c>
      <c r="P95" s="250">
        <v>0.17942437232088182</v>
      </c>
      <c r="Q95" s="250">
        <v>0</v>
      </c>
      <c r="R95" s="251">
        <v>0</v>
      </c>
      <c r="S95" s="252">
        <v>0</v>
      </c>
      <c r="T95" s="250">
        <v>0</v>
      </c>
      <c r="U95" s="253"/>
      <c r="V95" s="254">
        <v>39</v>
      </c>
      <c r="W95" s="255">
        <v>102</v>
      </c>
      <c r="X95" s="255">
        <v>238</v>
      </c>
      <c r="Y95" s="255">
        <v>53</v>
      </c>
      <c r="Z95" s="255">
        <v>43</v>
      </c>
      <c r="AA95" s="255">
        <v>0</v>
      </c>
      <c r="AB95" s="255"/>
      <c r="AC95" s="256">
        <v>475</v>
      </c>
      <c r="AD95" s="254">
        <v>0</v>
      </c>
      <c r="AE95" s="255">
        <v>61</v>
      </c>
      <c r="AF95" s="255">
        <v>218</v>
      </c>
      <c r="AG95" s="255">
        <v>14</v>
      </c>
      <c r="AH95" s="255">
        <v>0</v>
      </c>
      <c r="AI95" s="256">
        <v>293</v>
      </c>
      <c r="AJ95" s="255">
        <v>0</v>
      </c>
      <c r="AK95" s="255">
        <v>0</v>
      </c>
      <c r="AL95" s="255">
        <v>0</v>
      </c>
      <c r="AM95" s="254">
        <v>0</v>
      </c>
    </row>
    <row r="96" spans="1:41" s="9" customFormat="1" ht="15.75" customHeight="1">
      <c r="A96" s="239"/>
      <c r="B96" s="782" t="s">
        <v>131</v>
      </c>
      <c r="C96" s="581">
        <v>0.14396384764364106</v>
      </c>
      <c r="D96" s="581">
        <v>2.8169014084507043E-2</v>
      </c>
      <c r="E96" s="581">
        <v>2.5603864734299518E-2</v>
      </c>
      <c r="F96" s="581">
        <v>0</v>
      </c>
      <c r="G96" s="581">
        <v>1.2048192771084338E-2</v>
      </c>
      <c r="H96" s="581">
        <v>0</v>
      </c>
      <c r="I96" s="581">
        <v>0</v>
      </c>
      <c r="J96" s="581">
        <v>5.6445603576751116E-2</v>
      </c>
      <c r="K96" s="581">
        <v>0</v>
      </c>
      <c r="L96" s="581">
        <v>2.6455026455026454E-2</v>
      </c>
      <c r="M96" s="581">
        <v>0</v>
      </c>
      <c r="N96" s="581">
        <v>0</v>
      </c>
      <c r="O96" s="581">
        <v>0</v>
      </c>
      <c r="P96" s="581">
        <v>9.1855480710349054E-3</v>
      </c>
      <c r="Q96" s="581">
        <v>0</v>
      </c>
      <c r="R96" s="581">
        <v>1</v>
      </c>
      <c r="S96" s="581">
        <v>0</v>
      </c>
      <c r="T96" s="581">
        <v>1</v>
      </c>
      <c r="U96" s="391"/>
      <c r="V96" s="254"/>
      <c r="W96" s="255"/>
      <c r="X96" s="255"/>
      <c r="Y96" s="255"/>
      <c r="Z96" s="255"/>
      <c r="AA96" s="255"/>
      <c r="AB96" s="255"/>
      <c r="AC96" s="256"/>
      <c r="AD96" s="393"/>
      <c r="AE96" s="394"/>
      <c r="AF96" s="394"/>
      <c r="AG96" s="394"/>
      <c r="AH96" s="395"/>
      <c r="AI96" s="428"/>
      <c r="AJ96" s="393"/>
      <c r="AK96" s="393"/>
      <c r="AL96" s="393"/>
      <c r="AM96" s="397"/>
      <c r="AN96" s="349"/>
      <c r="AO96" s="349"/>
    </row>
    <row r="97" spans="1:41" s="271" customFormat="1" ht="17.25" customHeight="1">
      <c r="A97" s="259"/>
      <c r="B97" s="260" t="s">
        <v>59</v>
      </c>
      <c r="C97" s="261">
        <v>1</v>
      </c>
      <c r="D97" s="262">
        <v>1</v>
      </c>
      <c r="E97" s="262">
        <v>1</v>
      </c>
      <c r="F97" s="262">
        <v>1</v>
      </c>
      <c r="G97" s="262">
        <v>1</v>
      </c>
      <c r="H97" s="263">
        <v>0</v>
      </c>
      <c r="I97" s="262"/>
      <c r="J97" s="531">
        <v>1</v>
      </c>
      <c r="K97" s="261">
        <v>0</v>
      </c>
      <c r="L97" s="262">
        <v>1</v>
      </c>
      <c r="M97" s="262">
        <v>1</v>
      </c>
      <c r="N97" s="262">
        <v>1</v>
      </c>
      <c r="O97" s="263">
        <v>0</v>
      </c>
      <c r="P97" s="261">
        <v>1</v>
      </c>
      <c r="Q97" s="261">
        <v>0</v>
      </c>
      <c r="R97" s="262">
        <v>1</v>
      </c>
      <c r="S97" s="263">
        <v>0</v>
      </c>
      <c r="T97" s="261">
        <v>1</v>
      </c>
      <c r="U97" s="264"/>
      <c r="V97" s="265">
        <v>1549</v>
      </c>
      <c r="W97" s="266">
        <v>852</v>
      </c>
      <c r="X97" s="266">
        <v>2070</v>
      </c>
      <c r="Y97" s="266">
        <v>648</v>
      </c>
      <c r="Z97" s="266">
        <v>249</v>
      </c>
      <c r="AA97" s="266">
        <v>0</v>
      </c>
      <c r="AB97" s="266"/>
      <c r="AC97" s="267">
        <v>5368</v>
      </c>
      <c r="AD97" s="265">
        <v>0</v>
      </c>
      <c r="AE97" s="266">
        <v>567</v>
      </c>
      <c r="AF97" s="266">
        <v>1009</v>
      </c>
      <c r="AG97" s="266">
        <v>57</v>
      </c>
      <c r="AH97" s="268">
        <v>0</v>
      </c>
      <c r="AI97" s="268">
        <v>1633</v>
      </c>
      <c r="AJ97" s="265">
        <v>0</v>
      </c>
      <c r="AK97" s="266">
        <v>474</v>
      </c>
      <c r="AL97" s="268">
        <v>0</v>
      </c>
      <c r="AM97" s="265">
        <v>474</v>
      </c>
      <c r="AN97" s="270"/>
      <c r="AO97" s="270"/>
    </row>
    <row r="98" spans="1:41" ht="13.9" customHeight="1">
      <c r="A98" s="239" t="s">
        <v>16</v>
      </c>
      <c r="B98" s="239" t="s">
        <v>53</v>
      </c>
      <c r="C98" s="241">
        <v>0.36172839506172838</v>
      </c>
      <c r="D98" s="242">
        <v>0.24954015941140403</v>
      </c>
      <c r="E98" s="242">
        <v>0.2450936992769662</v>
      </c>
      <c r="F98" s="242">
        <v>0.14285714285714285</v>
      </c>
      <c r="G98" s="242">
        <v>0.1891891891891892</v>
      </c>
      <c r="H98" s="243">
        <v>0.18155619596541786</v>
      </c>
      <c r="I98" s="242"/>
      <c r="J98" s="529">
        <v>0.29045124419573759</v>
      </c>
      <c r="K98" s="241">
        <v>0</v>
      </c>
      <c r="L98" s="242">
        <v>0.19274537695590327</v>
      </c>
      <c r="M98" s="242">
        <v>0.16007248565388099</v>
      </c>
      <c r="N98" s="242">
        <v>0.11642411642411643</v>
      </c>
      <c r="O98" s="243">
        <v>0</v>
      </c>
      <c r="P98" s="241">
        <v>0.17935686564405839</v>
      </c>
      <c r="Q98" s="241">
        <v>0</v>
      </c>
      <c r="R98" s="242">
        <v>0</v>
      </c>
      <c r="S98" s="243">
        <v>0</v>
      </c>
      <c r="T98" s="241">
        <v>0</v>
      </c>
      <c r="U98" s="253"/>
      <c r="V98" s="245">
        <v>2637</v>
      </c>
      <c r="W98" s="246">
        <v>407</v>
      </c>
      <c r="X98" s="246">
        <v>1661</v>
      </c>
      <c r="Y98" s="246">
        <v>97</v>
      </c>
      <c r="Z98" s="246">
        <v>14</v>
      </c>
      <c r="AA98" s="246">
        <v>63</v>
      </c>
      <c r="AB98" s="246"/>
      <c r="AC98" s="247">
        <v>4879</v>
      </c>
      <c r="AD98" s="245">
        <v>0</v>
      </c>
      <c r="AE98" s="246">
        <v>1355</v>
      </c>
      <c r="AF98" s="246">
        <v>530</v>
      </c>
      <c r="AG98" s="246">
        <v>56</v>
      </c>
      <c r="AH98" s="246">
        <v>0</v>
      </c>
      <c r="AI98" s="247">
        <v>1941</v>
      </c>
      <c r="AJ98" s="246">
        <v>0</v>
      </c>
      <c r="AK98" s="246">
        <v>0</v>
      </c>
      <c r="AL98" s="246">
        <v>0</v>
      </c>
      <c r="AM98" s="245">
        <v>0</v>
      </c>
    </row>
    <row r="99" spans="1:41" ht="13.9" customHeight="1">
      <c r="A99" s="249"/>
      <c r="B99" s="239" t="s">
        <v>93</v>
      </c>
      <c r="C99" s="250">
        <v>0.23058984910836763</v>
      </c>
      <c r="D99" s="251">
        <v>0.22808093194359289</v>
      </c>
      <c r="E99" s="251">
        <v>0.23299395012542423</v>
      </c>
      <c r="F99" s="251">
        <v>0.28276877761413843</v>
      </c>
      <c r="G99" s="251">
        <v>0.28378378378378377</v>
      </c>
      <c r="H99" s="252">
        <v>0.22478386167146974</v>
      </c>
      <c r="I99" s="251"/>
      <c r="J99" s="530">
        <v>0.23353970710798905</v>
      </c>
      <c r="K99" s="250">
        <v>0</v>
      </c>
      <c r="L99" s="251">
        <v>0.11536273115220484</v>
      </c>
      <c r="M99" s="251">
        <v>6.4028994261552397E-2</v>
      </c>
      <c r="N99" s="251">
        <v>0.10395010395010396</v>
      </c>
      <c r="O99" s="252">
        <v>0</v>
      </c>
      <c r="P99" s="250">
        <v>9.9149879874330063E-2</v>
      </c>
      <c r="Q99" s="250">
        <v>0</v>
      </c>
      <c r="R99" s="251">
        <v>0</v>
      </c>
      <c r="S99" s="252">
        <v>0</v>
      </c>
      <c r="T99" s="250">
        <v>0</v>
      </c>
      <c r="U99" s="253"/>
      <c r="V99" s="254">
        <v>1681</v>
      </c>
      <c r="W99" s="255">
        <v>372</v>
      </c>
      <c r="X99" s="255">
        <v>1579</v>
      </c>
      <c r="Y99" s="255">
        <v>192</v>
      </c>
      <c r="Z99" s="255">
        <v>21</v>
      </c>
      <c r="AA99" s="255">
        <v>78</v>
      </c>
      <c r="AB99" s="255"/>
      <c r="AC99" s="256">
        <v>3923</v>
      </c>
      <c r="AD99" s="254">
        <v>0</v>
      </c>
      <c r="AE99" s="255">
        <v>811</v>
      </c>
      <c r="AF99" s="255">
        <v>212</v>
      </c>
      <c r="AG99" s="255">
        <v>50</v>
      </c>
      <c r="AH99" s="255">
        <v>0</v>
      </c>
      <c r="AI99" s="256">
        <v>1073</v>
      </c>
      <c r="AJ99" s="255">
        <v>0</v>
      </c>
      <c r="AK99" s="255">
        <v>0</v>
      </c>
      <c r="AL99" s="255">
        <v>0</v>
      </c>
      <c r="AM99" s="254">
        <v>0</v>
      </c>
    </row>
    <row r="100" spans="1:41" ht="13.9" customHeight="1">
      <c r="A100" s="249"/>
      <c r="B100" s="239" t="s">
        <v>55</v>
      </c>
      <c r="C100" s="250">
        <v>0.21467764060356653</v>
      </c>
      <c r="D100" s="251">
        <v>0.26977314530962598</v>
      </c>
      <c r="E100" s="251">
        <v>0.29880478087649404</v>
      </c>
      <c r="F100" s="251">
        <v>0.31958762886597936</v>
      </c>
      <c r="G100" s="251">
        <v>0.52702702702702697</v>
      </c>
      <c r="H100" s="252">
        <v>0.31123919308357351</v>
      </c>
      <c r="I100" s="251"/>
      <c r="J100" s="530">
        <v>0.26157875937611619</v>
      </c>
      <c r="K100" s="250">
        <v>0</v>
      </c>
      <c r="L100" s="251">
        <v>9.7439544807965864E-2</v>
      </c>
      <c r="M100" s="251">
        <v>5.0739957716701901E-2</v>
      </c>
      <c r="N100" s="251">
        <v>0.10395010395010396</v>
      </c>
      <c r="O100" s="252">
        <v>0</v>
      </c>
      <c r="P100" s="250">
        <v>8.3441138421733507E-2</v>
      </c>
      <c r="Q100" s="250">
        <v>0</v>
      </c>
      <c r="R100" s="251">
        <v>0</v>
      </c>
      <c r="S100" s="252">
        <v>0</v>
      </c>
      <c r="T100" s="250">
        <v>0</v>
      </c>
      <c r="U100" s="253"/>
      <c r="V100" s="254">
        <v>1565</v>
      </c>
      <c r="W100" s="255">
        <v>440</v>
      </c>
      <c r="X100" s="255">
        <v>2025</v>
      </c>
      <c r="Y100" s="255">
        <v>217</v>
      </c>
      <c r="Z100" s="255">
        <v>39</v>
      </c>
      <c r="AA100" s="255">
        <v>108</v>
      </c>
      <c r="AB100" s="255"/>
      <c r="AC100" s="256">
        <v>4394</v>
      </c>
      <c r="AD100" s="254">
        <v>0</v>
      </c>
      <c r="AE100" s="255">
        <v>685</v>
      </c>
      <c r="AF100" s="255">
        <v>168</v>
      </c>
      <c r="AG100" s="255">
        <v>50</v>
      </c>
      <c r="AH100" s="255">
        <v>0</v>
      </c>
      <c r="AI100" s="256">
        <v>903</v>
      </c>
      <c r="AJ100" s="255">
        <v>0</v>
      </c>
      <c r="AK100" s="255">
        <v>0</v>
      </c>
      <c r="AL100" s="255">
        <v>0</v>
      </c>
      <c r="AM100" s="254">
        <v>0</v>
      </c>
    </row>
    <row r="101" spans="1:41" ht="13.9" customHeight="1">
      <c r="A101" s="249"/>
      <c r="B101" s="239" t="s">
        <v>78</v>
      </c>
      <c r="C101" s="250">
        <v>2.0713305898491085E-2</v>
      </c>
      <c r="D101" s="251">
        <v>9.1968117719190678E-3</v>
      </c>
      <c r="E101" s="251">
        <v>7.5844769071860704E-2</v>
      </c>
      <c r="F101" s="251">
        <v>0.11782032400589101</v>
      </c>
      <c r="G101" s="251">
        <v>0</v>
      </c>
      <c r="H101" s="252">
        <v>2.0172910662824207E-2</v>
      </c>
      <c r="I101" s="251"/>
      <c r="J101" s="530">
        <v>4.5660197642576499E-2</v>
      </c>
      <c r="K101" s="250">
        <v>0</v>
      </c>
      <c r="L101" s="251">
        <v>0.28307254623044098</v>
      </c>
      <c r="M101" s="251">
        <v>0.47991543340380549</v>
      </c>
      <c r="N101" s="251">
        <v>0.60914760914760913</v>
      </c>
      <c r="O101" s="252">
        <v>0</v>
      </c>
      <c r="P101" s="250">
        <v>0.35778968767325819</v>
      </c>
      <c r="Q101" s="250">
        <v>0</v>
      </c>
      <c r="R101" s="251">
        <v>0</v>
      </c>
      <c r="S101" s="252">
        <v>0</v>
      </c>
      <c r="T101" s="250">
        <v>0</v>
      </c>
      <c r="U101" s="253"/>
      <c r="V101" s="254">
        <v>151</v>
      </c>
      <c r="W101" s="255">
        <v>15</v>
      </c>
      <c r="X101" s="255">
        <v>514</v>
      </c>
      <c r="Y101" s="255">
        <v>80</v>
      </c>
      <c r="Z101" s="255">
        <v>0</v>
      </c>
      <c r="AA101" s="255">
        <v>7</v>
      </c>
      <c r="AB101" s="255"/>
      <c r="AC101" s="256">
        <v>767</v>
      </c>
      <c r="AD101" s="254">
        <v>0</v>
      </c>
      <c r="AE101" s="255">
        <v>1990</v>
      </c>
      <c r="AF101" s="255">
        <v>1589</v>
      </c>
      <c r="AG101" s="255">
        <v>293</v>
      </c>
      <c r="AH101" s="255">
        <v>0</v>
      </c>
      <c r="AI101" s="256">
        <v>3872</v>
      </c>
      <c r="AJ101" s="255">
        <v>0</v>
      </c>
      <c r="AK101" s="255">
        <v>0</v>
      </c>
      <c r="AL101" s="255">
        <v>0</v>
      </c>
      <c r="AM101" s="254">
        <v>0</v>
      </c>
    </row>
    <row r="102" spans="1:41" s="9" customFormat="1" ht="15.75" customHeight="1">
      <c r="A102" s="239"/>
      <c r="B102" s="782" t="s">
        <v>131</v>
      </c>
      <c r="C102" s="581">
        <v>0.17229080932784638</v>
      </c>
      <c r="D102" s="581">
        <v>0.24340895156345801</v>
      </c>
      <c r="E102" s="581">
        <v>0.14726280064925484</v>
      </c>
      <c r="F102" s="581">
        <v>0.13696612665684832</v>
      </c>
      <c r="G102" s="581">
        <v>0</v>
      </c>
      <c r="H102" s="581">
        <v>0.26224783861671469</v>
      </c>
      <c r="I102" s="581">
        <v>0</v>
      </c>
      <c r="J102" s="581">
        <v>0.16877009167758067</v>
      </c>
      <c r="K102" s="581">
        <v>0</v>
      </c>
      <c r="L102" s="581">
        <v>0.31137980085348504</v>
      </c>
      <c r="M102" s="581">
        <v>0.2452431289640592</v>
      </c>
      <c r="N102" s="581">
        <v>6.6528066528066532E-2</v>
      </c>
      <c r="O102" s="581">
        <v>0</v>
      </c>
      <c r="P102" s="581">
        <v>0.28026242838661986</v>
      </c>
      <c r="Q102" s="581">
        <v>0</v>
      </c>
      <c r="R102" s="581">
        <v>0</v>
      </c>
      <c r="S102" s="581">
        <v>0</v>
      </c>
      <c r="T102" s="581">
        <v>0</v>
      </c>
      <c r="U102" s="391"/>
      <c r="V102" s="254"/>
      <c r="W102" s="255"/>
      <c r="X102" s="255"/>
      <c r="Y102" s="255"/>
      <c r="Z102" s="255"/>
      <c r="AA102" s="255"/>
      <c r="AB102" s="255"/>
      <c r="AC102" s="256"/>
      <c r="AD102" s="393"/>
      <c r="AE102" s="394"/>
      <c r="AF102" s="394"/>
      <c r="AG102" s="394"/>
      <c r="AH102" s="395"/>
      <c r="AI102" s="428"/>
      <c r="AJ102" s="393"/>
      <c r="AK102" s="393"/>
      <c r="AL102" s="393"/>
      <c r="AM102" s="397"/>
      <c r="AN102" s="349"/>
      <c r="AO102" s="349"/>
    </row>
    <row r="103" spans="1:41" s="271" customFormat="1" ht="18" customHeight="1">
      <c r="A103" s="259"/>
      <c r="B103" s="260" t="s">
        <v>59</v>
      </c>
      <c r="C103" s="261">
        <v>1</v>
      </c>
      <c r="D103" s="262">
        <v>1</v>
      </c>
      <c r="E103" s="262">
        <v>1</v>
      </c>
      <c r="F103" s="262">
        <v>1</v>
      </c>
      <c r="G103" s="262">
        <v>1</v>
      </c>
      <c r="H103" s="263">
        <v>1</v>
      </c>
      <c r="I103" s="262"/>
      <c r="J103" s="531">
        <v>1</v>
      </c>
      <c r="K103" s="261">
        <v>0</v>
      </c>
      <c r="L103" s="262">
        <v>1</v>
      </c>
      <c r="M103" s="262">
        <v>1</v>
      </c>
      <c r="N103" s="262">
        <v>1</v>
      </c>
      <c r="O103" s="263">
        <v>0</v>
      </c>
      <c r="P103" s="261">
        <v>1</v>
      </c>
      <c r="Q103" s="261">
        <v>0</v>
      </c>
      <c r="R103" s="262">
        <v>0</v>
      </c>
      <c r="S103" s="263">
        <v>0</v>
      </c>
      <c r="T103" s="261">
        <v>0</v>
      </c>
      <c r="U103" s="264"/>
      <c r="V103" s="265">
        <v>7290</v>
      </c>
      <c r="W103" s="266">
        <v>1631</v>
      </c>
      <c r="X103" s="266">
        <v>6777</v>
      </c>
      <c r="Y103" s="266">
        <v>679</v>
      </c>
      <c r="Z103" s="266">
        <v>74</v>
      </c>
      <c r="AA103" s="266">
        <v>347</v>
      </c>
      <c r="AB103" s="266"/>
      <c r="AC103" s="267">
        <v>16798</v>
      </c>
      <c r="AD103" s="265">
        <v>0</v>
      </c>
      <c r="AE103" s="266">
        <v>7030</v>
      </c>
      <c r="AF103" s="266">
        <v>3311</v>
      </c>
      <c r="AG103" s="266">
        <v>481</v>
      </c>
      <c r="AH103" s="268">
        <v>0</v>
      </c>
      <c r="AI103" s="268">
        <v>10822</v>
      </c>
      <c r="AJ103" s="265">
        <v>0</v>
      </c>
      <c r="AK103" s="266">
        <v>0</v>
      </c>
      <c r="AL103" s="268">
        <v>0</v>
      </c>
      <c r="AM103" s="265">
        <v>0</v>
      </c>
      <c r="AN103" s="270"/>
      <c r="AO103" s="270"/>
    </row>
    <row r="104" spans="1:41" ht="13.9" customHeight="1">
      <c r="A104" s="239" t="s">
        <v>17</v>
      </c>
      <c r="B104" s="239" t="s">
        <v>53</v>
      </c>
      <c r="C104" s="241">
        <v>0.40659793814432987</v>
      </c>
      <c r="D104" s="242">
        <v>0.28548177083333331</v>
      </c>
      <c r="E104" s="242">
        <v>0.31290027447392499</v>
      </c>
      <c r="F104" s="242">
        <v>0.21636615811373092</v>
      </c>
      <c r="G104" s="242">
        <v>0.22222222222222221</v>
      </c>
      <c r="H104" s="243">
        <v>0.1797752808988764</v>
      </c>
      <c r="I104" s="242"/>
      <c r="J104" s="529">
        <v>0.31575587334014299</v>
      </c>
      <c r="K104" s="241">
        <v>0</v>
      </c>
      <c r="L104" s="242">
        <v>0</v>
      </c>
      <c r="M104" s="242">
        <v>0</v>
      </c>
      <c r="N104" s="242">
        <v>0.28125</v>
      </c>
      <c r="O104" s="243">
        <v>0.20627143557079863</v>
      </c>
      <c r="P104" s="241">
        <v>0.20742884708152437</v>
      </c>
      <c r="Q104" s="241">
        <v>0</v>
      </c>
      <c r="R104" s="242">
        <v>0</v>
      </c>
      <c r="S104" s="243">
        <v>0</v>
      </c>
      <c r="T104" s="241">
        <v>0</v>
      </c>
      <c r="U104" s="253"/>
      <c r="V104" s="245">
        <v>986</v>
      </c>
      <c r="W104" s="246">
        <v>877</v>
      </c>
      <c r="X104" s="246">
        <v>342</v>
      </c>
      <c r="Y104" s="246">
        <v>156</v>
      </c>
      <c r="Z104" s="246">
        <v>96</v>
      </c>
      <c r="AA104" s="246">
        <v>16</v>
      </c>
      <c r="AB104" s="246"/>
      <c r="AC104" s="247">
        <v>2473</v>
      </c>
      <c r="AD104" s="245">
        <v>0</v>
      </c>
      <c r="AE104" s="246">
        <v>0</v>
      </c>
      <c r="AF104" s="246">
        <v>0</v>
      </c>
      <c r="AG104" s="246">
        <v>9</v>
      </c>
      <c r="AH104" s="246">
        <v>421</v>
      </c>
      <c r="AI104" s="247">
        <v>430</v>
      </c>
      <c r="AJ104" s="246">
        <v>0</v>
      </c>
      <c r="AK104" s="246">
        <v>0</v>
      </c>
      <c r="AL104" s="246">
        <v>0</v>
      </c>
      <c r="AM104" s="245">
        <v>0</v>
      </c>
    </row>
    <row r="105" spans="1:41" ht="13.9" customHeight="1">
      <c r="A105" s="249"/>
      <c r="B105" s="239" t="s">
        <v>93</v>
      </c>
      <c r="C105" s="250">
        <v>0.2911340206185567</v>
      </c>
      <c r="D105" s="251">
        <v>0.32063802083333331</v>
      </c>
      <c r="E105" s="251">
        <v>0.22689844464775846</v>
      </c>
      <c r="F105" s="251">
        <v>0.29264909847434117</v>
      </c>
      <c r="G105" s="251">
        <v>0.26157407407407407</v>
      </c>
      <c r="H105" s="252">
        <v>0.24719101123595505</v>
      </c>
      <c r="I105" s="251"/>
      <c r="J105" s="530">
        <v>0.29175178753830439</v>
      </c>
      <c r="K105" s="250">
        <v>0</v>
      </c>
      <c r="L105" s="251">
        <v>0</v>
      </c>
      <c r="M105" s="251">
        <v>0</v>
      </c>
      <c r="N105" s="251">
        <v>0.46875</v>
      </c>
      <c r="O105" s="252">
        <v>0.30916217540421365</v>
      </c>
      <c r="P105" s="250">
        <v>0.31162566328991798</v>
      </c>
      <c r="Q105" s="250">
        <v>0</v>
      </c>
      <c r="R105" s="251">
        <v>0</v>
      </c>
      <c r="S105" s="252">
        <v>0</v>
      </c>
      <c r="T105" s="250">
        <v>0</v>
      </c>
      <c r="U105" s="253"/>
      <c r="V105" s="254">
        <v>706</v>
      </c>
      <c r="W105" s="255">
        <v>985</v>
      </c>
      <c r="X105" s="255">
        <v>248</v>
      </c>
      <c r="Y105" s="255">
        <v>211</v>
      </c>
      <c r="Z105" s="255">
        <v>113</v>
      </c>
      <c r="AA105" s="255">
        <v>22</v>
      </c>
      <c r="AB105" s="255"/>
      <c r="AC105" s="256">
        <v>2285</v>
      </c>
      <c r="AD105" s="254">
        <v>0</v>
      </c>
      <c r="AE105" s="255">
        <v>0</v>
      </c>
      <c r="AF105" s="255">
        <v>0</v>
      </c>
      <c r="AG105" s="255">
        <v>15</v>
      </c>
      <c r="AH105" s="255">
        <v>631</v>
      </c>
      <c r="AI105" s="256">
        <v>646</v>
      </c>
      <c r="AJ105" s="255">
        <v>0</v>
      </c>
      <c r="AK105" s="255">
        <v>0</v>
      </c>
      <c r="AL105" s="255">
        <v>0</v>
      </c>
      <c r="AM105" s="254">
        <v>0</v>
      </c>
    </row>
    <row r="106" spans="1:41" ht="13.9" customHeight="1">
      <c r="A106" s="249"/>
      <c r="B106" s="239" t="s">
        <v>55</v>
      </c>
      <c r="C106" s="250">
        <v>0.19876288659793814</v>
      </c>
      <c r="D106" s="251">
        <v>0.28255208333333331</v>
      </c>
      <c r="E106" s="251">
        <v>0.32753888380603841</v>
      </c>
      <c r="F106" s="251">
        <v>0.36199722607489598</v>
      </c>
      <c r="G106" s="251">
        <v>0.375</v>
      </c>
      <c r="H106" s="252">
        <v>0.2696629213483146</v>
      </c>
      <c r="I106" s="251"/>
      <c r="J106" s="530">
        <v>0.27515321756894789</v>
      </c>
      <c r="K106" s="250">
        <v>0</v>
      </c>
      <c r="L106" s="251">
        <v>0</v>
      </c>
      <c r="M106" s="251">
        <v>0</v>
      </c>
      <c r="N106" s="251">
        <v>0.25</v>
      </c>
      <c r="O106" s="252">
        <v>0.2846643802057815</v>
      </c>
      <c r="P106" s="250">
        <v>0.2841292812349252</v>
      </c>
      <c r="Q106" s="250">
        <v>0</v>
      </c>
      <c r="R106" s="251">
        <v>0</v>
      </c>
      <c r="S106" s="252">
        <v>0</v>
      </c>
      <c r="T106" s="250">
        <v>0</v>
      </c>
      <c r="U106" s="253"/>
      <c r="V106" s="254">
        <v>482</v>
      </c>
      <c r="W106" s="255">
        <v>868</v>
      </c>
      <c r="X106" s="255">
        <v>358</v>
      </c>
      <c r="Y106" s="255">
        <v>261</v>
      </c>
      <c r="Z106" s="255">
        <v>162</v>
      </c>
      <c r="AA106" s="255">
        <v>24</v>
      </c>
      <c r="AB106" s="255"/>
      <c r="AC106" s="256">
        <v>2155</v>
      </c>
      <c r="AD106" s="254">
        <v>0</v>
      </c>
      <c r="AE106" s="255">
        <v>0</v>
      </c>
      <c r="AF106" s="255">
        <v>0</v>
      </c>
      <c r="AG106" s="255">
        <v>8</v>
      </c>
      <c r="AH106" s="255">
        <v>581</v>
      </c>
      <c r="AI106" s="256">
        <v>589</v>
      </c>
      <c r="AJ106" s="255">
        <v>0</v>
      </c>
      <c r="AK106" s="255">
        <v>0</v>
      </c>
      <c r="AL106" s="255">
        <v>0</v>
      </c>
      <c r="AM106" s="254">
        <v>0</v>
      </c>
    </row>
    <row r="107" spans="1:41" ht="13.9" customHeight="1">
      <c r="A107" s="249"/>
      <c r="B107" s="239" t="s">
        <v>78</v>
      </c>
      <c r="C107" s="250">
        <v>6.4742268041237117E-2</v>
      </c>
      <c r="D107" s="251">
        <v>8.2682291666666671E-2</v>
      </c>
      <c r="E107" s="251">
        <v>0.13266239707227814</v>
      </c>
      <c r="F107" s="251">
        <v>0.1289875173370319</v>
      </c>
      <c r="G107" s="251">
        <v>3.7037037037037035E-2</v>
      </c>
      <c r="H107" s="252">
        <v>0.2808988764044944</v>
      </c>
      <c r="I107" s="251"/>
      <c r="J107" s="530">
        <v>8.8100102145045961E-2</v>
      </c>
      <c r="K107" s="250">
        <v>0</v>
      </c>
      <c r="L107" s="251">
        <v>0</v>
      </c>
      <c r="M107" s="251">
        <v>0</v>
      </c>
      <c r="N107" s="251">
        <v>0</v>
      </c>
      <c r="O107" s="252">
        <v>0.19941205291523764</v>
      </c>
      <c r="P107" s="250">
        <v>0.19633381572600098</v>
      </c>
      <c r="Q107" s="250">
        <v>0</v>
      </c>
      <c r="R107" s="251">
        <v>0</v>
      </c>
      <c r="S107" s="252">
        <v>0</v>
      </c>
      <c r="T107" s="250">
        <v>0</v>
      </c>
      <c r="U107" s="253"/>
      <c r="V107" s="254">
        <v>157</v>
      </c>
      <c r="W107" s="255">
        <v>254</v>
      </c>
      <c r="X107" s="255">
        <v>145</v>
      </c>
      <c r="Y107" s="255">
        <v>93</v>
      </c>
      <c r="Z107" s="255">
        <v>16</v>
      </c>
      <c r="AA107" s="255">
        <v>25</v>
      </c>
      <c r="AB107" s="255"/>
      <c r="AC107" s="256">
        <v>690</v>
      </c>
      <c r="AD107" s="254">
        <v>0</v>
      </c>
      <c r="AE107" s="255">
        <v>0</v>
      </c>
      <c r="AF107" s="255">
        <v>0</v>
      </c>
      <c r="AG107" s="255">
        <v>0</v>
      </c>
      <c r="AH107" s="255">
        <v>407</v>
      </c>
      <c r="AI107" s="256">
        <v>407</v>
      </c>
      <c r="AJ107" s="255">
        <v>0</v>
      </c>
      <c r="AK107" s="255">
        <v>0</v>
      </c>
      <c r="AL107" s="255">
        <v>0</v>
      </c>
      <c r="AM107" s="254">
        <v>0</v>
      </c>
    </row>
    <row r="108" spans="1:41" s="9" customFormat="1" ht="15.75" customHeight="1">
      <c r="A108" s="239"/>
      <c r="B108" s="782" t="s">
        <v>131</v>
      </c>
      <c r="C108" s="581">
        <v>3.8762886597938147E-2</v>
      </c>
      <c r="D108" s="581">
        <v>2.8645833333333332E-2</v>
      </c>
      <c r="E108" s="581">
        <v>0</v>
      </c>
      <c r="F108" s="581">
        <v>0</v>
      </c>
      <c r="G108" s="581">
        <v>0.10416666666666667</v>
      </c>
      <c r="H108" s="581">
        <v>2.247191011235955E-2</v>
      </c>
      <c r="I108" s="581">
        <v>0</v>
      </c>
      <c r="J108" s="581">
        <v>2.9239019407558735E-2</v>
      </c>
      <c r="K108" s="581">
        <v>0</v>
      </c>
      <c r="L108" s="581">
        <v>0</v>
      </c>
      <c r="M108" s="581">
        <v>0</v>
      </c>
      <c r="N108" s="581">
        <v>0</v>
      </c>
      <c r="O108" s="581">
        <v>4.8995590396864281E-4</v>
      </c>
      <c r="P108" s="581">
        <v>4.8239266763145202E-4</v>
      </c>
      <c r="Q108" s="581">
        <v>0</v>
      </c>
      <c r="R108" s="581">
        <v>0</v>
      </c>
      <c r="S108" s="581">
        <v>0</v>
      </c>
      <c r="T108" s="581">
        <v>0</v>
      </c>
      <c r="U108" s="391"/>
      <c r="V108" s="254"/>
      <c r="W108" s="255"/>
      <c r="X108" s="255"/>
      <c r="Y108" s="255"/>
      <c r="Z108" s="255"/>
      <c r="AA108" s="255"/>
      <c r="AB108" s="255"/>
      <c r="AC108" s="256"/>
      <c r="AD108" s="393"/>
      <c r="AE108" s="394"/>
      <c r="AF108" s="394"/>
      <c r="AG108" s="394"/>
      <c r="AH108" s="395"/>
      <c r="AI108" s="428"/>
      <c r="AJ108" s="393"/>
      <c r="AK108" s="393"/>
      <c r="AL108" s="393"/>
      <c r="AM108" s="397"/>
      <c r="AN108" s="349"/>
      <c r="AO108" s="349"/>
    </row>
    <row r="109" spans="1:41" s="271" customFormat="1" ht="23.45" customHeight="1">
      <c r="A109" s="259"/>
      <c r="B109" s="260" t="s">
        <v>59</v>
      </c>
      <c r="C109" s="261">
        <v>1</v>
      </c>
      <c r="D109" s="262">
        <v>1</v>
      </c>
      <c r="E109" s="262">
        <v>1</v>
      </c>
      <c r="F109" s="262">
        <v>1</v>
      </c>
      <c r="G109" s="262">
        <v>1</v>
      </c>
      <c r="H109" s="263">
        <v>1</v>
      </c>
      <c r="I109" s="262"/>
      <c r="J109" s="531">
        <v>1</v>
      </c>
      <c r="K109" s="261">
        <v>0</v>
      </c>
      <c r="L109" s="262">
        <v>0</v>
      </c>
      <c r="M109" s="262">
        <v>0</v>
      </c>
      <c r="N109" s="262">
        <v>1</v>
      </c>
      <c r="O109" s="263">
        <v>1</v>
      </c>
      <c r="P109" s="261">
        <v>1</v>
      </c>
      <c r="Q109" s="261">
        <v>0</v>
      </c>
      <c r="R109" s="262">
        <v>0</v>
      </c>
      <c r="S109" s="263">
        <v>0</v>
      </c>
      <c r="T109" s="261">
        <v>0</v>
      </c>
      <c r="U109" s="264"/>
      <c r="V109" s="265">
        <v>2425</v>
      </c>
      <c r="W109" s="266">
        <v>3072</v>
      </c>
      <c r="X109" s="266">
        <v>1093</v>
      </c>
      <c r="Y109" s="266">
        <v>721</v>
      </c>
      <c r="Z109" s="266">
        <v>432</v>
      </c>
      <c r="AA109" s="266">
        <v>89</v>
      </c>
      <c r="AB109" s="266"/>
      <c r="AC109" s="267">
        <v>7832</v>
      </c>
      <c r="AD109" s="265">
        <v>0</v>
      </c>
      <c r="AE109" s="266">
        <v>0</v>
      </c>
      <c r="AF109" s="266">
        <v>0</v>
      </c>
      <c r="AG109" s="266">
        <v>32</v>
      </c>
      <c r="AH109" s="268">
        <v>2041</v>
      </c>
      <c r="AI109" s="268">
        <v>2073</v>
      </c>
      <c r="AJ109" s="265">
        <v>0</v>
      </c>
      <c r="AK109" s="266">
        <v>0</v>
      </c>
      <c r="AL109" s="268">
        <v>0</v>
      </c>
      <c r="AM109" s="265">
        <v>0</v>
      </c>
      <c r="AN109" s="270"/>
      <c r="AO109" s="270"/>
    </row>
    <row r="110" spans="1:41" ht="13.9" customHeight="1">
      <c r="A110" s="239" t="s">
        <v>18</v>
      </c>
      <c r="B110" s="239" t="s">
        <v>53</v>
      </c>
      <c r="C110" s="241">
        <v>0.37181044957472659</v>
      </c>
      <c r="D110" s="242">
        <v>0</v>
      </c>
      <c r="E110" s="242">
        <v>0.42398286937901497</v>
      </c>
      <c r="F110" s="242">
        <v>0</v>
      </c>
      <c r="G110" s="242">
        <v>0</v>
      </c>
      <c r="H110" s="243">
        <v>0.27376425855513309</v>
      </c>
      <c r="I110" s="242"/>
      <c r="J110" s="529">
        <v>0.34632034632034631</v>
      </c>
      <c r="K110" s="241">
        <v>0.43023255813953487</v>
      </c>
      <c r="L110" s="242">
        <v>0</v>
      </c>
      <c r="M110" s="242">
        <v>0.10526315789473684</v>
      </c>
      <c r="N110" s="242">
        <v>0.26258992805755393</v>
      </c>
      <c r="O110" s="243">
        <v>0</v>
      </c>
      <c r="P110" s="241">
        <v>0.27553444180522563</v>
      </c>
      <c r="Q110" s="241">
        <v>0</v>
      </c>
      <c r="R110" s="242">
        <v>0</v>
      </c>
      <c r="S110" s="243">
        <v>0</v>
      </c>
      <c r="T110" s="241">
        <v>0</v>
      </c>
      <c r="U110" s="253"/>
      <c r="V110" s="245">
        <v>306</v>
      </c>
      <c r="W110" s="246">
        <v>0</v>
      </c>
      <c r="X110" s="246">
        <v>198</v>
      </c>
      <c r="Y110" s="246">
        <v>0</v>
      </c>
      <c r="Z110" s="246">
        <v>0</v>
      </c>
      <c r="AA110" s="246">
        <v>216</v>
      </c>
      <c r="AB110" s="246"/>
      <c r="AC110" s="247">
        <v>720</v>
      </c>
      <c r="AD110" s="245">
        <v>37</v>
      </c>
      <c r="AE110" s="246">
        <v>0</v>
      </c>
      <c r="AF110" s="246">
        <v>6</v>
      </c>
      <c r="AG110" s="246">
        <v>73</v>
      </c>
      <c r="AH110" s="246">
        <v>0</v>
      </c>
      <c r="AI110" s="247">
        <v>116</v>
      </c>
      <c r="AJ110" s="246">
        <v>0</v>
      </c>
      <c r="AK110" s="246">
        <v>0</v>
      </c>
      <c r="AL110" s="246">
        <v>0</v>
      </c>
      <c r="AM110" s="245">
        <v>0</v>
      </c>
    </row>
    <row r="111" spans="1:41" ht="13.9" customHeight="1">
      <c r="A111" s="249"/>
      <c r="B111" s="239" t="s">
        <v>93</v>
      </c>
      <c r="C111" s="250">
        <v>0.2648845686512758</v>
      </c>
      <c r="D111" s="251">
        <v>0</v>
      </c>
      <c r="E111" s="251">
        <v>0.24625267665952891</v>
      </c>
      <c r="F111" s="251">
        <v>0</v>
      </c>
      <c r="G111" s="251">
        <v>0</v>
      </c>
      <c r="H111" s="252">
        <v>0.27249683143219267</v>
      </c>
      <c r="I111" s="251"/>
      <c r="J111" s="530">
        <v>0.26358826358826359</v>
      </c>
      <c r="K111" s="250">
        <v>0.11627906976744186</v>
      </c>
      <c r="L111" s="251">
        <v>0</v>
      </c>
      <c r="M111" s="251">
        <v>0.12280701754385964</v>
      </c>
      <c r="N111" s="251">
        <v>0.18705035971223022</v>
      </c>
      <c r="O111" s="252">
        <v>0</v>
      </c>
      <c r="P111" s="250">
        <v>0.16389548693586697</v>
      </c>
      <c r="Q111" s="250">
        <v>0</v>
      </c>
      <c r="R111" s="251">
        <v>0</v>
      </c>
      <c r="S111" s="252">
        <v>0</v>
      </c>
      <c r="T111" s="250">
        <v>0</v>
      </c>
      <c r="U111" s="253"/>
      <c r="V111" s="254">
        <v>218</v>
      </c>
      <c r="W111" s="255">
        <v>0</v>
      </c>
      <c r="X111" s="255">
        <v>115</v>
      </c>
      <c r="Y111" s="255">
        <v>0</v>
      </c>
      <c r="Z111" s="255">
        <v>0</v>
      </c>
      <c r="AA111" s="255">
        <v>215</v>
      </c>
      <c r="AB111" s="255"/>
      <c r="AC111" s="256">
        <v>548</v>
      </c>
      <c r="AD111" s="254">
        <v>10</v>
      </c>
      <c r="AE111" s="255">
        <v>0</v>
      </c>
      <c r="AF111" s="255">
        <v>7</v>
      </c>
      <c r="AG111" s="255">
        <v>52</v>
      </c>
      <c r="AH111" s="255">
        <v>0</v>
      </c>
      <c r="AI111" s="256">
        <v>69</v>
      </c>
      <c r="AJ111" s="255">
        <v>0</v>
      </c>
      <c r="AK111" s="255">
        <v>0</v>
      </c>
      <c r="AL111" s="255">
        <v>0</v>
      </c>
      <c r="AM111" s="254">
        <v>0</v>
      </c>
    </row>
    <row r="112" spans="1:41" ht="13.9" customHeight="1">
      <c r="A112" s="249"/>
      <c r="B112" s="239" t="s">
        <v>55</v>
      </c>
      <c r="C112" s="250">
        <v>0.30862697448359661</v>
      </c>
      <c r="D112" s="251">
        <v>0</v>
      </c>
      <c r="E112" s="251">
        <v>0.27408993576017132</v>
      </c>
      <c r="F112" s="251">
        <v>0</v>
      </c>
      <c r="G112" s="251">
        <v>0</v>
      </c>
      <c r="H112" s="252">
        <v>0.34093789607097591</v>
      </c>
      <c r="I112" s="251"/>
      <c r="J112" s="530">
        <v>0.31313131313131315</v>
      </c>
      <c r="K112" s="250">
        <v>0.1744186046511628</v>
      </c>
      <c r="L112" s="251">
        <v>0</v>
      </c>
      <c r="M112" s="251">
        <v>0.54385964912280704</v>
      </c>
      <c r="N112" s="251">
        <v>0.21942446043165467</v>
      </c>
      <c r="O112" s="252">
        <v>0</v>
      </c>
      <c r="P112" s="250">
        <v>0.25415676959619954</v>
      </c>
      <c r="Q112" s="250">
        <v>0</v>
      </c>
      <c r="R112" s="251">
        <v>0</v>
      </c>
      <c r="S112" s="252">
        <v>0</v>
      </c>
      <c r="T112" s="250">
        <v>0</v>
      </c>
      <c r="U112" s="253"/>
      <c r="V112" s="254">
        <v>254</v>
      </c>
      <c r="W112" s="255">
        <v>0</v>
      </c>
      <c r="X112" s="255">
        <v>128</v>
      </c>
      <c r="Y112" s="255">
        <v>0</v>
      </c>
      <c r="Z112" s="255">
        <v>0</v>
      </c>
      <c r="AA112" s="255">
        <v>269</v>
      </c>
      <c r="AB112" s="255"/>
      <c r="AC112" s="256">
        <v>651</v>
      </c>
      <c r="AD112" s="254">
        <v>15</v>
      </c>
      <c r="AE112" s="255">
        <v>0</v>
      </c>
      <c r="AF112" s="255">
        <v>31</v>
      </c>
      <c r="AG112" s="255">
        <v>61</v>
      </c>
      <c r="AH112" s="255">
        <v>0</v>
      </c>
      <c r="AI112" s="256">
        <v>107</v>
      </c>
      <c r="AJ112" s="255">
        <v>0</v>
      </c>
      <c r="AK112" s="255">
        <v>0</v>
      </c>
      <c r="AL112" s="255">
        <v>0</v>
      </c>
      <c r="AM112" s="254">
        <v>0</v>
      </c>
    </row>
    <row r="113" spans="1:41" ht="13.9" customHeight="1">
      <c r="A113" s="249"/>
      <c r="B113" s="239" t="s">
        <v>78</v>
      </c>
      <c r="C113" s="250">
        <v>3.6452004860267312E-2</v>
      </c>
      <c r="D113" s="251">
        <v>0</v>
      </c>
      <c r="E113" s="251">
        <v>5.5674518201284794E-2</v>
      </c>
      <c r="F113" s="251">
        <v>0</v>
      </c>
      <c r="G113" s="251">
        <v>0</v>
      </c>
      <c r="H113" s="252">
        <v>9.5057034220532313E-2</v>
      </c>
      <c r="I113" s="251"/>
      <c r="J113" s="530">
        <v>6.3011063011063018E-2</v>
      </c>
      <c r="K113" s="250">
        <v>0.27906976744186046</v>
      </c>
      <c r="L113" s="251">
        <v>0</v>
      </c>
      <c r="M113" s="251">
        <v>0.22807017543859648</v>
      </c>
      <c r="N113" s="251">
        <v>0.26978417266187049</v>
      </c>
      <c r="O113" s="252">
        <v>0</v>
      </c>
      <c r="P113" s="250">
        <v>0.26603325415676959</v>
      </c>
      <c r="Q113" s="250">
        <v>0</v>
      </c>
      <c r="R113" s="251">
        <v>0</v>
      </c>
      <c r="S113" s="252">
        <v>0</v>
      </c>
      <c r="T113" s="250">
        <v>0</v>
      </c>
      <c r="U113" s="253"/>
      <c r="V113" s="254">
        <v>30</v>
      </c>
      <c r="W113" s="255">
        <v>0</v>
      </c>
      <c r="X113" s="255">
        <v>26</v>
      </c>
      <c r="Y113" s="255">
        <v>0</v>
      </c>
      <c r="Z113" s="255">
        <v>0</v>
      </c>
      <c r="AA113" s="255">
        <v>75</v>
      </c>
      <c r="AB113" s="255"/>
      <c r="AC113" s="256">
        <v>131</v>
      </c>
      <c r="AD113" s="254">
        <v>24</v>
      </c>
      <c r="AE113" s="255">
        <v>0</v>
      </c>
      <c r="AF113" s="255">
        <v>13</v>
      </c>
      <c r="AG113" s="255">
        <v>75</v>
      </c>
      <c r="AH113" s="255">
        <v>0</v>
      </c>
      <c r="AI113" s="256">
        <v>112</v>
      </c>
      <c r="AJ113" s="255">
        <v>0</v>
      </c>
      <c r="AK113" s="255">
        <v>0</v>
      </c>
      <c r="AL113" s="255">
        <v>0</v>
      </c>
      <c r="AM113" s="254">
        <v>0</v>
      </c>
    </row>
    <row r="114" spans="1:41" s="9" customFormat="1" ht="15.75" customHeight="1">
      <c r="A114" s="239"/>
      <c r="B114" s="782" t="s">
        <v>131</v>
      </c>
      <c r="C114" s="581">
        <v>1.8226002430133656E-2</v>
      </c>
      <c r="D114" s="581">
        <v>0</v>
      </c>
      <c r="E114" s="581">
        <v>0</v>
      </c>
      <c r="F114" s="581">
        <v>0</v>
      </c>
      <c r="G114" s="581">
        <v>0</v>
      </c>
      <c r="H114" s="581">
        <v>1.7743979721166033E-2</v>
      </c>
      <c r="I114" s="581">
        <v>0</v>
      </c>
      <c r="J114" s="581">
        <v>1.3949013949013949E-2</v>
      </c>
      <c r="K114" s="581">
        <v>0</v>
      </c>
      <c r="L114" s="581">
        <v>0</v>
      </c>
      <c r="M114" s="581">
        <v>0</v>
      </c>
      <c r="N114" s="581">
        <v>6.1151079136690649E-2</v>
      </c>
      <c r="O114" s="581">
        <v>0</v>
      </c>
      <c r="P114" s="581">
        <v>4.0380047505938245E-2</v>
      </c>
      <c r="Q114" s="581">
        <v>0</v>
      </c>
      <c r="R114" s="581">
        <v>0</v>
      </c>
      <c r="S114" s="581">
        <v>0</v>
      </c>
      <c r="T114" s="581">
        <v>0</v>
      </c>
      <c r="U114" s="391"/>
      <c r="V114" s="254"/>
      <c r="W114" s="255"/>
      <c r="X114" s="255"/>
      <c r="Y114" s="255"/>
      <c r="Z114" s="255"/>
      <c r="AA114" s="255"/>
      <c r="AB114" s="255"/>
      <c r="AC114" s="256"/>
      <c r="AD114" s="393"/>
      <c r="AE114" s="394"/>
      <c r="AF114" s="394"/>
      <c r="AG114" s="394"/>
      <c r="AH114" s="395"/>
      <c r="AI114" s="428"/>
      <c r="AJ114" s="393"/>
      <c r="AK114" s="393"/>
      <c r="AL114" s="393"/>
      <c r="AM114" s="397"/>
      <c r="AN114" s="349"/>
      <c r="AO114" s="349"/>
    </row>
    <row r="115" spans="1:41" s="271" customFormat="1" ht="23.45" customHeight="1">
      <c r="A115" s="259"/>
      <c r="B115" s="260" t="s">
        <v>59</v>
      </c>
      <c r="C115" s="261">
        <v>1</v>
      </c>
      <c r="D115" s="262">
        <v>0</v>
      </c>
      <c r="E115" s="262">
        <v>1</v>
      </c>
      <c r="F115" s="262">
        <v>0</v>
      </c>
      <c r="G115" s="262">
        <v>0</v>
      </c>
      <c r="H115" s="263">
        <v>1</v>
      </c>
      <c r="I115" s="262"/>
      <c r="J115" s="531">
        <v>1</v>
      </c>
      <c r="K115" s="261">
        <v>1</v>
      </c>
      <c r="L115" s="262">
        <v>0</v>
      </c>
      <c r="M115" s="262">
        <v>1</v>
      </c>
      <c r="N115" s="262">
        <v>1</v>
      </c>
      <c r="O115" s="263">
        <v>0</v>
      </c>
      <c r="P115" s="261">
        <v>1</v>
      </c>
      <c r="Q115" s="261">
        <v>0</v>
      </c>
      <c r="R115" s="262">
        <v>0</v>
      </c>
      <c r="S115" s="263">
        <v>0</v>
      </c>
      <c r="T115" s="261">
        <v>0</v>
      </c>
      <c r="U115" s="264"/>
      <c r="V115" s="265">
        <v>823</v>
      </c>
      <c r="W115" s="266">
        <v>0</v>
      </c>
      <c r="X115" s="266">
        <v>467</v>
      </c>
      <c r="Y115" s="266">
        <v>0</v>
      </c>
      <c r="Z115" s="266">
        <v>0</v>
      </c>
      <c r="AA115" s="266">
        <v>789</v>
      </c>
      <c r="AB115" s="266"/>
      <c r="AC115" s="267">
        <v>2079</v>
      </c>
      <c r="AD115" s="265">
        <v>86</v>
      </c>
      <c r="AE115" s="266">
        <v>0</v>
      </c>
      <c r="AF115" s="266">
        <v>57</v>
      </c>
      <c r="AG115" s="266">
        <v>278</v>
      </c>
      <c r="AH115" s="268">
        <v>0</v>
      </c>
      <c r="AI115" s="268">
        <v>421</v>
      </c>
      <c r="AJ115" s="265">
        <v>0</v>
      </c>
      <c r="AK115" s="266">
        <v>0</v>
      </c>
      <c r="AL115" s="268">
        <v>0</v>
      </c>
      <c r="AM115" s="265">
        <v>0</v>
      </c>
      <c r="AN115" s="270"/>
      <c r="AO115" s="270"/>
    </row>
    <row r="117" spans="1:41" s="500" customFormat="1">
      <c r="A117" s="240" t="s">
        <v>171</v>
      </c>
      <c r="B117" s="240" t="s">
        <v>53</v>
      </c>
      <c r="C117" s="568">
        <f>IF(V117&gt;0,(V117/V122),0)</f>
        <v>0</v>
      </c>
      <c r="D117" s="568">
        <f t="shared" ref="D117:T117" si="0">IF(W117&gt;0,(W117/W122),0)</f>
        <v>0</v>
      </c>
      <c r="E117" s="568">
        <f t="shared" si="0"/>
        <v>0</v>
      </c>
      <c r="F117" s="568">
        <f t="shared" si="0"/>
        <v>0</v>
      </c>
      <c r="G117" s="568">
        <f t="shared" si="0"/>
        <v>0</v>
      </c>
      <c r="H117" s="568">
        <f t="shared" si="0"/>
        <v>0</v>
      </c>
      <c r="I117" s="568">
        <f t="shared" si="0"/>
        <v>0</v>
      </c>
      <c r="J117" s="569">
        <f t="shared" si="0"/>
        <v>0</v>
      </c>
      <c r="K117" s="570">
        <f t="shared" si="0"/>
        <v>0</v>
      </c>
      <c r="L117" s="568">
        <f t="shared" si="0"/>
        <v>0</v>
      </c>
      <c r="M117" s="568">
        <f t="shared" si="0"/>
        <v>0</v>
      </c>
      <c r="N117" s="568">
        <f t="shared" si="0"/>
        <v>0</v>
      </c>
      <c r="O117" s="571">
        <f t="shared" si="0"/>
        <v>0</v>
      </c>
      <c r="P117" s="570">
        <f t="shared" si="0"/>
        <v>0</v>
      </c>
      <c r="Q117" s="568">
        <f t="shared" si="0"/>
        <v>0</v>
      </c>
      <c r="R117" s="568">
        <f t="shared" si="0"/>
        <v>0</v>
      </c>
      <c r="S117" s="571">
        <f t="shared" si="0"/>
        <v>0</v>
      </c>
      <c r="T117" s="570">
        <f t="shared" si="0"/>
        <v>0</v>
      </c>
      <c r="U117" s="244"/>
      <c r="V117" s="590">
        <f t="shared" ref="V117:V122" si="1">+V123+V129+V135+V141+V147+V153+V159+V165+V171+V177+V183+V189+V195</f>
        <v>0</v>
      </c>
      <c r="W117" s="591">
        <f t="shared" ref="W117:AM122" si="2">+W123+W129+W135+W141+W147+W153+W159+W165+W171+W177+W183+W189+W195</f>
        <v>0</v>
      </c>
      <c r="X117" s="591">
        <f t="shared" si="2"/>
        <v>0</v>
      </c>
      <c r="Y117" s="591">
        <f t="shared" si="2"/>
        <v>0</v>
      </c>
      <c r="Z117" s="591">
        <f t="shared" si="2"/>
        <v>0</v>
      </c>
      <c r="AA117" s="591">
        <f t="shared" si="2"/>
        <v>0</v>
      </c>
      <c r="AB117" s="591">
        <f t="shared" si="2"/>
        <v>0</v>
      </c>
      <c r="AC117" s="592">
        <f t="shared" si="2"/>
        <v>0</v>
      </c>
      <c r="AD117" s="590">
        <f t="shared" si="2"/>
        <v>0</v>
      </c>
      <c r="AE117" s="591">
        <f t="shared" si="2"/>
        <v>0</v>
      </c>
      <c r="AF117" s="591">
        <f t="shared" si="2"/>
        <v>0</v>
      </c>
      <c r="AG117" s="591">
        <f t="shared" si="2"/>
        <v>0</v>
      </c>
      <c r="AH117" s="593">
        <f t="shared" si="2"/>
        <v>0</v>
      </c>
      <c r="AI117" s="593">
        <f t="shared" si="2"/>
        <v>0</v>
      </c>
      <c r="AJ117" s="590">
        <f t="shared" si="2"/>
        <v>0</v>
      </c>
      <c r="AK117" s="591">
        <f t="shared" si="2"/>
        <v>0</v>
      </c>
      <c r="AL117" s="593">
        <f t="shared" si="2"/>
        <v>0</v>
      </c>
      <c r="AM117" s="590">
        <f t="shared" si="2"/>
        <v>0</v>
      </c>
      <c r="AN117" s="209"/>
      <c r="AO117" s="209"/>
    </row>
    <row r="118" spans="1:41" s="500" customFormat="1">
      <c r="A118" s="239"/>
      <c r="B118" s="239" t="s">
        <v>93</v>
      </c>
      <c r="C118" s="572">
        <f>IF(V118&gt;0,(V118/V122),0)</f>
        <v>0</v>
      </c>
      <c r="D118" s="572">
        <f t="shared" ref="D118:T118" si="3">IF(W118&gt;0,(W118/W122),0)</f>
        <v>0</v>
      </c>
      <c r="E118" s="572">
        <f t="shared" si="3"/>
        <v>0</v>
      </c>
      <c r="F118" s="572">
        <f t="shared" si="3"/>
        <v>0</v>
      </c>
      <c r="G118" s="572">
        <f t="shared" si="3"/>
        <v>0</v>
      </c>
      <c r="H118" s="572">
        <f t="shared" si="3"/>
        <v>0</v>
      </c>
      <c r="I118" s="572">
        <f t="shared" si="3"/>
        <v>0</v>
      </c>
      <c r="J118" s="573">
        <f t="shared" si="3"/>
        <v>0</v>
      </c>
      <c r="K118" s="574">
        <f t="shared" si="3"/>
        <v>0</v>
      </c>
      <c r="L118" s="572">
        <f t="shared" si="3"/>
        <v>0</v>
      </c>
      <c r="M118" s="572">
        <f t="shared" si="3"/>
        <v>0</v>
      </c>
      <c r="N118" s="572">
        <f t="shared" si="3"/>
        <v>0</v>
      </c>
      <c r="O118" s="575">
        <f t="shared" si="3"/>
        <v>0</v>
      </c>
      <c r="P118" s="574">
        <f t="shared" si="3"/>
        <v>0</v>
      </c>
      <c r="Q118" s="572">
        <f t="shared" si="3"/>
        <v>0</v>
      </c>
      <c r="R118" s="572">
        <f t="shared" si="3"/>
        <v>0</v>
      </c>
      <c r="S118" s="575">
        <f t="shared" si="3"/>
        <v>0</v>
      </c>
      <c r="T118" s="574">
        <f t="shared" si="3"/>
        <v>0</v>
      </c>
      <c r="U118" s="253"/>
      <c r="V118" s="594">
        <f t="shared" si="1"/>
        <v>0</v>
      </c>
      <c r="W118" s="595">
        <f t="shared" ref="W118:AK118" si="4">+W124+W130+W136+W142+W148+W154+W160+W166+W172+W178+W184+W190+W196</f>
        <v>0</v>
      </c>
      <c r="X118" s="595">
        <f t="shared" si="4"/>
        <v>0</v>
      </c>
      <c r="Y118" s="595">
        <f t="shared" si="4"/>
        <v>0</v>
      </c>
      <c r="Z118" s="595">
        <f t="shared" si="4"/>
        <v>0</v>
      </c>
      <c r="AA118" s="595">
        <f t="shared" si="4"/>
        <v>0</v>
      </c>
      <c r="AB118" s="595">
        <f t="shared" si="4"/>
        <v>0</v>
      </c>
      <c r="AC118" s="596">
        <f t="shared" si="4"/>
        <v>0</v>
      </c>
      <c r="AD118" s="594">
        <f t="shared" si="4"/>
        <v>0</v>
      </c>
      <c r="AE118" s="595">
        <f t="shared" si="4"/>
        <v>0</v>
      </c>
      <c r="AF118" s="595">
        <f t="shared" si="4"/>
        <v>0</v>
      </c>
      <c r="AG118" s="595">
        <f t="shared" si="4"/>
        <v>0</v>
      </c>
      <c r="AH118" s="597">
        <f t="shared" si="4"/>
        <v>0</v>
      </c>
      <c r="AI118" s="597">
        <f t="shared" si="4"/>
        <v>0</v>
      </c>
      <c r="AJ118" s="594">
        <f t="shared" si="4"/>
        <v>0</v>
      </c>
      <c r="AK118" s="595">
        <f t="shared" si="4"/>
        <v>0</v>
      </c>
      <c r="AL118" s="597">
        <f t="shared" si="2"/>
        <v>0</v>
      </c>
      <c r="AM118" s="594">
        <f t="shared" si="2"/>
        <v>0</v>
      </c>
      <c r="AN118" s="209"/>
      <c r="AO118" s="209"/>
    </row>
    <row r="119" spans="1:41" s="500" customFormat="1">
      <c r="A119" s="239"/>
      <c r="B119" s="239" t="s">
        <v>55</v>
      </c>
      <c r="C119" s="572">
        <f>IF(V119&gt;0,(V119/V122),0)</f>
        <v>0</v>
      </c>
      <c r="D119" s="572">
        <f t="shared" ref="D119:T119" si="5">IF(W119&gt;0,(W119/W122),0)</f>
        <v>0</v>
      </c>
      <c r="E119" s="572">
        <f t="shared" si="5"/>
        <v>0</v>
      </c>
      <c r="F119" s="572">
        <f t="shared" si="5"/>
        <v>0</v>
      </c>
      <c r="G119" s="572">
        <f t="shared" si="5"/>
        <v>0</v>
      </c>
      <c r="H119" s="572">
        <f t="shared" si="5"/>
        <v>0</v>
      </c>
      <c r="I119" s="572">
        <f t="shared" si="5"/>
        <v>0</v>
      </c>
      <c r="J119" s="573">
        <f t="shared" si="5"/>
        <v>0</v>
      </c>
      <c r="K119" s="574">
        <f t="shared" si="5"/>
        <v>0</v>
      </c>
      <c r="L119" s="572">
        <f t="shared" si="5"/>
        <v>0</v>
      </c>
      <c r="M119" s="572">
        <f t="shared" si="5"/>
        <v>0</v>
      </c>
      <c r="N119" s="572">
        <f t="shared" si="5"/>
        <v>0</v>
      </c>
      <c r="O119" s="575">
        <f t="shared" si="5"/>
        <v>0</v>
      </c>
      <c r="P119" s="574">
        <f t="shared" si="5"/>
        <v>0</v>
      </c>
      <c r="Q119" s="572">
        <f t="shared" si="5"/>
        <v>0</v>
      </c>
      <c r="R119" s="572">
        <f t="shared" si="5"/>
        <v>0</v>
      </c>
      <c r="S119" s="575">
        <f t="shared" si="5"/>
        <v>0</v>
      </c>
      <c r="T119" s="574">
        <f t="shared" si="5"/>
        <v>0</v>
      </c>
      <c r="U119" s="253"/>
      <c r="V119" s="594">
        <f t="shared" si="1"/>
        <v>0</v>
      </c>
      <c r="W119" s="595">
        <f t="shared" si="2"/>
        <v>0</v>
      </c>
      <c r="X119" s="595">
        <f t="shared" si="2"/>
        <v>0</v>
      </c>
      <c r="Y119" s="595">
        <f t="shared" si="2"/>
        <v>0</v>
      </c>
      <c r="Z119" s="595">
        <f t="shared" si="2"/>
        <v>0</v>
      </c>
      <c r="AA119" s="595">
        <f t="shared" si="2"/>
        <v>0</v>
      </c>
      <c r="AB119" s="595">
        <f t="shared" si="2"/>
        <v>0</v>
      </c>
      <c r="AC119" s="596">
        <f t="shared" si="2"/>
        <v>0</v>
      </c>
      <c r="AD119" s="594">
        <f t="shared" si="2"/>
        <v>0</v>
      </c>
      <c r="AE119" s="595">
        <f t="shared" si="2"/>
        <v>0</v>
      </c>
      <c r="AF119" s="595">
        <f t="shared" si="2"/>
        <v>0</v>
      </c>
      <c r="AG119" s="595">
        <f t="shared" si="2"/>
        <v>0</v>
      </c>
      <c r="AH119" s="597">
        <f t="shared" si="2"/>
        <v>0</v>
      </c>
      <c r="AI119" s="597">
        <f t="shared" si="2"/>
        <v>0</v>
      </c>
      <c r="AJ119" s="594">
        <f t="shared" si="2"/>
        <v>0</v>
      </c>
      <c r="AK119" s="595">
        <f t="shared" si="2"/>
        <v>0</v>
      </c>
      <c r="AL119" s="597">
        <f t="shared" si="2"/>
        <v>0</v>
      </c>
      <c r="AM119" s="594">
        <f t="shared" si="2"/>
        <v>0</v>
      </c>
      <c r="AN119" s="209"/>
      <c r="AO119" s="209"/>
    </row>
    <row r="120" spans="1:41" s="500" customFormat="1">
      <c r="A120" s="239"/>
      <c r="B120" s="239" t="s">
        <v>78</v>
      </c>
      <c r="C120" s="572">
        <f>IF(V120&gt;0,(V120/V122),0)</f>
        <v>0</v>
      </c>
      <c r="D120" s="572">
        <f t="shared" ref="D120:T120" si="6">IF(W120&gt;0,(W120/W122),0)</f>
        <v>0</v>
      </c>
      <c r="E120" s="572">
        <f t="shared" si="6"/>
        <v>0</v>
      </c>
      <c r="F120" s="572">
        <f t="shared" si="6"/>
        <v>0</v>
      </c>
      <c r="G120" s="572">
        <f t="shared" si="6"/>
        <v>0</v>
      </c>
      <c r="H120" s="572">
        <f t="shared" si="6"/>
        <v>0</v>
      </c>
      <c r="I120" s="572">
        <f t="shared" si="6"/>
        <v>0</v>
      </c>
      <c r="J120" s="573">
        <f t="shared" si="6"/>
        <v>0</v>
      </c>
      <c r="K120" s="574">
        <f t="shared" si="6"/>
        <v>0</v>
      </c>
      <c r="L120" s="572">
        <f t="shared" si="6"/>
        <v>0</v>
      </c>
      <c r="M120" s="572">
        <f t="shared" si="6"/>
        <v>0</v>
      </c>
      <c r="N120" s="572">
        <f t="shared" si="6"/>
        <v>0</v>
      </c>
      <c r="O120" s="575">
        <f t="shared" si="6"/>
        <v>0</v>
      </c>
      <c r="P120" s="574">
        <f t="shared" si="6"/>
        <v>0</v>
      </c>
      <c r="Q120" s="572">
        <f t="shared" si="6"/>
        <v>0</v>
      </c>
      <c r="R120" s="572">
        <f t="shared" si="6"/>
        <v>0</v>
      </c>
      <c r="S120" s="575">
        <f t="shared" si="6"/>
        <v>0</v>
      </c>
      <c r="T120" s="574">
        <f t="shared" si="6"/>
        <v>0</v>
      </c>
      <c r="U120" s="253"/>
      <c r="V120" s="594">
        <f t="shared" si="1"/>
        <v>0</v>
      </c>
      <c r="W120" s="595">
        <f t="shared" si="2"/>
        <v>0</v>
      </c>
      <c r="X120" s="595">
        <f t="shared" si="2"/>
        <v>0</v>
      </c>
      <c r="Y120" s="595">
        <f t="shared" si="2"/>
        <v>0</v>
      </c>
      <c r="Z120" s="595">
        <f t="shared" si="2"/>
        <v>0</v>
      </c>
      <c r="AA120" s="595">
        <f t="shared" si="2"/>
        <v>0</v>
      </c>
      <c r="AB120" s="595">
        <f t="shared" si="2"/>
        <v>0</v>
      </c>
      <c r="AC120" s="596">
        <f t="shared" si="2"/>
        <v>0</v>
      </c>
      <c r="AD120" s="594">
        <f t="shared" si="2"/>
        <v>0</v>
      </c>
      <c r="AE120" s="595">
        <f t="shared" si="2"/>
        <v>0</v>
      </c>
      <c r="AF120" s="595">
        <f t="shared" si="2"/>
        <v>0</v>
      </c>
      <c r="AG120" s="595">
        <f t="shared" si="2"/>
        <v>0</v>
      </c>
      <c r="AH120" s="597">
        <f t="shared" si="2"/>
        <v>0</v>
      </c>
      <c r="AI120" s="597">
        <f t="shared" si="2"/>
        <v>0</v>
      </c>
      <c r="AJ120" s="594">
        <f t="shared" si="2"/>
        <v>0</v>
      </c>
      <c r="AK120" s="595">
        <f t="shared" si="2"/>
        <v>0</v>
      </c>
      <c r="AL120" s="597">
        <f t="shared" si="2"/>
        <v>0</v>
      </c>
      <c r="AM120" s="594">
        <f t="shared" si="2"/>
        <v>0</v>
      </c>
      <c r="AN120" s="209"/>
      <c r="AO120" s="209"/>
    </row>
    <row r="121" spans="1:41" s="500" customFormat="1">
      <c r="A121" s="580"/>
      <c r="B121" s="580" t="s">
        <v>131</v>
      </c>
      <c r="C121" s="581">
        <f>IF(V121&gt;0,(V121/V122),0)</f>
        <v>0</v>
      </c>
      <c r="D121" s="582">
        <f t="shared" ref="D121:T121" si="7">IF(W121&gt;0,(W121/W122),0)</f>
        <v>0</v>
      </c>
      <c r="E121" s="582">
        <f t="shared" si="7"/>
        <v>0</v>
      </c>
      <c r="F121" s="582">
        <f t="shared" si="7"/>
        <v>0</v>
      </c>
      <c r="G121" s="582">
        <f t="shared" si="7"/>
        <v>0</v>
      </c>
      <c r="H121" s="582">
        <f t="shared" si="7"/>
        <v>0</v>
      </c>
      <c r="I121" s="583">
        <f t="shared" si="7"/>
        <v>0</v>
      </c>
      <c r="J121" s="584">
        <f t="shared" si="7"/>
        <v>0</v>
      </c>
      <c r="K121" s="581">
        <f t="shared" si="7"/>
        <v>0</v>
      </c>
      <c r="L121" s="582">
        <f t="shared" si="7"/>
        <v>0</v>
      </c>
      <c r="M121" s="582">
        <f t="shared" si="7"/>
        <v>0</v>
      </c>
      <c r="N121" s="582">
        <f t="shared" si="7"/>
        <v>0</v>
      </c>
      <c r="O121" s="583">
        <f t="shared" si="7"/>
        <v>0</v>
      </c>
      <c r="P121" s="581">
        <f t="shared" si="7"/>
        <v>0</v>
      </c>
      <c r="Q121" s="581">
        <f t="shared" si="7"/>
        <v>0</v>
      </c>
      <c r="R121" s="582">
        <f t="shared" si="7"/>
        <v>0</v>
      </c>
      <c r="S121" s="583">
        <f t="shared" si="7"/>
        <v>0</v>
      </c>
      <c r="T121" s="581">
        <f t="shared" si="7"/>
        <v>0</v>
      </c>
      <c r="U121" s="253"/>
      <c r="V121" s="585">
        <f t="shared" si="1"/>
        <v>0</v>
      </c>
      <c r="W121" s="586">
        <f t="shared" si="2"/>
        <v>0</v>
      </c>
      <c r="X121" s="586">
        <f t="shared" si="2"/>
        <v>0</v>
      </c>
      <c r="Y121" s="586">
        <f t="shared" si="2"/>
        <v>0</v>
      </c>
      <c r="Z121" s="586">
        <f t="shared" si="2"/>
        <v>0</v>
      </c>
      <c r="AA121" s="586">
        <f t="shared" si="2"/>
        <v>0</v>
      </c>
      <c r="AB121" s="586">
        <f t="shared" si="2"/>
        <v>0</v>
      </c>
      <c r="AC121" s="587">
        <f t="shared" si="2"/>
        <v>0</v>
      </c>
      <c r="AD121" s="585">
        <f t="shared" si="2"/>
        <v>0</v>
      </c>
      <c r="AE121" s="586">
        <f t="shared" si="2"/>
        <v>0</v>
      </c>
      <c r="AF121" s="586">
        <f t="shared" si="2"/>
        <v>0</v>
      </c>
      <c r="AG121" s="586">
        <f t="shared" si="2"/>
        <v>0</v>
      </c>
      <c r="AH121" s="588">
        <f t="shared" si="2"/>
        <v>0</v>
      </c>
      <c r="AI121" s="588">
        <f t="shared" si="2"/>
        <v>0</v>
      </c>
      <c r="AJ121" s="585">
        <f t="shared" si="2"/>
        <v>0</v>
      </c>
      <c r="AK121" s="586">
        <f t="shared" si="2"/>
        <v>0</v>
      </c>
      <c r="AL121" s="588">
        <f t="shared" si="2"/>
        <v>0</v>
      </c>
      <c r="AM121" s="585">
        <f t="shared" si="2"/>
        <v>0</v>
      </c>
      <c r="AN121" s="209"/>
      <c r="AO121" s="209"/>
    </row>
    <row r="122" spans="1:41" s="527" customFormat="1">
      <c r="A122" s="436" t="s">
        <v>86</v>
      </c>
      <c r="B122" s="436" t="s">
        <v>59</v>
      </c>
      <c r="C122" s="456">
        <f>SUM(C117:C121)</f>
        <v>0</v>
      </c>
      <c r="D122" s="456">
        <f t="shared" ref="D122:T122" si="8">SUM(D117:D121)</f>
        <v>0</v>
      </c>
      <c r="E122" s="456">
        <f t="shared" si="8"/>
        <v>0</v>
      </c>
      <c r="F122" s="456">
        <f t="shared" si="8"/>
        <v>0</v>
      </c>
      <c r="G122" s="456">
        <f t="shared" si="8"/>
        <v>0</v>
      </c>
      <c r="H122" s="456">
        <f t="shared" si="8"/>
        <v>0</v>
      </c>
      <c r="I122" s="456">
        <f t="shared" si="8"/>
        <v>0</v>
      </c>
      <c r="J122" s="576">
        <f t="shared" si="8"/>
        <v>0</v>
      </c>
      <c r="K122" s="577">
        <f t="shared" si="8"/>
        <v>0</v>
      </c>
      <c r="L122" s="578">
        <f t="shared" si="8"/>
        <v>0</v>
      </c>
      <c r="M122" s="578">
        <f t="shared" si="8"/>
        <v>0</v>
      </c>
      <c r="N122" s="578">
        <f t="shared" si="8"/>
        <v>0</v>
      </c>
      <c r="O122" s="579">
        <f t="shared" si="8"/>
        <v>0</v>
      </c>
      <c r="P122" s="577">
        <f t="shared" si="8"/>
        <v>0</v>
      </c>
      <c r="Q122" s="578">
        <f t="shared" si="8"/>
        <v>0</v>
      </c>
      <c r="R122" s="578">
        <f t="shared" si="8"/>
        <v>0</v>
      </c>
      <c r="S122" s="579">
        <f t="shared" si="8"/>
        <v>0</v>
      </c>
      <c r="T122" s="577">
        <f t="shared" si="8"/>
        <v>0</v>
      </c>
      <c r="U122" s="264"/>
      <c r="V122" s="598">
        <f t="shared" si="1"/>
        <v>0</v>
      </c>
      <c r="W122" s="599">
        <f t="shared" si="2"/>
        <v>0</v>
      </c>
      <c r="X122" s="599">
        <f t="shared" si="2"/>
        <v>0</v>
      </c>
      <c r="Y122" s="599">
        <f t="shared" si="2"/>
        <v>0</v>
      </c>
      <c r="Z122" s="599">
        <f t="shared" si="2"/>
        <v>0</v>
      </c>
      <c r="AA122" s="599">
        <f t="shared" si="2"/>
        <v>0</v>
      </c>
      <c r="AB122" s="599">
        <f t="shared" si="2"/>
        <v>0</v>
      </c>
      <c r="AC122" s="600">
        <f t="shared" si="2"/>
        <v>0</v>
      </c>
      <c r="AD122" s="598">
        <f t="shared" si="2"/>
        <v>0</v>
      </c>
      <c r="AE122" s="599">
        <f t="shared" si="2"/>
        <v>0</v>
      </c>
      <c r="AF122" s="599">
        <f t="shared" si="2"/>
        <v>0</v>
      </c>
      <c r="AG122" s="599">
        <f t="shared" si="2"/>
        <v>0</v>
      </c>
      <c r="AH122" s="601">
        <f t="shared" si="2"/>
        <v>0</v>
      </c>
      <c r="AI122" s="601">
        <f t="shared" si="2"/>
        <v>0</v>
      </c>
      <c r="AJ122" s="598">
        <f t="shared" si="2"/>
        <v>0</v>
      </c>
      <c r="AK122" s="599">
        <f t="shared" si="2"/>
        <v>0</v>
      </c>
      <c r="AL122" s="601">
        <f t="shared" si="2"/>
        <v>0</v>
      </c>
      <c r="AM122" s="598">
        <f t="shared" si="2"/>
        <v>0</v>
      </c>
      <c r="AN122" s="270"/>
      <c r="AO122" s="270"/>
    </row>
    <row r="123" spans="1:41" s="500" customFormat="1">
      <c r="A123" s="240" t="s">
        <v>136</v>
      </c>
      <c r="B123" s="240" t="s">
        <v>53</v>
      </c>
      <c r="C123" s="568">
        <f>IF(V123&gt;0,(V123/V128),0)</f>
        <v>0</v>
      </c>
      <c r="D123" s="568">
        <f t="shared" ref="D123:T123" si="9">IF(W123&gt;0,(W123/W128),0)</f>
        <v>0</v>
      </c>
      <c r="E123" s="568">
        <f t="shared" si="9"/>
        <v>0</v>
      </c>
      <c r="F123" s="568">
        <f t="shared" si="9"/>
        <v>0</v>
      </c>
      <c r="G123" s="568">
        <f t="shared" si="9"/>
        <v>0</v>
      </c>
      <c r="H123" s="568">
        <f t="shared" si="9"/>
        <v>0</v>
      </c>
      <c r="I123" s="568">
        <f t="shared" si="9"/>
        <v>0</v>
      </c>
      <c r="J123" s="569">
        <f t="shared" si="9"/>
        <v>0</v>
      </c>
      <c r="K123" s="570">
        <f t="shared" si="9"/>
        <v>0</v>
      </c>
      <c r="L123" s="568">
        <f t="shared" si="9"/>
        <v>0</v>
      </c>
      <c r="M123" s="568">
        <f t="shared" si="9"/>
        <v>0</v>
      </c>
      <c r="N123" s="568">
        <f t="shared" si="9"/>
        <v>0</v>
      </c>
      <c r="O123" s="571">
        <f t="shared" si="9"/>
        <v>0</v>
      </c>
      <c r="P123" s="570">
        <f t="shared" si="9"/>
        <v>0</v>
      </c>
      <c r="Q123" s="568">
        <f t="shared" si="9"/>
        <v>0</v>
      </c>
      <c r="R123" s="568">
        <f t="shared" si="9"/>
        <v>0</v>
      </c>
      <c r="S123" s="571">
        <f t="shared" si="9"/>
        <v>0</v>
      </c>
      <c r="T123" s="570">
        <f t="shared" si="9"/>
        <v>0</v>
      </c>
      <c r="U123" s="253"/>
      <c r="V123" s="245"/>
      <c r="W123" s="246"/>
      <c r="X123" s="246"/>
      <c r="Y123" s="246"/>
      <c r="Z123" s="246"/>
      <c r="AA123" s="246"/>
      <c r="AB123" s="242"/>
      <c r="AC123" s="247"/>
      <c r="AD123" s="245"/>
      <c r="AE123" s="246"/>
      <c r="AF123" s="246"/>
      <c r="AG123" s="246"/>
      <c r="AH123" s="246"/>
      <c r="AI123" s="248"/>
      <c r="AJ123" s="245"/>
      <c r="AK123" s="246"/>
      <c r="AL123" s="248"/>
      <c r="AM123" s="245"/>
      <c r="AN123" s="563"/>
      <c r="AO123" s="209"/>
    </row>
    <row r="124" spans="1:41" s="500" customFormat="1">
      <c r="A124" s="239"/>
      <c r="B124" s="239" t="s">
        <v>93</v>
      </c>
      <c r="C124" s="572">
        <f>IF(V124&gt;0,(V124/V128),0)</f>
        <v>0</v>
      </c>
      <c r="D124" s="572">
        <f t="shared" ref="D124:T124" si="10">IF(W124&gt;0,(W124/W128),0)</f>
        <v>0</v>
      </c>
      <c r="E124" s="572">
        <f t="shared" si="10"/>
        <v>0</v>
      </c>
      <c r="F124" s="572">
        <f t="shared" si="10"/>
        <v>0</v>
      </c>
      <c r="G124" s="572">
        <f t="shared" si="10"/>
        <v>0</v>
      </c>
      <c r="H124" s="572">
        <f t="shared" si="10"/>
        <v>0</v>
      </c>
      <c r="I124" s="572">
        <f t="shared" si="10"/>
        <v>0</v>
      </c>
      <c r="J124" s="573">
        <f t="shared" si="10"/>
        <v>0</v>
      </c>
      <c r="K124" s="574">
        <f t="shared" si="10"/>
        <v>0</v>
      </c>
      <c r="L124" s="572">
        <f t="shared" si="10"/>
        <v>0</v>
      </c>
      <c r="M124" s="572">
        <f t="shared" si="10"/>
        <v>0</v>
      </c>
      <c r="N124" s="572">
        <f t="shared" si="10"/>
        <v>0</v>
      </c>
      <c r="O124" s="575">
        <f t="shared" si="10"/>
        <v>0</v>
      </c>
      <c r="P124" s="574">
        <f t="shared" si="10"/>
        <v>0</v>
      </c>
      <c r="Q124" s="572">
        <f t="shared" si="10"/>
        <v>0</v>
      </c>
      <c r="R124" s="572">
        <f t="shared" si="10"/>
        <v>0</v>
      </c>
      <c r="S124" s="575">
        <f t="shared" si="10"/>
        <v>0</v>
      </c>
      <c r="T124" s="574">
        <f t="shared" si="10"/>
        <v>0</v>
      </c>
      <c r="U124" s="253"/>
      <c r="V124" s="254"/>
      <c r="W124" s="255"/>
      <c r="X124" s="255"/>
      <c r="Y124" s="255"/>
      <c r="Z124" s="255"/>
      <c r="AA124" s="255"/>
      <c r="AB124" s="251"/>
      <c r="AC124" s="256"/>
      <c r="AD124" s="254"/>
      <c r="AE124" s="255"/>
      <c r="AF124" s="255"/>
      <c r="AG124" s="255"/>
      <c r="AH124" s="255"/>
      <c r="AI124" s="257"/>
      <c r="AJ124" s="254"/>
      <c r="AK124" s="255"/>
      <c r="AL124" s="257"/>
      <c r="AM124" s="254"/>
      <c r="AN124" s="563"/>
      <c r="AO124" s="209"/>
    </row>
    <row r="125" spans="1:41" s="500" customFormat="1">
      <c r="A125" s="239"/>
      <c r="B125" s="239" t="s">
        <v>55</v>
      </c>
      <c r="C125" s="572">
        <f>IF(V125&gt;0,(V125/V128),0)</f>
        <v>0</v>
      </c>
      <c r="D125" s="572">
        <f t="shared" ref="D125:T125" si="11">IF(W125&gt;0,(W125/W128),0)</f>
        <v>0</v>
      </c>
      <c r="E125" s="572">
        <f t="shared" si="11"/>
        <v>0</v>
      </c>
      <c r="F125" s="572">
        <f t="shared" si="11"/>
        <v>0</v>
      </c>
      <c r="G125" s="572">
        <f t="shared" si="11"/>
        <v>0</v>
      </c>
      <c r="H125" s="572">
        <f t="shared" si="11"/>
        <v>0</v>
      </c>
      <c r="I125" s="572">
        <f t="shared" si="11"/>
        <v>0</v>
      </c>
      <c r="J125" s="573">
        <f t="shared" si="11"/>
        <v>0</v>
      </c>
      <c r="K125" s="574">
        <f t="shared" si="11"/>
        <v>0</v>
      </c>
      <c r="L125" s="572">
        <f t="shared" si="11"/>
        <v>0</v>
      </c>
      <c r="M125" s="572">
        <f t="shared" si="11"/>
        <v>0</v>
      </c>
      <c r="N125" s="572">
        <f t="shared" si="11"/>
        <v>0</v>
      </c>
      <c r="O125" s="575">
        <f t="shared" si="11"/>
        <v>0</v>
      </c>
      <c r="P125" s="574">
        <f t="shared" si="11"/>
        <v>0</v>
      </c>
      <c r="Q125" s="572">
        <f t="shared" si="11"/>
        <v>0</v>
      </c>
      <c r="R125" s="572">
        <f t="shared" si="11"/>
        <v>0</v>
      </c>
      <c r="S125" s="575">
        <f t="shared" si="11"/>
        <v>0</v>
      </c>
      <c r="T125" s="574">
        <f t="shared" si="11"/>
        <v>0</v>
      </c>
      <c r="U125" s="253"/>
      <c r="V125" s="254"/>
      <c r="W125" s="255"/>
      <c r="X125" s="255"/>
      <c r="Y125" s="255"/>
      <c r="Z125" s="255"/>
      <c r="AA125" s="255"/>
      <c r="AB125" s="251"/>
      <c r="AC125" s="256"/>
      <c r="AD125" s="254"/>
      <c r="AE125" s="255"/>
      <c r="AF125" s="255"/>
      <c r="AG125" s="255"/>
      <c r="AH125" s="255"/>
      <c r="AI125" s="257"/>
      <c r="AJ125" s="254"/>
      <c r="AK125" s="255"/>
      <c r="AL125" s="257"/>
      <c r="AM125" s="254"/>
      <c r="AN125" s="563"/>
      <c r="AO125" s="209"/>
    </row>
    <row r="126" spans="1:41" s="500" customFormat="1">
      <c r="A126" s="239"/>
      <c r="B126" s="239" t="s">
        <v>78</v>
      </c>
      <c r="C126" s="572">
        <f>IF(V126&gt;0,(V126/V128),0)</f>
        <v>0</v>
      </c>
      <c r="D126" s="572">
        <f t="shared" ref="D126:T126" si="12">IF(W126&gt;0,(W126/W128),0)</f>
        <v>0</v>
      </c>
      <c r="E126" s="572">
        <f t="shared" si="12"/>
        <v>0</v>
      </c>
      <c r="F126" s="572">
        <f t="shared" si="12"/>
        <v>0</v>
      </c>
      <c r="G126" s="572">
        <f t="shared" si="12"/>
        <v>0</v>
      </c>
      <c r="H126" s="572">
        <f t="shared" si="12"/>
        <v>0</v>
      </c>
      <c r="I126" s="572">
        <f t="shared" si="12"/>
        <v>0</v>
      </c>
      <c r="J126" s="573">
        <f t="shared" si="12"/>
        <v>0</v>
      </c>
      <c r="K126" s="574">
        <f t="shared" si="12"/>
        <v>0</v>
      </c>
      <c r="L126" s="572">
        <f t="shared" si="12"/>
        <v>0</v>
      </c>
      <c r="M126" s="572">
        <f t="shared" si="12"/>
        <v>0</v>
      </c>
      <c r="N126" s="572">
        <f t="shared" si="12"/>
        <v>0</v>
      </c>
      <c r="O126" s="575">
        <f t="shared" si="12"/>
        <v>0</v>
      </c>
      <c r="P126" s="574">
        <f t="shared" si="12"/>
        <v>0</v>
      </c>
      <c r="Q126" s="572">
        <f t="shared" si="12"/>
        <v>0</v>
      </c>
      <c r="R126" s="572">
        <f t="shared" si="12"/>
        <v>0</v>
      </c>
      <c r="S126" s="575">
        <f t="shared" si="12"/>
        <v>0</v>
      </c>
      <c r="T126" s="574">
        <f t="shared" si="12"/>
        <v>0</v>
      </c>
      <c r="U126" s="253"/>
      <c r="V126" s="254"/>
      <c r="W126" s="255"/>
      <c r="X126" s="255"/>
      <c r="Y126" s="255"/>
      <c r="Z126" s="255"/>
      <c r="AA126" s="255"/>
      <c r="AB126" s="251"/>
      <c r="AC126" s="256"/>
      <c r="AD126" s="254"/>
      <c r="AE126" s="255"/>
      <c r="AF126" s="255"/>
      <c r="AG126" s="255"/>
      <c r="AH126" s="255"/>
      <c r="AI126" s="257"/>
      <c r="AJ126" s="254"/>
      <c r="AK126" s="255"/>
      <c r="AL126" s="257"/>
      <c r="AM126" s="254"/>
      <c r="AN126" s="563"/>
      <c r="AO126" s="209"/>
    </row>
    <row r="127" spans="1:41" s="500" customFormat="1">
      <c r="A127" s="580"/>
      <c r="B127" s="580" t="s">
        <v>131</v>
      </c>
      <c r="C127" s="581">
        <f>IF(V127&gt;0,(V127/V128),0)</f>
        <v>0</v>
      </c>
      <c r="D127" s="582">
        <f t="shared" ref="D127:T127" si="13">IF(W127&gt;0,(W127/W128),0)</f>
        <v>0</v>
      </c>
      <c r="E127" s="582">
        <f t="shared" si="13"/>
        <v>0</v>
      </c>
      <c r="F127" s="582">
        <f t="shared" si="13"/>
        <v>0</v>
      </c>
      <c r="G127" s="582">
        <f t="shared" si="13"/>
        <v>0</v>
      </c>
      <c r="H127" s="582">
        <f t="shared" si="13"/>
        <v>0</v>
      </c>
      <c r="I127" s="583">
        <f t="shared" si="13"/>
        <v>0</v>
      </c>
      <c r="J127" s="584">
        <f t="shared" si="13"/>
        <v>0</v>
      </c>
      <c r="K127" s="581">
        <f t="shared" si="13"/>
        <v>0</v>
      </c>
      <c r="L127" s="582">
        <f t="shared" si="13"/>
        <v>0</v>
      </c>
      <c r="M127" s="582">
        <f t="shared" si="13"/>
        <v>0</v>
      </c>
      <c r="N127" s="582">
        <f t="shared" si="13"/>
        <v>0</v>
      </c>
      <c r="O127" s="583">
        <f t="shared" si="13"/>
        <v>0</v>
      </c>
      <c r="P127" s="581">
        <f t="shared" si="13"/>
        <v>0</v>
      </c>
      <c r="Q127" s="581">
        <f t="shared" si="13"/>
        <v>0</v>
      </c>
      <c r="R127" s="582">
        <f t="shared" si="13"/>
        <v>0</v>
      </c>
      <c r="S127" s="583">
        <f t="shared" si="13"/>
        <v>0</v>
      </c>
      <c r="T127" s="581">
        <f t="shared" si="13"/>
        <v>0</v>
      </c>
      <c r="U127" s="253"/>
      <c r="V127" s="254"/>
      <c r="W127" s="255"/>
      <c r="X127" s="255"/>
      <c r="Y127" s="255"/>
      <c r="Z127" s="255"/>
      <c r="AA127" s="255"/>
      <c r="AB127" s="582"/>
      <c r="AC127" s="256"/>
      <c r="AD127" s="254"/>
      <c r="AE127" s="255"/>
      <c r="AF127" s="255"/>
      <c r="AG127" s="255"/>
      <c r="AH127" s="255"/>
      <c r="AI127" s="257"/>
      <c r="AJ127" s="254"/>
      <c r="AK127" s="255"/>
      <c r="AL127" s="257"/>
      <c r="AM127" s="254"/>
      <c r="AN127" s="209"/>
      <c r="AO127" s="209"/>
    </row>
    <row r="128" spans="1:41" s="527" customFormat="1">
      <c r="A128" s="436"/>
      <c r="B128" s="436" t="s">
        <v>59</v>
      </c>
      <c r="C128" s="456">
        <f>SUM(C123:C127)</f>
        <v>0</v>
      </c>
      <c r="D128" s="456">
        <f t="shared" ref="D128:T128" si="14">SUM(D123:D127)</f>
        <v>0</v>
      </c>
      <c r="E128" s="456">
        <f t="shared" si="14"/>
        <v>0</v>
      </c>
      <c r="F128" s="456">
        <f t="shared" si="14"/>
        <v>0</v>
      </c>
      <c r="G128" s="456">
        <f t="shared" si="14"/>
        <v>0</v>
      </c>
      <c r="H128" s="456">
        <f t="shared" si="14"/>
        <v>0</v>
      </c>
      <c r="I128" s="456">
        <f t="shared" si="14"/>
        <v>0</v>
      </c>
      <c r="J128" s="576">
        <f t="shared" si="14"/>
        <v>0</v>
      </c>
      <c r="K128" s="577">
        <f t="shared" si="14"/>
        <v>0</v>
      </c>
      <c r="L128" s="578">
        <f t="shared" si="14"/>
        <v>0</v>
      </c>
      <c r="M128" s="578">
        <f t="shared" si="14"/>
        <v>0</v>
      </c>
      <c r="N128" s="578">
        <f t="shared" si="14"/>
        <v>0</v>
      </c>
      <c r="O128" s="579">
        <f t="shared" si="14"/>
        <v>0</v>
      </c>
      <c r="P128" s="577">
        <f t="shared" si="14"/>
        <v>0</v>
      </c>
      <c r="Q128" s="578">
        <f t="shared" si="14"/>
        <v>0</v>
      </c>
      <c r="R128" s="578">
        <f t="shared" si="14"/>
        <v>0</v>
      </c>
      <c r="S128" s="579">
        <f t="shared" si="14"/>
        <v>0</v>
      </c>
      <c r="T128" s="577">
        <f t="shared" si="14"/>
        <v>0</v>
      </c>
      <c r="U128" s="264"/>
      <c r="V128" s="265"/>
      <c r="W128" s="266"/>
      <c r="X128" s="266"/>
      <c r="Y128" s="266"/>
      <c r="Z128" s="266"/>
      <c r="AA128" s="266"/>
      <c r="AB128" s="262"/>
      <c r="AC128" s="267"/>
      <c r="AD128" s="265"/>
      <c r="AE128" s="266"/>
      <c r="AF128" s="266"/>
      <c r="AG128" s="266"/>
      <c r="AH128" s="266"/>
      <c r="AI128" s="268"/>
      <c r="AJ128" s="265"/>
      <c r="AK128" s="266"/>
      <c r="AL128" s="268"/>
      <c r="AM128" s="265"/>
      <c r="AN128" s="270"/>
      <c r="AO128" s="270"/>
    </row>
    <row r="129" spans="1:41" s="500" customFormat="1">
      <c r="A129" s="240" t="s">
        <v>137</v>
      </c>
      <c r="B129" s="240" t="s">
        <v>53</v>
      </c>
      <c r="C129" s="568">
        <f>IF(V129&gt;0,(V129/V134),0)</f>
        <v>0</v>
      </c>
      <c r="D129" s="568">
        <f t="shared" ref="D129:T129" si="15">IF(W129&gt;0,(W129/W134),0)</f>
        <v>0</v>
      </c>
      <c r="E129" s="568">
        <f t="shared" si="15"/>
        <v>0</v>
      </c>
      <c r="F129" s="568">
        <f t="shared" si="15"/>
        <v>0</v>
      </c>
      <c r="G129" s="568">
        <f t="shared" si="15"/>
        <v>0</v>
      </c>
      <c r="H129" s="568">
        <f t="shared" si="15"/>
        <v>0</v>
      </c>
      <c r="I129" s="568">
        <f t="shared" si="15"/>
        <v>0</v>
      </c>
      <c r="J129" s="569">
        <f t="shared" si="15"/>
        <v>0</v>
      </c>
      <c r="K129" s="570">
        <f t="shared" si="15"/>
        <v>0</v>
      </c>
      <c r="L129" s="568">
        <f t="shared" si="15"/>
        <v>0</v>
      </c>
      <c r="M129" s="568">
        <f t="shared" si="15"/>
        <v>0</v>
      </c>
      <c r="N129" s="568">
        <f t="shared" si="15"/>
        <v>0</v>
      </c>
      <c r="O129" s="571">
        <f t="shared" si="15"/>
        <v>0</v>
      </c>
      <c r="P129" s="570">
        <f t="shared" si="15"/>
        <v>0</v>
      </c>
      <c r="Q129" s="568">
        <f t="shared" si="15"/>
        <v>0</v>
      </c>
      <c r="R129" s="568">
        <f t="shared" si="15"/>
        <v>0</v>
      </c>
      <c r="S129" s="571">
        <f t="shared" si="15"/>
        <v>0</v>
      </c>
      <c r="T129" s="570">
        <f t="shared" si="15"/>
        <v>0</v>
      </c>
      <c r="U129" s="253"/>
      <c r="V129" s="245"/>
      <c r="W129" s="246"/>
      <c r="X129" s="246"/>
      <c r="Y129" s="246"/>
      <c r="Z129" s="246"/>
      <c r="AA129" s="246"/>
      <c r="AB129" s="242"/>
      <c r="AC129" s="247"/>
      <c r="AD129" s="245"/>
      <c r="AE129" s="246"/>
      <c r="AF129" s="246"/>
      <c r="AG129" s="246"/>
      <c r="AH129" s="246"/>
      <c r="AI129" s="248"/>
      <c r="AJ129" s="245"/>
      <c r="AK129" s="246"/>
      <c r="AL129" s="248"/>
      <c r="AM129" s="245"/>
      <c r="AN129" s="563"/>
      <c r="AO129" s="209"/>
    </row>
    <row r="130" spans="1:41" s="500" customFormat="1">
      <c r="A130" s="239"/>
      <c r="B130" s="239" t="s">
        <v>93</v>
      </c>
      <c r="C130" s="572">
        <f>IF(V130&gt;0,(V130/V134),0)</f>
        <v>0</v>
      </c>
      <c r="D130" s="572">
        <f t="shared" ref="D130:T130" si="16">IF(W130&gt;0,(W130/W134),0)</f>
        <v>0</v>
      </c>
      <c r="E130" s="572">
        <f t="shared" si="16"/>
        <v>0</v>
      </c>
      <c r="F130" s="572">
        <f t="shared" si="16"/>
        <v>0</v>
      </c>
      <c r="G130" s="572">
        <f t="shared" si="16"/>
        <v>0</v>
      </c>
      <c r="H130" s="572">
        <f t="shared" si="16"/>
        <v>0</v>
      </c>
      <c r="I130" s="572">
        <f t="shared" si="16"/>
        <v>0</v>
      </c>
      <c r="J130" s="573">
        <f t="shared" si="16"/>
        <v>0</v>
      </c>
      <c r="K130" s="574">
        <f t="shared" si="16"/>
        <v>0</v>
      </c>
      <c r="L130" s="572">
        <f t="shared" si="16"/>
        <v>0</v>
      </c>
      <c r="M130" s="572">
        <f t="shared" si="16"/>
        <v>0</v>
      </c>
      <c r="N130" s="572">
        <f t="shared" si="16"/>
        <v>0</v>
      </c>
      <c r="O130" s="575">
        <f t="shared" si="16"/>
        <v>0</v>
      </c>
      <c r="P130" s="574">
        <f t="shared" si="16"/>
        <v>0</v>
      </c>
      <c r="Q130" s="572">
        <f t="shared" si="16"/>
        <v>0</v>
      </c>
      <c r="R130" s="572">
        <f t="shared" si="16"/>
        <v>0</v>
      </c>
      <c r="S130" s="575">
        <f t="shared" si="16"/>
        <v>0</v>
      </c>
      <c r="T130" s="574">
        <f t="shared" si="16"/>
        <v>0</v>
      </c>
      <c r="U130" s="253"/>
      <c r="V130" s="254"/>
      <c r="W130" s="255"/>
      <c r="X130" s="255"/>
      <c r="Y130" s="255"/>
      <c r="Z130" s="255"/>
      <c r="AA130" s="255"/>
      <c r="AB130" s="251"/>
      <c r="AC130" s="256"/>
      <c r="AD130" s="254"/>
      <c r="AE130" s="255"/>
      <c r="AF130" s="255"/>
      <c r="AG130" s="255"/>
      <c r="AH130" s="255"/>
      <c r="AI130" s="257"/>
      <c r="AJ130" s="254"/>
      <c r="AK130" s="255"/>
      <c r="AL130" s="257"/>
      <c r="AM130" s="254"/>
      <c r="AN130" s="563"/>
      <c r="AO130" s="209"/>
    </row>
    <row r="131" spans="1:41" s="500" customFormat="1">
      <c r="A131" s="239"/>
      <c r="B131" s="239" t="s">
        <v>55</v>
      </c>
      <c r="C131" s="572">
        <f>IF(V131&gt;0,(V131/V134),0)</f>
        <v>0</v>
      </c>
      <c r="D131" s="572">
        <f t="shared" ref="D131:T131" si="17">IF(W131&gt;0,(W131/W134),0)</f>
        <v>0</v>
      </c>
      <c r="E131" s="572">
        <f t="shared" si="17"/>
        <v>0</v>
      </c>
      <c r="F131" s="572">
        <f t="shared" si="17"/>
        <v>0</v>
      </c>
      <c r="G131" s="572">
        <f t="shared" si="17"/>
        <v>0</v>
      </c>
      <c r="H131" s="572">
        <f t="shared" si="17"/>
        <v>0</v>
      </c>
      <c r="I131" s="572">
        <f t="shared" si="17"/>
        <v>0</v>
      </c>
      <c r="J131" s="573">
        <f t="shared" si="17"/>
        <v>0</v>
      </c>
      <c r="K131" s="574">
        <f t="shared" si="17"/>
        <v>0</v>
      </c>
      <c r="L131" s="572">
        <f t="shared" si="17"/>
        <v>0</v>
      </c>
      <c r="M131" s="572">
        <f t="shared" si="17"/>
        <v>0</v>
      </c>
      <c r="N131" s="572">
        <f t="shared" si="17"/>
        <v>0</v>
      </c>
      <c r="O131" s="575">
        <f t="shared" si="17"/>
        <v>0</v>
      </c>
      <c r="P131" s="574">
        <f t="shared" si="17"/>
        <v>0</v>
      </c>
      <c r="Q131" s="572">
        <f t="shared" si="17"/>
        <v>0</v>
      </c>
      <c r="R131" s="572">
        <f t="shared" si="17"/>
        <v>0</v>
      </c>
      <c r="S131" s="575">
        <f t="shared" si="17"/>
        <v>0</v>
      </c>
      <c r="T131" s="574">
        <f t="shared" si="17"/>
        <v>0</v>
      </c>
      <c r="U131" s="253"/>
      <c r="V131" s="254"/>
      <c r="W131" s="255"/>
      <c r="X131" s="255"/>
      <c r="Y131" s="255"/>
      <c r="Z131" s="255"/>
      <c r="AA131" s="255"/>
      <c r="AB131" s="251"/>
      <c r="AC131" s="256"/>
      <c r="AD131" s="254"/>
      <c r="AE131" s="255"/>
      <c r="AF131" s="255"/>
      <c r="AG131" s="255"/>
      <c r="AH131" s="255"/>
      <c r="AI131" s="257"/>
      <c r="AJ131" s="254"/>
      <c r="AK131" s="255"/>
      <c r="AL131" s="257"/>
      <c r="AM131" s="254"/>
      <c r="AN131" s="563"/>
      <c r="AO131" s="209"/>
    </row>
    <row r="132" spans="1:41" s="500" customFormat="1">
      <c r="A132" s="239"/>
      <c r="B132" s="239" t="s">
        <v>78</v>
      </c>
      <c r="C132" s="572">
        <f>IF(V132&gt;0,(V132/V134),0)</f>
        <v>0</v>
      </c>
      <c r="D132" s="572">
        <f t="shared" ref="D132:T132" si="18">IF(W132&gt;0,(W132/W134),0)</f>
        <v>0</v>
      </c>
      <c r="E132" s="572">
        <f t="shared" si="18"/>
        <v>0</v>
      </c>
      <c r="F132" s="572">
        <f t="shared" si="18"/>
        <v>0</v>
      </c>
      <c r="G132" s="572">
        <f t="shared" si="18"/>
        <v>0</v>
      </c>
      <c r="H132" s="572">
        <f t="shared" si="18"/>
        <v>0</v>
      </c>
      <c r="I132" s="572">
        <f t="shared" si="18"/>
        <v>0</v>
      </c>
      <c r="J132" s="573">
        <f t="shared" si="18"/>
        <v>0</v>
      </c>
      <c r="K132" s="574">
        <f t="shared" si="18"/>
        <v>0</v>
      </c>
      <c r="L132" s="572">
        <f t="shared" si="18"/>
        <v>0</v>
      </c>
      <c r="M132" s="572">
        <f t="shared" si="18"/>
        <v>0</v>
      </c>
      <c r="N132" s="572">
        <f t="shared" si="18"/>
        <v>0</v>
      </c>
      <c r="O132" s="575">
        <f t="shared" si="18"/>
        <v>0</v>
      </c>
      <c r="P132" s="574">
        <f t="shared" si="18"/>
        <v>0</v>
      </c>
      <c r="Q132" s="572">
        <f t="shared" si="18"/>
        <v>0</v>
      </c>
      <c r="R132" s="572">
        <f t="shared" si="18"/>
        <v>0</v>
      </c>
      <c r="S132" s="575">
        <f t="shared" si="18"/>
        <v>0</v>
      </c>
      <c r="T132" s="574">
        <f t="shared" si="18"/>
        <v>0</v>
      </c>
      <c r="U132" s="253"/>
      <c r="V132" s="254"/>
      <c r="W132" s="255"/>
      <c r="X132" s="255"/>
      <c r="Y132" s="255"/>
      <c r="Z132" s="255"/>
      <c r="AA132" s="255"/>
      <c r="AB132" s="251"/>
      <c r="AC132" s="256"/>
      <c r="AD132" s="254"/>
      <c r="AE132" s="255"/>
      <c r="AF132" s="255"/>
      <c r="AG132" s="255"/>
      <c r="AH132" s="255"/>
      <c r="AI132" s="257"/>
      <c r="AJ132" s="254"/>
      <c r="AK132" s="255"/>
      <c r="AL132" s="257"/>
      <c r="AM132" s="254"/>
      <c r="AN132" s="563"/>
      <c r="AO132" s="209"/>
    </row>
    <row r="133" spans="1:41" s="500" customFormat="1">
      <c r="A133" s="580"/>
      <c r="B133" s="580" t="s">
        <v>131</v>
      </c>
      <c r="C133" s="581">
        <f>IF(V133&gt;0,(V133/V134),0)</f>
        <v>0</v>
      </c>
      <c r="D133" s="582">
        <f t="shared" ref="D133:T133" si="19">IF(W133&gt;0,(W133/W134),0)</f>
        <v>0</v>
      </c>
      <c r="E133" s="582">
        <f t="shared" si="19"/>
        <v>0</v>
      </c>
      <c r="F133" s="582">
        <f t="shared" si="19"/>
        <v>0</v>
      </c>
      <c r="G133" s="582">
        <f t="shared" si="19"/>
        <v>0</v>
      </c>
      <c r="H133" s="582">
        <f t="shared" si="19"/>
        <v>0</v>
      </c>
      <c r="I133" s="583">
        <f t="shared" si="19"/>
        <v>0</v>
      </c>
      <c r="J133" s="584">
        <f t="shared" si="19"/>
        <v>0</v>
      </c>
      <c r="K133" s="581">
        <f t="shared" si="19"/>
        <v>0</v>
      </c>
      <c r="L133" s="582">
        <f t="shared" si="19"/>
        <v>0</v>
      </c>
      <c r="M133" s="582">
        <f t="shared" si="19"/>
        <v>0</v>
      </c>
      <c r="N133" s="582">
        <f t="shared" si="19"/>
        <v>0</v>
      </c>
      <c r="O133" s="583">
        <f t="shared" si="19"/>
        <v>0</v>
      </c>
      <c r="P133" s="581">
        <f t="shared" si="19"/>
        <v>0</v>
      </c>
      <c r="Q133" s="581">
        <f t="shared" si="19"/>
        <v>0</v>
      </c>
      <c r="R133" s="582">
        <f t="shared" si="19"/>
        <v>0</v>
      </c>
      <c r="S133" s="583">
        <f t="shared" si="19"/>
        <v>0</v>
      </c>
      <c r="T133" s="581">
        <f t="shared" si="19"/>
        <v>0</v>
      </c>
      <c r="U133" s="253"/>
      <c r="V133" s="254"/>
      <c r="W133" s="255"/>
      <c r="X133" s="255"/>
      <c r="Y133" s="255"/>
      <c r="Z133" s="255"/>
      <c r="AA133" s="255"/>
      <c r="AB133" s="582"/>
      <c r="AC133" s="256"/>
      <c r="AD133" s="254"/>
      <c r="AE133" s="255"/>
      <c r="AF133" s="255"/>
      <c r="AG133" s="255"/>
      <c r="AH133" s="255"/>
      <c r="AI133" s="257"/>
      <c r="AJ133" s="254"/>
      <c r="AK133" s="255"/>
      <c r="AL133" s="257"/>
      <c r="AM133" s="254"/>
      <c r="AN133" s="209"/>
      <c r="AO133" s="209"/>
    </row>
    <row r="134" spans="1:41" s="527" customFormat="1">
      <c r="A134" s="436"/>
      <c r="B134" s="436" t="s">
        <v>59</v>
      </c>
      <c r="C134" s="456">
        <f>SUM(C129:C133)</f>
        <v>0</v>
      </c>
      <c r="D134" s="456">
        <f t="shared" ref="D134:T134" si="20">SUM(D129:D133)</f>
        <v>0</v>
      </c>
      <c r="E134" s="456">
        <f t="shared" si="20"/>
        <v>0</v>
      </c>
      <c r="F134" s="456">
        <f t="shared" si="20"/>
        <v>0</v>
      </c>
      <c r="G134" s="456">
        <f t="shared" si="20"/>
        <v>0</v>
      </c>
      <c r="H134" s="456">
        <f t="shared" si="20"/>
        <v>0</v>
      </c>
      <c r="I134" s="456">
        <f t="shared" si="20"/>
        <v>0</v>
      </c>
      <c r="J134" s="576">
        <f t="shared" si="20"/>
        <v>0</v>
      </c>
      <c r="K134" s="577">
        <f t="shared" si="20"/>
        <v>0</v>
      </c>
      <c r="L134" s="578">
        <f t="shared" si="20"/>
        <v>0</v>
      </c>
      <c r="M134" s="578">
        <f t="shared" si="20"/>
        <v>0</v>
      </c>
      <c r="N134" s="578">
        <f t="shared" si="20"/>
        <v>0</v>
      </c>
      <c r="O134" s="579">
        <f t="shared" si="20"/>
        <v>0</v>
      </c>
      <c r="P134" s="577">
        <f t="shared" si="20"/>
        <v>0</v>
      </c>
      <c r="Q134" s="578">
        <f t="shared" si="20"/>
        <v>0</v>
      </c>
      <c r="R134" s="578">
        <f t="shared" si="20"/>
        <v>0</v>
      </c>
      <c r="S134" s="579">
        <f t="shared" si="20"/>
        <v>0</v>
      </c>
      <c r="T134" s="577">
        <f t="shared" si="20"/>
        <v>0</v>
      </c>
      <c r="U134" s="264"/>
      <c r="V134" s="265"/>
      <c r="W134" s="266"/>
      <c r="X134" s="266"/>
      <c r="Y134" s="266"/>
      <c r="Z134" s="266"/>
      <c r="AA134" s="266"/>
      <c r="AB134" s="262"/>
      <c r="AC134" s="267"/>
      <c r="AD134" s="265"/>
      <c r="AE134" s="266"/>
      <c r="AF134" s="266"/>
      <c r="AG134" s="266"/>
      <c r="AH134" s="266"/>
      <c r="AI134" s="268"/>
      <c r="AJ134" s="265"/>
      <c r="AK134" s="266"/>
      <c r="AL134" s="268"/>
      <c r="AM134" s="265"/>
      <c r="AN134" s="270"/>
      <c r="AO134" s="270"/>
    </row>
    <row r="135" spans="1:41" s="500" customFormat="1">
      <c r="A135" s="240" t="s">
        <v>138</v>
      </c>
      <c r="B135" s="240" t="s">
        <v>53</v>
      </c>
      <c r="C135" s="568">
        <f>IF(V135&gt;0,(V135/V140),0)</f>
        <v>0</v>
      </c>
      <c r="D135" s="568">
        <f t="shared" ref="D135:T135" si="21">IF(W135&gt;0,(W135/W140),0)</f>
        <v>0</v>
      </c>
      <c r="E135" s="568">
        <f t="shared" si="21"/>
        <v>0</v>
      </c>
      <c r="F135" s="568">
        <f t="shared" si="21"/>
        <v>0</v>
      </c>
      <c r="G135" s="568">
        <f t="shared" si="21"/>
        <v>0</v>
      </c>
      <c r="H135" s="568">
        <f t="shared" si="21"/>
        <v>0</v>
      </c>
      <c r="I135" s="568">
        <f t="shared" si="21"/>
        <v>0</v>
      </c>
      <c r="J135" s="569">
        <f t="shared" si="21"/>
        <v>0</v>
      </c>
      <c r="K135" s="570">
        <f t="shared" si="21"/>
        <v>0</v>
      </c>
      <c r="L135" s="568">
        <f t="shared" si="21"/>
        <v>0</v>
      </c>
      <c r="M135" s="568">
        <f t="shared" si="21"/>
        <v>0</v>
      </c>
      <c r="N135" s="568">
        <f t="shared" si="21"/>
        <v>0</v>
      </c>
      <c r="O135" s="571">
        <f t="shared" si="21"/>
        <v>0</v>
      </c>
      <c r="P135" s="570">
        <f t="shared" si="21"/>
        <v>0</v>
      </c>
      <c r="Q135" s="568">
        <f t="shared" si="21"/>
        <v>0</v>
      </c>
      <c r="R135" s="568">
        <f t="shared" si="21"/>
        <v>0</v>
      </c>
      <c r="S135" s="571">
        <f t="shared" si="21"/>
        <v>0</v>
      </c>
      <c r="T135" s="570">
        <f t="shared" si="21"/>
        <v>0</v>
      </c>
      <c r="U135" s="253"/>
      <c r="V135" s="245"/>
      <c r="W135" s="246"/>
      <c r="X135" s="246"/>
      <c r="Y135" s="246"/>
      <c r="Z135" s="246"/>
      <c r="AA135" s="246"/>
      <c r="AB135" s="242"/>
      <c r="AC135" s="247"/>
      <c r="AD135" s="245"/>
      <c r="AE135" s="246"/>
      <c r="AF135" s="246"/>
      <c r="AG135" s="246"/>
      <c r="AH135" s="246"/>
      <c r="AI135" s="248"/>
      <c r="AJ135" s="245"/>
      <c r="AK135" s="246"/>
      <c r="AL135" s="248"/>
      <c r="AM135" s="245"/>
      <c r="AN135" s="563"/>
      <c r="AO135" s="209"/>
    </row>
    <row r="136" spans="1:41" s="500" customFormat="1">
      <c r="A136" s="239"/>
      <c r="B136" s="239" t="s">
        <v>93</v>
      </c>
      <c r="C136" s="572">
        <f>IF(V136&gt;0,(V136/V140),0)</f>
        <v>0</v>
      </c>
      <c r="D136" s="572">
        <f t="shared" ref="D136:T136" si="22">IF(W136&gt;0,(W136/W140),0)</f>
        <v>0</v>
      </c>
      <c r="E136" s="572">
        <f t="shared" si="22"/>
        <v>0</v>
      </c>
      <c r="F136" s="572">
        <f t="shared" si="22"/>
        <v>0</v>
      </c>
      <c r="G136" s="572">
        <f t="shared" si="22"/>
        <v>0</v>
      </c>
      <c r="H136" s="572">
        <f t="shared" si="22"/>
        <v>0</v>
      </c>
      <c r="I136" s="572">
        <f t="shared" si="22"/>
        <v>0</v>
      </c>
      <c r="J136" s="573">
        <f t="shared" si="22"/>
        <v>0</v>
      </c>
      <c r="K136" s="574">
        <f t="shared" si="22"/>
        <v>0</v>
      </c>
      <c r="L136" s="572">
        <f t="shared" si="22"/>
        <v>0</v>
      </c>
      <c r="M136" s="572">
        <f t="shared" si="22"/>
        <v>0</v>
      </c>
      <c r="N136" s="572">
        <f t="shared" si="22"/>
        <v>0</v>
      </c>
      <c r="O136" s="575">
        <f t="shared" si="22"/>
        <v>0</v>
      </c>
      <c r="P136" s="574">
        <f t="shared" si="22"/>
        <v>0</v>
      </c>
      <c r="Q136" s="572">
        <f t="shared" si="22"/>
        <v>0</v>
      </c>
      <c r="R136" s="572">
        <f t="shared" si="22"/>
        <v>0</v>
      </c>
      <c r="S136" s="575">
        <f t="shared" si="22"/>
        <v>0</v>
      </c>
      <c r="T136" s="574">
        <f t="shared" si="22"/>
        <v>0</v>
      </c>
      <c r="U136" s="253"/>
      <c r="V136" s="254"/>
      <c r="W136" s="255"/>
      <c r="X136" s="255"/>
      <c r="Y136" s="255"/>
      <c r="Z136" s="255"/>
      <c r="AA136" s="255"/>
      <c r="AB136" s="251"/>
      <c r="AC136" s="256"/>
      <c r="AD136" s="254"/>
      <c r="AE136" s="255"/>
      <c r="AF136" s="255"/>
      <c r="AG136" s="255"/>
      <c r="AH136" s="255"/>
      <c r="AI136" s="257"/>
      <c r="AJ136" s="254"/>
      <c r="AK136" s="255"/>
      <c r="AL136" s="257"/>
      <c r="AM136" s="254"/>
      <c r="AN136" s="563"/>
      <c r="AO136" s="209"/>
    </row>
    <row r="137" spans="1:41" s="500" customFormat="1">
      <c r="A137" s="239"/>
      <c r="B137" s="239" t="s">
        <v>55</v>
      </c>
      <c r="C137" s="572">
        <f>IF(V137&gt;0,(V137/V140),0)</f>
        <v>0</v>
      </c>
      <c r="D137" s="572">
        <f t="shared" ref="D137:T137" si="23">IF(W137&gt;0,(W137/W140),0)</f>
        <v>0</v>
      </c>
      <c r="E137" s="572">
        <f t="shared" si="23"/>
        <v>0</v>
      </c>
      <c r="F137" s="572">
        <f t="shared" si="23"/>
        <v>0</v>
      </c>
      <c r="G137" s="572">
        <f t="shared" si="23"/>
        <v>0</v>
      </c>
      <c r="H137" s="572">
        <f t="shared" si="23"/>
        <v>0</v>
      </c>
      <c r="I137" s="572">
        <f t="shared" si="23"/>
        <v>0</v>
      </c>
      <c r="J137" s="573">
        <f t="shared" si="23"/>
        <v>0</v>
      </c>
      <c r="K137" s="574">
        <f t="shared" si="23"/>
        <v>0</v>
      </c>
      <c r="L137" s="572">
        <f t="shared" si="23"/>
        <v>0</v>
      </c>
      <c r="M137" s="572">
        <f t="shared" si="23"/>
        <v>0</v>
      </c>
      <c r="N137" s="572">
        <f t="shared" si="23"/>
        <v>0</v>
      </c>
      <c r="O137" s="575">
        <f t="shared" si="23"/>
        <v>0</v>
      </c>
      <c r="P137" s="574">
        <f t="shared" si="23"/>
        <v>0</v>
      </c>
      <c r="Q137" s="572">
        <f t="shared" si="23"/>
        <v>0</v>
      </c>
      <c r="R137" s="572">
        <f t="shared" si="23"/>
        <v>0</v>
      </c>
      <c r="S137" s="575">
        <f t="shared" si="23"/>
        <v>0</v>
      </c>
      <c r="T137" s="574">
        <f t="shared" si="23"/>
        <v>0</v>
      </c>
      <c r="U137" s="253"/>
      <c r="V137" s="254"/>
      <c r="W137" s="255"/>
      <c r="X137" s="255"/>
      <c r="Y137" s="255"/>
      <c r="Z137" s="255"/>
      <c r="AA137" s="255"/>
      <c r="AB137" s="251"/>
      <c r="AC137" s="256"/>
      <c r="AD137" s="254"/>
      <c r="AE137" s="255"/>
      <c r="AF137" s="255"/>
      <c r="AG137" s="255"/>
      <c r="AH137" s="255"/>
      <c r="AI137" s="257"/>
      <c r="AJ137" s="254"/>
      <c r="AK137" s="255"/>
      <c r="AL137" s="257"/>
      <c r="AM137" s="254"/>
      <c r="AN137" s="563"/>
      <c r="AO137" s="209"/>
    </row>
    <row r="138" spans="1:41" s="500" customFormat="1">
      <c r="A138" s="239"/>
      <c r="B138" s="239" t="s">
        <v>78</v>
      </c>
      <c r="C138" s="572">
        <f>IF(V138&gt;0,(V138/V140),0)</f>
        <v>0</v>
      </c>
      <c r="D138" s="572">
        <f t="shared" ref="D138:T138" si="24">IF(W138&gt;0,(W138/W140),0)</f>
        <v>0</v>
      </c>
      <c r="E138" s="572">
        <f t="shared" si="24"/>
        <v>0</v>
      </c>
      <c r="F138" s="572">
        <f t="shared" si="24"/>
        <v>0</v>
      </c>
      <c r="G138" s="572">
        <f t="shared" si="24"/>
        <v>0</v>
      </c>
      <c r="H138" s="572">
        <f t="shared" si="24"/>
        <v>0</v>
      </c>
      <c r="I138" s="572">
        <f t="shared" si="24"/>
        <v>0</v>
      </c>
      <c r="J138" s="573">
        <f t="shared" si="24"/>
        <v>0</v>
      </c>
      <c r="K138" s="574">
        <f t="shared" si="24"/>
        <v>0</v>
      </c>
      <c r="L138" s="572">
        <f t="shared" si="24"/>
        <v>0</v>
      </c>
      <c r="M138" s="572">
        <f t="shared" si="24"/>
        <v>0</v>
      </c>
      <c r="N138" s="572">
        <f t="shared" si="24"/>
        <v>0</v>
      </c>
      <c r="O138" s="575">
        <f t="shared" si="24"/>
        <v>0</v>
      </c>
      <c r="P138" s="574">
        <f t="shared" si="24"/>
        <v>0</v>
      </c>
      <c r="Q138" s="572">
        <f t="shared" si="24"/>
        <v>0</v>
      </c>
      <c r="R138" s="572">
        <f t="shared" si="24"/>
        <v>0</v>
      </c>
      <c r="S138" s="575">
        <f t="shared" si="24"/>
        <v>0</v>
      </c>
      <c r="T138" s="574">
        <f t="shared" si="24"/>
        <v>0</v>
      </c>
      <c r="U138" s="253"/>
      <c r="V138" s="254"/>
      <c r="W138" s="255"/>
      <c r="X138" s="255"/>
      <c r="Y138" s="255"/>
      <c r="Z138" s="255"/>
      <c r="AA138" s="255"/>
      <c r="AB138" s="251"/>
      <c r="AC138" s="256"/>
      <c r="AD138" s="254"/>
      <c r="AE138" s="255"/>
      <c r="AF138" s="255"/>
      <c r="AG138" s="255"/>
      <c r="AH138" s="255"/>
      <c r="AI138" s="257"/>
      <c r="AJ138" s="254"/>
      <c r="AK138" s="255"/>
      <c r="AL138" s="257"/>
      <c r="AM138" s="254"/>
      <c r="AN138" s="563"/>
      <c r="AO138" s="209"/>
    </row>
    <row r="139" spans="1:41" s="500" customFormat="1">
      <c r="A139" s="580"/>
      <c r="B139" s="580" t="s">
        <v>131</v>
      </c>
      <c r="C139" s="581">
        <f>IF(V139&gt;0,(V139/V140),0)</f>
        <v>0</v>
      </c>
      <c r="D139" s="582">
        <f t="shared" ref="D139:T139" si="25">IF(W139&gt;0,(W139/W140),0)</f>
        <v>0</v>
      </c>
      <c r="E139" s="582">
        <f t="shared" si="25"/>
        <v>0</v>
      </c>
      <c r="F139" s="582">
        <f t="shared" si="25"/>
        <v>0</v>
      </c>
      <c r="G139" s="582">
        <f t="shared" si="25"/>
        <v>0</v>
      </c>
      <c r="H139" s="582">
        <f t="shared" si="25"/>
        <v>0</v>
      </c>
      <c r="I139" s="583">
        <f t="shared" si="25"/>
        <v>0</v>
      </c>
      <c r="J139" s="584">
        <f t="shared" si="25"/>
        <v>0</v>
      </c>
      <c r="K139" s="581">
        <f t="shared" si="25"/>
        <v>0</v>
      </c>
      <c r="L139" s="582">
        <f t="shared" si="25"/>
        <v>0</v>
      </c>
      <c r="M139" s="582">
        <f t="shared" si="25"/>
        <v>0</v>
      </c>
      <c r="N139" s="582">
        <f t="shared" si="25"/>
        <v>0</v>
      </c>
      <c r="O139" s="583">
        <f t="shared" si="25"/>
        <v>0</v>
      </c>
      <c r="P139" s="581">
        <f t="shared" si="25"/>
        <v>0</v>
      </c>
      <c r="Q139" s="581">
        <f t="shared" si="25"/>
        <v>0</v>
      </c>
      <c r="R139" s="582">
        <f t="shared" si="25"/>
        <v>0</v>
      </c>
      <c r="S139" s="583">
        <f t="shared" si="25"/>
        <v>0</v>
      </c>
      <c r="T139" s="581">
        <f t="shared" si="25"/>
        <v>0</v>
      </c>
      <c r="U139" s="253"/>
      <c r="V139" s="254"/>
      <c r="W139" s="255"/>
      <c r="X139" s="255"/>
      <c r="Y139" s="255"/>
      <c r="Z139" s="255"/>
      <c r="AA139" s="255"/>
      <c r="AB139" s="582"/>
      <c r="AC139" s="256"/>
      <c r="AD139" s="254"/>
      <c r="AE139" s="255"/>
      <c r="AF139" s="255"/>
      <c r="AG139" s="255"/>
      <c r="AH139" s="255"/>
      <c r="AI139" s="257"/>
      <c r="AJ139" s="254"/>
      <c r="AK139" s="255"/>
      <c r="AL139" s="257"/>
      <c r="AM139" s="254"/>
      <c r="AN139" s="209"/>
      <c r="AO139" s="209"/>
    </row>
    <row r="140" spans="1:41" s="527" customFormat="1">
      <c r="A140" s="436"/>
      <c r="B140" s="436" t="s">
        <v>59</v>
      </c>
      <c r="C140" s="456">
        <f>SUM(C135:C139)</f>
        <v>0</v>
      </c>
      <c r="D140" s="456">
        <f t="shared" ref="D140:T140" si="26">SUM(D135:D139)</f>
        <v>0</v>
      </c>
      <c r="E140" s="456">
        <f t="shared" si="26"/>
        <v>0</v>
      </c>
      <c r="F140" s="456">
        <f t="shared" si="26"/>
        <v>0</v>
      </c>
      <c r="G140" s="456">
        <f t="shared" si="26"/>
        <v>0</v>
      </c>
      <c r="H140" s="456">
        <f t="shared" si="26"/>
        <v>0</v>
      </c>
      <c r="I140" s="456">
        <f t="shared" si="26"/>
        <v>0</v>
      </c>
      <c r="J140" s="576">
        <f t="shared" si="26"/>
        <v>0</v>
      </c>
      <c r="K140" s="577">
        <f t="shared" si="26"/>
        <v>0</v>
      </c>
      <c r="L140" s="578">
        <f t="shared" si="26"/>
        <v>0</v>
      </c>
      <c r="M140" s="578">
        <f t="shared" si="26"/>
        <v>0</v>
      </c>
      <c r="N140" s="578">
        <f t="shared" si="26"/>
        <v>0</v>
      </c>
      <c r="O140" s="579">
        <f t="shared" si="26"/>
        <v>0</v>
      </c>
      <c r="P140" s="577">
        <f t="shared" si="26"/>
        <v>0</v>
      </c>
      <c r="Q140" s="578">
        <f t="shared" si="26"/>
        <v>0</v>
      </c>
      <c r="R140" s="578">
        <f t="shared" si="26"/>
        <v>0</v>
      </c>
      <c r="S140" s="579">
        <f t="shared" si="26"/>
        <v>0</v>
      </c>
      <c r="T140" s="577">
        <f t="shared" si="26"/>
        <v>0</v>
      </c>
      <c r="U140" s="264"/>
      <c r="V140" s="265"/>
      <c r="W140" s="266"/>
      <c r="X140" s="266"/>
      <c r="Y140" s="266"/>
      <c r="Z140" s="266"/>
      <c r="AA140" s="266"/>
      <c r="AB140" s="262"/>
      <c r="AC140" s="267"/>
      <c r="AD140" s="265"/>
      <c r="AE140" s="266"/>
      <c r="AF140" s="266"/>
      <c r="AG140" s="266"/>
      <c r="AH140" s="266"/>
      <c r="AI140" s="268"/>
      <c r="AJ140" s="265"/>
      <c r="AK140" s="266"/>
      <c r="AL140" s="268"/>
      <c r="AM140" s="265"/>
      <c r="AN140" s="270"/>
      <c r="AO140" s="270"/>
    </row>
    <row r="141" spans="1:41" s="500" customFormat="1">
      <c r="A141" s="240" t="s">
        <v>139</v>
      </c>
      <c r="B141" s="240" t="s">
        <v>53</v>
      </c>
      <c r="C141" s="568">
        <f>IF(V141&gt;0,(V141/V146),0)</f>
        <v>0</v>
      </c>
      <c r="D141" s="568">
        <f t="shared" ref="D141:T141" si="27">IF(W141&gt;0,(W141/W146),0)</f>
        <v>0</v>
      </c>
      <c r="E141" s="568">
        <f t="shared" si="27"/>
        <v>0</v>
      </c>
      <c r="F141" s="568">
        <f t="shared" si="27"/>
        <v>0</v>
      </c>
      <c r="G141" s="568">
        <f t="shared" si="27"/>
        <v>0</v>
      </c>
      <c r="H141" s="568">
        <f t="shared" si="27"/>
        <v>0</v>
      </c>
      <c r="I141" s="568">
        <f t="shared" si="27"/>
        <v>0</v>
      </c>
      <c r="J141" s="569">
        <f t="shared" si="27"/>
        <v>0</v>
      </c>
      <c r="K141" s="570">
        <f t="shared" si="27"/>
        <v>0</v>
      </c>
      <c r="L141" s="568">
        <f t="shared" si="27"/>
        <v>0</v>
      </c>
      <c r="M141" s="568">
        <f t="shared" si="27"/>
        <v>0</v>
      </c>
      <c r="N141" s="568">
        <f t="shared" si="27"/>
        <v>0</v>
      </c>
      <c r="O141" s="571">
        <f t="shared" si="27"/>
        <v>0</v>
      </c>
      <c r="P141" s="570">
        <f t="shared" si="27"/>
        <v>0</v>
      </c>
      <c r="Q141" s="568">
        <f t="shared" si="27"/>
        <v>0</v>
      </c>
      <c r="R141" s="568">
        <f t="shared" si="27"/>
        <v>0</v>
      </c>
      <c r="S141" s="571">
        <f t="shared" si="27"/>
        <v>0</v>
      </c>
      <c r="T141" s="570">
        <f t="shared" si="27"/>
        <v>0</v>
      </c>
      <c r="U141" s="253"/>
      <c r="V141" s="245"/>
      <c r="W141" s="246"/>
      <c r="X141" s="246"/>
      <c r="Y141" s="246"/>
      <c r="Z141" s="246"/>
      <c r="AA141" s="246"/>
      <c r="AB141" s="242"/>
      <c r="AC141" s="247"/>
      <c r="AD141" s="245"/>
      <c r="AE141" s="246"/>
      <c r="AF141" s="246"/>
      <c r="AG141" s="246"/>
      <c r="AH141" s="246"/>
      <c r="AI141" s="248"/>
      <c r="AJ141" s="245"/>
      <c r="AK141" s="246"/>
      <c r="AL141" s="248"/>
      <c r="AM141" s="245"/>
      <c r="AN141" s="563"/>
      <c r="AO141" s="209"/>
    </row>
    <row r="142" spans="1:41" s="500" customFormat="1">
      <c r="A142" s="239"/>
      <c r="B142" s="239" t="s">
        <v>93</v>
      </c>
      <c r="C142" s="572">
        <f>IF(V142&gt;0,(V142/V146),0)</f>
        <v>0</v>
      </c>
      <c r="D142" s="572">
        <f t="shared" ref="D142:T142" si="28">IF(W142&gt;0,(W142/W146),0)</f>
        <v>0</v>
      </c>
      <c r="E142" s="572">
        <f t="shared" si="28"/>
        <v>0</v>
      </c>
      <c r="F142" s="572">
        <f t="shared" si="28"/>
        <v>0</v>
      </c>
      <c r="G142" s="572">
        <f t="shared" si="28"/>
        <v>0</v>
      </c>
      <c r="H142" s="572">
        <f t="shared" si="28"/>
        <v>0</v>
      </c>
      <c r="I142" s="572">
        <f t="shared" si="28"/>
        <v>0</v>
      </c>
      <c r="J142" s="573">
        <f t="shared" si="28"/>
        <v>0</v>
      </c>
      <c r="K142" s="574">
        <f t="shared" si="28"/>
        <v>0</v>
      </c>
      <c r="L142" s="572">
        <f t="shared" si="28"/>
        <v>0</v>
      </c>
      <c r="M142" s="572">
        <f t="shared" si="28"/>
        <v>0</v>
      </c>
      <c r="N142" s="572">
        <f t="shared" si="28"/>
        <v>0</v>
      </c>
      <c r="O142" s="575">
        <f t="shared" si="28"/>
        <v>0</v>
      </c>
      <c r="P142" s="574">
        <f t="shared" si="28"/>
        <v>0</v>
      </c>
      <c r="Q142" s="572">
        <f t="shared" si="28"/>
        <v>0</v>
      </c>
      <c r="R142" s="572">
        <f t="shared" si="28"/>
        <v>0</v>
      </c>
      <c r="S142" s="575">
        <f t="shared" si="28"/>
        <v>0</v>
      </c>
      <c r="T142" s="574">
        <f t="shared" si="28"/>
        <v>0</v>
      </c>
      <c r="U142" s="253"/>
      <c r="V142" s="254"/>
      <c r="W142" s="255"/>
      <c r="X142" s="255"/>
      <c r="Y142" s="255"/>
      <c r="Z142" s="255"/>
      <c r="AA142" s="255"/>
      <c r="AB142" s="251"/>
      <c r="AC142" s="256"/>
      <c r="AD142" s="254"/>
      <c r="AE142" s="255"/>
      <c r="AF142" s="255"/>
      <c r="AG142" s="255"/>
      <c r="AH142" s="255"/>
      <c r="AI142" s="257"/>
      <c r="AJ142" s="254"/>
      <c r="AK142" s="255"/>
      <c r="AL142" s="257"/>
      <c r="AM142" s="254"/>
      <c r="AN142" s="563"/>
      <c r="AO142" s="209"/>
    </row>
    <row r="143" spans="1:41" s="500" customFormat="1">
      <c r="A143" s="239"/>
      <c r="B143" s="239" t="s">
        <v>55</v>
      </c>
      <c r="C143" s="572">
        <f>IF(V143&gt;0,(V143/V146),0)</f>
        <v>0</v>
      </c>
      <c r="D143" s="572">
        <f t="shared" ref="D143:T143" si="29">IF(W143&gt;0,(W143/W146),0)</f>
        <v>0</v>
      </c>
      <c r="E143" s="572">
        <f t="shared" si="29"/>
        <v>0</v>
      </c>
      <c r="F143" s="572">
        <f t="shared" si="29"/>
        <v>0</v>
      </c>
      <c r="G143" s="572">
        <f t="shared" si="29"/>
        <v>0</v>
      </c>
      <c r="H143" s="572">
        <f t="shared" si="29"/>
        <v>0</v>
      </c>
      <c r="I143" s="572">
        <f t="shared" si="29"/>
        <v>0</v>
      </c>
      <c r="J143" s="573">
        <f t="shared" si="29"/>
        <v>0</v>
      </c>
      <c r="K143" s="574">
        <f t="shared" si="29"/>
        <v>0</v>
      </c>
      <c r="L143" s="572">
        <f t="shared" si="29"/>
        <v>0</v>
      </c>
      <c r="M143" s="572">
        <f t="shared" si="29"/>
        <v>0</v>
      </c>
      <c r="N143" s="572">
        <f t="shared" si="29"/>
        <v>0</v>
      </c>
      <c r="O143" s="575">
        <f t="shared" si="29"/>
        <v>0</v>
      </c>
      <c r="P143" s="574">
        <f t="shared" si="29"/>
        <v>0</v>
      </c>
      <c r="Q143" s="572">
        <f t="shared" si="29"/>
        <v>0</v>
      </c>
      <c r="R143" s="572">
        <f t="shared" si="29"/>
        <v>0</v>
      </c>
      <c r="S143" s="575">
        <f t="shared" si="29"/>
        <v>0</v>
      </c>
      <c r="T143" s="574">
        <f t="shared" si="29"/>
        <v>0</v>
      </c>
      <c r="U143" s="253"/>
      <c r="V143" s="254"/>
      <c r="W143" s="255"/>
      <c r="X143" s="255"/>
      <c r="Y143" s="255"/>
      <c r="Z143" s="255"/>
      <c r="AA143" s="255"/>
      <c r="AB143" s="251"/>
      <c r="AC143" s="256"/>
      <c r="AD143" s="254"/>
      <c r="AE143" s="255"/>
      <c r="AF143" s="255"/>
      <c r="AG143" s="255"/>
      <c r="AH143" s="255"/>
      <c r="AI143" s="257"/>
      <c r="AJ143" s="254"/>
      <c r="AK143" s="255"/>
      <c r="AL143" s="257"/>
      <c r="AM143" s="254"/>
      <c r="AN143" s="563"/>
      <c r="AO143" s="209"/>
    </row>
    <row r="144" spans="1:41" s="500" customFormat="1">
      <c r="A144" s="239"/>
      <c r="B144" s="239" t="s">
        <v>78</v>
      </c>
      <c r="C144" s="572">
        <f>IF(V144&gt;0,(V144/V146),0)</f>
        <v>0</v>
      </c>
      <c r="D144" s="572">
        <f t="shared" ref="D144:T144" si="30">IF(W144&gt;0,(W144/W146),0)</f>
        <v>0</v>
      </c>
      <c r="E144" s="572">
        <f t="shared" si="30"/>
        <v>0</v>
      </c>
      <c r="F144" s="572">
        <f t="shared" si="30"/>
        <v>0</v>
      </c>
      <c r="G144" s="572">
        <f t="shared" si="30"/>
        <v>0</v>
      </c>
      <c r="H144" s="572">
        <f t="shared" si="30"/>
        <v>0</v>
      </c>
      <c r="I144" s="572">
        <f t="shared" si="30"/>
        <v>0</v>
      </c>
      <c r="J144" s="573">
        <f t="shared" si="30"/>
        <v>0</v>
      </c>
      <c r="K144" s="574">
        <f t="shared" si="30"/>
        <v>0</v>
      </c>
      <c r="L144" s="572">
        <f t="shared" si="30"/>
        <v>0</v>
      </c>
      <c r="M144" s="572">
        <f t="shared" si="30"/>
        <v>0</v>
      </c>
      <c r="N144" s="572">
        <f t="shared" si="30"/>
        <v>0</v>
      </c>
      <c r="O144" s="575">
        <f t="shared" si="30"/>
        <v>0</v>
      </c>
      <c r="P144" s="574">
        <f t="shared" si="30"/>
        <v>0</v>
      </c>
      <c r="Q144" s="572">
        <f t="shared" si="30"/>
        <v>0</v>
      </c>
      <c r="R144" s="572">
        <f t="shared" si="30"/>
        <v>0</v>
      </c>
      <c r="S144" s="575">
        <f t="shared" si="30"/>
        <v>0</v>
      </c>
      <c r="T144" s="574">
        <f t="shared" si="30"/>
        <v>0</v>
      </c>
      <c r="U144" s="253"/>
      <c r="V144" s="254"/>
      <c r="W144" s="255"/>
      <c r="X144" s="255"/>
      <c r="Y144" s="255"/>
      <c r="Z144" s="255"/>
      <c r="AA144" s="255"/>
      <c r="AB144" s="251"/>
      <c r="AC144" s="256"/>
      <c r="AD144" s="254"/>
      <c r="AE144" s="255"/>
      <c r="AF144" s="255"/>
      <c r="AG144" s="255"/>
      <c r="AH144" s="255"/>
      <c r="AI144" s="257"/>
      <c r="AJ144" s="254"/>
      <c r="AK144" s="255"/>
      <c r="AL144" s="257"/>
      <c r="AM144" s="254"/>
      <c r="AN144" s="563"/>
      <c r="AO144" s="209"/>
    </row>
    <row r="145" spans="1:41" s="500" customFormat="1">
      <c r="A145" s="580"/>
      <c r="B145" s="580" t="s">
        <v>131</v>
      </c>
      <c r="C145" s="581">
        <f>IF(V145&gt;0,(V145/V146),0)</f>
        <v>0</v>
      </c>
      <c r="D145" s="582">
        <f t="shared" ref="D145:T145" si="31">IF(W145&gt;0,(W145/W146),0)</f>
        <v>0</v>
      </c>
      <c r="E145" s="582">
        <f t="shared" si="31"/>
        <v>0</v>
      </c>
      <c r="F145" s="582">
        <f t="shared" si="31"/>
        <v>0</v>
      </c>
      <c r="G145" s="582">
        <f t="shared" si="31"/>
        <v>0</v>
      </c>
      <c r="H145" s="582">
        <f t="shared" si="31"/>
        <v>0</v>
      </c>
      <c r="I145" s="583">
        <f t="shared" si="31"/>
        <v>0</v>
      </c>
      <c r="J145" s="584">
        <f t="shared" si="31"/>
        <v>0</v>
      </c>
      <c r="K145" s="581">
        <f t="shared" si="31"/>
        <v>0</v>
      </c>
      <c r="L145" s="582">
        <f t="shared" si="31"/>
        <v>0</v>
      </c>
      <c r="M145" s="582">
        <f t="shared" si="31"/>
        <v>0</v>
      </c>
      <c r="N145" s="582">
        <f t="shared" si="31"/>
        <v>0</v>
      </c>
      <c r="O145" s="583">
        <f t="shared" si="31"/>
        <v>0</v>
      </c>
      <c r="P145" s="581">
        <f t="shared" si="31"/>
        <v>0</v>
      </c>
      <c r="Q145" s="581">
        <f t="shared" si="31"/>
        <v>0</v>
      </c>
      <c r="R145" s="582">
        <f t="shared" si="31"/>
        <v>0</v>
      </c>
      <c r="S145" s="583">
        <f t="shared" si="31"/>
        <v>0</v>
      </c>
      <c r="T145" s="581">
        <f t="shared" si="31"/>
        <v>0</v>
      </c>
      <c r="U145" s="253"/>
      <c r="V145" s="254"/>
      <c r="W145" s="255"/>
      <c r="X145" s="255"/>
      <c r="Y145" s="255"/>
      <c r="Z145" s="255"/>
      <c r="AA145" s="255"/>
      <c r="AB145" s="582"/>
      <c r="AC145" s="256"/>
      <c r="AD145" s="254"/>
      <c r="AE145" s="255"/>
      <c r="AF145" s="255"/>
      <c r="AG145" s="255"/>
      <c r="AH145" s="255"/>
      <c r="AI145" s="257"/>
      <c r="AJ145" s="254"/>
      <c r="AK145" s="255"/>
      <c r="AL145" s="257"/>
      <c r="AM145" s="254"/>
      <c r="AN145" s="209"/>
      <c r="AO145" s="209"/>
    </row>
    <row r="146" spans="1:41" s="527" customFormat="1">
      <c r="A146" s="436"/>
      <c r="B146" s="436" t="s">
        <v>59</v>
      </c>
      <c r="C146" s="456">
        <f>SUM(C141:C145)</f>
        <v>0</v>
      </c>
      <c r="D146" s="456">
        <f t="shared" ref="D146:T146" si="32">SUM(D141:D145)</f>
        <v>0</v>
      </c>
      <c r="E146" s="456">
        <f t="shared" si="32"/>
        <v>0</v>
      </c>
      <c r="F146" s="456">
        <f t="shared" si="32"/>
        <v>0</v>
      </c>
      <c r="G146" s="456">
        <f t="shared" si="32"/>
        <v>0</v>
      </c>
      <c r="H146" s="456">
        <f t="shared" si="32"/>
        <v>0</v>
      </c>
      <c r="I146" s="456">
        <f t="shared" si="32"/>
        <v>0</v>
      </c>
      <c r="J146" s="576">
        <f t="shared" si="32"/>
        <v>0</v>
      </c>
      <c r="K146" s="577">
        <f t="shared" si="32"/>
        <v>0</v>
      </c>
      <c r="L146" s="578">
        <f t="shared" si="32"/>
        <v>0</v>
      </c>
      <c r="M146" s="578">
        <f t="shared" si="32"/>
        <v>0</v>
      </c>
      <c r="N146" s="578">
        <f t="shared" si="32"/>
        <v>0</v>
      </c>
      <c r="O146" s="579">
        <f t="shared" si="32"/>
        <v>0</v>
      </c>
      <c r="P146" s="577">
        <f t="shared" si="32"/>
        <v>0</v>
      </c>
      <c r="Q146" s="578">
        <f t="shared" si="32"/>
        <v>0</v>
      </c>
      <c r="R146" s="578">
        <f t="shared" si="32"/>
        <v>0</v>
      </c>
      <c r="S146" s="579">
        <f t="shared" si="32"/>
        <v>0</v>
      </c>
      <c r="T146" s="577">
        <f t="shared" si="32"/>
        <v>0</v>
      </c>
      <c r="U146" s="264"/>
      <c r="V146" s="265"/>
      <c r="W146" s="266"/>
      <c r="X146" s="266"/>
      <c r="Y146" s="266"/>
      <c r="Z146" s="266"/>
      <c r="AA146" s="266"/>
      <c r="AB146" s="262"/>
      <c r="AC146" s="267"/>
      <c r="AD146" s="265"/>
      <c r="AE146" s="266"/>
      <c r="AF146" s="266"/>
      <c r="AG146" s="266"/>
      <c r="AH146" s="266"/>
      <c r="AI146" s="268"/>
      <c r="AJ146" s="265"/>
      <c r="AK146" s="266"/>
      <c r="AL146" s="268"/>
      <c r="AM146" s="265"/>
      <c r="AN146" s="270"/>
      <c r="AO146" s="270"/>
    </row>
    <row r="147" spans="1:41" s="500" customFormat="1">
      <c r="A147" s="240" t="s">
        <v>141</v>
      </c>
      <c r="B147" s="240" t="s">
        <v>53</v>
      </c>
      <c r="C147" s="568">
        <f>IF(V147&gt;0,(V147/V152),0)</f>
        <v>0</v>
      </c>
      <c r="D147" s="568">
        <f t="shared" ref="D147:T147" si="33">IF(W147&gt;0,(W147/W152),0)</f>
        <v>0</v>
      </c>
      <c r="E147" s="568">
        <f t="shared" si="33"/>
        <v>0</v>
      </c>
      <c r="F147" s="568">
        <f t="shared" si="33"/>
        <v>0</v>
      </c>
      <c r="G147" s="568">
        <f t="shared" si="33"/>
        <v>0</v>
      </c>
      <c r="H147" s="568">
        <f t="shared" si="33"/>
        <v>0</v>
      </c>
      <c r="I147" s="568">
        <f t="shared" si="33"/>
        <v>0</v>
      </c>
      <c r="J147" s="569">
        <f t="shared" si="33"/>
        <v>0</v>
      </c>
      <c r="K147" s="570">
        <f t="shared" si="33"/>
        <v>0</v>
      </c>
      <c r="L147" s="568">
        <f t="shared" si="33"/>
        <v>0</v>
      </c>
      <c r="M147" s="568">
        <f t="shared" si="33"/>
        <v>0</v>
      </c>
      <c r="N147" s="568">
        <f t="shared" si="33"/>
        <v>0</v>
      </c>
      <c r="O147" s="571">
        <f t="shared" si="33"/>
        <v>0</v>
      </c>
      <c r="P147" s="570">
        <f t="shared" si="33"/>
        <v>0</v>
      </c>
      <c r="Q147" s="568">
        <f t="shared" si="33"/>
        <v>0</v>
      </c>
      <c r="R147" s="568">
        <f t="shared" si="33"/>
        <v>0</v>
      </c>
      <c r="S147" s="571">
        <f t="shared" si="33"/>
        <v>0</v>
      </c>
      <c r="T147" s="570">
        <f t="shared" si="33"/>
        <v>0</v>
      </c>
      <c r="U147" s="253"/>
      <c r="V147" s="245"/>
      <c r="W147" s="246"/>
      <c r="X147" s="246"/>
      <c r="Y147" s="246"/>
      <c r="Z147" s="246"/>
      <c r="AA147" s="246"/>
      <c r="AB147" s="242"/>
      <c r="AC147" s="247"/>
      <c r="AD147" s="245"/>
      <c r="AE147" s="246"/>
      <c r="AF147" s="246"/>
      <c r="AG147" s="246"/>
      <c r="AH147" s="246"/>
      <c r="AI147" s="248"/>
      <c r="AJ147" s="245"/>
      <c r="AK147" s="246"/>
      <c r="AL147" s="248"/>
      <c r="AM147" s="245"/>
      <c r="AN147" s="563"/>
      <c r="AO147" s="209"/>
    </row>
    <row r="148" spans="1:41" s="500" customFormat="1">
      <c r="A148" s="239"/>
      <c r="B148" s="239" t="s">
        <v>93</v>
      </c>
      <c r="C148" s="572">
        <f>IF(V148&gt;0,(V148/V152),0)</f>
        <v>0</v>
      </c>
      <c r="D148" s="572">
        <f t="shared" ref="D148:T148" si="34">IF(W148&gt;0,(W148/W152),0)</f>
        <v>0</v>
      </c>
      <c r="E148" s="572">
        <f t="shared" si="34"/>
        <v>0</v>
      </c>
      <c r="F148" s="572">
        <f t="shared" si="34"/>
        <v>0</v>
      </c>
      <c r="G148" s="572">
        <f t="shared" si="34"/>
        <v>0</v>
      </c>
      <c r="H148" s="572">
        <f t="shared" si="34"/>
        <v>0</v>
      </c>
      <c r="I148" s="572">
        <f t="shared" si="34"/>
        <v>0</v>
      </c>
      <c r="J148" s="573">
        <f t="shared" si="34"/>
        <v>0</v>
      </c>
      <c r="K148" s="574">
        <f t="shared" si="34"/>
        <v>0</v>
      </c>
      <c r="L148" s="572">
        <f t="shared" si="34"/>
        <v>0</v>
      </c>
      <c r="M148" s="572">
        <f t="shared" si="34"/>
        <v>0</v>
      </c>
      <c r="N148" s="572">
        <f t="shared" si="34"/>
        <v>0</v>
      </c>
      <c r="O148" s="575">
        <f t="shared" si="34"/>
        <v>0</v>
      </c>
      <c r="P148" s="574">
        <f t="shared" si="34"/>
        <v>0</v>
      </c>
      <c r="Q148" s="572">
        <f t="shared" si="34"/>
        <v>0</v>
      </c>
      <c r="R148" s="572">
        <f t="shared" si="34"/>
        <v>0</v>
      </c>
      <c r="S148" s="575">
        <f t="shared" si="34"/>
        <v>0</v>
      </c>
      <c r="T148" s="574">
        <f t="shared" si="34"/>
        <v>0</v>
      </c>
      <c r="U148" s="253"/>
      <c r="V148" s="254"/>
      <c r="W148" s="255"/>
      <c r="X148" s="255"/>
      <c r="Y148" s="255"/>
      <c r="Z148" s="255"/>
      <c r="AA148" s="255"/>
      <c r="AB148" s="251"/>
      <c r="AC148" s="256"/>
      <c r="AD148" s="254"/>
      <c r="AE148" s="255"/>
      <c r="AF148" s="255"/>
      <c r="AG148" s="255"/>
      <c r="AH148" s="255"/>
      <c r="AI148" s="257"/>
      <c r="AJ148" s="254"/>
      <c r="AK148" s="255"/>
      <c r="AL148" s="257"/>
      <c r="AM148" s="254"/>
      <c r="AN148" s="563"/>
      <c r="AO148" s="209"/>
    </row>
    <row r="149" spans="1:41" s="500" customFormat="1">
      <c r="A149" s="239"/>
      <c r="B149" s="239" t="s">
        <v>55</v>
      </c>
      <c r="C149" s="572">
        <f>IF(V149&gt;0,(V149/V152),0)</f>
        <v>0</v>
      </c>
      <c r="D149" s="572">
        <f t="shared" ref="D149:T149" si="35">IF(W149&gt;0,(W149/W152),0)</f>
        <v>0</v>
      </c>
      <c r="E149" s="572">
        <f t="shared" si="35"/>
        <v>0</v>
      </c>
      <c r="F149" s="572">
        <f t="shared" si="35"/>
        <v>0</v>
      </c>
      <c r="G149" s="572">
        <f t="shared" si="35"/>
        <v>0</v>
      </c>
      <c r="H149" s="572">
        <f t="shared" si="35"/>
        <v>0</v>
      </c>
      <c r="I149" s="572">
        <f t="shared" si="35"/>
        <v>0</v>
      </c>
      <c r="J149" s="573">
        <f t="shared" si="35"/>
        <v>0</v>
      </c>
      <c r="K149" s="574">
        <f t="shared" si="35"/>
        <v>0</v>
      </c>
      <c r="L149" s="572">
        <f t="shared" si="35"/>
        <v>0</v>
      </c>
      <c r="M149" s="572">
        <f t="shared" si="35"/>
        <v>0</v>
      </c>
      <c r="N149" s="572">
        <f t="shared" si="35"/>
        <v>0</v>
      </c>
      <c r="O149" s="575">
        <f t="shared" si="35"/>
        <v>0</v>
      </c>
      <c r="P149" s="574">
        <f t="shared" si="35"/>
        <v>0</v>
      </c>
      <c r="Q149" s="572">
        <f t="shared" si="35"/>
        <v>0</v>
      </c>
      <c r="R149" s="572">
        <f t="shared" si="35"/>
        <v>0</v>
      </c>
      <c r="S149" s="575">
        <f t="shared" si="35"/>
        <v>0</v>
      </c>
      <c r="T149" s="574">
        <f t="shared" si="35"/>
        <v>0</v>
      </c>
      <c r="U149" s="253"/>
      <c r="V149" s="254"/>
      <c r="W149" s="255"/>
      <c r="X149" s="255"/>
      <c r="Y149" s="255"/>
      <c r="Z149" s="255"/>
      <c r="AA149" s="255"/>
      <c r="AB149" s="251"/>
      <c r="AC149" s="256"/>
      <c r="AD149" s="254"/>
      <c r="AE149" s="255"/>
      <c r="AF149" s="255"/>
      <c r="AG149" s="255"/>
      <c r="AH149" s="255"/>
      <c r="AI149" s="257"/>
      <c r="AJ149" s="254"/>
      <c r="AK149" s="255"/>
      <c r="AL149" s="257"/>
      <c r="AM149" s="254"/>
      <c r="AN149" s="563"/>
      <c r="AO149" s="209"/>
    </row>
    <row r="150" spans="1:41" s="500" customFormat="1">
      <c r="A150" s="239"/>
      <c r="B150" s="239" t="s">
        <v>78</v>
      </c>
      <c r="C150" s="572">
        <f>IF(V150&gt;0,(V150/V152),0)</f>
        <v>0</v>
      </c>
      <c r="D150" s="572">
        <f t="shared" ref="D150:T150" si="36">IF(W150&gt;0,(W150/W152),0)</f>
        <v>0</v>
      </c>
      <c r="E150" s="572">
        <f t="shared" si="36"/>
        <v>0</v>
      </c>
      <c r="F150" s="572">
        <f t="shared" si="36"/>
        <v>0</v>
      </c>
      <c r="G150" s="572">
        <f t="shared" si="36"/>
        <v>0</v>
      </c>
      <c r="H150" s="572">
        <f t="shared" si="36"/>
        <v>0</v>
      </c>
      <c r="I150" s="572">
        <f t="shared" si="36"/>
        <v>0</v>
      </c>
      <c r="J150" s="573">
        <f t="shared" si="36"/>
        <v>0</v>
      </c>
      <c r="K150" s="574">
        <f t="shared" si="36"/>
        <v>0</v>
      </c>
      <c r="L150" s="572">
        <f t="shared" si="36"/>
        <v>0</v>
      </c>
      <c r="M150" s="572">
        <f t="shared" si="36"/>
        <v>0</v>
      </c>
      <c r="N150" s="572">
        <f t="shared" si="36"/>
        <v>0</v>
      </c>
      <c r="O150" s="575">
        <f t="shared" si="36"/>
        <v>0</v>
      </c>
      <c r="P150" s="574">
        <f t="shared" si="36"/>
        <v>0</v>
      </c>
      <c r="Q150" s="572">
        <f t="shared" si="36"/>
        <v>0</v>
      </c>
      <c r="R150" s="572">
        <f t="shared" si="36"/>
        <v>0</v>
      </c>
      <c r="S150" s="575">
        <f t="shared" si="36"/>
        <v>0</v>
      </c>
      <c r="T150" s="574">
        <f t="shared" si="36"/>
        <v>0</v>
      </c>
      <c r="U150" s="253"/>
      <c r="V150" s="254"/>
      <c r="W150" s="255"/>
      <c r="X150" s="255"/>
      <c r="Y150" s="255"/>
      <c r="Z150" s="255"/>
      <c r="AA150" s="255"/>
      <c r="AB150" s="251"/>
      <c r="AC150" s="256"/>
      <c r="AD150" s="254"/>
      <c r="AE150" s="255"/>
      <c r="AF150" s="255"/>
      <c r="AG150" s="255"/>
      <c r="AH150" s="255"/>
      <c r="AI150" s="257"/>
      <c r="AJ150" s="254"/>
      <c r="AK150" s="255"/>
      <c r="AL150" s="257"/>
      <c r="AM150" s="254"/>
      <c r="AN150" s="563"/>
      <c r="AO150" s="209"/>
    </row>
    <row r="151" spans="1:41" s="500" customFormat="1">
      <c r="A151" s="580"/>
      <c r="B151" s="580" t="s">
        <v>131</v>
      </c>
      <c r="C151" s="581">
        <f>IF(V151&gt;0,(V151/V152),0)</f>
        <v>0</v>
      </c>
      <c r="D151" s="582">
        <f t="shared" ref="D151:T151" si="37">IF(W151&gt;0,(W151/W152),0)</f>
        <v>0</v>
      </c>
      <c r="E151" s="582">
        <f t="shared" si="37"/>
        <v>0</v>
      </c>
      <c r="F151" s="582">
        <f t="shared" si="37"/>
        <v>0</v>
      </c>
      <c r="G151" s="582">
        <f t="shared" si="37"/>
        <v>0</v>
      </c>
      <c r="H151" s="582">
        <f t="shared" si="37"/>
        <v>0</v>
      </c>
      <c r="I151" s="583">
        <f t="shared" si="37"/>
        <v>0</v>
      </c>
      <c r="J151" s="584">
        <f t="shared" si="37"/>
        <v>0</v>
      </c>
      <c r="K151" s="581">
        <f t="shared" si="37"/>
        <v>0</v>
      </c>
      <c r="L151" s="582">
        <f t="shared" si="37"/>
        <v>0</v>
      </c>
      <c r="M151" s="582">
        <f t="shared" si="37"/>
        <v>0</v>
      </c>
      <c r="N151" s="582">
        <f t="shared" si="37"/>
        <v>0</v>
      </c>
      <c r="O151" s="583">
        <f t="shared" si="37"/>
        <v>0</v>
      </c>
      <c r="P151" s="581">
        <f t="shared" si="37"/>
        <v>0</v>
      </c>
      <c r="Q151" s="581">
        <f t="shared" si="37"/>
        <v>0</v>
      </c>
      <c r="R151" s="582">
        <f t="shared" si="37"/>
        <v>0</v>
      </c>
      <c r="S151" s="583">
        <f t="shared" si="37"/>
        <v>0</v>
      </c>
      <c r="T151" s="581">
        <f t="shared" si="37"/>
        <v>0</v>
      </c>
      <c r="U151" s="253"/>
      <c r="V151" s="254"/>
      <c r="W151" s="255"/>
      <c r="X151" s="255"/>
      <c r="Y151" s="255"/>
      <c r="Z151" s="255"/>
      <c r="AA151" s="255"/>
      <c r="AB151" s="582"/>
      <c r="AC151" s="256"/>
      <c r="AD151" s="254"/>
      <c r="AE151" s="255"/>
      <c r="AF151" s="255"/>
      <c r="AG151" s="255"/>
      <c r="AH151" s="255"/>
      <c r="AI151" s="257"/>
      <c r="AJ151" s="254"/>
      <c r="AK151" s="255"/>
      <c r="AL151" s="257"/>
      <c r="AM151" s="254"/>
      <c r="AN151" s="209"/>
      <c r="AO151" s="209"/>
    </row>
    <row r="152" spans="1:41" s="527" customFormat="1">
      <c r="A152" s="436"/>
      <c r="B152" s="436" t="s">
        <v>59</v>
      </c>
      <c r="C152" s="456">
        <f>SUM(C147:C151)</f>
        <v>0</v>
      </c>
      <c r="D152" s="456">
        <f t="shared" ref="D152:T152" si="38">SUM(D147:D151)</f>
        <v>0</v>
      </c>
      <c r="E152" s="456">
        <f t="shared" si="38"/>
        <v>0</v>
      </c>
      <c r="F152" s="456">
        <f t="shared" si="38"/>
        <v>0</v>
      </c>
      <c r="G152" s="456">
        <f t="shared" si="38"/>
        <v>0</v>
      </c>
      <c r="H152" s="456">
        <f t="shared" si="38"/>
        <v>0</v>
      </c>
      <c r="I152" s="456">
        <f t="shared" si="38"/>
        <v>0</v>
      </c>
      <c r="J152" s="576">
        <f t="shared" si="38"/>
        <v>0</v>
      </c>
      <c r="K152" s="577">
        <f t="shared" si="38"/>
        <v>0</v>
      </c>
      <c r="L152" s="578">
        <f t="shared" si="38"/>
        <v>0</v>
      </c>
      <c r="M152" s="578">
        <f t="shared" si="38"/>
        <v>0</v>
      </c>
      <c r="N152" s="578">
        <f t="shared" si="38"/>
        <v>0</v>
      </c>
      <c r="O152" s="579">
        <f t="shared" si="38"/>
        <v>0</v>
      </c>
      <c r="P152" s="577">
        <f t="shared" si="38"/>
        <v>0</v>
      </c>
      <c r="Q152" s="578">
        <f t="shared" si="38"/>
        <v>0</v>
      </c>
      <c r="R152" s="578">
        <f t="shared" si="38"/>
        <v>0</v>
      </c>
      <c r="S152" s="579">
        <f t="shared" si="38"/>
        <v>0</v>
      </c>
      <c r="T152" s="577">
        <f t="shared" si="38"/>
        <v>0</v>
      </c>
      <c r="U152" s="264"/>
      <c r="V152" s="265"/>
      <c r="W152" s="266"/>
      <c r="X152" s="266"/>
      <c r="Y152" s="266"/>
      <c r="Z152" s="266"/>
      <c r="AA152" s="266"/>
      <c r="AB152" s="262"/>
      <c r="AC152" s="267"/>
      <c r="AD152" s="265"/>
      <c r="AE152" s="266"/>
      <c r="AF152" s="266"/>
      <c r="AG152" s="266"/>
      <c r="AH152" s="266"/>
      <c r="AI152" s="268"/>
      <c r="AJ152" s="265"/>
      <c r="AK152" s="266"/>
      <c r="AL152" s="268"/>
      <c r="AM152" s="265"/>
      <c r="AN152" s="270"/>
      <c r="AO152" s="270"/>
    </row>
    <row r="153" spans="1:41" s="500" customFormat="1">
      <c r="A153" s="240" t="s">
        <v>143</v>
      </c>
      <c r="B153" s="240" t="s">
        <v>53</v>
      </c>
      <c r="C153" s="568">
        <f>IF(V153&gt;0,(V153/V158),0)</f>
        <v>0</v>
      </c>
      <c r="D153" s="568">
        <f t="shared" ref="D153:T153" si="39">IF(W153&gt;0,(W153/W158),0)</f>
        <v>0</v>
      </c>
      <c r="E153" s="568">
        <f t="shared" si="39"/>
        <v>0</v>
      </c>
      <c r="F153" s="568">
        <f t="shared" si="39"/>
        <v>0</v>
      </c>
      <c r="G153" s="568">
        <f t="shared" si="39"/>
        <v>0</v>
      </c>
      <c r="H153" s="568">
        <f t="shared" si="39"/>
        <v>0</v>
      </c>
      <c r="I153" s="568">
        <f t="shared" si="39"/>
        <v>0</v>
      </c>
      <c r="J153" s="569">
        <f t="shared" si="39"/>
        <v>0</v>
      </c>
      <c r="K153" s="570">
        <f t="shared" si="39"/>
        <v>0</v>
      </c>
      <c r="L153" s="568">
        <f t="shared" si="39"/>
        <v>0</v>
      </c>
      <c r="M153" s="568">
        <f t="shared" si="39"/>
        <v>0</v>
      </c>
      <c r="N153" s="568">
        <f t="shared" si="39"/>
        <v>0</v>
      </c>
      <c r="O153" s="571">
        <f t="shared" si="39"/>
        <v>0</v>
      </c>
      <c r="P153" s="570">
        <f t="shared" si="39"/>
        <v>0</v>
      </c>
      <c r="Q153" s="568">
        <f t="shared" si="39"/>
        <v>0</v>
      </c>
      <c r="R153" s="568">
        <f t="shared" si="39"/>
        <v>0</v>
      </c>
      <c r="S153" s="571">
        <f t="shared" si="39"/>
        <v>0</v>
      </c>
      <c r="T153" s="570">
        <f t="shared" si="39"/>
        <v>0</v>
      </c>
      <c r="U153" s="253"/>
      <c r="V153" s="245"/>
      <c r="W153" s="246"/>
      <c r="X153" s="246"/>
      <c r="Y153" s="246"/>
      <c r="Z153" s="246"/>
      <c r="AA153" s="246"/>
      <c r="AB153" s="242"/>
      <c r="AC153" s="247"/>
      <c r="AD153" s="245"/>
      <c r="AE153" s="246"/>
      <c r="AF153" s="246"/>
      <c r="AG153" s="246"/>
      <c r="AH153" s="246"/>
      <c r="AI153" s="248"/>
      <c r="AJ153" s="245"/>
      <c r="AK153" s="246"/>
      <c r="AL153" s="248"/>
      <c r="AM153" s="245"/>
      <c r="AN153" s="245"/>
      <c r="AO153" s="209"/>
    </row>
    <row r="154" spans="1:41" s="500" customFormat="1">
      <c r="A154" s="239"/>
      <c r="B154" s="239" t="s">
        <v>93</v>
      </c>
      <c r="C154" s="572">
        <f>IF(V154&gt;0,(V154/V158),0)</f>
        <v>0</v>
      </c>
      <c r="D154" s="572">
        <f t="shared" ref="D154:T154" si="40">IF(W154&gt;0,(W154/W158),0)</f>
        <v>0</v>
      </c>
      <c r="E154" s="572">
        <f t="shared" si="40"/>
        <v>0</v>
      </c>
      <c r="F154" s="572">
        <f t="shared" si="40"/>
        <v>0</v>
      </c>
      <c r="G154" s="572">
        <f t="shared" si="40"/>
        <v>0</v>
      </c>
      <c r="H154" s="572">
        <f t="shared" si="40"/>
        <v>0</v>
      </c>
      <c r="I154" s="572">
        <f t="shared" si="40"/>
        <v>0</v>
      </c>
      <c r="J154" s="573">
        <f t="shared" si="40"/>
        <v>0</v>
      </c>
      <c r="K154" s="574">
        <f t="shared" si="40"/>
        <v>0</v>
      </c>
      <c r="L154" s="572">
        <f t="shared" si="40"/>
        <v>0</v>
      </c>
      <c r="M154" s="572">
        <f t="shared" si="40"/>
        <v>0</v>
      </c>
      <c r="N154" s="572">
        <f t="shared" si="40"/>
        <v>0</v>
      </c>
      <c r="O154" s="575">
        <f t="shared" si="40"/>
        <v>0</v>
      </c>
      <c r="P154" s="574">
        <f t="shared" si="40"/>
        <v>0</v>
      </c>
      <c r="Q154" s="572">
        <f t="shared" si="40"/>
        <v>0</v>
      </c>
      <c r="R154" s="572">
        <f t="shared" si="40"/>
        <v>0</v>
      </c>
      <c r="S154" s="575">
        <f t="shared" si="40"/>
        <v>0</v>
      </c>
      <c r="T154" s="574">
        <f t="shared" si="40"/>
        <v>0</v>
      </c>
      <c r="U154" s="253"/>
      <c r="V154" s="254"/>
      <c r="W154" s="255"/>
      <c r="X154" s="255"/>
      <c r="Y154" s="255"/>
      <c r="Z154" s="255"/>
      <c r="AA154" s="255"/>
      <c r="AB154" s="251"/>
      <c r="AC154" s="256"/>
      <c r="AD154" s="254"/>
      <c r="AE154" s="255"/>
      <c r="AF154" s="255"/>
      <c r="AG154" s="255"/>
      <c r="AH154" s="255"/>
      <c r="AI154" s="257"/>
      <c r="AJ154" s="254"/>
      <c r="AK154" s="255"/>
      <c r="AL154" s="257"/>
      <c r="AM154" s="254"/>
      <c r="AN154" s="254"/>
      <c r="AO154" s="209"/>
    </row>
    <row r="155" spans="1:41" s="500" customFormat="1">
      <c r="A155" s="239"/>
      <c r="B155" s="239" t="s">
        <v>55</v>
      </c>
      <c r="C155" s="572">
        <f>IF(V155&gt;0,(V155/V158),0)</f>
        <v>0</v>
      </c>
      <c r="D155" s="572">
        <f t="shared" ref="D155:T155" si="41">IF(W155&gt;0,(W155/W158),0)</f>
        <v>0</v>
      </c>
      <c r="E155" s="572">
        <f t="shared" si="41"/>
        <v>0</v>
      </c>
      <c r="F155" s="572">
        <f t="shared" si="41"/>
        <v>0</v>
      </c>
      <c r="G155" s="572">
        <f t="shared" si="41"/>
        <v>0</v>
      </c>
      <c r="H155" s="572">
        <f t="shared" si="41"/>
        <v>0</v>
      </c>
      <c r="I155" s="572">
        <f t="shared" si="41"/>
        <v>0</v>
      </c>
      <c r="J155" s="573">
        <f t="shared" si="41"/>
        <v>0</v>
      </c>
      <c r="K155" s="574">
        <f t="shared" si="41"/>
        <v>0</v>
      </c>
      <c r="L155" s="572">
        <f t="shared" si="41"/>
        <v>0</v>
      </c>
      <c r="M155" s="572">
        <f t="shared" si="41"/>
        <v>0</v>
      </c>
      <c r="N155" s="572">
        <f t="shared" si="41"/>
        <v>0</v>
      </c>
      <c r="O155" s="575">
        <f t="shared" si="41"/>
        <v>0</v>
      </c>
      <c r="P155" s="574">
        <f t="shared" si="41"/>
        <v>0</v>
      </c>
      <c r="Q155" s="572">
        <f t="shared" si="41"/>
        <v>0</v>
      </c>
      <c r="R155" s="572">
        <f t="shared" si="41"/>
        <v>0</v>
      </c>
      <c r="S155" s="575">
        <f t="shared" si="41"/>
        <v>0</v>
      </c>
      <c r="T155" s="574">
        <f t="shared" si="41"/>
        <v>0</v>
      </c>
      <c r="U155" s="253"/>
      <c r="V155" s="254"/>
      <c r="W155" s="255"/>
      <c r="X155" s="255"/>
      <c r="Y155" s="255"/>
      <c r="Z155" s="255"/>
      <c r="AA155" s="255"/>
      <c r="AB155" s="251"/>
      <c r="AC155" s="256"/>
      <c r="AD155" s="254"/>
      <c r="AE155" s="255"/>
      <c r="AF155" s="255"/>
      <c r="AG155" s="255"/>
      <c r="AH155" s="255"/>
      <c r="AI155" s="257"/>
      <c r="AJ155" s="254"/>
      <c r="AK155" s="255"/>
      <c r="AL155" s="257"/>
      <c r="AM155" s="254"/>
      <c r="AN155" s="254"/>
      <c r="AO155" s="209"/>
    </row>
    <row r="156" spans="1:41" s="500" customFormat="1">
      <c r="A156" s="239"/>
      <c r="B156" s="239" t="s">
        <v>78</v>
      </c>
      <c r="C156" s="572">
        <f>IF(V156&gt;0,(V156/V158),0)</f>
        <v>0</v>
      </c>
      <c r="D156" s="572">
        <f t="shared" ref="D156:T156" si="42">IF(W156&gt;0,(W156/W158),0)</f>
        <v>0</v>
      </c>
      <c r="E156" s="572">
        <f t="shared" si="42"/>
        <v>0</v>
      </c>
      <c r="F156" s="572">
        <f t="shared" si="42"/>
        <v>0</v>
      </c>
      <c r="G156" s="572">
        <f t="shared" si="42"/>
        <v>0</v>
      </c>
      <c r="H156" s="572">
        <f t="shared" si="42"/>
        <v>0</v>
      </c>
      <c r="I156" s="572">
        <f t="shared" si="42"/>
        <v>0</v>
      </c>
      <c r="J156" s="573">
        <f t="shared" si="42"/>
        <v>0</v>
      </c>
      <c r="K156" s="574">
        <f t="shared" si="42"/>
        <v>0</v>
      </c>
      <c r="L156" s="572">
        <f t="shared" si="42"/>
        <v>0</v>
      </c>
      <c r="M156" s="572">
        <f t="shared" si="42"/>
        <v>0</v>
      </c>
      <c r="N156" s="572">
        <f t="shared" si="42"/>
        <v>0</v>
      </c>
      <c r="O156" s="575">
        <f t="shared" si="42"/>
        <v>0</v>
      </c>
      <c r="P156" s="574">
        <f t="shared" si="42"/>
        <v>0</v>
      </c>
      <c r="Q156" s="572">
        <f t="shared" si="42"/>
        <v>0</v>
      </c>
      <c r="R156" s="572">
        <f t="shared" si="42"/>
        <v>0</v>
      </c>
      <c r="S156" s="575">
        <f t="shared" si="42"/>
        <v>0</v>
      </c>
      <c r="T156" s="574">
        <f t="shared" si="42"/>
        <v>0</v>
      </c>
      <c r="U156" s="253"/>
      <c r="V156" s="254"/>
      <c r="W156" s="255"/>
      <c r="X156" s="255"/>
      <c r="Y156" s="255"/>
      <c r="Z156" s="255"/>
      <c r="AA156" s="255"/>
      <c r="AB156" s="251"/>
      <c r="AC156" s="256"/>
      <c r="AD156" s="254"/>
      <c r="AE156" s="255"/>
      <c r="AF156" s="255"/>
      <c r="AG156" s="255"/>
      <c r="AH156" s="255"/>
      <c r="AI156" s="257"/>
      <c r="AJ156" s="254"/>
      <c r="AK156" s="255"/>
      <c r="AL156" s="257"/>
      <c r="AM156" s="254"/>
      <c r="AN156" s="254"/>
      <c r="AO156" s="209"/>
    </row>
    <row r="157" spans="1:41" s="500" customFormat="1">
      <c r="A157" s="580"/>
      <c r="B157" s="580" t="s">
        <v>131</v>
      </c>
      <c r="C157" s="581">
        <f>IF(V157&gt;0,(V157/V158),0)</f>
        <v>0</v>
      </c>
      <c r="D157" s="582">
        <f t="shared" ref="D157:T157" si="43">IF(W157&gt;0,(W157/W158),0)</f>
        <v>0</v>
      </c>
      <c r="E157" s="582">
        <f t="shared" si="43"/>
        <v>0</v>
      </c>
      <c r="F157" s="582">
        <f t="shared" si="43"/>
        <v>0</v>
      </c>
      <c r="G157" s="582">
        <f t="shared" si="43"/>
        <v>0</v>
      </c>
      <c r="H157" s="582">
        <f t="shared" si="43"/>
        <v>0</v>
      </c>
      <c r="I157" s="583">
        <f t="shared" si="43"/>
        <v>0</v>
      </c>
      <c r="J157" s="584">
        <f t="shared" si="43"/>
        <v>0</v>
      </c>
      <c r="K157" s="581">
        <f t="shared" si="43"/>
        <v>0</v>
      </c>
      <c r="L157" s="582">
        <f t="shared" si="43"/>
        <v>0</v>
      </c>
      <c r="M157" s="582">
        <f t="shared" si="43"/>
        <v>0</v>
      </c>
      <c r="N157" s="582">
        <f t="shared" si="43"/>
        <v>0</v>
      </c>
      <c r="O157" s="583">
        <f t="shared" si="43"/>
        <v>0</v>
      </c>
      <c r="P157" s="581">
        <f t="shared" si="43"/>
        <v>0</v>
      </c>
      <c r="Q157" s="581">
        <f t="shared" si="43"/>
        <v>0</v>
      </c>
      <c r="R157" s="582">
        <f t="shared" si="43"/>
        <v>0</v>
      </c>
      <c r="S157" s="583">
        <f t="shared" si="43"/>
        <v>0</v>
      </c>
      <c r="T157" s="581">
        <f t="shared" si="43"/>
        <v>0</v>
      </c>
      <c r="U157" s="253"/>
      <c r="V157" s="254"/>
      <c r="W157" s="255"/>
      <c r="X157" s="255"/>
      <c r="Y157" s="255"/>
      <c r="Z157" s="255"/>
      <c r="AA157" s="255"/>
      <c r="AB157" s="582"/>
      <c r="AC157" s="256"/>
      <c r="AD157" s="254"/>
      <c r="AE157" s="255"/>
      <c r="AF157" s="255"/>
      <c r="AG157" s="255"/>
      <c r="AH157" s="255"/>
      <c r="AI157" s="257"/>
      <c r="AJ157" s="254"/>
      <c r="AK157" s="255"/>
      <c r="AL157" s="257"/>
      <c r="AM157" s="254"/>
      <c r="AN157" s="585"/>
      <c r="AO157" s="209"/>
    </row>
    <row r="158" spans="1:41" s="527" customFormat="1">
      <c r="A158" s="436"/>
      <c r="B158" s="436" t="s">
        <v>59</v>
      </c>
      <c r="C158" s="456">
        <f>SUM(C153:C157)</f>
        <v>0</v>
      </c>
      <c r="D158" s="456">
        <f t="shared" ref="D158:T158" si="44">SUM(D153:D157)</f>
        <v>0</v>
      </c>
      <c r="E158" s="456">
        <f t="shared" si="44"/>
        <v>0</v>
      </c>
      <c r="F158" s="456">
        <f t="shared" si="44"/>
        <v>0</v>
      </c>
      <c r="G158" s="456">
        <f t="shared" si="44"/>
        <v>0</v>
      </c>
      <c r="H158" s="456">
        <f t="shared" si="44"/>
        <v>0</v>
      </c>
      <c r="I158" s="456">
        <f t="shared" si="44"/>
        <v>0</v>
      </c>
      <c r="J158" s="576">
        <f t="shared" si="44"/>
        <v>0</v>
      </c>
      <c r="K158" s="577">
        <f t="shared" si="44"/>
        <v>0</v>
      </c>
      <c r="L158" s="578">
        <f t="shared" si="44"/>
        <v>0</v>
      </c>
      <c r="M158" s="578">
        <f t="shared" si="44"/>
        <v>0</v>
      </c>
      <c r="N158" s="578">
        <f t="shared" si="44"/>
        <v>0</v>
      </c>
      <c r="O158" s="579">
        <f t="shared" si="44"/>
        <v>0</v>
      </c>
      <c r="P158" s="577">
        <f t="shared" si="44"/>
        <v>0</v>
      </c>
      <c r="Q158" s="578">
        <f t="shared" si="44"/>
        <v>0</v>
      </c>
      <c r="R158" s="578">
        <f t="shared" si="44"/>
        <v>0</v>
      </c>
      <c r="S158" s="579">
        <f t="shared" si="44"/>
        <v>0</v>
      </c>
      <c r="T158" s="577">
        <f t="shared" si="44"/>
        <v>0</v>
      </c>
      <c r="U158" s="264"/>
      <c r="V158" s="265"/>
      <c r="W158" s="266"/>
      <c r="X158" s="266"/>
      <c r="Y158" s="266"/>
      <c r="Z158" s="266"/>
      <c r="AA158" s="266"/>
      <c r="AB158" s="262"/>
      <c r="AC158" s="267"/>
      <c r="AD158" s="265"/>
      <c r="AE158" s="266"/>
      <c r="AF158" s="266"/>
      <c r="AG158" s="266"/>
      <c r="AH158" s="266"/>
      <c r="AI158" s="268"/>
      <c r="AJ158" s="265"/>
      <c r="AK158" s="266"/>
      <c r="AL158" s="268"/>
      <c r="AM158" s="265"/>
      <c r="AN158" s="270"/>
      <c r="AO158" s="270"/>
    </row>
    <row r="159" spans="1:41" s="500" customFormat="1">
      <c r="A159" s="240" t="s">
        <v>152</v>
      </c>
      <c r="B159" s="240" t="s">
        <v>53</v>
      </c>
      <c r="C159" s="568">
        <f>IF(V159&gt;0,(V159/V164),0)</f>
        <v>0</v>
      </c>
      <c r="D159" s="568">
        <f t="shared" ref="D159:T159" si="45">IF(W159&gt;0,(W159/W164),0)</f>
        <v>0</v>
      </c>
      <c r="E159" s="568">
        <f t="shared" si="45"/>
        <v>0</v>
      </c>
      <c r="F159" s="568">
        <f t="shared" si="45"/>
        <v>0</v>
      </c>
      <c r="G159" s="568">
        <f t="shared" si="45"/>
        <v>0</v>
      </c>
      <c r="H159" s="568">
        <f t="shared" si="45"/>
        <v>0</v>
      </c>
      <c r="I159" s="568">
        <f t="shared" si="45"/>
        <v>0</v>
      </c>
      <c r="J159" s="569">
        <f t="shared" si="45"/>
        <v>0</v>
      </c>
      <c r="K159" s="570">
        <f t="shared" si="45"/>
        <v>0</v>
      </c>
      <c r="L159" s="568">
        <f t="shared" si="45"/>
        <v>0</v>
      </c>
      <c r="M159" s="568">
        <f t="shared" si="45"/>
        <v>0</v>
      </c>
      <c r="N159" s="568">
        <f t="shared" si="45"/>
        <v>0</v>
      </c>
      <c r="O159" s="571">
        <f t="shared" si="45"/>
        <v>0</v>
      </c>
      <c r="P159" s="570">
        <f t="shared" si="45"/>
        <v>0</v>
      </c>
      <c r="Q159" s="568">
        <f t="shared" si="45"/>
        <v>0</v>
      </c>
      <c r="R159" s="568">
        <f t="shared" si="45"/>
        <v>0</v>
      </c>
      <c r="S159" s="571">
        <f t="shared" si="45"/>
        <v>0</v>
      </c>
      <c r="T159" s="570">
        <f t="shared" si="45"/>
        <v>0</v>
      </c>
      <c r="U159" s="253"/>
      <c r="V159" s="245"/>
      <c r="W159" s="246"/>
      <c r="X159" s="246"/>
      <c r="Y159" s="246"/>
      <c r="Z159" s="246"/>
      <c r="AA159" s="246"/>
      <c r="AB159" s="242"/>
      <c r="AC159" s="247"/>
      <c r="AD159" s="245"/>
      <c r="AE159" s="246"/>
      <c r="AF159" s="246"/>
      <c r="AG159" s="246"/>
      <c r="AH159" s="246"/>
      <c r="AI159" s="248"/>
      <c r="AJ159" s="245"/>
      <c r="AK159" s="246"/>
      <c r="AL159" s="248"/>
      <c r="AM159" s="245"/>
      <c r="AN159" s="563"/>
      <c r="AO159" s="209"/>
    </row>
    <row r="160" spans="1:41" s="500" customFormat="1">
      <c r="A160" s="239"/>
      <c r="B160" s="239" t="s">
        <v>93</v>
      </c>
      <c r="C160" s="572">
        <f>IF(V160&gt;0,(V160/V164),0)</f>
        <v>0</v>
      </c>
      <c r="D160" s="572">
        <f t="shared" ref="D160:T160" si="46">IF(W160&gt;0,(W160/W164),0)</f>
        <v>0</v>
      </c>
      <c r="E160" s="572">
        <f t="shared" si="46"/>
        <v>0</v>
      </c>
      <c r="F160" s="572">
        <f t="shared" si="46"/>
        <v>0</v>
      </c>
      <c r="G160" s="572">
        <f t="shared" si="46"/>
        <v>0</v>
      </c>
      <c r="H160" s="572">
        <f t="shared" si="46"/>
        <v>0</v>
      </c>
      <c r="I160" s="572">
        <f t="shared" si="46"/>
        <v>0</v>
      </c>
      <c r="J160" s="573">
        <f t="shared" si="46"/>
        <v>0</v>
      </c>
      <c r="K160" s="574">
        <f t="shared" si="46"/>
        <v>0</v>
      </c>
      <c r="L160" s="572">
        <f t="shared" si="46"/>
        <v>0</v>
      </c>
      <c r="M160" s="572">
        <f t="shared" si="46"/>
        <v>0</v>
      </c>
      <c r="N160" s="572">
        <f t="shared" si="46"/>
        <v>0</v>
      </c>
      <c r="O160" s="575">
        <f t="shared" si="46"/>
        <v>0</v>
      </c>
      <c r="P160" s="574">
        <f t="shared" si="46"/>
        <v>0</v>
      </c>
      <c r="Q160" s="572">
        <f t="shared" si="46"/>
        <v>0</v>
      </c>
      <c r="R160" s="572">
        <f t="shared" si="46"/>
        <v>0</v>
      </c>
      <c r="S160" s="575">
        <f t="shared" si="46"/>
        <v>0</v>
      </c>
      <c r="T160" s="574">
        <f t="shared" si="46"/>
        <v>0</v>
      </c>
      <c r="U160" s="253"/>
      <c r="V160" s="254"/>
      <c r="W160" s="255"/>
      <c r="X160" s="255"/>
      <c r="Y160" s="255"/>
      <c r="Z160" s="255"/>
      <c r="AA160" s="255"/>
      <c r="AB160" s="251"/>
      <c r="AC160" s="256"/>
      <c r="AD160" s="254"/>
      <c r="AE160" s="255"/>
      <c r="AF160" s="255"/>
      <c r="AG160" s="255"/>
      <c r="AH160" s="255"/>
      <c r="AI160" s="257"/>
      <c r="AJ160" s="254"/>
      <c r="AK160" s="255"/>
      <c r="AL160" s="257"/>
      <c r="AM160" s="254"/>
      <c r="AN160" s="563"/>
      <c r="AO160" s="209"/>
    </row>
    <row r="161" spans="1:41" s="500" customFormat="1">
      <c r="A161" s="239"/>
      <c r="B161" s="239" t="s">
        <v>55</v>
      </c>
      <c r="C161" s="572">
        <f>IF(V161&gt;0,(V161/V164),0)</f>
        <v>0</v>
      </c>
      <c r="D161" s="572">
        <f t="shared" ref="D161:T161" si="47">IF(W161&gt;0,(W161/W164),0)</f>
        <v>0</v>
      </c>
      <c r="E161" s="572">
        <f t="shared" si="47"/>
        <v>0</v>
      </c>
      <c r="F161" s="572">
        <f t="shared" si="47"/>
        <v>0</v>
      </c>
      <c r="G161" s="572">
        <f t="shared" si="47"/>
        <v>0</v>
      </c>
      <c r="H161" s="572">
        <f t="shared" si="47"/>
        <v>0</v>
      </c>
      <c r="I161" s="572">
        <f t="shared" si="47"/>
        <v>0</v>
      </c>
      <c r="J161" s="573">
        <f t="shared" si="47"/>
        <v>0</v>
      </c>
      <c r="K161" s="574">
        <f t="shared" si="47"/>
        <v>0</v>
      </c>
      <c r="L161" s="572">
        <f t="shared" si="47"/>
        <v>0</v>
      </c>
      <c r="M161" s="572">
        <f t="shared" si="47"/>
        <v>0</v>
      </c>
      <c r="N161" s="572">
        <f t="shared" si="47"/>
        <v>0</v>
      </c>
      <c r="O161" s="575">
        <f t="shared" si="47"/>
        <v>0</v>
      </c>
      <c r="P161" s="574">
        <f t="shared" si="47"/>
        <v>0</v>
      </c>
      <c r="Q161" s="572">
        <f t="shared" si="47"/>
        <v>0</v>
      </c>
      <c r="R161" s="572">
        <f t="shared" si="47"/>
        <v>0</v>
      </c>
      <c r="S161" s="575">
        <f t="shared" si="47"/>
        <v>0</v>
      </c>
      <c r="T161" s="574">
        <f t="shared" si="47"/>
        <v>0</v>
      </c>
      <c r="U161" s="253"/>
      <c r="V161" s="254"/>
      <c r="W161" s="255"/>
      <c r="X161" s="255"/>
      <c r="Y161" s="255"/>
      <c r="Z161" s="255"/>
      <c r="AA161" s="255"/>
      <c r="AB161" s="251"/>
      <c r="AC161" s="256"/>
      <c r="AD161" s="254"/>
      <c r="AE161" s="255"/>
      <c r="AF161" s="255"/>
      <c r="AG161" s="255"/>
      <c r="AH161" s="255"/>
      <c r="AI161" s="257"/>
      <c r="AJ161" s="254"/>
      <c r="AK161" s="255"/>
      <c r="AL161" s="257"/>
      <c r="AM161" s="254"/>
      <c r="AN161" s="563"/>
      <c r="AO161" s="209"/>
    </row>
    <row r="162" spans="1:41" s="500" customFormat="1">
      <c r="A162" s="239"/>
      <c r="B162" s="239" t="s">
        <v>78</v>
      </c>
      <c r="C162" s="572">
        <f>IF(V162&gt;0,(V162/V164),0)</f>
        <v>0</v>
      </c>
      <c r="D162" s="572">
        <f t="shared" ref="D162:T162" si="48">IF(W162&gt;0,(W162/W164),0)</f>
        <v>0</v>
      </c>
      <c r="E162" s="572">
        <f t="shared" si="48"/>
        <v>0</v>
      </c>
      <c r="F162" s="572">
        <f t="shared" si="48"/>
        <v>0</v>
      </c>
      <c r="G162" s="572">
        <f t="shared" si="48"/>
        <v>0</v>
      </c>
      <c r="H162" s="572">
        <f t="shared" si="48"/>
        <v>0</v>
      </c>
      <c r="I162" s="572">
        <f t="shared" si="48"/>
        <v>0</v>
      </c>
      <c r="J162" s="573">
        <f t="shared" si="48"/>
        <v>0</v>
      </c>
      <c r="K162" s="574">
        <f t="shared" si="48"/>
        <v>0</v>
      </c>
      <c r="L162" s="572">
        <f t="shared" si="48"/>
        <v>0</v>
      </c>
      <c r="M162" s="572">
        <f t="shared" si="48"/>
        <v>0</v>
      </c>
      <c r="N162" s="572">
        <f t="shared" si="48"/>
        <v>0</v>
      </c>
      <c r="O162" s="575">
        <f t="shared" si="48"/>
        <v>0</v>
      </c>
      <c r="P162" s="574">
        <f t="shared" si="48"/>
        <v>0</v>
      </c>
      <c r="Q162" s="572">
        <f t="shared" si="48"/>
        <v>0</v>
      </c>
      <c r="R162" s="572">
        <f t="shared" si="48"/>
        <v>0</v>
      </c>
      <c r="S162" s="575">
        <f t="shared" si="48"/>
        <v>0</v>
      </c>
      <c r="T162" s="574">
        <f t="shared" si="48"/>
        <v>0</v>
      </c>
      <c r="U162" s="253"/>
      <c r="V162" s="254"/>
      <c r="W162" s="255"/>
      <c r="X162" s="255"/>
      <c r="Y162" s="255"/>
      <c r="Z162" s="255"/>
      <c r="AA162" s="255"/>
      <c r="AB162" s="251"/>
      <c r="AC162" s="256"/>
      <c r="AD162" s="254"/>
      <c r="AE162" s="255"/>
      <c r="AF162" s="255"/>
      <c r="AG162" s="255"/>
      <c r="AH162" s="255"/>
      <c r="AI162" s="257"/>
      <c r="AJ162" s="254"/>
      <c r="AK162" s="255"/>
      <c r="AL162" s="257"/>
      <c r="AM162" s="254"/>
      <c r="AN162" s="563"/>
      <c r="AO162" s="209"/>
    </row>
    <row r="163" spans="1:41" s="500" customFormat="1">
      <c r="A163" s="580"/>
      <c r="B163" s="580" t="s">
        <v>131</v>
      </c>
      <c r="C163" s="581">
        <f>IF(V163&gt;0,(V163/V164),0)</f>
        <v>0</v>
      </c>
      <c r="D163" s="582">
        <f t="shared" ref="D163:T163" si="49">IF(W163&gt;0,(W163/W164),0)</f>
        <v>0</v>
      </c>
      <c r="E163" s="582">
        <f t="shared" si="49"/>
        <v>0</v>
      </c>
      <c r="F163" s="582">
        <f t="shared" si="49"/>
        <v>0</v>
      </c>
      <c r="G163" s="582">
        <f t="shared" si="49"/>
        <v>0</v>
      </c>
      <c r="H163" s="582">
        <f t="shared" si="49"/>
        <v>0</v>
      </c>
      <c r="I163" s="583">
        <f t="shared" si="49"/>
        <v>0</v>
      </c>
      <c r="J163" s="584">
        <f t="shared" si="49"/>
        <v>0</v>
      </c>
      <c r="K163" s="581">
        <f t="shared" si="49"/>
        <v>0</v>
      </c>
      <c r="L163" s="582">
        <f t="shared" si="49"/>
        <v>0</v>
      </c>
      <c r="M163" s="582">
        <f t="shared" si="49"/>
        <v>0</v>
      </c>
      <c r="N163" s="582">
        <f t="shared" si="49"/>
        <v>0</v>
      </c>
      <c r="O163" s="583">
        <f t="shared" si="49"/>
        <v>0</v>
      </c>
      <c r="P163" s="581">
        <f t="shared" si="49"/>
        <v>0</v>
      </c>
      <c r="Q163" s="581">
        <f t="shared" si="49"/>
        <v>0</v>
      </c>
      <c r="R163" s="582">
        <f t="shared" si="49"/>
        <v>0</v>
      </c>
      <c r="S163" s="583">
        <f t="shared" si="49"/>
        <v>0</v>
      </c>
      <c r="T163" s="581">
        <f t="shared" si="49"/>
        <v>0</v>
      </c>
      <c r="U163" s="253"/>
      <c r="V163" s="254"/>
      <c r="W163" s="255"/>
      <c r="X163" s="255"/>
      <c r="Y163" s="255"/>
      <c r="Z163" s="255"/>
      <c r="AA163" s="255"/>
      <c r="AB163" s="582"/>
      <c r="AC163" s="256"/>
      <c r="AD163" s="254"/>
      <c r="AE163" s="255"/>
      <c r="AF163" s="255"/>
      <c r="AG163" s="255"/>
      <c r="AH163" s="255"/>
      <c r="AI163" s="257"/>
      <c r="AJ163" s="254"/>
      <c r="AK163" s="255"/>
      <c r="AL163" s="257"/>
      <c r="AM163" s="254"/>
      <c r="AN163" s="209"/>
      <c r="AO163" s="209"/>
    </row>
    <row r="164" spans="1:41" s="527" customFormat="1">
      <c r="A164" s="436"/>
      <c r="B164" s="436" t="s">
        <v>59</v>
      </c>
      <c r="C164" s="456">
        <f>SUM(C159:C163)</f>
        <v>0</v>
      </c>
      <c r="D164" s="456">
        <f t="shared" ref="D164:T164" si="50">SUM(D159:D163)</f>
        <v>0</v>
      </c>
      <c r="E164" s="456">
        <f t="shared" si="50"/>
        <v>0</v>
      </c>
      <c r="F164" s="456">
        <f t="shared" si="50"/>
        <v>0</v>
      </c>
      <c r="G164" s="456">
        <f t="shared" si="50"/>
        <v>0</v>
      </c>
      <c r="H164" s="456">
        <f t="shared" si="50"/>
        <v>0</v>
      </c>
      <c r="I164" s="456">
        <f t="shared" si="50"/>
        <v>0</v>
      </c>
      <c r="J164" s="576">
        <f t="shared" si="50"/>
        <v>0</v>
      </c>
      <c r="K164" s="577">
        <f t="shared" si="50"/>
        <v>0</v>
      </c>
      <c r="L164" s="578">
        <f t="shared" si="50"/>
        <v>0</v>
      </c>
      <c r="M164" s="578">
        <f t="shared" si="50"/>
        <v>0</v>
      </c>
      <c r="N164" s="578">
        <f t="shared" si="50"/>
        <v>0</v>
      </c>
      <c r="O164" s="579">
        <f t="shared" si="50"/>
        <v>0</v>
      </c>
      <c r="P164" s="577">
        <f t="shared" si="50"/>
        <v>0</v>
      </c>
      <c r="Q164" s="578">
        <f t="shared" si="50"/>
        <v>0</v>
      </c>
      <c r="R164" s="578">
        <f t="shared" si="50"/>
        <v>0</v>
      </c>
      <c r="S164" s="579">
        <f t="shared" si="50"/>
        <v>0</v>
      </c>
      <c r="T164" s="577">
        <f t="shared" si="50"/>
        <v>0</v>
      </c>
      <c r="U164" s="264"/>
      <c r="V164" s="265"/>
      <c r="W164" s="266"/>
      <c r="X164" s="266"/>
      <c r="Y164" s="266"/>
      <c r="Z164" s="266"/>
      <c r="AA164" s="266"/>
      <c r="AB164" s="262"/>
      <c r="AC164" s="267"/>
      <c r="AD164" s="265"/>
      <c r="AE164" s="266"/>
      <c r="AF164" s="266"/>
      <c r="AG164" s="266"/>
      <c r="AH164" s="266"/>
      <c r="AI164" s="268"/>
      <c r="AJ164" s="265"/>
      <c r="AK164" s="266"/>
      <c r="AL164" s="268"/>
      <c r="AM164" s="265"/>
      <c r="AN164" s="270"/>
      <c r="AO164" s="270"/>
    </row>
    <row r="165" spans="1:41" s="500" customFormat="1">
      <c r="A165" s="240" t="s">
        <v>158</v>
      </c>
      <c r="B165" s="240" t="s">
        <v>53</v>
      </c>
      <c r="C165" s="568">
        <f t="shared" ref="C165:T165" si="51">IF(V165&gt;0,(V165/V170),0)</f>
        <v>0</v>
      </c>
      <c r="D165" s="568">
        <f t="shared" si="51"/>
        <v>0</v>
      </c>
      <c r="E165" s="568">
        <f t="shared" si="51"/>
        <v>0</v>
      </c>
      <c r="F165" s="568">
        <f t="shared" si="51"/>
        <v>0</v>
      </c>
      <c r="G165" s="568">
        <f t="shared" si="51"/>
        <v>0</v>
      </c>
      <c r="H165" s="568">
        <f t="shared" si="51"/>
        <v>0</v>
      </c>
      <c r="I165" s="568">
        <f t="shared" si="51"/>
        <v>0</v>
      </c>
      <c r="J165" s="569">
        <f t="shared" si="51"/>
        <v>0</v>
      </c>
      <c r="K165" s="570">
        <f t="shared" si="51"/>
        <v>0</v>
      </c>
      <c r="L165" s="568">
        <f t="shared" si="51"/>
        <v>0</v>
      </c>
      <c r="M165" s="568">
        <f t="shared" si="51"/>
        <v>0</v>
      </c>
      <c r="N165" s="568">
        <f t="shared" si="51"/>
        <v>0</v>
      </c>
      <c r="O165" s="571">
        <f t="shared" si="51"/>
        <v>0</v>
      </c>
      <c r="P165" s="570">
        <f t="shared" si="51"/>
        <v>0</v>
      </c>
      <c r="Q165" s="568">
        <f t="shared" si="51"/>
        <v>0</v>
      </c>
      <c r="R165" s="568">
        <f t="shared" si="51"/>
        <v>0</v>
      </c>
      <c r="S165" s="571">
        <f t="shared" si="51"/>
        <v>0</v>
      </c>
      <c r="T165" s="570">
        <f t="shared" si="51"/>
        <v>0</v>
      </c>
      <c r="U165" s="253"/>
      <c r="V165" s="245"/>
      <c r="W165" s="246"/>
      <c r="X165" s="246"/>
      <c r="Y165" s="246"/>
      <c r="Z165" s="246"/>
      <c r="AA165" s="246"/>
      <c r="AB165" s="242"/>
      <c r="AC165" s="247"/>
      <c r="AD165" s="245"/>
      <c r="AE165" s="246"/>
      <c r="AF165" s="246"/>
      <c r="AG165" s="246"/>
      <c r="AH165" s="246"/>
      <c r="AI165" s="248"/>
      <c r="AJ165" s="245"/>
      <c r="AK165" s="246"/>
      <c r="AL165" s="248"/>
      <c r="AM165" s="245"/>
      <c r="AN165" s="563"/>
      <c r="AO165" s="209"/>
    </row>
    <row r="166" spans="1:41" s="500" customFormat="1">
      <c r="A166" s="239"/>
      <c r="B166" s="239" t="s">
        <v>93</v>
      </c>
      <c r="C166" s="572">
        <f t="shared" ref="C166:T166" si="52">IF(V166&gt;0,(V166/V170),0)</f>
        <v>0</v>
      </c>
      <c r="D166" s="572">
        <f t="shared" si="52"/>
        <v>0</v>
      </c>
      <c r="E166" s="572">
        <f t="shared" si="52"/>
        <v>0</v>
      </c>
      <c r="F166" s="572">
        <f t="shared" si="52"/>
        <v>0</v>
      </c>
      <c r="G166" s="572">
        <f t="shared" si="52"/>
        <v>0</v>
      </c>
      <c r="H166" s="572">
        <f t="shared" si="52"/>
        <v>0</v>
      </c>
      <c r="I166" s="572">
        <f t="shared" si="52"/>
        <v>0</v>
      </c>
      <c r="J166" s="573">
        <f t="shared" si="52"/>
        <v>0</v>
      </c>
      <c r="K166" s="574">
        <f t="shared" si="52"/>
        <v>0</v>
      </c>
      <c r="L166" s="572">
        <f t="shared" si="52"/>
        <v>0</v>
      </c>
      <c r="M166" s="572">
        <f t="shared" si="52"/>
        <v>0</v>
      </c>
      <c r="N166" s="572">
        <f t="shared" si="52"/>
        <v>0</v>
      </c>
      <c r="O166" s="575">
        <f t="shared" si="52"/>
        <v>0</v>
      </c>
      <c r="P166" s="574">
        <f t="shared" si="52"/>
        <v>0</v>
      </c>
      <c r="Q166" s="572">
        <f t="shared" si="52"/>
        <v>0</v>
      </c>
      <c r="R166" s="572">
        <f t="shared" si="52"/>
        <v>0</v>
      </c>
      <c r="S166" s="575">
        <f t="shared" si="52"/>
        <v>0</v>
      </c>
      <c r="T166" s="574">
        <f t="shared" si="52"/>
        <v>0</v>
      </c>
      <c r="U166" s="253"/>
      <c r="V166" s="254"/>
      <c r="W166" s="255"/>
      <c r="X166" s="255"/>
      <c r="Y166" s="255"/>
      <c r="Z166" s="255"/>
      <c r="AA166" s="255"/>
      <c r="AB166" s="251"/>
      <c r="AC166" s="256"/>
      <c r="AD166" s="254"/>
      <c r="AE166" s="255"/>
      <c r="AF166" s="255"/>
      <c r="AG166" s="255"/>
      <c r="AH166" s="255"/>
      <c r="AI166" s="257"/>
      <c r="AJ166" s="254"/>
      <c r="AK166" s="255"/>
      <c r="AL166" s="257"/>
      <c r="AM166" s="254"/>
      <c r="AN166" s="563"/>
      <c r="AO166" s="209"/>
    </row>
    <row r="167" spans="1:41" s="500" customFormat="1">
      <c r="A167" s="239"/>
      <c r="B167" s="239" t="s">
        <v>55</v>
      </c>
      <c r="C167" s="572">
        <f t="shared" ref="C167:T167" si="53">IF(V167&gt;0,(V167/V170),0)</f>
        <v>0</v>
      </c>
      <c r="D167" s="572">
        <f t="shared" si="53"/>
        <v>0</v>
      </c>
      <c r="E167" s="572">
        <f t="shared" si="53"/>
        <v>0</v>
      </c>
      <c r="F167" s="572">
        <f t="shared" si="53"/>
        <v>0</v>
      </c>
      <c r="G167" s="572">
        <f t="shared" si="53"/>
        <v>0</v>
      </c>
      <c r="H167" s="572">
        <f t="shared" si="53"/>
        <v>0</v>
      </c>
      <c r="I167" s="572">
        <f t="shared" si="53"/>
        <v>0</v>
      </c>
      <c r="J167" s="573">
        <f t="shared" si="53"/>
        <v>0</v>
      </c>
      <c r="K167" s="574">
        <f t="shared" si="53"/>
        <v>0</v>
      </c>
      <c r="L167" s="572">
        <f t="shared" si="53"/>
        <v>0</v>
      </c>
      <c r="M167" s="572">
        <f t="shared" si="53"/>
        <v>0</v>
      </c>
      <c r="N167" s="572">
        <f t="shared" si="53"/>
        <v>0</v>
      </c>
      <c r="O167" s="575">
        <f t="shared" si="53"/>
        <v>0</v>
      </c>
      <c r="P167" s="574">
        <f t="shared" si="53"/>
        <v>0</v>
      </c>
      <c r="Q167" s="572">
        <f t="shared" si="53"/>
        <v>0</v>
      </c>
      <c r="R167" s="572">
        <f t="shared" si="53"/>
        <v>0</v>
      </c>
      <c r="S167" s="575">
        <f t="shared" si="53"/>
        <v>0</v>
      </c>
      <c r="T167" s="574">
        <f t="shared" si="53"/>
        <v>0</v>
      </c>
      <c r="U167" s="253"/>
      <c r="V167" s="254"/>
      <c r="W167" s="255"/>
      <c r="X167" s="255"/>
      <c r="Y167" s="255"/>
      <c r="Z167" s="255"/>
      <c r="AA167" s="255"/>
      <c r="AB167" s="251"/>
      <c r="AC167" s="256"/>
      <c r="AD167" s="254"/>
      <c r="AE167" s="255"/>
      <c r="AF167" s="255"/>
      <c r="AG167" s="255"/>
      <c r="AH167" s="255"/>
      <c r="AI167" s="257"/>
      <c r="AJ167" s="254"/>
      <c r="AK167" s="255"/>
      <c r="AL167" s="257"/>
      <c r="AM167" s="254"/>
      <c r="AN167" s="563"/>
      <c r="AO167" s="209"/>
    </row>
    <row r="168" spans="1:41" s="500" customFormat="1">
      <c r="A168" s="239"/>
      <c r="B168" s="239" t="s">
        <v>78</v>
      </c>
      <c r="C168" s="572">
        <f>IF(V168&gt;0,(V168/V170),0)</f>
        <v>0</v>
      </c>
      <c r="D168" s="572">
        <f t="shared" ref="D168:T168" si="54">IF(W168&gt;0,(W168/W170),0)</f>
        <v>0</v>
      </c>
      <c r="E168" s="572">
        <f t="shared" si="54"/>
        <v>0</v>
      </c>
      <c r="F168" s="572">
        <f t="shared" si="54"/>
        <v>0</v>
      </c>
      <c r="G168" s="572">
        <f t="shared" si="54"/>
        <v>0</v>
      </c>
      <c r="H168" s="572">
        <f t="shared" si="54"/>
        <v>0</v>
      </c>
      <c r="I168" s="572">
        <f t="shared" si="54"/>
        <v>0</v>
      </c>
      <c r="J168" s="573">
        <f t="shared" si="54"/>
        <v>0</v>
      </c>
      <c r="K168" s="574">
        <f t="shared" si="54"/>
        <v>0</v>
      </c>
      <c r="L168" s="572">
        <f t="shared" si="54"/>
        <v>0</v>
      </c>
      <c r="M168" s="572">
        <f t="shared" si="54"/>
        <v>0</v>
      </c>
      <c r="N168" s="572">
        <f t="shared" si="54"/>
        <v>0</v>
      </c>
      <c r="O168" s="575">
        <f t="shared" si="54"/>
        <v>0</v>
      </c>
      <c r="P168" s="574">
        <f t="shared" si="54"/>
        <v>0</v>
      </c>
      <c r="Q168" s="572">
        <f t="shared" si="54"/>
        <v>0</v>
      </c>
      <c r="R168" s="572">
        <f t="shared" si="54"/>
        <v>0</v>
      </c>
      <c r="S168" s="575">
        <f t="shared" si="54"/>
        <v>0</v>
      </c>
      <c r="T168" s="574">
        <f t="shared" si="54"/>
        <v>0</v>
      </c>
      <c r="U168" s="253"/>
      <c r="V168" s="254"/>
      <c r="W168" s="255"/>
      <c r="X168" s="255"/>
      <c r="Y168" s="255"/>
      <c r="Z168" s="255"/>
      <c r="AA168" s="255"/>
      <c r="AB168" s="251"/>
      <c r="AC168" s="256"/>
      <c r="AD168" s="254"/>
      <c r="AE168" s="255"/>
      <c r="AF168" s="255"/>
      <c r="AG168" s="255"/>
      <c r="AH168" s="255"/>
      <c r="AI168" s="257"/>
      <c r="AJ168" s="254"/>
      <c r="AK168" s="255"/>
      <c r="AL168" s="257"/>
      <c r="AM168" s="254"/>
      <c r="AN168" s="563"/>
      <c r="AO168" s="209"/>
    </row>
    <row r="169" spans="1:41" s="500" customFormat="1">
      <c r="A169" s="580"/>
      <c r="B169" s="580" t="s">
        <v>131</v>
      </c>
      <c r="C169" s="581">
        <f>IF(V169&gt;0,(V169/V170),0)</f>
        <v>0</v>
      </c>
      <c r="D169" s="582">
        <f t="shared" ref="D169:T169" si="55">IF(W169&gt;0,(W169/W170),0)</f>
        <v>0</v>
      </c>
      <c r="E169" s="582">
        <f t="shared" si="55"/>
        <v>0</v>
      </c>
      <c r="F169" s="582">
        <f t="shared" si="55"/>
        <v>0</v>
      </c>
      <c r="G169" s="582">
        <f t="shared" si="55"/>
        <v>0</v>
      </c>
      <c r="H169" s="582">
        <f t="shared" si="55"/>
        <v>0</v>
      </c>
      <c r="I169" s="583">
        <f t="shared" si="55"/>
        <v>0</v>
      </c>
      <c r="J169" s="584">
        <f t="shared" si="55"/>
        <v>0</v>
      </c>
      <c r="K169" s="581">
        <f t="shared" si="55"/>
        <v>0</v>
      </c>
      <c r="L169" s="582">
        <f t="shared" si="55"/>
        <v>0</v>
      </c>
      <c r="M169" s="582">
        <f t="shared" si="55"/>
        <v>0</v>
      </c>
      <c r="N169" s="582">
        <f t="shared" si="55"/>
        <v>0</v>
      </c>
      <c r="O169" s="583">
        <f t="shared" si="55"/>
        <v>0</v>
      </c>
      <c r="P169" s="581">
        <f t="shared" si="55"/>
        <v>0</v>
      </c>
      <c r="Q169" s="581">
        <f t="shared" si="55"/>
        <v>0</v>
      </c>
      <c r="R169" s="582">
        <f t="shared" si="55"/>
        <v>0</v>
      </c>
      <c r="S169" s="583">
        <f t="shared" si="55"/>
        <v>0</v>
      </c>
      <c r="T169" s="581">
        <f t="shared" si="55"/>
        <v>0</v>
      </c>
      <c r="U169" s="253"/>
      <c r="V169" s="254"/>
      <c r="W169" s="255"/>
      <c r="X169" s="255"/>
      <c r="Y169" s="255"/>
      <c r="Z169" s="255"/>
      <c r="AA169" s="255"/>
      <c r="AB169" s="582"/>
      <c r="AC169" s="256"/>
      <c r="AD169" s="254"/>
      <c r="AE169" s="255"/>
      <c r="AF169" s="255"/>
      <c r="AG169" s="255"/>
      <c r="AH169" s="255"/>
      <c r="AI169" s="257"/>
      <c r="AJ169" s="254"/>
      <c r="AK169" s="255"/>
      <c r="AL169" s="257"/>
      <c r="AM169" s="254"/>
      <c r="AN169" s="209"/>
      <c r="AO169" s="209"/>
    </row>
    <row r="170" spans="1:41" s="527" customFormat="1">
      <c r="A170" s="436"/>
      <c r="B170" s="436" t="s">
        <v>59</v>
      </c>
      <c r="C170" s="456">
        <f>SUM(C165:C169)</f>
        <v>0</v>
      </c>
      <c r="D170" s="456">
        <f t="shared" ref="D170:K170" si="56">SUM(D165:D169)</f>
        <v>0</v>
      </c>
      <c r="E170" s="456">
        <f t="shared" si="56"/>
        <v>0</v>
      </c>
      <c r="F170" s="456">
        <f t="shared" si="56"/>
        <v>0</v>
      </c>
      <c r="G170" s="456">
        <f t="shared" si="56"/>
        <v>0</v>
      </c>
      <c r="H170" s="456">
        <f t="shared" si="56"/>
        <v>0</v>
      </c>
      <c r="I170" s="456">
        <f t="shared" si="56"/>
        <v>0</v>
      </c>
      <c r="J170" s="576">
        <f t="shared" si="56"/>
        <v>0</v>
      </c>
      <c r="K170" s="577">
        <f t="shared" si="56"/>
        <v>0</v>
      </c>
      <c r="L170" s="578">
        <f t="shared" ref="L170:T170" si="57">SUM(L165:L169)</f>
        <v>0</v>
      </c>
      <c r="M170" s="578">
        <f t="shared" si="57"/>
        <v>0</v>
      </c>
      <c r="N170" s="578">
        <f t="shared" si="57"/>
        <v>0</v>
      </c>
      <c r="O170" s="579">
        <f t="shared" si="57"/>
        <v>0</v>
      </c>
      <c r="P170" s="577">
        <f t="shared" si="57"/>
        <v>0</v>
      </c>
      <c r="Q170" s="578">
        <f t="shared" si="57"/>
        <v>0</v>
      </c>
      <c r="R170" s="578">
        <f t="shared" si="57"/>
        <v>0</v>
      </c>
      <c r="S170" s="579">
        <f t="shared" si="57"/>
        <v>0</v>
      </c>
      <c r="T170" s="577">
        <f t="shared" si="57"/>
        <v>0</v>
      </c>
      <c r="U170" s="264"/>
      <c r="V170" s="265"/>
      <c r="W170" s="266"/>
      <c r="X170" s="266"/>
      <c r="Y170" s="266"/>
      <c r="Z170" s="266"/>
      <c r="AA170" s="266"/>
      <c r="AB170" s="262"/>
      <c r="AC170" s="267"/>
      <c r="AD170" s="265"/>
      <c r="AE170" s="266"/>
      <c r="AF170" s="266"/>
      <c r="AG170" s="266"/>
      <c r="AH170" s="266"/>
      <c r="AI170" s="268"/>
      <c r="AJ170" s="265"/>
      <c r="AK170" s="266"/>
      <c r="AL170" s="268"/>
      <c r="AM170" s="265"/>
      <c r="AN170" s="270"/>
      <c r="AO170" s="270"/>
    </row>
    <row r="171" spans="1:41" s="500" customFormat="1">
      <c r="A171" s="240" t="s">
        <v>157</v>
      </c>
      <c r="B171" s="240" t="s">
        <v>53</v>
      </c>
      <c r="C171" s="568">
        <f>IF(V171&gt;0,(V171/V176),0)</f>
        <v>0</v>
      </c>
      <c r="D171" s="568">
        <f t="shared" ref="D171:T171" si="58">IF(W171&gt;0,(W171/W176),0)</f>
        <v>0</v>
      </c>
      <c r="E171" s="568">
        <f t="shared" si="58"/>
        <v>0</v>
      </c>
      <c r="F171" s="568">
        <f t="shared" si="58"/>
        <v>0</v>
      </c>
      <c r="G171" s="568">
        <f t="shared" si="58"/>
        <v>0</v>
      </c>
      <c r="H171" s="568">
        <f t="shared" si="58"/>
        <v>0</v>
      </c>
      <c r="I171" s="568">
        <f t="shared" si="58"/>
        <v>0</v>
      </c>
      <c r="J171" s="569">
        <f t="shared" si="58"/>
        <v>0</v>
      </c>
      <c r="K171" s="570">
        <f t="shared" si="58"/>
        <v>0</v>
      </c>
      <c r="L171" s="568">
        <f t="shared" si="58"/>
        <v>0</v>
      </c>
      <c r="M171" s="568">
        <f t="shared" si="58"/>
        <v>0</v>
      </c>
      <c r="N171" s="568">
        <f t="shared" si="58"/>
        <v>0</v>
      </c>
      <c r="O171" s="571">
        <f t="shared" si="58"/>
        <v>0</v>
      </c>
      <c r="P171" s="570">
        <f t="shared" si="58"/>
        <v>0</v>
      </c>
      <c r="Q171" s="568">
        <f t="shared" si="58"/>
        <v>0</v>
      </c>
      <c r="R171" s="568">
        <f t="shared" si="58"/>
        <v>0</v>
      </c>
      <c r="S171" s="571">
        <f t="shared" si="58"/>
        <v>0</v>
      </c>
      <c r="T171" s="570">
        <f t="shared" si="58"/>
        <v>0</v>
      </c>
      <c r="U171" s="253"/>
      <c r="V171" s="245"/>
      <c r="W171" s="246"/>
      <c r="X171" s="246"/>
      <c r="Y171" s="246"/>
      <c r="Z171" s="246"/>
      <c r="AA171" s="246"/>
      <c r="AB171" s="242"/>
      <c r="AC171" s="247"/>
      <c r="AD171" s="245"/>
      <c r="AE171" s="246"/>
      <c r="AF171" s="246"/>
      <c r="AG171" s="246"/>
      <c r="AH171" s="246"/>
      <c r="AI171" s="248"/>
      <c r="AJ171" s="245"/>
      <c r="AK171" s="246"/>
      <c r="AL171" s="248"/>
      <c r="AM171" s="245"/>
      <c r="AN171" s="563"/>
      <c r="AO171" s="209"/>
    </row>
    <row r="172" spans="1:41" s="500" customFormat="1">
      <c r="A172" s="239"/>
      <c r="B172" s="239" t="s">
        <v>93</v>
      </c>
      <c r="C172" s="572">
        <f>IF(V172&gt;0,(V172/V176),0)</f>
        <v>0</v>
      </c>
      <c r="D172" s="572">
        <f t="shared" ref="D172:T172" si="59">IF(W172&gt;0,(W172/W176),0)</f>
        <v>0</v>
      </c>
      <c r="E172" s="572">
        <f t="shared" si="59"/>
        <v>0</v>
      </c>
      <c r="F172" s="572">
        <f t="shared" si="59"/>
        <v>0</v>
      </c>
      <c r="G172" s="572">
        <f t="shared" si="59"/>
        <v>0</v>
      </c>
      <c r="H172" s="572">
        <f t="shared" si="59"/>
        <v>0</v>
      </c>
      <c r="I172" s="572">
        <f t="shared" si="59"/>
        <v>0</v>
      </c>
      <c r="J172" s="573">
        <f t="shared" si="59"/>
        <v>0</v>
      </c>
      <c r="K172" s="574">
        <f t="shared" si="59"/>
        <v>0</v>
      </c>
      <c r="L172" s="572">
        <f t="shared" si="59"/>
        <v>0</v>
      </c>
      <c r="M172" s="572">
        <f t="shared" si="59"/>
        <v>0</v>
      </c>
      <c r="N172" s="572">
        <f t="shared" si="59"/>
        <v>0</v>
      </c>
      <c r="O172" s="575">
        <f t="shared" si="59"/>
        <v>0</v>
      </c>
      <c r="P172" s="574">
        <f t="shared" si="59"/>
        <v>0</v>
      </c>
      <c r="Q172" s="572">
        <f t="shared" si="59"/>
        <v>0</v>
      </c>
      <c r="R172" s="572">
        <f t="shared" si="59"/>
        <v>0</v>
      </c>
      <c r="S172" s="575">
        <f t="shared" si="59"/>
        <v>0</v>
      </c>
      <c r="T172" s="574">
        <f t="shared" si="59"/>
        <v>0</v>
      </c>
      <c r="U172" s="253"/>
      <c r="V172" s="254"/>
      <c r="W172" s="255"/>
      <c r="X172" s="255"/>
      <c r="Y172" s="255"/>
      <c r="Z172" s="255"/>
      <c r="AA172" s="255"/>
      <c r="AB172" s="251"/>
      <c r="AC172" s="256"/>
      <c r="AD172" s="254"/>
      <c r="AE172" s="255"/>
      <c r="AF172" s="255"/>
      <c r="AG172" s="255"/>
      <c r="AH172" s="255"/>
      <c r="AI172" s="257"/>
      <c r="AJ172" s="254"/>
      <c r="AK172" s="255"/>
      <c r="AL172" s="257"/>
      <c r="AM172" s="254"/>
      <c r="AN172" s="563"/>
      <c r="AO172" s="209"/>
    </row>
    <row r="173" spans="1:41" s="500" customFormat="1">
      <c r="A173" s="239"/>
      <c r="B173" s="239" t="s">
        <v>55</v>
      </c>
      <c r="C173" s="572">
        <f>IF(V173&gt;0,(V173/V176),0)</f>
        <v>0</v>
      </c>
      <c r="D173" s="572">
        <f t="shared" ref="D173:T173" si="60">IF(W173&gt;0,(W173/W176),0)</f>
        <v>0</v>
      </c>
      <c r="E173" s="572">
        <f t="shared" si="60"/>
        <v>0</v>
      </c>
      <c r="F173" s="572">
        <f t="shared" si="60"/>
        <v>0</v>
      </c>
      <c r="G173" s="572">
        <f t="shared" si="60"/>
        <v>0</v>
      </c>
      <c r="H173" s="572">
        <f t="shared" si="60"/>
        <v>0</v>
      </c>
      <c r="I173" s="572">
        <f t="shared" si="60"/>
        <v>0</v>
      </c>
      <c r="J173" s="573">
        <f t="shared" si="60"/>
        <v>0</v>
      </c>
      <c r="K173" s="574">
        <f t="shared" si="60"/>
        <v>0</v>
      </c>
      <c r="L173" s="572">
        <f t="shared" si="60"/>
        <v>0</v>
      </c>
      <c r="M173" s="572">
        <f t="shared" si="60"/>
        <v>0</v>
      </c>
      <c r="N173" s="572">
        <f t="shared" si="60"/>
        <v>0</v>
      </c>
      <c r="O173" s="575">
        <f t="shared" si="60"/>
        <v>0</v>
      </c>
      <c r="P173" s="574">
        <f t="shared" si="60"/>
        <v>0</v>
      </c>
      <c r="Q173" s="572">
        <f t="shared" si="60"/>
        <v>0</v>
      </c>
      <c r="R173" s="572">
        <f t="shared" si="60"/>
        <v>0</v>
      </c>
      <c r="S173" s="575">
        <f t="shared" si="60"/>
        <v>0</v>
      </c>
      <c r="T173" s="574">
        <f t="shared" si="60"/>
        <v>0</v>
      </c>
      <c r="U173" s="253"/>
      <c r="V173" s="254"/>
      <c r="W173" s="255"/>
      <c r="X173" s="255"/>
      <c r="Y173" s="255"/>
      <c r="Z173" s="255"/>
      <c r="AA173" s="255"/>
      <c r="AB173" s="251"/>
      <c r="AC173" s="256"/>
      <c r="AD173" s="254"/>
      <c r="AE173" s="255"/>
      <c r="AF173" s="255"/>
      <c r="AG173" s="255"/>
      <c r="AH173" s="255"/>
      <c r="AI173" s="257"/>
      <c r="AJ173" s="254"/>
      <c r="AK173" s="255"/>
      <c r="AL173" s="257"/>
      <c r="AM173" s="254"/>
      <c r="AN173" s="563"/>
      <c r="AO173" s="209"/>
    </row>
    <row r="174" spans="1:41" s="500" customFormat="1">
      <c r="A174" s="239"/>
      <c r="B174" s="239" t="s">
        <v>78</v>
      </c>
      <c r="C174" s="572">
        <f>IF(V174&gt;0,(V174/V176),0)</f>
        <v>0</v>
      </c>
      <c r="D174" s="572">
        <f t="shared" ref="D174:T174" si="61">IF(W174&gt;0,(W174/W176),0)</f>
        <v>0</v>
      </c>
      <c r="E174" s="572">
        <f t="shared" si="61"/>
        <v>0</v>
      </c>
      <c r="F174" s="572">
        <f t="shared" si="61"/>
        <v>0</v>
      </c>
      <c r="G174" s="572">
        <f t="shared" si="61"/>
        <v>0</v>
      </c>
      <c r="H174" s="572">
        <f t="shared" si="61"/>
        <v>0</v>
      </c>
      <c r="I174" s="572">
        <f t="shared" si="61"/>
        <v>0</v>
      </c>
      <c r="J174" s="573">
        <f t="shared" si="61"/>
        <v>0</v>
      </c>
      <c r="K174" s="574">
        <f t="shared" si="61"/>
        <v>0</v>
      </c>
      <c r="L174" s="572">
        <f t="shared" si="61"/>
        <v>0</v>
      </c>
      <c r="M174" s="572">
        <f t="shared" si="61"/>
        <v>0</v>
      </c>
      <c r="N174" s="572">
        <f t="shared" si="61"/>
        <v>0</v>
      </c>
      <c r="O174" s="575">
        <f t="shared" si="61"/>
        <v>0</v>
      </c>
      <c r="P174" s="574">
        <f t="shared" si="61"/>
        <v>0</v>
      </c>
      <c r="Q174" s="572">
        <f t="shared" si="61"/>
        <v>0</v>
      </c>
      <c r="R174" s="572">
        <f t="shared" si="61"/>
        <v>0</v>
      </c>
      <c r="S174" s="575">
        <f t="shared" si="61"/>
        <v>0</v>
      </c>
      <c r="T174" s="574">
        <f t="shared" si="61"/>
        <v>0</v>
      </c>
      <c r="U174" s="253"/>
      <c r="V174" s="254"/>
      <c r="W174" s="255"/>
      <c r="X174" s="255"/>
      <c r="Y174" s="255"/>
      <c r="Z174" s="255"/>
      <c r="AA174" s="255"/>
      <c r="AB174" s="251"/>
      <c r="AC174" s="256"/>
      <c r="AD174" s="254"/>
      <c r="AE174" s="255"/>
      <c r="AF174" s="255"/>
      <c r="AG174" s="255"/>
      <c r="AH174" s="255"/>
      <c r="AI174" s="257"/>
      <c r="AJ174" s="254"/>
      <c r="AK174" s="255"/>
      <c r="AL174" s="257"/>
      <c r="AM174" s="254"/>
      <c r="AN174" s="563"/>
      <c r="AO174" s="209"/>
    </row>
    <row r="175" spans="1:41" s="500" customFormat="1">
      <c r="A175" s="580"/>
      <c r="B175" s="580" t="s">
        <v>131</v>
      </c>
      <c r="C175" s="581">
        <f>IF(V175&gt;0,(V175/V176),0)</f>
        <v>0</v>
      </c>
      <c r="D175" s="582">
        <f t="shared" ref="D175:T175" si="62">IF(W175&gt;0,(W175/W176),0)</f>
        <v>0</v>
      </c>
      <c r="E175" s="582">
        <f t="shared" si="62"/>
        <v>0</v>
      </c>
      <c r="F175" s="582">
        <f t="shared" si="62"/>
        <v>0</v>
      </c>
      <c r="G175" s="582">
        <f t="shared" si="62"/>
        <v>0</v>
      </c>
      <c r="H175" s="582">
        <f t="shared" si="62"/>
        <v>0</v>
      </c>
      <c r="I175" s="583">
        <f t="shared" si="62"/>
        <v>0</v>
      </c>
      <c r="J175" s="584">
        <f t="shared" si="62"/>
        <v>0</v>
      </c>
      <c r="K175" s="581">
        <f t="shared" si="62"/>
        <v>0</v>
      </c>
      <c r="L175" s="582">
        <f t="shared" si="62"/>
        <v>0</v>
      </c>
      <c r="M175" s="582">
        <f t="shared" si="62"/>
        <v>0</v>
      </c>
      <c r="N175" s="582">
        <f t="shared" si="62"/>
        <v>0</v>
      </c>
      <c r="O175" s="583">
        <f t="shared" si="62"/>
        <v>0</v>
      </c>
      <c r="P175" s="581">
        <f t="shared" si="62"/>
        <v>0</v>
      </c>
      <c r="Q175" s="581">
        <f t="shared" si="62"/>
        <v>0</v>
      </c>
      <c r="R175" s="582">
        <f t="shared" si="62"/>
        <v>0</v>
      </c>
      <c r="S175" s="583">
        <f t="shared" si="62"/>
        <v>0</v>
      </c>
      <c r="T175" s="581">
        <f t="shared" si="62"/>
        <v>0</v>
      </c>
      <c r="U175" s="253"/>
      <c r="V175" s="254"/>
      <c r="W175" s="255"/>
      <c r="X175" s="255"/>
      <c r="Y175" s="255"/>
      <c r="Z175" s="255"/>
      <c r="AA175" s="255"/>
      <c r="AB175" s="582"/>
      <c r="AC175" s="256"/>
      <c r="AD175" s="254"/>
      <c r="AE175" s="255"/>
      <c r="AF175" s="255"/>
      <c r="AG175" s="255"/>
      <c r="AH175" s="255"/>
      <c r="AI175" s="257"/>
      <c r="AJ175" s="254"/>
      <c r="AK175" s="255"/>
      <c r="AL175" s="257"/>
      <c r="AM175" s="254"/>
      <c r="AN175" s="209"/>
      <c r="AO175" s="209"/>
    </row>
    <row r="176" spans="1:41" s="527" customFormat="1">
      <c r="A176" s="436"/>
      <c r="B176" s="436" t="s">
        <v>59</v>
      </c>
      <c r="C176" s="456">
        <f>SUM(C171:C175)</f>
        <v>0</v>
      </c>
      <c r="D176" s="456">
        <f t="shared" ref="D176:T176" si="63">SUM(D171:D175)</f>
        <v>0</v>
      </c>
      <c r="E176" s="456">
        <f t="shared" si="63"/>
        <v>0</v>
      </c>
      <c r="F176" s="456">
        <f t="shared" si="63"/>
        <v>0</v>
      </c>
      <c r="G176" s="456">
        <f t="shared" si="63"/>
        <v>0</v>
      </c>
      <c r="H176" s="456">
        <f t="shared" si="63"/>
        <v>0</v>
      </c>
      <c r="I176" s="456">
        <f t="shared" si="63"/>
        <v>0</v>
      </c>
      <c r="J176" s="576">
        <f t="shared" si="63"/>
        <v>0</v>
      </c>
      <c r="K176" s="577">
        <f t="shared" si="63"/>
        <v>0</v>
      </c>
      <c r="L176" s="578">
        <f t="shared" si="63"/>
        <v>0</v>
      </c>
      <c r="M176" s="578">
        <f t="shared" si="63"/>
        <v>0</v>
      </c>
      <c r="N176" s="578">
        <f t="shared" si="63"/>
        <v>0</v>
      </c>
      <c r="O176" s="579">
        <f t="shared" si="63"/>
        <v>0</v>
      </c>
      <c r="P176" s="577">
        <f t="shared" si="63"/>
        <v>0</v>
      </c>
      <c r="Q176" s="578">
        <f t="shared" si="63"/>
        <v>0</v>
      </c>
      <c r="R176" s="578">
        <f t="shared" si="63"/>
        <v>0</v>
      </c>
      <c r="S176" s="579">
        <f t="shared" si="63"/>
        <v>0</v>
      </c>
      <c r="T176" s="577">
        <f t="shared" si="63"/>
        <v>0</v>
      </c>
      <c r="U176" s="264"/>
      <c r="V176" s="265"/>
      <c r="W176" s="266"/>
      <c r="X176" s="266"/>
      <c r="Y176" s="266"/>
      <c r="Z176" s="266"/>
      <c r="AA176" s="266"/>
      <c r="AB176" s="262"/>
      <c r="AC176" s="267"/>
      <c r="AD176" s="265"/>
      <c r="AE176" s="266"/>
      <c r="AF176" s="266"/>
      <c r="AG176" s="266"/>
      <c r="AH176" s="266"/>
      <c r="AI176" s="268"/>
      <c r="AJ176" s="265"/>
      <c r="AK176" s="266"/>
      <c r="AL176" s="268"/>
      <c r="AM176" s="265"/>
      <c r="AN176" s="270"/>
      <c r="AO176" s="270"/>
    </row>
    <row r="177" spans="1:41" s="500" customFormat="1">
      <c r="A177" s="240" t="s">
        <v>161</v>
      </c>
      <c r="B177" s="240" t="s">
        <v>53</v>
      </c>
      <c r="C177" s="568">
        <f>IF(V177&gt;0,(V177/V182),0)</f>
        <v>0</v>
      </c>
      <c r="D177" s="568">
        <f t="shared" ref="D177:T177" si="64">IF(W177&gt;0,(W177/W182),0)</f>
        <v>0</v>
      </c>
      <c r="E177" s="568">
        <f t="shared" si="64"/>
        <v>0</v>
      </c>
      <c r="F177" s="568">
        <f t="shared" si="64"/>
        <v>0</v>
      </c>
      <c r="G177" s="568">
        <f t="shared" si="64"/>
        <v>0</v>
      </c>
      <c r="H177" s="568">
        <f t="shared" si="64"/>
        <v>0</v>
      </c>
      <c r="I177" s="568">
        <f t="shared" si="64"/>
        <v>0</v>
      </c>
      <c r="J177" s="569">
        <f t="shared" si="64"/>
        <v>0</v>
      </c>
      <c r="K177" s="570">
        <f t="shared" si="64"/>
        <v>0</v>
      </c>
      <c r="L177" s="568">
        <f t="shared" si="64"/>
        <v>0</v>
      </c>
      <c r="M177" s="568">
        <f t="shared" si="64"/>
        <v>0</v>
      </c>
      <c r="N177" s="568">
        <f t="shared" si="64"/>
        <v>0</v>
      </c>
      <c r="O177" s="571">
        <f t="shared" si="64"/>
        <v>0</v>
      </c>
      <c r="P177" s="570">
        <f t="shared" si="64"/>
        <v>0</v>
      </c>
      <c r="Q177" s="568">
        <f t="shared" si="64"/>
        <v>0</v>
      </c>
      <c r="R177" s="568">
        <f t="shared" si="64"/>
        <v>0</v>
      </c>
      <c r="S177" s="571">
        <f t="shared" si="64"/>
        <v>0</v>
      </c>
      <c r="T177" s="570">
        <f t="shared" si="64"/>
        <v>0</v>
      </c>
      <c r="U177" s="253"/>
      <c r="V177" s="245"/>
      <c r="W177" s="246"/>
      <c r="X177" s="246"/>
      <c r="Y177" s="246"/>
      <c r="Z177" s="246"/>
      <c r="AA177" s="246"/>
      <c r="AB177" s="242"/>
      <c r="AC177" s="247"/>
      <c r="AD177" s="245"/>
      <c r="AE177" s="246"/>
      <c r="AF177" s="246"/>
      <c r="AG177" s="246"/>
      <c r="AH177" s="246"/>
      <c r="AI177" s="248"/>
      <c r="AJ177" s="245"/>
      <c r="AK177" s="246"/>
      <c r="AL177" s="248"/>
      <c r="AM177" s="245"/>
      <c r="AN177" s="563"/>
      <c r="AO177" s="209"/>
    </row>
    <row r="178" spans="1:41" s="500" customFormat="1">
      <c r="A178" s="239"/>
      <c r="B178" s="239" t="s">
        <v>93</v>
      </c>
      <c r="C178" s="572">
        <f>IF(V178&gt;0,(V178/V182),0)</f>
        <v>0</v>
      </c>
      <c r="D178" s="572">
        <f t="shared" ref="D178:T178" si="65">IF(W178&gt;0,(W178/W182),0)</f>
        <v>0</v>
      </c>
      <c r="E178" s="572">
        <f t="shared" si="65"/>
        <v>0</v>
      </c>
      <c r="F178" s="572">
        <f t="shared" si="65"/>
        <v>0</v>
      </c>
      <c r="G178" s="572">
        <f t="shared" si="65"/>
        <v>0</v>
      </c>
      <c r="H178" s="572">
        <f t="shared" si="65"/>
        <v>0</v>
      </c>
      <c r="I178" s="572">
        <f t="shared" si="65"/>
        <v>0</v>
      </c>
      <c r="J178" s="573">
        <f t="shared" si="65"/>
        <v>0</v>
      </c>
      <c r="K178" s="574">
        <f t="shared" si="65"/>
        <v>0</v>
      </c>
      <c r="L178" s="572">
        <f t="shared" si="65"/>
        <v>0</v>
      </c>
      <c r="M178" s="572">
        <f t="shared" si="65"/>
        <v>0</v>
      </c>
      <c r="N178" s="572">
        <f t="shared" si="65"/>
        <v>0</v>
      </c>
      <c r="O178" s="575">
        <f t="shared" si="65"/>
        <v>0</v>
      </c>
      <c r="P178" s="574">
        <f t="shared" si="65"/>
        <v>0</v>
      </c>
      <c r="Q178" s="572">
        <f t="shared" si="65"/>
        <v>0</v>
      </c>
      <c r="R178" s="572">
        <f t="shared" si="65"/>
        <v>0</v>
      </c>
      <c r="S178" s="575">
        <f t="shared" si="65"/>
        <v>0</v>
      </c>
      <c r="T178" s="574">
        <f t="shared" si="65"/>
        <v>0</v>
      </c>
      <c r="U178" s="253"/>
      <c r="V178" s="254"/>
      <c r="W178" s="255"/>
      <c r="X178" s="255"/>
      <c r="Y178" s="255"/>
      <c r="Z178" s="255"/>
      <c r="AA178" s="255"/>
      <c r="AB178" s="251"/>
      <c r="AC178" s="256"/>
      <c r="AD178" s="254"/>
      <c r="AE178" s="255"/>
      <c r="AF178" s="255"/>
      <c r="AG178" s="255"/>
      <c r="AH178" s="255"/>
      <c r="AI178" s="257"/>
      <c r="AJ178" s="254"/>
      <c r="AK178" s="255"/>
      <c r="AL178" s="257"/>
      <c r="AM178" s="254"/>
      <c r="AN178" s="563"/>
      <c r="AO178" s="209"/>
    </row>
    <row r="179" spans="1:41" s="500" customFormat="1">
      <c r="A179" s="239"/>
      <c r="B179" s="239" t="s">
        <v>55</v>
      </c>
      <c r="C179" s="572">
        <f>IF(V179&gt;0,(V179/V182),0)</f>
        <v>0</v>
      </c>
      <c r="D179" s="572">
        <f t="shared" ref="D179:T179" si="66">IF(W179&gt;0,(W179/W182),0)</f>
        <v>0</v>
      </c>
      <c r="E179" s="572">
        <f t="shared" si="66"/>
        <v>0</v>
      </c>
      <c r="F179" s="572">
        <f t="shared" si="66"/>
        <v>0</v>
      </c>
      <c r="G179" s="572">
        <f t="shared" si="66"/>
        <v>0</v>
      </c>
      <c r="H179" s="572">
        <f t="shared" si="66"/>
        <v>0</v>
      </c>
      <c r="I179" s="572">
        <f t="shared" si="66"/>
        <v>0</v>
      </c>
      <c r="J179" s="573">
        <f t="shared" si="66"/>
        <v>0</v>
      </c>
      <c r="K179" s="574">
        <f t="shared" si="66"/>
        <v>0</v>
      </c>
      <c r="L179" s="572">
        <f t="shared" si="66"/>
        <v>0</v>
      </c>
      <c r="M179" s="572">
        <f t="shared" si="66"/>
        <v>0</v>
      </c>
      <c r="N179" s="572">
        <f t="shared" si="66"/>
        <v>0</v>
      </c>
      <c r="O179" s="575">
        <f t="shared" si="66"/>
        <v>0</v>
      </c>
      <c r="P179" s="574">
        <f t="shared" si="66"/>
        <v>0</v>
      </c>
      <c r="Q179" s="572">
        <f t="shared" si="66"/>
        <v>0</v>
      </c>
      <c r="R179" s="572">
        <f t="shared" si="66"/>
        <v>0</v>
      </c>
      <c r="S179" s="575">
        <f t="shared" si="66"/>
        <v>0</v>
      </c>
      <c r="T179" s="574">
        <f t="shared" si="66"/>
        <v>0</v>
      </c>
      <c r="U179" s="253"/>
      <c r="V179" s="254"/>
      <c r="W179" s="255"/>
      <c r="X179" s="255"/>
      <c r="Y179" s="255"/>
      <c r="Z179" s="255"/>
      <c r="AA179" s="255"/>
      <c r="AB179" s="251"/>
      <c r="AC179" s="256"/>
      <c r="AD179" s="254"/>
      <c r="AE179" s="255"/>
      <c r="AF179" s="255"/>
      <c r="AG179" s="255"/>
      <c r="AH179" s="255"/>
      <c r="AI179" s="257"/>
      <c r="AJ179" s="254"/>
      <c r="AK179" s="255"/>
      <c r="AL179" s="257"/>
      <c r="AM179" s="254"/>
      <c r="AN179" s="563"/>
      <c r="AO179" s="209"/>
    </row>
    <row r="180" spans="1:41" s="500" customFormat="1">
      <c r="A180" s="239"/>
      <c r="B180" s="239" t="s">
        <v>78</v>
      </c>
      <c r="C180" s="572">
        <f>IF(V180&gt;0,(V180/V182),0)</f>
        <v>0</v>
      </c>
      <c r="D180" s="572">
        <f t="shared" ref="D180:T180" si="67">IF(W180&gt;0,(W180/W182),0)</f>
        <v>0</v>
      </c>
      <c r="E180" s="572">
        <f t="shared" si="67"/>
        <v>0</v>
      </c>
      <c r="F180" s="572">
        <f t="shared" si="67"/>
        <v>0</v>
      </c>
      <c r="G180" s="572">
        <f t="shared" si="67"/>
        <v>0</v>
      </c>
      <c r="H180" s="572">
        <f t="shared" si="67"/>
        <v>0</v>
      </c>
      <c r="I180" s="572">
        <f t="shared" si="67"/>
        <v>0</v>
      </c>
      <c r="J180" s="573">
        <f t="shared" si="67"/>
        <v>0</v>
      </c>
      <c r="K180" s="574">
        <f t="shared" si="67"/>
        <v>0</v>
      </c>
      <c r="L180" s="572">
        <f t="shared" si="67"/>
        <v>0</v>
      </c>
      <c r="M180" s="572">
        <f t="shared" si="67"/>
        <v>0</v>
      </c>
      <c r="N180" s="572">
        <f t="shared" si="67"/>
        <v>0</v>
      </c>
      <c r="O180" s="575">
        <f t="shared" si="67"/>
        <v>0</v>
      </c>
      <c r="P180" s="574">
        <f t="shared" si="67"/>
        <v>0</v>
      </c>
      <c r="Q180" s="572">
        <f t="shared" si="67"/>
        <v>0</v>
      </c>
      <c r="R180" s="572">
        <f t="shared" si="67"/>
        <v>0</v>
      </c>
      <c r="S180" s="575">
        <f t="shared" si="67"/>
        <v>0</v>
      </c>
      <c r="T180" s="574">
        <f t="shared" si="67"/>
        <v>0</v>
      </c>
      <c r="U180" s="253"/>
      <c r="V180" s="254"/>
      <c r="W180" s="255"/>
      <c r="X180" s="255"/>
      <c r="Y180" s="255"/>
      <c r="Z180" s="255"/>
      <c r="AA180" s="255"/>
      <c r="AB180" s="251"/>
      <c r="AC180" s="256"/>
      <c r="AD180" s="254"/>
      <c r="AE180" s="255"/>
      <c r="AF180" s="255"/>
      <c r="AG180" s="255"/>
      <c r="AH180" s="255"/>
      <c r="AI180" s="257"/>
      <c r="AJ180" s="254"/>
      <c r="AK180" s="255"/>
      <c r="AL180" s="257"/>
      <c r="AM180" s="254"/>
      <c r="AN180" s="563"/>
      <c r="AO180" s="209"/>
    </row>
    <row r="181" spans="1:41" s="500" customFormat="1">
      <c r="A181" s="580"/>
      <c r="B181" s="580" t="s">
        <v>131</v>
      </c>
      <c r="C181" s="581">
        <f>IF(V181&gt;0,(V181/V182),0)</f>
        <v>0</v>
      </c>
      <c r="D181" s="582">
        <f t="shared" ref="D181:T181" si="68">IF(W181&gt;0,(W181/W182),0)</f>
        <v>0</v>
      </c>
      <c r="E181" s="582">
        <f t="shared" si="68"/>
        <v>0</v>
      </c>
      <c r="F181" s="582">
        <f t="shared" si="68"/>
        <v>0</v>
      </c>
      <c r="G181" s="582">
        <f t="shared" si="68"/>
        <v>0</v>
      </c>
      <c r="H181" s="582">
        <f t="shared" si="68"/>
        <v>0</v>
      </c>
      <c r="I181" s="583">
        <f t="shared" si="68"/>
        <v>0</v>
      </c>
      <c r="J181" s="584">
        <f t="shared" si="68"/>
        <v>0</v>
      </c>
      <c r="K181" s="581">
        <f t="shared" si="68"/>
        <v>0</v>
      </c>
      <c r="L181" s="582">
        <f t="shared" si="68"/>
        <v>0</v>
      </c>
      <c r="M181" s="582">
        <f t="shared" si="68"/>
        <v>0</v>
      </c>
      <c r="N181" s="582">
        <f t="shared" si="68"/>
        <v>0</v>
      </c>
      <c r="O181" s="583">
        <f t="shared" si="68"/>
        <v>0</v>
      </c>
      <c r="P181" s="581">
        <f t="shared" si="68"/>
        <v>0</v>
      </c>
      <c r="Q181" s="581">
        <f t="shared" si="68"/>
        <v>0</v>
      </c>
      <c r="R181" s="582">
        <f t="shared" si="68"/>
        <v>0</v>
      </c>
      <c r="S181" s="583">
        <f t="shared" si="68"/>
        <v>0</v>
      </c>
      <c r="T181" s="581">
        <f t="shared" si="68"/>
        <v>0</v>
      </c>
      <c r="U181" s="253"/>
      <c r="V181" s="254"/>
      <c r="W181" s="255"/>
      <c r="X181" s="255"/>
      <c r="Y181" s="255"/>
      <c r="Z181" s="255"/>
      <c r="AA181" s="255"/>
      <c r="AB181" s="582"/>
      <c r="AC181" s="256"/>
      <c r="AD181" s="254"/>
      <c r="AE181" s="255"/>
      <c r="AF181" s="255"/>
      <c r="AG181" s="255"/>
      <c r="AH181" s="255"/>
      <c r="AI181" s="257"/>
      <c r="AJ181" s="254"/>
      <c r="AK181" s="255"/>
      <c r="AL181" s="257"/>
      <c r="AM181" s="254"/>
      <c r="AN181" s="209"/>
      <c r="AO181" s="209"/>
    </row>
    <row r="182" spans="1:41" s="527" customFormat="1">
      <c r="A182" s="436"/>
      <c r="B182" s="436" t="s">
        <v>59</v>
      </c>
      <c r="C182" s="456">
        <f>SUM(C177:C181)</f>
        <v>0</v>
      </c>
      <c r="D182" s="456">
        <f t="shared" ref="D182:T182" si="69">SUM(D177:D181)</f>
        <v>0</v>
      </c>
      <c r="E182" s="456">
        <f t="shared" si="69"/>
        <v>0</v>
      </c>
      <c r="F182" s="456">
        <f t="shared" si="69"/>
        <v>0</v>
      </c>
      <c r="G182" s="456">
        <f t="shared" si="69"/>
        <v>0</v>
      </c>
      <c r="H182" s="456">
        <f t="shared" si="69"/>
        <v>0</v>
      </c>
      <c r="I182" s="456">
        <f t="shared" si="69"/>
        <v>0</v>
      </c>
      <c r="J182" s="576">
        <f t="shared" si="69"/>
        <v>0</v>
      </c>
      <c r="K182" s="577">
        <f t="shared" si="69"/>
        <v>0</v>
      </c>
      <c r="L182" s="578">
        <f t="shared" si="69"/>
        <v>0</v>
      </c>
      <c r="M182" s="578">
        <f t="shared" si="69"/>
        <v>0</v>
      </c>
      <c r="N182" s="578">
        <f t="shared" si="69"/>
        <v>0</v>
      </c>
      <c r="O182" s="579">
        <f t="shared" si="69"/>
        <v>0</v>
      </c>
      <c r="P182" s="577">
        <f t="shared" si="69"/>
        <v>0</v>
      </c>
      <c r="Q182" s="578">
        <f t="shared" si="69"/>
        <v>0</v>
      </c>
      <c r="R182" s="578">
        <f t="shared" si="69"/>
        <v>0</v>
      </c>
      <c r="S182" s="579">
        <f t="shared" si="69"/>
        <v>0</v>
      </c>
      <c r="T182" s="577">
        <f t="shared" si="69"/>
        <v>0</v>
      </c>
      <c r="U182" s="264"/>
      <c r="V182" s="265"/>
      <c r="W182" s="266"/>
      <c r="X182" s="266"/>
      <c r="Y182" s="266"/>
      <c r="Z182" s="266"/>
      <c r="AA182" s="266"/>
      <c r="AB182" s="262"/>
      <c r="AC182" s="267"/>
      <c r="AD182" s="265"/>
      <c r="AE182" s="266"/>
      <c r="AF182" s="266"/>
      <c r="AG182" s="266"/>
      <c r="AH182" s="266"/>
      <c r="AI182" s="268"/>
      <c r="AJ182" s="265"/>
      <c r="AK182" s="266"/>
      <c r="AL182" s="268"/>
      <c r="AM182" s="265"/>
      <c r="AN182" s="270"/>
      <c r="AO182" s="270"/>
    </row>
    <row r="183" spans="1:41" s="500" customFormat="1">
      <c r="A183" s="240" t="s">
        <v>165</v>
      </c>
      <c r="B183" s="240" t="s">
        <v>53</v>
      </c>
      <c r="C183" s="568">
        <f>IF(V183&gt;0,(V183/V188),0)</f>
        <v>0</v>
      </c>
      <c r="D183" s="568">
        <f t="shared" ref="D183:T183" si="70">IF(W183&gt;0,(W183/W188),0)</f>
        <v>0</v>
      </c>
      <c r="E183" s="568">
        <f t="shared" si="70"/>
        <v>0</v>
      </c>
      <c r="F183" s="568">
        <f t="shared" si="70"/>
        <v>0</v>
      </c>
      <c r="G183" s="568">
        <f t="shared" si="70"/>
        <v>0</v>
      </c>
      <c r="H183" s="568">
        <f t="shared" si="70"/>
        <v>0</v>
      </c>
      <c r="I183" s="568">
        <f t="shared" si="70"/>
        <v>0</v>
      </c>
      <c r="J183" s="569">
        <f t="shared" si="70"/>
        <v>0</v>
      </c>
      <c r="K183" s="570">
        <f t="shared" si="70"/>
        <v>0</v>
      </c>
      <c r="L183" s="568">
        <f t="shared" si="70"/>
        <v>0</v>
      </c>
      <c r="M183" s="568">
        <f t="shared" si="70"/>
        <v>0</v>
      </c>
      <c r="N183" s="568">
        <f t="shared" si="70"/>
        <v>0</v>
      </c>
      <c r="O183" s="571">
        <f t="shared" si="70"/>
        <v>0</v>
      </c>
      <c r="P183" s="570">
        <f t="shared" si="70"/>
        <v>0</v>
      </c>
      <c r="Q183" s="568">
        <f t="shared" si="70"/>
        <v>0</v>
      </c>
      <c r="R183" s="568">
        <f t="shared" si="70"/>
        <v>0</v>
      </c>
      <c r="S183" s="571">
        <f t="shared" si="70"/>
        <v>0</v>
      </c>
      <c r="T183" s="570">
        <f t="shared" si="70"/>
        <v>0</v>
      </c>
      <c r="U183" s="253"/>
      <c r="V183" s="245"/>
      <c r="W183" s="246"/>
      <c r="X183" s="246"/>
      <c r="Y183" s="246"/>
      <c r="Z183" s="246"/>
      <c r="AA183" s="246"/>
      <c r="AB183" s="242"/>
      <c r="AC183" s="247"/>
      <c r="AD183" s="245"/>
      <c r="AE183" s="246"/>
      <c r="AF183" s="246"/>
      <c r="AG183" s="246"/>
      <c r="AH183" s="246"/>
      <c r="AI183" s="248"/>
      <c r="AJ183" s="245"/>
      <c r="AK183" s="246"/>
      <c r="AL183" s="248"/>
      <c r="AM183" s="245"/>
      <c r="AN183" s="563"/>
      <c r="AO183" s="209"/>
    </row>
    <row r="184" spans="1:41" s="500" customFormat="1">
      <c r="A184" s="239"/>
      <c r="B184" s="239" t="s">
        <v>93</v>
      </c>
      <c r="C184" s="572">
        <f>IF(V184&gt;0,(V184/V188),0)</f>
        <v>0</v>
      </c>
      <c r="D184" s="572">
        <f t="shared" ref="D184:T184" si="71">IF(W184&gt;0,(W184/W188),0)</f>
        <v>0</v>
      </c>
      <c r="E184" s="572">
        <f t="shared" si="71"/>
        <v>0</v>
      </c>
      <c r="F184" s="572">
        <f t="shared" si="71"/>
        <v>0</v>
      </c>
      <c r="G184" s="572">
        <f t="shared" si="71"/>
        <v>0</v>
      </c>
      <c r="H184" s="572">
        <f t="shared" si="71"/>
        <v>0</v>
      </c>
      <c r="I184" s="572">
        <f t="shared" si="71"/>
        <v>0</v>
      </c>
      <c r="J184" s="573">
        <f t="shared" si="71"/>
        <v>0</v>
      </c>
      <c r="K184" s="574">
        <f t="shared" si="71"/>
        <v>0</v>
      </c>
      <c r="L184" s="572">
        <f t="shared" si="71"/>
        <v>0</v>
      </c>
      <c r="M184" s="572">
        <f t="shared" si="71"/>
        <v>0</v>
      </c>
      <c r="N184" s="572">
        <f t="shared" si="71"/>
        <v>0</v>
      </c>
      <c r="O184" s="575">
        <f t="shared" si="71"/>
        <v>0</v>
      </c>
      <c r="P184" s="574">
        <f t="shared" si="71"/>
        <v>0</v>
      </c>
      <c r="Q184" s="572">
        <f t="shared" si="71"/>
        <v>0</v>
      </c>
      <c r="R184" s="572">
        <f t="shared" si="71"/>
        <v>0</v>
      </c>
      <c r="S184" s="575">
        <f t="shared" si="71"/>
        <v>0</v>
      </c>
      <c r="T184" s="574">
        <f t="shared" si="71"/>
        <v>0</v>
      </c>
      <c r="U184" s="253"/>
      <c r="V184" s="254"/>
      <c r="W184" s="255"/>
      <c r="X184" s="255"/>
      <c r="Y184" s="255"/>
      <c r="Z184" s="255"/>
      <c r="AA184" s="255"/>
      <c r="AB184" s="251"/>
      <c r="AC184" s="256"/>
      <c r="AD184" s="254"/>
      <c r="AE184" s="255"/>
      <c r="AF184" s="255"/>
      <c r="AG184" s="255"/>
      <c r="AH184" s="255"/>
      <c r="AI184" s="257"/>
      <c r="AJ184" s="254"/>
      <c r="AK184" s="255"/>
      <c r="AL184" s="257"/>
      <c r="AM184" s="254"/>
      <c r="AN184" s="563"/>
      <c r="AO184" s="209"/>
    </row>
    <row r="185" spans="1:41" s="500" customFormat="1">
      <c r="A185" s="239"/>
      <c r="B185" s="239" t="s">
        <v>55</v>
      </c>
      <c r="C185" s="572">
        <f>IF(V185&gt;0,(V185/V188),0)</f>
        <v>0</v>
      </c>
      <c r="D185" s="572">
        <f t="shared" ref="D185:T185" si="72">IF(W185&gt;0,(W185/W188),0)</f>
        <v>0</v>
      </c>
      <c r="E185" s="572">
        <f t="shared" si="72"/>
        <v>0</v>
      </c>
      <c r="F185" s="572">
        <f t="shared" si="72"/>
        <v>0</v>
      </c>
      <c r="G185" s="572">
        <f t="shared" si="72"/>
        <v>0</v>
      </c>
      <c r="H185" s="572">
        <f t="shared" si="72"/>
        <v>0</v>
      </c>
      <c r="I185" s="572">
        <f t="shared" si="72"/>
        <v>0</v>
      </c>
      <c r="J185" s="573">
        <f t="shared" si="72"/>
        <v>0</v>
      </c>
      <c r="K185" s="574">
        <f t="shared" si="72"/>
        <v>0</v>
      </c>
      <c r="L185" s="572">
        <f t="shared" si="72"/>
        <v>0</v>
      </c>
      <c r="M185" s="572">
        <f t="shared" si="72"/>
        <v>0</v>
      </c>
      <c r="N185" s="572">
        <f t="shared" si="72"/>
        <v>0</v>
      </c>
      <c r="O185" s="575">
        <f t="shared" si="72"/>
        <v>0</v>
      </c>
      <c r="P185" s="574">
        <f t="shared" si="72"/>
        <v>0</v>
      </c>
      <c r="Q185" s="572">
        <f t="shared" si="72"/>
        <v>0</v>
      </c>
      <c r="R185" s="572">
        <f t="shared" si="72"/>
        <v>0</v>
      </c>
      <c r="S185" s="575">
        <f t="shared" si="72"/>
        <v>0</v>
      </c>
      <c r="T185" s="574">
        <f t="shared" si="72"/>
        <v>0</v>
      </c>
      <c r="U185" s="253"/>
      <c r="V185" s="254"/>
      <c r="W185" s="255"/>
      <c r="X185" s="255"/>
      <c r="Y185" s="255"/>
      <c r="Z185" s="255"/>
      <c r="AA185" s="255"/>
      <c r="AB185" s="251"/>
      <c r="AC185" s="256"/>
      <c r="AD185" s="254"/>
      <c r="AE185" s="255"/>
      <c r="AF185" s="255"/>
      <c r="AG185" s="255"/>
      <c r="AH185" s="255"/>
      <c r="AI185" s="257"/>
      <c r="AJ185" s="254"/>
      <c r="AK185" s="255"/>
      <c r="AL185" s="257"/>
      <c r="AM185" s="254"/>
      <c r="AN185" s="563"/>
      <c r="AO185" s="209"/>
    </row>
    <row r="186" spans="1:41" s="500" customFormat="1">
      <c r="A186" s="239"/>
      <c r="B186" s="239" t="s">
        <v>78</v>
      </c>
      <c r="C186" s="572">
        <f>IF(V186&gt;0,(V186/V188),0)</f>
        <v>0</v>
      </c>
      <c r="D186" s="572">
        <f t="shared" ref="D186:T186" si="73">IF(W186&gt;0,(W186/W188),0)</f>
        <v>0</v>
      </c>
      <c r="E186" s="572">
        <f t="shared" si="73"/>
        <v>0</v>
      </c>
      <c r="F186" s="572">
        <f t="shared" si="73"/>
        <v>0</v>
      </c>
      <c r="G186" s="572">
        <f t="shared" si="73"/>
        <v>0</v>
      </c>
      <c r="H186" s="572">
        <f t="shared" si="73"/>
        <v>0</v>
      </c>
      <c r="I186" s="572">
        <f t="shared" si="73"/>
        <v>0</v>
      </c>
      <c r="J186" s="573">
        <f t="shared" si="73"/>
        <v>0</v>
      </c>
      <c r="K186" s="574">
        <f t="shared" si="73"/>
        <v>0</v>
      </c>
      <c r="L186" s="572">
        <f t="shared" si="73"/>
        <v>0</v>
      </c>
      <c r="M186" s="572">
        <f t="shared" si="73"/>
        <v>0</v>
      </c>
      <c r="N186" s="572">
        <f t="shared" si="73"/>
        <v>0</v>
      </c>
      <c r="O186" s="575">
        <f t="shared" si="73"/>
        <v>0</v>
      </c>
      <c r="P186" s="574">
        <f t="shared" si="73"/>
        <v>0</v>
      </c>
      <c r="Q186" s="572">
        <f t="shared" si="73"/>
        <v>0</v>
      </c>
      <c r="R186" s="572">
        <f t="shared" si="73"/>
        <v>0</v>
      </c>
      <c r="S186" s="575">
        <f t="shared" si="73"/>
        <v>0</v>
      </c>
      <c r="T186" s="574">
        <f t="shared" si="73"/>
        <v>0</v>
      </c>
      <c r="U186" s="253"/>
      <c r="V186" s="254"/>
      <c r="W186" s="255"/>
      <c r="X186" s="255"/>
      <c r="Y186" s="255"/>
      <c r="Z186" s="255"/>
      <c r="AA186" s="255"/>
      <c r="AB186" s="251"/>
      <c r="AC186" s="256"/>
      <c r="AD186" s="254"/>
      <c r="AE186" s="255"/>
      <c r="AF186" s="255"/>
      <c r="AG186" s="255"/>
      <c r="AH186" s="255"/>
      <c r="AI186" s="257"/>
      <c r="AJ186" s="254"/>
      <c r="AK186" s="255"/>
      <c r="AL186" s="257"/>
      <c r="AM186" s="254"/>
      <c r="AN186" s="563"/>
      <c r="AO186" s="209"/>
    </row>
    <row r="187" spans="1:41" s="500" customFormat="1">
      <c r="A187" s="580"/>
      <c r="B187" s="580" t="s">
        <v>131</v>
      </c>
      <c r="C187" s="581">
        <f>IF(V187&gt;0,(V187/V188),0)</f>
        <v>0</v>
      </c>
      <c r="D187" s="582">
        <f t="shared" ref="D187:T187" si="74">IF(W187&gt;0,(W187/W188),0)</f>
        <v>0</v>
      </c>
      <c r="E187" s="582">
        <f t="shared" si="74"/>
        <v>0</v>
      </c>
      <c r="F187" s="582">
        <f t="shared" si="74"/>
        <v>0</v>
      </c>
      <c r="G187" s="582">
        <f t="shared" si="74"/>
        <v>0</v>
      </c>
      <c r="H187" s="582">
        <f t="shared" si="74"/>
        <v>0</v>
      </c>
      <c r="I187" s="583">
        <f t="shared" si="74"/>
        <v>0</v>
      </c>
      <c r="J187" s="584">
        <f t="shared" si="74"/>
        <v>0</v>
      </c>
      <c r="K187" s="581">
        <f t="shared" si="74"/>
        <v>0</v>
      </c>
      <c r="L187" s="582">
        <f t="shared" si="74"/>
        <v>0</v>
      </c>
      <c r="M187" s="582">
        <f t="shared" si="74"/>
        <v>0</v>
      </c>
      <c r="N187" s="582">
        <f t="shared" si="74"/>
        <v>0</v>
      </c>
      <c r="O187" s="583">
        <f t="shared" si="74"/>
        <v>0</v>
      </c>
      <c r="P187" s="581">
        <f t="shared" si="74"/>
        <v>0</v>
      </c>
      <c r="Q187" s="581">
        <f t="shared" si="74"/>
        <v>0</v>
      </c>
      <c r="R187" s="582">
        <f t="shared" si="74"/>
        <v>0</v>
      </c>
      <c r="S187" s="583">
        <f t="shared" si="74"/>
        <v>0</v>
      </c>
      <c r="T187" s="581">
        <f t="shared" si="74"/>
        <v>0</v>
      </c>
      <c r="U187" s="253"/>
      <c r="V187" s="254"/>
      <c r="W187" s="255"/>
      <c r="X187" s="255"/>
      <c r="Y187" s="255"/>
      <c r="Z187" s="255"/>
      <c r="AA187" s="255"/>
      <c r="AB187" s="582"/>
      <c r="AC187" s="256"/>
      <c r="AD187" s="254"/>
      <c r="AE187" s="255"/>
      <c r="AF187" s="255"/>
      <c r="AG187" s="255"/>
      <c r="AH187" s="255"/>
      <c r="AI187" s="257"/>
      <c r="AJ187" s="254"/>
      <c r="AK187" s="255"/>
      <c r="AL187" s="257"/>
      <c r="AM187" s="254"/>
      <c r="AN187" s="209"/>
      <c r="AO187" s="209"/>
    </row>
    <row r="188" spans="1:41" s="527" customFormat="1">
      <c r="A188" s="436"/>
      <c r="B188" s="436" t="s">
        <v>59</v>
      </c>
      <c r="C188" s="456">
        <f>SUM(C183:C187)</f>
        <v>0</v>
      </c>
      <c r="D188" s="456">
        <f t="shared" ref="D188:T188" si="75">SUM(D183:D187)</f>
        <v>0</v>
      </c>
      <c r="E188" s="456">
        <f t="shared" si="75"/>
        <v>0</v>
      </c>
      <c r="F188" s="456">
        <f t="shared" si="75"/>
        <v>0</v>
      </c>
      <c r="G188" s="456">
        <f t="shared" si="75"/>
        <v>0</v>
      </c>
      <c r="H188" s="456">
        <f t="shared" si="75"/>
        <v>0</v>
      </c>
      <c r="I188" s="456">
        <f t="shared" si="75"/>
        <v>0</v>
      </c>
      <c r="J188" s="576">
        <f t="shared" si="75"/>
        <v>0</v>
      </c>
      <c r="K188" s="577">
        <f t="shared" si="75"/>
        <v>0</v>
      </c>
      <c r="L188" s="578">
        <f t="shared" si="75"/>
        <v>0</v>
      </c>
      <c r="M188" s="578">
        <f t="shared" si="75"/>
        <v>0</v>
      </c>
      <c r="N188" s="578">
        <f t="shared" si="75"/>
        <v>0</v>
      </c>
      <c r="O188" s="579">
        <f t="shared" si="75"/>
        <v>0</v>
      </c>
      <c r="P188" s="577">
        <f t="shared" si="75"/>
        <v>0</v>
      </c>
      <c r="Q188" s="578">
        <f t="shared" si="75"/>
        <v>0</v>
      </c>
      <c r="R188" s="578">
        <f t="shared" si="75"/>
        <v>0</v>
      </c>
      <c r="S188" s="579">
        <f t="shared" si="75"/>
        <v>0</v>
      </c>
      <c r="T188" s="577">
        <f t="shared" si="75"/>
        <v>0</v>
      </c>
      <c r="U188" s="264"/>
      <c r="V188" s="265"/>
      <c r="W188" s="266"/>
      <c r="X188" s="266"/>
      <c r="Y188" s="266"/>
      <c r="Z188" s="266"/>
      <c r="AA188" s="266"/>
      <c r="AB188" s="262"/>
      <c r="AC188" s="267"/>
      <c r="AD188" s="265"/>
      <c r="AE188" s="266"/>
      <c r="AF188" s="266"/>
      <c r="AG188" s="266"/>
      <c r="AH188" s="266"/>
      <c r="AI188" s="268"/>
      <c r="AJ188" s="265"/>
      <c r="AK188" s="266"/>
      <c r="AL188" s="268"/>
      <c r="AM188" s="265"/>
      <c r="AN188" s="270"/>
      <c r="AO188" s="270"/>
    </row>
    <row r="189" spans="1:41" s="500" customFormat="1">
      <c r="A189" s="240" t="s">
        <v>167</v>
      </c>
      <c r="B189" s="240" t="s">
        <v>53</v>
      </c>
      <c r="C189" s="568">
        <f t="shared" ref="C189:T189" si="76">IF(V189&gt;0,(V189/V194),0)</f>
        <v>0</v>
      </c>
      <c r="D189" s="568">
        <f t="shared" si="76"/>
        <v>0</v>
      </c>
      <c r="E189" s="568">
        <f t="shared" si="76"/>
        <v>0</v>
      </c>
      <c r="F189" s="568">
        <f t="shared" si="76"/>
        <v>0</v>
      </c>
      <c r="G189" s="568">
        <f t="shared" si="76"/>
        <v>0</v>
      </c>
      <c r="H189" s="568">
        <f t="shared" si="76"/>
        <v>0</v>
      </c>
      <c r="I189" s="568">
        <f t="shared" si="76"/>
        <v>0</v>
      </c>
      <c r="J189" s="569">
        <f t="shared" si="76"/>
        <v>0</v>
      </c>
      <c r="K189" s="570">
        <f t="shared" si="76"/>
        <v>0</v>
      </c>
      <c r="L189" s="568">
        <f t="shared" si="76"/>
        <v>0</v>
      </c>
      <c r="M189" s="568">
        <f t="shared" si="76"/>
        <v>0</v>
      </c>
      <c r="N189" s="568">
        <f t="shared" si="76"/>
        <v>0</v>
      </c>
      <c r="O189" s="571">
        <f t="shared" si="76"/>
        <v>0</v>
      </c>
      <c r="P189" s="570">
        <f t="shared" si="76"/>
        <v>0</v>
      </c>
      <c r="Q189" s="568">
        <f t="shared" si="76"/>
        <v>0</v>
      </c>
      <c r="R189" s="568">
        <f t="shared" si="76"/>
        <v>0</v>
      </c>
      <c r="S189" s="571">
        <f t="shared" si="76"/>
        <v>0</v>
      </c>
      <c r="T189" s="570">
        <f t="shared" si="76"/>
        <v>0</v>
      </c>
      <c r="U189" s="253"/>
      <c r="V189" s="245"/>
      <c r="W189" s="246"/>
      <c r="X189" s="246"/>
      <c r="Y189" s="246"/>
      <c r="Z189" s="246"/>
      <c r="AA189" s="246"/>
      <c r="AB189" s="242"/>
      <c r="AC189" s="247"/>
      <c r="AD189" s="245"/>
      <c r="AE189" s="246"/>
      <c r="AF189" s="246"/>
      <c r="AG189" s="246"/>
      <c r="AH189" s="246"/>
      <c r="AI189" s="248"/>
      <c r="AJ189" s="245"/>
      <c r="AK189" s="246"/>
      <c r="AL189" s="248"/>
      <c r="AM189" s="245"/>
      <c r="AN189" s="563"/>
      <c r="AO189" s="209"/>
    </row>
    <row r="190" spans="1:41" s="500" customFormat="1">
      <c r="A190" s="239"/>
      <c r="B190" s="239" t="s">
        <v>93</v>
      </c>
      <c r="C190" s="572">
        <f t="shared" ref="C190:T190" si="77">IF(V190&gt;0,(V190/V194),0)</f>
        <v>0</v>
      </c>
      <c r="D190" s="572">
        <f t="shared" si="77"/>
        <v>0</v>
      </c>
      <c r="E190" s="572">
        <f t="shared" si="77"/>
        <v>0</v>
      </c>
      <c r="F190" s="572">
        <f t="shared" si="77"/>
        <v>0</v>
      </c>
      <c r="G190" s="572">
        <f t="shared" si="77"/>
        <v>0</v>
      </c>
      <c r="H190" s="572">
        <f t="shared" si="77"/>
        <v>0</v>
      </c>
      <c r="I190" s="572">
        <f t="shared" si="77"/>
        <v>0</v>
      </c>
      <c r="J190" s="573">
        <f t="shared" si="77"/>
        <v>0</v>
      </c>
      <c r="K190" s="574">
        <f t="shared" si="77"/>
        <v>0</v>
      </c>
      <c r="L190" s="572">
        <f t="shared" si="77"/>
        <v>0</v>
      </c>
      <c r="M190" s="572">
        <f t="shared" si="77"/>
        <v>0</v>
      </c>
      <c r="N190" s="572">
        <f t="shared" si="77"/>
        <v>0</v>
      </c>
      <c r="O190" s="575">
        <f t="shared" si="77"/>
        <v>0</v>
      </c>
      <c r="P190" s="574">
        <f t="shared" si="77"/>
        <v>0</v>
      </c>
      <c r="Q190" s="572">
        <f t="shared" si="77"/>
        <v>0</v>
      </c>
      <c r="R190" s="572">
        <f t="shared" si="77"/>
        <v>0</v>
      </c>
      <c r="S190" s="575">
        <f t="shared" si="77"/>
        <v>0</v>
      </c>
      <c r="T190" s="574">
        <f t="shared" si="77"/>
        <v>0</v>
      </c>
      <c r="U190" s="253"/>
      <c r="V190" s="254"/>
      <c r="W190" s="255"/>
      <c r="X190" s="255"/>
      <c r="Y190" s="255"/>
      <c r="Z190" s="255"/>
      <c r="AA190" s="255"/>
      <c r="AB190" s="251"/>
      <c r="AC190" s="256"/>
      <c r="AD190" s="254"/>
      <c r="AE190" s="255"/>
      <c r="AF190" s="255"/>
      <c r="AG190" s="255"/>
      <c r="AH190" s="255"/>
      <c r="AI190" s="257"/>
      <c r="AJ190" s="254"/>
      <c r="AK190" s="255"/>
      <c r="AL190" s="257"/>
      <c r="AM190" s="254"/>
      <c r="AN190" s="563"/>
      <c r="AO190" s="209"/>
    </row>
    <row r="191" spans="1:41" s="500" customFormat="1">
      <c r="A191" s="239"/>
      <c r="B191" s="239" t="s">
        <v>55</v>
      </c>
      <c r="C191" s="572">
        <f t="shared" ref="C191:T191" si="78">IF(V191&gt;0,(V191/V194),0)</f>
        <v>0</v>
      </c>
      <c r="D191" s="572">
        <f t="shared" si="78"/>
        <v>0</v>
      </c>
      <c r="E191" s="572">
        <f t="shared" si="78"/>
        <v>0</v>
      </c>
      <c r="F191" s="572">
        <f t="shared" si="78"/>
        <v>0</v>
      </c>
      <c r="G191" s="572">
        <f t="shared" si="78"/>
        <v>0</v>
      </c>
      <c r="H191" s="572">
        <f t="shared" si="78"/>
        <v>0</v>
      </c>
      <c r="I191" s="572">
        <f t="shared" si="78"/>
        <v>0</v>
      </c>
      <c r="J191" s="573">
        <f t="shared" si="78"/>
        <v>0</v>
      </c>
      <c r="K191" s="574">
        <f t="shared" si="78"/>
        <v>0</v>
      </c>
      <c r="L191" s="572">
        <f t="shared" si="78"/>
        <v>0</v>
      </c>
      <c r="M191" s="572">
        <f t="shared" si="78"/>
        <v>0</v>
      </c>
      <c r="N191" s="572">
        <f t="shared" si="78"/>
        <v>0</v>
      </c>
      <c r="O191" s="575">
        <f t="shared" si="78"/>
        <v>0</v>
      </c>
      <c r="P191" s="574">
        <f t="shared" si="78"/>
        <v>0</v>
      </c>
      <c r="Q191" s="572">
        <f t="shared" si="78"/>
        <v>0</v>
      </c>
      <c r="R191" s="572">
        <f t="shared" si="78"/>
        <v>0</v>
      </c>
      <c r="S191" s="575">
        <f t="shared" si="78"/>
        <v>0</v>
      </c>
      <c r="T191" s="574">
        <f t="shared" si="78"/>
        <v>0</v>
      </c>
      <c r="U191" s="253"/>
      <c r="V191" s="254"/>
      <c r="W191" s="255"/>
      <c r="X191" s="255"/>
      <c r="Y191" s="255"/>
      <c r="Z191" s="255"/>
      <c r="AA191" s="255"/>
      <c r="AB191" s="251"/>
      <c r="AC191" s="256"/>
      <c r="AD191" s="254"/>
      <c r="AE191" s="255"/>
      <c r="AF191" s="255"/>
      <c r="AG191" s="255"/>
      <c r="AH191" s="255"/>
      <c r="AI191" s="257"/>
      <c r="AJ191" s="254"/>
      <c r="AK191" s="255"/>
      <c r="AL191" s="257"/>
      <c r="AM191" s="254"/>
      <c r="AN191" s="563"/>
      <c r="AO191" s="209"/>
    </row>
    <row r="192" spans="1:41" s="500" customFormat="1">
      <c r="A192" s="239"/>
      <c r="B192" s="239" t="s">
        <v>78</v>
      </c>
      <c r="C192" s="572">
        <f t="shared" ref="C192:T192" si="79">IF(V192&gt;0,(V192/V194),0)</f>
        <v>0</v>
      </c>
      <c r="D192" s="572">
        <f t="shared" si="79"/>
        <v>0</v>
      </c>
      <c r="E192" s="572">
        <f t="shared" si="79"/>
        <v>0</v>
      </c>
      <c r="F192" s="572">
        <f t="shared" si="79"/>
        <v>0</v>
      </c>
      <c r="G192" s="572">
        <f t="shared" si="79"/>
        <v>0</v>
      </c>
      <c r="H192" s="572">
        <f t="shared" si="79"/>
        <v>0</v>
      </c>
      <c r="I192" s="572">
        <f t="shared" si="79"/>
        <v>0</v>
      </c>
      <c r="J192" s="573">
        <f t="shared" si="79"/>
        <v>0</v>
      </c>
      <c r="K192" s="574">
        <f t="shared" si="79"/>
        <v>0</v>
      </c>
      <c r="L192" s="572">
        <f t="shared" si="79"/>
        <v>0</v>
      </c>
      <c r="M192" s="572">
        <f t="shared" si="79"/>
        <v>0</v>
      </c>
      <c r="N192" s="572">
        <f t="shared" si="79"/>
        <v>0</v>
      </c>
      <c r="O192" s="575">
        <f t="shared" si="79"/>
        <v>0</v>
      </c>
      <c r="P192" s="574">
        <f t="shared" si="79"/>
        <v>0</v>
      </c>
      <c r="Q192" s="572">
        <f t="shared" si="79"/>
        <v>0</v>
      </c>
      <c r="R192" s="572">
        <f t="shared" si="79"/>
        <v>0</v>
      </c>
      <c r="S192" s="575">
        <f t="shared" si="79"/>
        <v>0</v>
      </c>
      <c r="T192" s="574">
        <f t="shared" si="79"/>
        <v>0</v>
      </c>
      <c r="U192" s="253"/>
      <c r="V192" s="254"/>
      <c r="W192" s="255"/>
      <c r="X192" s="255"/>
      <c r="Y192" s="255"/>
      <c r="Z192" s="255"/>
      <c r="AA192" s="255"/>
      <c r="AB192" s="251"/>
      <c r="AC192" s="256"/>
      <c r="AD192" s="254"/>
      <c r="AE192" s="255"/>
      <c r="AF192" s="255"/>
      <c r="AG192" s="255"/>
      <c r="AH192" s="255"/>
      <c r="AI192" s="257"/>
      <c r="AJ192" s="254"/>
      <c r="AK192" s="255"/>
      <c r="AL192" s="257"/>
      <c r="AM192" s="254"/>
      <c r="AN192" s="563"/>
      <c r="AO192" s="209"/>
    </row>
    <row r="193" spans="1:41" s="500" customFormat="1">
      <c r="A193" s="580"/>
      <c r="B193" s="580" t="s">
        <v>131</v>
      </c>
      <c r="C193" s="581">
        <f t="shared" ref="C193:T193" si="80">IF(V193&gt;0,(V193/V194),0)</f>
        <v>0</v>
      </c>
      <c r="D193" s="582">
        <f t="shared" si="80"/>
        <v>0</v>
      </c>
      <c r="E193" s="582">
        <f t="shared" si="80"/>
        <v>0</v>
      </c>
      <c r="F193" s="582">
        <f t="shared" si="80"/>
        <v>0</v>
      </c>
      <c r="G193" s="582">
        <f t="shared" si="80"/>
        <v>0</v>
      </c>
      <c r="H193" s="582">
        <f t="shared" si="80"/>
        <v>0</v>
      </c>
      <c r="I193" s="583">
        <f t="shared" si="80"/>
        <v>0</v>
      </c>
      <c r="J193" s="584">
        <f t="shared" si="80"/>
        <v>0</v>
      </c>
      <c r="K193" s="581">
        <f t="shared" si="80"/>
        <v>0</v>
      </c>
      <c r="L193" s="582">
        <f t="shared" si="80"/>
        <v>0</v>
      </c>
      <c r="M193" s="582">
        <f t="shared" si="80"/>
        <v>0</v>
      </c>
      <c r="N193" s="582">
        <f t="shared" si="80"/>
        <v>0</v>
      </c>
      <c r="O193" s="583">
        <f t="shared" si="80"/>
        <v>0</v>
      </c>
      <c r="P193" s="581">
        <f t="shared" si="80"/>
        <v>0</v>
      </c>
      <c r="Q193" s="581">
        <f t="shared" si="80"/>
        <v>0</v>
      </c>
      <c r="R193" s="582">
        <f t="shared" si="80"/>
        <v>0</v>
      </c>
      <c r="S193" s="583">
        <f t="shared" si="80"/>
        <v>0</v>
      </c>
      <c r="T193" s="581">
        <f t="shared" si="80"/>
        <v>0</v>
      </c>
      <c r="U193" s="253"/>
      <c r="V193" s="254"/>
      <c r="W193" s="255"/>
      <c r="X193" s="255"/>
      <c r="Y193" s="255"/>
      <c r="Z193" s="255"/>
      <c r="AA193" s="255"/>
      <c r="AB193" s="582"/>
      <c r="AC193" s="256"/>
      <c r="AD193" s="254"/>
      <c r="AE193" s="255"/>
      <c r="AF193" s="255"/>
      <c r="AG193" s="255"/>
      <c r="AH193" s="255"/>
      <c r="AI193" s="257"/>
      <c r="AJ193" s="254"/>
      <c r="AK193" s="255"/>
      <c r="AL193" s="257"/>
      <c r="AM193" s="254"/>
      <c r="AN193" s="209"/>
      <c r="AO193" s="209"/>
    </row>
    <row r="194" spans="1:41" s="527" customFormat="1">
      <c r="A194" s="436"/>
      <c r="B194" s="436" t="s">
        <v>59</v>
      </c>
      <c r="C194" s="456">
        <f>SUM(C189:C193)</f>
        <v>0</v>
      </c>
      <c r="D194" s="456">
        <f t="shared" ref="D194:T194" si="81">SUM(D189:D193)</f>
        <v>0</v>
      </c>
      <c r="E194" s="456">
        <f t="shared" si="81"/>
        <v>0</v>
      </c>
      <c r="F194" s="456">
        <f t="shared" si="81"/>
        <v>0</v>
      </c>
      <c r="G194" s="456">
        <f t="shared" si="81"/>
        <v>0</v>
      </c>
      <c r="H194" s="456">
        <f t="shared" si="81"/>
        <v>0</v>
      </c>
      <c r="I194" s="456">
        <f t="shared" si="81"/>
        <v>0</v>
      </c>
      <c r="J194" s="576">
        <f t="shared" si="81"/>
        <v>0</v>
      </c>
      <c r="K194" s="577">
        <f t="shared" si="81"/>
        <v>0</v>
      </c>
      <c r="L194" s="578">
        <f t="shared" si="81"/>
        <v>0</v>
      </c>
      <c r="M194" s="578">
        <f t="shared" si="81"/>
        <v>0</v>
      </c>
      <c r="N194" s="578">
        <f t="shared" si="81"/>
        <v>0</v>
      </c>
      <c r="O194" s="579">
        <f t="shared" si="81"/>
        <v>0</v>
      </c>
      <c r="P194" s="577">
        <f t="shared" si="81"/>
        <v>0</v>
      </c>
      <c r="Q194" s="578">
        <f t="shared" si="81"/>
        <v>0</v>
      </c>
      <c r="R194" s="578">
        <f t="shared" si="81"/>
        <v>0</v>
      </c>
      <c r="S194" s="579">
        <f t="shared" si="81"/>
        <v>0</v>
      </c>
      <c r="T194" s="577">
        <f t="shared" si="81"/>
        <v>0</v>
      </c>
      <c r="U194" s="264"/>
      <c r="V194" s="265"/>
      <c r="W194" s="266"/>
      <c r="X194" s="266"/>
      <c r="Y194" s="266"/>
      <c r="Z194" s="266"/>
      <c r="AA194" s="266"/>
      <c r="AB194" s="262"/>
      <c r="AC194" s="267"/>
      <c r="AD194" s="265"/>
      <c r="AE194" s="266"/>
      <c r="AF194" s="266"/>
      <c r="AG194" s="266"/>
      <c r="AH194" s="266"/>
      <c r="AI194" s="268"/>
      <c r="AJ194" s="265"/>
      <c r="AK194" s="266"/>
      <c r="AL194" s="268"/>
      <c r="AM194" s="265"/>
      <c r="AN194" s="270"/>
      <c r="AO194" s="270"/>
    </row>
    <row r="195" spans="1:41" s="500" customFormat="1">
      <c r="A195" s="240" t="s">
        <v>169</v>
      </c>
      <c r="B195" s="240" t="s">
        <v>53</v>
      </c>
      <c r="C195" s="568">
        <f>IF(V195&gt;0,(V195/V200),0)</f>
        <v>0</v>
      </c>
      <c r="D195" s="568">
        <f t="shared" ref="D195:T195" si="82">IF(W195&gt;0,(W195/W200),0)</f>
        <v>0</v>
      </c>
      <c r="E195" s="568">
        <f t="shared" si="82"/>
        <v>0</v>
      </c>
      <c r="F195" s="568">
        <f t="shared" si="82"/>
        <v>0</v>
      </c>
      <c r="G195" s="568">
        <f t="shared" si="82"/>
        <v>0</v>
      </c>
      <c r="H195" s="568">
        <f t="shared" si="82"/>
        <v>0</v>
      </c>
      <c r="I195" s="568">
        <f t="shared" si="82"/>
        <v>0</v>
      </c>
      <c r="J195" s="569">
        <f t="shared" si="82"/>
        <v>0</v>
      </c>
      <c r="K195" s="570">
        <f t="shared" si="82"/>
        <v>0</v>
      </c>
      <c r="L195" s="568">
        <f t="shared" si="82"/>
        <v>0</v>
      </c>
      <c r="M195" s="568">
        <f t="shared" si="82"/>
        <v>0</v>
      </c>
      <c r="N195" s="568">
        <f t="shared" si="82"/>
        <v>0</v>
      </c>
      <c r="O195" s="571">
        <f t="shared" si="82"/>
        <v>0</v>
      </c>
      <c r="P195" s="570">
        <f t="shared" si="82"/>
        <v>0</v>
      </c>
      <c r="Q195" s="568">
        <f t="shared" si="82"/>
        <v>0</v>
      </c>
      <c r="R195" s="568">
        <f t="shared" si="82"/>
        <v>0</v>
      </c>
      <c r="S195" s="571">
        <f t="shared" si="82"/>
        <v>0</v>
      </c>
      <c r="T195" s="570">
        <f t="shared" si="82"/>
        <v>0</v>
      </c>
      <c r="U195" s="253"/>
      <c r="V195" s="245"/>
      <c r="W195" s="246"/>
      <c r="X195" s="246"/>
      <c r="Y195" s="246"/>
      <c r="Z195" s="246"/>
      <c r="AA195" s="246"/>
      <c r="AB195" s="242"/>
      <c r="AC195" s="247"/>
      <c r="AD195" s="245"/>
      <c r="AE195" s="246"/>
      <c r="AF195" s="246"/>
      <c r="AG195" s="246"/>
      <c r="AH195" s="246"/>
      <c r="AI195" s="248"/>
      <c r="AJ195" s="245"/>
      <c r="AK195" s="246"/>
      <c r="AL195" s="248"/>
      <c r="AM195" s="245"/>
      <c r="AN195" s="563"/>
      <c r="AO195" s="209"/>
    </row>
    <row r="196" spans="1:41" s="500" customFormat="1">
      <c r="A196" s="239"/>
      <c r="B196" s="239" t="s">
        <v>93</v>
      </c>
      <c r="C196" s="572">
        <f>IF(V196&gt;0,(V196/V200),0)</f>
        <v>0</v>
      </c>
      <c r="D196" s="572">
        <f t="shared" ref="D196:T196" si="83">IF(W196&gt;0,(W196/W200),0)</f>
        <v>0</v>
      </c>
      <c r="E196" s="572">
        <f t="shared" si="83"/>
        <v>0</v>
      </c>
      <c r="F196" s="572">
        <f t="shared" si="83"/>
        <v>0</v>
      </c>
      <c r="G196" s="572">
        <f t="shared" si="83"/>
        <v>0</v>
      </c>
      <c r="H196" s="572">
        <f t="shared" si="83"/>
        <v>0</v>
      </c>
      <c r="I196" s="572">
        <f t="shared" si="83"/>
        <v>0</v>
      </c>
      <c r="J196" s="573">
        <f t="shared" si="83"/>
        <v>0</v>
      </c>
      <c r="K196" s="574">
        <f t="shared" si="83"/>
        <v>0</v>
      </c>
      <c r="L196" s="572">
        <f t="shared" si="83"/>
        <v>0</v>
      </c>
      <c r="M196" s="572">
        <f t="shared" si="83"/>
        <v>0</v>
      </c>
      <c r="N196" s="572">
        <f t="shared" si="83"/>
        <v>0</v>
      </c>
      <c r="O196" s="575">
        <f t="shared" si="83"/>
        <v>0</v>
      </c>
      <c r="P196" s="574">
        <f t="shared" si="83"/>
        <v>0</v>
      </c>
      <c r="Q196" s="572">
        <f t="shared" si="83"/>
        <v>0</v>
      </c>
      <c r="R196" s="572">
        <f t="shared" si="83"/>
        <v>0</v>
      </c>
      <c r="S196" s="575">
        <f t="shared" si="83"/>
        <v>0</v>
      </c>
      <c r="T196" s="574">
        <f t="shared" si="83"/>
        <v>0</v>
      </c>
      <c r="U196" s="253"/>
      <c r="V196" s="254"/>
      <c r="W196" s="255"/>
      <c r="X196" s="255"/>
      <c r="Y196" s="255"/>
      <c r="Z196" s="255"/>
      <c r="AA196" s="255"/>
      <c r="AB196" s="251"/>
      <c r="AC196" s="256"/>
      <c r="AD196" s="254"/>
      <c r="AE196" s="255"/>
      <c r="AF196" s="255"/>
      <c r="AG196" s="255"/>
      <c r="AH196" s="255"/>
      <c r="AI196" s="257"/>
      <c r="AJ196" s="254"/>
      <c r="AK196" s="255"/>
      <c r="AL196" s="257"/>
      <c r="AM196" s="254"/>
      <c r="AN196" s="563"/>
      <c r="AO196" s="209"/>
    </row>
    <row r="197" spans="1:41" s="500" customFormat="1">
      <c r="A197" s="239"/>
      <c r="B197" s="239" t="s">
        <v>55</v>
      </c>
      <c r="C197" s="572">
        <f>IF(V197&gt;0,(V197/V200),0)</f>
        <v>0</v>
      </c>
      <c r="D197" s="572">
        <f t="shared" ref="D197:T197" si="84">IF(W197&gt;0,(W197/W200),0)</f>
        <v>0</v>
      </c>
      <c r="E197" s="572">
        <f t="shared" si="84"/>
        <v>0</v>
      </c>
      <c r="F197" s="572">
        <f t="shared" si="84"/>
        <v>0</v>
      </c>
      <c r="G197" s="572">
        <f t="shared" si="84"/>
        <v>0</v>
      </c>
      <c r="H197" s="572">
        <f t="shared" si="84"/>
        <v>0</v>
      </c>
      <c r="I197" s="572">
        <f t="shared" si="84"/>
        <v>0</v>
      </c>
      <c r="J197" s="573">
        <f t="shared" si="84"/>
        <v>0</v>
      </c>
      <c r="K197" s="574">
        <f t="shared" si="84"/>
        <v>0</v>
      </c>
      <c r="L197" s="572">
        <f t="shared" si="84"/>
        <v>0</v>
      </c>
      <c r="M197" s="572">
        <f t="shared" si="84"/>
        <v>0</v>
      </c>
      <c r="N197" s="572">
        <f t="shared" si="84"/>
        <v>0</v>
      </c>
      <c r="O197" s="575">
        <f t="shared" si="84"/>
        <v>0</v>
      </c>
      <c r="P197" s="574">
        <f t="shared" si="84"/>
        <v>0</v>
      </c>
      <c r="Q197" s="572">
        <f t="shared" si="84"/>
        <v>0</v>
      </c>
      <c r="R197" s="572">
        <f t="shared" si="84"/>
        <v>0</v>
      </c>
      <c r="S197" s="575">
        <f t="shared" si="84"/>
        <v>0</v>
      </c>
      <c r="T197" s="574">
        <f t="shared" si="84"/>
        <v>0</v>
      </c>
      <c r="U197" s="253"/>
      <c r="V197" s="254"/>
      <c r="W197" s="255"/>
      <c r="X197" s="255"/>
      <c r="Y197" s="255"/>
      <c r="Z197" s="255"/>
      <c r="AA197" s="255"/>
      <c r="AB197" s="251"/>
      <c r="AC197" s="256"/>
      <c r="AD197" s="254"/>
      <c r="AE197" s="255"/>
      <c r="AF197" s="255"/>
      <c r="AG197" s="255"/>
      <c r="AH197" s="255"/>
      <c r="AI197" s="257"/>
      <c r="AJ197" s="254"/>
      <c r="AK197" s="255"/>
      <c r="AL197" s="257"/>
      <c r="AM197" s="254"/>
      <c r="AN197" s="563"/>
      <c r="AO197" s="209"/>
    </row>
    <row r="198" spans="1:41" s="500" customFormat="1">
      <c r="A198" s="239"/>
      <c r="B198" s="239" t="s">
        <v>78</v>
      </c>
      <c r="C198" s="572">
        <f>IF(V198&gt;0,(V198/V200),0)</f>
        <v>0</v>
      </c>
      <c r="D198" s="572">
        <f t="shared" ref="D198:T198" si="85">IF(W198&gt;0,(W198/W200),0)</f>
        <v>0</v>
      </c>
      <c r="E198" s="572">
        <f t="shared" si="85"/>
        <v>0</v>
      </c>
      <c r="F198" s="572">
        <f t="shared" si="85"/>
        <v>0</v>
      </c>
      <c r="G198" s="572">
        <f t="shared" si="85"/>
        <v>0</v>
      </c>
      <c r="H198" s="572">
        <f t="shared" si="85"/>
        <v>0</v>
      </c>
      <c r="I198" s="572">
        <f t="shared" si="85"/>
        <v>0</v>
      </c>
      <c r="J198" s="573">
        <f t="shared" si="85"/>
        <v>0</v>
      </c>
      <c r="K198" s="574">
        <f t="shared" si="85"/>
        <v>0</v>
      </c>
      <c r="L198" s="572">
        <f t="shared" si="85"/>
        <v>0</v>
      </c>
      <c r="M198" s="572">
        <f t="shared" si="85"/>
        <v>0</v>
      </c>
      <c r="N198" s="572">
        <f t="shared" si="85"/>
        <v>0</v>
      </c>
      <c r="O198" s="575">
        <f t="shared" si="85"/>
        <v>0</v>
      </c>
      <c r="P198" s="574">
        <f t="shared" si="85"/>
        <v>0</v>
      </c>
      <c r="Q198" s="572">
        <f t="shared" si="85"/>
        <v>0</v>
      </c>
      <c r="R198" s="572">
        <f t="shared" si="85"/>
        <v>0</v>
      </c>
      <c r="S198" s="575">
        <f t="shared" si="85"/>
        <v>0</v>
      </c>
      <c r="T198" s="574">
        <f t="shared" si="85"/>
        <v>0</v>
      </c>
      <c r="U198" s="253"/>
      <c r="V198" s="254"/>
      <c r="W198" s="255"/>
      <c r="X198" s="255"/>
      <c r="Y198" s="255"/>
      <c r="Z198" s="255"/>
      <c r="AA198" s="255"/>
      <c r="AB198" s="251"/>
      <c r="AC198" s="256"/>
      <c r="AD198" s="254"/>
      <c r="AE198" s="255"/>
      <c r="AF198" s="255"/>
      <c r="AG198" s="255"/>
      <c r="AH198" s="255"/>
      <c r="AI198" s="257"/>
      <c r="AJ198" s="254"/>
      <c r="AK198" s="255"/>
      <c r="AL198" s="257"/>
      <c r="AM198" s="254"/>
      <c r="AN198" s="563"/>
      <c r="AO198" s="209"/>
    </row>
    <row r="199" spans="1:41" s="500" customFormat="1">
      <c r="A199" s="580"/>
      <c r="B199" s="580" t="s">
        <v>131</v>
      </c>
      <c r="C199" s="581">
        <f>IF(V199&gt;0,(V199/V200),0)</f>
        <v>0</v>
      </c>
      <c r="D199" s="582">
        <f t="shared" ref="D199:T199" si="86">IF(W199&gt;0,(W199/W200),0)</f>
        <v>0</v>
      </c>
      <c r="E199" s="582">
        <f t="shared" si="86"/>
        <v>0</v>
      </c>
      <c r="F199" s="582">
        <f t="shared" si="86"/>
        <v>0</v>
      </c>
      <c r="G199" s="582">
        <f t="shared" si="86"/>
        <v>0</v>
      </c>
      <c r="H199" s="582">
        <f t="shared" si="86"/>
        <v>0</v>
      </c>
      <c r="I199" s="583">
        <f t="shared" si="86"/>
        <v>0</v>
      </c>
      <c r="J199" s="584">
        <f t="shared" si="86"/>
        <v>0</v>
      </c>
      <c r="K199" s="581">
        <f t="shared" si="86"/>
        <v>0</v>
      </c>
      <c r="L199" s="582">
        <f t="shared" si="86"/>
        <v>0</v>
      </c>
      <c r="M199" s="582">
        <f t="shared" si="86"/>
        <v>0</v>
      </c>
      <c r="N199" s="582">
        <f t="shared" si="86"/>
        <v>0</v>
      </c>
      <c r="O199" s="583">
        <f t="shared" si="86"/>
        <v>0</v>
      </c>
      <c r="P199" s="581">
        <f t="shared" si="86"/>
        <v>0</v>
      </c>
      <c r="Q199" s="581">
        <f t="shared" si="86"/>
        <v>0</v>
      </c>
      <c r="R199" s="582">
        <f t="shared" si="86"/>
        <v>0</v>
      </c>
      <c r="S199" s="583">
        <f t="shared" si="86"/>
        <v>0</v>
      </c>
      <c r="T199" s="581">
        <f t="shared" si="86"/>
        <v>0</v>
      </c>
      <c r="U199" s="253"/>
      <c r="V199" s="254"/>
      <c r="W199" s="255"/>
      <c r="X199" s="255"/>
      <c r="Y199" s="255"/>
      <c r="Z199" s="255"/>
      <c r="AA199" s="255"/>
      <c r="AB199" s="582"/>
      <c r="AC199" s="256"/>
      <c r="AD199" s="254"/>
      <c r="AE199" s="255"/>
      <c r="AF199" s="255"/>
      <c r="AG199" s="255"/>
      <c r="AH199" s="255"/>
      <c r="AI199" s="257"/>
      <c r="AJ199" s="254"/>
      <c r="AK199" s="255"/>
      <c r="AL199" s="257"/>
      <c r="AM199" s="254"/>
      <c r="AN199" s="209"/>
      <c r="AO199" s="209"/>
    </row>
    <row r="200" spans="1:41" s="527" customFormat="1">
      <c r="A200" s="436"/>
      <c r="B200" s="436" t="s">
        <v>59</v>
      </c>
      <c r="C200" s="456">
        <f>SUM(C195:C199)</f>
        <v>0</v>
      </c>
      <c r="D200" s="456">
        <f t="shared" ref="D200:T200" si="87">SUM(D195:D199)</f>
        <v>0</v>
      </c>
      <c r="E200" s="456">
        <f t="shared" si="87"/>
        <v>0</v>
      </c>
      <c r="F200" s="456">
        <f t="shared" si="87"/>
        <v>0</v>
      </c>
      <c r="G200" s="456">
        <f t="shared" si="87"/>
        <v>0</v>
      </c>
      <c r="H200" s="456">
        <f t="shared" si="87"/>
        <v>0</v>
      </c>
      <c r="I200" s="456">
        <f t="shared" si="87"/>
        <v>0</v>
      </c>
      <c r="J200" s="576">
        <f t="shared" si="87"/>
        <v>0</v>
      </c>
      <c r="K200" s="577">
        <f t="shared" si="87"/>
        <v>0</v>
      </c>
      <c r="L200" s="578">
        <f t="shared" si="87"/>
        <v>0</v>
      </c>
      <c r="M200" s="578">
        <f t="shared" si="87"/>
        <v>0</v>
      </c>
      <c r="N200" s="578">
        <f t="shared" si="87"/>
        <v>0</v>
      </c>
      <c r="O200" s="579">
        <f t="shared" si="87"/>
        <v>0</v>
      </c>
      <c r="P200" s="577">
        <f t="shared" si="87"/>
        <v>0</v>
      </c>
      <c r="Q200" s="578">
        <f t="shared" si="87"/>
        <v>0</v>
      </c>
      <c r="R200" s="578">
        <f t="shared" si="87"/>
        <v>0</v>
      </c>
      <c r="S200" s="579">
        <f t="shared" si="87"/>
        <v>0</v>
      </c>
      <c r="T200" s="577">
        <f t="shared" si="87"/>
        <v>0</v>
      </c>
      <c r="U200" s="264"/>
      <c r="V200" s="265"/>
      <c r="W200" s="266"/>
      <c r="X200" s="266"/>
      <c r="Y200" s="266"/>
      <c r="Z200" s="266"/>
      <c r="AA200" s="266"/>
      <c r="AB200" s="262"/>
      <c r="AC200" s="267"/>
      <c r="AD200" s="265"/>
      <c r="AE200" s="266"/>
      <c r="AF200" s="266"/>
      <c r="AG200" s="266"/>
      <c r="AH200" s="266"/>
      <c r="AI200" s="268"/>
      <c r="AJ200" s="265"/>
      <c r="AK200" s="266"/>
      <c r="AL200" s="268"/>
      <c r="AM200" s="265"/>
      <c r="AN200" s="270"/>
      <c r="AO200" s="270"/>
    </row>
    <row r="201" spans="1:41" s="500" customFormat="1">
      <c r="A201" s="240" t="s">
        <v>172</v>
      </c>
      <c r="B201" s="240" t="s">
        <v>53</v>
      </c>
      <c r="C201" s="568">
        <f>IF(V201&gt;0,(V201/V206),0)</f>
        <v>0</v>
      </c>
      <c r="D201" s="568">
        <f t="shared" ref="D201:T201" si="88">IF(W201&gt;0,(W201/W206),0)</f>
        <v>0</v>
      </c>
      <c r="E201" s="568">
        <f t="shared" si="88"/>
        <v>0</v>
      </c>
      <c r="F201" s="568">
        <f t="shared" si="88"/>
        <v>0</v>
      </c>
      <c r="G201" s="568">
        <f t="shared" si="88"/>
        <v>0</v>
      </c>
      <c r="H201" s="568">
        <f t="shared" si="88"/>
        <v>0</v>
      </c>
      <c r="I201" s="568">
        <f t="shared" si="88"/>
        <v>0</v>
      </c>
      <c r="J201" s="569">
        <f t="shared" si="88"/>
        <v>0</v>
      </c>
      <c r="K201" s="570">
        <f t="shared" si="88"/>
        <v>0</v>
      </c>
      <c r="L201" s="568">
        <f t="shared" si="88"/>
        <v>0</v>
      </c>
      <c r="M201" s="568">
        <f t="shared" si="88"/>
        <v>0</v>
      </c>
      <c r="N201" s="568">
        <f t="shared" si="88"/>
        <v>0</v>
      </c>
      <c r="O201" s="571">
        <f t="shared" si="88"/>
        <v>0</v>
      </c>
      <c r="P201" s="570">
        <f t="shared" si="88"/>
        <v>0</v>
      </c>
      <c r="Q201" s="568">
        <f t="shared" si="88"/>
        <v>0</v>
      </c>
      <c r="R201" s="568">
        <f t="shared" si="88"/>
        <v>0</v>
      </c>
      <c r="S201" s="571">
        <f t="shared" si="88"/>
        <v>0</v>
      </c>
      <c r="T201" s="570">
        <f t="shared" si="88"/>
        <v>0</v>
      </c>
      <c r="U201" s="244"/>
      <c r="V201" s="590">
        <f t="shared" ref="V201:V206" si="89">+V207+V213+V219+V225+V231+V237+V243+V249+V255+V261+V267+V273</f>
        <v>0</v>
      </c>
      <c r="W201" s="591">
        <f t="shared" ref="W201:AM206" si="90">+W207+W213+W219+W225+W231+W237+W243+W249+W255+W261+W267+W273</f>
        <v>0</v>
      </c>
      <c r="X201" s="591">
        <f t="shared" si="90"/>
        <v>0</v>
      </c>
      <c r="Y201" s="591">
        <f t="shared" si="90"/>
        <v>0</v>
      </c>
      <c r="Z201" s="591">
        <f t="shared" si="90"/>
        <v>0</v>
      </c>
      <c r="AA201" s="591">
        <f t="shared" si="90"/>
        <v>0</v>
      </c>
      <c r="AB201" s="591">
        <f t="shared" si="90"/>
        <v>0</v>
      </c>
      <c r="AC201" s="592">
        <f t="shared" si="90"/>
        <v>0</v>
      </c>
      <c r="AD201" s="590">
        <f t="shared" si="90"/>
        <v>0</v>
      </c>
      <c r="AE201" s="591">
        <f t="shared" si="90"/>
        <v>0</v>
      </c>
      <c r="AF201" s="591">
        <f t="shared" si="90"/>
        <v>0</v>
      </c>
      <c r="AG201" s="591">
        <f t="shared" si="90"/>
        <v>0</v>
      </c>
      <c r="AH201" s="593">
        <f t="shared" si="90"/>
        <v>0</v>
      </c>
      <c r="AI201" s="593">
        <f t="shared" si="90"/>
        <v>0</v>
      </c>
      <c r="AJ201" s="590">
        <f t="shared" si="90"/>
        <v>0</v>
      </c>
      <c r="AK201" s="591">
        <f t="shared" si="90"/>
        <v>0</v>
      </c>
      <c r="AL201" s="593">
        <f t="shared" si="90"/>
        <v>0</v>
      </c>
      <c r="AM201" s="590">
        <f t="shared" si="90"/>
        <v>0</v>
      </c>
      <c r="AN201" s="209"/>
      <c r="AO201" s="209"/>
    </row>
    <row r="202" spans="1:41" s="500" customFormat="1">
      <c r="A202" s="239"/>
      <c r="B202" s="239" t="s">
        <v>93</v>
      </c>
      <c r="C202" s="572">
        <f>IF(V202&gt;0,(V202/V206),0)</f>
        <v>0</v>
      </c>
      <c r="D202" s="572">
        <f t="shared" ref="D202:T202" si="91">IF(W202&gt;0,(W202/W206),0)</f>
        <v>0</v>
      </c>
      <c r="E202" s="572">
        <f t="shared" si="91"/>
        <v>0</v>
      </c>
      <c r="F202" s="572">
        <f t="shared" si="91"/>
        <v>0</v>
      </c>
      <c r="G202" s="572">
        <f t="shared" si="91"/>
        <v>0</v>
      </c>
      <c r="H202" s="572">
        <f t="shared" si="91"/>
        <v>0</v>
      </c>
      <c r="I202" s="572">
        <f t="shared" si="91"/>
        <v>0</v>
      </c>
      <c r="J202" s="573">
        <f t="shared" si="91"/>
        <v>0</v>
      </c>
      <c r="K202" s="574">
        <f t="shared" si="91"/>
        <v>0</v>
      </c>
      <c r="L202" s="572">
        <f t="shared" si="91"/>
        <v>0</v>
      </c>
      <c r="M202" s="572">
        <f t="shared" si="91"/>
        <v>0</v>
      </c>
      <c r="N202" s="572">
        <f t="shared" si="91"/>
        <v>0</v>
      </c>
      <c r="O202" s="575">
        <f t="shared" si="91"/>
        <v>0</v>
      </c>
      <c r="P202" s="574">
        <f t="shared" si="91"/>
        <v>0</v>
      </c>
      <c r="Q202" s="572">
        <f t="shared" si="91"/>
        <v>0</v>
      </c>
      <c r="R202" s="572">
        <f t="shared" si="91"/>
        <v>0</v>
      </c>
      <c r="S202" s="575">
        <f t="shared" si="91"/>
        <v>0</v>
      </c>
      <c r="T202" s="574">
        <f t="shared" si="91"/>
        <v>0</v>
      </c>
      <c r="U202" s="253"/>
      <c r="V202" s="594">
        <f t="shared" si="89"/>
        <v>0</v>
      </c>
      <c r="W202" s="595">
        <f t="shared" ref="W202:AK202" si="92">+W208+W214+W220+W226+W232+W238+W244+W250+W256+W262+W268+W274</f>
        <v>0</v>
      </c>
      <c r="X202" s="595">
        <f t="shared" si="92"/>
        <v>0</v>
      </c>
      <c r="Y202" s="595">
        <f t="shared" si="92"/>
        <v>0</v>
      </c>
      <c r="Z202" s="595">
        <f t="shared" si="92"/>
        <v>0</v>
      </c>
      <c r="AA202" s="595">
        <f t="shared" si="92"/>
        <v>0</v>
      </c>
      <c r="AB202" s="595">
        <f t="shared" si="92"/>
        <v>0</v>
      </c>
      <c r="AC202" s="596">
        <f t="shared" si="92"/>
        <v>0</v>
      </c>
      <c r="AD202" s="594">
        <f t="shared" si="92"/>
        <v>0</v>
      </c>
      <c r="AE202" s="595">
        <f t="shared" si="92"/>
        <v>0</v>
      </c>
      <c r="AF202" s="595">
        <f t="shared" si="92"/>
        <v>0</v>
      </c>
      <c r="AG202" s="595">
        <f t="shared" si="92"/>
        <v>0</v>
      </c>
      <c r="AH202" s="597">
        <f t="shared" si="92"/>
        <v>0</v>
      </c>
      <c r="AI202" s="597">
        <f t="shared" si="92"/>
        <v>0</v>
      </c>
      <c r="AJ202" s="594">
        <f t="shared" si="92"/>
        <v>0</v>
      </c>
      <c r="AK202" s="595">
        <f t="shared" si="92"/>
        <v>0</v>
      </c>
      <c r="AL202" s="597">
        <f t="shared" si="90"/>
        <v>0</v>
      </c>
      <c r="AM202" s="594">
        <f t="shared" si="90"/>
        <v>0</v>
      </c>
      <c r="AN202" s="209"/>
      <c r="AO202" s="209"/>
    </row>
    <row r="203" spans="1:41" s="500" customFormat="1">
      <c r="A203" s="239"/>
      <c r="B203" s="239" t="s">
        <v>55</v>
      </c>
      <c r="C203" s="572">
        <f>IF(V203&gt;0,(V203/V206),0)</f>
        <v>0</v>
      </c>
      <c r="D203" s="572">
        <f t="shared" ref="D203:T203" si="93">IF(W203&gt;0,(W203/W206),0)</f>
        <v>0</v>
      </c>
      <c r="E203" s="572">
        <f t="shared" si="93"/>
        <v>0</v>
      </c>
      <c r="F203" s="572">
        <f t="shared" si="93"/>
        <v>0</v>
      </c>
      <c r="G203" s="572">
        <f t="shared" si="93"/>
        <v>0</v>
      </c>
      <c r="H203" s="572">
        <f t="shared" si="93"/>
        <v>0</v>
      </c>
      <c r="I203" s="572">
        <f t="shared" si="93"/>
        <v>0</v>
      </c>
      <c r="J203" s="573">
        <f t="shared" si="93"/>
        <v>0</v>
      </c>
      <c r="K203" s="574">
        <f t="shared" si="93"/>
        <v>0</v>
      </c>
      <c r="L203" s="572">
        <f t="shared" si="93"/>
        <v>0</v>
      </c>
      <c r="M203" s="572">
        <f t="shared" si="93"/>
        <v>0</v>
      </c>
      <c r="N203" s="572">
        <f t="shared" si="93"/>
        <v>0</v>
      </c>
      <c r="O203" s="575">
        <f t="shared" si="93"/>
        <v>0</v>
      </c>
      <c r="P203" s="574">
        <f t="shared" si="93"/>
        <v>0</v>
      </c>
      <c r="Q203" s="572">
        <f t="shared" si="93"/>
        <v>0</v>
      </c>
      <c r="R203" s="572">
        <f t="shared" si="93"/>
        <v>0</v>
      </c>
      <c r="S203" s="575">
        <f t="shared" si="93"/>
        <v>0</v>
      </c>
      <c r="T203" s="574">
        <f t="shared" si="93"/>
        <v>0</v>
      </c>
      <c r="U203" s="253"/>
      <c r="V203" s="594">
        <f t="shared" si="89"/>
        <v>0</v>
      </c>
      <c r="W203" s="595">
        <f t="shared" si="90"/>
        <v>0</v>
      </c>
      <c r="X203" s="595">
        <f t="shared" si="90"/>
        <v>0</v>
      </c>
      <c r="Y203" s="595">
        <f t="shared" si="90"/>
        <v>0</v>
      </c>
      <c r="Z203" s="595">
        <f t="shared" si="90"/>
        <v>0</v>
      </c>
      <c r="AA203" s="595">
        <f t="shared" si="90"/>
        <v>0</v>
      </c>
      <c r="AB203" s="595">
        <f t="shared" si="90"/>
        <v>0</v>
      </c>
      <c r="AC203" s="596">
        <f t="shared" si="90"/>
        <v>0</v>
      </c>
      <c r="AD203" s="594">
        <f t="shared" si="90"/>
        <v>0</v>
      </c>
      <c r="AE203" s="595">
        <f t="shared" si="90"/>
        <v>0</v>
      </c>
      <c r="AF203" s="595">
        <f t="shared" si="90"/>
        <v>0</v>
      </c>
      <c r="AG203" s="595">
        <f t="shared" si="90"/>
        <v>0</v>
      </c>
      <c r="AH203" s="597">
        <f t="shared" si="90"/>
        <v>0</v>
      </c>
      <c r="AI203" s="597">
        <f t="shared" si="90"/>
        <v>0</v>
      </c>
      <c r="AJ203" s="594">
        <f t="shared" si="90"/>
        <v>0</v>
      </c>
      <c r="AK203" s="595">
        <f t="shared" si="90"/>
        <v>0</v>
      </c>
      <c r="AL203" s="597">
        <f t="shared" si="90"/>
        <v>0</v>
      </c>
      <c r="AM203" s="594">
        <f t="shared" si="90"/>
        <v>0</v>
      </c>
      <c r="AN203" s="209"/>
      <c r="AO203" s="209"/>
    </row>
    <row r="204" spans="1:41" s="500" customFormat="1">
      <c r="A204" s="239"/>
      <c r="B204" s="239" t="s">
        <v>78</v>
      </c>
      <c r="C204" s="572">
        <f>IF(V204&gt;0,(V204/V206),0)</f>
        <v>0</v>
      </c>
      <c r="D204" s="572">
        <f t="shared" ref="D204:T204" si="94">IF(W204&gt;0,(W204/W206),0)</f>
        <v>0</v>
      </c>
      <c r="E204" s="572">
        <f t="shared" si="94"/>
        <v>0</v>
      </c>
      <c r="F204" s="572">
        <f t="shared" si="94"/>
        <v>0</v>
      </c>
      <c r="G204" s="572">
        <f t="shared" si="94"/>
        <v>0</v>
      </c>
      <c r="H204" s="572">
        <f t="shared" si="94"/>
        <v>0</v>
      </c>
      <c r="I204" s="572">
        <f t="shared" si="94"/>
        <v>0</v>
      </c>
      <c r="J204" s="573">
        <f t="shared" si="94"/>
        <v>0</v>
      </c>
      <c r="K204" s="574">
        <f t="shared" si="94"/>
        <v>0</v>
      </c>
      <c r="L204" s="572">
        <f t="shared" si="94"/>
        <v>0</v>
      </c>
      <c r="M204" s="572">
        <f t="shared" si="94"/>
        <v>0</v>
      </c>
      <c r="N204" s="572">
        <f t="shared" si="94"/>
        <v>0</v>
      </c>
      <c r="O204" s="575">
        <f t="shared" si="94"/>
        <v>0</v>
      </c>
      <c r="P204" s="574">
        <f t="shared" si="94"/>
        <v>0</v>
      </c>
      <c r="Q204" s="572">
        <f t="shared" si="94"/>
        <v>0</v>
      </c>
      <c r="R204" s="572">
        <f t="shared" si="94"/>
        <v>0</v>
      </c>
      <c r="S204" s="575">
        <f t="shared" si="94"/>
        <v>0</v>
      </c>
      <c r="T204" s="574">
        <f t="shared" si="94"/>
        <v>0</v>
      </c>
      <c r="U204" s="253"/>
      <c r="V204" s="594">
        <f t="shared" si="89"/>
        <v>0</v>
      </c>
      <c r="W204" s="595">
        <f t="shared" si="90"/>
        <v>0</v>
      </c>
      <c r="X204" s="595">
        <f t="shared" si="90"/>
        <v>0</v>
      </c>
      <c r="Y204" s="595">
        <f t="shared" si="90"/>
        <v>0</v>
      </c>
      <c r="Z204" s="595">
        <f t="shared" si="90"/>
        <v>0</v>
      </c>
      <c r="AA204" s="595">
        <f t="shared" si="90"/>
        <v>0</v>
      </c>
      <c r="AB204" s="595">
        <f t="shared" si="90"/>
        <v>0</v>
      </c>
      <c r="AC204" s="596">
        <f t="shared" si="90"/>
        <v>0</v>
      </c>
      <c r="AD204" s="594">
        <f t="shared" si="90"/>
        <v>0</v>
      </c>
      <c r="AE204" s="595">
        <f t="shared" si="90"/>
        <v>0</v>
      </c>
      <c r="AF204" s="595">
        <f t="shared" si="90"/>
        <v>0</v>
      </c>
      <c r="AG204" s="595">
        <f t="shared" si="90"/>
        <v>0</v>
      </c>
      <c r="AH204" s="597">
        <f t="shared" si="90"/>
        <v>0</v>
      </c>
      <c r="AI204" s="597">
        <f t="shared" si="90"/>
        <v>0</v>
      </c>
      <c r="AJ204" s="594">
        <f t="shared" si="90"/>
        <v>0</v>
      </c>
      <c r="AK204" s="595">
        <f t="shared" si="90"/>
        <v>0</v>
      </c>
      <c r="AL204" s="597">
        <f t="shared" si="90"/>
        <v>0</v>
      </c>
      <c r="AM204" s="594">
        <f t="shared" si="90"/>
        <v>0</v>
      </c>
      <c r="AN204" s="209"/>
      <c r="AO204" s="209"/>
    </row>
    <row r="205" spans="1:41" s="500" customFormat="1">
      <c r="A205" s="580"/>
      <c r="B205" s="580" t="s">
        <v>131</v>
      </c>
      <c r="C205" s="581">
        <f>IF(V205&gt;0,(V205/V206),0)</f>
        <v>0</v>
      </c>
      <c r="D205" s="582">
        <f t="shared" ref="D205:T205" si="95">IF(W205&gt;0,(W205/W206),0)</f>
        <v>0</v>
      </c>
      <c r="E205" s="582">
        <f t="shared" si="95"/>
        <v>0</v>
      </c>
      <c r="F205" s="582">
        <f t="shared" si="95"/>
        <v>0</v>
      </c>
      <c r="G205" s="582">
        <f t="shared" si="95"/>
        <v>0</v>
      </c>
      <c r="H205" s="582">
        <f t="shared" si="95"/>
        <v>0</v>
      </c>
      <c r="I205" s="583">
        <f t="shared" si="95"/>
        <v>0</v>
      </c>
      <c r="J205" s="584">
        <f t="shared" si="95"/>
        <v>0</v>
      </c>
      <c r="K205" s="581">
        <f t="shared" si="95"/>
        <v>0</v>
      </c>
      <c r="L205" s="582">
        <f t="shared" si="95"/>
        <v>0</v>
      </c>
      <c r="M205" s="582">
        <f t="shared" si="95"/>
        <v>0</v>
      </c>
      <c r="N205" s="582">
        <f t="shared" si="95"/>
        <v>0</v>
      </c>
      <c r="O205" s="583">
        <f t="shared" si="95"/>
        <v>0</v>
      </c>
      <c r="P205" s="581">
        <f t="shared" si="95"/>
        <v>0</v>
      </c>
      <c r="Q205" s="581">
        <f t="shared" si="95"/>
        <v>0</v>
      </c>
      <c r="R205" s="582">
        <f t="shared" si="95"/>
        <v>0</v>
      </c>
      <c r="S205" s="583">
        <f t="shared" si="95"/>
        <v>0</v>
      </c>
      <c r="T205" s="581">
        <f t="shared" si="95"/>
        <v>0</v>
      </c>
      <c r="U205" s="253"/>
      <c r="V205" s="585">
        <f t="shared" si="89"/>
        <v>0</v>
      </c>
      <c r="W205" s="586">
        <f t="shared" si="90"/>
        <v>0</v>
      </c>
      <c r="X205" s="586">
        <f t="shared" si="90"/>
        <v>0</v>
      </c>
      <c r="Y205" s="586">
        <f t="shared" si="90"/>
        <v>0</v>
      </c>
      <c r="Z205" s="586">
        <f t="shared" si="90"/>
        <v>0</v>
      </c>
      <c r="AA205" s="586">
        <f t="shared" si="90"/>
        <v>0</v>
      </c>
      <c r="AB205" s="586">
        <f t="shared" si="90"/>
        <v>0</v>
      </c>
      <c r="AC205" s="587">
        <f t="shared" si="90"/>
        <v>0</v>
      </c>
      <c r="AD205" s="585">
        <f t="shared" si="90"/>
        <v>0</v>
      </c>
      <c r="AE205" s="586">
        <f t="shared" si="90"/>
        <v>0</v>
      </c>
      <c r="AF205" s="586">
        <f t="shared" si="90"/>
        <v>0</v>
      </c>
      <c r="AG205" s="586">
        <f t="shared" si="90"/>
        <v>0</v>
      </c>
      <c r="AH205" s="588">
        <f t="shared" si="90"/>
        <v>0</v>
      </c>
      <c r="AI205" s="588">
        <f t="shared" si="90"/>
        <v>0</v>
      </c>
      <c r="AJ205" s="585">
        <f t="shared" si="90"/>
        <v>0</v>
      </c>
      <c r="AK205" s="586">
        <f t="shared" si="90"/>
        <v>0</v>
      </c>
      <c r="AL205" s="588">
        <f t="shared" si="90"/>
        <v>0</v>
      </c>
      <c r="AM205" s="585">
        <f t="shared" si="90"/>
        <v>0</v>
      </c>
      <c r="AN205" s="209"/>
      <c r="AO205" s="209"/>
    </row>
    <row r="206" spans="1:41" s="527" customFormat="1">
      <c r="A206" s="436" t="s">
        <v>86</v>
      </c>
      <c r="B206" s="436" t="s">
        <v>59</v>
      </c>
      <c r="C206" s="456">
        <f>SUM(C201:C205)</f>
        <v>0</v>
      </c>
      <c r="D206" s="456">
        <f t="shared" ref="D206:T206" si="96">SUM(D201:D205)</f>
        <v>0</v>
      </c>
      <c r="E206" s="456">
        <f t="shared" si="96"/>
        <v>0</v>
      </c>
      <c r="F206" s="456">
        <f t="shared" si="96"/>
        <v>0</v>
      </c>
      <c r="G206" s="456">
        <f t="shared" si="96"/>
        <v>0</v>
      </c>
      <c r="H206" s="456">
        <f t="shared" si="96"/>
        <v>0</v>
      </c>
      <c r="I206" s="456">
        <f t="shared" si="96"/>
        <v>0</v>
      </c>
      <c r="J206" s="576">
        <f t="shared" si="96"/>
        <v>0</v>
      </c>
      <c r="K206" s="577">
        <f t="shared" si="96"/>
        <v>0</v>
      </c>
      <c r="L206" s="578">
        <f t="shared" si="96"/>
        <v>0</v>
      </c>
      <c r="M206" s="578">
        <f t="shared" si="96"/>
        <v>0</v>
      </c>
      <c r="N206" s="578">
        <f t="shared" si="96"/>
        <v>0</v>
      </c>
      <c r="O206" s="579">
        <f t="shared" si="96"/>
        <v>0</v>
      </c>
      <c r="P206" s="577">
        <f t="shared" si="96"/>
        <v>0</v>
      </c>
      <c r="Q206" s="578">
        <f t="shared" si="96"/>
        <v>0</v>
      </c>
      <c r="R206" s="578">
        <f t="shared" si="96"/>
        <v>0</v>
      </c>
      <c r="S206" s="579">
        <f t="shared" si="96"/>
        <v>0</v>
      </c>
      <c r="T206" s="577">
        <f t="shared" si="96"/>
        <v>0</v>
      </c>
      <c r="U206" s="264"/>
      <c r="V206" s="598">
        <f t="shared" si="89"/>
        <v>0</v>
      </c>
      <c r="W206" s="599">
        <f t="shared" si="90"/>
        <v>0</v>
      </c>
      <c r="X206" s="599">
        <f t="shared" si="90"/>
        <v>0</v>
      </c>
      <c r="Y206" s="599">
        <f t="shared" si="90"/>
        <v>0</v>
      </c>
      <c r="Z206" s="599">
        <f t="shared" si="90"/>
        <v>0</v>
      </c>
      <c r="AA206" s="599">
        <f t="shared" si="90"/>
        <v>0</v>
      </c>
      <c r="AB206" s="599">
        <f t="shared" si="90"/>
        <v>0</v>
      </c>
      <c r="AC206" s="600">
        <f t="shared" si="90"/>
        <v>0</v>
      </c>
      <c r="AD206" s="598">
        <f t="shared" si="90"/>
        <v>0</v>
      </c>
      <c r="AE206" s="599">
        <f t="shared" si="90"/>
        <v>0</v>
      </c>
      <c r="AF206" s="599">
        <f t="shared" si="90"/>
        <v>0</v>
      </c>
      <c r="AG206" s="599">
        <f t="shared" si="90"/>
        <v>0</v>
      </c>
      <c r="AH206" s="601">
        <f t="shared" si="90"/>
        <v>0</v>
      </c>
      <c r="AI206" s="601">
        <f t="shared" si="90"/>
        <v>0</v>
      </c>
      <c r="AJ206" s="598">
        <f t="shared" si="90"/>
        <v>0</v>
      </c>
      <c r="AK206" s="599">
        <f t="shared" si="90"/>
        <v>0</v>
      </c>
      <c r="AL206" s="601">
        <f t="shared" si="90"/>
        <v>0</v>
      </c>
      <c r="AM206" s="598">
        <f t="shared" si="90"/>
        <v>0</v>
      </c>
      <c r="AN206" s="270"/>
      <c r="AO206" s="270"/>
    </row>
    <row r="207" spans="1:41" s="500" customFormat="1">
      <c r="A207" s="240" t="s">
        <v>144</v>
      </c>
      <c r="B207" s="240" t="s">
        <v>53</v>
      </c>
      <c r="C207" s="568">
        <f>IF(V207&gt;0,(V207/V212),0)</f>
        <v>0</v>
      </c>
      <c r="D207" s="568">
        <f t="shared" ref="D207:T207" si="97">IF(W207&gt;0,(W207/W212),0)</f>
        <v>0</v>
      </c>
      <c r="E207" s="568">
        <f t="shared" si="97"/>
        <v>0</v>
      </c>
      <c r="F207" s="568">
        <f t="shared" si="97"/>
        <v>0</v>
      </c>
      <c r="G207" s="568">
        <f t="shared" si="97"/>
        <v>0</v>
      </c>
      <c r="H207" s="568">
        <f t="shared" si="97"/>
        <v>0</v>
      </c>
      <c r="I207" s="568">
        <f t="shared" si="97"/>
        <v>0</v>
      </c>
      <c r="J207" s="569">
        <f t="shared" si="97"/>
        <v>0</v>
      </c>
      <c r="K207" s="570">
        <f t="shared" si="97"/>
        <v>0</v>
      </c>
      <c r="L207" s="568">
        <f t="shared" si="97"/>
        <v>0</v>
      </c>
      <c r="M207" s="568">
        <f t="shared" si="97"/>
        <v>0</v>
      </c>
      <c r="N207" s="568">
        <f t="shared" si="97"/>
        <v>0</v>
      </c>
      <c r="O207" s="571">
        <f t="shared" si="97"/>
        <v>0</v>
      </c>
      <c r="P207" s="570">
        <f t="shared" si="97"/>
        <v>0</v>
      </c>
      <c r="Q207" s="568">
        <f t="shared" si="97"/>
        <v>0</v>
      </c>
      <c r="R207" s="568">
        <f t="shared" si="97"/>
        <v>0</v>
      </c>
      <c r="S207" s="571">
        <f t="shared" si="97"/>
        <v>0</v>
      </c>
      <c r="T207" s="570">
        <f t="shared" si="97"/>
        <v>0</v>
      </c>
      <c r="U207" s="253"/>
      <c r="V207" s="245"/>
      <c r="W207" s="246"/>
      <c r="X207" s="246"/>
      <c r="Y207" s="246"/>
      <c r="Z207" s="246"/>
      <c r="AA207" s="246"/>
      <c r="AB207" s="242"/>
      <c r="AC207" s="247"/>
      <c r="AD207" s="245"/>
      <c r="AE207" s="246"/>
      <c r="AF207" s="246"/>
      <c r="AG207" s="246"/>
      <c r="AH207" s="246"/>
      <c r="AI207" s="248"/>
      <c r="AJ207" s="245"/>
      <c r="AK207" s="246"/>
      <c r="AL207" s="248"/>
      <c r="AM207" s="245"/>
      <c r="AN207" s="563"/>
      <c r="AO207" s="209"/>
    </row>
    <row r="208" spans="1:41" s="500" customFormat="1">
      <c r="A208" s="239"/>
      <c r="B208" s="239" t="s">
        <v>93</v>
      </c>
      <c r="C208" s="572">
        <f>IF(V208&gt;0,(V208/V212),0)</f>
        <v>0</v>
      </c>
      <c r="D208" s="572">
        <f t="shared" ref="D208:T208" si="98">IF(W208&gt;0,(W208/W212),0)</f>
        <v>0</v>
      </c>
      <c r="E208" s="572">
        <f t="shared" si="98"/>
        <v>0</v>
      </c>
      <c r="F208" s="572">
        <f t="shared" si="98"/>
        <v>0</v>
      </c>
      <c r="G208" s="572">
        <f t="shared" si="98"/>
        <v>0</v>
      </c>
      <c r="H208" s="572">
        <f t="shared" si="98"/>
        <v>0</v>
      </c>
      <c r="I208" s="572">
        <f t="shared" si="98"/>
        <v>0</v>
      </c>
      <c r="J208" s="573">
        <f t="shared" si="98"/>
        <v>0</v>
      </c>
      <c r="K208" s="574">
        <f t="shared" si="98"/>
        <v>0</v>
      </c>
      <c r="L208" s="572">
        <f t="shared" si="98"/>
        <v>0</v>
      </c>
      <c r="M208" s="572">
        <f t="shared" si="98"/>
        <v>0</v>
      </c>
      <c r="N208" s="572">
        <f t="shared" si="98"/>
        <v>0</v>
      </c>
      <c r="O208" s="575">
        <f t="shared" si="98"/>
        <v>0</v>
      </c>
      <c r="P208" s="574">
        <f t="shared" si="98"/>
        <v>0</v>
      </c>
      <c r="Q208" s="572">
        <f t="shared" si="98"/>
        <v>0</v>
      </c>
      <c r="R208" s="572">
        <f t="shared" si="98"/>
        <v>0</v>
      </c>
      <c r="S208" s="575">
        <f t="shared" si="98"/>
        <v>0</v>
      </c>
      <c r="T208" s="574">
        <f t="shared" si="98"/>
        <v>0</v>
      </c>
      <c r="U208" s="253"/>
      <c r="V208" s="254"/>
      <c r="W208" s="255"/>
      <c r="X208" s="255"/>
      <c r="Y208" s="255"/>
      <c r="Z208" s="255"/>
      <c r="AA208" s="255"/>
      <c r="AB208" s="251"/>
      <c r="AC208" s="256"/>
      <c r="AD208" s="254"/>
      <c r="AE208" s="255"/>
      <c r="AF208" s="255"/>
      <c r="AG208" s="255"/>
      <c r="AH208" s="255"/>
      <c r="AI208" s="257"/>
      <c r="AJ208" s="254"/>
      <c r="AK208" s="255"/>
      <c r="AL208" s="257"/>
      <c r="AM208" s="254"/>
      <c r="AN208" s="563"/>
      <c r="AO208" s="209"/>
    </row>
    <row r="209" spans="1:41" s="500" customFormat="1">
      <c r="A209" s="239"/>
      <c r="B209" s="239" t="s">
        <v>55</v>
      </c>
      <c r="C209" s="572">
        <f>IF(V209&gt;0,(V209/V212),0)</f>
        <v>0</v>
      </c>
      <c r="D209" s="572">
        <f t="shared" ref="D209:T209" si="99">IF(W209&gt;0,(W209/W212),0)</f>
        <v>0</v>
      </c>
      <c r="E209" s="572">
        <f t="shared" si="99"/>
        <v>0</v>
      </c>
      <c r="F209" s="572">
        <f t="shared" si="99"/>
        <v>0</v>
      </c>
      <c r="G209" s="572">
        <f t="shared" si="99"/>
        <v>0</v>
      </c>
      <c r="H209" s="572">
        <f t="shared" si="99"/>
        <v>0</v>
      </c>
      <c r="I209" s="572">
        <f t="shared" si="99"/>
        <v>0</v>
      </c>
      <c r="J209" s="573">
        <f t="shared" si="99"/>
        <v>0</v>
      </c>
      <c r="K209" s="574">
        <f t="shared" si="99"/>
        <v>0</v>
      </c>
      <c r="L209" s="572">
        <f t="shared" si="99"/>
        <v>0</v>
      </c>
      <c r="M209" s="572">
        <f t="shared" si="99"/>
        <v>0</v>
      </c>
      <c r="N209" s="572">
        <f t="shared" si="99"/>
        <v>0</v>
      </c>
      <c r="O209" s="575">
        <f t="shared" si="99"/>
        <v>0</v>
      </c>
      <c r="P209" s="574">
        <f t="shared" si="99"/>
        <v>0</v>
      </c>
      <c r="Q209" s="572">
        <f t="shared" si="99"/>
        <v>0</v>
      </c>
      <c r="R209" s="572">
        <f t="shared" si="99"/>
        <v>0</v>
      </c>
      <c r="S209" s="575">
        <f t="shared" si="99"/>
        <v>0</v>
      </c>
      <c r="T209" s="574">
        <f t="shared" si="99"/>
        <v>0</v>
      </c>
      <c r="U209" s="253"/>
      <c r="V209" s="254"/>
      <c r="W209" s="255"/>
      <c r="X209" s="255"/>
      <c r="Y209" s="255"/>
      <c r="Z209" s="255"/>
      <c r="AA209" s="255"/>
      <c r="AB209" s="251"/>
      <c r="AC209" s="256"/>
      <c r="AD209" s="254"/>
      <c r="AE209" s="255"/>
      <c r="AF209" s="255"/>
      <c r="AG209" s="255"/>
      <c r="AH209" s="255"/>
      <c r="AI209" s="257"/>
      <c r="AJ209" s="254"/>
      <c r="AK209" s="255"/>
      <c r="AL209" s="257"/>
      <c r="AM209" s="254"/>
      <c r="AN209" s="563"/>
      <c r="AO209" s="209"/>
    </row>
    <row r="210" spans="1:41" s="500" customFormat="1">
      <c r="A210" s="239"/>
      <c r="B210" s="239" t="s">
        <v>78</v>
      </c>
      <c r="C210" s="572">
        <f>IF(V210&gt;0,(V210/V212),0)</f>
        <v>0</v>
      </c>
      <c r="D210" s="572">
        <f t="shared" ref="D210:T210" si="100">IF(W210&gt;0,(W210/W212),0)</f>
        <v>0</v>
      </c>
      <c r="E210" s="572">
        <f t="shared" si="100"/>
        <v>0</v>
      </c>
      <c r="F210" s="572">
        <f t="shared" si="100"/>
        <v>0</v>
      </c>
      <c r="G210" s="572">
        <f t="shared" si="100"/>
        <v>0</v>
      </c>
      <c r="H210" s="572">
        <f t="shared" si="100"/>
        <v>0</v>
      </c>
      <c r="I210" s="572">
        <f t="shared" si="100"/>
        <v>0</v>
      </c>
      <c r="J210" s="573">
        <f t="shared" si="100"/>
        <v>0</v>
      </c>
      <c r="K210" s="574">
        <f t="shared" si="100"/>
        <v>0</v>
      </c>
      <c r="L210" s="572">
        <f t="shared" si="100"/>
        <v>0</v>
      </c>
      <c r="M210" s="572">
        <f t="shared" si="100"/>
        <v>0</v>
      </c>
      <c r="N210" s="572">
        <f t="shared" si="100"/>
        <v>0</v>
      </c>
      <c r="O210" s="575">
        <f t="shared" si="100"/>
        <v>0</v>
      </c>
      <c r="P210" s="574">
        <f t="shared" si="100"/>
        <v>0</v>
      </c>
      <c r="Q210" s="572">
        <f t="shared" si="100"/>
        <v>0</v>
      </c>
      <c r="R210" s="572">
        <f t="shared" si="100"/>
        <v>0</v>
      </c>
      <c r="S210" s="575">
        <f t="shared" si="100"/>
        <v>0</v>
      </c>
      <c r="T210" s="574">
        <f t="shared" si="100"/>
        <v>0</v>
      </c>
      <c r="U210" s="253"/>
      <c r="V210" s="254"/>
      <c r="W210" s="255"/>
      <c r="X210" s="255"/>
      <c r="Y210" s="255"/>
      <c r="Z210" s="255"/>
      <c r="AA210" s="255"/>
      <c r="AB210" s="251"/>
      <c r="AC210" s="256"/>
      <c r="AD210" s="254"/>
      <c r="AE210" s="255"/>
      <c r="AF210" s="255"/>
      <c r="AG210" s="255"/>
      <c r="AH210" s="255"/>
      <c r="AI210" s="257"/>
      <c r="AJ210" s="254"/>
      <c r="AK210" s="255"/>
      <c r="AL210" s="257"/>
      <c r="AM210" s="254"/>
      <c r="AN210" s="563"/>
      <c r="AO210" s="209"/>
    </row>
    <row r="211" spans="1:41" s="500" customFormat="1">
      <c r="A211" s="580"/>
      <c r="B211" s="580" t="s">
        <v>131</v>
      </c>
      <c r="C211" s="581">
        <f>IF(V211&gt;0,(V211/V212),0)</f>
        <v>0</v>
      </c>
      <c r="D211" s="582">
        <f t="shared" ref="D211:T211" si="101">IF(W211&gt;0,(W211/W212),0)</f>
        <v>0</v>
      </c>
      <c r="E211" s="582">
        <f t="shared" si="101"/>
        <v>0</v>
      </c>
      <c r="F211" s="582">
        <f t="shared" si="101"/>
        <v>0</v>
      </c>
      <c r="G211" s="582">
        <f t="shared" si="101"/>
        <v>0</v>
      </c>
      <c r="H211" s="582">
        <f t="shared" si="101"/>
        <v>0</v>
      </c>
      <c r="I211" s="583">
        <f t="shared" si="101"/>
        <v>0</v>
      </c>
      <c r="J211" s="584">
        <f t="shared" si="101"/>
        <v>0</v>
      </c>
      <c r="K211" s="581">
        <f t="shared" si="101"/>
        <v>0</v>
      </c>
      <c r="L211" s="582">
        <f t="shared" si="101"/>
        <v>0</v>
      </c>
      <c r="M211" s="582">
        <f t="shared" si="101"/>
        <v>0</v>
      </c>
      <c r="N211" s="582">
        <f t="shared" si="101"/>
        <v>0</v>
      </c>
      <c r="O211" s="583">
        <f t="shared" si="101"/>
        <v>0</v>
      </c>
      <c r="P211" s="581">
        <f t="shared" si="101"/>
        <v>0</v>
      </c>
      <c r="Q211" s="581">
        <f t="shared" si="101"/>
        <v>0</v>
      </c>
      <c r="R211" s="582">
        <f t="shared" si="101"/>
        <v>0</v>
      </c>
      <c r="S211" s="583">
        <f t="shared" si="101"/>
        <v>0</v>
      </c>
      <c r="T211" s="581">
        <f t="shared" si="101"/>
        <v>0</v>
      </c>
      <c r="U211" s="253"/>
      <c r="V211" s="254"/>
      <c r="W211" s="255"/>
      <c r="X211" s="255"/>
      <c r="Y211" s="255"/>
      <c r="Z211" s="255"/>
      <c r="AA211" s="255"/>
      <c r="AB211" s="582"/>
      <c r="AC211" s="256"/>
      <c r="AD211" s="254"/>
      <c r="AE211" s="255"/>
      <c r="AF211" s="255"/>
      <c r="AG211" s="255"/>
      <c r="AH211" s="255"/>
      <c r="AI211" s="257"/>
      <c r="AJ211" s="254"/>
      <c r="AK211" s="255"/>
      <c r="AL211" s="257"/>
      <c r="AM211" s="254"/>
      <c r="AN211" s="209"/>
      <c r="AO211" s="209"/>
    </row>
    <row r="212" spans="1:41" s="527" customFormat="1">
      <c r="A212" s="436"/>
      <c r="B212" s="436" t="s">
        <v>59</v>
      </c>
      <c r="C212" s="456">
        <f>SUM(C207:C211)</f>
        <v>0</v>
      </c>
      <c r="D212" s="456">
        <f t="shared" ref="D212:T212" si="102">SUM(D207:D211)</f>
        <v>0</v>
      </c>
      <c r="E212" s="456">
        <f t="shared" si="102"/>
        <v>0</v>
      </c>
      <c r="F212" s="456">
        <f t="shared" si="102"/>
        <v>0</v>
      </c>
      <c r="G212" s="456">
        <f t="shared" si="102"/>
        <v>0</v>
      </c>
      <c r="H212" s="456">
        <f t="shared" si="102"/>
        <v>0</v>
      </c>
      <c r="I212" s="456">
        <f t="shared" si="102"/>
        <v>0</v>
      </c>
      <c r="J212" s="576">
        <f t="shared" si="102"/>
        <v>0</v>
      </c>
      <c r="K212" s="577">
        <f t="shared" si="102"/>
        <v>0</v>
      </c>
      <c r="L212" s="578">
        <f t="shared" si="102"/>
        <v>0</v>
      </c>
      <c r="M212" s="578">
        <f t="shared" si="102"/>
        <v>0</v>
      </c>
      <c r="N212" s="578">
        <f t="shared" si="102"/>
        <v>0</v>
      </c>
      <c r="O212" s="579">
        <f t="shared" si="102"/>
        <v>0</v>
      </c>
      <c r="P212" s="577">
        <f t="shared" si="102"/>
        <v>0</v>
      </c>
      <c r="Q212" s="578">
        <f t="shared" si="102"/>
        <v>0</v>
      </c>
      <c r="R212" s="578">
        <f t="shared" si="102"/>
        <v>0</v>
      </c>
      <c r="S212" s="579">
        <f t="shared" si="102"/>
        <v>0</v>
      </c>
      <c r="T212" s="577">
        <f t="shared" si="102"/>
        <v>0</v>
      </c>
      <c r="U212" s="264"/>
      <c r="V212" s="265"/>
      <c r="W212" s="266"/>
      <c r="X212" s="266"/>
      <c r="Y212" s="266"/>
      <c r="Z212" s="266"/>
      <c r="AA212" s="266"/>
      <c r="AB212" s="262"/>
      <c r="AC212" s="267"/>
      <c r="AD212" s="265"/>
      <c r="AE212" s="266"/>
      <c r="AF212" s="266"/>
      <c r="AG212" s="266"/>
      <c r="AH212" s="266"/>
      <c r="AI212" s="268"/>
      <c r="AJ212" s="265"/>
      <c r="AK212" s="266"/>
      <c r="AL212" s="268"/>
      <c r="AM212" s="265"/>
      <c r="AN212" s="270"/>
      <c r="AO212" s="270"/>
    </row>
    <row r="213" spans="1:41" s="500" customFormat="1">
      <c r="A213" s="240" t="s">
        <v>145</v>
      </c>
      <c r="B213" s="240" t="s">
        <v>53</v>
      </c>
      <c r="C213" s="568">
        <f>IF(V213&gt;0,(V213/V218),0)</f>
        <v>0</v>
      </c>
      <c r="D213" s="568">
        <f t="shared" ref="D213:T213" si="103">IF(W213&gt;0,(W213/W218),0)</f>
        <v>0</v>
      </c>
      <c r="E213" s="568">
        <f t="shared" si="103"/>
        <v>0</v>
      </c>
      <c r="F213" s="568">
        <f t="shared" si="103"/>
        <v>0</v>
      </c>
      <c r="G213" s="568">
        <f t="shared" si="103"/>
        <v>0</v>
      </c>
      <c r="H213" s="568">
        <f t="shared" si="103"/>
        <v>0</v>
      </c>
      <c r="I213" s="568">
        <f t="shared" si="103"/>
        <v>0</v>
      </c>
      <c r="J213" s="569">
        <f t="shared" si="103"/>
        <v>0</v>
      </c>
      <c r="K213" s="570">
        <f t="shared" si="103"/>
        <v>0</v>
      </c>
      <c r="L213" s="568">
        <f t="shared" si="103"/>
        <v>0</v>
      </c>
      <c r="M213" s="568">
        <f t="shared" si="103"/>
        <v>0</v>
      </c>
      <c r="N213" s="568">
        <f t="shared" si="103"/>
        <v>0</v>
      </c>
      <c r="O213" s="571">
        <f t="shared" si="103"/>
        <v>0</v>
      </c>
      <c r="P213" s="570">
        <f t="shared" si="103"/>
        <v>0</v>
      </c>
      <c r="Q213" s="568">
        <f t="shared" si="103"/>
        <v>0</v>
      </c>
      <c r="R213" s="568">
        <f t="shared" si="103"/>
        <v>0</v>
      </c>
      <c r="S213" s="571">
        <f t="shared" si="103"/>
        <v>0</v>
      </c>
      <c r="T213" s="570">
        <f t="shared" si="103"/>
        <v>0</v>
      </c>
      <c r="U213" s="253"/>
      <c r="V213" s="245"/>
      <c r="W213" s="246"/>
      <c r="X213" s="246"/>
      <c r="Y213" s="246"/>
      <c r="Z213" s="246"/>
      <c r="AA213" s="246"/>
      <c r="AB213" s="242"/>
      <c r="AC213" s="247"/>
      <c r="AD213" s="245"/>
      <c r="AE213" s="246"/>
      <c r="AF213" s="246"/>
      <c r="AG213" s="246"/>
      <c r="AH213" s="246"/>
      <c r="AI213" s="248"/>
      <c r="AJ213" s="245"/>
      <c r="AK213" s="246"/>
      <c r="AL213" s="248"/>
      <c r="AM213" s="245"/>
      <c r="AN213" s="563"/>
      <c r="AO213" s="209"/>
    </row>
    <row r="214" spans="1:41" s="500" customFormat="1">
      <c r="A214" s="239"/>
      <c r="B214" s="239" t="s">
        <v>93</v>
      </c>
      <c r="C214" s="572">
        <f>IF(V214&gt;0,(V214/V218),0)</f>
        <v>0</v>
      </c>
      <c r="D214" s="572">
        <f t="shared" ref="D214:T214" si="104">IF(W214&gt;0,(W214/W218),0)</f>
        <v>0</v>
      </c>
      <c r="E214" s="572">
        <f t="shared" si="104"/>
        <v>0</v>
      </c>
      <c r="F214" s="572">
        <f t="shared" si="104"/>
        <v>0</v>
      </c>
      <c r="G214" s="572">
        <f t="shared" si="104"/>
        <v>0</v>
      </c>
      <c r="H214" s="572">
        <f t="shared" si="104"/>
        <v>0</v>
      </c>
      <c r="I214" s="572">
        <f t="shared" si="104"/>
        <v>0</v>
      </c>
      <c r="J214" s="573">
        <f t="shared" si="104"/>
        <v>0</v>
      </c>
      <c r="K214" s="574">
        <f t="shared" si="104"/>
        <v>0</v>
      </c>
      <c r="L214" s="572">
        <f t="shared" si="104"/>
        <v>0</v>
      </c>
      <c r="M214" s="572">
        <f t="shared" si="104"/>
        <v>0</v>
      </c>
      <c r="N214" s="572">
        <f t="shared" si="104"/>
        <v>0</v>
      </c>
      <c r="O214" s="575">
        <f t="shared" si="104"/>
        <v>0</v>
      </c>
      <c r="P214" s="574">
        <f t="shared" si="104"/>
        <v>0</v>
      </c>
      <c r="Q214" s="572">
        <f t="shared" si="104"/>
        <v>0</v>
      </c>
      <c r="R214" s="572">
        <f t="shared" si="104"/>
        <v>0</v>
      </c>
      <c r="S214" s="575">
        <f t="shared" si="104"/>
        <v>0</v>
      </c>
      <c r="T214" s="574">
        <f t="shared" si="104"/>
        <v>0</v>
      </c>
      <c r="U214" s="253"/>
      <c r="V214" s="254"/>
      <c r="W214" s="255"/>
      <c r="X214" s="255"/>
      <c r="Y214" s="255"/>
      <c r="Z214" s="255"/>
      <c r="AA214" s="255"/>
      <c r="AB214" s="251"/>
      <c r="AC214" s="256"/>
      <c r="AD214" s="254"/>
      <c r="AE214" s="255"/>
      <c r="AF214" s="255"/>
      <c r="AG214" s="255"/>
      <c r="AH214" s="255"/>
      <c r="AI214" s="257"/>
      <c r="AJ214" s="254"/>
      <c r="AK214" s="255"/>
      <c r="AL214" s="257"/>
      <c r="AM214" s="254"/>
      <c r="AN214" s="563"/>
      <c r="AO214" s="209"/>
    </row>
    <row r="215" spans="1:41" s="500" customFormat="1">
      <c r="A215" s="239"/>
      <c r="B215" s="239" t="s">
        <v>55</v>
      </c>
      <c r="C215" s="572">
        <f>IF(V215&gt;0,(V215/V218),0)</f>
        <v>0</v>
      </c>
      <c r="D215" s="572">
        <f t="shared" ref="D215:T215" si="105">IF(W215&gt;0,(W215/W218),0)</f>
        <v>0</v>
      </c>
      <c r="E215" s="572">
        <f t="shared" si="105"/>
        <v>0</v>
      </c>
      <c r="F215" s="572">
        <f t="shared" si="105"/>
        <v>0</v>
      </c>
      <c r="G215" s="572">
        <f t="shared" si="105"/>
        <v>0</v>
      </c>
      <c r="H215" s="572">
        <f t="shared" si="105"/>
        <v>0</v>
      </c>
      <c r="I215" s="572">
        <f t="shared" si="105"/>
        <v>0</v>
      </c>
      <c r="J215" s="573">
        <f t="shared" si="105"/>
        <v>0</v>
      </c>
      <c r="K215" s="574">
        <f t="shared" si="105"/>
        <v>0</v>
      </c>
      <c r="L215" s="572">
        <f t="shared" si="105"/>
        <v>0</v>
      </c>
      <c r="M215" s="572">
        <f t="shared" si="105"/>
        <v>0</v>
      </c>
      <c r="N215" s="572">
        <f t="shared" si="105"/>
        <v>0</v>
      </c>
      <c r="O215" s="575">
        <f t="shared" si="105"/>
        <v>0</v>
      </c>
      <c r="P215" s="574">
        <f t="shared" si="105"/>
        <v>0</v>
      </c>
      <c r="Q215" s="572">
        <f t="shared" si="105"/>
        <v>0</v>
      </c>
      <c r="R215" s="572">
        <f t="shared" si="105"/>
        <v>0</v>
      </c>
      <c r="S215" s="575">
        <f t="shared" si="105"/>
        <v>0</v>
      </c>
      <c r="T215" s="574">
        <f t="shared" si="105"/>
        <v>0</v>
      </c>
      <c r="U215" s="253"/>
      <c r="V215" s="254"/>
      <c r="W215" s="255"/>
      <c r="X215" s="255"/>
      <c r="Y215" s="255"/>
      <c r="Z215" s="255"/>
      <c r="AA215" s="255"/>
      <c r="AB215" s="251"/>
      <c r="AC215" s="256"/>
      <c r="AD215" s="254"/>
      <c r="AE215" s="255"/>
      <c r="AF215" s="255"/>
      <c r="AG215" s="255"/>
      <c r="AH215" s="255"/>
      <c r="AI215" s="257"/>
      <c r="AJ215" s="254"/>
      <c r="AK215" s="255"/>
      <c r="AL215" s="257"/>
      <c r="AM215" s="254"/>
      <c r="AN215" s="563"/>
      <c r="AO215" s="209"/>
    </row>
    <row r="216" spans="1:41" s="500" customFormat="1">
      <c r="A216" s="239"/>
      <c r="B216" s="239" t="s">
        <v>78</v>
      </c>
      <c r="C216" s="572">
        <f>IF(V216&gt;0,(V216/V218),0)</f>
        <v>0</v>
      </c>
      <c r="D216" s="572">
        <f t="shared" ref="D216:T216" si="106">IF(W216&gt;0,(W216/W218),0)</f>
        <v>0</v>
      </c>
      <c r="E216" s="572">
        <f t="shared" si="106"/>
        <v>0</v>
      </c>
      <c r="F216" s="572">
        <f t="shared" si="106"/>
        <v>0</v>
      </c>
      <c r="G216" s="572">
        <f t="shared" si="106"/>
        <v>0</v>
      </c>
      <c r="H216" s="572">
        <f t="shared" si="106"/>
        <v>0</v>
      </c>
      <c r="I216" s="572">
        <f t="shared" si="106"/>
        <v>0</v>
      </c>
      <c r="J216" s="573">
        <f t="shared" si="106"/>
        <v>0</v>
      </c>
      <c r="K216" s="574">
        <f t="shared" si="106"/>
        <v>0</v>
      </c>
      <c r="L216" s="572">
        <f t="shared" si="106"/>
        <v>0</v>
      </c>
      <c r="M216" s="572">
        <f t="shared" si="106"/>
        <v>0</v>
      </c>
      <c r="N216" s="572">
        <f t="shared" si="106"/>
        <v>0</v>
      </c>
      <c r="O216" s="575">
        <f t="shared" si="106"/>
        <v>0</v>
      </c>
      <c r="P216" s="574">
        <f t="shared" si="106"/>
        <v>0</v>
      </c>
      <c r="Q216" s="572">
        <f t="shared" si="106"/>
        <v>0</v>
      </c>
      <c r="R216" s="572">
        <f t="shared" si="106"/>
        <v>0</v>
      </c>
      <c r="S216" s="575">
        <f t="shared" si="106"/>
        <v>0</v>
      </c>
      <c r="T216" s="574">
        <f t="shared" si="106"/>
        <v>0</v>
      </c>
      <c r="U216" s="253"/>
      <c r="V216" s="254"/>
      <c r="W216" s="255"/>
      <c r="X216" s="255"/>
      <c r="Y216" s="255"/>
      <c r="Z216" s="255"/>
      <c r="AA216" s="255"/>
      <c r="AB216" s="251"/>
      <c r="AC216" s="256"/>
      <c r="AD216" s="254"/>
      <c r="AE216" s="255"/>
      <c r="AF216" s="255"/>
      <c r="AG216" s="255"/>
      <c r="AH216" s="255"/>
      <c r="AI216" s="257"/>
      <c r="AJ216" s="254"/>
      <c r="AK216" s="255"/>
      <c r="AL216" s="257"/>
      <c r="AM216" s="254"/>
      <c r="AN216" s="563"/>
      <c r="AO216" s="209"/>
    </row>
    <row r="217" spans="1:41" s="500" customFormat="1">
      <c r="A217" s="580"/>
      <c r="B217" s="580" t="s">
        <v>131</v>
      </c>
      <c r="C217" s="581">
        <f>IF(V217&gt;0,(V217/V218),0)</f>
        <v>0</v>
      </c>
      <c r="D217" s="582">
        <f t="shared" ref="D217:T217" si="107">IF(W217&gt;0,(W217/W218),0)</f>
        <v>0</v>
      </c>
      <c r="E217" s="582">
        <f t="shared" si="107"/>
        <v>0</v>
      </c>
      <c r="F217" s="582">
        <f t="shared" si="107"/>
        <v>0</v>
      </c>
      <c r="G217" s="582">
        <f t="shared" si="107"/>
        <v>0</v>
      </c>
      <c r="H217" s="582">
        <f t="shared" si="107"/>
        <v>0</v>
      </c>
      <c r="I217" s="583">
        <f t="shared" si="107"/>
        <v>0</v>
      </c>
      <c r="J217" s="584">
        <f t="shared" si="107"/>
        <v>0</v>
      </c>
      <c r="K217" s="581">
        <f t="shared" si="107"/>
        <v>0</v>
      </c>
      <c r="L217" s="582">
        <f t="shared" si="107"/>
        <v>0</v>
      </c>
      <c r="M217" s="582">
        <f t="shared" si="107"/>
        <v>0</v>
      </c>
      <c r="N217" s="582">
        <f t="shared" si="107"/>
        <v>0</v>
      </c>
      <c r="O217" s="583">
        <f t="shared" si="107"/>
        <v>0</v>
      </c>
      <c r="P217" s="581">
        <f t="shared" si="107"/>
        <v>0</v>
      </c>
      <c r="Q217" s="581">
        <f t="shared" si="107"/>
        <v>0</v>
      </c>
      <c r="R217" s="582">
        <f t="shared" si="107"/>
        <v>0</v>
      </c>
      <c r="S217" s="583">
        <f t="shared" si="107"/>
        <v>0</v>
      </c>
      <c r="T217" s="581">
        <f t="shared" si="107"/>
        <v>0</v>
      </c>
      <c r="U217" s="253"/>
      <c r="V217" s="254"/>
      <c r="W217" s="255"/>
      <c r="X217" s="255"/>
      <c r="Y217" s="255"/>
      <c r="Z217" s="255"/>
      <c r="AA217" s="255"/>
      <c r="AB217" s="582"/>
      <c r="AC217" s="256"/>
      <c r="AD217" s="254"/>
      <c r="AE217" s="255"/>
      <c r="AF217" s="255"/>
      <c r="AG217" s="255"/>
      <c r="AH217" s="255"/>
      <c r="AI217" s="257"/>
      <c r="AJ217" s="254"/>
      <c r="AK217" s="255"/>
      <c r="AL217" s="257"/>
      <c r="AM217" s="254"/>
      <c r="AN217" s="209"/>
      <c r="AO217" s="209"/>
    </row>
    <row r="218" spans="1:41" s="527" customFormat="1">
      <c r="A218" s="436"/>
      <c r="B218" s="436" t="s">
        <v>59</v>
      </c>
      <c r="C218" s="456">
        <f>SUM(C213:C217)</f>
        <v>0</v>
      </c>
      <c r="D218" s="456">
        <f t="shared" ref="D218:T218" si="108">SUM(D213:D217)</f>
        <v>0</v>
      </c>
      <c r="E218" s="456">
        <f t="shared" si="108"/>
        <v>0</v>
      </c>
      <c r="F218" s="456">
        <f t="shared" si="108"/>
        <v>0</v>
      </c>
      <c r="G218" s="456">
        <f t="shared" si="108"/>
        <v>0</v>
      </c>
      <c r="H218" s="456">
        <f t="shared" si="108"/>
        <v>0</v>
      </c>
      <c r="I218" s="456">
        <f t="shared" si="108"/>
        <v>0</v>
      </c>
      <c r="J218" s="576">
        <f t="shared" si="108"/>
        <v>0</v>
      </c>
      <c r="K218" s="577">
        <f t="shared" si="108"/>
        <v>0</v>
      </c>
      <c r="L218" s="578">
        <f t="shared" si="108"/>
        <v>0</v>
      </c>
      <c r="M218" s="578">
        <f t="shared" si="108"/>
        <v>0</v>
      </c>
      <c r="N218" s="578">
        <f t="shared" si="108"/>
        <v>0</v>
      </c>
      <c r="O218" s="579">
        <f t="shared" si="108"/>
        <v>0</v>
      </c>
      <c r="P218" s="577">
        <f t="shared" si="108"/>
        <v>0</v>
      </c>
      <c r="Q218" s="578">
        <f t="shared" si="108"/>
        <v>0</v>
      </c>
      <c r="R218" s="578">
        <f t="shared" si="108"/>
        <v>0</v>
      </c>
      <c r="S218" s="579">
        <f t="shared" si="108"/>
        <v>0</v>
      </c>
      <c r="T218" s="577">
        <f t="shared" si="108"/>
        <v>0</v>
      </c>
      <c r="U218" s="264"/>
      <c r="V218" s="265"/>
      <c r="W218" s="266"/>
      <c r="X218" s="266"/>
      <c r="Y218" s="266"/>
      <c r="Z218" s="266"/>
      <c r="AA218" s="266"/>
      <c r="AB218" s="262"/>
      <c r="AC218" s="267"/>
      <c r="AD218" s="265"/>
      <c r="AE218" s="266"/>
      <c r="AF218" s="266"/>
      <c r="AG218" s="266"/>
      <c r="AH218" s="266"/>
      <c r="AI218" s="268"/>
      <c r="AJ218" s="265"/>
      <c r="AK218" s="266"/>
      <c r="AL218" s="268"/>
      <c r="AM218" s="265"/>
      <c r="AN218" s="270"/>
      <c r="AO218" s="270"/>
    </row>
    <row r="219" spans="1:41" s="500" customFormat="1" ht="18" customHeight="1">
      <c r="A219" s="240" t="s">
        <v>142</v>
      </c>
      <c r="B219" s="240" t="s">
        <v>53</v>
      </c>
      <c r="C219" s="568">
        <f>IF(V219&gt;0,(V219/V224),0)</f>
        <v>0</v>
      </c>
      <c r="D219" s="568">
        <f t="shared" ref="D219:T219" si="109">IF(W219&gt;0,(W219/W224),0)</f>
        <v>0</v>
      </c>
      <c r="E219" s="568">
        <f t="shared" si="109"/>
        <v>0</v>
      </c>
      <c r="F219" s="568">
        <f t="shared" si="109"/>
        <v>0</v>
      </c>
      <c r="G219" s="568">
        <f t="shared" si="109"/>
        <v>0</v>
      </c>
      <c r="H219" s="568">
        <f t="shared" si="109"/>
        <v>0</v>
      </c>
      <c r="I219" s="568">
        <f t="shared" si="109"/>
        <v>0</v>
      </c>
      <c r="J219" s="569">
        <f t="shared" si="109"/>
        <v>0</v>
      </c>
      <c r="K219" s="570">
        <f t="shared" si="109"/>
        <v>0</v>
      </c>
      <c r="L219" s="568">
        <f t="shared" si="109"/>
        <v>0</v>
      </c>
      <c r="M219" s="568">
        <f t="shared" si="109"/>
        <v>0</v>
      </c>
      <c r="N219" s="568">
        <f t="shared" si="109"/>
        <v>0</v>
      </c>
      <c r="O219" s="571">
        <f t="shared" si="109"/>
        <v>0</v>
      </c>
      <c r="P219" s="570">
        <f t="shared" si="109"/>
        <v>0</v>
      </c>
      <c r="Q219" s="568">
        <f t="shared" si="109"/>
        <v>0</v>
      </c>
      <c r="R219" s="568">
        <f t="shared" si="109"/>
        <v>0</v>
      </c>
      <c r="S219" s="571">
        <f t="shared" si="109"/>
        <v>0</v>
      </c>
      <c r="T219" s="570">
        <f t="shared" si="109"/>
        <v>0</v>
      </c>
      <c r="U219" s="253"/>
      <c r="V219" s="245"/>
      <c r="W219" s="246"/>
      <c r="X219" s="246"/>
      <c r="Y219" s="246"/>
      <c r="Z219" s="246"/>
      <c r="AA219" s="246"/>
      <c r="AB219" s="242"/>
      <c r="AC219" s="247"/>
      <c r="AD219" s="245"/>
      <c r="AE219" s="246"/>
      <c r="AF219" s="246"/>
      <c r="AG219" s="246"/>
      <c r="AH219" s="246"/>
      <c r="AI219" s="248"/>
      <c r="AJ219" s="245"/>
      <c r="AK219" s="246"/>
      <c r="AL219" s="248"/>
      <c r="AM219" s="245"/>
      <c r="AN219" s="563"/>
      <c r="AO219" s="209"/>
    </row>
    <row r="220" spans="1:41" s="500" customFormat="1" ht="18" customHeight="1">
      <c r="A220" s="239"/>
      <c r="B220" s="239" t="s">
        <v>93</v>
      </c>
      <c r="C220" s="572">
        <f>IF(V220&gt;0,(V220/V224),0)</f>
        <v>0</v>
      </c>
      <c r="D220" s="572">
        <f t="shared" ref="D220:T220" si="110">IF(W220&gt;0,(W220/W224),0)</f>
        <v>0</v>
      </c>
      <c r="E220" s="572">
        <f t="shared" si="110"/>
        <v>0</v>
      </c>
      <c r="F220" s="572">
        <f t="shared" si="110"/>
        <v>0</v>
      </c>
      <c r="G220" s="572">
        <f t="shared" si="110"/>
        <v>0</v>
      </c>
      <c r="H220" s="572">
        <f t="shared" si="110"/>
        <v>0</v>
      </c>
      <c r="I220" s="572">
        <f t="shared" si="110"/>
        <v>0</v>
      </c>
      <c r="J220" s="573">
        <f t="shared" si="110"/>
        <v>0</v>
      </c>
      <c r="K220" s="574">
        <f t="shared" si="110"/>
        <v>0</v>
      </c>
      <c r="L220" s="572">
        <f t="shared" si="110"/>
        <v>0</v>
      </c>
      <c r="M220" s="572">
        <f t="shared" si="110"/>
        <v>0</v>
      </c>
      <c r="N220" s="572">
        <f t="shared" si="110"/>
        <v>0</v>
      </c>
      <c r="O220" s="575">
        <f t="shared" si="110"/>
        <v>0</v>
      </c>
      <c r="P220" s="574">
        <f t="shared" si="110"/>
        <v>0</v>
      </c>
      <c r="Q220" s="572">
        <f t="shared" si="110"/>
        <v>0</v>
      </c>
      <c r="R220" s="572">
        <f t="shared" si="110"/>
        <v>0</v>
      </c>
      <c r="S220" s="575">
        <f t="shared" si="110"/>
        <v>0</v>
      </c>
      <c r="T220" s="574">
        <f t="shared" si="110"/>
        <v>0</v>
      </c>
      <c r="U220" s="253"/>
      <c r="V220" s="254"/>
      <c r="W220" s="255"/>
      <c r="X220" s="255"/>
      <c r="Y220" s="255"/>
      <c r="Z220" s="255"/>
      <c r="AA220" s="255"/>
      <c r="AB220" s="251"/>
      <c r="AC220" s="256"/>
      <c r="AD220" s="254"/>
      <c r="AE220" s="255"/>
      <c r="AF220" s="255"/>
      <c r="AG220" s="255"/>
      <c r="AH220" s="255"/>
      <c r="AI220" s="257"/>
      <c r="AJ220" s="254"/>
      <c r="AK220" s="255"/>
      <c r="AL220" s="257"/>
      <c r="AM220" s="254"/>
      <c r="AN220" s="563"/>
      <c r="AO220" s="209"/>
    </row>
    <row r="221" spans="1:41" s="500" customFormat="1" ht="18" customHeight="1">
      <c r="A221" s="239"/>
      <c r="B221" s="239" t="s">
        <v>55</v>
      </c>
      <c r="C221" s="572">
        <f>IF(V221&gt;0,(V221/V224),0)</f>
        <v>0</v>
      </c>
      <c r="D221" s="572">
        <f t="shared" ref="D221:T221" si="111">IF(W221&gt;0,(W221/W224),0)</f>
        <v>0</v>
      </c>
      <c r="E221" s="572">
        <f t="shared" si="111"/>
        <v>0</v>
      </c>
      <c r="F221" s="572">
        <f t="shared" si="111"/>
        <v>0</v>
      </c>
      <c r="G221" s="572">
        <f t="shared" si="111"/>
        <v>0</v>
      </c>
      <c r="H221" s="572">
        <f t="shared" si="111"/>
        <v>0</v>
      </c>
      <c r="I221" s="572">
        <f t="shared" si="111"/>
        <v>0</v>
      </c>
      <c r="J221" s="573">
        <f t="shared" si="111"/>
        <v>0</v>
      </c>
      <c r="K221" s="574">
        <f t="shared" si="111"/>
        <v>0</v>
      </c>
      <c r="L221" s="572">
        <f t="shared" si="111"/>
        <v>0</v>
      </c>
      <c r="M221" s="572">
        <f t="shared" si="111"/>
        <v>0</v>
      </c>
      <c r="N221" s="572">
        <f t="shared" si="111"/>
        <v>0</v>
      </c>
      <c r="O221" s="575">
        <f t="shared" si="111"/>
        <v>0</v>
      </c>
      <c r="P221" s="574">
        <f t="shared" si="111"/>
        <v>0</v>
      </c>
      <c r="Q221" s="572">
        <f t="shared" si="111"/>
        <v>0</v>
      </c>
      <c r="R221" s="572">
        <f t="shared" si="111"/>
        <v>0</v>
      </c>
      <c r="S221" s="575">
        <f t="shared" si="111"/>
        <v>0</v>
      </c>
      <c r="T221" s="574">
        <f t="shared" si="111"/>
        <v>0</v>
      </c>
      <c r="U221" s="253"/>
      <c r="V221" s="254"/>
      <c r="W221" s="255"/>
      <c r="X221" s="255"/>
      <c r="Y221" s="255"/>
      <c r="Z221" s="255"/>
      <c r="AA221" s="255"/>
      <c r="AB221" s="251"/>
      <c r="AC221" s="256"/>
      <c r="AD221" s="254"/>
      <c r="AE221" s="255"/>
      <c r="AF221" s="255"/>
      <c r="AG221" s="255"/>
      <c r="AH221" s="255"/>
      <c r="AI221" s="257"/>
      <c r="AJ221" s="254"/>
      <c r="AK221" s="255"/>
      <c r="AL221" s="257"/>
      <c r="AM221" s="254"/>
      <c r="AN221" s="563"/>
      <c r="AO221" s="209"/>
    </row>
    <row r="222" spans="1:41" s="500" customFormat="1" ht="18" customHeight="1">
      <c r="A222" s="239"/>
      <c r="B222" s="239" t="s">
        <v>78</v>
      </c>
      <c r="C222" s="572">
        <f>IF(V222&gt;0,(V222/V224),0)</f>
        <v>0</v>
      </c>
      <c r="D222" s="572">
        <f t="shared" ref="D222:T222" si="112">IF(W222&gt;0,(W222/W224),0)</f>
        <v>0</v>
      </c>
      <c r="E222" s="572">
        <f t="shared" si="112"/>
        <v>0</v>
      </c>
      <c r="F222" s="572">
        <f t="shared" si="112"/>
        <v>0</v>
      </c>
      <c r="G222" s="572">
        <f t="shared" si="112"/>
        <v>0</v>
      </c>
      <c r="H222" s="572">
        <f t="shared" si="112"/>
        <v>0</v>
      </c>
      <c r="I222" s="572">
        <f t="shared" si="112"/>
        <v>0</v>
      </c>
      <c r="J222" s="573">
        <f t="shared" si="112"/>
        <v>0</v>
      </c>
      <c r="K222" s="574">
        <f t="shared" si="112"/>
        <v>0</v>
      </c>
      <c r="L222" s="572">
        <f t="shared" si="112"/>
        <v>0</v>
      </c>
      <c r="M222" s="572">
        <f t="shared" si="112"/>
        <v>0</v>
      </c>
      <c r="N222" s="572">
        <f t="shared" si="112"/>
        <v>0</v>
      </c>
      <c r="O222" s="575">
        <f t="shared" si="112"/>
        <v>0</v>
      </c>
      <c r="P222" s="574">
        <f t="shared" si="112"/>
        <v>0</v>
      </c>
      <c r="Q222" s="572">
        <f t="shared" si="112"/>
        <v>0</v>
      </c>
      <c r="R222" s="572">
        <f t="shared" si="112"/>
        <v>0</v>
      </c>
      <c r="S222" s="575">
        <f t="shared" si="112"/>
        <v>0</v>
      </c>
      <c r="T222" s="574">
        <f t="shared" si="112"/>
        <v>0</v>
      </c>
      <c r="U222" s="253"/>
      <c r="V222" s="254"/>
      <c r="W222" s="255"/>
      <c r="X222" s="255"/>
      <c r="Y222" s="255"/>
      <c r="Z222" s="255"/>
      <c r="AA222" s="255"/>
      <c r="AB222" s="251"/>
      <c r="AC222" s="256"/>
      <c r="AD222" s="254"/>
      <c r="AE222" s="255"/>
      <c r="AF222" s="255"/>
      <c r="AG222" s="255"/>
      <c r="AH222" s="255"/>
      <c r="AI222" s="257"/>
      <c r="AJ222" s="254"/>
      <c r="AK222" s="255"/>
      <c r="AL222" s="257"/>
      <c r="AM222" s="254"/>
      <c r="AN222" s="563"/>
      <c r="AO222" s="209"/>
    </row>
    <row r="223" spans="1:41" s="500" customFormat="1">
      <c r="A223" s="580"/>
      <c r="B223" s="580" t="s">
        <v>131</v>
      </c>
      <c r="C223" s="581">
        <f>IF(V223&gt;0,(V223/V224),0)</f>
        <v>0</v>
      </c>
      <c r="D223" s="582">
        <f t="shared" ref="D223:T223" si="113">IF(W223&gt;0,(W223/W224),0)</f>
        <v>0</v>
      </c>
      <c r="E223" s="582">
        <f t="shared" si="113"/>
        <v>0</v>
      </c>
      <c r="F223" s="582">
        <f t="shared" si="113"/>
        <v>0</v>
      </c>
      <c r="G223" s="582">
        <f t="shared" si="113"/>
        <v>0</v>
      </c>
      <c r="H223" s="582">
        <f t="shared" si="113"/>
        <v>0</v>
      </c>
      <c r="I223" s="583">
        <f t="shared" si="113"/>
        <v>0</v>
      </c>
      <c r="J223" s="584">
        <f t="shared" si="113"/>
        <v>0</v>
      </c>
      <c r="K223" s="581">
        <f t="shared" si="113"/>
        <v>0</v>
      </c>
      <c r="L223" s="582">
        <f t="shared" si="113"/>
        <v>0</v>
      </c>
      <c r="M223" s="582">
        <f t="shared" si="113"/>
        <v>0</v>
      </c>
      <c r="N223" s="582">
        <f t="shared" si="113"/>
        <v>0</v>
      </c>
      <c r="O223" s="583">
        <f t="shared" si="113"/>
        <v>0</v>
      </c>
      <c r="P223" s="581">
        <f t="shared" si="113"/>
        <v>0</v>
      </c>
      <c r="Q223" s="581">
        <f t="shared" si="113"/>
        <v>0</v>
      </c>
      <c r="R223" s="582">
        <f t="shared" si="113"/>
        <v>0</v>
      </c>
      <c r="S223" s="583">
        <f t="shared" si="113"/>
        <v>0</v>
      </c>
      <c r="T223" s="581">
        <f t="shared" si="113"/>
        <v>0</v>
      </c>
      <c r="U223" s="253"/>
      <c r="V223" s="254"/>
      <c r="W223" s="255"/>
      <c r="X223" s="255"/>
      <c r="Y223" s="255"/>
      <c r="Z223" s="255"/>
      <c r="AA223" s="255"/>
      <c r="AB223" s="582"/>
      <c r="AC223" s="256"/>
      <c r="AD223" s="254"/>
      <c r="AE223" s="255"/>
      <c r="AF223" s="255"/>
      <c r="AG223" s="255"/>
      <c r="AH223" s="255"/>
      <c r="AI223" s="257"/>
      <c r="AJ223" s="254"/>
      <c r="AK223" s="255"/>
      <c r="AL223" s="257"/>
      <c r="AM223" s="254"/>
      <c r="AN223" s="209"/>
      <c r="AO223" s="209"/>
    </row>
    <row r="224" spans="1:41" s="527" customFormat="1">
      <c r="A224" s="436"/>
      <c r="B224" s="436" t="s">
        <v>59</v>
      </c>
      <c r="C224" s="456">
        <f>SUM(C219:C223)</f>
        <v>0</v>
      </c>
      <c r="D224" s="456">
        <f t="shared" ref="D224:T224" si="114">SUM(D219:D223)</f>
        <v>0</v>
      </c>
      <c r="E224" s="456">
        <f t="shared" si="114"/>
        <v>0</v>
      </c>
      <c r="F224" s="456">
        <f t="shared" si="114"/>
        <v>0</v>
      </c>
      <c r="G224" s="456">
        <f t="shared" si="114"/>
        <v>0</v>
      </c>
      <c r="H224" s="456">
        <f t="shared" si="114"/>
        <v>0</v>
      </c>
      <c r="I224" s="456">
        <f t="shared" si="114"/>
        <v>0</v>
      </c>
      <c r="J224" s="576">
        <f t="shared" si="114"/>
        <v>0</v>
      </c>
      <c r="K224" s="577">
        <f t="shared" si="114"/>
        <v>0</v>
      </c>
      <c r="L224" s="578">
        <f t="shared" si="114"/>
        <v>0</v>
      </c>
      <c r="M224" s="578">
        <f t="shared" si="114"/>
        <v>0</v>
      </c>
      <c r="N224" s="578">
        <f t="shared" si="114"/>
        <v>0</v>
      </c>
      <c r="O224" s="579">
        <f t="shared" si="114"/>
        <v>0</v>
      </c>
      <c r="P224" s="577">
        <f t="shared" si="114"/>
        <v>0</v>
      </c>
      <c r="Q224" s="578">
        <f t="shared" si="114"/>
        <v>0</v>
      </c>
      <c r="R224" s="578">
        <f t="shared" si="114"/>
        <v>0</v>
      </c>
      <c r="S224" s="579">
        <f t="shared" si="114"/>
        <v>0</v>
      </c>
      <c r="T224" s="577">
        <f t="shared" si="114"/>
        <v>0</v>
      </c>
      <c r="U224" s="264"/>
      <c r="V224" s="265"/>
      <c r="W224" s="266"/>
      <c r="X224" s="266"/>
      <c r="Y224" s="266"/>
      <c r="Z224" s="266"/>
      <c r="AA224" s="266"/>
      <c r="AB224" s="262"/>
      <c r="AC224" s="267"/>
      <c r="AD224" s="265"/>
      <c r="AE224" s="266"/>
      <c r="AF224" s="266"/>
      <c r="AG224" s="266"/>
      <c r="AH224" s="266"/>
      <c r="AI224" s="268"/>
      <c r="AJ224" s="265"/>
      <c r="AK224" s="266"/>
      <c r="AL224" s="268"/>
      <c r="AM224" s="265"/>
      <c r="AN224" s="270"/>
      <c r="AO224" s="270"/>
    </row>
    <row r="225" spans="1:41" s="500" customFormat="1">
      <c r="A225" s="240" t="s">
        <v>146</v>
      </c>
      <c r="B225" s="240" t="s">
        <v>53</v>
      </c>
      <c r="C225" s="568">
        <f>IF(V225&gt;0,(V225/V230),0)</f>
        <v>0</v>
      </c>
      <c r="D225" s="568">
        <f t="shared" ref="D225:T225" si="115">IF(W225&gt;0,(W225/W230),0)</f>
        <v>0</v>
      </c>
      <c r="E225" s="568">
        <f t="shared" si="115"/>
        <v>0</v>
      </c>
      <c r="F225" s="568">
        <f t="shared" si="115"/>
        <v>0</v>
      </c>
      <c r="G225" s="568">
        <f t="shared" si="115"/>
        <v>0</v>
      </c>
      <c r="H225" s="568">
        <f t="shared" si="115"/>
        <v>0</v>
      </c>
      <c r="I225" s="568">
        <f t="shared" si="115"/>
        <v>0</v>
      </c>
      <c r="J225" s="569">
        <f t="shared" si="115"/>
        <v>0</v>
      </c>
      <c r="K225" s="570">
        <f t="shared" si="115"/>
        <v>0</v>
      </c>
      <c r="L225" s="568">
        <f t="shared" si="115"/>
        <v>0</v>
      </c>
      <c r="M225" s="568">
        <f t="shared" si="115"/>
        <v>0</v>
      </c>
      <c r="N225" s="568">
        <f t="shared" si="115"/>
        <v>0</v>
      </c>
      <c r="O225" s="571">
        <f t="shared" si="115"/>
        <v>0</v>
      </c>
      <c r="P225" s="570">
        <f t="shared" si="115"/>
        <v>0</v>
      </c>
      <c r="Q225" s="568">
        <f t="shared" si="115"/>
        <v>0</v>
      </c>
      <c r="R225" s="568">
        <f t="shared" si="115"/>
        <v>0</v>
      </c>
      <c r="S225" s="571">
        <f t="shared" si="115"/>
        <v>0</v>
      </c>
      <c r="T225" s="570">
        <f t="shared" si="115"/>
        <v>0</v>
      </c>
      <c r="U225" s="253"/>
      <c r="V225" s="245"/>
      <c r="W225" s="246"/>
      <c r="X225" s="246"/>
      <c r="Y225" s="246"/>
      <c r="Z225" s="246"/>
      <c r="AA225" s="246"/>
      <c r="AB225" s="242"/>
      <c r="AC225" s="247"/>
      <c r="AD225" s="245"/>
      <c r="AE225" s="246"/>
      <c r="AF225" s="246"/>
      <c r="AG225" s="246"/>
      <c r="AH225" s="246"/>
      <c r="AI225" s="248"/>
      <c r="AJ225" s="245"/>
      <c r="AK225" s="246"/>
      <c r="AL225" s="248"/>
      <c r="AM225" s="245"/>
      <c r="AN225" s="563"/>
      <c r="AO225" s="209"/>
    </row>
    <row r="226" spans="1:41" s="500" customFormat="1">
      <c r="A226" s="239"/>
      <c r="B226" s="239" t="s">
        <v>93</v>
      </c>
      <c r="C226" s="572">
        <f>IF(V226&gt;0,(V226/V230),0)</f>
        <v>0</v>
      </c>
      <c r="D226" s="572">
        <f t="shared" ref="D226:T226" si="116">IF(W226&gt;0,(W226/W230),0)</f>
        <v>0</v>
      </c>
      <c r="E226" s="572">
        <f t="shared" si="116"/>
        <v>0</v>
      </c>
      <c r="F226" s="572">
        <f t="shared" si="116"/>
        <v>0</v>
      </c>
      <c r="G226" s="572">
        <f t="shared" si="116"/>
        <v>0</v>
      </c>
      <c r="H226" s="572">
        <f t="shared" si="116"/>
        <v>0</v>
      </c>
      <c r="I226" s="572">
        <f t="shared" si="116"/>
        <v>0</v>
      </c>
      <c r="J226" s="573">
        <f t="shared" si="116"/>
        <v>0</v>
      </c>
      <c r="K226" s="574">
        <f t="shared" si="116"/>
        <v>0</v>
      </c>
      <c r="L226" s="572">
        <f t="shared" si="116"/>
        <v>0</v>
      </c>
      <c r="M226" s="572">
        <f t="shared" si="116"/>
        <v>0</v>
      </c>
      <c r="N226" s="572">
        <f t="shared" si="116"/>
        <v>0</v>
      </c>
      <c r="O226" s="575">
        <f t="shared" si="116"/>
        <v>0</v>
      </c>
      <c r="P226" s="574">
        <f t="shared" si="116"/>
        <v>0</v>
      </c>
      <c r="Q226" s="572">
        <f t="shared" si="116"/>
        <v>0</v>
      </c>
      <c r="R226" s="572">
        <f t="shared" si="116"/>
        <v>0</v>
      </c>
      <c r="S226" s="575">
        <f t="shared" si="116"/>
        <v>0</v>
      </c>
      <c r="T226" s="574">
        <f t="shared" si="116"/>
        <v>0</v>
      </c>
      <c r="U226" s="253"/>
      <c r="V226" s="254"/>
      <c r="W226" s="255"/>
      <c r="X226" s="255"/>
      <c r="Y226" s="255"/>
      <c r="Z226" s="255"/>
      <c r="AA226" s="255"/>
      <c r="AB226" s="251"/>
      <c r="AC226" s="256"/>
      <c r="AD226" s="254"/>
      <c r="AE226" s="255"/>
      <c r="AF226" s="255"/>
      <c r="AG226" s="255"/>
      <c r="AH226" s="255"/>
      <c r="AI226" s="257"/>
      <c r="AJ226" s="254"/>
      <c r="AK226" s="255"/>
      <c r="AL226" s="257"/>
      <c r="AM226" s="254"/>
      <c r="AN226" s="563"/>
      <c r="AO226" s="209"/>
    </row>
    <row r="227" spans="1:41" s="500" customFormat="1">
      <c r="A227" s="239"/>
      <c r="B227" s="239" t="s">
        <v>55</v>
      </c>
      <c r="C227" s="572">
        <f>IF(V227&gt;0,(V227/V230),0)</f>
        <v>0</v>
      </c>
      <c r="D227" s="572">
        <f t="shared" ref="D227:T227" si="117">IF(W227&gt;0,(W227/W230),0)</f>
        <v>0</v>
      </c>
      <c r="E227" s="572">
        <f t="shared" si="117"/>
        <v>0</v>
      </c>
      <c r="F227" s="572">
        <f t="shared" si="117"/>
        <v>0</v>
      </c>
      <c r="G227" s="572">
        <f t="shared" si="117"/>
        <v>0</v>
      </c>
      <c r="H227" s="572">
        <f t="shared" si="117"/>
        <v>0</v>
      </c>
      <c r="I227" s="572">
        <f t="shared" si="117"/>
        <v>0</v>
      </c>
      <c r="J227" s="573">
        <f t="shared" si="117"/>
        <v>0</v>
      </c>
      <c r="K227" s="574">
        <f t="shared" si="117"/>
        <v>0</v>
      </c>
      <c r="L227" s="572">
        <f t="shared" si="117"/>
        <v>0</v>
      </c>
      <c r="M227" s="572">
        <f t="shared" si="117"/>
        <v>0</v>
      </c>
      <c r="N227" s="572">
        <f t="shared" si="117"/>
        <v>0</v>
      </c>
      <c r="O227" s="575">
        <f t="shared" si="117"/>
        <v>0</v>
      </c>
      <c r="P227" s="574">
        <f t="shared" si="117"/>
        <v>0</v>
      </c>
      <c r="Q227" s="572">
        <f t="shared" si="117"/>
        <v>0</v>
      </c>
      <c r="R227" s="572">
        <f t="shared" si="117"/>
        <v>0</v>
      </c>
      <c r="S227" s="575">
        <f t="shared" si="117"/>
        <v>0</v>
      </c>
      <c r="T227" s="574">
        <f t="shared" si="117"/>
        <v>0</v>
      </c>
      <c r="U227" s="253"/>
      <c r="V227" s="254"/>
      <c r="W227" s="255"/>
      <c r="X227" s="255"/>
      <c r="Y227" s="255"/>
      <c r="Z227" s="255"/>
      <c r="AA227" s="255"/>
      <c r="AB227" s="251"/>
      <c r="AC227" s="256"/>
      <c r="AD227" s="254"/>
      <c r="AE227" s="255"/>
      <c r="AF227" s="255"/>
      <c r="AG227" s="255"/>
      <c r="AH227" s="255"/>
      <c r="AI227" s="257"/>
      <c r="AJ227" s="254"/>
      <c r="AK227" s="255"/>
      <c r="AL227" s="257"/>
      <c r="AM227" s="254"/>
      <c r="AN227" s="563"/>
      <c r="AO227" s="209"/>
    </row>
    <row r="228" spans="1:41" s="500" customFormat="1">
      <c r="A228" s="239"/>
      <c r="B228" s="239" t="s">
        <v>78</v>
      </c>
      <c r="C228" s="572">
        <f>IF(V228&gt;0,(V228/V230),0)</f>
        <v>0</v>
      </c>
      <c r="D228" s="572">
        <f t="shared" ref="D228:T228" si="118">IF(W228&gt;0,(W228/W230),0)</f>
        <v>0</v>
      </c>
      <c r="E228" s="572">
        <f t="shared" si="118"/>
        <v>0</v>
      </c>
      <c r="F228" s="572">
        <f t="shared" si="118"/>
        <v>0</v>
      </c>
      <c r="G228" s="572">
        <f t="shared" si="118"/>
        <v>0</v>
      </c>
      <c r="H228" s="572">
        <f t="shared" si="118"/>
        <v>0</v>
      </c>
      <c r="I228" s="572">
        <f t="shared" si="118"/>
        <v>0</v>
      </c>
      <c r="J228" s="573">
        <f t="shared" si="118"/>
        <v>0</v>
      </c>
      <c r="K228" s="574">
        <f t="shared" si="118"/>
        <v>0</v>
      </c>
      <c r="L228" s="572">
        <f t="shared" si="118"/>
        <v>0</v>
      </c>
      <c r="M228" s="572">
        <f t="shared" si="118"/>
        <v>0</v>
      </c>
      <c r="N228" s="572">
        <f t="shared" si="118"/>
        <v>0</v>
      </c>
      <c r="O228" s="575">
        <f t="shared" si="118"/>
        <v>0</v>
      </c>
      <c r="P228" s="574">
        <f t="shared" si="118"/>
        <v>0</v>
      </c>
      <c r="Q228" s="572">
        <f t="shared" si="118"/>
        <v>0</v>
      </c>
      <c r="R228" s="572">
        <f t="shared" si="118"/>
        <v>0</v>
      </c>
      <c r="S228" s="575">
        <f t="shared" si="118"/>
        <v>0</v>
      </c>
      <c r="T228" s="574">
        <f t="shared" si="118"/>
        <v>0</v>
      </c>
      <c r="U228" s="253"/>
      <c r="V228" s="254"/>
      <c r="W228" s="255"/>
      <c r="X228" s="255"/>
      <c r="Y228" s="255"/>
      <c r="Z228" s="255"/>
      <c r="AA228" s="255"/>
      <c r="AB228" s="251"/>
      <c r="AC228" s="256"/>
      <c r="AD228" s="254"/>
      <c r="AE228" s="255"/>
      <c r="AF228" s="255"/>
      <c r="AG228" s="255"/>
      <c r="AH228" s="255"/>
      <c r="AI228" s="257"/>
      <c r="AJ228" s="254"/>
      <c r="AK228" s="255"/>
      <c r="AL228" s="257"/>
      <c r="AM228" s="254"/>
      <c r="AN228" s="563"/>
      <c r="AO228" s="209"/>
    </row>
    <row r="229" spans="1:41" s="500" customFormat="1">
      <c r="A229" s="580"/>
      <c r="B229" s="580" t="s">
        <v>131</v>
      </c>
      <c r="C229" s="581">
        <f>IF(V229&gt;0,(V229/V230),0)</f>
        <v>0</v>
      </c>
      <c r="D229" s="582">
        <f t="shared" ref="D229:T229" si="119">IF(W229&gt;0,(W229/W230),0)</f>
        <v>0</v>
      </c>
      <c r="E229" s="582">
        <f t="shared" si="119"/>
        <v>0</v>
      </c>
      <c r="F229" s="582">
        <f t="shared" si="119"/>
        <v>0</v>
      </c>
      <c r="G229" s="582">
        <f t="shared" si="119"/>
        <v>0</v>
      </c>
      <c r="H229" s="582">
        <f t="shared" si="119"/>
        <v>0</v>
      </c>
      <c r="I229" s="583">
        <f t="shared" si="119"/>
        <v>0</v>
      </c>
      <c r="J229" s="584">
        <f t="shared" si="119"/>
        <v>0</v>
      </c>
      <c r="K229" s="581">
        <f t="shared" si="119"/>
        <v>0</v>
      </c>
      <c r="L229" s="582">
        <f t="shared" si="119"/>
        <v>0</v>
      </c>
      <c r="M229" s="582">
        <f t="shared" si="119"/>
        <v>0</v>
      </c>
      <c r="N229" s="582">
        <f t="shared" si="119"/>
        <v>0</v>
      </c>
      <c r="O229" s="583">
        <f t="shared" si="119"/>
        <v>0</v>
      </c>
      <c r="P229" s="581">
        <f t="shared" si="119"/>
        <v>0</v>
      </c>
      <c r="Q229" s="581">
        <f t="shared" si="119"/>
        <v>0</v>
      </c>
      <c r="R229" s="582">
        <f t="shared" si="119"/>
        <v>0</v>
      </c>
      <c r="S229" s="583">
        <f t="shared" si="119"/>
        <v>0</v>
      </c>
      <c r="T229" s="581">
        <f t="shared" si="119"/>
        <v>0</v>
      </c>
      <c r="U229" s="253"/>
      <c r="V229" s="254"/>
      <c r="W229" s="255"/>
      <c r="X229" s="255"/>
      <c r="Y229" s="255"/>
      <c r="Z229" s="255"/>
      <c r="AA229" s="255"/>
      <c r="AB229" s="582"/>
      <c r="AC229" s="256"/>
      <c r="AD229" s="254"/>
      <c r="AE229" s="255"/>
      <c r="AF229" s="255"/>
      <c r="AG229" s="255"/>
      <c r="AH229" s="255"/>
      <c r="AI229" s="257"/>
      <c r="AJ229" s="254"/>
      <c r="AK229" s="255"/>
      <c r="AL229" s="257"/>
      <c r="AM229" s="254"/>
      <c r="AN229" s="209"/>
      <c r="AO229" s="209"/>
    </row>
    <row r="230" spans="1:41" s="527" customFormat="1">
      <c r="A230" s="436"/>
      <c r="B230" s="436" t="s">
        <v>59</v>
      </c>
      <c r="C230" s="456">
        <f>SUM(C225:C229)</f>
        <v>0</v>
      </c>
      <c r="D230" s="456">
        <f t="shared" ref="D230:T230" si="120">SUM(D225:D229)</f>
        <v>0</v>
      </c>
      <c r="E230" s="456">
        <f t="shared" si="120"/>
        <v>0</v>
      </c>
      <c r="F230" s="456">
        <f t="shared" si="120"/>
        <v>0</v>
      </c>
      <c r="G230" s="456">
        <f t="shared" si="120"/>
        <v>0</v>
      </c>
      <c r="H230" s="456">
        <f t="shared" si="120"/>
        <v>0</v>
      </c>
      <c r="I230" s="456">
        <f t="shared" si="120"/>
        <v>0</v>
      </c>
      <c r="J230" s="576">
        <f t="shared" si="120"/>
        <v>0</v>
      </c>
      <c r="K230" s="577">
        <f t="shared" si="120"/>
        <v>0</v>
      </c>
      <c r="L230" s="578">
        <f t="shared" si="120"/>
        <v>0</v>
      </c>
      <c r="M230" s="578">
        <f t="shared" si="120"/>
        <v>0</v>
      </c>
      <c r="N230" s="578">
        <f t="shared" si="120"/>
        <v>0</v>
      </c>
      <c r="O230" s="579">
        <f t="shared" si="120"/>
        <v>0</v>
      </c>
      <c r="P230" s="577">
        <f t="shared" si="120"/>
        <v>0</v>
      </c>
      <c r="Q230" s="578">
        <f t="shared" si="120"/>
        <v>0</v>
      </c>
      <c r="R230" s="578">
        <f t="shared" si="120"/>
        <v>0</v>
      </c>
      <c r="S230" s="579">
        <f t="shared" si="120"/>
        <v>0</v>
      </c>
      <c r="T230" s="577">
        <f t="shared" si="120"/>
        <v>0</v>
      </c>
      <c r="U230" s="264"/>
      <c r="V230" s="265"/>
      <c r="W230" s="266"/>
      <c r="X230" s="266"/>
      <c r="Y230" s="266"/>
      <c r="Z230" s="266"/>
      <c r="AA230" s="266"/>
      <c r="AB230" s="262"/>
      <c r="AC230" s="267"/>
      <c r="AD230" s="265"/>
      <c r="AE230" s="266"/>
      <c r="AF230" s="266"/>
      <c r="AG230" s="266"/>
      <c r="AH230" s="266"/>
      <c r="AI230" s="268"/>
      <c r="AJ230" s="265"/>
      <c r="AK230" s="266"/>
      <c r="AL230" s="268"/>
      <c r="AM230" s="265"/>
      <c r="AN230" s="270"/>
      <c r="AO230" s="270"/>
    </row>
    <row r="231" spans="1:41" s="500" customFormat="1">
      <c r="A231" s="240" t="s">
        <v>149</v>
      </c>
      <c r="B231" s="240" t="s">
        <v>53</v>
      </c>
      <c r="C231" s="568">
        <f>IF(V231&gt;0,(V231/V236),0)</f>
        <v>0</v>
      </c>
      <c r="D231" s="568">
        <f t="shared" ref="D231:T231" si="121">IF(W231&gt;0,(W231/W236),0)</f>
        <v>0</v>
      </c>
      <c r="E231" s="568">
        <f t="shared" si="121"/>
        <v>0</v>
      </c>
      <c r="F231" s="568">
        <f t="shared" si="121"/>
        <v>0</v>
      </c>
      <c r="G231" s="568">
        <f t="shared" si="121"/>
        <v>0</v>
      </c>
      <c r="H231" s="568">
        <f t="shared" si="121"/>
        <v>0</v>
      </c>
      <c r="I231" s="568">
        <f t="shared" si="121"/>
        <v>0</v>
      </c>
      <c r="J231" s="569">
        <f t="shared" si="121"/>
        <v>0</v>
      </c>
      <c r="K231" s="570">
        <f t="shared" si="121"/>
        <v>0</v>
      </c>
      <c r="L231" s="568">
        <f t="shared" si="121"/>
        <v>0</v>
      </c>
      <c r="M231" s="568">
        <f t="shared" si="121"/>
        <v>0</v>
      </c>
      <c r="N231" s="568">
        <f t="shared" si="121"/>
        <v>0</v>
      </c>
      <c r="O231" s="571">
        <f t="shared" si="121"/>
        <v>0</v>
      </c>
      <c r="P231" s="570">
        <f t="shared" si="121"/>
        <v>0</v>
      </c>
      <c r="Q231" s="568">
        <f t="shared" si="121"/>
        <v>0</v>
      </c>
      <c r="R231" s="568">
        <f t="shared" si="121"/>
        <v>0</v>
      </c>
      <c r="S231" s="571">
        <f t="shared" si="121"/>
        <v>0</v>
      </c>
      <c r="T231" s="570">
        <f t="shared" si="121"/>
        <v>0</v>
      </c>
      <c r="U231" s="253"/>
      <c r="V231" s="245"/>
      <c r="W231" s="246"/>
      <c r="X231" s="246"/>
      <c r="Y231" s="246"/>
      <c r="Z231" s="246"/>
      <c r="AA231" s="246"/>
      <c r="AB231" s="242"/>
      <c r="AC231" s="247"/>
      <c r="AD231" s="245"/>
      <c r="AE231" s="246"/>
      <c r="AF231" s="246"/>
      <c r="AG231" s="246"/>
      <c r="AH231" s="246"/>
      <c r="AI231" s="248"/>
      <c r="AJ231" s="245"/>
      <c r="AK231" s="246"/>
      <c r="AL231" s="248"/>
      <c r="AM231" s="245"/>
      <c r="AN231" s="563"/>
      <c r="AO231" s="209"/>
    </row>
    <row r="232" spans="1:41" s="500" customFormat="1">
      <c r="A232" s="239"/>
      <c r="B232" s="239" t="s">
        <v>93</v>
      </c>
      <c r="C232" s="572">
        <f>IF(V232&gt;0,(V232/V236),0)</f>
        <v>0</v>
      </c>
      <c r="D232" s="572">
        <f t="shared" ref="D232:T232" si="122">IF(W232&gt;0,(W232/W236),0)</f>
        <v>0</v>
      </c>
      <c r="E232" s="572">
        <f t="shared" si="122"/>
        <v>0</v>
      </c>
      <c r="F232" s="572">
        <f t="shared" si="122"/>
        <v>0</v>
      </c>
      <c r="G232" s="572">
        <f t="shared" si="122"/>
        <v>0</v>
      </c>
      <c r="H232" s="572">
        <f t="shared" si="122"/>
        <v>0</v>
      </c>
      <c r="I232" s="572">
        <f t="shared" si="122"/>
        <v>0</v>
      </c>
      <c r="J232" s="573">
        <f t="shared" si="122"/>
        <v>0</v>
      </c>
      <c r="K232" s="574">
        <f t="shared" si="122"/>
        <v>0</v>
      </c>
      <c r="L232" s="572">
        <f t="shared" si="122"/>
        <v>0</v>
      </c>
      <c r="M232" s="572">
        <f t="shared" si="122"/>
        <v>0</v>
      </c>
      <c r="N232" s="572">
        <f t="shared" si="122"/>
        <v>0</v>
      </c>
      <c r="O232" s="575">
        <f t="shared" si="122"/>
        <v>0</v>
      </c>
      <c r="P232" s="574">
        <f t="shared" si="122"/>
        <v>0</v>
      </c>
      <c r="Q232" s="572">
        <f t="shared" si="122"/>
        <v>0</v>
      </c>
      <c r="R232" s="572">
        <f t="shared" si="122"/>
        <v>0</v>
      </c>
      <c r="S232" s="575">
        <f t="shared" si="122"/>
        <v>0</v>
      </c>
      <c r="T232" s="574">
        <f t="shared" si="122"/>
        <v>0</v>
      </c>
      <c r="U232" s="253"/>
      <c r="V232" s="254"/>
      <c r="W232" s="255"/>
      <c r="X232" s="255"/>
      <c r="Y232" s="255"/>
      <c r="Z232" s="255"/>
      <c r="AA232" s="255"/>
      <c r="AB232" s="251"/>
      <c r="AC232" s="256"/>
      <c r="AD232" s="254"/>
      <c r="AE232" s="255"/>
      <c r="AF232" s="255"/>
      <c r="AG232" s="255"/>
      <c r="AH232" s="255"/>
      <c r="AI232" s="257"/>
      <c r="AJ232" s="254"/>
      <c r="AK232" s="255"/>
      <c r="AL232" s="257"/>
      <c r="AM232" s="254"/>
      <c r="AN232" s="563"/>
      <c r="AO232" s="209"/>
    </row>
    <row r="233" spans="1:41" s="500" customFormat="1">
      <c r="A233" s="239"/>
      <c r="B233" s="239" t="s">
        <v>55</v>
      </c>
      <c r="C233" s="572">
        <f>IF(V233&gt;0,(V233/V236),0)</f>
        <v>0</v>
      </c>
      <c r="D233" s="572">
        <f t="shared" ref="D233:T233" si="123">IF(W233&gt;0,(W233/W236),0)</f>
        <v>0</v>
      </c>
      <c r="E233" s="572">
        <f t="shared" si="123"/>
        <v>0</v>
      </c>
      <c r="F233" s="572">
        <f t="shared" si="123"/>
        <v>0</v>
      </c>
      <c r="G233" s="572">
        <f t="shared" si="123"/>
        <v>0</v>
      </c>
      <c r="H233" s="572">
        <f t="shared" si="123"/>
        <v>0</v>
      </c>
      <c r="I233" s="572">
        <f t="shared" si="123"/>
        <v>0</v>
      </c>
      <c r="J233" s="573">
        <f t="shared" si="123"/>
        <v>0</v>
      </c>
      <c r="K233" s="574">
        <f t="shared" si="123"/>
        <v>0</v>
      </c>
      <c r="L233" s="572">
        <f t="shared" si="123"/>
        <v>0</v>
      </c>
      <c r="M233" s="572">
        <f t="shared" si="123"/>
        <v>0</v>
      </c>
      <c r="N233" s="572">
        <f t="shared" si="123"/>
        <v>0</v>
      </c>
      <c r="O233" s="575">
        <f t="shared" si="123"/>
        <v>0</v>
      </c>
      <c r="P233" s="574">
        <f t="shared" si="123"/>
        <v>0</v>
      </c>
      <c r="Q233" s="572">
        <f t="shared" si="123"/>
        <v>0</v>
      </c>
      <c r="R233" s="572">
        <f t="shared" si="123"/>
        <v>0</v>
      </c>
      <c r="S233" s="575">
        <f t="shared" si="123"/>
        <v>0</v>
      </c>
      <c r="T233" s="574">
        <f t="shared" si="123"/>
        <v>0</v>
      </c>
      <c r="U233" s="253"/>
      <c r="V233" s="254"/>
      <c r="W233" s="255"/>
      <c r="X233" s="255"/>
      <c r="Y233" s="255"/>
      <c r="Z233" s="255"/>
      <c r="AA233" s="255"/>
      <c r="AB233" s="251"/>
      <c r="AC233" s="256"/>
      <c r="AD233" s="254"/>
      <c r="AE233" s="255"/>
      <c r="AF233" s="255"/>
      <c r="AG233" s="255"/>
      <c r="AH233" s="255"/>
      <c r="AI233" s="257"/>
      <c r="AJ233" s="254"/>
      <c r="AK233" s="255"/>
      <c r="AL233" s="257"/>
      <c r="AM233" s="254"/>
      <c r="AN233" s="563"/>
      <c r="AO233" s="209"/>
    </row>
    <row r="234" spans="1:41" s="500" customFormat="1">
      <c r="A234" s="239"/>
      <c r="B234" s="239" t="s">
        <v>78</v>
      </c>
      <c r="C234" s="572">
        <f>IF(V234&gt;0,(V234/V236),0)</f>
        <v>0</v>
      </c>
      <c r="D234" s="572">
        <f t="shared" ref="D234:T234" si="124">IF(W234&gt;0,(W234/W236),0)</f>
        <v>0</v>
      </c>
      <c r="E234" s="572">
        <f t="shared" si="124"/>
        <v>0</v>
      </c>
      <c r="F234" s="572">
        <f t="shared" si="124"/>
        <v>0</v>
      </c>
      <c r="G234" s="572">
        <f t="shared" si="124"/>
        <v>0</v>
      </c>
      <c r="H234" s="572">
        <f t="shared" si="124"/>
        <v>0</v>
      </c>
      <c r="I234" s="572">
        <f t="shared" si="124"/>
        <v>0</v>
      </c>
      <c r="J234" s="573">
        <f t="shared" si="124"/>
        <v>0</v>
      </c>
      <c r="K234" s="574">
        <f t="shared" si="124"/>
        <v>0</v>
      </c>
      <c r="L234" s="572">
        <f t="shared" si="124"/>
        <v>0</v>
      </c>
      <c r="M234" s="572">
        <f t="shared" si="124"/>
        <v>0</v>
      </c>
      <c r="N234" s="572">
        <f t="shared" si="124"/>
        <v>0</v>
      </c>
      <c r="O234" s="575">
        <f t="shared" si="124"/>
        <v>0</v>
      </c>
      <c r="P234" s="574">
        <f t="shared" si="124"/>
        <v>0</v>
      </c>
      <c r="Q234" s="572">
        <f t="shared" si="124"/>
        <v>0</v>
      </c>
      <c r="R234" s="572">
        <f t="shared" si="124"/>
        <v>0</v>
      </c>
      <c r="S234" s="575">
        <f t="shared" si="124"/>
        <v>0</v>
      </c>
      <c r="T234" s="574">
        <f t="shared" si="124"/>
        <v>0</v>
      </c>
      <c r="U234" s="253"/>
      <c r="V234" s="254"/>
      <c r="W234" s="255"/>
      <c r="X234" s="255"/>
      <c r="Y234" s="255"/>
      <c r="Z234" s="255"/>
      <c r="AA234" s="255"/>
      <c r="AB234" s="251"/>
      <c r="AC234" s="256"/>
      <c r="AD234" s="254"/>
      <c r="AE234" s="255"/>
      <c r="AF234" s="255"/>
      <c r="AG234" s="255"/>
      <c r="AH234" s="255"/>
      <c r="AI234" s="257"/>
      <c r="AJ234" s="254"/>
      <c r="AK234" s="255"/>
      <c r="AL234" s="257"/>
      <c r="AM234" s="254"/>
      <c r="AN234" s="563"/>
      <c r="AO234" s="209"/>
    </row>
    <row r="235" spans="1:41" s="500" customFormat="1">
      <c r="A235" s="580"/>
      <c r="B235" s="580" t="s">
        <v>131</v>
      </c>
      <c r="C235" s="581">
        <f>IF(V235&gt;0,(V235/V236),0)</f>
        <v>0</v>
      </c>
      <c r="D235" s="582">
        <f t="shared" ref="D235:T235" si="125">IF(W235&gt;0,(W235/W236),0)</f>
        <v>0</v>
      </c>
      <c r="E235" s="582">
        <f t="shared" si="125"/>
        <v>0</v>
      </c>
      <c r="F235" s="582">
        <f t="shared" si="125"/>
        <v>0</v>
      </c>
      <c r="G235" s="582">
        <f t="shared" si="125"/>
        <v>0</v>
      </c>
      <c r="H235" s="582">
        <f t="shared" si="125"/>
        <v>0</v>
      </c>
      <c r="I235" s="583">
        <f t="shared" si="125"/>
        <v>0</v>
      </c>
      <c r="J235" s="584">
        <f t="shared" si="125"/>
        <v>0</v>
      </c>
      <c r="K235" s="581">
        <f t="shared" si="125"/>
        <v>0</v>
      </c>
      <c r="L235" s="582">
        <f t="shared" si="125"/>
        <v>0</v>
      </c>
      <c r="M235" s="582">
        <f t="shared" si="125"/>
        <v>0</v>
      </c>
      <c r="N235" s="582">
        <f t="shared" si="125"/>
        <v>0</v>
      </c>
      <c r="O235" s="583">
        <f t="shared" si="125"/>
        <v>0</v>
      </c>
      <c r="P235" s="581">
        <f t="shared" si="125"/>
        <v>0</v>
      </c>
      <c r="Q235" s="581">
        <f t="shared" si="125"/>
        <v>0</v>
      </c>
      <c r="R235" s="582">
        <f t="shared" si="125"/>
        <v>0</v>
      </c>
      <c r="S235" s="583">
        <f t="shared" si="125"/>
        <v>0</v>
      </c>
      <c r="T235" s="581">
        <f t="shared" si="125"/>
        <v>0</v>
      </c>
      <c r="U235" s="253"/>
      <c r="V235" s="254"/>
      <c r="W235" s="255"/>
      <c r="X235" s="255"/>
      <c r="Y235" s="255"/>
      <c r="Z235" s="255"/>
      <c r="AA235" s="255"/>
      <c r="AB235" s="582"/>
      <c r="AC235" s="256"/>
      <c r="AD235" s="254"/>
      <c r="AE235" s="255"/>
      <c r="AF235" s="255"/>
      <c r="AG235" s="255"/>
      <c r="AH235" s="255"/>
      <c r="AI235" s="257"/>
      <c r="AJ235" s="254"/>
      <c r="AK235" s="255"/>
      <c r="AL235" s="257"/>
      <c r="AM235" s="254"/>
      <c r="AN235" s="209"/>
      <c r="AO235" s="209"/>
    </row>
    <row r="236" spans="1:41" s="527" customFormat="1">
      <c r="A236" s="436"/>
      <c r="B236" s="436" t="s">
        <v>59</v>
      </c>
      <c r="C236" s="456">
        <f>SUM(C231:C235)</f>
        <v>0</v>
      </c>
      <c r="D236" s="456">
        <f t="shared" ref="D236:T236" si="126">SUM(D231:D235)</f>
        <v>0</v>
      </c>
      <c r="E236" s="456">
        <f t="shared" si="126"/>
        <v>0</v>
      </c>
      <c r="F236" s="456">
        <f t="shared" si="126"/>
        <v>0</v>
      </c>
      <c r="G236" s="456">
        <f t="shared" si="126"/>
        <v>0</v>
      </c>
      <c r="H236" s="456">
        <f t="shared" si="126"/>
        <v>0</v>
      </c>
      <c r="I236" s="456">
        <f t="shared" si="126"/>
        <v>0</v>
      </c>
      <c r="J236" s="576">
        <f t="shared" si="126"/>
        <v>0</v>
      </c>
      <c r="K236" s="577">
        <f t="shared" si="126"/>
        <v>0</v>
      </c>
      <c r="L236" s="578">
        <f t="shared" si="126"/>
        <v>0</v>
      </c>
      <c r="M236" s="578">
        <f t="shared" si="126"/>
        <v>0</v>
      </c>
      <c r="N236" s="578">
        <f t="shared" si="126"/>
        <v>0</v>
      </c>
      <c r="O236" s="579">
        <f t="shared" si="126"/>
        <v>0</v>
      </c>
      <c r="P236" s="577">
        <f t="shared" si="126"/>
        <v>0</v>
      </c>
      <c r="Q236" s="578">
        <f t="shared" si="126"/>
        <v>0</v>
      </c>
      <c r="R236" s="578">
        <f t="shared" si="126"/>
        <v>0</v>
      </c>
      <c r="S236" s="579">
        <f t="shared" si="126"/>
        <v>0</v>
      </c>
      <c r="T236" s="577">
        <f t="shared" si="126"/>
        <v>0</v>
      </c>
      <c r="U236" s="264"/>
      <c r="V236" s="265"/>
      <c r="W236" s="266"/>
      <c r="X236" s="266"/>
      <c r="Y236" s="266"/>
      <c r="Z236" s="266"/>
      <c r="AA236" s="266"/>
      <c r="AB236" s="262"/>
      <c r="AC236" s="267"/>
      <c r="AD236" s="265"/>
      <c r="AE236" s="266"/>
      <c r="AF236" s="266"/>
      <c r="AG236" s="266"/>
      <c r="AH236" s="266"/>
      <c r="AI236" s="268"/>
      <c r="AJ236" s="265"/>
      <c r="AK236" s="266"/>
      <c r="AL236" s="268"/>
      <c r="AM236" s="265"/>
      <c r="AN236" s="270"/>
      <c r="AO236" s="270"/>
    </row>
    <row r="237" spans="1:41" s="500" customFormat="1">
      <c r="A237" s="240" t="s">
        <v>150</v>
      </c>
      <c r="B237" s="240" t="s">
        <v>53</v>
      </c>
      <c r="C237" s="568">
        <f>IF(V237&gt;0,(V237/V242),0)</f>
        <v>0</v>
      </c>
      <c r="D237" s="568">
        <f t="shared" ref="D237:T237" si="127">IF(W237&gt;0,(W237/W242),0)</f>
        <v>0</v>
      </c>
      <c r="E237" s="568">
        <f t="shared" si="127"/>
        <v>0</v>
      </c>
      <c r="F237" s="568">
        <f t="shared" si="127"/>
        <v>0</v>
      </c>
      <c r="G237" s="568">
        <f t="shared" si="127"/>
        <v>0</v>
      </c>
      <c r="H237" s="568">
        <f t="shared" si="127"/>
        <v>0</v>
      </c>
      <c r="I237" s="568">
        <f t="shared" si="127"/>
        <v>0</v>
      </c>
      <c r="J237" s="569">
        <f t="shared" si="127"/>
        <v>0</v>
      </c>
      <c r="K237" s="570">
        <f t="shared" si="127"/>
        <v>0</v>
      </c>
      <c r="L237" s="568">
        <f t="shared" si="127"/>
        <v>0</v>
      </c>
      <c r="M237" s="568">
        <f t="shared" si="127"/>
        <v>0</v>
      </c>
      <c r="N237" s="568">
        <f t="shared" si="127"/>
        <v>0</v>
      </c>
      <c r="O237" s="571">
        <f t="shared" si="127"/>
        <v>0</v>
      </c>
      <c r="P237" s="570">
        <f t="shared" si="127"/>
        <v>0</v>
      </c>
      <c r="Q237" s="568">
        <f t="shared" si="127"/>
        <v>0</v>
      </c>
      <c r="R237" s="568">
        <f t="shared" si="127"/>
        <v>0</v>
      </c>
      <c r="S237" s="571">
        <f t="shared" si="127"/>
        <v>0</v>
      </c>
      <c r="T237" s="570">
        <f t="shared" si="127"/>
        <v>0</v>
      </c>
      <c r="U237" s="253"/>
      <c r="V237" s="245"/>
      <c r="W237" s="246"/>
      <c r="X237" s="246"/>
      <c r="Y237" s="246"/>
      <c r="Z237" s="246"/>
      <c r="AA237" s="246"/>
      <c r="AB237" s="242"/>
      <c r="AC237" s="247"/>
      <c r="AD237" s="245"/>
      <c r="AE237" s="246"/>
      <c r="AF237" s="246"/>
      <c r="AG237" s="246"/>
      <c r="AH237" s="246"/>
      <c r="AI237" s="248"/>
      <c r="AJ237" s="245"/>
      <c r="AK237" s="246"/>
      <c r="AL237" s="248"/>
      <c r="AM237" s="245"/>
      <c r="AN237" s="563"/>
      <c r="AO237" s="209"/>
    </row>
    <row r="238" spans="1:41" s="500" customFormat="1">
      <c r="A238" s="239"/>
      <c r="B238" s="239" t="s">
        <v>93</v>
      </c>
      <c r="C238" s="572">
        <f>IF(V238&gt;0,(V238/V242),0)</f>
        <v>0</v>
      </c>
      <c r="D238" s="572">
        <f t="shared" ref="D238:T238" si="128">IF(W238&gt;0,(W238/W242),0)</f>
        <v>0</v>
      </c>
      <c r="E238" s="572">
        <f t="shared" si="128"/>
        <v>0</v>
      </c>
      <c r="F238" s="572">
        <f t="shared" si="128"/>
        <v>0</v>
      </c>
      <c r="G238" s="572">
        <f t="shared" si="128"/>
        <v>0</v>
      </c>
      <c r="H238" s="572">
        <f t="shared" si="128"/>
        <v>0</v>
      </c>
      <c r="I238" s="572">
        <f t="shared" si="128"/>
        <v>0</v>
      </c>
      <c r="J238" s="573">
        <f t="shared" si="128"/>
        <v>0</v>
      </c>
      <c r="K238" s="574">
        <f t="shared" si="128"/>
        <v>0</v>
      </c>
      <c r="L238" s="572">
        <f t="shared" si="128"/>
        <v>0</v>
      </c>
      <c r="M238" s="572">
        <f t="shared" si="128"/>
        <v>0</v>
      </c>
      <c r="N238" s="572">
        <f t="shared" si="128"/>
        <v>0</v>
      </c>
      <c r="O238" s="575">
        <f t="shared" si="128"/>
        <v>0</v>
      </c>
      <c r="P238" s="574">
        <f t="shared" si="128"/>
        <v>0</v>
      </c>
      <c r="Q238" s="572">
        <f t="shared" si="128"/>
        <v>0</v>
      </c>
      <c r="R238" s="572">
        <f t="shared" si="128"/>
        <v>0</v>
      </c>
      <c r="S238" s="575">
        <f t="shared" si="128"/>
        <v>0</v>
      </c>
      <c r="T238" s="574">
        <f t="shared" si="128"/>
        <v>0</v>
      </c>
      <c r="U238" s="253"/>
      <c r="V238" s="254"/>
      <c r="W238" s="255"/>
      <c r="X238" s="255"/>
      <c r="Y238" s="255"/>
      <c r="Z238" s="255"/>
      <c r="AA238" s="255"/>
      <c r="AB238" s="251"/>
      <c r="AC238" s="256"/>
      <c r="AD238" s="254"/>
      <c r="AE238" s="255"/>
      <c r="AF238" s="255"/>
      <c r="AG238" s="255"/>
      <c r="AH238" s="255"/>
      <c r="AI238" s="257"/>
      <c r="AJ238" s="254"/>
      <c r="AK238" s="255"/>
      <c r="AL238" s="257"/>
      <c r="AM238" s="254"/>
      <c r="AN238" s="563"/>
      <c r="AO238" s="209"/>
    </row>
    <row r="239" spans="1:41" s="500" customFormat="1">
      <c r="A239" s="239"/>
      <c r="B239" s="239" t="s">
        <v>55</v>
      </c>
      <c r="C239" s="572">
        <f>IF(V239&gt;0,(V239/V242),0)</f>
        <v>0</v>
      </c>
      <c r="D239" s="572">
        <f t="shared" ref="D239:T239" si="129">IF(W239&gt;0,(W239/W242),0)</f>
        <v>0</v>
      </c>
      <c r="E239" s="572">
        <f t="shared" si="129"/>
        <v>0</v>
      </c>
      <c r="F239" s="572">
        <f t="shared" si="129"/>
        <v>0</v>
      </c>
      <c r="G239" s="572">
        <f t="shared" si="129"/>
        <v>0</v>
      </c>
      <c r="H239" s="572">
        <f t="shared" si="129"/>
        <v>0</v>
      </c>
      <c r="I239" s="572">
        <f t="shared" si="129"/>
        <v>0</v>
      </c>
      <c r="J239" s="573">
        <f t="shared" si="129"/>
        <v>0</v>
      </c>
      <c r="K239" s="574">
        <f t="shared" si="129"/>
        <v>0</v>
      </c>
      <c r="L239" s="572">
        <f t="shared" si="129"/>
        <v>0</v>
      </c>
      <c r="M239" s="572">
        <f t="shared" si="129"/>
        <v>0</v>
      </c>
      <c r="N239" s="572">
        <f t="shared" si="129"/>
        <v>0</v>
      </c>
      <c r="O239" s="575">
        <f t="shared" si="129"/>
        <v>0</v>
      </c>
      <c r="P239" s="574">
        <f t="shared" si="129"/>
        <v>0</v>
      </c>
      <c r="Q239" s="572">
        <f t="shared" si="129"/>
        <v>0</v>
      </c>
      <c r="R239" s="572">
        <f t="shared" si="129"/>
        <v>0</v>
      </c>
      <c r="S239" s="575">
        <f t="shared" si="129"/>
        <v>0</v>
      </c>
      <c r="T239" s="574">
        <f t="shared" si="129"/>
        <v>0</v>
      </c>
      <c r="U239" s="253"/>
      <c r="V239" s="254"/>
      <c r="W239" s="255"/>
      <c r="X239" s="255"/>
      <c r="Y239" s="255"/>
      <c r="Z239" s="255"/>
      <c r="AA239" s="255"/>
      <c r="AB239" s="251"/>
      <c r="AC239" s="256"/>
      <c r="AD239" s="254"/>
      <c r="AE239" s="255"/>
      <c r="AF239" s="255"/>
      <c r="AG239" s="255"/>
      <c r="AH239" s="255"/>
      <c r="AI239" s="257"/>
      <c r="AJ239" s="254"/>
      <c r="AK239" s="255"/>
      <c r="AL239" s="257"/>
      <c r="AM239" s="254"/>
      <c r="AN239" s="563"/>
      <c r="AO239" s="209"/>
    </row>
    <row r="240" spans="1:41" s="500" customFormat="1">
      <c r="A240" s="239"/>
      <c r="B240" s="239" t="s">
        <v>78</v>
      </c>
      <c r="C240" s="572">
        <f>IF(V240&gt;0,(V240/V242),0)</f>
        <v>0</v>
      </c>
      <c r="D240" s="572">
        <f t="shared" ref="D240:T240" si="130">IF(W240&gt;0,(W240/W242),0)</f>
        <v>0</v>
      </c>
      <c r="E240" s="572">
        <f t="shared" si="130"/>
        <v>0</v>
      </c>
      <c r="F240" s="572">
        <f t="shared" si="130"/>
        <v>0</v>
      </c>
      <c r="G240" s="572">
        <f t="shared" si="130"/>
        <v>0</v>
      </c>
      <c r="H240" s="572">
        <f t="shared" si="130"/>
        <v>0</v>
      </c>
      <c r="I240" s="572">
        <f t="shared" si="130"/>
        <v>0</v>
      </c>
      <c r="J240" s="573">
        <f t="shared" si="130"/>
        <v>0</v>
      </c>
      <c r="K240" s="574">
        <f t="shared" si="130"/>
        <v>0</v>
      </c>
      <c r="L240" s="572">
        <f t="shared" si="130"/>
        <v>0</v>
      </c>
      <c r="M240" s="572">
        <f t="shared" si="130"/>
        <v>0</v>
      </c>
      <c r="N240" s="572">
        <f t="shared" si="130"/>
        <v>0</v>
      </c>
      <c r="O240" s="575">
        <f t="shared" si="130"/>
        <v>0</v>
      </c>
      <c r="P240" s="574">
        <f t="shared" si="130"/>
        <v>0</v>
      </c>
      <c r="Q240" s="572">
        <f t="shared" si="130"/>
        <v>0</v>
      </c>
      <c r="R240" s="572">
        <f t="shared" si="130"/>
        <v>0</v>
      </c>
      <c r="S240" s="575">
        <f t="shared" si="130"/>
        <v>0</v>
      </c>
      <c r="T240" s="574">
        <f t="shared" si="130"/>
        <v>0</v>
      </c>
      <c r="U240" s="253"/>
      <c r="V240" s="254"/>
      <c r="W240" s="255"/>
      <c r="X240" s="255"/>
      <c r="Y240" s="255"/>
      <c r="Z240" s="255"/>
      <c r="AA240" s="255"/>
      <c r="AB240" s="251"/>
      <c r="AC240" s="256"/>
      <c r="AD240" s="254"/>
      <c r="AE240" s="255"/>
      <c r="AF240" s="255"/>
      <c r="AG240" s="255"/>
      <c r="AH240" s="255"/>
      <c r="AI240" s="257"/>
      <c r="AJ240" s="254"/>
      <c r="AK240" s="255"/>
      <c r="AL240" s="257"/>
      <c r="AM240" s="254"/>
      <c r="AN240" s="563"/>
      <c r="AO240" s="209"/>
    </row>
    <row r="241" spans="1:41" s="500" customFormat="1">
      <c r="A241" s="580"/>
      <c r="B241" s="580" t="s">
        <v>131</v>
      </c>
      <c r="C241" s="581">
        <f>IF(V241&gt;0,(V241/V242),0)</f>
        <v>0</v>
      </c>
      <c r="D241" s="582">
        <f t="shared" ref="D241:T241" si="131">IF(W241&gt;0,(W241/W242),0)</f>
        <v>0</v>
      </c>
      <c r="E241" s="582">
        <f t="shared" si="131"/>
        <v>0</v>
      </c>
      <c r="F241" s="582">
        <f t="shared" si="131"/>
        <v>0</v>
      </c>
      <c r="G241" s="582">
        <f t="shared" si="131"/>
        <v>0</v>
      </c>
      <c r="H241" s="582">
        <f t="shared" si="131"/>
        <v>0</v>
      </c>
      <c r="I241" s="583">
        <f t="shared" si="131"/>
        <v>0</v>
      </c>
      <c r="J241" s="584">
        <f t="shared" si="131"/>
        <v>0</v>
      </c>
      <c r="K241" s="581">
        <f t="shared" si="131"/>
        <v>0</v>
      </c>
      <c r="L241" s="582">
        <f t="shared" si="131"/>
        <v>0</v>
      </c>
      <c r="M241" s="582">
        <f t="shared" si="131"/>
        <v>0</v>
      </c>
      <c r="N241" s="582">
        <f t="shared" si="131"/>
        <v>0</v>
      </c>
      <c r="O241" s="583">
        <f t="shared" si="131"/>
        <v>0</v>
      </c>
      <c r="P241" s="581">
        <f t="shared" si="131"/>
        <v>0</v>
      </c>
      <c r="Q241" s="581">
        <f t="shared" si="131"/>
        <v>0</v>
      </c>
      <c r="R241" s="582">
        <f t="shared" si="131"/>
        <v>0</v>
      </c>
      <c r="S241" s="583">
        <f t="shared" si="131"/>
        <v>0</v>
      </c>
      <c r="T241" s="581">
        <f t="shared" si="131"/>
        <v>0</v>
      </c>
      <c r="U241" s="253"/>
      <c r="V241" s="254"/>
      <c r="W241" s="255"/>
      <c r="X241" s="255"/>
      <c r="Y241" s="255"/>
      <c r="Z241" s="255"/>
      <c r="AA241" s="255"/>
      <c r="AB241" s="582"/>
      <c r="AC241" s="256"/>
      <c r="AD241" s="254"/>
      <c r="AE241" s="255"/>
      <c r="AF241" s="255"/>
      <c r="AG241" s="255"/>
      <c r="AH241" s="255"/>
      <c r="AI241" s="257"/>
      <c r="AJ241" s="254"/>
      <c r="AK241" s="255"/>
      <c r="AL241" s="257"/>
      <c r="AM241" s="254"/>
      <c r="AN241" s="209"/>
      <c r="AO241" s="209"/>
    </row>
    <row r="242" spans="1:41" s="527" customFormat="1">
      <c r="A242" s="436"/>
      <c r="B242" s="436" t="s">
        <v>59</v>
      </c>
      <c r="C242" s="456">
        <f>SUM(C237:C241)</f>
        <v>0</v>
      </c>
      <c r="D242" s="456">
        <f t="shared" ref="D242:T242" si="132">SUM(D237:D241)</f>
        <v>0</v>
      </c>
      <c r="E242" s="456">
        <f t="shared" si="132"/>
        <v>0</v>
      </c>
      <c r="F242" s="456">
        <f t="shared" si="132"/>
        <v>0</v>
      </c>
      <c r="G242" s="456">
        <f t="shared" si="132"/>
        <v>0</v>
      </c>
      <c r="H242" s="456">
        <f t="shared" si="132"/>
        <v>0</v>
      </c>
      <c r="I242" s="456">
        <f t="shared" si="132"/>
        <v>0</v>
      </c>
      <c r="J242" s="576">
        <f t="shared" si="132"/>
        <v>0</v>
      </c>
      <c r="K242" s="577">
        <f t="shared" si="132"/>
        <v>0</v>
      </c>
      <c r="L242" s="578">
        <f t="shared" si="132"/>
        <v>0</v>
      </c>
      <c r="M242" s="578">
        <f t="shared" si="132"/>
        <v>0</v>
      </c>
      <c r="N242" s="578">
        <f t="shared" si="132"/>
        <v>0</v>
      </c>
      <c r="O242" s="579">
        <f t="shared" si="132"/>
        <v>0</v>
      </c>
      <c r="P242" s="577">
        <f t="shared" si="132"/>
        <v>0</v>
      </c>
      <c r="Q242" s="578">
        <f t="shared" si="132"/>
        <v>0</v>
      </c>
      <c r="R242" s="578">
        <f t="shared" si="132"/>
        <v>0</v>
      </c>
      <c r="S242" s="579">
        <f t="shared" si="132"/>
        <v>0</v>
      </c>
      <c r="T242" s="577">
        <f t="shared" si="132"/>
        <v>0</v>
      </c>
      <c r="U242" s="264"/>
      <c r="V242" s="265"/>
      <c r="W242" s="266"/>
      <c r="X242" s="266"/>
      <c r="Y242" s="266"/>
      <c r="Z242" s="266"/>
      <c r="AA242" s="266"/>
      <c r="AB242" s="262"/>
      <c r="AC242" s="267"/>
      <c r="AD242" s="265"/>
      <c r="AE242" s="266"/>
      <c r="AF242" s="266"/>
      <c r="AG242" s="266"/>
      <c r="AH242" s="266"/>
      <c r="AI242" s="268"/>
      <c r="AJ242" s="265"/>
      <c r="AK242" s="266"/>
      <c r="AL242" s="268"/>
      <c r="AM242" s="265"/>
      <c r="AN242" s="270"/>
      <c r="AO242" s="270"/>
    </row>
    <row r="243" spans="1:41" s="500" customFormat="1">
      <c r="A243" s="240" t="s">
        <v>151</v>
      </c>
      <c r="B243" s="240" t="s">
        <v>53</v>
      </c>
      <c r="C243" s="568">
        <f>IF(V243&gt;0,(V243/V248),0)</f>
        <v>0</v>
      </c>
      <c r="D243" s="568">
        <f t="shared" ref="D243:T243" si="133">IF(W243&gt;0,(W243/W248),0)</f>
        <v>0</v>
      </c>
      <c r="E243" s="568">
        <f t="shared" si="133"/>
        <v>0</v>
      </c>
      <c r="F243" s="568">
        <f t="shared" si="133"/>
        <v>0</v>
      </c>
      <c r="G243" s="568">
        <f t="shared" si="133"/>
        <v>0</v>
      </c>
      <c r="H243" s="568">
        <f t="shared" si="133"/>
        <v>0</v>
      </c>
      <c r="I243" s="568">
        <f t="shared" si="133"/>
        <v>0</v>
      </c>
      <c r="J243" s="569">
        <f t="shared" si="133"/>
        <v>0</v>
      </c>
      <c r="K243" s="570">
        <f t="shared" si="133"/>
        <v>0</v>
      </c>
      <c r="L243" s="568">
        <f t="shared" si="133"/>
        <v>0</v>
      </c>
      <c r="M243" s="568">
        <f t="shared" si="133"/>
        <v>0</v>
      </c>
      <c r="N243" s="568">
        <f t="shared" si="133"/>
        <v>0</v>
      </c>
      <c r="O243" s="571">
        <f t="shared" si="133"/>
        <v>0</v>
      </c>
      <c r="P243" s="570">
        <f t="shared" si="133"/>
        <v>0</v>
      </c>
      <c r="Q243" s="568">
        <f t="shared" si="133"/>
        <v>0</v>
      </c>
      <c r="R243" s="568">
        <f t="shared" si="133"/>
        <v>0</v>
      </c>
      <c r="S243" s="571">
        <f t="shared" si="133"/>
        <v>0</v>
      </c>
      <c r="T243" s="570">
        <f t="shared" si="133"/>
        <v>0</v>
      </c>
      <c r="U243" s="253"/>
      <c r="V243" s="245"/>
      <c r="W243" s="246"/>
      <c r="X243" s="246"/>
      <c r="Y243" s="246"/>
      <c r="Z243" s="246"/>
      <c r="AA243" s="246"/>
      <c r="AB243" s="242"/>
      <c r="AC243" s="247"/>
      <c r="AD243" s="245"/>
      <c r="AE243" s="246"/>
      <c r="AF243" s="246"/>
      <c r="AG243" s="246"/>
      <c r="AH243" s="246"/>
      <c r="AI243" s="248"/>
      <c r="AJ243" s="245"/>
      <c r="AK243" s="246"/>
      <c r="AL243" s="248"/>
      <c r="AM243" s="245"/>
      <c r="AN243" s="563"/>
      <c r="AO243" s="209"/>
    </row>
    <row r="244" spans="1:41" s="500" customFormat="1">
      <c r="A244" s="239"/>
      <c r="B244" s="239" t="s">
        <v>93</v>
      </c>
      <c r="C244" s="572">
        <f>IF(V244&gt;0,(V244/V248),0)</f>
        <v>0</v>
      </c>
      <c r="D244" s="572">
        <f t="shared" ref="D244:T244" si="134">IF(W244&gt;0,(W244/W248),0)</f>
        <v>0</v>
      </c>
      <c r="E244" s="572">
        <f t="shared" si="134"/>
        <v>0</v>
      </c>
      <c r="F244" s="572">
        <f t="shared" si="134"/>
        <v>0</v>
      </c>
      <c r="G244" s="572">
        <f t="shared" si="134"/>
        <v>0</v>
      </c>
      <c r="H244" s="572">
        <f t="shared" si="134"/>
        <v>0</v>
      </c>
      <c r="I244" s="572">
        <f t="shared" si="134"/>
        <v>0</v>
      </c>
      <c r="J244" s="573">
        <f t="shared" si="134"/>
        <v>0</v>
      </c>
      <c r="K244" s="574">
        <f t="shared" si="134"/>
        <v>0</v>
      </c>
      <c r="L244" s="572">
        <f t="shared" si="134"/>
        <v>0</v>
      </c>
      <c r="M244" s="572">
        <f t="shared" si="134"/>
        <v>0</v>
      </c>
      <c r="N244" s="572">
        <f t="shared" si="134"/>
        <v>0</v>
      </c>
      <c r="O244" s="575">
        <f t="shared" si="134"/>
        <v>0</v>
      </c>
      <c r="P244" s="574">
        <f t="shared" si="134"/>
        <v>0</v>
      </c>
      <c r="Q244" s="572">
        <f t="shared" si="134"/>
        <v>0</v>
      </c>
      <c r="R244" s="572">
        <f t="shared" si="134"/>
        <v>0</v>
      </c>
      <c r="S244" s="575">
        <f t="shared" si="134"/>
        <v>0</v>
      </c>
      <c r="T244" s="574">
        <f t="shared" si="134"/>
        <v>0</v>
      </c>
      <c r="U244" s="253"/>
      <c r="V244" s="254"/>
      <c r="W244" s="255"/>
      <c r="X244" s="255"/>
      <c r="Y244" s="255"/>
      <c r="Z244" s="255"/>
      <c r="AA244" s="255"/>
      <c r="AB244" s="251"/>
      <c r="AC244" s="256"/>
      <c r="AD244" s="254"/>
      <c r="AE244" s="255"/>
      <c r="AF244" s="255"/>
      <c r="AG244" s="255"/>
      <c r="AH244" s="255"/>
      <c r="AI244" s="257"/>
      <c r="AJ244" s="254"/>
      <c r="AK244" s="255"/>
      <c r="AL244" s="257"/>
      <c r="AM244" s="254"/>
      <c r="AN244" s="563"/>
      <c r="AO244" s="209"/>
    </row>
    <row r="245" spans="1:41" s="500" customFormat="1">
      <c r="A245" s="239"/>
      <c r="B245" s="239" t="s">
        <v>55</v>
      </c>
      <c r="C245" s="572">
        <f>IF(V245&gt;0,(V245/V248),0)</f>
        <v>0</v>
      </c>
      <c r="D245" s="572">
        <f t="shared" ref="D245:T245" si="135">IF(W245&gt;0,(W245/W248),0)</f>
        <v>0</v>
      </c>
      <c r="E245" s="572">
        <f t="shared" si="135"/>
        <v>0</v>
      </c>
      <c r="F245" s="572">
        <f t="shared" si="135"/>
        <v>0</v>
      </c>
      <c r="G245" s="572">
        <f t="shared" si="135"/>
        <v>0</v>
      </c>
      <c r="H245" s="572">
        <f t="shared" si="135"/>
        <v>0</v>
      </c>
      <c r="I245" s="572">
        <f t="shared" si="135"/>
        <v>0</v>
      </c>
      <c r="J245" s="573">
        <f t="shared" si="135"/>
        <v>0</v>
      </c>
      <c r="K245" s="574">
        <f t="shared" si="135"/>
        <v>0</v>
      </c>
      <c r="L245" s="572">
        <f t="shared" si="135"/>
        <v>0</v>
      </c>
      <c r="M245" s="572">
        <f t="shared" si="135"/>
        <v>0</v>
      </c>
      <c r="N245" s="572">
        <f t="shared" si="135"/>
        <v>0</v>
      </c>
      <c r="O245" s="575">
        <f t="shared" si="135"/>
        <v>0</v>
      </c>
      <c r="P245" s="574">
        <f t="shared" si="135"/>
        <v>0</v>
      </c>
      <c r="Q245" s="572">
        <f t="shared" si="135"/>
        <v>0</v>
      </c>
      <c r="R245" s="572">
        <f t="shared" si="135"/>
        <v>0</v>
      </c>
      <c r="S245" s="575">
        <f t="shared" si="135"/>
        <v>0</v>
      </c>
      <c r="T245" s="574">
        <f t="shared" si="135"/>
        <v>0</v>
      </c>
      <c r="U245" s="253"/>
      <c r="V245" s="254"/>
      <c r="W245" s="255"/>
      <c r="X245" s="255"/>
      <c r="Y245" s="255"/>
      <c r="Z245" s="255"/>
      <c r="AA245" s="255"/>
      <c r="AB245" s="251"/>
      <c r="AC245" s="256"/>
      <c r="AD245" s="254"/>
      <c r="AE245" s="255"/>
      <c r="AF245" s="255"/>
      <c r="AG245" s="255"/>
      <c r="AH245" s="255"/>
      <c r="AI245" s="257"/>
      <c r="AJ245" s="254"/>
      <c r="AK245" s="255"/>
      <c r="AL245" s="257"/>
      <c r="AM245" s="254"/>
      <c r="AN245" s="563"/>
      <c r="AO245" s="209"/>
    </row>
    <row r="246" spans="1:41" s="500" customFormat="1">
      <c r="A246" s="239"/>
      <c r="B246" s="239" t="s">
        <v>78</v>
      </c>
      <c r="C246" s="572">
        <f>IF(V246&gt;0,(V246/V248),0)</f>
        <v>0</v>
      </c>
      <c r="D246" s="572">
        <f t="shared" ref="D246:T246" si="136">IF(W246&gt;0,(W246/W248),0)</f>
        <v>0</v>
      </c>
      <c r="E246" s="572">
        <f t="shared" si="136"/>
        <v>0</v>
      </c>
      <c r="F246" s="572">
        <f t="shared" si="136"/>
        <v>0</v>
      </c>
      <c r="G246" s="572">
        <f t="shared" si="136"/>
        <v>0</v>
      </c>
      <c r="H246" s="572">
        <f t="shared" si="136"/>
        <v>0</v>
      </c>
      <c r="I246" s="572">
        <f t="shared" si="136"/>
        <v>0</v>
      </c>
      <c r="J246" s="573">
        <f t="shared" si="136"/>
        <v>0</v>
      </c>
      <c r="K246" s="574">
        <f t="shared" si="136"/>
        <v>0</v>
      </c>
      <c r="L246" s="572">
        <f t="shared" si="136"/>
        <v>0</v>
      </c>
      <c r="M246" s="572">
        <f t="shared" si="136"/>
        <v>0</v>
      </c>
      <c r="N246" s="572">
        <f t="shared" si="136"/>
        <v>0</v>
      </c>
      <c r="O246" s="575">
        <f t="shared" si="136"/>
        <v>0</v>
      </c>
      <c r="P246" s="574">
        <f t="shared" si="136"/>
        <v>0</v>
      </c>
      <c r="Q246" s="572">
        <f t="shared" si="136"/>
        <v>0</v>
      </c>
      <c r="R246" s="572">
        <f t="shared" si="136"/>
        <v>0</v>
      </c>
      <c r="S246" s="575">
        <f t="shared" si="136"/>
        <v>0</v>
      </c>
      <c r="T246" s="574">
        <f t="shared" si="136"/>
        <v>0</v>
      </c>
      <c r="U246" s="253"/>
      <c r="V246" s="254"/>
      <c r="W246" s="255"/>
      <c r="X246" s="255"/>
      <c r="Y246" s="255"/>
      <c r="Z246" s="255"/>
      <c r="AA246" s="255"/>
      <c r="AB246" s="251"/>
      <c r="AC246" s="256"/>
      <c r="AD246" s="254"/>
      <c r="AE246" s="255"/>
      <c r="AF246" s="255"/>
      <c r="AG246" s="255"/>
      <c r="AH246" s="255"/>
      <c r="AI246" s="257"/>
      <c r="AJ246" s="254"/>
      <c r="AK246" s="255"/>
      <c r="AL246" s="257"/>
      <c r="AM246" s="254"/>
      <c r="AN246" s="563"/>
      <c r="AO246" s="209"/>
    </row>
    <row r="247" spans="1:41" s="500" customFormat="1">
      <c r="A247" s="580"/>
      <c r="B247" s="580" t="s">
        <v>131</v>
      </c>
      <c r="C247" s="581">
        <f>IF(V247&gt;0,(V247/V248),0)</f>
        <v>0</v>
      </c>
      <c r="D247" s="582">
        <f t="shared" ref="D247:T247" si="137">IF(W247&gt;0,(W247/W248),0)</f>
        <v>0</v>
      </c>
      <c r="E247" s="582">
        <f t="shared" si="137"/>
        <v>0</v>
      </c>
      <c r="F247" s="582">
        <f t="shared" si="137"/>
        <v>0</v>
      </c>
      <c r="G247" s="582">
        <f t="shared" si="137"/>
        <v>0</v>
      </c>
      <c r="H247" s="582">
        <f t="shared" si="137"/>
        <v>0</v>
      </c>
      <c r="I247" s="583">
        <f t="shared" si="137"/>
        <v>0</v>
      </c>
      <c r="J247" s="584">
        <f t="shared" si="137"/>
        <v>0</v>
      </c>
      <c r="K247" s="581">
        <f t="shared" si="137"/>
        <v>0</v>
      </c>
      <c r="L247" s="582">
        <f t="shared" si="137"/>
        <v>0</v>
      </c>
      <c r="M247" s="582">
        <f t="shared" si="137"/>
        <v>0</v>
      </c>
      <c r="N247" s="582">
        <f t="shared" si="137"/>
        <v>0</v>
      </c>
      <c r="O247" s="583">
        <f t="shared" si="137"/>
        <v>0</v>
      </c>
      <c r="P247" s="581">
        <f t="shared" si="137"/>
        <v>0</v>
      </c>
      <c r="Q247" s="581">
        <f t="shared" si="137"/>
        <v>0</v>
      </c>
      <c r="R247" s="582">
        <f t="shared" si="137"/>
        <v>0</v>
      </c>
      <c r="S247" s="583">
        <f t="shared" si="137"/>
        <v>0</v>
      </c>
      <c r="T247" s="581">
        <f t="shared" si="137"/>
        <v>0</v>
      </c>
      <c r="U247" s="253"/>
      <c r="V247" s="254"/>
      <c r="W247" s="255"/>
      <c r="X247" s="255"/>
      <c r="Y247" s="255"/>
      <c r="Z247" s="255"/>
      <c r="AA247" s="255"/>
      <c r="AB247" s="582"/>
      <c r="AC247" s="256"/>
      <c r="AD247" s="254"/>
      <c r="AE247" s="255"/>
      <c r="AF247" s="255"/>
      <c r="AG247" s="255"/>
      <c r="AH247" s="255"/>
      <c r="AI247" s="255"/>
      <c r="AJ247" s="254"/>
      <c r="AK247" s="255"/>
      <c r="AL247" s="257"/>
      <c r="AM247" s="254"/>
      <c r="AN247" s="209"/>
      <c r="AO247" s="209"/>
    </row>
    <row r="248" spans="1:41" s="527" customFormat="1">
      <c r="A248" s="436"/>
      <c r="B248" s="436" t="s">
        <v>59</v>
      </c>
      <c r="C248" s="456">
        <f>SUM(C243:C247)</f>
        <v>0</v>
      </c>
      <c r="D248" s="456">
        <f t="shared" ref="D248:T248" si="138">SUM(D243:D247)</f>
        <v>0</v>
      </c>
      <c r="E248" s="456">
        <f t="shared" si="138"/>
        <v>0</v>
      </c>
      <c r="F248" s="456">
        <f t="shared" si="138"/>
        <v>0</v>
      </c>
      <c r="G248" s="456">
        <f t="shared" si="138"/>
        <v>0</v>
      </c>
      <c r="H248" s="456">
        <f t="shared" si="138"/>
        <v>0</v>
      </c>
      <c r="I248" s="456">
        <f t="shared" si="138"/>
        <v>0</v>
      </c>
      <c r="J248" s="576">
        <f t="shared" si="138"/>
        <v>0</v>
      </c>
      <c r="K248" s="577">
        <f t="shared" si="138"/>
        <v>0</v>
      </c>
      <c r="L248" s="578">
        <f t="shared" si="138"/>
        <v>0</v>
      </c>
      <c r="M248" s="578">
        <f t="shared" si="138"/>
        <v>0</v>
      </c>
      <c r="N248" s="578">
        <f t="shared" si="138"/>
        <v>0</v>
      </c>
      <c r="O248" s="579">
        <f t="shared" si="138"/>
        <v>0</v>
      </c>
      <c r="P248" s="577">
        <f t="shared" si="138"/>
        <v>0</v>
      </c>
      <c r="Q248" s="578">
        <f t="shared" si="138"/>
        <v>0</v>
      </c>
      <c r="R248" s="578">
        <f t="shared" si="138"/>
        <v>0</v>
      </c>
      <c r="S248" s="579">
        <f t="shared" si="138"/>
        <v>0</v>
      </c>
      <c r="T248" s="577">
        <f t="shared" si="138"/>
        <v>0</v>
      </c>
      <c r="U248" s="264"/>
      <c r="V248" s="265"/>
      <c r="W248" s="266"/>
      <c r="X248" s="266"/>
      <c r="Y248" s="266"/>
      <c r="Z248" s="266"/>
      <c r="AA248" s="266"/>
      <c r="AB248" s="262"/>
      <c r="AC248" s="267"/>
      <c r="AD248" s="265"/>
      <c r="AE248" s="266"/>
      <c r="AF248" s="266"/>
      <c r="AG248" s="266"/>
      <c r="AH248" s="266"/>
      <c r="AI248" s="268"/>
      <c r="AJ248" s="265"/>
      <c r="AK248" s="266"/>
      <c r="AL248" s="268"/>
      <c r="AM248" s="265"/>
      <c r="AN248" s="270"/>
      <c r="AO248" s="270"/>
    </row>
    <row r="249" spans="1:41" s="500" customFormat="1">
      <c r="A249" s="240" t="s">
        <v>154</v>
      </c>
      <c r="B249" s="240" t="s">
        <v>53</v>
      </c>
      <c r="C249" s="568">
        <f>IF(V249&gt;0,(V249/V254),0)</f>
        <v>0</v>
      </c>
      <c r="D249" s="568">
        <f t="shared" ref="D249:T249" si="139">IF(W249&gt;0,(W249/W254),0)</f>
        <v>0</v>
      </c>
      <c r="E249" s="568">
        <f t="shared" si="139"/>
        <v>0</v>
      </c>
      <c r="F249" s="568">
        <f t="shared" si="139"/>
        <v>0</v>
      </c>
      <c r="G249" s="568">
        <f t="shared" si="139"/>
        <v>0</v>
      </c>
      <c r="H249" s="568">
        <f t="shared" si="139"/>
        <v>0</v>
      </c>
      <c r="I249" s="568">
        <f t="shared" si="139"/>
        <v>0</v>
      </c>
      <c r="J249" s="569">
        <f t="shared" si="139"/>
        <v>0</v>
      </c>
      <c r="K249" s="570">
        <f t="shared" si="139"/>
        <v>0</v>
      </c>
      <c r="L249" s="568">
        <f t="shared" si="139"/>
        <v>0</v>
      </c>
      <c r="M249" s="568">
        <f t="shared" si="139"/>
        <v>0</v>
      </c>
      <c r="N249" s="568">
        <f t="shared" si="139"/>
        <v>0</v>
      </c>
      <c r="O249" s="571">
        <f t="shared" si="139"/>
        <v>0</v>
      </c>
      <c r="P249" s="570">
        <f t="shared" si="139"/>
        <v>0</v>
      </c>
      <c r="Q249" s="568">
        <f t="shared" si="139"/>
        <v>0</v>
      </c>
      <c r="R249" s="568">
        <f t="shared" si="139"/>
        <v>0</v>
      </c>
      <c r="S249" s="571">
        <f t="shared" si="139"/>
        <v>0</v>
      </c>
      <c r="T249" s="570">
        <f t="shared" si="139"/>
        <v>0</v>
      </c>
      <c r="U249" s="253"/>
      <c r="V249" s="245"/>
      <c r="W249" s="246"/>
      <c r="X249" s="246"/>
      <c r="Y249" s="246"/>
      <c r="Z249" s="246"/>
      <c r="AA249" s="246"/>
      <c r="AB249" s="242"/>
      <c r="AC249" s="247"/>
      <c r="AD249" s="245"/>
      <c r="AE249" s="246"/>
      <c r="AF249" s="246"/>
      <c r="AG249" s="246"/>
      <c r="AH249" s="246"/>
      <c r="AI249" s="248"/>
      <c r="AJ249" s="245"/>
      <c r="AK249" s="246"/>
      <c r="AL249" s="248"/>
      <c r="AM249" s="245"/>
      <c r="AN249" s="563"/>
      <c r="AO249" s="209"/>
    </row>
    <row r="250" spans="1:41" s="500" customFormat="1">
      <c r="A250" s="239"/>
      <c r="B250" s="239" t="s">
        <v>93</v>
      </c>
      <c r="C250" s="572">
        <f>IF(V250&gt;0,(V250/V254),0)</f>
        <v>0</v>
      </c>
      <c r="D250" s="572">
        <f t="shared" ref="D250:T250" si="140">IF(W250&gt;0,(W250/W254),0)</f>
        <v>0</v>
      </c>
      <c r="E250" s="572">
        <f t="shared" si="140"/>
        <v>0</v>
      </c>
      <c r="F250" s="572">
        <f t="shared" si="140"/>
        <v>0</v>
      </c>
      <c r="G250" s="572">
        <f t="shared" si="140"/>
        <v>0</v>
      </c>
      <c r="H250" s="572">
        <f t="shared" si="140"/>
        <v>0</v>
      </c>
      <c r="I250" s="572">
        <f t="shared" si="140"/>
        <v>0</v>
      </c>
      <c r="J250" s="573">
        <f t="shared" si="140"/>
        <v>0</v>
      </c>
      <c r="K250" s="574">
        <f t="shared" si="140"/>
        <v>0</v>
      </c>
      <c r="L250" s="572">
        <f t="shared" si="140"/>
        <v>0</v>
      </c>
      <c r="M250" s="572">
        <f t="shared" si="140"/>
        <v>0</v>
      </c>
      <c r="N250" s="572">
        <f t="shared" si="140"/>
        <v>0</v>
      </c>
      <c r="O250" s="575">
        <f t="shared" si="140"/>
        <v>0</v>
      </c>
      <c r="P250" s="574">
        <f t="shared" si="140"/>
        <v>0</v>
      </c>
      <c r="Q250" s="572">
        <f t="shared" si="140"/>
        <v>0</v>
      </c>
      <c r="R250" s="572">
        <f t="shared" si="140"/>
        <v>0</v>
      </c>
      <c r="S250" s="575">
        <f t="shared" si="140"/>
        <v>0</v>
      </c>
      <c r="T250" s="574">
        <f t="shared" si="140"/>
        <v>0</v>
      </c>
      <c r="U250" s="253"/>
      <c r="V250" s="254"/>
      <c r="W250" s="255"/>
      <c r="X250" s="255"/>
      <c r="Y250" s="255"/>
      <c r="Z250" s="255"/>
      <c r="AA250" s="255"/>
      <c r="AB250" s="251"/>
      <c r="AC250" s="256"/>
      <c r="AD250" s="254"/>
      <c r="AE250" s="255"/>
      <c r="AF250" s="255"/>
      <c r="AG250" s="255"/>
      <c r="AH250" s="255"/>
      <c r="AI250" s="257"/>
      <c r="AJ250" s="254"/>
      <c r="AK250" s="255"/>
      <c r="AL250" s="257"/>
      <c r="AM250" s="254"/>
      <c r="AN250" s="563"/>
      <c r="AO250" s="209"/>
    </row>
    <row r="251" spans="1:41" s="500" customFormat="1">
      <c r="A251" s="239"/>
      <c r="B251" s="239" t="s">
        <v>55</v>
      </c>
      <c r="C251" s="572">
        <f>IF(V251&gt;0,(V251/V254),0)</f>
        <v>0</v>
      </c>
      <c r="D251" s="572">
        <f t="shared" ref="D251:T251" si="141">IF(W251&gt;0,(W251/W254),0)</f>
        <v>0</v>
      </c>
      <c r="E251" s="572">
        <f t="shared" si="141"/>
        <v>0</v>
      </c>
      <c r="F251" s="572">
        <f t="shared" si="141"/>
        <v>0</v>
      </c>
      <c r="G251" s="572">
        <f t="shared" si="141"/>
        <v>0</v>
      </c>
      <c r="H251" s="572">
        <f t="shared" si="141"/>
        <v>0</v>
      </c>
      <c r="I251" s="572">
        <f t="shared" si="141"/>
        <v>0</v>
      </c>
      <c r="J251" s="573">
        <f t="shared" si="141"/>
        <v>0</v>
      </c>
      <c r="K251" s="574">
        <f t="shared" si="141"/>
        <v>0</v>
      </c>
      <c r="L251" s="572">
        <f t="shared" si="141"/>
        <v>0</v>
      </c>
      <c r="M251" s="572">
        <f t="shared" si="141"/>
        <v>0</v>
      </c>
      <c r="N251" s="572">
        <f t="shared" si="141"/>
        <v>0</v>
      </c>
      <c r="O251" s="575">
        <f t="shared" si="141"/>
        <v>0</v>
      </c>
      <c r="P251" s="574">
        <f t="shared" si="141"/>
        <v>0</v>
      </c>
      <c r="Q251" s="572">
        <f t="shared" si="141"/>
        <v>0</v>
      </c>
      <c r="R251" s="572">
        <f t="shared" si="141"/>
        <v>0</v>
      </c>
      <c r="S251" s="575">
        <f t="shared" si="141"/>
        <v>0</v>
      </c>
      <c r="T251" s="574">
        <f t="shared" si="141"/>
        <v>0</v>
      </c>
      <c r="U251" s="253"/>
      <c r="V251" s="254"/>
      <c r="W251" s="255"/>
      <c r="X251" s="255"/>
      <c r="Y251" s="255"/>
      <c r="Z251" s="255"/>
      <c r="AA251" s="255"/>
      <c r="AB251" s="251"/>
      <c r="AC251" s="256"/>
      <c r="AD251" s="254"/>
      <c r="AE251" s="255"/>
      <c r="AF251" s="255"/>
      <c r="AG251" s="255"/>
      <c r="AH251" s="255"/>
      <c r="AI251" s="257"/>
      <c r="AJ251" s="254"/>
      <c r="AK251" s="255"/>
      <c r="AL251" s="257"/>
      <c r="AM251" s="254"/>
      <c r="AN251" s="563"/>
      <c r="AO251" s="209"/>
    </row>
    <row r="252" spans="1:41" s="500" customFormat="1">
      <c r="A252" s="239"/>
      <c r="B252" s="239" t="s">
        <v>78</v>
      </c>
      <c r="C252" s="572">
        <f>IF(V252&gt;0,(V252/V254),0)</f>
        <v>0</v>
      </c>
      <c r="D252" s="572">
        <f t="shared" ref="D252:T252" si="142">IF(W252&gt;0,(W252/W254),0)</f>
        <v>0</v>
      </c>
      <c r="E252" s="572">
        <f t="shared" si="142"/>
        <v>0</v>
      </c>
      <c r="F252" s="572">
        <f t="shared" si="142"/>
        <v>0</v>
      </c>
      <c r="G252" s="572">
        <f t="shared" si="142"/>
        <v>0</v>
      </c>
      <c r="H252" s="572">
        <f t="shared" si="142"/>
        <v>0</v>
      </c>
      <c r="I252" s="572">
        <f t="shared" si="142"/>
        <v>0</v>
      </c>
      <c r="J252" s="573">
        <f t="shared" si="142"/>
        <v>0</v>
      </c>
      <c r="K252" s="574">
        <f t="shared" si="142"/>
        <v>0</v>
      </c>
      <c r="L252" s="572">
        <f t="shared" si="142"/>
        <v>0</v>
      </c>
      <c r="M252" s="572">
        <f t="shared" si="142"/>
        <v>0</v>
      </c>
      <c r="N252" s="572">
        <f t="shared" si="142"/>
        <v>0</v>
      </c>
      <c r="O252" s="575">
        <f t="shared" si="142"/>
        <v>0</v>
      </c>
      <c r="P252" s="574">
        <f t="shared" si="142"/>
        <v>0</v>
      </c>
      <c r="Q252" s="572">
        <f t="shared" si="142"/>
        <v>0</v>
      </c>
      <c r="R252" s="572">
        <f t="shared" si="142"/>
        <v>0</v>
      </c>
      <c r="S252" s="575">
        <f t="shared" si="142"/>
        <v>0</v>
      </c>
      <c r="T252" s="574">
        <f t="shared" si="142"/>
        <v>0</v>
      </c>
      <c r="U252" s="253"/>
      <c r="V252" s="254"/>
      <c r="W252" s="255"/>
      <c r="X252" s="255"/>
      <c r="Y252" s="255"/>
      <c r="Z252" s="255"/>
      <c r="AA252" s="255"/>
      <c r="AB252" s="251"/>
      <c r="AC252" s="256"/>
      <c r="AD252" s="254"/>
      <c r="AE252" s="255"/>
      <c r="AF252" s="255"/>
      <c r="AG252" s="255"/>
      <c r="AH252" s="255"/>
      <c r="AI252" s="257"/>
      <c r="AJ252" s="254"/>
      <c r="AK252" s="255"/>
      <c r="AL252" s="257"/>
      <c r="AM252" s="254"/>
      <c r="AN252" s="563"/>
      <c r="AO252" s="209"/>
    </row>
    <row r="253" spans="1:41" s="500" customFormat="1">
      <c r="A253" s="580"/>
      <c r="B253" s="580" t="s">
        <v>131</v>
      </c>
      <c r="C253" s="581">
        <f>IF(V253&gt;0,(V253/V254),0)</f>
        <v>0</v>
      </c>
      <c r="D253" s="582">
        <f t="shared" ref="D253:T253" si="143">IF(W253&gt;0,(W253/W254),0)</f>
        <v>0</v>
      </c>
      <c r="E253" s="582">
        <f t="shared" si="143"/>
        <v>0</v>
      </c>
      <c r="F253" s="582">
        <f t="shared" si="143"/>
        <v>0</v>
      </c>
      <c r="G253" s="582">
        <f t="shared" si="143"/>
        <v>0</v>
      </c>
      <c r="H253" s="582">
        <f t="shared" si="143"/>
        <v>0</v>
      </c>
      <c r="I253" s="583">
        <f t="shared" si="143"/>
        <v>0</v>
      </c>
      <c r="J253" s="584">
        <f t="shared" si="143"/>
        <v>0</v>
      </c>
      <c r="K253" s="581">
        <f t="shared" si="143"/>
        <v>0</v>
      </c>
      <c r="L253" s="582">
        <f t="shared" si="143"/>
        <v>0</v>
      </c>
      <c r="M253" s="582">
        <f t="shared" si="143"/>
        <v>0</v>
      </c>
      <c r="N253" s="582">
        <f t="shared" si="143"/>
        <v>0</v>
      </c>
      <c r="O253" s="583">
        <f t="shared" si="143"/>
        <v>0</v>
      </c>
      <c r="P253" s="581">
        <f t="shared" si="143"/>
        <v>0</v>
      </c>
      <c r="Q253" s="581">
        <f t="shared" si="143"/>
        <v>0</v>
      </c>
      <c r="R253" s="582">
        <f t="shared" si="143"/>
        <v>0</v>
      </c>
      <c r="S253" s="583">
        <f t="shared" si="143"/>
        <v>0</v>
      </c>
      <c r="T253" s="581">
        <f t="shared" si="143"/>
        <v>0</v>
      </c>
      <c r="U253" s="253"/>
      <c r="V253" s="254"/>
      <c r="W253" s="255"/>
      <c r="X253" s="255"/>
      <c r="Y253" s="255"/>
      <c r="Z253" s="255"/>
      <c r="AA253" s="255"/>
      <c r="AB253" s="582"/>
      <c r="AC253" s="256"/>
      <c r="AD253" s="254"/>
      <c r="AE253" s="255"/>
      <c r="AF253" s="255"/>
      <c r="AG253" s="255"/>
      <c r="AH253" s="255"/>
      <c r="AI253" s="257"/>
      <c r="AJ253" s="254"/>
      <c r="AK253" s="255"/>
      <c r="AL253" s="257"/>
      <c r="AM253" s="254"/>
      <c r="AN253" s="209"/>
      <c r="AO253" s="209"/>
    </row>
    <row r="254" spans="1:41" s="527" customFormat="1">
      <c r="A254" s="436"/>
      <c r="B254" s="436" t="s">
        <v>59</v>
      </c>
      <c r="C254" s="456">
        <f>SUM(C249:C253)</f>
        <v>0</v>
      </c>
      <c r="D254" s="456">
        <f t="shared" ref="D254:T254" si="144">SUM(D249:D253)</f>
        <v>0</v>
      </c>
      <c r="E254" s="456">
        <f t="shared" si="144"/>
        <v>0</v>
      </c>
      <c r="F254" s="456">
        <f t="shared" si="144"/>
        <v>0</v>
      </c>
      <c r="G254" s="456">
        <f t="shared" si="144"/>
        <v>0</v>
      </c>
      <c r="H254" s="456">
        <f t="shared" si="144"/>
        <v>0</v>
      </c>
      <c r="I254" s="456">
        <f t="shared" si="144"/>
        <v>0</v>
      </c>
      <c r="J254" s="576">
        <f t="shared" si="144"/>
        <v>0</v>
      </c>
      <c r="K254" s="577">
        <f t="shared" si="144"/>
        <v>0</v>
      </c>
      <c r="L254" s="578">
        <f t="shared" si="144"/>
        <v>0</v>
      </c>
      <c r="M254" s="578">
        <f t="shared" si="144"/>
        <v>0</v>
      </c>
      <c r="N254" s="578">
        <f t="shared" si="144"/>
        <v>0</v>
      </c>
      <c r="O254" s="579">
        <f t="shared" si="144"/>
        <v>0</v>
      </c>
      <c r="P254" s="577">
        <f t="shared" si="144"/>
        <v>0</v>
      </c>
      <c r="Q254" s="578">
        <f t="shared" si="144"/>
        <v>0</v>
      </c>
      <c r="R254" s="578">
        <f t="shared" si="144"/>
        <v>0</v>
      </c>
      <c r="S254" s="579">
        <f t="shared" si="144"/>
        <v>0</v>
      </c>
      <c r="T254" s="577">
        <f t="shared" si="144"/>
        <v>0</v>
      </c>
      <c r="U254" s="264"/>
      <c r="V254" s="265"/>
      <c r="W254" s="266"/>
      <c r="X254" s="266"/>
      <c r="Y254" s="266"/>
      <c r="Z254" s="266"/>
      <c r="AA254" s="266"/>
      <c r="AB254" s="262"/>
      <c r="AC254" s="267"/>
      <c r="AD254" s="265"/>
      <c r="AE254" s="266"/>
      <c r="AF254" s="266"/>
      <c r="AG254" s="266"/>
      <c r="AH254" s="266"/>
      <c r="AI254" s="268"/>
      <c r="AJ254" s="265"/>
      <c r="AK254" s="266"/>
      <c r="AL254" s="268"/>
      <c r="AM254" s="265"/>
      <c r="AN254" s="270"/>
      <c r="AO254" s="270"/>
    </row>
    <row r="255" spans="1:41" s="500" customFormat="1">
      <c r="A255" s="240" t="s">
        <v>153</v>
      </c>
      <c r="B255" s="240" t="s">
        <v>53</v>
      </c>
      <c r="C255" s="568">
        <f>IF(V255&gt;0,(V255/V260),0)</f>
        <v>0</v>
      </c>
      <c r="D255" s="568">
        <f t="shared" ref="D255:T255" si="145">IF(W255&gt;0,(W255/W260),0)</f>
        <v>0</v>
      </c>
      <c r="E255" s="568">
        <f t="shared" si="145"/>
        <v>0</v>
      </c>
      <c r="F255" s="568">
        <f t="shared" si="145"/>
        <v>0</v>
      </c>
      <c r="G255" s="568">
        <f t="shared" si="145"/>
        <v>0</v>
      </c>
      <c r="H255" s="568">
        <f t="shared" si="145"/>
        <v>0</v>
      </c>
      <c r="I255" s="568">
        <f t="shared" si="145"/>
        <v>0</v>
      </c>
      <c r="J255" s="569">
        <f t="shared" si="145"/>
        <v>0</v>
      </c>
      <c r="K255" s="570">
        <f t="shared" si="145"/>
        <v>0</v>
      </c>
      <c r="L255" s="568">
        <f t="shared" si="145"/>
        <v>0</v>
      </c>
      <c r="M255" s="568">
        <f t="shared" si="145"/>
        <v>0</v>
      </c>
      <c r="N255" s="568">
        <f t="shared" si="145"/>
        <v>0</v>
      </c>
      <c r="O255" s="571">
        <f t="shared" si="145"/>
        <v>0</v>
      </c>
      <c r="P255" s="570">
        <f t="shared" si="145"/>
        <v>0</v>
      </c>
      <c r="Q255" s="568">
        <f t="shared" si="145"/>
        <v>0</v>
      </c>
      <c r="R255" s="568">
        <f t="shared" si="145"/>
        <v>0</v>
      </c>
      <c r="S255" s="571">
        <f t="shared" si="145"/>
        <v>0</v>
      </c>
      <c r="T255" s="570">
        <f t="shared" si="145"/>
        <v>0</v>
      </c>
      <c r="U255" s="253"/>
      <c r="V255" s="245"/>
      <c r="W255" s="246"/>
      <c r="X255" s="246"/>
      <c r="Y255" s="246"/>
      <c r="Z255" s="246"/>
      <c r="AA255" s="246"/>
      <c r="AB255" s="242"/>
      <c r="AC255" s="247"/>
      <c r="AD255" s="245"/>
      <c r="AE255" s="246"/>
      <c r="AF255" s="246"/>
      <c r="AG255" s="246"/>
      <c r="AH255" s="246"/>
      <c r="AI255" s="248"/>
      <c r="AJ255" s="245"/>
      <c r="AK255" s="246"/>
      <c r="AL255" s="248"/>
      <c r="AM255" s="245"/>
      <c r="AN255" s="563"/>
      <c r="AO255" s="209"/>
    </row>
    <row r="256" spans="1:41" s="500" customFormat="1">
      <c r="A256" s="239"/>
      <c r="B256" s="239" t="s">
        <v>93</v>
      </c>
      <c r="C256" s="572">
        <f>IF(V256&gt;0,(V256/V260),0)</f>
        <v>0</v>
      </c>
      <c r="D256" s="572">
        <f t="shared" ref="D256:T256" si="146">IF(W256&gt;0,(W256/W260),0)</f>
        <v>0</v>
      </c>
      <c r="E256" s="572">
        <f t="shared" si="146"/>
        <v>0</v>
      </c>
      <c r="F256" s="572">
        <f t="shared" si="146"/>
        <v>0</v>
      </c>
      <c r="G256" s="572">
        <f t="shared" si="146"/>
        <v>0</v>
      </c>
      <c r="H256" s="572">
        <f t="shared" si="146"/>
        <v>0</v>
      </c>
      <c r="I256" s="572">
        <f t="shared" si="146"/>
        <v>0</v>
      </c>
      <c r="J256" s="573">
        <f t="shared" si="146"/>
        <v>0</v>
      </c>
      <c r="K256" s="574">
        <f t="shared" si="146"/>
        <v>0</v>
      </c>
      <c r="L256" s="572">
        <f t="shared" si="146"/>
        <v>0</v>
      </c>
      <c r="M256" s="572">
        <f t="shared" si="146"/>
        <v>0</v>
      </c>
      <c r="N256" s="572">
        <f t="shared" si="146"/>
        <v>0</v>
      </c>
      <c r="O256" s="575">
        <f t="shared" si="146"/>
        <v>0</v>
      </c>
      <c r="P256" s="574">
        <f t="shared" si="146"/>
        <v>0</v>
      </c>
      <c r="Q256" s="572">
        <f t="shared" si="146"/>
        <v>0</v>
      </c>
      <c r="R256" s="572">
        <f t="shared" si="146"/>
        <v>0</v>
      </c>
      <c r="S256" s="575">
        <f t="shared" si="146"/>
        <v>0</v>
      </c>
      <c r="T256" s="574">
        <f t="shared" si="146"/>
        <v>0</v>
      </c>
      <c r="U256" s="253"/>
      <c r="V256" s="254"/>
      <c r="W256" s="255"/>
      <c r="X256" s="255"/>
      <c r="Y256" s="255"/>
      <c r="Z256" s="255"/>
      <c r="AA256" s="255"/>
      <c r="AB256" s="251"/>
      <c r="AC256" s="256"/>
      <c r="AD256" s="254"/>
      <c r="AE256" s="255"/>
      <c r="AF256" s="255"/>
      <c r="AG256" s="255"/>
      <c r="AH256" s="255"/>
      <c r="AI256" s="257"/>
      <c r="AJ256" s="254"/>
      <c r="AK256" s="255"/>
      <c r="AL256" s="257"/>
      <c r="AM256" s="254"/>
      <c r="AN256" s="563"/>
      <c r="AO256" s="209"/>
    </row>
    <row r="257" spans="1:41" s="500" customFormat="1">
      <c r="A257" s="239"/>
      <c r="B257" s="239" t="s">
        <v>55</v>
      </c>
      <c r="C257" s="572">
        <f>IF(V257&gt;0,(V257/V260),0)</f>
        <v>0</v>
      </c>
      <c r="D257" s="572">
        <f t="shared" ref="D257:T257" si="147">IF(W257&gt;0,(W257/W260),0)</f>
        <v>0</v>
      </c>
      <c r="E257" s="572">
        <f t="shared" si="147"/>
        <v>0</v>
      </c>
      <c r="F257" s="572">
        <f t="shared" si="147"/>
        <v>0</v>
      </c>
      <c r="G257" s="572">
        <f t="shared" si="147"/>
        <v>0</v>
      </c>
      <c r="H257" s="572">
        <f t="shared" si="147"/>
        <v>0</v>
      </c>
      <c r="I257" s="572">
        <f t="shared" si="147"/>
        <v>0</v>
      </c>
      <c r="J257" s="573">
        <f t="shared" si="147"/>
        <v>0</v>
      </c>
      <c r="K257" s="574">
        <f t="shared" si="147"/>
        <v>0</v>
      </c>
      <c r="L257" s="572">
        <f t="shared" si="147"/>
        <v>0</v>
      </c>
      <c r="M257" s="572">
        <f t="shared" si="147"/>
        <v>0</v>
      </c>
      <c r="N257" s="572">
        <f t="shared" si="147"/>
        <v>0</v>
      </c>
      <c r="O257" s="575">
        <f t="shared" si="147"/>
        <v>0</v>
      </c>
      <c r="P257" s="574">
        <f t="shared" si="147"/>
        <v>0</v>
      </c>
      <c r="Q257" s="572">
        <f t="shared" si="147"/>
        <v>0</v>
      </c>
      <c r="R257" s="572">
        <f t="shared" si="147"/>
        <v>0</v>
      </c>
      <c r="S257" s="575">
        <f t="shared" si="147"/>
        <v>0</v>
      </c>
      <c r="T257" s="574">
        <f t="shared" si="147"/>
        <v>0</v>
      </c>
      <c r="U257" s="253"/>
      <c r="V257" s="254"/>
      <c r="W257" s="255"/>
      <c r="X257" s="255"/>
      <c r="Y257" s="255"/>
      <c r="Z257" s="255"/>
      <c r="AA257" s="255"/>
      <c r="AB257" s="251"/>
      <c r="AC257" s="256"/>
      <c r="AD257" s="254"/>
      <c r="AE257" s="255"/>
      <c r="AF257" s="255"/>
      <c r="AG257" s="255"/>
      <c r="AH257" s="255"/>
      <c r="AI257" s="257"/>
      <c r="AJ257" s="254"/>
      <c r="AK257" s="255"/>
      <c r="AL257" s="257"/>
      <c r="AM257" s="254"/>
      <c r="AN257" s="563"/>
      <c r="AO257" s="209"/>
    </row>
    <row r="258" spans="1:41" s="500" customFormat="1">
      <c r="A258" s="239"/>
      <c r="B258" s="239" t="s">
        <v>78</v>
      </c>
      <c r="C258" s="572">
        <f>IF(V258&gt;0,(V258/V260),0)</f>
        <v>0</v>
      </c>
      <c r="D258" s="572">
        <f t="shared" ref="D258:T258" si="148">IF(W258&gt;0,(W258/W260),0)</f>
        <v>0</v>
      </c>
      <c r="E258" s="572">
        <f t="shared" si="148"/>
        <v>0</v>
      </c>
      <c r="F258" s="572">
        <f t="shared" si="148"/>
        <v>0</v>
      </c>
      <c r="G258" s="572">
        <f t="shared" si="148"/>
        <v>0</v>
      </c>
      <c r="H258" s="572">
        <f t="shared" si="148"/>
        <v>0</v>
      </c>
      <c r="I258" s="572">
        <f t="shared" si="148"/>
        <v>0</v>
      </c>
      <c r="J258" s="573">
        <f t="shared" si="148"/>
        <v>0</v>
      </c>
      <c r="K258" s="574">
        <f t="shared" si="148"/>
        <v>0</v>
      </c>
      <c r="L258" s="572">
        <f t="shared" si="148"/>
        <v>0</v>
      </c>
      <c r="M258" s="572">
        <f t="shared" si="148"/>
        <v>0</v>
      </c>
      <c r="N258" s="572">
        <f t="shared" si="148"/>
        <v>0</v>
      </c>
      <c r="O258" s="575">
        <f t="shared" si="148"/>
        <v>0</v>
      </c>
      <c r="P258" s="574">
        <f t="shared" si="148"/>
        <v>0</v>
      </c>
      <c r="Q258" s="572">
        <f t="shared" si="148"/>
        <v>0</v>
      </c>
      <c r="R258" s="572">
        <f t="shared" si="148"/>
        <v>0</v>
      </c>
      <c r="S258" s="575">
        <f t="shared" si="148"/>
        <v>0</v>
      </c>
      <c r="T258" s="574">
        <f t="shared" si="148"/>
        <v>0</v>
      </c>
      <c r="U258" s="253"/>
      <c r="V258" s="254"/>
      <c r="W258" s="255"/>
      <c r="X258" s="255"/>
      <c r="Y258" s="255"/>
      <c r="Z258" s="255"/>
      <c r="AA258" s="255"/>
      <c r="AB258" s="251"/>
      <c r="AC258" s="256"/>
      <c r="AD258" s="254"/>
      <c r="AE258" s="255"/>
      <c r="AF258" s="255"/>
      <c r="AG258" s="255"/>
      <c r="AH258" s="255"/>
      <c r="AI258" s="257"/>
      <c r="AJ258" s="254"/>
      <c r="AK258" s="255"/>
      <c r="AL258" s="257"/>
      <c r="AM258" s="254"/>
      <c r="AN258" s="563"/>
      <c r="AO258" s="209"/>
    </row>
    <row r="259" spans="1:41" s="500" customFormat="1">
      <c r="A259" s="580"/>
      <c r="B259" s="580" t="s">
        <v>131</v>
      </c>
      <c r="C259" s="581">
        <f>IF(V259&gt;0,(V259/V260),0)</f>
        <v>0</v>
      </c>
      <c r="D259" s="582">
        <f t="shared" ref="D259:T259" si="149">IF(W259&gt;0,(W259/W260),0)</f>
        <v>0</v>
      </c>
      <c r="E259" s="582">
        <f t="shared" si="149"/>
        <v>0</v>
      </c>
      <c r="F259" s="582">
        <f t="shared" si="149"/>
        <v>0</v>
      </c>
      <c r="G259" s="582">
        <f t="shared" si="149"/>
        <v>0</v>
      </c>
      <c r="H259" s="582">
        <f t="shared" si="149"/>
        <v>0</v>
      </c>
      <c r="I259" s="583">
        <f t="shared" si="149"/>
        <v>0</v>
      </c>
      <c r="J259" s="584">
        <f t="shared" si="149"/>
        <v>0</v>
      </c>
      <c r="K259" s="581">
        <f t="shared" si="149"/>
        <v>0</v>
      </c>
      <c r="L259" s="582">
        <f t="shared" si="149"/>
        <v>0</v>
      </c>
      <c r="M259" s="582">
        <f t="shared" si="149"/>
        <v>0</v>
      </c>
      <c r="N259" s="582">
        <f t="shared" si="149"/>
        <v>0</v>
      </c>
      <c r="O259" s="583">
        <f t="shared" si="149"/>
        <v>0</v>
      </c>
      <c r="P259" s="581">
        <f t="shared" si="149"/>
        <v>0</v>
      </c>
      <c r="Q259" s="581">
        <f t="shared" si="149"/>
        <v>0</v>
      </c>
      <c r="R259" s="582">
        <f t="shared" si="149"/>
        <v>0</v>
      </c>
      <c r="S259" s="583">
        <f t="shared" si="149"/>
        <v>0</v>
      </c>
      <c r="T259" s="581">
        <f t="shared" si="149"/>
        <v>0</v>
      </c>
      <c r="U259" s="253"/>
      <c r="V259" s="254"/>
      <c r="W259" s="255"/>
      <c r="X259" s="255"/>
      <c r="Y259" s="255"/>
      <c r="Z259" s="255"/>
      <c r="AA259" s="255"/>
      <c r="AB259" s="582"/>
      <c r="AC259" s="256"/>
      <c r="AD259" s="254"/>
      <c r="AE259" s="255"/>
      <c r="AF259" s="255"/>
      <c r="AG259" s="255"/>
      <c r="AH259" s="255"/>
      <c r="AI259" s="257"/>
      <c r="AJ259" s="254"/>
      <c r="AK259" s="255"/>
      <c r="AL259" s="257"/>
      <c r="AM259" s="254"/>
      <c r="AN259" s="209"/>
      <c r="AO259" s="209"/>
    </row>
    <row r="260" spans="1:41" s="527" customFormat="1">
      <c r="A260" s="436"/>
      <c r="B260" s="436" t="s">
        <v>59</v>
      </c>
      <c r="C260" s="456">
        <f>SUM(C255:C259)</f>
        <v>0</v>
      </c>
      <c r="D260" s="456">
        <f t="shared" ref="D260:T260" si="150">SUM(D255:D259)</f>
        <v>0</v>
      </c>
      <c r="E260" s="456">
        <f t="shared" si="150"/>
        <v>0</v>
      </c>
      <c r="F260" s="456">
        <f t="shared" si="150"/>
        <v>0</v>
      </c>
      <c r="G260" s="456">
        <f t="shared" si="150"/>
        <v>0</v>
      </c>
      <c r="H260" s="456">
        <f t="shared" si="150"/>
        <v>0</v>
      </c>
      <c r="I260" s="456">
        <f t="shared" si="150"/>
        <v>0</v>
      </c>
      <c r="J260" s="576">
        <f t="shared" si="150"/>
        <v>0</v>
      </c>
      <c r="K260" s="577">
        <f t="shared" si="150"/>
        <v>0</v>
      </c>
      <c r="L260" s="578">
        <f t="shared" si="150"/>
        <v>0</v>
      </c>
      <c r="M260" s="578">
        <f t="shared" si="150"/>
        <v>0</v>
      </c>
      <c r="N260" s="578">
        <f t="shared" si="150"/>
        <v>0</v>
      </c>
      <c r="O260" s="579">
        <f t="shared" si="150"/>
        <v>0</v>
      </c>
      <c r="P260" s="577">
        <f t="shared" si="150"/>
        <v>0</v>
      </c>
      <c r="Q260" s="578">
        <f t="shared" si="150"/>
        <v>0</v>
      </c>
      <c r="R260" s="578">
        <f t="shared" si="150"/>
        <v>0</v>
      </c>
      <c r="S260" s="579">
        <f t="shared" si="150"/>
        <v>0</v>
      </c>
      <c r="T260" s="577">
        <f t="shared" si="150"/>
        <v>0</v>
      </c>
      <c r="U260" s="264"/>
      <c r="V260" s="265"/>
      <c r="W260" s="266"/>
      <c r="X260" s="266"/>
      <c r="Y260" s="266"/>
      <c r="Z260" s="266"/>
      <c r="AA260" s="266"/>
      <c r="AB260" s="262"/>
      <c r="AC260" s="267"/>
      <c r="AD260" s="265"/>
      <c r="AE260" s="266"/>
      <c r="AF260" s="266"/>
      <c r="AG260" s="266"/>
      <c r="AH260" s="266"/>
      <c r="AI260" s="268"/>
      <c r="AJ260" s="265"/>
      <c r="AK260" s="266"/>
      <c r="AL260" s="268"/>
      <c r="AM260" s="265"/>
      <c r="AN260" s="270"/>
      <c r="AO260" s="270"/>
    </row>
    <row r="261" spans="1:41" s="500" customFormat="1">
      <c r="A261" s="240" t="s">
        <v>160</v>
      </c>
      <c r="B261" s="240" t="s">
        <v>53</v>
      </c>
      <c r="C261" s="568">
        <f>IF(V261&gt;0,(V261/V266),0)</f>
        <v>0</v>
      </c>
      <c r="D261" s="568">
        <f t="shared" ref="D261:T261" si="151">IF(W261&gt;0,(W261/W266),0)</f>
        <v>0</v>
      </c>
      <c r="E261" s="568">
        <f t="shared" si="151"/>
        <v>0</v>
      </c>
      <c r="F261" s="568">
        <f t="shared" si="151"/>
        <v>0</v>
      </c>
      <c r="G261" s="568">
        <f t="shared" si="151"/>
        <v>0</v>
      </c>
      <c r="H261" s="568">
        <f t="shared" si="151"/>
        <v>0</v>
      </c>
      <c r="I261" s="568">
        <f t="shared" si="151"/>
        <v>0</v>
      </c>
      <c r="J261" s="569">
        <f t="shared" si="151"/>
        <v>0</v>
      </c>
      <c r="K261" s="570">
        <f t="shared" si="151"/>
        <v>0</v>
      </c>
      <c r="L261" s="568">
        <f t="shared" si="151"/>
        <v>0</v>
      </c>
      <c r="M261" s="568">
        <f t="shared" si="151"/>
        <v>0</v>
      </c>
      <c r="N261" s="568">
        <f t="shared" si="151"/>
        <v>0</v>
      </c>
      <c r="O261" s="571">
        <f t="shared" si="151"/>
        <v>0</v>
      </c>
      <c r="P261" s="570">
        <f t="shared" si="151"/>
        <v>0</v>
      </c>
      <c r="Q261" s="568">
        <f t="shared" si="151"/>
        <v>0</v>
      </c>
      <c r="R261" s="568">
        <f t="shared" si="151"/>
        <v>0</v>
      </c>
      <c r="S261" s="571">
        <f t="shared" si="151"/>
        <v>0</v>
      </c>
      <c r="T261" s="570">
        <f t="shared" si="151"/>
        <v>0</v>
      </c>
      <c r="U261" s="253"/>
      <c r="V261" s="245"/>
      <c r="W261" s="246"/>
      <c r="X261" s="246"/>
      <c r="Y261" s="246"/>
      <c r="Z261" s="246"/>
      <c r="AA261" s="246"/>
      <c r="AB261" s="242"/>
      <c r="AC261" s="247"/>
      <c r="AD261" s="245"/>
      <c r="AE261" s="246"/>
      <c r="AF261" s="246"/>
      <c r="AG261" s="246"/>
      <c r="AH261" s="246"/>
      <c r="AI261" s="248"/>
      <c r="AJ261" s="245"/>
      <c r="AK261" s="246"/>
      <c r="AL261" s="248"/>
      <c r="AM261" s="245"/>
      <c r="AN261" s="563"/>
      <c r="AO261" s="209"/>
    </row>
    <row r="262" spans="1:41" s="500" customFormat="1">
      <c r="A262" s="239"/>
      <c r="B262" s="239" t="s">
        <v>93</v>
      </c>
      <c r="C262" s="572">
        <f>IF(V262&gt;0,(V262/V266),0)</f>
        <v>0</v>
      </c>
      <c r="D262" s="572">
        <f t="shared" ref="D262:T262" si="152">IF(W262&gt;0,(W262/W266),0)</f>
        <v>0</v>
      </c>
      <c r="E262" s="572">
        <f t="shared" si="152"/>
        <v>0</v>
      </c>
      <c r="F262" s="572">
        <f t="shared" si="152"/>
        <v>0</v>
      </c>
      <c r="G262" s="572">
        <f t="shared" si="152"/>
        <v>0</v>
      </c>
      <c r="H262" s="572">
        <f t="shared" si="152"/>
        <v>0</v>
      </c>
      <c r="I262" s="572">
        <f t="shared" si="152"/>
        <v>0</v>
      </c>
      <c r="J262" s="573">
        <f t="shared" si="152"/>
        <v>0</v>
      </c>
      <c r="K262" s="574">
        <f t="shared" si="152"/>
        <v>0</v>
      </c>
      <c r="L262" s="572">
        <f t="shared" si="152"/>
        <v>0</v>
      </c>
      <c r="M262" s="572">
        <f t="shared" si="152"/>
        <v>0</v>
      </c>
      <c r="N262" s="572">
        <f t="shared" si="152"/>
        <v>0</v>
      </c>
      <c r="O262" s="575">
        <f t="shared" si="152"/>
        <v>0</v>
      </c>
      <c r="P262" s="574">
        <f t="shared" si="152"/>
        <v>0</v>
      </c>
      <c r="Q262" s="572">
        <f t="shared" si="152"/>
        <v>0</v>
      </c>
      <c r="R262" s="572">
        <f t="shared" si="152"/>
        <v>0</v>
      </c>
      <c r="S262" s="575">
        <f t="shared" si="152"/>
        <v>0</v>
      </c>
      <c r="T262" s="574">
        <f t="shared" si="152"/>
        <v>0</v>
      </c>
      <c r="U262" s="253"/>
      <c r="V262" s="254"/>
      <c r="W262" s="255"/>
      <c r="X262" s="255"/>
      <c r="Y262" s="255"/>
      <c r="Z262" s="255"/>
      <c r="AA262" s="255"/>
      <c r="AB262" s="251"/>
      <c r="AC262" s="256"/>
      <c r="AD262" s="254"/>
      <c r="AE262" s="255"/>
      <c r="AF262" s="255"/>
      <c r="AG262" s="255"/>
      <c r="AH262" s="255"/>
      <c r="AI262" s="257"/>
      <c r="AJ262" s="254"/>
      <c r="AK262" s="255"/>
      <c r="AL262" s="257"/>
      <c r="AM262" s="254"/>
      <c r="AN262" s="563"/>
      <c r="AO262" s="209"/>
    </row>
    <row r="263" spans="1:41" s="500" customFormat="1">
      <c r="A263" s="239"/>
      <c r="B263" s="239" t="s">
        <v>55</v>
      </c>
      <c r="C263" s="572">
        <f>IF(V263&gt;0,(V263/V266),0)</f>
        <v>0</v>
      </c>
      <c r="D263" s="572">
        <f t="shared" ref="D263:T263" si="153">IF(W263&gt;0,(W263/W266),0)</f>
        <v>0</v>
      </c>
      <c r="E263" s="572">
        <f t="shared" si="153"/>
        <v>0</v>
      </c>
      <c r="F263" s="572">
        <f t="shared" si="153"/>
        <v>0</v>
      </c>
      <c r="G263" s="572">
        <f t="shared" si="153"/>
        <v>0</v>
      </c>
      <c r="H263" s="572">
        <f t="shared" si="153"/>
        <v>0</v>
      </c>
      <c r="I263" s="572">
        <f t="shared" si="153"/>
        <v>0</v>
      </c>
      <c r="J263" s="573">
        <f t="shared" si="153"/>
        <v>0</v>
      </c>
      <c r="K263" s="574">
        <f t="shared" si="153"/>
        <v>0</v>
      </c>
      <c r="L263" s="572">
        <f t="shared" si="153"/>
        <v>0</v>
      </c>
      <c r="M263" s="572">
        <f t="shared" si="153"/>
        <v>0</v>
      </c>
      <c r="N263" s="572">
        <f t="shared" si="153"/>
        <v>0</v>
      </c>
      <c r="O263" s="575">
        <f t="shared" si="153"/>
        <v>0</v>
      </c>
      <c r="P263" s="574">
        <f t="shared" si="153"/>
        <v>0</v>
      </c>
      <c r="Q263" s="572">
        <f t="shared" si="153"/>
        <v>0</v>
      </c>
      <c r="R263" s="572">
        <f t="shared" si="153"/>
        <v>0</v>
      </c>
      <c r="S263" s="575">
        <f t="shared" si="153"/>
        <v>0</v>
      </c>
      <c r="T263" s="574">
        <f t="shared" si="153"/>
        <v>0</v>
      </c>
      <c r="U263" s="253"/>
      <c r="V263" s="254"/>
      <c r="W263" s="255"/>
      <c r="X263" s="255"/>
      <c r="Y263" s="255"/>
      <c r="Z263" s="255"/>
      <c r="AA263" s="255"/>
      <c r="AB263" s="251"/>
      <c r="AC263" s="256"/>
      <c r="AD263" s="254"/>
      <c r="AE263" s="255"/>
      <c r="AF263" s="255"/>
      <c r="AG263" s="255"/>
      <c r="AH263" s="255"/>
      <c r="AI263" s="257"/>
      <c r="AJ263" s="254"/>
      <c r="AK263" s="255"/>
      <c r="AL263" s="257"/>
      <c r="AM263" s="254"/>
      <c r="AN263" s="563"/>
      <c r="AO263" s="209"/>
    </row>
    <row r="264" spans="1:41" s="500" customFormat="1">
      <c r="A264" s="239"/>
      <c r="B264" s="239" t="s">
        <v>78</v>
      </c>
      <c r="C264" s="572">
        <f>IF(V264&gt;0,(V264/V266),0)</f>
        <v>0</v>
      </c>
      <c r="D264" s="572">
        <f t="shared" ref="D264:T264" si="154">IF(W264&gt;0,(W264/W266),0)</f>
        <v>0</v>
      </c>
      <c r="E264" s="572">
        <f t="shared" si="154"/>
        <v>0</v>
      </c>
      <c r="F264" s="572">
        <f t="shared" si="154"/>
        <v>0</v>
      </c>
      <c r="G264" s="572">
        <f t="shared" si="154"/>
        <v>0</v>
      </c>
      <c r="H264" s="572">
        <f t="shared" si="154"/>
        <v>0</v>
      </c>
      <c r="I264" s="572">
        <f t="shared" si="154"/>
        <v>0</v>
      </c>
      <c r="J264" s="573">
        <f t="shared" si="154"/>
        <v>0</v>
      </c>
      <c r="K264" s="574">
        <f t="shared" si="154"/>
        <v>0</v>
      </c>
      <c r="L264" s="572">
        <f t="shared" si="154"/>
        <v>0</v>
      </c>
      <c r="M264" s="572">
        <f t="shared" si="154"/>
        <v>0</v>
      </c>
      <c r="N264" s="572">
        <f t="shared" si="154"/>
        <v>0</v>
      </c>
      <c r="O264" s="575">
        <f t="shared" si="154"/>
        <v>0</v>
      </c>
      <c r="P264" s="574">
        <f t="shared" si="154"/>
        <v>0</v>
      </c>
      <c r="Q264" s="572">
        <f t="shared" si="154"/>
        <v>0</v>
      </c>
      <c r="R264" s="572">
        <f t="shared" si="154"/>
        <v>0</v>
      </c>
      <c r="S264" s="575">
        <f t="shared" si="154"/>
        <v>0</v>
      </c>
      <c r="T264" s="574">
        <f t="shared" si="154"/>
        <v>0</v>
      </c>
      <c r="U264" s="253"/>
      <c r="V264" s="254"/>
      <c r="W264" s="255"/>
      <c r="X264" s="255"/>
      <c r="Y264" s="255"/>
      <c r="Z264" s="255"/>
      <c r="AA264" s="255"/>
      <c r="AB264" s="251"/>
      <c r="AC264" s="256"/>
      <c r="AD264" s="254"/>
      <c r="AE264" s="255"/>
      <c r="AF264" s="255"/>
      <c r="AG264" s="255"/>
      <c r="AH264" s="255"/>
      <c r="AI264" s="257"/>
      <c r="AJ264" s="254"/>
      <c r="AK264" s="255"/>
      <c r="AL264" s="257"/>
      <c r="AM264" s="254"/>
      <c r="AN264" s="563"/>
      <c r="AO264" s="209"/>
    </row>
    <row r="265" spans="1:41" s="500" customFormat="1">
      <c r="A265" s="580"/>
      <c r="B265" s="580" t="s">
        <v>131</v>
      </c>
      <c r="C265" s="581">
        <f>IF(V265&gt;0,(V265/V266),0)</f>
        <v>0</v>
      </c>
      <c r="D265" s="582">
        <f t="shared" ref="D265:T265" si="155">IF(W265&gt;0,(W265/W266),0)</f>
        <v>0</v>
      </c>
      <c r="E265" s="582">
        <f t="shared" si="155"/>
        <v>0</v>
      </c>
      <c r="F265" s="582">
        <f t="shared" si="155"/>
        <v>0</v>
      </c>
      <c r="G265" s="582">
        <f t="shared" si="155"/>
        <v>0</v>
      </c>
      <c r="H265" s="582">
        <f t="shared" si="155"/>
        <v>0</v>
      </c>
      <c r="I265" s="583">
        <f t="shared" si="155"/>
        <v>0</v>
      </c>
      <c r="J265" s="584">
        <f t="shared" si="155"/>
        <v>0</v>
      </c>
      <c r="K265" s="581">
        <f t="shared" si="155"/>
        <v>0</v>
      </c>
      <c r="L265" s="582">
        <f t="shared" si="155"/>
        <v>0</v>
      </c>
      <c r="M265" s="582">
        <f t="shared" si="155"/>
        <v>0</v>
      </c>
      <c r="N265" s="582">
        <f t="shared" si="155"/>
        <v>0</v>
      </c>
      <c r="O265" s="583">
        <f t="shared" si="155"/>
        <v>0</v>
      </c>
      <c r="P265" s="581">
        <f t="shared" si="155"/>
        <v>0</v>
      </c>
      <c r="Q265" s="581">
        <f t="shared" si="155"/>
        <v>0</v>
      </c>
      <c r="R265" s="582">
        <f t="shared" si="155"/>
        <v>0</v>
      </c>
      <c r="S265" s="583">
        <f t="shared" si="155"/>
        <v>0</v>
      </c>
      <c r="T265" s="581">
        <f t="shared" si="155"/>
        <v>0</v>
      </c>
      <c r="U265" s="253"/>
      <c r="V265" s="254"/>
      <c r="W265" s="255"/>
      <c r="X265" s="255"/>
      <c r="Y265" s="255"/>
      <c r="Z265" s="255"/>
      <c r="AA265" s="255"/>
      <c r="AB265" s="582"/>
      <c r="AC265" s="256"/>
      <c r="AD265" s="254"/>
      <c r="AE265" s="255"/>
      <c r="AF265" s="255"/>
      <c r="AG265" s="255"/>
      <c r="AH265" s="255"/>
      <c r="AI265" s="257"/>
      <c r="AJ265" s="254"/>
      <c r="AK265" s="255"/>
      <c r="AL265" s="257"/>
      <c r="AM265" s="254"/>
      <c r="AN265" s="209"/>
      <c r="AO265" s="209"/>
    </row>
    <row r="266" spans="1:41" s="527" customFormat="1">
      <c r="A266" s="436"/>
      <c r="B266" s="436" t="s">
        <v>59</v>
      </c>
      <c r="C266" s="456">
        <f>SUM(C261:C265)</f>
        <v>0</v>
      </c>
      <c r="D266" s="456">
        <f t="shared" ref="D266:T266" si="156">SUM(D261:D265)</f>
        <v>0</v>
      </c>
      <c r="E266" s="456">
        <f t="shared" si="156"/>
        <v>0</v>
      </c>
      <c r="F266" s="456">
        <f t="shared" si="156"/>
        <v>0</v>
      </c>
      <c r="G266" s="456">
        <f t="shared" si="156"/>
        <v>0</v>
      </c>
      <c r="H266" s="456">
        <f t="shared" si="156"/>
        <v>0</v>
      </c>
      <c r="I266" s="456">
        <f t="shared" si="156"/>
        <v>0</v>
      </c>
      <c r="J266" s="576">
        <f t="shared" si="156"/>
        <v>0</v>
      </c>
      <c r="K266" s="577">
        <f t="shared" si="156"/>
        <v>0</v>
      </c>
      <c r="L266" s="578">
        <f t="shared" si="156"/>
        <v>0</v>
      </c>
      <c r="M266" s="578">
        <f t="shared" si="156"/>
        <v>0</v>
      </c>
      <c r="N266" s="578">
        <f t="shared" si="156"/>
        <v>0</v>
      </c>
      <c r="O266" s="579">
        <f t="shared" si="156"/>
        <v>0</v>
      </c>
      <c r="P266" s="577">
        <f t="shared" si="156"/>
        <v>0</v>
      </c>
      <c r="Q266" s="578">
        <f t="shared" si="156"/>
        <v>0</v>
      </c>
      <c r="R266" s="578">
        <f t="shared" si="156"/>
        <v>0</v>
      </c>
      <c r="S266" s="579">
        <f t="shared" si="156"/>
        <v>0</v>
      </c>
      <c r="T266" s="577">
        <f t="shared" si="156"/>
        <v>0</v>
      </c>
      <c r="U266" s="264"/>
      <c r="V266" s="265"/>
      <c r="W266" s="266"/>
      <c r="X266" s="266"/>
      <c r="Y266" s="266"/>
      <c r="Z266" s="266"/>
      <c r="AA266" s="266"/>
      <c r="AB266" s="262"/>
      <c r="AC266" s="267"/>
      <c r="AD266" s="265"/>
      <c r="AE266" s="266"/>
      <c r="AF266" s="266"/>
      <c r="AG266" s="266"/>
      <c r="AH266" s="266"/>
      <c r="AI266" s="268"/>
      <c r="AJ266" s="265"/>
      <c r="AK266" s="266"/>
      <c r="AL266" s="268"/>
      <c r="AM266" s="265"/>
      <c r="AN266" s="270"/>
      <c r="AO266" s="270"/>
    </row>
    <row r="267" spans="1:41" s="500" customFormat="1">
      <c r="A267" s="240" t="s">
        <v>164</v>
      </c>
      <c r="B267" s="240" t="s">
        <v>53</v>
      </c>
      <c r="C267" s="568">
        <f>IF(V267&gt;0,(V267/V272),0)</f>
        <v>0</v>
      </c>
      <c r="D267" s="568">
        <f t="shared" ref="D267:T267" si="157">IF(W267&gt;0,(W267/W272),0)</f>
        <v>0</v>
      </c>
      <c r="E267" s="568">
        <f t="shared" si="157"/>
        <v>0</v>
      </c>
      <c r="F267" s="568">
        <f t="shared" si="157"/>
        <v>0</v>
      </c>
      <c r="G267" s="568">
        <f t="shared" si="157"/>
        <v>0</v>
      </c>
      <c r="H267" s="568">
        <f t="shared" si="157"/>
        <v>0</v>
      </c>
      <c r="I267" s="568">
        <f t="shared" si="157"/>
        <v>0</v>
      </c>
      <c r="J267" s="569">
        <f t="shared" si="157"/>
        <v>0</v>
      </c>
      <c r="K267" s="570">
        <f t="shared" si="157"/>
        <v>0</v>
      </c>
      <c r="L267" s="568">
        <f t="shared" si="157"/>
        <v>0</v>
      </c>
      <c r="M267" s="568">
        <f t="shared" si="157"/>
        <v>0</v>
      </c>
      <c r="N267" s="568">
        <f t="shared" si="157"/>
        <v>0</v>
      </c>
      <c r="O267" s="571">
        <f t="shared" si="157"/>
        <v>0</v>
      </c>
      <c r="P267" s="570">
        <f t="shared" si="157"/>
        <v>0</v>
      </c>
      <c r="Q267" s="568">
        <f t="shared" si="157"/>
        <v>0</v>
      </c>
      <c r="R267" s="568">
        <f t="shared" si="157"/>
        <v>0</v>
      </c>
      <c r="S267" s="571">
        <f t="shared" si="157"/>
        <v>0</v>
      </c>
      <c r="T267" s="570">
        <f t="shared" si="157"/>
        <v>0</v>
      </c>
      <c r="U267" s="253"/>
      <c r="V267" s="245"/>
      <c r="W267" s="246"/>
      <c r="X267" s="246"/>
      <c r="Y267" s="246"/>
      <c r="Z267" s="246"/>
      <c r="AA267" s="246"/>
      <c r="AB267" s="242"/>
      <c r="AC267" s="247"/>
      <c r="AD267" s="245"/>
      <c r="AE267" s="246"/>
      <c r="AF267" s="246"/>
      <c r="AG267" s="246"/>
      <c r="AH267" s="246"/>
      <c r="AI267" s="248"/>
      <c r="AJ267" s="245"/>
      <c r="AK267" s="246"/>
      <c r="AL267" s="248"/>
      <c r="AM267" s="245"/>
      <c r="AN267" s="563"/>
      <c r="AO267" s="209"/>
    </row>
    <row r="268" spans="1:41" s="500" customFormat="1">
      <c r="A268" s="239"/>
      <c r="B268" s="239" t="s">
        <v>93</v>
      </c>
      <c r="C268" s="572">
        <f>IF(V268&gt;0,(V268/V272),0)</f>
        <v>0</v>
      </c>
      <c r="D268" s="572">
        <f t="shared" ref="D268:T268" si="158">IF(W268&gt;0,(W268/W272),0)</f>
        <v>0</v>
      </c>
      <c r="E268" s="572">
        <f t="shared" si="158"/>
        <v>0</v>
      </c>
      <c r="F268" s="572">
        <f t="shared" si="158"/>
        <v>0</v>
      </c>
      <c r="G268" s="572">
        <f t="shared" si="158"/>
        <v>0</v>
      </c>
      <c r="H268" s="572">
        <f t="shared" si="158"/>
        <v>0</v>
      </c>
      <c r="I268" s="572">
        <f t="shared" si="158"/>
        <v>0</v>
      </c>
      <c r="J268" s="573">
        <f t="shared" si="158"/>
        <v>0</v>
      </c>
      <c r="K268" s="574">
        <f t="shared" si="158"/>
        <v>0</v>
      </c>
      <c r="L268" s="572">
        <f t="shared" si="158"/>
        <v>0</v>
      </c>
      <c r="M268" s="572">
        <f t="shared" si="158"/>
        <v>0</v>
      </c>
      <c r="N268" s="572">
        <f t="shared" si="158"/>
        <v>0</v>
      </c>
      <c r="O268" s="575">
        <f t="shared" si="158"/>
        <v>0</v>
      </c>
      <c r="P268" s="574">
        <f t="shared" si="158"/>
        <v>0</v>
      </c>
      <c r="Q268" s="572">
        <f t="shared" si="158"/>
        <v>0</v>
      </c>
      <c r="R268" s="572">
        <f t="shared" si="158"/>
        <v>0</v>
      </c>
      <c r="S268" s="575">
        <f t="shared" si="158"/>
        <v>0</v>
      </c>
      <c r="T268" s="574">
        <f t="shared" si="158"/>
        <v>0</v>
      </c>
      <c r="U268" s="253"/>
      <c r="V268" s="254"/>
      <c r="W268" s="255"/>
      <c r="X268" s="255"/>
      <c r="Y268" s="255"/>
      <c r="Z268" s="255"/>
      <c r="AA268" s="255"/>
      <c r="AB268" s="251"/>
      <c r="AC268" s="256"/>
      <c r="AD268" s="254"/>
      <c r="AE268" s="255"/>
      <c r="AF268" s="255"/>
      <c r="AG268" s="255"/>
      <c r="AH268" s="255"/>
      <c r="AI268" s="257"/>
      <c r="AJ268" s="254"/>
      <c r="AK268" s="255"/>
      <c r="AL268" s="257"/>
      <c r="AM268" s="254"/>
      <c r="AN268" s="563"/>
      <c r="AO268" s="209"/>
    </row>
    <row r="269" spans="1:41" s="500" customFormat="1">
      <c r="A269" s="239"/>
      <c r="B269" s="239" t="s">
        <v>55</v>
      </c>
      <c r="C269" s="572">
        <f>IF(V269&gt;0,(V269/V272),0)</f>
        <v>0</v>
      </c>
      <c r="D269" s="572">
        <f t="shared" ref="D269:T269" si="159">IF(W269&gt;0,(W269/W272),0)</f>
        <v>0</v>
      </c>
      <c r="E269" s="572">
        <f t="shared" si="159"/>
        <v>0</v>
      </c>
      <c r="F269" s="572">
        <f t="shared" si="159"/>
        <v>0</v>
      </c>
      <c r="G269" s="572">
        <f t="shared" si="159"/>
        <v>0</v>
      </c>
      <c r="H269" s="572">
        <f t="shared" si="159"/>
        <v>0</v>
      </c>
      <c r="I269" s="572">
        <f t="shared" si="159"/>
        <v>0</v>
      </c>
      <c r="J269" s="573">
        <f t="shared" si="159"/>
        <v>0</v>
      </c>
      <c r="K269" s="574">
        <f t="shared" si="159"/>
        <v>0</v>
      </c>
      <c r="L269" s="572">
        <f t="shared" si="159"/>
        <v>0</v>
      </c>
      <c r="M269" s="572">
        <f t="shared" si="159"/>
        <v>0</v>
      </c>
      <c r="N269" s="572">
        <f t="shared" si="159"/>
        <v>0</v>
      </c>
      <c r="O269" s="575">
        <f t="shared" si="159"/>
        <v>0</v>
      </c>
      <c r="P269" s="574">
        <f t="shared" si="159"/>
        <v>0</v>
      </c>
      <c r="Q269" s="572">
        <f t="shared" si="159"/>
        <v>0</v>
      </c>
      <c r="R269" s="572">
        <f t="shared" si="159"/>
        <v>0</v>
      </c>
      <c r="S269" s="575">
        <f t="shared" si="159"/>
        <v>0</v>
      </c>
      <c r="T269" s="574">
        <f t="shared" si="159"/>
        <v>0</v>
      </c>
      <c r="U269" s="253"/>
      <c r="V269" s="254"/>
      <c r="W269" s="255"/>
      <c r="X269" s="255"/>
      <c r="Y269" s="255"/>
      <c r="Z269" s="255"/>
      <c r="AA269" s="255"/>
      <c r="AB269" s="251"/>
      <c r="AC269" s="256"/>
      <c r="AD269" s="254"/>
      <c r="AE269" s="255"/>
      <c r="AF269" s="255"/>
      <c r="AG269" s="255"/>
      <c r="AH269" s="255"/>
      <c r="AI269" s="257"/>
      <c r="AJ269" s="254"/>
      <c r="AK269" s="255"/>
      <c r="AL269" s="257"/>
      <c r="AM269" s="254"/>
      <c r="AN269" s="563"/>
      <c r="AO269" s="209"/>
    </row>
    <row r="270" spans="1:41" s="500" customFormat="1">
      <c r="A270" s="239"/>
      <c r="B270" s="239" t="s">
        <v>78</v>
      </c>
      <c r="C270" s="572">
        <f>IF(V270&gt;0,(V270/V272),0)</f>
        <v>0</v>
      </c>
      <c r="D270" s="572">
        <f t="shared" ref="D270:T270" si="160">IF(W270&gt;0,(W270/W272),0)</f>
        <v>0</v>
      </c>
      <c r="E270" s="572">
        <f t="shared" si="160"/>
        <v>0</v>
      </c>
      <c r="F270" s="572">
        <f t="shared" si="160"/>
        <v>0</v>
      </c>
      <c r="G270" s="572">
        <f t="shared" si="160"/>
        <v>0</v>
      </c>
      <c r="H270" s="572">
        <f t="shared" si="160"/>
        <v>0</v>
      </c>
      <c r="I270" s="572">
        <f t="shared" si="160"/>
        <v>0</v>
      </c>
      <c r="J270" s="573">
        <f t="shared" si="160"/>
        <v>0</v>
      </c>
      <c r="K270" s="574">
        <f t="shared" si="160"/>
        <v>0</v>
      </c>
      <c r="L270" s="572">
        <f t="shared" si="160"/>
        <v>0</v>
      </c>
      <c r="M270" s="572">
        <f t="shared" si="160"/>
        <v>0</v>
      </c>
      <c r="N270" s="572">
        <f t="shared" si="160"/>
        <v>0</v>
      </c>
      <c r="O270" s="575">
        <f t="shared" si="160"/>
        <v>0</v>
      </c>
      <c r="P270" s="574">
        <f t="shared" si="160"/>
        <v>0</v>
      </c>
      <c r="Q270" s="572">
        <f t="shared" si="160"/>
        <v>0</v>
      </c>
      <c r="R270" s="572">
        <f t="shared" si="160"/>
        <v>0</v>
      </c>
      <c r="S270" s="575">
        <f t="shared" si="160"/>
        <v>0</v>
      </c>
      <c r="T270" s="574">
        <f t="shared" si="160"/>
        <v>0</v>
      </c>
      <c r="U270" s="253"/>
      <c r="V270" s="254"/>
      <c r="W270" s="255"/>
      <c r="X270" s="255"/>
      <c r="Y270" s="255"/>
      <c r="Z270" s="255"/>
      <c r="AA270" s="255"/>
      <c r="AB270" s="251"/>
      <c r="AC270" s="256"/>
      <c r="AD270" s="254"/>
      <c r="AE270" s="255"/>
      <c r="AF270" s="255"/>
      <c r="AG270" s="255"/>
      <c r="AH270" s="255"/>
      <c r="AI270" s="257"/>
      <c r="AJ270" s="254"/>
      <c r="AK270" s="255"/>
      <c r="AL270" s="257"/>
      <c r="AM270" s="254"/>
      <c r="AN270" s="563"/>
      <c r="AO270" s="209"/>
    </row>
    <row r="271" spans="1:41" s="500" customFormat="1">
      <c r="A271" s="580"/>
      <c r="B271" s="580" t="s">
        <v>131</v>
      </c>
      <c r="C271" s="581">
        <f>IF(V271&gt;0,(V271/V272),0)</f>
        <v>0</v>
      </c>
      <c r="D271" s="582">
        <f t="shared" ref="D271:T271" si="161">IF(W271&gt;0,(W271/W272),0)</f>
        <v>0</v>
      </c>
      <c r="E271" s="582">
        <f t="shared" si="161"/>
        <v>0</v>
      </c>
      <c r="F271" s="582">
        <f t="shared" si="161"/>
        <v>0</v>
      </c>
      <c r="G271" s="582">
        <f t="shared" si="161"/>
        <v>0</v>
      </c>
      <c r="H271" s="582">
        <f t="shared" si="161"/>
        <v>0</v>
      </c>
      <c r="I271" s="583">
        <f t="shared" si="161"/>
        <v>0</v>
      </c>
      <c r="J271" s="584">
        <f t="shared" si="161"/>
        <v>0</v>
      </c>
      <c r="K271" s="581">
        <f t="shared" si="161"/>
        <v>0</v>
      </c>
      <c r="L271" s="582">
        <f t="shared" si="161"/>
        <v>0</v>
      </c>
      <c r="M271" s="582">
        <f t="shared" si="161"/>
        <v>0</v>
      </c>
      <c r="N271" s="582">
        <f t="shared" si="161"/>
        <v>0</v>
      </c>
      <c r="O271" s="583">
        <f t="shared" si="161"/>
        <v>0</v>
      </c>
      <c r="P271" s="581">
        <f t="shared" si="161"/>
        <v>0</v>
      </c>
      <c r="Q271" s="581">
        <f t="shared" si="161"/>
        <v>0</v>
      </c>
      <c r="R271" s="582">
        <f t="shared" si="161"/>
        <v>0</v>
      </c>
      <c r="S271" s="583">
        <f t="shared" si="161"/>
        <v>0</v>
      </c>
      <c r="T271" s="581">
        <f t="shared" si="161"/>
        <v>0</v>
      </c>
      <c r="U271" s="253"/>
      <c r="V271" s="254"/>
      <c r="W271" s="255"/>
      <c r="X271" s="255"/>
      <c r="Y271" s="255"/>
      <c r="Z271" s="255"/>
      <c r="AA271" s="255"/>
      <c r="AB271" s="582"/>
      <c r="AC271" s="256"/>
      <c r="AD271" s="254"/>
      <c r="AE271" s="255"/>
      <c r="AF271" s="255"/>
      <c r="AG271" s="255"/>
      <c r="AH271" s="255"/>
      <c r="AI271" s="257"/>
      <c r="AJ271" s="254"/>
      <c r="AK271" s="255"/>
      <c r="AL271" s="257"/>
      <c r="AM271" s="254"/>
      <c r="AN271" s="209"/>
      <c r="AO271" s="209"/>
    </row>
    <row r="272" spans="1:41" s="527" customFormat="1">
      <c r="A272" s="436"/>
      <c r="B272" s="436" t="s">
        <v>59</v>
      </c>
      <c r="C272" s="456">
        <f>SUM(C267:C271)</f>
        <v>0</v>
      </c>
      <c r="D272" s="456">
        <f t="shared" ref="D272:T272" si="162">SUM(D267:D271)</f>
        <v>0</v>
      </c>
      <c r="E272" s="456">
        <f t="shared" si="162"/>
        <v>0</v>
      </c>
      <c r="F272" s="456">
        <f t="shared" si="162"/>
        <v>0</v>
      </c>
      <c r="G272" s="456">
        <f t="shared" si="162"/>
        <v>0</v>
      </c>
      <c r="H272" s="456">
        <f t="shared" si="162"/>
        <v>0</v>
      </c>
      <c r="I272" s="456">
        <f t="shared" si="162"/>
        <v>0</v>
      </c>
      <c r="J272" s="576">
        <f t="shared" si="162"/>
        <v>0</v>
      </c>
      <c r="K272" s="577">
        <f t="shared" si="162"/>
        <v>0</v>
      </c>
      <c r="L272" s="578">
        <f t="shared" si="162"/>
        <v>0</v>
      </c>
      <c r="M272" s="578">
        <f t="shared" si="162"/>
        <v>0</v>
      </c>
      <c r="N272" s="578">
        <f t="shared" si="162"/>
        <v>0</v>
      </c>
      <c r="O272" s="579">
        <f t="shared" si="162"/>
        <v>0</v>
      </c>
      <c r="P272" s="577">
        <f t="shared" si="162"/>
        <v>0</v>
      </c>
      <c r="Q272" s="578">
        <f t="shared" si="162"/>
        <v>0</v>
      </c>
      <c r="R272" s="578">
        <f t="shared" si="162"/>
        <v>0</v>
      </c>
      <c r="S272" s="579">
        <f t="shared" si="162"/>
        <v>0</v>
      </c>
      <c r="T272" s="577">
        <f t="shared" si="162"/>
        <v>0</v>
      </c>
      <c r="U272" s="264"/>
      <c r="V272" s="265"/>
      <c r="W272" s="266"/>
      <c r="X272" s="266"/>
      <c r="Y272" s="266"/>
      <c r="Z272" s="266"/>
      <c r="AA272" s="266"/>
      <c r="AB272" s="262"/>
      <c r="AC272" s="267"/>
      <c r="AD272" s="265"/>
      <c r="AE272" s="266"/>
      <c r="AF272" s="266"/>
      <c r="AG272" s="266"/>
      <c r="AH272" s="266"/>
      <c r="AI272" s="268"/>
      <c r="AJ272" s="265"/>
      <c r="AK272" s="266"/>
      <c r="AL272" s="268"/>
      <c r="AM272" s="265"/>
      <c r="AN272" s="270"/>
      <c r="AO272" s="270"/>
    </row>
    <row r="273" spans="1:41" s="500" customFormat="1">
      <c r="A273" s="240" t="s">
        <v>168</v>
      </c>
      <c r="B273" s="240" t="s">
        <v>53</v>
      </c>
      <c r="C273" s="568">
        <f>IF(V273&gt;0,(V273/V278),0)</f>
        <v>0</v>
      </c>
      <c r="D273" s="568">
        <f t="shared" ref="D273:T273" si="163">IF(W273&gt;0,(W273/W278),0)</f>
        <v>0</v>
      </c>
      <c r="E273" s="568">
        <f t="shared" si="163"/>
        <v>0</v>
      </c>
      <c r="F273" s="568">
        <f t="shared" si="163"/>
        <v>0</v>
      </c>
      <c r="G273" s="568">
        <f t="shared" si="163"/>
        <v>0</v>
      </c>
      <c r="H273" s="568">
        <f t="shared" si="163"/>
        <v>0</v>
      </c>
      <c r="I273" s="568">
        <f t="shared" si="163"/>
        <v>0</v>
      </c>
      <c r="J273" s="569">
        <f t="shared" si="163"/>
        <v>0</v>
      </c>
      <c r="K273" s="570">
        <f t="shared" si="163"/>
        <v>0</v>
      </c>
      <c r="L273" s="568">
        <f t="shared" si="163"/>
        <v>0</v>
      </c>
      <c r="M273" s="568">
        <f t="shared" si="163"/>
        <v>0</v>
      </c>
      <c r="N273" s="568">
        <f t="shared" si="163"/>
        <v>0</v>
      </c>
      <c r="O273" s="571">
        <f t="shared" si="163"/>
        <v>0</v>
      </c>
      <c r="P273" s="570">
        <f t="shared" si="163"/>
        <v>0</v>
      </c>
      <c r="Q273" s="568">
        <f t="shared" si="163"/>
        <v>0</v>
      </c>
      <c r="R273" s="568">
        <f t="shared" si="163"/>
        <v>0</v>
      </c>
      <c r="S273" s="571">
        <f t="shared" si="163"/>
        <v>0</v>
      </c>
      <c r="T273" s="570">
        <f t="shared" si="163"/>
        <v>0</v>
      </c>
      <c r="U273" s="253"/>
      <c r="V273" s="245"/>
      <c r="W273" s="246"/>
      <c r="X273" s="246"/>
      <c r="Y273" s="246"/>
      <c r="Z273" s="246"/>
      <c r="AA273" s="246"/>
      <c r="AB273" s="242"/>
      <c r="AC273" s="247"/>
      <c r="AD273" s="245"/>
      <c r="AE273" s="246"/>
      <c r="AF273" s="246"/>
      <c r="AG273" s="246"/>
      <c r="AH273" s="246"/>
      <c r="AI273" s="248"/>
      <c r="AJ273" s="245"/>
      <c r="AK273" s="246"/>
      <c r="AL273" s="248"/>
      <c r="AM273" s="245"/>
      <c r="AN273" s="563"/>
      <c r="AO273" s="209"/>
    </row>
    <row r="274" spans="1:41" s="500" customFormat="1">
      <c r="A274" s="239"/>
      <c r="B274" s="239" t="s">
        <v>93</v>
      </c>
      <c r="C274" s="572">
        <f>IF(V274&gt;0,(V274/V278),0)</f>
        <v>0</v>
      </c>
      <c r="D274" s="572">
        <f t="shared" ref="D274:T274" si="164">IF(W274&gt;0,(W274/W278),0)</f>
        <v>0</v>
      </c>
      <c r="E274" s="572">
        <f t="shared" si="164"/>
        <v>0</v>
      </c>
      <c r="F274" s="572">
        <f t="shared" si="164"/>
        <v>0</v>
      </c>
      <c r="G274" s="572">
        <f t="shared" si="164"/>
        <v>0</v>
      </c>
      <c r="H274" s="572">
        <f t="shared" si="164"/>
        <v>0</v>
      </c>
      <c r="I274" s="572">
        <f t="shared" si="164"/>
        <v>0</v>
      </c>
      <c r="J274" s="573">
        <f t="shared" si="164"/>
        <v>0</v>
      </c>
      <c r="K274" s="574">
        <f t="shared" si="164"/>
        <v>0</v>
      </c>
      <c r="L274" s="572">
        <f t="shared" si="164"/>
        <v>0</v>
      </c>
      <c r="M274" s="572">
        <f t="shared" si="164"/>
        <v>0</v>
      </c>
      <c r="N274" s="572">
        <f t="shared" si="164"/>
        <v>0</v>
      </c>
      <c r="O274" s="575">
        <f t="shared" si="164"/>
        <v>0</v>
      </c>
      <c r="P274" s="574">
        <f t="shared" si="164"/>
        <v>0</v>
      </c>
      <c r="Q274" s="572">
        <f t="shared" si="164"/>
        <v>0</v>
      </c>
      <c r="R274" s="572">
        <f t="shared" si="164"/>
        <v>0</v>
      </c>
      <c r="S274" s="575">
        <f t="shared" si="164"/>
        <v>0</v>
      </c>
      <c r="T274" s="574">
        <f t="shared" si="164"/>
        <v>0</v>
      </c>
      <c r="U274" s="253"/>
      <c r="V274" s="254"/>
      <c r="W274" s="255"/>
      <c r="X274" s="255"/>
      <c r="Y274" s="255"/>
      <c r="Z274" s="255"/>
      <c r="AA274" s="255"/>
      <c r="AB274" s="251"/>
      <c r="AC274" s="256"/>
      <c r="AD274" s="254"/>
      <c r="AE274" s="255"/>
      <c r="AF274" s="255"/>
      <c r="AG274" s="255"/>
      <c r="AH274" s="255"/>
      <c r="AI274" s="257"/>
      <c r="AJ274" s="254"/>
      <c r="AK274" s="255"/>
      <c r="AL274" s="257"/>
      <c r="AM274" s="254"/>
      <c r="AN274" s="563"/>
      <c r="AO274" s="209"/>
    </row>
    <row r="275" spans="1:41" s="500" customFormat="1">
      <c r="A275" s="239"/>
      <c r="B275" s="239" t="s">
        <v>55</v>
      </c>
      <c r="C275" s="572">
        <f>IF(V275&gt;0,(V275/V278),0)</f>
        <v>0</v>
      </c>
      <c r="D275" s="572">
        <f t="shared" ref="D275:T275" si="165">IF(W275&gt;0,(W275/W278),0)</f>
        <v>0</v>
      </c>
      <c r="E275" s="572">
        <f t="shared" si="165"/>
        <v>0</v>
      </c>
      <c r="F275" s="572">
        <f t="shared" si="165"/>
        <v>0</v>
      </c>
      <c r="G275" s="572">
        <f t="shared" si="165"/>
        <v>0</v>
      </c>
      <c r="H275" s="572">
        <f t="shared" si="165"/>
        <v>0</v>
      </c>
      <c r="I275" s="572">
        <f t="shared" si="165"/>
        <v>0</v>
      </c>
      <c r="J275" s="573">
        <f t="shared" si="165"/>
        <v>0</v>
      </c>
      <c r="K275" s="574">
        <f t="shared" si="165"/>
        <v>0</v>
      </c>
      <c r="L275" s="572">
        <f t="shared" si="165"/>
        <v>0</v>
      </c>
      <c r="M275" s="572">
        <f t="shared" si="165"/>
        <v>0</v>
      </c>
      <c r="N275" s="572">
        <f t="shared" si="165"/>
        <v>0</v>
      </c>
      <c r="O275" s="575">
        <f t="shared" si="165"/>
        <v>0</v>
      </c>
      <c r="P275" s="574">
        <f t="shared" si="165"/>
        <v>0</v>
      </c>
      <c r="Q275" s="572">
        <f t="shared" si="165"/>
        <v>0</v>
      </c>
      <c r="R275" s="572">
        <f t="shared" si="165"/>
        <v>0</v>
      </c>
      <c r="S275" s="575">
        <f t="shared" si="165"/>
        <v>0</v>
      </c>
      <c r="T275" s="574">
        <f t="shared" si="165"/>
        <v>0</v>
      </c>
      <c r="U275" s="253"/>
      <c r="V275" s="254"/>
      <c r="W275" s="255"/>
      <c r="X275" s="255"/>
      <c r="Y275" s="255"/>
      <c r="Z275" s="255"/>
      <c r="AA275" s="255"/>
      <c r="AB275" s="251"/>
      <c r="AC275" s="256"/>
      <c r="AD275" s="254"/>
      <c r="AE275" s="255"/>
      <c r="AF275" s="255"/>
      <c r="AG275" s="255"/>
      <c r="AH275" s="255"/>
      <c r="AI275" s="257"/>
      <c r="AJ275" s="254"/>
      <c r="AK275" s="255"/>
      <c r="AL275" s="257"/>
      <c r="AM275" s="254"/>
      <c r="AN275" s="563"/>
      <c r="AO275" s="209"/>
    </row>
    <row r="276" spans="1:41" s="500" customFormat="1">
      <c r="A276" s="239"/>
      <c r="B276" s="239" t="s">
        <v>78</v>
      </c>
      <c r="C276" s="572">
        <f>IF(V276&gt;0,(V276/V278),0)</f>
        <v>0</v>
      </c>
      <c r="D276" s="572">
        <f t="shared" ref="D276:T276" si="166">IF(W276&gt;0,(W276/W278),0)</f>
        <v>0</v>
      </c>
      <c r="E276" s="572">
        <f t="shared" si="166"/>
        <v>0</v>
      </c>
      <c r="F276" s="572">
        <f t="shared" si="166"/>
        <v>0</v>
      </c>
      <c r="G276" s="572">
        <f t="shared" si="166"/>
        <v>0</v>
      </c>
      <c r="H276" s="572">
        <f t="shared" si="166"/>
        <v>0</v>
      </c>
      <c r="I276" s="572">
        <f t="shared" si="166"/>
        <v>0</v>
      </c>
      <c r="J276" s="573">
        <f t="shared" si="166"/>
        <v>0</v>
      </c>
      <c r="K276" s="574">
        <f t="shared" si="166"/>
        <v>0</v>
      </c>
      <c r="L276" s="572">
        <f t="shared" si="166"/>
        <v>0</v>
      </c>
      <c r="M276" s="572">
        <f t="shared" si="166"/>
        <v>0</v>
      </c>
      <c r="N276" s="572">
        <f t="shared" si="166"/>
        <v>0</v>
      </c>
      <c r="O276" s="575">
        <f t="shared" si="166"/>
        <v>0</v>
      </c>
      <c r="P276" s="574">
        <f t="shared" si="166"/>
        <v>0</v>
      </c>
      <c r="Q276" s="572">
        <f t="shared" si="166"/>
        <v>0</v>
      </c>
      <c r="R276" s="572">
        <f t="shared" si="166"/>
        <v>0</v>
      </c>
      <c r="S276" s="575">
        <f t="shared" si="166"/>
        <v>0</v>
      </c>
      <c r="T276" s="574">
        <f t="shared" si="166"/>
        <v>0</v>
      </c>
      <c r="U276" s="253"/>
      <c r="V276" s="254"/>
      <c r="W276" s="255"/>
      <c r="X276" s="255"/>
      <c r="Y276" s="255"/>
      <c r="Z276" s="255"/>
      <c r="AA276" s="255"/>
      <c r="AB276" s="251"/>
      <c r="AC276" s="256"/>
      <c r="AD276" s="254"/>
      <c r="AE276" s="255"/>
      <c r="AF276" s="255"/>
      <c r="AG276" s="255"/>
      <c r="AH276" s="255"/>
      <c r="AI276" s="257"/>
      <c r="AJ276" s="254"/>
      <c r="AK276" s="255"/>
      <c r="AL276" s="257"/>
      <c r="AM276" s="254"/>
      <c r="AN276" s="563"/>
      <c r="AO276" s="209"/>
    </row>
    <row r="277" spans="1:41" s="500" customFormat="1">
      <c r="A277" s="580"/>
      <c r="B277" s="580" t="s">
        <v>131</v>
      </c>
      <c r="C277" s="581">
        <f>IF(V277&gt;0,(V277/V278),0)</f>
        <v>0</v>
      </c>
      <c r="D277" s="582">
        <f t="shared" ref="D277:T277" si="167">IF(W277&gt;0,(W277/W278),0)</f>
        <v>0</v>
      </c>
      <c r="E277" s="582">
        <f t="shared" si="167"/>
        <v>0</v>
      </c>
      <c r="F277" s="582">
        <f t="shared" si="167"/>
        <v>0</v>
      </c>
      <c r="G277" s="582">
        <f t="shared" si="167"/>
        <v>0</v>
      </c>
      <c r="H277" s="582">
        <f t="shared" si="167"/>
        <v>0</v>
      </c>
      <c r="I277" s="583">
        <f t="shared" si="167"/>
        <v>0</v>
      </c>
      <c r="J277" s="584">
        <f t="shared" si="167"/>
        <v>0</v>
      </c>
      <c r="K277" s="581">
        <f t="shared" si="167"/>
        <v>0</v>
      </c>
      <c r="L277" s="582">
        <f t="shared" si="167"/>
        <v>0</v>
      </c>
      <c r="M277" s="582">
        <f t="shared" si="167"/>
        <v>0</v>
      </c>
      <c r="N277" s="582">
        <f t="shared" si="167"/>
        <v>0</v>
      </c>
      <c r="O277" s="583">
        <f t="shared" si="167"/>
        <v>0</v>
      </c>
      <c r="P277" s="581">
        <f t="shared" si="167"/>
        <v>0</v>
      </c>
      <c r="Q277" s="581">
        <f t="shared" si="167"/>
        <v>0</v>
      </c>
      <c r="R277" s="582">
        <f t="shared" si="167"/>
        <v>0</v>
      </c>
      <c r="S277" s="583">
        <f t="shared" si="167"/>
        <v>0</v>
      </c>
      <c r="T277" s="581">
        <f t="shared" si="167"/>
        <v>0</v>
      </c>
      <c r="U277" s="253"/>
      <c r="V277" s="254"/>
      <c r="W277" s="255"/>
      <c r="X277" s="255"/>
      <c r="Y277" s="255"/>
      <c r="Z277" s="255"/>
      <c r="AA277" s="255"/>
      <c r="AB277" s="582"/>
      <c r="AC277" s="256"/>
      <c r="AD277" s="254"/>
      <c r="AE277" s="255"/>
      <c r="AF277" s="255"/>
      <c r="AG277" s="255"/>
      <c r="AH277" s="255"/>
      <c r="AI277" s="257"/>
      <c r="AJ277" s="254"/>
      <c r="AK277" s="255"/>
      <c r="AL277" s="257"/>
      <c r="AM277" s="254"/>
      <c r="AN277" s="209"/>
      <c r="AO277" s="209"/>
    </row>
    <row r="278" spans="1:41" s="527" customFormat="1">
      <c r="A278" s="436"/>
      <c r="B278" s="436" t="s">
        <v>59</v>
      </c>
      <c r="C278" s="456">
        <f>SUM(C273:C277)</f>
        <v>0</v>
      </c>
      <c r="D278" s="456">
        <f t="shared" ref="D278:T278" si="168">SUM(D273:D277)</f>
        <v>0</v>
      </c>
      <c r="E278" s="456">
        <f t="shared" si="168"/>
        <v>0</v>
      </c>
      <c r="F278" s="456">
        <f t="shared" si="168"/>
        <v>0</v>
      </c>
      <c r="G278" s="456">
        <f t="shared" si="168"/>
        <v>0</v>
      </c>
      <c r="H278" s="456">
        <f t="shared" si="168"/>
        <v>0</v>
      </c>
      <c r="I278" s="456">
        <f t="shared" si="168"/>
        <v>0</v>
      </c>
      <c r="J278" s="576">
        <f t="shared" si="168"/>
        <v>0</v>
      </c>
      <c r="K278" s="577">
        <f t="shared" si="168"/>
        <v>0</v>
      </c>
      <c r="L278" s="578">
        <f t="shared" si="168"/>
        <v>0</v>
      </c>
      <c r="M278" s="578">
        <f t="shared" si="168"/>
        <v>0</v>
      </c>
      <c r="N278" s="578">
        <f t="shared" si="168"/>
        <v>0</v>
      </c>
      <c r="O278" s="579">
        <f t="shared" si="168"/>
        <v>0</v>
      </c>
      <c r="P278" s="577">
        <f t="shared" si="168"/>
        <v>0</v>
      </c>
      <c r="Q278" s="578">
        <f t="shared" si="168"/>
        <v>0</v>
      </c>
      <c r="R278" s="578">
        <f t="shared" si="168"/>
        <v>0</v>
      </c>
      <c r="S278" s="579">
        <f t="shared" si="168"/>
        <v>0</v>
      </c>
      <c r="T278" s="577">
        <f t="shared" si="168"/>
        <v>0</v>
      </c>
      <c r="U278" s="264"/>
      <c r="V278" s="265"/>
      <c r="W278" s="266"/>
      <c r="X278" s="266"/>
      <c r="Y278" s="266"/>
      <c r="Z278" s="266"/>
      <c r="AA278" s="266"/>
      <c r="AB278" s="262"/>
      <c r="AC278" s="267"/>
      <c r="AD278" s="265"/>
      <c r="AE278" s="266"/>
      <c r="AF278" s="266"/>
      <c r="AG278" s="266"/>
      <c r="AH278" s="266"/>
      <c r="AI278" s="268"/>
      <c r="AJ278" s="265"/>
      <c r="AK278" s="266"/>
      <c r="AL278" s="268"/>
      <c r="AM278" s="265"/>
      <c r="AN278" s="270"/>
      <c r="AO278" s="270"/>
    </row>
    <row r="279" spans="1:41" s="500" customFormat="1">
      <c r="A279" s="240" t="s">
        <v>173</v>
      </c>
      <c r="B279" s="240" t="s">
        <v>53</v>
      </c>
      <c r="C279" s="568">
        <f>IF(V279&gt;0,(V279/V284),0)</f>
        <v>0</v>
      </c>
      <c r="D279" s="568">
        <f t="shared" ref="D279:T279" si="169">IF(W279&gt;0,(W279/W284),0)</f>
        <v>0</v>
      </c>
      <c r="E279" s="568">
        <f t="shared" si="169"/>
        <v>0</v>
      </c>
      <c r="F279" s="568">
        <f t="shared" si="169"/>
        <v>0</v>
      </c>
      <c r="G279" s="568">
        <f t="shared" si="169"/>
        <v>0</v>
      </c>
      <c r="H279" s="568">
        <f t="shared" si="169"/>
        <v>0</v>
      </c>
      <c r="I279" s="568">
        <f t="shared" si="169"/>
        <v>0</v>
      </c>
      <c r="J279" s="569">
        <f t="shared" si="169"/>
        <v>0</v>
      </c>
      <c r="K279" s="570">
        <f t="shared" si="169"/>
        <v>0</v>
      </c>
      <c r="L279" s="568">
        <f t="shared" si="169"/>
        <v>0</v>
      </c>
      <c r="M279" s="568">
        <f t="shared" si="169"/>
        <v>0</v>
      </c>
      <c r="N279" s="568">
        <f t="shared" si="169"/>
        <v>0</v>
      </c>
      <c r="O279" s="571">
        <f t="shared" si="169"/>
        <v>0</v>
      </c>
      <c r="P279" s="570">
        <f t="shared" si="169"/>
        <v>0</v>
      </c>
      <c r="Q279" s="568">
        <f t="shared" si="169"/>
        <v>0</v>
      </c>
      <c r="R279" s="568">
        <f t="shared" si="169"/>
        <v>0</v>
      </c>
      <c r="S279" s="571">
        <f t="shared" si="169"/>
        <v>0</v>
      </c>
      <c r="T279" s="570">
        <f t="shared" si="169"/>
        <v>0</v>
      </c>
      <c r="U279" s="244"/>
      <c r="V279" s="590">
        <f t="shared" ref="V279:AI279" si="170">+V285+V291+V297+V303+V309+V315+V321+V327+V333</f>
        <v>0</v>
      </c>
      <c r="W279" s="591">
        <f t="shared" si="170"/>
        <v>0</v>
      </c>
      <c r="X279" s="591">
        <f t="shared" si="170"/>
        <v>0</v>
      </c>
      <c r="Y279" s="591">
        <f t="shared" si="170"/>
        <v>0</v>
      </c>
      <c r="Z279" s="591">
        <f t="shared" si="170"/>
        <v>0</v>
      </c>
      <c r="AA279" s="591">
        <f t="shared" si="170"/>
        <v>0</v>
      </c>
      <c r="AB279" s="591">
        <f t="shared" si="170"/>
        <v>0</v>
      </c>
      <c r="AC279" s="592">
        <f t="shared" si="170"/>
        <v>0</v>
      </c>
      <c r="AD279" s="590">
        <f t="shared" si="170"/>
        <v>0</v>
      </c>
      <c r="AE279" s="591">
        <f t="shared" si="170"/>
        <v>0</v>
      </c>
      <c r="AF279" s="591">
        <f t="shared" si="170"/>
        <v>0</v>
      </c>
      <c r="AG279" s="591">
        <f t="shared" si="170"/>
        <v>0</v>
      </c>
      <c r="AH279" s="593">
        <f t="shared" si="170"/>
        <v>0</v>
      </c>
      <c r="AI279" s="593">
        <f t="shared" si="170"/>
        <v>0</v>
      </c>
      <c r="AJ279" s="590">
        <f t="shared" ref="AJ279:AM284" si="171">+AJ285+AJ291+AJ297+AJ303+AJ309+AJ315+AJ321+AJ327+AJ333</f>
        <v>0</v>
      </c>
      <c r="AK279" s="591">
        <f t="shared" si="171"/>
        <v>0</v>
      </c>
      <c r="AL279" s="593">
        <f t="shared" si="171"/>
        <v>0</v>
      </c>
      <c r="AM279" s="590">
        <f t="shared" si="171"/>
        <v>0</v>
      </c>
      <c r="AN279" s="209"/>
      <c r="AO279" s="209"/>
    </row>
    <row r="280" spans="1:41" s="500" customFormat="1">
      <c r="A280" s="239"/>
      <c r="B280" s="239" t="s">
        <v>93</v>
      </c>
      <c r="C280" s="572">
        <f>IF(V280&gt;0,(V280/V284),0)</f>
        <v>0</v>
      </c>
      <c r="D280" s="572">
        <f t="shared" ref="D280:T280" si="172">IF(W280&gt;0,(W280/W284),0)</f>
        <v>0</v>
      </c>
      <c r="E280" s="572">
        <f t="shared" si="172"/>
        <v>0</v>
      </c>
      <c r="F280" s="572">
        <f t="shared" si="172"/>
        <v>0</v>
      </c>
      <c r="G280" s="572">
        <f t="shared" si="172"/>
        <v>0</v>
      </c>
      <c r="H280" s="572">
        <f t="shared" si="172"/>
        <v>0</v>
      </c>
      <c r="I280" s="572">
        <f t="shared" si="172"/>
        <v>0</v>
      </c>
      <c r="J280" s="573">
        <f t="shared" si="172"/>
        <v>0</v>
      </c>
      <c r="K280" s="574">
        <f t="shared" si="172"/>
        <v>0</v>
      </c>
      <c r="L280" s="572">
        <f t="shared" si="172"/>
        <v>0</v>
      </c>
      <c r="M280" s="572">
        <f t="shared" si="172"/>
        <v>0</v>
      </c>
      <c r="N280" s="572">
        <f t="shared" si="172"/>
        <v>0</v>
      </c>
      <c r="O280" s="575">
        <f t="shared" si="172"/>
        <v>0</v>
      </c>
      <c r="P280" s="574">
        <f t="shared" si="172"/>
        <v>0</v>
      </c>
      <c r="Q280" s="572">
        <f t="shared" si="172"/>
        <v>0</v>
      </c>
      <c r="R280" s="572">
        <f t="shared" si="172"/>
        <v>0</v>
      </c>
      <c r="S280" s="575">
        <f t="shared" si="172"/>
        <v>0</v>
      </c>
      <c r="T280" s="574">
        <f t="shared" si="172"/>
        <v>0</v>
      </c>
      <c r="U280" s="253"/>
      <c r="V280" s="594">
        <f t="shared" ref="V280:AK283" si="173">+V286+V292+V298+V304+V310+V316+V322+V328+V334</f>
        <v>0</v>
      </c>
      <c r="W280" s="595">
        <f t="shared" si="173"/>
        <v>0</v>
      </c>
      <c r="X280" s="595">
        <f t="shared" si="173"/>
        <v>0</v>
      </c>
      <c r="Y280" s="595">
        <f t="shared" si="173"/>
        <v>0</v>
      </c>
      <c r="Z280" s="595">
        <f t="shared" si="173"/>
        <v>0</v>
      </c>
      <c r="AA280" s="595">
        <f t="shared" si="173"/>
        <v>0</v>
      </c>
      <c r="AB280" s="595">
        <f t="shared" si="173"/>
        <v>0</v>
      </c>
      <c r="AC280" s="596">
        <f t="shared" si="173"/>
        <v>0</v>
      </c>
      <c r="AD280" s="594">
        <f t="shared" si="173"/>
        <v>0</v>
      </c>
      <c r="AE280" s="595">
        <f t="shared" si="173"/>
        <v>0</v>
      </c>
      <c r="AF280" s="595">
        <f t="shared" si="173"/>
        <v>0</v>
      </c>
      <c r="AG280" s="595">
        <f t="shared" si="173"/>
        <v>0</v>
      </c>
      <c r="AH280" s="597">
        <f t="shared" si="173"/>
        <v>0</v>
      </c>
      <c r="AI280" s="597">
        <f t="shared" si="173"/>
        <v>0</v>
      </c>
      <c r="AJ280" s="594">
        <f t="shared" si="173"/>
        <v>0</v>
      </c>
      <c r="AK280" s="595">
        <f t="shared" si="173"/>
        <v>0</v>
      </c>
      <c r="AL280" s="597">
        <f t="shared" si="171"/>
        <v>0</v>
      </c>
      <c r="AM280" s="594">
        <f t="shared" si="171"/>
        <v>0</v>
      </c>
      <c r="AN280" s="209"/>
      <c r="AO280" s="209"/>
    </row>
    <row r="281" spans="1:41" s="500" customFormat="1">
      <c r="A281" s="239"/>
      <c r="B281" s="239" t="s">
        <v>55</v>
      </c>
      <c r="C281" s="572">
        <f>IF(V281&gt;0,(V281/V284),0)</f>
        <v>0</v>
      </c>
      <c r="D281" s="572">
        <f t="shared" ref="D281:T281" si="174">IF(W281&gt;0,(W281/W284),0)</f>
        <v>0</v>
      </c>
      <c r="E281" s="572">
        <f t="shared" si="174"/>
        <v>0</v>
      </c>
      <c r="F281" s="572">
        <f t="shared" si="174"/>
        <v>0</v>
      </c>
      <c r="G281" s="572">
        <f t="shared" si="174"/>
        <v>0</v>
      </c>
      <c r="H281" s="572">
        <f t="shared" si="174"/>
        <v>0</v>
      </c>
      <c r="I281" s="572">
        <f t="shared" si="174"/>
        <v>0</v>
      </c>
      <c r="J281" s="573">
        <f t="shared" si="174"/>
        <v>0</v>
      </c>
      <c r="K281" s="574">
        <f t="shared" si="174"/>
        <v>0</v>
      </c>
      <c r="L281" s="572">
        <f t="shared" si="174"/>
        <v>0</v>
      </c>
      <c r="M281" s="572">
        <f t="shared" si="174"/>
        <v>0</v>
      </c>
      <c r="N281" s="572">
        <f t="shared" si="174"/>
        <v>0</v>
      </c>
      <c r="O281" s="575">
        <f t="shared" si="174"/>
        <v>0</v>
      </c>
      <c r="P281" s="574">
        <f t="shared" si="174"/>
        <v>0</v>
      </c>
      <c r="Q281" s="572">
        <f t="shared" si="174"/>
        <v>0</v>
      </c>
      <c r="R281" s="572">
        <f t="shared" si="174"/>
        <v>0</v>
      </c>
      <c r="S281" s="575">
        <f t="shared" si="174"/>
        <v>0</v>
      </c>
      <c r="T281" s="574">
        <f t="shared" si="174"/>
        <v>0</v>
      </c>
      <c r="U281" s="253"/>
      <c r="V281" s="594">
        <f t="shared" si="173"/>
        <v>0</v>
      </c>
      <c r="W281" s="595">
        <f t="shared" si="173"/>
        <v>0</v>
      </c>
      <c r="X281" s="595">
        <f t="shared" si="173"/>
        <v>0</v>
      </c>
      <c r="Y281" s="595">
        <f t="shared" si="173"/>
        <v>0</v>
      </c>
      <c r="Z281" s="595">
        <f t="shared" si="173"/>
        <v>0</v>
      </c>
      <c r="AA281" s="595">
        <f t="shared" si="173"/>
        <v>0</v>
      </c>
      <c r="AB281" s="595">
        <f t="shared" si="173"/>
        <v>0</v>
      </c>
      <c r="AC281" s="596">
        <f t="shared" si="173"/>
        <v>0</v>
      </c>
      <c r="AD281" s="594">
        <f t="shared" si="173"/>
        <v>0</v>
      </c>
      <c r="AE281" s="595">
        <f t="shared" si="173"/>
        <v>0</v>
      </c>
      <c r="AF281" s="595">
        <f t="shared" si="173"/>
        <v>0</v>
      </c>
      <c r="AG281" s="595">
        <f t="shared" si="173"/>
        <v>0</v>
      </c>
      <c r="AH281" s="597">
        <f t="shared" si="173"/>
        <v>0</v>
      </c>
      <c r="AI281" s="597">
        <f t="shared" si="173"/>
        <v>0</v>
      </c>
      <c r="AJ281" s="594">
        <f t="shared" si="173"/>
        <v>0</v>
      </c>
      <c r="AK281" s="595">
        <f t="shared" si="173"/>
        <v>0</v>
      </c>
      <c r="AL281" s="597">
        <f t="shared" si="171"/>
        <v>0</v>
      </c>
      <c r="AM281" s="594">
        <f t="shared" si="171"/>
        <v>0</v>
      </c>
      <c r="AN281" s="209"/>
      <c r="AO281" s="209"/>
    </row>
    <row r="282" spans="1:41" s="500" customFormat="1">
      <c r="A282" s="239"/>
      <c r="B282" s="239" t="s">
        <v>78</v>
      </c>
      <c r="C282" s="572">
        <f>IF(V282&gt;0,(V282/V284),0)</f>
        <v>0</v>
      </c>
      <c r="D282" s="572">
        <f t="shared" ref="D282:T282" si="175">IF(W282&gt;0,(W282/W284),0)</f>
        <v>0</v>
      </c>
      <c r="E282" s="572">
        <f t="shared" si="175"/>
        <v>0</v>
      </c>
      <c r="F282" s="572">
        <f t="shared" si="175"/>
        <v>0</v>
      </c>
      <c r="G282" s="572">
        <f t="shared" si="175"/>
        <v>0</v>
      </c>
      <c r="H282" s="572">
        <f t="shared" si="175"/>
        <v>0</v>
      </c>
      <c r="I282" s="572">
        <f t="shared" si="175"/>
        <v>0</v>
      </c>
      <c r="J282" s="573">
        <f t="shared" si="175"/>
        <v>0</v>
      </c>
      <c r="K282" s="574">
        <f t="shared" si="175"/>
        <v>0</v>
      </c>
      <c r="L282" s="572">
        <f t="shared" si="175"/>
        <v>0</v>
      </c>
      <c r="M282" s="572">
        <f t="shared" si="175"/>
        <v>0</v>
      </c>
      <c r="N282" s="572">
        <f t="shared" si="175"/>
        <v>0</v>
      </c>
      <c r="O282" s="575">
        <f t="shared" si="175"/>
        <v>0</v>
      </c>
      <c r="P282" s="574">
        <f t="shared" si="175"/>
        <v>0</v>
      </c>
      <c r="Q282" s="572">
        <f t="shared" si="175"/>
        <v>0</v>
      </c>
      <c r="R282" s="572">
        <f t="shared" si="175"/>
        <v>0</v>
      </c>
      <c r="S282" s="575">
        <f t="shared" si="175"/>
        <v>0</v>
      </c>
      <c r="T282" s="574">
        <f t="shared" si="175"/>
        <v>0</v>
      </c>
      <c r="U282" s="253"/>
      <c r="V282" s="594">
        <f t="shared" si="173"/>
        <v>0</v>
      </c>
      <c r="W282" s="595">
        <f t="shared" si="173"/>
        <v>0</v>
      </c>
      <c r="X282" s="595">
        <f t="shared" si="173"/>
        <v>0</v>
      </c>
      <c r="Y282" s="595">
        <f t="shared" si="173"/>
        <v>0</v>
      </c>
      <c r="Z282" s="595">
        <f t="shared" si="173"/>
        <v>0</v>
      </c>
      <c r="AA282" s="595">
        <f t="shared" si="173"/>
        <v>0</v>
      </c>
      <c r="AB282" s="595">
        <f t="shared" si="173"/>
        <v>0</v>
      </c>
      <c r="AC282" s="596">
        <f t="shared" si="173"/>
        <v>0</v>
      </c>
      <c r="AD282" s="594">
        <f t="shared" si="173"/>
        <v>0</v>
      </c>
      <c r="AE282" s="595">
        <f t="shared" si="173"/>
        <v>0</v>
      </c>
      <c r="AF282" s="595">
        <f t="shared" si="173"/>
        <v>0</v>
      </c>
      <c r="AG282" s="595">
        <f t="shared" si="173"/>
        <v>0</v>
      </c>
      <c r="AH282" s="597">
        <f t="shared" si="173"/>
        <v>0</v>
      </c>
      <c r="AI282" s="597">
        <f t="shared" si="173"/>
        <v>0</v>
      </c>
      <c r="AJ282" s="594">
        <f t="shared" si="173"/>
        <v>0</v>
      </c>
      <c r="AK282" s="595">
        <f t="shared" si="173"/>
        <v>0</v>
      </c>
      <c r="AL282" s="597">
        <f t="shared" si="171"/>
        <v>0</v>
      </c>
      <c r="AM282" s="594">
        <f t="shared" si="171"/>
        <v>0</v>
      </c>
      <c r="AN282" s="209"/>
      <c r="AO282" s="209"/>
    </row>
    <row r="283" spans="1:41" s="500" customFormat="1">
      <c r="A283" s="580"/>
      <c r="B283" s="580" t="s">
        <v>131</v>
      </c>
      <c r="C283" s="581">
        <f>IF(V283&gt;0,(V283/V284),0)</f>
        <v>0</v>
      </c>
      <c r="D283" s="582">
        <f t="shared" ref="D283:T283" si="176">IF(W283&gt;0,(W283/W284),0)</f>
        <v>0</v>
      </c>
      <c r="E283" s="582">
        <f t="shared" si="176"/>
        <v>0</v>
      </c>
      <c r="F283" s="582">
        <f t="shared" si="176"/>
        <v>0</v>
      </c>
      <c r="G283" s="582">
        <f t="shared" si="176"/>
        <v>0</v>
      </c>
      <c r="H283" s="582">
        <f t="shared" si="176"/>
        <v>0</v>
      </c>
      <c r="I283" s="583">
        <f t="shared" si="176"/>
        <v>0</v>
      </c>
      <c r="J283" s="584">
        <f t="shared" si="176"/>
        <v>0</v>
      </c>
      <c r="K283" s="581">
        <f t="shared" si="176"/>
        <v>0</v>
      </c>
      <c r="L283" s="582">
        <f t="shared" si="176"/>
        <v>0</v>
      </c>
      <c r="M283" s="582">
        <f t="shared" si="176"/>
        <v>0</v>
      </c>
      <c r="N283" s="582">
        <f t="shared" si="176"/>
        <v>0</v>
      </c>
      <c r="O283" s="583">
        <f t="shared" si="176"/>
        <v>0</v>
      </c>
      <c r="P283" s="581">
        <f t="shared" si="176"/>
        <v>0</v>
      </c>
      <c r="Q283" s="581">
        <f t="shared" si="176"/>
        <v>0</v>
      </c>
      <c r="R283" s="582">
        <f t="shared" si="176"/>
        <v>0</v>
      </c>
      <c r="S283" s="583">
        <f t="shared" si="176"/>
        <v>0</v>
      </c>
      <c r="T283" s="581">
        <f t="shared" si="176"/>
        <v>0</v>
      </c>
      <c r="U283" s="253"/>
      <c r="V283" s="585">
        <f t="shared" si="173"/>
        <v>0</v>
      </c>
      <c r="W283" s="586">
        <f t="shared" si="173"/>
        <v>0</v>
      </c>
      <c r="X283" s="586">
        <f t="shared" si="173"/>
        <v>0</v>
      </c>
      <c r="Y283" s="586">
        <f t="shared" si="173"/>
        <v>0</v>
      </c>
      <c r="Z283" s="586">
        <f t="shared" si="173"/>
        <v>0</v>
      </c>
      <c r="AA283" s="586">
        <f t="shared" si="173"/>
        <v>0</v>
      </c>
      <c r="AB283" s="586">
        <f t="shared" si="173"/>
        <v>0</v>
      </c>
      <c r="AC283" s="587">
        <f t="shared" si="173"/>
        <v>0</v>
      </c>
      <c r="AD283" s="585">
        <f t="shared" si="173"/>
        <v>0</v>
      </c>
      <c r="AE283" s="586">
        <f t="shared" si="173"/>
        <v>0</v>
      </c>
      <c r="AF283" s="586">
        <f t="shared" si="173"/>
        <v>0</v>
      </c>
      <c r="AG283" s="586">
        <f t="shared" si="173"/>
        <v>0</v>
      </c>
      <c r="AH283" s="588">
        <f t="shared" si="173"/>
        <v>0</v>
      </c>
      <c r="AI283" s="588">
        <f t="shared" si="173"/>
        <v>0</v>
      </c>
      <c r="AJ283" s="585">
        <f t="shared" si="173"/>
        <v>0</v>
      </c>
      <c r="AK283" s="586">
        <f t="shared" si="173"/>
        <v>0</v>
      </c>
      <c r="AL283" s="588">
        <f t="shared" si="171"/>
        <v>0</v>
      </c>
      <c r="AM283" s="585">
        <f t="shared" si="171"/>
        <v>0</v>
      </c>
      <c r="AN283" s="209"/>
      <c r="AO283" s="209"/>
    </row>
    <row r="284" spans="1:41" s="527" customFormat="1">
      <c r="A284" s="436" t="s">
        <v>86</v>
      </c>
      <c r="B284" s="436" t="s">
        <v>59</v>
      </c>
      <c r="C284" s="456">
        <f>SUM(C279:C283)</f>
        <v>0</v>
      </c>
      <c r="D284" s="456">
        <f t="shared" ref="D284:T284" si="177">SUM(D279:D283)</f>
        <v>0</v>
      </c>
      <c r="E284" s="456">
        <f t="shared" si="177"/>
        <v>0</v>
      </c>
      <c r="F284" s="456">
        <f t="shared" si="177"/>
        <v>0</v>
      </c>
      <c r="G284" s="456">
        <f t="shared" si="177"/>
        <v>0</v>
      </c>
      <c r="H284" s="456">
        <f t="shared" si="177"/>
        <v>0</v>
      </c>
      <c r="I284" s="456">
        <f t="shared" si="177"/>
        <v>0</v>
      </c>
      <c r="J284" s="576">
        <f t="shared" si="177"/>
        <v>0</v>
      </c>
      <c r="K284" s="577">
        <f t="shared" si="177"/>
        <v>0</v>
      </c>
      <c r="L284" s="578">
        <f t="shared" si="177"/>
        <v>0</v>
      </c>
      <c r="M284" s="578">
        <f t="shared" si="177"/>
        <v>0</v>
      </c>
      <c r="N284" s="578">
        <f t="shared" si="177"/>
        <v>0</v>
      </c>
      <c r="O284" s="579">
        <f t="shared" si="177"/>
        <v>0</v>
      </c>
      <c r="P284" s="577">
        <f t="shared" si="177"/>
        <v>0</v>
      </c>
      <c r="Q284" s="578">
        <f t="shared" si="177"/>
        <v>0</v>
      </c>
      <c r="R284" s="578">
        <f t="shared" si="177"/>
        <v>0</v>
      </c>
      <c r="S284" s="579">
        <f t="shared" si="177"/>
        <v>0</v>
      </c>
      <c r="T284" s="577">
        <f t="shared" si="177"/>
        <v>0</v>
      </c>
      <c r="U284" s="264"/>
      <c r="V284" s="598">
        <f t="shared" ref="V284:AI284" si="178">+V290+V296+V302+V308+V314+V320+V326+V332+V338</f>
        <v>0</v>
      </c>
      <c r="W284" s="599">
        <f t="shared" si="178"/>
        <v>0</v>
      </c>
      <c r="X284" s="599">
        <f t="shared" si="178"/>
        <v>0</v>
      </c>
      <c r="Y284" s="599">
        <f t="shared" si="178"/>
        <v>0</v>
      </c>
      <c r="Z284" s="599">
        <f t="shared" si="178"/>
        <v>0</v>
      </c>
      <c r="AA284" s="599">
        <f t="shared" si="178"/>
        <v>0</v>
      </c>
      <c r="AB284" s="599">
        <f t="shared" si="178"/>
        <v>0</v>
      </c>
      <c r="AC284" s="600">
        <f t="shared" si="178"/>
        <v>0</v>
      </c>
      <c r="AD284" s="598">
        <f t="shared" si="178"/>
        <v>0</v>
      </c>
      <c r="AE284" s="599">
        <f t="shared" si="178"/>
        <v>0</v>
      </c>
      <c r="AF284" s="599">
        <f t="shared" si="178"/>
        <v>0</v>
      </c>
      <c r="AG284" s="599">
        <f t="shared" si="178"/>
        <v>0</v>
      </c>
      <c r="AH284" s="601">
        <f t="shared" si="178"/>
        <v>0</v>
      </c>
      <c r="AI284" s="601">
        <f t="shared" si="178"/>
        <v>0</v>
      </c>
      <c r="AJ284" s="598">
        <f t="shared" si="171"/>
        <v>0</v>
      </c>
      <c r="AK284" s="599">
        <f t="shared" si="171"/>
        <v>0</v>
      </c>
      <c r="AL284" s="601">
        <f t="shared" si="171"/>
        <v>0</v>
      </c>
      <c r="AM284" s="598">
        <f t="shared" si="171"/>
        <v>0</v>
      </c>
      <c r="AN284" s="270"/>
      <c r="AO284" s="270"/>
    </row>
    <row r="285" spans="1:41" s="500" customFormat="1">
      <c r="A285" s="240" t="s">
        <v>140</v>
      </c>
      <c r="B285" s="240" t="s">
        <v>53</v>
      </c>
      <c r="C285" s="568">
        <f t="shared" ref="C285:P285" si="179">IF(V285&gt;0,(V285/V290),0)</f>
        <v>0</v>
      </c>
      <c r="D285" s="568">
        <f t="shared" si="179"/>
        <v>0</v>
      </c>
      <c r="E285" s="568">
        <f t="shared" si="179"/>
        <v>0</v>
      </c>
      <c r="F285" s="568">
        <f t="shared" si="179"/>
        <v>0</v>
      </c>
      <c r="G285" s="568">
        <f t="shared" si="179"/>
        <v>0</v>
      </c>
      <c r="H285" s="568">
        <f t="shared" si="179"/>
        <v>0</v>
      </c>
      <c r="I285" s="568">
        <f t="shared" si="179"/>
        <v>0</v>
      </c>
      <c r="J285" s="569">
        <f t="shared" si="179"/>
        <v>0</v>
      </c>
      <c r="K285" s="570">
        <f t="shared" si="179"/>
        <v>0</v>
      </c>
      <c r="L285" s="568">
        <f t="shared" si="179"/>
        <v>0</v>
      </c>
      <c r="M285" s="568">
        <f t="shared" si="179"/>
        <v>0</v>
      </c>
      <c r="N285" s="568">
        <f t="shared" si="179"/>
        <v>0</v>
      </c>
      <c r="O285" s="571">
        <f t="shared" si="179"/>
        <v>0</v>
      </c>
      <c r="P285" s="570">
        <f t="shared" si="179"/>
        <v>0</v>
      </c>
      <c r="Q285" s="568">
        <f>IF(AJ285&gt;0,(AJ285/AJ290),0)</f>
        <v>0</v>
      </c>
      <c r="R285" s="568">
        <f>IF(AK285&gt;0,(AK285/AK290),0)</f>
        <v>0</v>
      </c>
      <c r="S285" s="571">
        <f>IF(AL285&gt;0,(AL285/AL290),0)</f>
        <v>0</v>
      </c>
      <c r="T285" s="570">
        <f>IF(AM285&gt;0,(AM285/AM290),0)</f>
        <v>0</v>
      </c>
      <c r="U285" s="253"/>
      <c r="V285" s="245"/>
      <c r="W285" s="246"/>
      <c r="X285" s="246"/>
      <c r="Y285" s="246"/>
      <c r="Z285" s="246"/>
      <c r="AA285" s="246"/>
      <c r="AB285" s="242"/>
      <c r="AC285" s="247"/>
      <c r="AD285" s="245"/>
      <c r="AE285" s="246"/>
      <c r="AF285" s="246"/>
      <c r="AG285" s="246"/>
      <c r="AH285" s="246"/>
      <c r="AI285" s="248"/>
      <c r="AJ285" s="245"/>
      <c r="AK285" s="246"/>
      <c r="AL285" s="248"/>
      <c r="AM285" s="245"/>
      <c r="AN285" s="563"/>
      <c r="AO285" s="209"/>
    </row>
    <row r="286" spans="1:41" s="500" customFormat="1">
      <c r="A286" s="239"/>
      <c r="B286" s="239" t="s">
        <v>93</v>
      </c>
      <c r="C286" s="572">
        <f t="shared" ref="C286:P286" si="180">IF(V286&gt;0,(V286/V290),0)</f>
        <v>0</v>
      </c>
      <c r="D286" s="572">
        <f t="shared" si="180"/>
        <v>0</v>
      </c>
      <c r="E286" s="572">
        <f t="shared" si="180"/>
        <v>0</v>
      </c>
      <c r="F286" s="572">
        <f t="shared" si="180"/>
        <v>0</v>
      </c>
      <c r="G286" s="572">
        <f t="shared" si="180"/>
        <v>0</v>
      </c>
      <c r="H286" s="572">
        <f t="shared" si="180"/>
        <v>0</v>
      </c>
      <c r="I286" s="572">
        <f t="shared" si="180"/>
        <v>0</v>
      </c>
      <c r="J286" s="573">
        <f t="shared" si="180"/>
        <v>0</v>
      </c>
      <c r="K286" s="574">
        <f t="shared" si="180"/>
        <v>0</v>
      </c>
      <c r="L286" s="572">
        <f t="shared" si="180"/>
        <v>0</v>
      </c>
      <c r="M286" s="572">
        <f t="shared" si="180"/>
        <v>0</v>
      </c>
      <c r="N286" s="572">
        <f t="shared" si="180"/>
        <v>0</v>
      </c>
      <c r="O286" s="575">
        <f t="shared" si="180"/>
        <v>0</v>
      </c>
      <c r="P286" s="574">
        <f t="shared" si="180"/>
        <v>0</v>
      </c>
      <c r="Q286" s="572">
        <f>IF(AJ286&gt;0,(AJ286/AJ290),0)</f>
        <v>0</v>
      </c>
      <c r="R286" s="572">
        <f>IF(AK286&gt;0,(AK286/AK290),0)</f>
        <v>0</v>
      </c>
      <c r="S286" s="575">
        <f>IF(AL286&gt;0,(AL286/AL290),0)</f>
        <v>0</v>
      </c>
      <c r="T286" s="574">
        <f>IF(AM286&gt;0,(AM286/AM290),0)</f>
        <v>0</v>
      </c>
      <c r="U286" s="253"/>
      <c r="V286" s="254"/>
      <c r="W286" s="255"/>
      <c r="X286" s="255"/>
      <c r="Y286" s="255"/>
      <c r="Z286" s="255"/>
      <c r="AA286" s="255"/>
      <c r="AB286" s="251"/>
      <c r="AC286" s="256"/>
      <c r="AD286" s="254"/>
      <c r="AE286" s="255"/>
      <c r="AF286" s="255"/>
      <c r="AG286" s="255"/>
      <c r="AH286" s="255"/>
      <c r="AI286" s="257"/>
      <c r="AJ286" s="254"/>
      <c r="AK286" s="255"/>
      <c r="AL286" s="257"/>
      <c r="AM286" s="254"/>
      <c r="AN286" s="563"/>
      <c r="AO286" s="209"/>
    </row>
    <row r="287" spans="1:41" s="500" customFormat="1">
      <c r="A287" s="239"/>
      <c r="B287" s="239" t="s">
        <v>55</v>
      </c>
      <c r="C287" s="572">
        <f t="shared" ref="C287:P287" si="181">IF(V287&gt;0,(V287/V290),0)</f>
        <v>0</v>
      </c>
      <c r="D287" s="572">
        <f t="shared" si="181"/>
        <v>0</v>
      </c>
      <c r="E287" s="572">
        <f t="shared" si="181"/>
        <v>0</v>
      </c>
      <c r="F287" s="572">
        <f t="shared" si="181"/>
        <v>0</v>
      </c>
      <c r="G287" s="572">
        <f t="shared" si="181"/>
        <v>0</v>
      </c>
      <c r="H287" s="572">
        <f t="shared" si="181"/>
        <v>0</v>
      </c>
      <c r="I287" s="572">
        <f t="shared" si="181"/>
        <v>0</v>
      </c>
      <c r="J287" s="573">
        <f t="shared" si="181"/>
        <v>0</v>
      </c>
      <c r="K287" s="574">
        <f t="shared" si="181"/>
        <v>0</v>
      </c>
      <c r="L287" s="572">
        <f t="shared" si="181"/>
        <v>0</v>
      </c>
      <c r="M287" s="572">
        <f t="shared" si="181"/>
        <v>0</v>
      </c>
      <c r="N287" s="572">
        <f t="shared" si="181"/>
        <v>0</v>
      </c>
      <c r="O287" s="575">
        <f t="shared" si="181"/>
        <v>0</v>
      </c>
      <c r="P287" s="574">
        <f t="shared" si="181"/>
        <v>0</v>
      </c>
      <c r="Q287" s="572">
        <f>IF(AJ287&gt;0,(AJ287/AJ290),0)</f>
        <v>0</v>
      </c>
      <c r="R287" s="572">
        <f>IF(AK287&gt;0,(AK287/AK290),0)</f>
        <v>0</v>
      </c>
      <c r="S287" s="575">
        <f>IF(AL287&gt;0,(AL287/AL290),0)</f>
        <v>0</v>
      </c>
      <c r="T287" s="574">
        <f>IF(AM287&gt;0,(AM287/AM290),0)</f>
        <v>0</v>
      </c>
      <c r="U287" s="253"/>
      <c r="V287" s="254"/>
      <c r="W287" s="255"/>
      <c r="X287" s="255"/>
      <c r="Y287" s="255"/>
      <c r="Z287" s="255"/>
      <c r="AA287" s="255"/>
      <c r="AB287" s="251"/>
      <c r="AC287" s="256"/>
      <c r="AD287" s="254"/>
      <c r="AE287" s="255"/>
      <c r="AF287" s="255"/>
      <c r="AG287" s="255"/>
      <c r="AH287" s="255"/>
      <c r="AI287" s="257"/>
      <c r="AJ287" s="254"/>
      <c r="AK287" s="255"/>
      <c r="AL287" s="257"/>
      <c r="AM287" s="254"/>
      <c r="AN287" s="563"/>
      <c r="AO287" s="209"/>
    </row>
    <row r="288" spans="1:41" s="500" customFormat="1">
      <c r="A288" s="239"/>
      <c r="B288" s="239" t="s">
        <v>78</v>
      </c>
      <c r="C288" s="572">
        <f t="shared" ref="C288:P288" si="182">IF(V288&gt;0,(V288/V290),0)</f>
        <v>0</v>
      </c>
      <c r="D288" s="572">
        <f t="shared" si="182"/>
        <v>0</v>
      </c>
      <c r="E288" s="572">
        <f t="shared" si="182"/>
        <v>0</v>
      </c>
      <c r="F288" s="572">
        <f t="shared" si="182"/>
        <v>0</v>
      </c>
      <c r="G288" s="572">
        <f t="shared" si="182"/>
        <v>0</v>
      </c>
      <c r="H288" s="572">
        <f t="shared" si="182"/>
        <v>0</v>
      </c>
      <c r="I288" s="572">
        <f t="shared" si="182"/>
        <v>0</v>
      </c>
      <c r="J288" s="573">
        <f t="shared" si="182"/>
        <v>0</v>
      </c>
      <c r="K288" s="574">
        <f t="shared" si="182"/>
        <v>0</v>
      </c>
      <c r="L288" s="572">
        <f t="shared" si="182"/>
        <v>0</v>
      </c>
      <c r="M288" s="572">
        <f t="shared" si="182"/>
        <v>0</v>
      </c>
      <c r="N288" s="572">
        <f t="shared" si="182"/>
        <v>0</v>
      </c>
      <c r="O288" s="575">
        <f t="shared" si="182"/>
        <v>0</v>
      </c>
      <c r="P288" s="574">
        <f t="shared" si="182"/>
        <v>0</v>
      </c>
      <c r="Q288" s="572">
        <f>IF(AJ288&gt;0,(AJ288/AJ290),0)</f>
        <v>0</v>
      </c>
      <c r="R288" s="572">
        <f>IF(AK288&gt;0,(AK288/AK290),0)</f>
        <v>0</v>
      </c>
      <c r="S288" s="575">
        <f>IF(AL288&gt;0,(AL288/AL290),0)</f>
        <v>0</v>
      </c>
      <c r="T288" s="574">
        <f>IF(AM288&gt;0,(AM288/AM290),0)</f>
        <v>0</v>
      </c>
      <c r="U288" s="253"/>
      <c r="V288" s="254"/>
      <c r="W288" s="255"/>
      <c r="X288" s="255"/>
      <c r="Y288" s="255"/>
      <c r="Z288" s="255"/>
      <c r="AA288" s="255"/>
      <c r="AB288" s="251"/>
      <c r="AC288" s="256"/>
      <c r="AD288" s="254"/>
      <c r="AE288" s="255"/>
      <c r="AF288" s="255"/>
      <c r="AG288" s="255"/>
      <c r="AH288" s="255"/>
      <c r="AI288" s="257"/>
      <c r="AJ288" s="254"/>
      <c r="AK288" s="255"/>
      <c r="AL288" s="257"/>
      <c r="AM288" s="254"/>
      <c r="AN288" s="563"/>
      <c r="AO288" s="209"/>
    </row>
    <row r="289" spans="1:41" s="500" customFormat="1">
      <c r="A289" s="580"/>
      <c r="B289" s="580" t="s">
        <v>131</v>
      </c>
      <c r="C289" s="581">
        <f t="shared" ref="C289:P289" si="183">IF(V289&gt;0,(V289/V290),0)</f>
        <v>0</v>
      </c>
      <c r="D289" s="582">
        <f t="shared" si="183"/>
        <v>0</v>
      </c>
      <c r="E289" s="582">
        <f t="shared" si="183"/>
        <v>0</v>
      </c>
      <c r="F289" s="582">
        <f t="shared" si="183"/>
        <v>0</v>
      </c>
      <c r="G289" s="582">
        <f t="shared" si="183"/>
        <v>0</v>
      </c>
      <c r="H289" s="582">
        <f t="shared" si="183"/>
        <v>0</v>
      </c>
      <c r="I289" s="583">
        <f t="shared" si="183"/>
        <v>0</v>
      </c>
      <c r="J289" s="584">
        <f t="shared" si="183"/>
        <v>0</v>
      </c>
      <c r="K289" s="581">
        <f t="shared" si="183"/>
        <v>0</v>
      </c>
      <c r="L289" s="582">
        <f t="shared" si="183"/>
        <v>0</v>
      </c>
      <c r="M289" s="582">
        <f t="shared" si="183"/>
        <v>0</v>
      </c>
      <c r="N289" s="582">
        <f t="shared" si="183"/>
        <v>0</v>
      </c>
      <c r="O289" s="583">
        <f t="shared" si="183"/>
        <v>0</v>
      </c>
      <c r="P289" s="581">
        <f t="shared" si="183"/>
        <v>0</v>
      </c>
      <c r="Q289" s="581">
        <f>IF(AJ289&gt;0,(AJ289/AJ290),0)</f>
        <v>0</v>
      </c>
      <c r="R289" s="582">
        <f>IF(AK289&gt;0,(AK289/AK290),0)</f>
        <v>0</v>
      </c>
      <c r="S289" s="583">
        <f>IF(AL289&gt;0,(AL289/AL290),0)</f>
        <v>0</v>
      </c>
      <c r="T289" s="581">
        <f>IF(AM289&gt;0,(AM289/AM290),0)</f>
        <v>0</v>
      </c>
      <c r="U289" s="253"/>
      <c r="V289" s="254"/>
      <c r="W289" s="255"/>
      <c r="X289" s="255"/>
      <c r="Y289" s="255"/>
      <c r="Z289" s="255"/>
      <c r="AA289" s="255"/>
      <c r="AB289" s="582"/>
      <c r="AC289" s="256"/>
      <c r="AD289" s="254"/>
      <c r="AE289" s="255"/>
      <c r="AF289" s="255"/>
      <c r="AG289" s="255"/>
      <c r="AH289" s="255"/>
      <c r="AI289" s="257"/>
      <c r="AJ289" s="254"/>
      <c r="AK289" s="255"/>
      <c r="AL289" s="257"/>
      <c r="AM289" s="254"/>
      <c r="AN289" s="209"/>
      <c r="AO289" s="209"/>
    </row>
    <row r="290" spans="1:41" s="527" customFormat="1">
      <c r="A290" s="436"/>
      <c r="B290" s="436" t="s">
        <v>59</v>
      </c>
      <c r="C290" s="456">
        <f>SUM(C285:C289)</f>
        <v>0</v>
      </c>
      <c r="D290" s="456">
        <f t="shared" ref="D290:T290" si="184">SUM(D285:D289)</f>
        <v>0</v>
      </c>
      <c r="E290" s="456">
        <f t="shared" si="184"/>
        <v>0</v>
      </c>
      <c r="F290" s="456">
        <f t="shared" si="184"/>
        <v>0</v>
      </c>
      <c r="G290" s="456">
        <f t="shared" si="184"/>
        <v>0</v>
      </c>
      <c r="H290" s="456">
        <f t="shared" si="184"/>
        <v>0</v>
      </c>
      <c r="I290" s="456">
        <f t="shared" si="184"/>
        <v>0</v>
      </c>
      <c r="J290" s="576">
        <f t="shared" si="184"/>
        <v>0</v>
      </c>
      <c r="K290" s="577">
        <f t="shared" si="184"/>
        <v>0</v>
      </c>
      <c r="L290" s="578">
        <f t="shared" si="184"/>
        <v>0</v>
      </c>
      <c r="M290" s="578">
        <f t="shared" si="184"/>
        <v>0</v>
      </c>
      <c r="N290" s="578">
        <f t="shared" si="184"/>
        <v>0</v>
      </c>
      <c r="O290" s="579">
        <f t="shared" si="184"/>
        <v>0</v>
      </c>
      <c r="P290" s="577">
        <f t="shared" si="184"/>
        <v>0</v>
      </c>
      <c r="Q290" s="578">
        <f t="shared" si="184"/>
        <v>0</v>
      </c>
      <c r="R290" s="578">
        <f t="shared" si="184"/>
        <v>0</v>
      </c>
      <c r="S290" s="579">
        <f t="shared" si="184"/>
        <v>0</v>
      </c>
      <c r="T290" s="577">
        <f t="shared" si="184"/>
        <v>0</v>
      </c>
      <c r="U290" s="264"/>
      <c r="V290" s="265"/>
      <c r="W290" s="266"/>
      <c r="X290" s="266"/>
      <c r="Y290" s="266"/>
      <c r="Z290" s="266"/>
      <c r="AA290" s="266"/>
      <c r="AB290" s="262"/>
      <c r="AC290" s="267"/>
      <c r="AD290" s="265"/>
      <c r="AE290" s="266"/>
      <c r="AF290" s="266"/>
      <c r="AG290" s="266"/>
      <c r="AH290" s="266"/>
      <c r="AI290" s="268"/>
      <c r="AJ290" s="265"/>
      <c r="AK290" s="266"/>
      <c r="AL290" s="268"/>
      <c r="AM290" s="265"/>
      <c r="AN290" s="270"/>
      <c r="AO290" s="270"/>
    </row>
    <row r="291" spans="1:41" s="500" customFormat="1">
      <c r="A291" s="240" t="s">
        <v>148</v>
      </c>
      <c r="B291" s="240" t="s">
        <v>53</v>
      </c>
      <c r="C291" s="568">
        <f>IF(V291&gt;0,(V291/V296),0)</f>
        <v>0</v>
      </c>
      <c r="D291" s="568">
        <f t="shared" ref="D291:T291" si="185">IF(W291&gt;0,(W291/W296),0)</f>
        <v>0</v>
      </c>
      <c r="E291" s="568">
        <f t="shared" si="185"/>
        <v>0</v>
      </c>
      <c r="F291" s="568">
        <f t="shared" si="185"/>
        <v>0</v>
      </c>
      <c r="G291" s="568">
        <f t="shared" si="185"/>
        <v>0</v>
      </c>
      <c r="H291" s="568">
        <f t="shared" si="185"/>
        <v>0</v>
      </c>
      <c r="I291" s="568">
        <f t="shared" si="185"/>
        <v>0</v>
      </c>
      <c r="J291" s="569">
        <f t="shared" si="185"/>
        <v>0</v>
      </c>
      <c r="K291" s="570">
        <f t="shared" si="185"/>
        <v>0</v>
      </c>
      <c r="L291" s="568">
        <f t="shared" si="185"/>
        <v>0</v>
      </c>
      <c r="M291" s="568">
        <f t="shared" si="185"/>
        <v>0</v>
      </c>
      <c r="N291" s="568">
        <f t="shared" si="185"/>
        <v>0</v>
      </c>
      <c r="O291" s="571">
        <f t="shared" si="185"/>
        <v>0</v>
      </c>
      <c r="P291" s="570">
        <f t="shared" si="185"/>
        <v>0</v>
      </c>
      <c r="Q291" s="568">
        <f t="shared" si="185"/>
        <v>0</v>
      </c>
      <c r="R291" s="568">
        <f t="shared" si="185"/>
        <v>0</v>
      </c>
      <c r="S291" s="571">
        <f t="shared" si="185"/>
        <v>0</v>
      </c>
      <c r="T291" s="570">
        <f t="shared" si="185"/>
        <v>0</v>
      </c>
      <c r="U291" s="253"/>
      <c r="V291" s="245"/>
      <c r="W291" s="246"/>
      <c r="X291" s="246"/>
      <c r="Y291" s="246"/>
      <c r="Z291" s="246"/>
      <c r="AA291" s="246"/>
      <c r="AB291" s="242"/>
      <c r="AC291" s="247"/>
      <c r="AD291" s="245"/>
      <c r="AE291" s="246"/>
      <c r="AF291" s="246"/>
      <c r="AG291" s="246"/>
      <c r="AH291" s="246"/>
      <c r="AI291" s="248"/>
      <c r="AJ291" s="245"/>
      <c r="AK291" s="246"/>
      <c r="AL291" s="248"/>
      <c r="AM291" s="245"/>
      <c r="AN291" s="563"/>
      <c r="AO291" s="209"/>
    </row>
    <row r="292" spans="1:41" s="500" customFormat="1">
      <c r="A292" s="239"/>
      <c r="B292" s="239" t="s">
        <v>93</v>
      </c>
      <c r="C292" s="572">
        <f>IF(V292&gt;0,(V292/V296),0)</f>
        <v>0</v>
      </c>
      <c r="D292" s="572">
        <f t="shared" ref="D292:T292" si="186">IF(W292&gt;0,(W292/W296),0)</f>
        <v>0</v>
      </c>
      <c r="E292" s="572">
        <f t="shared" si="186"/>
        <v>0</v>
      </c>
      <c r="F292" s="572">
        <f t="shared" si="186"/>
        <v>0</v>
      </c>
      <c r="G292" s="572">
        <f t="shared" si="186"/>
        <v>0</v>
      </c>
      <c r="H292" s="572">
        <f t="shared" si="186"/>
        <v>0</v>
      </c>
      <c r="I292" s="572">
        <f t="shared" si="186"/>
        <v>0</v>
      </c>
      <c r="J292" s="573">
        <f t="shared" si="186"/>
        <v>0</v>
      </c>
      <c r="K292" s="574">
        <f t="shared" si="186"/>
        <v>0</v>
      </c>
      <c r="L292" s="572">
        <f t="shared" si="186"/>
        <v>0</v>
      </c>
      <c r="M292" s="572">
        <f t="shared" si="186"/>
        <v>0</v>
      </c>
      <c r="N292" s="572">
        <f t="shared" si="186"/>
        <v>0</v>
      </c>
      <c r="O292" s="575">
        <f t="shared" si="186"/>
        <v>0</v>
      </c>
      <c r="P292" s="574">
        <f t="shared" si="186"/>
        <v>0</v>
      </c>
      <c r="Q292" s="572">
        <f t="shared" si="186"/>
        <v>0</v>
      </c>
      <c r="R292" s="572">
        <f t="shared" si="186"/>
        <v>0</v>
      </c>
      <c r="S292" s="575">
        <f t="shared" si="186"/>
        <v>0</v>
      </c>
      <c r="T292" s="574">
        <f t="shared" si="186"/>
        <v>0</v>
      </c>
      <c r="U292" s="253"/>
      <c r="V292" s="254"/>
      <c r="W292" s="255"/>
      <c r="X292" s="255"/>
      <c r="Y292" s="255"/>
      <c r="Z292" s="255"/>
      <c r="AA292" s="255"/>
      <c r="AB292" s="251"/>
      <c r="AC292" s="256"/>
      <c r="AD292" s="254"/>
      <c r="AE292" s="255"/>
      <c r="AF292" s="255"/>
      <c r="AG292" s="255"/>
      <c r="AH292" s="255"/>
      <c r="AI292" s="257"/>
      <c r="AJ292" s="254"/>
      <c r="AK292" s="255"/>
      <c r="AL292" s="257"/>
      <c r="AM292" s="254"/>
      <c r="AN292" s="563"/>
      <c r="AO292" s="209"/>
    </row>
    <row r="293" spans="1:41" s="500" customFormat="1">
      <c r="A293" s="239"/>
      <c r="B293" s="239" t="s">
        <v>55</v>
      </c>
      <c r="C293" s="572">
        <f>IF(V293&gt;0,(V293/V296),0)</f>
        <v>0</v>
      </c>
      <c r="D293" s="572">
        <f t="shared" ref="D293:T293" si="187">IF(W293&gt;0,(W293/W296),0)</f>
        <v>0</v>
      </c>
      <c r="E293" s="572">
        <f t="shared" si="187"/>
        <v>0</v>
      </c>
      <c r="F293" s="572">
        <f t="shared" si="187"/>
        <v>0</v>
      </c>
      <c r="G293" s="572">
        <f t="shared" si="187"/>
        <v>0</v>
      </c>
      <c r="H293" s="572">
        <f t="shared" si="187"/>
        <v>0</v>
      </c>
      <c r="I293" s="572">
        <f t="shared" si="187"/>
        <v>0</v>
      </c>
      <c r="J293" s="573">
        <f t="shared" si="187"/>
        <v>0</v>
      </c>
      <c r="K293" s="574">
        <f t="shared" si="187"/>
        <v>0</v>
      </c>
      <c r="L293" s="572">
        <f t="shared" si="187"/>
        <v>0</v>
      </c>
      <c r="M293" s="572">
        <f t="shared" si="187"/>
        <v>0</v>
      </c>
      <c r="N293" s="572">
        <f t="shared" si="187"/>
        <v>0</v>
      </c>
      <c r="O293" s="575">
        <f t="shared" si="187"/>
        <v>0</v>
      </c>
      <c r="P293" s="574">
        <f t="shared" si="187"/>
        <v>0</v>
      </c>
      <c r="Q293" s="572">
        <f t="shared" si="187"/>
        <v>0</v>
      </c>
      <c r="R293" s="572">
        <f t="shared" si="187"/>
        <v>0</v>
      </c>
      <c r="S293" s="575">
        <f t="shared" si="187"/>
        <v>0</v>
      </c>
      <c r="T293" s="574">
        <f t="shared" si="187"/>
        <v>0</v>
      </c>
      <c r="U293" s="253"/>
      <c r="V293" s="254"/>
      <c r="W293" s="255"/>
      <c r="X293" s="255"/>
      <c r="Y293" s="255"/>
      <c r="Z293" s="255"/>
      <c r="AA293" s="255"/>
      <c r="AB293" s="251"/>
      <c r="AC293" s="256"/>
      <c r="AD293" s="254"/>
      <c r="AE293" s="255"/>
      <c r="AF293" s="255"/>
      <c r="AG293" s="255"/>
      <c r="AH293" s="255"/>
      <c r="AI293" s="257"/>
      <c r="AJ293" s="254"/>
      <c r="AK293" s="255"/>
      <c r="AL293" s="257"/>
      <c r="AM293" s="254"/>
      <c r="AN293" s="563"/>
      <c r="AO293" s="209"/>
    </row>
    <row r="294" spans="1:41" s="500" customFormat="1">
      <c r="A294" s="239"/>
      <c r="B294" s="239" t="s">
        <v>78</v>
      </c>
      <c r="C294" s="572">
        <f>IF(V294&gt;0,(V294/V296),0)</f>
        <v>0</v>
      </c>
      <c r="D294" s="572">
        <f t="shared" ref="D294:T294" si="188">IF(W294&gt;0,(W294/W296),0)</f>
        <v>0</v>
      </c>
      <c r="E294" s="572">
        <f t="shared" si="188"/>
        <v>0</v>
      </c>
      <c r="F294" s="572">
        <f t="shared" si="188"/>
        <v>0</v>
      </c>
      <c r="G294" s="572">
        <f t="shared" si="188"/>
        <v>0</v>
      </c>
      <c r="H294" s="572">
        <f t="shared" si="188"/>
        <v>0</v>
      </c>
      <c r="I294" s="572">
        <f t="shared" si="188"/>
        <v>0</v>
      </c>
      <c r="J294" s="573">
        <f t="shared" si="188"/>
        <v>0</v>
      </c>
      <c r="K294" s="574">
        <f t="shared" si="188"/>
        <v>0</v>
      </c>
      <c r="L294" s="572">
        <f t="shared" si="188"/>
        <v>0</v>
      </c>
      <c r="M294" s="572">
        <f t="shared" si="188"/>
        <v>0</v>
      </c>
      <c r="N294" s="572">
        <f t="shared" si="188"/>
        <v>0</v>
      </c>
      <c r="O294" s="575">
        <f t="shared" si="188"/>
        <v>0</v>
      </c>
      <c r="P294" s="574">
        <f t="shared" si="188"/>
        <v>0</v>
      </c>
      <c r="Q294" s="572">
        <f t="shared" si="188"/>
        <v>0</v>
      </c>
      <c r="R294" s="572">
        <f t="shared" si="188"/>
        <v>0</v>
      </c>
      <c r="S294" s="575">
        <f t="shared" si="188"/>
        <v>0</v>
      </c>
      <c r="T294" s="574">
        <f t="shared" si="188"/>
        <v>0</v>
      </c>
      <c r="U294" s="253"/>
      <c r="V294" s="254"/>
      <c r="W294" s="255"/>
      <c r="X294" s="255"/>
      <c r="Y294" s="255"/>
      <c r="Z294" s="255"/>
      <c r="AA294" s="255"/>
      <c r="AB294" s="251"/>
      <c r="AC294" s="256"/>
      <c r="AD294" s="254"/>
      <c r="AE294" s="255"/>
      <c r="AF294" s="255"/>
      <c r="AG294" s="255"/>
      <c r="AH294" s="255"/>
      <c r="AI294" s="257"/>
      <c r="AJ294" s="254"/>
      <c r="AK294" s="255"/>
      <c r="AL294" s="257"/>
      <c r="AM294" s="254"/>
      <c r="AN294" s="563"/>
      <c r="AO294" s="209"/>
    </row>
    <row r="295" spans="1:41" s="500" customFormat="1">
      <c r="A295" s="580"/>
      <c r="B295" s="580" t="s">
        <v>131</v>
      </c>
      <c r="C295" s="581">
        <f>IF(V295&gt;0,(V295/V296),0)</f>
        <v>0</v>
      </c>
      <c r="D295" s="582">
        <f t="shared" ref="D295:T295" si="189">IF(W295&gt;0,(W295/W296),0)</f>
        <v>0</v>
      </c>
      <c r="E295" s="582">
        <f t="shared" si="189"/>
        <v>0</v>
      </c>
      <c r="F295" s="582">
        <f t="shared" si="189"/>
        <v>0</v>
      </c>
      <c r="G295" s="582">
        <f t="shared" si="189"/>
        <v>0</v>
      </c>
      <c r="H295" s="582">
        <f t="shared" si="189"/>
        <v>0</v>
      </c>
      <c r="I295" s="583">
        <f t="shared" si="189"/>
        <v>0</v>
      </c>
      <c r="J295" s="584">
        <f t="shared" si="189"/>
        <v>0</v>
      </c>
      <c r="K295" s="581">
        <f t="shared" si="189"/>
        <v>0</v>
      </c>
      <c r="L295" s="582">
        <f t="shared" si="189"/>
        <v>0</v>
      </c>
      <c r="M295" s="582">
        <f t="shared" si="189"/>
        <v>0</v>
      </c>
      <c r="N295" s="582">
        <f t="shared" si="189"/>
        <v>0</v>
      </c>
      <c r="O295" s="583">
        <f t="shared" si="189"/>
        <v>0</v>
      </c>
      <c r="P295" s="581">
        <f t="shared" si="189"/>
        <v>0</v>
      </c>
      <c r="Q295" s="581">
        <f t="shared" si="189"/>
        <v>0</v>
      </c>
      <c r="R295" s="582">
        <f t="shared" si="189"/>
        <v>0</v>
      </c>
      <c r="S295" s="583">
        <f t="shared" si="189"/>
        <v>0</v>
      </c>
      <c r="T295" s="581">
        <f t="shared" si="189"/>
        <v>0</v>
      </c>
      <c r="U295" s="253"/>
      <c r="V295" s="254"/>
      <c r="W295" s="255"/>
      <c r="X295" s="255"/>
      <c r="Y295" s="255"/>
      <c r="Z295" s="255"/>
      <c r="AA295" s="255"/>
      <c r="AB295" s="582"/>
      <c r="AC295" s="256"/>
      <c r="AD295" s="254"/>
      <c r="AE295" s="255"/>
      <c r="AF295" s="255"/>
      <c r="AG295" s="255"/>
      <c r="AH295" s="255"/>
      <c r="AI295" s="257"/>
      <c r="AJ295" s="254"/>
      <c r="AK295" s="255"/>
      <c r="AL295" s="257"/>
      <c r="AM295" s="254"/>
      <c r="AN295" s="209"/>
      <c r="AO295" s="209"/>
    </row>
    <row r="296" spans="1:41" s="527" customFormat="1">
      <c r="A296" s="436"/>
      <c r="B296" s="436" t="s">
        <v>59</v>
      </c>
      <c r="C296" s="456">
        <f>SUM(C291:C295)</f>
        <v>0</v>
      </c>
      <c r="D296" s="456">
        <f t="shared" ref="D296:T296" si="190">SUM(D291:D295)</f>
        <v>0</v>
      </c>
      <c r="E296" s="456">
        <f t="shared" si="190"/>
        <v>0</v>
      </c>
      <c r="F296" s="456">
        <f t="shared" si="190"/>
        <v>0</v>
      </c>
      <c r="G296" s="456">
        <f t="shared" si="190"/>
        <v>0</v>
      </c>
      <c r="H296" s="456">
        <f t="shared" si="190"/>
        <v>0</v>
      </c>
      <c r="I296" s="456">
        <f t="shared" si="190"/>
        <v>0</v>
      </c>
      <c r="J296" s="576">
        <f t="shared" si="190"/>
        <v>0</v>
      </c>
      <c r="K296" s="577">
        <f t="shared" si="190"/>
        <v>0</v>
      </c>
      <c r="L296" s="578">
        <f t="shared" si="190"/>
        <v>0</v>
      </c>
      <c r="M296" s="578">
        <f t="shared" si="190"/>
        <v>0</v>
      </c>
      <c r="N296" s="578">
        <f t="shared" si="190"/>
        <v>0</v>
      </c>
      <c r="O296" s="579">
        <f t="shared" si="190"/>
        <v>0</v>
      </c>
      <c r="P296" s="577">
        <f t="shared" si="190"/>
        <v>0</v>
      </c>
      <c r="Q296" s="578">
        <f t="shared" si="190"/>
        <v>0</v>
      </c>
      <c r="R296" s="578">
        <f t="shared" si="190"/>
        <v>0</v>
      </c>
      <c r="S296" s="579">
        <f t="shared" si="190"/>
        <v>0</v>
      </c>
      <c r="T296" s="577">
        <f t="shared" si="190"/>
        <v>0</v>
      </c>
      <c r="U296" s="264"/>
      <c r="V296" s="265"/>
      <c r="W296" s="266"/>
      <c r="X296" s="266"/>
      <c r="Y296" s="266"/>
      <c r="Z296" s="266"/>
      <c r="AA296" s="266"/>
      <c r="AB296" s="262"/>
      <c r="AC296" s="267"/>
      <c r="AD296" s="265"/>
      <c r="AE296" s="266"/>
      <c r="AF296" s="266"/>
      <c r="AG296" s="266"/>
      <c r="AH296" s="266"/>
      <c r="AI296" s="268"/>
      <c r="AJ296" s="265"/>
      <c r="AK296" s="266"/>
      <c r="AL296" s="268"/>
      <c r="AM296" s="265"/>
      <c r="AN296" s="270"/>
      <c r="AO296" s="270"/>
    </row>
    <row r="297" spans="1:41" s="500" customFormat="1">
      <c r="A297" s="240" t="s">
        <v>147</v>
      </c>
      <c r="B297" s="240" t="s">
        <v>53</v>
      </c>
      <c r="C297" s="568">
        <f>IF(V297&gt;0,(V297/V302),0)</f>
        <v>0</v>
      </c>
      <c r="D297" s="568">
        <f t="shared" ref="D297:T297" si="191">IF(W297&gt;0,(W297/W302),0)</f>
        <v>0</v>
      </c>
      <c r="E297" s="568">
        <f t="shared" si="191"/>
        <v>0</v>
      </c>
      <c r="F297" s="568">
        <f t="shared" si="191"/>
        <v>0</v>
      </c>
      <c r="G297" s="568">
        <f t="shared" si="191"/>
        <v>0</v>
      </c>
      <c r="H297" s="568">
        <f t="shared" si="191"/>
        <v>0</v>
      </c>
      <c r="I297" s="568">
        <f t="shared" si="191"/>
        <v>0</v>
      </c>
      <c r="J297" s="569">
        <f t="shared" si="191"/>
        <v>0</v>
      </c>
      <c r="K297" s="570">
        <f t="shared" si="191"/>
        <v>0</v>
      </c>
      <c r="L297" s="568">
        <f t="shared" si="191"/>
        <v>0</v>
      </c>
      <c r="M297" s="568">
        <f t="shared" si="191"/>
        <v>0</v>
      </c>
      <c r="N297" s="568">
        <f t="shared" si="191"/>
        <v>0</v>
      </c>
      <c r="O297" s="571">
        <f t="shared" si="191"/>
        <v>0</v>
      </c>
      <c r="P297" s="570">
        <f t="shared" si="191"/>
        <v>0</v>
      </c>
      <c r="Q297" s="568">
        <f t="shared" si="191"/>
        <v>0</v>
      </c>
      <c r="R297" s="568">
        <f t="shared" si="191"/>
        <v>0</v>
      </c>
      <c r="S297" s="571">
        <f t="shared" si="191"/>
        <v>0</v>
      </c>
      <c r="T297" s="570">
        <f t="shared" si="191"/>
        <v>0</v>
      </c>
      <c r="U297" s="253"/>
      <c r="V297" s="245"/>
      <c r="W297" s="246"/>
      <c r="X297" s="246"/>
      <c r="Y297" s="246"/>
      <c r="Z297" s="246"/>
      <c r="AA297" s="246"/>
      <c r="AB297" s="242"/>
      <c r="AC297" s="247"/>
      <c r="AD297" s="245"/>
      <c r="AE297" s="246"/>
      <c r="AF297" s="246"/>
      <c r="AG297" s="246"/>
      <c r="AH297" s="246"/>
      <c r="AI297" s="248"/>
      <c r="AJ297" s="245"/>
      <c r="AK297" s="246"/>
      <c r="AL297" s="248"/>
      <c r="AM297" s="245"/>
      <c r="AN297" s="563"/>
      <c r="AO297" s="209"/>
    </row>
    <row r="298" spans="1:41" s="500" customFormat="1">
      <c r="A298" s="239"/>
      <c r="B298" s="239" t="s">
        <v>93</v>
      </c>
      <c r="C298" s="572">
        <f>IF(V298&gt;0,(V298/V302),0)</f>
        <v>0</v>
      </c>
      <c r="D298" s="572">
        <f t="shared" ref="D298:T298" si="192">IF(W298&gt;0,(W298/W302),0)</f>
        <v>0</v>
      </c>
      <c r="E298" s="572">
        <f t="shared" si="192"/>
        <v>0</v>
      </c>
      <c r="F298" s="572">
        <f t="shared" si="192"/>
        <v>0</v>
      </c>
      <c r="G298" s="572">
        <f t="shared" si="192"/>
        <v>0</v>
      </c>
      <c r="H298" s="572">
        <f t="shared" si="192"/>
        <v>0</v>
      </c>
      <c r="I298" s="572">
        <f t="shared" si="192"/>
        <v>0</v>
      </c>
      <c r="J298" s="573">
        <f t="shared" si="192"/>
        <v>0</v>
      </c>
      <c r="K298" s="574">
        <f t="shared" si="192"/>
        <v>0</v>
      </c>
      <c r="L298" s="572">
        <f t="shared" si="192"/>
        <v>0</v>
      </c>
      <c r="M298" s="572">
        <f t="shared" si="192"/>
        <v>0</v>
      </c>
      <c r="N298" s="572">
        <f t="shared" si="192"/>
        <v>0</v>
      </c>
      <c r="O298" s="575">
        <f t="shared" si="192"/>
        <v>0</v>
      </c>
      <c r="P298" s="574">
        <f t="shared" si="192"/>
        <v>0</v>
      </c>
      <c r="Q298" s="572">
        <f t="shared" si="192"/>
        <v>0</v>
      </c>
      <c r="R298" s="572">
        <f t="shared" si="192"/>
        <v>0</v>
      </c>
      <c r="S298" s="575">
        <f t="shared" si="192"/>
        <v>0</v>
      </c>
      <c r="T298" s="574">
        <f t="shared" si="192"/>
        <v>0</v>
      </c>
      <c r="U298" s="253"/>
      <c r="V298" s="254"/>
      <c r="W298" s="255"/>
      <c r="X298" s="255"/>
      <c r="Y298" s="255"/>
      <c r="Z298" s="255"/>
      <c r="AA298" s="255"/>
      <c r="AB298" s="251"/>
      <c r="AC298" s="256"/>
      <c r="AD298" s="254"/>
      <c r="AE298" s="255"/>
      <c r="AF298" s="255"/>
      <c r="AG298" s="255"/>
      <c r="AH298" s="255"/>
      <c r="AI298" s="257"/>
      <c r="AJ298" s="254"/>
      <c r="AK298" s="255"/>
      <c r="AL298" s="257"/>
      <c r="AM298" s="254"/>
      <c r="AN298" s="563"/>
      <c r="AO298" s="209"/>
    </row>
    <row r="299" spans="1:41" s="500" customFormat="1">
      <c r="A299" s="239"/>
      <c r="B299" s="239" t="s">
        <v>55</v>
      </c>
      <c r="C299" s="572">
        <f>IF(V299&gt;0,(V299/V302),0)</f>
        <v>0</v>
      </c>
      <c r="D299" s="572">
        <f t="shared" ref="D299:T299" si="193">IF(W299&gt;0,(W299/W302),0)</f>
        <v>0</v>
      </c>
      <c r="E299" s="572">
        <f t="shared" si="193"/>
        <v>0</v>
      </c>
      <c r="F299" s="572">
        <f t="shared" si="193"/>
        <v>0</v>
      </c>
      <c r="G299" s="572">
        <f t="shared" si="193"/>
        <v>0</v>
      </c>
      <c r="H299" s="572">
        <f t="shared" si="193"/>
        <v>0</v>
      </c>
      <c r="I299" s="572">
        <f t="shared" si="193"/>
        <v>0</v>
      </c>
      <c r="J299" s="573">
        <f t="shared" si="193"/>
        <v>0</v>
      </c>
      <c r="K299" s="574">
        <f t="shared" si="193"/>
        <v>0</v>
      </c>
      <c r="L299" s="572">
        <f t="shared" si="193"/>
        <v>0</v>
      </c>
      <c r="M299" s="572">
        <f t="shared" si="193"/>
        <v>0</v>
      </c>
      <c r="N299" s="572">
        <f t="shared" si="193"/>
        <v>0</v>
      </c>
      <c r="O299" s="575">
        <f t="shared" si="193"/>
        <v>0</v>
      </c>
      <c r="P299" s="574">
        <f t="shared" si="193"/>
        <v>0</v>
      </c>
      <c r="Q299" s="572">
        <f t="shared" si="193"/>
        <v>0</v>
      </c>
      <c r="R299" s="572">
        <f t="shared" si="193"/>
        <v>0</v>
      </c>
      <c r="S299" s="575">
        <f t="shared" si="193"/>
        <v>0</v>
      </c>
      <c r="T299" s="574">
        <f t="shared" si="193"/>
        <v>0</v>
      </c>
      <c r="U299" s="253"/>
      <c r="V299" s="254"/>
      <c r="W299" s="255"/>
      <c r="X299" s="255"/>
      <c r="Y299" s="255"/>
      <c r="Z299" s="255"/>
      <c r="AA299" s="255"/>
      <c r="AB299" s="251"/>
      <c r="AC299" s="256"/>
      <c r="AD299" s="254"/>
      <c r="AE299" s="255"/>
      <c r="AF299" s="255"/>
      <c r="AG299" s="255"/>
      <c r="AH299" s="255"/>
      <c r="AI299" s="257"/>
      <c r="AJ299" s="254"/>
      <c r="AK299" s="255"/>
      <c r="AL299" s="257"/>
      <c r="AM299" s="254"/>
      <c r="AN299" s="563"/>
      <c r="AO299" s="209"/>
    </row>
    <row r="300" spans="1:41" s="500" customFormat="1">
      <c r="A300" s="239"/>
      <c r="B300" s="239" t="s">
        <v>78</v>
      </c>
      <c r="C300" s="572">
        <f>IF(V300&gt;0,(V300/V302),0)</f>
        <v>0</v>
      </c>
      <c r="D300" s="572">
        <f t="shared" ref="D300:T300" si="194">IF(W300&gt;0,(W300/W302),0)</f>
        <v>0</v>
      </c>
      <c r="E300" s="572">
        <f t="shared" si="194"/>
        <v>0</v>
      </c>
      <c r="F300" s="572">
        <f t="shared" si="194"/>
        <v>0</v>
      </c>
      <c r="G300" s="572">
        <f t="shared" si="194"/>
        <v>0</v>
      </c>
      <c r="H300" s="572">
        <f t="shared" si="194"/>
        <v>0</v>
      </c>
      <c r="I300" s="572">
        <f t="shared" si="194"/>
        <v>0</v>
      </c>
      <c r="J300" s="573">
        <f t="shared" si="194"/>
        <v>0</v>
      </c>
      <c r="K300" s="574">
        <f t="shared" si="194"/>
        <v>0</v>
      </c>
      <c r="L300" s="572">
        <f t="shared" si="194"/>
        <v>0</v>
      </c>
      <c r="M300" s="572">
        <f t="shared" si="194"/>
        <v>0</v>
      </c>
      <c r="N300" s="572">
        <f t="shared" si="194"/>
        <v>0</v>
      </c>
      <c r="O300" s="575">
        <f t="shared" si="194"/>
        <v>0</v>
      </c>
      <c r="P300" s="574">
        <f t="shared" si="194"/>
        <v>0</v>
      </c>
      <c r="Q300" s="572">
        <f t="shared" si="194"/>
        <v>0</v>
      </c>
      <c r="R300" s="572">
        <f t="shared" si="194"/>
        <v>0</v>
      </c>
      <c r="S300" s="575">
        <f t="shared" si="194"/>
        <v>0</v>
      </c>
      <c r="T300" s="574">
        <f t="shared" si="194"/>
        <v>0</v>
      </c>
      <c r="U300" s="253"/>
      <c r="V300" s="254"/>
      <c r="W300" s="255"/>
      <c r="X300" s="255"/>
      <c r="Y300" s="255"/>
      <c r="Z300" s="255"/>
      <c r="AA300" s="255"/>
      <c r="AB300" s="251"/>
      <c r="AC300" s="256"/>
      <c r="AD300" s="254"/>
      <c r="AE300" s="255"/>
      <c r="AF300" s="255"/>
      <c r="AG300" s="255"/>
      <c r="AH300" s="255"/>
      <c r="AI300" s="257"/>
      <c r="AJ300" s="254"/>
      <c r="AK300" s="255"/>
      <c r="AL300" s="257"/>
      <c r="AM300" s="254"/>
      <c r="AN300" s="563"/>
      <c r="AO300" s="209"/>
    </row>
    <row r="301" spans="1:41" s="500" customFormat="1">
      <c r="A301" s="580"/>
      <c r="B301" s="580" t="s">
        <v>131</v>
      </c>
      <c r="C301" s="581">
        <f>IF(V301&gt;0,(V301/V302),0)</f>
        <v>0</v>
      </c>
      <c r="D301" s="582">
        <f t="shared" ref="D301:T301" si="195">IF(W301&gt;0,(W301/W302),0)</f>
        <v>0</v>
      </c>
      <c r="E301" s="582">
        <f t="shared" si="195"/>
        <v>0</v>
      </c>
      <c r="F301" s="582">
        <f t="shared" si="195"/>
        <v>0</v>
      </c>
      <c r="G301" s="582">
        <f t="shared" si="195"/>
        <v>0</v>
      </c>
      <c r="H301" s="582">
        <f t="shared" si="195"/>
        <v>0</v>
      </c>
      <c r="I301" s="583">
        <f t="shared" si="195"/>
        <v>0</v>
      </c>
      <c r="J301" s="584">
        <f t="shared" si="195"/>
        <v>0</v>
      </c>
      <c r="K301" s="581">
        <f t="shared" si="195"/>
        <v>0</v>
      </c>
      <c r="L301" s="582">
        <f t="shared" si="195"/>
        <v>0</v>
      </c>
      <c r="M301" s="582">
        <f t="shared" si="195"/>
        <v>0</v>
      </c>
      <c r="N301" s="582">
        <f t="shared" si="195"/>
        <v>0</v>
      </c>
      <c r="O301" s="583">
        <f t="shared" si="195"/>
        <v>0</v>
      </c>
      <c r="P301" s="581">
        <f t="shared" si="195"/>
        <v>0</v>
      </c>
      <c r="Q301" s="581">
        <f t="shared" si="195"/>
        <v>0</v>
      </c>
      <c r="R301" s="582">
        <f t="shared" si="195"/>
        <v>0</v>
      </c>
      <c r="S301" s="583">
        <f t="shared" si="195"/>
        <v>0</v>
      </c>
      <c r="T301" s="581">
        <f t="shared" si="195"/>
        <v>0</v>
      </c>
      <c r="U301" s="253"/>
      <c r="V301" s="254"/>
      <c r="W301" s="255"/>
      <c r="X301" s="255"/>
      <c r="Y301" s="255"/>
      <c r="Z301" s="255"/>
      <c r="AA301" s="255"/>
      <c r="AB301" s="582"/>
      <c r="AC301" s="256"/>
      <c r="AD301" s="254"/>
      <c r="AE301" s="255"/>
      <c r="AF301" s="255"/>
      <c r="AG301" s="255"/>
      <c r="AH301" s="255"/>
      <c r="AI301" s="257"/>
      <c r="AJ301" s="254"/>
      <c r="AK301" s="255"/>
      <c r="AL301" s="257"/>
      <c r="AM301" s="254"/>
      <c r="AN301" s="209"/>
      <c r="AO301" s="209"/>
    </row>
    <row r="302" spans="1:41" s="527" customFormat="1">
      <c r="A302" s="436"/>
      <c r="B302" s="436" t="s">
        <v>59</v>
      </c>
      <c r="C302" s="456">
        <f>SUM(C297:C301)</f>
        <v>0</v>
      </c>
      <c r="D302" s="456">
        <f t="shared" ref="D302:T302" si="196">SUM(D297:D301)</f>
        <v>0</v>
      </c>
      <c r="E302" s="456">
        <f t="shared" si="196"/>
        <v>0</v>
      </c>
      <c r="F302" s="456">
        <f t="shared" si="196"/>
        <v>0</v>
      </c>
      <c r="G302" s="456">
        <f t="shared" si="196"/>
        <v>0</v>
      </c>
      <c r="H302" s="456">
        <f t="shared" si="196"/>
        <v>0</v>
      </c>
      <c r="I302" s="456">
        <f t="shared" si="196"/>
        <v>0</v>
      </c>
      <c r="J302" s="576">
        <f t="shared" si="196"/>
        <v>0</v>
      </c>
      <c r="K302" s="577">
        <f t="shared" si="196"/>
        <v>0</v>
      </c>
      <c r="L302" s="578">
        <f t="shared" si="196"/>
        <v>0</v>
      </c>
      <c r="M302" s="578">
        <f t="shared" si="196"/>
        <v>0</v>
      </c>
      <c r="N302" s="578">
        <f t="shared" si="196"/>
        <v>0</v>
      </c>
      <c r="O302" s="579">
        <f t="shared" si="196"/>
        <v>0</v>
      </c>
      <c r="P302" s="577">
        <f t="shared" si="196"/>
        <v>0</v>
      </c>
      <c r="Q302" s="578">
        <f t="shared" si="196"/>
        <v>0</v>
      </c>
      <c r="R302" s="578">
        <f t="shared" si="196"/>
        <v>0</v>
      </c>
      <c r="S302" s="579">
        <f t="shared" si="196"/>
        <v>0</v>
      </c>
      <c r="T302" s="577">
        <f t="shared" si="196"/>
        <v>0</v>
      </c>
      <c r="U302" s="264"/>
      <c r="V302" s="265"/>
      <c r="W302" s="266"/>
      <c r="X302" s="266"/>
      <c r="Y302" s="266"/>
      <c r="Z302" s="266"/>
      <c r="AA302" s="266"/>
      <c r="AB302" s="262"/>
      <c r="AC302" s="267"/>
      <c r="AD302" s="265"/>
      <c r="AE302" s="266"/>
      <c r="AF302" s="266"/>
      <c r="AG302" s="266"/>
      <c r="AH302" s="266"/>
      <c r="AI302" s="268"/>
      <c r="AJ302" s="265"/>
      <c r="AK302" s="266"/>
      <c r="AL302" s="268"/>
      <c r="AM302" s="265"/>
      <c r="AN302" s="270"/>
      <c r="AO302" s="270"/>
    </row>
    <row r="303" spans="1:41" s="500" customFormat="1">
      <c r="A303" s="240" t="s">
        <v>155</v>
      </c>
      <c r="B303" s="240" t="s">
        <v>53</v>
      </c>
      <c r="C303" s="568">
        <f>IF(V303&gt;0,(V303/V308),0)</f>
        <v>0</v>
      </c>
      <c r="D303" s="568">
        <f t="shared" ref="D303:T303" si="197">IF(W303&gt;0,(W303/W308),0)</f>
        <v>0</v>
      </c>
      <c r="E303" s="568">
        <f t="shared" si="197"/>
        <v>0</v>
      </c>
      <c r="F303" s="568">
        <f t="shared" si="197"/>
        <v>0</v>
      </c>
      <c r="G303" s="568">
        <f t="shared" si="197"/>
        <v>0</v>
      </c>
      <c r="H303" s="568">
        <f t="shared" si="197"/>
        <v>0</v>
      </c>
      <c r="I303" s="568">
        <f t="shared" si="197"/>
        <v>0</v>
      </c>
      <c r="J303" s="569">
        <f t="shared" si="197"/>
        <v>0</v>
      </c>
      <c r="K303" s="570">
        <f t="shared" si="197"/>
        <v>0</v>
      </c>
      <c r="L303" s="568">
        <f t="shared" si="197"/>
        <v>0</v>
      </c>
      <c r="M303" s="568">
        <f t="shared" si="197"/>
        <v>0</v>
      </c>
      <c r="N303" s="568">
        <f t="shared" si="197"/>
        <v>0</v>
      </c>
      <c r="O303" s="571">
        <f t="shared" si="197"/>
        <v>0</v>
      </c>
      <c r="P303" s="570">
        <f t="shared" si="197"/>
        <v>0</v>
      </c>
      <c r="Q303" s="568">
        <f t="shared" si="197"/>
        <v>0</v>
      </c>
      <c r="R303" s="568">
        <f t="shared" si="197"/>
        <v>0</v>
      </c>
      <c r="S303" s="571">
        <f t="shared" si="197"/>
        <v>0</v>
      </c>
      <c r="T303" s="570">
        <f t="shared" si="197"/>
        <v>0</v>
      </c>
      <c r="U303" s="253"/>
      <c r="V303" s="245"/>
      <c r="W303" s="246"/>
      <c r="X303" s="246"/>
      <c r="Y303" s="246"/>
      <c r="Z303" s="246"/>
      <c r="AA303" s="246"/>
      <c r="AB303" s="242"/>
      <c r="AC303" s="247"/>
      <c r="AD303" s="245"/>
      <c r="AE303" s="246"/>
      <c r="AF303" s="246"/>
      <c r="AG303" s="246"/>
      <c r="AH303" s="246"/>
      <c r="AI303" s="248"/>
      <c r="AJ303" s="245"/>
      <c r="AK303" s="246"/>
      <c r="AL303" s="248"/>
      <c r="AM303" s="245"/>
      <c r="AN303" s="563"/>
      <c r="AO303" s="209"/>
    </row>
    <row r="304" spans="1:41" s="500" customFormat="1">
      <c r="A304" s="239"/>
      <c r="B304" s="239" t="s">
        <v>93</v>
      </c>
      <c r="C304" s="572">
        <f>IF(V304&gt;0,(V304/V308),0)</f>
        <v>0</v>
      </c>
      <c r="D304" s="572">
        <f t="shared" ref="D304:T304" si="198">IF(W304&gt;0,(W304/W308),0)</f>
        <v>0</v>
      </c>
      <c r="E304" s="572">
        <f t="shared" si="198"/>
        <v>0</v>
      </c>
      <c r="F304" s="572">
        <f t="shared" si="198"/>
        <v>0</v>
      </c>
      <c r="G304" s="572">
        <f t="shared" si="198"/>
        <v>0</v>
      </c>
      <c r="H304" s="572">
        <f t="shared" si="198"/>
        <v>0</v>
      </c>
      <c r="I304" s="572">
        <f t="shared" si="198"/>
        <v>0</v>
      </c>
      <c r="J304" s="573">
        <f t="shared" si="198"/>
        <v>0</v>
      </c>
      <c r="K304" s="574">
        <f t="shared" si="198"/>
        <v>0</v>
      </c>
      <c r="L304" s="572">
        <f t="shared" si="198"/>
        <v>0</v>
      </c>
      <c r="M304" s="572">
        <f t="shared" si="198"/>
        <v>0</v>
      </c>
      <c r="N304" s="572">
        <f t="shared" si="198"/>
        <v>0</v>
      </c>
      <c r="O304" s="575">
        <f t="shared" si="198"/>
        <v>0</v>
      </c>
      <c r="P304" s="574">
        <f t="shared" si="198"/>
        <v>0</v>
      </c>
      <c r="Q304" s="572">
        <f t="shared" si="198"/>
        <v>0</v>
      </c>
      <c r="R304" s="572">
        <f t="shared" si="198"/>
        <v>0</v>
      </c>
      <c r="S304" s="575">
        <f t="shared" si="198"/>
        <v>0</v>
      </c>
      <c r="T304" s="574">
        <f t="shared" si="198"/>
        <v>0</v>
      </c>
      <c r="U304" s="253"/>
      <c r="V304" s="254"/>
      <c r="W304" s="255"/>
      <c r="X304" s="255"/>
      <c r="Y304" s="255"/>
      <c r="Z304" s="255"/>
      <c r="AA304" s="255"/>
      <c r="AB304" s="251"/>
      <c r="AC304" s="256"/>
      <c r="AD304" s="254"/>
      <c r="AE304" s="255"/>
      <c r="AF304" s="255"/>
      <c r="AG304" s="255"/>
      <c r="AH304" s="255"/>
      <c r="AI304" s="257"/>
      <c r="AJ304" s="254"/>
      <c r="AK304" s="255"/>
      <c r="AL304" s="257"/>
      <c r="AM304" s="254"/>
      <c r="AN304" s="563"/>
      <c r="AO304" s="209"/>
    </row>
    <row r="305" spans="1:41" s="500" customFormat="1">
      <c r="A305" s="239"/>
      <c r="B305" s="239" t="s">
        <v>55</v>
      </c>
      <c r="C305" s="572">
        <f>IF(V305&gt;0,(V305/V308),0)</f>
        <v>0</v>
      </c>
      <c r="D305" s="572">
        <f t="shared" ref="D305:T305" si="199">IF(W305&gt;0,(W305/W308),0)</f>
        <v>0</v>
      </c>
      <c r="E305" s="572">
        <f t="shared" si="199"/>
        <v>0</v>
      </c>
      <c r="F305" s="572">
        <f t="shared" si="199"/>
        <v>0</v>
      </c>
      <c r="G305" s="572">
        <f t="shared" si="199"/>
        <v>0</v>
      </c>
      <c r="H305" s="572">
        <f t="shared" si="199"/>
        <v>0</v>
      </c>
      <c r="I305" s="572">
        <f t="shared" si="199"/>
        <v>0</v>
      </c>
      <c r="J305" s="573">
        <f t="shared" si="199"/>
        <v>0</v>
      </c>
      <c r="K305" s="574">
        <f t="shared" si="199"/>
        <v>0</v>
      </c>
      <c r="L305" s="572">
        <f t="shared" si="199"/>
        <v>0</v>
      </c>
      <c r="M305" s="572">
        <f t="shared" si="199"/>
        <v>0</v>
      </c>
      <c r="N305" s="572">
        <f t="shared" si="199"/>
        <v>0</v>
      </c>
      <c r="O305" s="575">
        <f t="shared" si="199"/>
        <v>0</v>
      </c>
      <c r="P305" s="574">
        <f t="shared" si="199"/>
        <v>0</v>
      </c>
      <c r="Q305" s="572">
        <f t="shared" si="199"/>
        <v>0</v>
      </c>
      <c r="R305" s="572">
        <f t="shared" si="199"/>
        <v>0</v>
      </c>
      <c r="S305" s="575">
        <f t="shared" si="199"/>
        <v>0</v>
      </c>
      <c r="T305" s="574">
        <f t="shared" si="199"/>
        <v>0</v>
      </c>
      <c r="U305" s="253"/>
      <c r="V305" s="254"/>
      <c r="W305" s="255"/>
      <c r="X305" s="255"/>
      <c r="Y305" s="255"/>
      <c r="Z305" s="255"/>
      <c r="AA305" s="255"/>
      <c r="AB305" s="251"/>
      <c r="AC305" s="256"/>
      <c r="AD305" s="254"/>
      <c r="AE305" s="255"/>
      <c r="AF305" s="255"/>
      <c r="AG305" s="255"/>
      <c r="AH305" s="255"/>
      <c r="AI305" s="257"/>
      <c r="AJ305" s="254"/>
      <c r="AK305" s="255"/>
      <c r="AL305" s="257"/>
      <c r="AM305" s="254"/>
      <c r="AN305" s="563"/>
      <c r="AO305" s="209"/>
    </row>
    <row r="306" spans="1:41" s="500" customFormat="1">
      <c r="A306" s="239"/>
      <c r="B306" s="239" t="s">
        <v>78</v>
      </c>
      <c r="C306" s="572">
        <f>IF(V306&gt;0,(V306/V308),0)</f>
        <v>0</v>
      </c>
      <c r="D306" s="572">
        <f t="shared" ref="D306:T306" si="200">IF(W306&gt;0,(W306/W308),0)</f>
        <v>0</v>
      </c>
      <c r="E306" s="572">
        <f t="shared" si="200"/>
        <v>0</v>
      </c>
      <c r="F306" s="572">
        <f t="shared" si="200"/>
        <v>0</v>
      </c>
      <c r="G306" s="572">
        <f t="shared" si="200"/>
        <v>0</v>
      </c>
      <c r="H306" s="572">
        <f t="shared" si="200"/>
        <v>0</v>
      </c>
      <c r="I306" s="572">
        <f t="shared" si="200"/>
        <v>0</v>
      </c>
      <c r="J306" s="573">
        <f t="shared" si="200"/>
        <v>0</v>
      </c>
      <c r="K306" s="574">
        <f t="shared" si="200"/>
        <v>0</v>
      </c>
      <c r="L306" s="572">
        <f t="shared" si="200"/>
        <v>0</v>
      </c>
      <c r="M306" s="572">
        <f t="shared" si="200"/>
        <v>0</v>
      </c>
      <c r="N306" s="572">
        <f t="shared" si="200"/>
        <v>0</v>
      </c>
      <c r="O306" s="575">
        <f t="shared" si="200"/>
        <v>0</v>
      </c>
      <c r="P306" s="574">
        <f t="shared" si="200"/>
        <v>0</v>
      </c>
      <c r="Q306" s="572">
        <f t="shared" si="200"/>
        <v>0</v>
      </c>
      <c r="R306" s="572">
        <f t="shared" si="200"/>
        <v>0</v>
      </c>
      <c r="S306" s="575">
        <f t="shared" si="200"/>
        <v>0</v>
      </c>
      <c r="T306" s="574">
        <f t="shared" si="200"/>
        <v>0</v>
      </c>
      <c r="U306" s="253"/>
      <c r="V306" s="254"/>
      <c r="W306" s="255"/>
      <c r="X306" s="255"/>
      <c r="Y306" s="255"/>
      <c r="Z306" s="255"/>
      <c r="AA306" s="255"/>
      <c r="AB306" s="251"/>
      <c r="AC306" s="256"/>
      <c r="AD306" s="254"/>
      <c r="AE306" s="255"/>
      <c r="AF306" s="255"/>
      <c r="AG306" s="255"/>
      <c r="AH306" s="255"/>
      <c r="AI306" s="257"/>
      <c r="AJ306" s="254"/>
      <c r="AK306" s="255"/>
      <c r="AL306" s="257"/>
      <c r="AM306" s="254"/>
      <c r="AN306" s="563"/>
      <c r="AO306" s="209"/>
    </row>
    <row r="307" spans="1:41" s="500" customFormat="1">
      <c r="A307" s="580"/>
      <c r="B307" s="580" t="s">
        <v>131</v>
      </c>
      <c r="C307" s="581">
        <f>IF(V307&gt;0,(V307/V308),0)</f>
        <v>0</v>
      </c>
      <c r="D307" s="582">
        <f t="shared" ref="D307:T307" si="201">IF(W307&gt;0,(W307/W308),0)</f>
        <v>0</v>
      </c>
      <c r="E307" s="582">
        <f t="shared" si="201"/>
        <v>0</v>
      </c>
      <c r="F307" s="582">
        <f t="shared" si="201"/>
        <v>0</v>
      </c>
      <c r="G307" s="582">
        <f t="shared" si="201"/>
        <v>0</v>
      </c>
      <c r="H307" s="582">
        <f t="shared" si="201"/>
        <v>0</v>
      </c>
      <c r="I307" s="583">
        <f t="shared" si="201"/>
        <v>0</v>
      </c>
      <c r="J307" s="584">
        <f t="shared" si="201"/>
        <v>0</v>
      </c>
      <c r="K307" s="581">
        <f t="shared" si="201"/>
        <v>0</v>
      </c>
      <c r="L307" s="582">
        <f t="shared" si="201"/>
        <v>0</v>
      </c>
      <c r="M307" s="582">
        <f t="shared" si="201"/>
        <v>0</v>
      </c>
      <c r="N307" s="582">
        <f t="shared" si="201"/>
        <v>0</v>
      </c>
      <c r="O307" s="583">
        <f t="shared" si="201"/>
        <v>0</v>
      </c>
      <c r="P307" s="581">
        <f t="shared" si="201"/>
        <v>0</v>
      </c>
      <c r="Q307" s="581">
        <f t="shared" si="201"/>
        <v>0</v>
      </c>
      <c r="R307" s="582">
        <f t="shared" si="201"/>
        <v>0</v>
      </c>
      <c r="S307" s="583">
        <f t="shared" si="201"/>
        <v>0</v>
      </c>
      <c r="T307" s="581">
        <f t="shared" si="201"/>
        <v>0</v>
      </c>
      <c r="U307" s="253"/>
      <c r="V307" s="254"/>
      <c r="W307" s="255"/>
      <c r="X307" s="255"/>
      <c r="Y307" s="255"/>
      <c r="Z307" s="255"/>
      <c r="AA307" s="255"/>
      <c r="AB307" s="582"/>
      <c r="AC307" s="256"/>
      <c r="AD307" s="254"/>
      <c r="AE307" s="255"/>
      <c r="AF307" s="255"/>
      <c r="AG307" s="255"/>
      <c r="AH307" s="255"/>
      <c r="AI307" s="257"/>
      <c r="AJ307" s="254"/>
      <c r="AK307" s="255"/>
      <c r="AL307" s="257"/>
      <c r="AM307" s="254"/>
      <c r="AN307" s="209"/>
      <c r="AO307" s="209"/>
    </row>
    <row r="308" spans="1:41" s="527" customFormat="1">
      <c r="A308" s="436"/>
      <c r="B308" s="436" t="s">
        <v>59</v>
      </c>
      <c r="C308" s="456">
        <f>SUM(C303:C307)</f>
        <v>0</v>
      </c>
      <c r="D308" s="456">
        <f t="shared" ref="D308:T308" si="202">SUM(D303:D307)</f>
        <v>0</v>
      </c>
      <c r="E308" s="456">
        <f t="shared" si="202"/>
        <v>0</v>
      </c>
      <c r="F308" s="456">
        <f t="shared" si="202"/>
        <v>0</v>
      </c>
      <c r="G308" s="456">
        <f t="shared" si="202"/>
        <v>0</v>
      </c>
      <c r="H308" s="456">
        <f t="shared" si="202"/>
        <v>0</v>
      </c>
      <c r="I308" s="456">
        <f t="shared" si="202"/>
        <v>0</v>
      </c>
      <c r="J308" s="576">
        <f t="shared" si="202"/>
        <v>0</v>
      </c>
      <c r="K308" s="577">
        <f t="shared" si="202"/>
        <v>0</v>
      </c>
      <c r="L308" s="578">
        <f t="shared" si="202"/>
        <v>0</v>
      </c>
      <c r="M308" s="578">
        <f t="shared" si="202"/>
        <v>0</v>
      </c>
      <c r="N308" s="578">
        <f t="shared" si="202"/>
        <v>0</v>
      </c>
      <c r="O308" s="579">
        <f t="shared" si="202"/>
        <v>0</v>
      </c>
      <c r="P308" s="577">
        <f t="shared" si="202"/>
        <v>0</v>
      </c>
      <c r="Q308" s="578">
        <f t="shared" si="202"/>
        <v>0</v>
      </c>
      <c r="R308" s="578">
        <f t="shared" si="202"/>
        <v>0</v>
      </c>
      <c r="S308" s="579">
        <f t="shared" si="202"/>
        <v>0</v>
      </c>
      <c r="T308" s="577">
        <f t="shared" si="202"/>
        <v>0</v>
      </c>
      <c r="U308" s="264"/>
      <c r="V308" s="265"/>
      <c r="W308" s="266"/>
      <c r="X308" s="266"/>
      <c r="Y308" s="266"/>
      <c r="Z308" s="266"/>
      <c r="AA308" s="266"/>
      <c r="AB308" s="262"/>
      <c r="AC308" s="267"/>
      <c r="AD308" s="265"/>
      <c r="AE308" s="266"/>
      <c r="AF308" s="266"/>
      <c r="AG308" s="266"/>
      <c r="AH308" s="266"/>
      <c r="AI308" s="268"/>
      <c r="AJ308" s="265"/>
      <c r="AK308" s="266"/>
      <c r="AL308" s="268"/>
      <c r="AM308" s="265"/>
      <c r="AN308" s="270"/>
      <c r="AO308" s="270"/>
    </row>
    <row r="309" spans="1:41" s="500" customFormat="1">
      <c r="A309" s="240" t="s">
        <v>156</v>
      </c>
      <c r="B309" s="240" t="s">
        <v>53</v>
      </c>
      <c r="C309" s="568">
        <f>IF(V309&gt;0,(V309/V314),0)</f>
        <v>0</v>
      </c>
      <c r="D309" s="568">
        <f t="shared" ref="D309:T309" si="203">IF(W309&gt;0,(W309/W314),0)</f>
        <v>0</v>
      </c>
      <c r="E309" s="568">
        <f t="shared" si="203"/>
        <v>0</v>
      </c>
      <c r="F309" s="568">
        <f t="shared" si="203"/>
        <v>0</v>
      </c>
      <c r="G309" s="568">
        <f t="shared" si="203"/>
        <v>0</v>
      </c>
      <c r="H309" s="568">
        <f t="shared" si="203"/>
        <v>0</v>
      </c>
      <c r="I309" s="568">
        <f t="shared" si="203"/>
        <v>0</v>
      </c>
      <c r="J309" s="569">
        <f t="shared" si="203"/>
        <v>0</v>
      </c>
      <c r="K309" s="570">
        <f t="shared" si="203"/>
        <v>0</v>
      </c>
      <c r="L309" s="568">
        <f t="shared" si="203"/>
        <v>0</v>
      </c>
      <c r="M309" s="568">
        <f t="shared" si="203"/>
        <v>0</v>
      </c>
      <c r="N309" s="568">
        <f t="shared" si="203"/>
        <v>0</v>
      </c>
      <c r="O309" s="571">
        <f t="shared" si="203"/>
        <v>0</v>
      </c>
      <c r="P309" s="570">
        <f t="shared" si="203"/>
        <v>0</v>
      </c>
      <c r="Q309" s="568">
        <f t="shared" si="203"/>
        <v>0</v>
      </c>
      <c r="R309" s="568">
        <f t="shared" si="203"/>
        <v>0</v>
      </c>
      <c r="S309" s="571">
        <f t="shared" si="203"/>
        <v>0</v>
      </c>
      <c r="T309" s="570">
        <f t="shared" si="203"/>
        <v>0</v>
      </c>
      <c r="U309" s="253"/>
      <c r="V309" s="245"/>
      <c r="W309" s="246"/>
      <c r="X309" s="246"/>
      <c r="Y309" s="246"/>
      <c r="Z309" s="246"/>
      <c r="AA309" s="246"/>
      <c r="AB309" s="242"/>
      <c r="AC309" s="247"/>
      <c r="AD309" s="245"/>
      <c r="AE309" s="246"/>
      <c r="AF309" s="246"/>
      <c r="AG309" s="246"/>
      <c r="AH309" s="246"/>
      <c r="AI309" s="248"/>
      <c r="AJ309" s="245"/>
      <c r="AK309" s="246"/>
      <c r="AL309" s="248"/>
      <c r="AM309" s="245"/>
      <c r="AN309" s="563"/>
      <c r="AO309" s="209"/>
    </row>
    <row r="310" spans="1:41" s="500" customFormat="1">
      <c r="A310" s="239"/>
      <c r="B310" s="239" t="s">
        <v>93</v>
      </c>
      <c r="C310" s="572">
        <f>IF(V310&gt;0,(V310/V314),0)</f>
        <v>0</v>
      </c>
      <c r="D310" s="572">
        <f t="shared" ref="D310:T310" si="204">IF(W310&gt;0,(W310/W314),0)</f>
        <v>0</v>
      </c>
      <c r="E310" s="572">
        <f t="shared" si="204"/>
        <v>0</v>
      </c>
      <c r="F310" s="572">
        <f t="shared" si="204"/>
        <v>0</v>
      </c>
      <c r="G310" s="572">
        <f t="shared" si="204"/>
        <v>0</v>
      </c>
      <c r="H310" s="572">
        <f t="shared" si="204"/>
        <v>0</v>
      </c>
      <c r="I310" s="572">
        <f t="shared" si="204"/>
        <v>0</v>
      </c>
      <c r="J310" s="573">
        <f t="shared" si="204"/>
        <v>0</v>
      </c>
      <c r="K310" s="574">
        <f t="shared" si="204"/>
        <v>0</v>
      </c>
      <c r="L310" s="572">
        <f t="shared" si="204"/>
        <v>0</v>
      </c>
      <c r="M310" s="572">
        <f t="shared" si="204"/>
        <v>0</v>
      </c>
      <c r="N310" s="572">
        <f t="shared" si="204"/>
        <v>0</v>
      </c>
      <c r="O310" s="575">
        <f t="shared" si="204"/>
        <v>0</v>
      </c>
      <c r="P310" s="574">
        <f t="shared" si="204"/>
        <v>0</v>
      </c>
      <c r="Q310" s="572">
        <f t="shared" si="204"/>
        <v>0</v>
      </c>
      <c r="R310" s="572">
        <f t="shared" si="204"/>
        <v>0</v>
      </c>
      <c r="S310" s="575">
        <f t="shared" si="204"/>
        <v>0</v>
      </c>
      <c r="T310" s="574">
        <f t="shared" si="204"/>
        <v>0</v>
      </c>
      <c r="U310" s="253"/>
      <c r="V310" s="254"/>
      <c r="W310" s="255"/>
      <c r="X310" s="255"/>
      <c r="Y310" s="255"/>
      <c r="Z310" s="255"/>
      <c r="AA310" s="255"/>
      <c r="AB310" s="251"/>
      <c r="AC310" s="256"/>
      <c r="AD310" s="254"/>
      <c r="AE310" s="255"/>
      <c r="AF310" s="255"/>
      <c r="AG310" s="255"/>
      <c r="AH310" s="255"/>
      <c r="AI310" s="257"/>
      <c r="AJ310" s="254"/>
      <c r="AK310" s="255"/>
      <c r="AL310" s="257"/>
      <c r="AM310" s="254"/>
      <c r="AN310" s="563"/>
      <c r="AO310" s="209"/>
    </row>
    <row r="311" spans="1:41" s="500" customFormat="1">
      <c r="A311" s="239"/>
      <c r="B311" s="239" t="s">
        <v>55</v>
      </c>
      <c r="C311" s="572">
        <f>IF(V311&gt;0,(V311/V314),0)</f>
        <v>0</v>
      </c>
      <c r="D311" s="572">
        <f t="shared" ref="D311:T311" si="205">IF(W311&gt;0,(W311/W314),0)</f>
        <v>0</v>
      </c>
      <c r="E311" s="572">
        <f t="shared" si="205"/>
        <v>0</v>
      </c>
      <c r="F311" s="572">
        <f t="shared" si="205"/>
        <v>0</v>
      </c>
      <c r="G311" s="572">
        <f t="shared" si="205"/>
        <v>0</v>
      </c>
      <c r="H311" s="572">
        <f t="shared" si="205"/>
        <v>0</v>
      </c>
      <c r="I311" s="572">
        <f t="shared" si="205"/>
        <v>0</v>
      </c>
      <c r="J311" s="573">
        <f t="shared" si="205"/>
        <v>0</v>
      </c>
      <c r="K311" s="574">
        <f t="shared" si="205"/>
        <v>0</v>
      </c>
      <c r="L311" s="572">
        <f t="shared" si="205"/>
        <v>0</v>
      </c>
      <c r="M311" s="572">
        <f t="shared" si="205"/>
        <v>0</v>
      </c>
      <c r="N311" s="572">
        <f t="shared" si="205"/>
        <v>0</v>
      </c>
      <c r="O311" s="575">
        <f t="shared" si="205"/>
        <v>0</v>
      </c>
      <c r="P311" s="574">
        <f t="shared" si="205"/>
        <v>0</v>
      </c>
      <c r="Q311" s="572">
        <f t="shared" si="205"/>
        <v>0</v>
      </c>
      <c r="R311" s="572">
        <f t="shared" si="205"/>
        <v>0</v>
      </c>
      <c r="S311" s="575">
        <f t="shared" si="205"/>
        <v>0</v>
      </c>
      <c r="T311" s="574">
        <f t="shared" si="205"/>
        <v>0</v>
      </c>
      <c r="U311" s="253"/>
      <c r="V311" s="254"/>
      <c r="W311" s="255"/>
      <c r="X311" s="255"/>
      <c r="Y311" s="255"/>
      <c r="Z311" s="255"/>
      <c r="AA311" s="255"/>
      <c r="AB311" s="251"/>
      <c r="AC311" s="256"/>
      <c r="AD311" s="254"/>
      <c r="AE311" s="255"/>
      <c r="AF311" s="255"/>
      <c r="AG311" s="255"/>
      <c r="AH311" s="255"/>
      <c r="AI311" s="257"/>
      <c r="AJ311" s="254"/>
      <c r="AK311" s="255"/>
      <c r="AL311" s="257"/>
      <c r="AM311" s="254"/>
      <c r="AN311" s="563"/>
      <c r="AO311" s="209"/>
    </row>
    <row r="312" spans="1:41" s="500" customFormat="1">
      <c r="A312" s="239"/>
      <c r="B312" s="239" t="s">
        <v>78</v>
      </c>
      <c r="C312" s="572">
        <f>IF(V312&gt;0,(V312/V314),0)</f>
        <v>0</v>
      </c>
      <c r="D312" s="572">
        <f t="shared" ref="D312:T312" si="206">IF(W312&gt;0,(W312/W314),0)</f>
        <v>0</v>
      </c>
      <c r="E312" s="572">
        <f t="shared" si="206"/>
        <v>0</v>
      </c>
      <c r="F312" s="572">
        <f t="shared" si="206"/>
        <v>0</v>
      </c>
      <c r="G312" s="572">
        <f t="shared" si="206"/>
        <v>0</v>
      </c>
      <c r="H312" s="572">
        <f t="shared" si="206"/>
        <v>0</v>
      </c>
      <c r="I312" s="572">
        <f t="shared" si="206"/>
        <v>0</v>
      </c>
      <c r="J312" s="573">
        <f t="shared" si="206"/>
        <v>0</v>
      </c>
      <c r="K312" s="574">
        <f t="shared" si="206"/>
        <v>0</v>
      </c>
      <c r="L312" s="572">
        <f t="shared" si="206"/>
        <v>0</v>
      </c>
      <c r="M312" s="572">
        <f t="shared" si="206"/>
        <v>0</v>
      </c>
      <c r="N312" s="572">
        <f t="shared" si="206"/>
        <v>0</v>
      </c>
      <c r="O312" s="575">
        <f t="shared" si="206"/>
        <v>0</v>
      </c>
      <c r="P312" s="574">
        <f t="shared" si="206"/>
        <v>0</v>
      </c>
      <c r="Q312" s="572">
        <f t="shared" si="206"/>
        <v>0</v>
      </c>
      <c r="R312" s="572">
        <f t="shared" si="206"/>
        <v>0</v>
      </c>
      <c r="S312" s="575">
        <f t="shared" si="206"/>
        <v>0</v>
      </c>
      <c r="T312" s="574">
        <f t="shared" si="206"/>
        <v>0</v>
      </c>
      <c r="U312" s="253"/>
      <c r="V312" s="254"/>
      <c r="W312" s="255"/>
      <c r="X312" s="255"/>
      <c r="Y312" s="255"/>
      <c r="Z312" s="255"/>
      <c r="AA312" s="255"/>
      <c r="AB312" s="251"/>
      <c r="AC312" s="256"/>
      <c r="AD312" s="254"/>
      <c r="AE312" s="255"/>
      <c r="AF312" s="255"/>
      <c r="AG312" s="255"/>
      <c r="AH312" s="255"/>
      <c r="AI312" s="257"/>
      <c r="AJ312" s="254"/>
      <c r="AK312" s="255"/>
      <c r="AL312" s="257"/>
      <c r="AM312" s="254"/>
      <c r="AN312" s="563"/>
      <c r="AO312" s="209"/>
    </row>
    <row r="313" spans="1:41" s="500" customFormat="1">
      <c r="A313" s="580"/>
      <c r="B313" s="580" t="s">
        <v>131</v>
      </c>
      <c r="C313" s="581">
        <f>IF(V313&gt;0,(V313/V314),0)</f>
        <v>0</v>
      </c>
      <c r="D313" s="582">
        <f t="shared" ref="D313:T313" si="207">IF(W313&gt;0,(W313/W314),0)</f>
        <v>0</v>
      </c>
      <c r="E313" s="582">
        <f t="shared" si="207"/>
        <v>0</v>
      </c>
      <c r="F313" s="582">
        <f t="shared" si="207"/>
        <v>0</v>
      </c>
      <c r="G313" s="582">
        <f t="shared" si="207"/>
        <v>0</v>
      </c>
      <c r="H313" s="582">
        <f t="shared" si="207"/>
        <v>0</v>
      </c>
      <c r="I313" s="583">
        <f t="shared" si="207"/>
        <v>0</v>
      </c>
      <c r="J313" s="584">
        <f t="shared" si="207"/>
        <v>0</v>
      </c>
      <c r="K313" s="581">
        <f t="shared" si="207"/>
        <v>0</v>
      </c>
      <c r="L313" s="582">
        <f t="shared" si="207"/>
        <v>0</v>
      </c>
      <c r="M313" s="582">
        <f t="shared" si="207"/>
        <v>0</v>
      </c>
      <c r="N313" s="582">
        <f t="shared" si="207"/>
        <v>0</v>
      </c>
      <c r="O313" s="583">
        <f t="shared" si="207"/>
        <v>0</v>
      </c>
      <c r="P313" s="581">
        <f t="shared" si="207"/>
        <v>0</v>
      </c>
      <c r="Q313" s="581">
        <f t="shared" si="207"/>
        <v>0</v>
      </c>
      <c r="R313" s="582">
        <f t="shared" si="207"/>
        <v>0</v>
      </c>
      <c r="S313" s="583">
        <f t="shared" si="207"/>
        <v>0</v>
      </c>
      <c r="T313" s="581">
        <f t="shared" si="207"/>
        <v>0</v>
      </c>
      <c r="U313" s="253"/>
      <c r="V313" s="254"/>
      <c r="W313" s="255"/>
      <c r="X313" s="255"/>
      <c r="Y313" s="255"/>
      <c r="Z313" s="255"/>
      <c r="AA313" s="255"/>
      <c r="AB313" s="582"/>
      <c r="AC313" s="256"/>
      <c r="AD313" s="254"/>
      <c r="AE313" s="255"/>
      <c r="AF313" s="255"/>
      <c r="AG313" s="255"/>
      <c r="AH313" s="255"/>
      <c r="AI313" s="257"/>
      <c r="AJ313" s="254"/>
      <c r="AK313" s="255"/>
      <c r="AL313" s="257"/>
      <c r="AM313" s="254"/>
      <c r="AN313" s="209"/>
      <c r="AO313" s="209"/>
    </row>
    <row r="314" spans="1:41" s="527" customFormat="1">
      <c r="A314" s="436"/>
      <c r="B314" s="436" t="s">
        <v>59</v>
      </c>
      <c r="C314" s="456">
        <f>SUM(C309:C313)</f>
        <v>0</v>
      </c>
      <c r="D314" s="456">
        <f t="shared" ref="D314:T314" si="208">SUM(D309:D313)</f>
        <v>0</v>
      </c>
      <c r="E314" s="456">
        <f t="shared" si="208"/>
        <v>0</v>
      </c>
      <c r="F314" s="456">
        <f t="shared" si="208"/>
        <v>0</v>
      </c>
      <c r="G314" s="456">
        <f t="shared" si="208"/>
        <v>0</v>
      </c>
      <c r="H314" s="456">
        <f t="shared" si="208"/>
        <v>0</v>
      </c>
      <c r="I314" s="456">
        <f t="shared" si="208"/>
        <v>0</v>
      </c>
      <c r="J314" s="576">
        <f t="shared" si="208"/>
        <v>0</v>
      </c>
      <c r="K314" s="577">
        <f t="shared" si="208"/>
        <v>0</v>
      </c>
      <c r="L314" s="578">
        <f t="shared" si="208"/>
        <v>0</v>
      </c>
      <c r="M314" s="578">
        <f t="shared" si="208"/>
        <v>0</v>
      </c>
      <c r="N314" s="578">
        <f t="shared" si="208"/>
        <v>0</v>
      </c>
      <c r="O314" s="579">
        <f t="shared" si="208"/>
        <v>0</v>
      </c>
      <c r="P314" s="577">
        <f t="shared" si="208"/>
        <v>0</v>
      </c>
      <c r="Q314" s="578">
        <f t="shared" si="208"/>
        <v>0</v>
      </c>
      <c r="R314" s="578">
        <f t="shared" si="208"/>
        <v>0</v>
      </c>
      <c r="S314" s="579">
        <f t="shared" si="208"/>
        <v>0</v>
      </c>
      <c r="T314" s="577">
        <f t="shared" si="208"/>
        <v>0</v>
      </c>
      <c r="U314" s="264"/>
      <c r="V314" s="265"/>
      <c r="W314" s="266"/>
      <c r="X314" s="266"/>
      <c r="Y314" s="266"/>
      <c r="Z314" s="266"/>
      <c r="AA314" s="266"/>
      <c r="AB314" s="262"/>
      <c r="AC314" s="267"/>
      <c r="AD314" s="265"/>
      <c r="AE314" s="266"/>
      <c r="AF314" s="266"/>
      <c r="AG314" s="266"/>
      <c r="AH314" s="266"/>
      <c r="AI314" s="268"/>
      <c r="AJ314" s="265"/>
      <c r="AK314" s="266"/>
      <c r="AL314" s="268"/>
      <c r="AM314" s="265"/>
      <c r="AN314" s="270"/>
      <c r="AO314" s="270"/>
    </row>
    <row r="315" spans="1:41" s="500" customFormat="1">
      <c r="A315" s="240" t="s">
        <v>159</v>
      </c>
      <c r="B315" s="240" t="s">
        <v>53</v>
      </c>
      <c r="C315" s="568">
        <f>IF(V315&gt;0,(V315/V320),0)</f>
        <v>0</v>
      </c>
      <c r="D315" s="568">
        <f t="shared" ref="D315:T315" si="209">IF(W315&gt;0,(W315/W320),0)</f>
        <v>0</v>
      </c>
      <c r="E315" s="568">
        <f t="shared" si="209"/>
        <v>0</v>
      </c>
      <c r="F315" s="568">
        <f t="shared" si="209"/>
        <v>0</v>
      </c>
      <c r="G315" s="568">
        <f t="shared" si="209"/>
        <v>0</v>
      </c>
      <c r="H315" s="568">
        <f t="shared" si="209"/>
        <v>0</v>
      </c>
      <c r="I315" s="568">
        <f t="shared" si="209"/>
        <v>0</v>
      </c>
      <c r="J315" s="569">
        <f t="shared" si="209"/>
        <v>0</v>
      </c>
      <c r="K315" s="570">
        <f t="shared" si="209"/>
        <v>0</v>
      </c>
      <c r="L315" s="568">
        <f t="shared" si="209"/>
        <v>0</v>
      </c>
      <c r="M315" s="568">
        <f t="shared" si="209"/>
        <v>0</v>
      </c>
      <c r="N315" s="568">
        <f t="shared" si="209"/>
        <v>0</v>
      </c>
      <c r="O315" s="571">
        <f t="shared" si="209"/>
        <v>0</v>
      </c>
      <c r="P315" s="570">
        <f t="shared" si="209"/>
        <v>0</v>
      </c>
      <c r="Q315" s="568">
        <f t="shared" si="209"/>
        <v>0</v>
      </c>
      <c r="R315" s="568">
        <f t="shared" si="209"/>
        <v>0</v>
      </c>
      <c r="S315" s="571">
        <f t="shared" si="209"/>
        <v>0</v>
      </c>
      <c r="T315" s="570">
        <f t="shared" si="209"/>
        <v>0</v>
      </c>
      <c r="U315" s="253"/>
      <c r="V315" s="245"/>
      <c r="W315" s="246"/>
      <c r="X315" s="246"/>
      <c r="Y315" s="246"/>
      <c r="Z315" s="246"/>
      <c r="AA315" s="246"/>
      <c r="AB315" s="242"/>
      <c r="AC315" s="247"/>
      <c r="AD315" s="245"/>
      <c r="AE315" s="246"/>
      <c r="AF315" s="246"/>
      <c r="AG315" s="246"/>
      <c r="AH315" s="246"/>
      <c r="AI315" s="248"/>
      <c r="AJ315" s="245"/>
      <c r="AK315" s="246"/>
      <c r="AL315" s="248"/>
      <c r="AM315" s="245"/>
      <c r="AN315" s="563"/>
      <c r="AO315" s="209"/>
    </row>
    <row r="316" spans="1:41" s="500" customFormat="1">
      <c r="A316" s="239"/>
      <c r="B316" s="239" t="s">
        <v>93</v>
      </c>
      <c r="C316" s="572">
        <f>IF(V316&gt;0,(V316/V320),0)</f>
        <v>0</v>
      </c>
      <c r="D316" s="572">
        <f t="shared" ref="D316:T316" si="210">IF(W316&gt;0,(W316/W320),0)</f>
        <v>0</v>
      </c>
      <c r="E316" s="572">
        <f t="shared" si="210"/>
        <v>0</v>
      </c>
      <c r="F316" s="572">
        <f t="shared" si="210"/>
        <v>0</v>
      </c>
      <c r="G316" s="572">
        <f t="shared" si="210"/>
        <v>0</v>
      </c>
      <c r="H316" s="572">
        <f t="shared" si="210"/>
        <v>0</v>
      </c>
      <c r="I316" s="572">
        <f t="shared" si="210"/>
        <v>0</v>
      </c>
      <c r="J316" s="573">
        <f t="shared" si="210"/>
        <v>0</v>
      </c>
      <c r="K316" s="574">
        <f t="shared" si="210"/>
        <v>0</v>
      </c>
      <c r="L316" s="572">
        <f t="shared" si="210"/>
        <v>0</v>
      </c>
      <c r="M316" s="572">
        <f t="shared" si="210"/>
        <v>0</v>
      </c>
      <c r="N316" s="572">
        <f t="shared" si="210"/>
        <v>0</v>
      </c>
      <c r="O316" s="575">
        <f t="shared" si="210"/>
        <v>0</v>
      </c>
      <c r="P316" s="574">
        <f t="shared" si="210"/>
        <v>0</v>
      </c>
      <c r="Q316" s="572">
        <f t="shared" si="210"/>
        <v>0</v>
      </c>
      <c r="R316" s="572">
        <f t="shared" si="210"/>
        <v>0</v>
      </c>
      <c r="S316" s="575">
        <f t="shared" si="210"/>
        <v>0</v>
      </c>
      <c r="T316" s="574">
        <f t="shared" si="210"/>
        <v>0</v>
      </c>
      <c r="U316" s="253"/>
      <c r="V316" s="254"/>
      <c r="W316" s="255"/>
      <c r="X316" s="255"/>
      <c r="Y316" s="255"/>
      <c r="Z316" s="255"/>
      <c r="AA316" s="255"/>
      <c r="AB316" s="251"/>
      <c r="AC316" s="256"/>
      <c r="AD316" s="254"/>
      <c r="AE316" s="255"/>
      <c r="AF316" s="255"/>
      <c r="AG316" s="255"/>
      <c r="AH316" s="255"/>
      <c r="AI316" s="257"/>
      <c r="AJ316" s="254"/>
      <c r="AK316" s="255"/>
      <c r="AL316" s="257"/>
      <c r="AM316" s="254"/>
      <c r="AN316" s="563"/>
      <c r="AO316" s="209"/>
    </row>
    <row r="317" spans="1:41" s="500" customFormat="1">
      <c r="A317" s="239"/>
      <c r="B317" s="239" t="s">
        <v>55</v>
      </c>
      <c r="C317" s="572">
        <f>IF(V317&gt;0,(V317/V320),0)</f>
        <v>0</v>
      </c>
      <c r="D317" s="572">
        <f t="shared" ref="D317:T317" si="211">IF(W317&gt;0,(W317/W320),0)</f>
        <v>0</v>
      </c>
      <c r="E317" s="572">
        <f t="shared" si="211"/>
        <v>0</v>
      </c>
      <c r="F317" s="572">
        <f t="shared" si="211"/>
        <v>0</v>
      </c>
      <c r="G317" s="572">
        <f t="shared" si="211"/>
        <v>0</v>
      </c>
      <c r="H317" s="572">
        <f t="shared" si="211"/>
        <v>0</v>
      </c>
      <c r="I317" s="572">
        <f t="shared" si="211"/>
        <v>0</v>
      </c>
      <c r="J317" s="573">
        <f t="shared" si="211"/>
        <v>0</v>
      </c>
      <c r="K317" s="574">
        <f t="shared" si="211"/>
        <v>0</v>
      </c>
      <c r="L317" s="572">
        <f t="shared" si="211"/>
        <v>0</v>
      </c>
      <c r="M317" s="572">
        <f t="shared" si="211"/>
        <v>0</v>
      </c>
      <c r="N317" s="572">
        <f t="shared" si="211"/>
        <v>0</v>
      </c>
      <c r="O317" s="575">
        <f t="shared" si="211"/>
        <v>0</v>
      </c>
      <c r="P317" s="574">
        <f t="shared" si="211"/>
        <v>0</v>
      </c>
      <c r="Q317" s="572">
        <f t="shared" si="211"/>
        <v>0</v>
      </c>
      <c r="R317" s="572">
        <f t="shared" si="211"/>
        <v>0</v>
      </c>
      <c r="S317" s="575">
        <f t="shared" si="211"/>
        <v>0</v>
      </c>
      <c r="T317" s="574">
        <f t="shared" si="211"/>
        <v>0</v>
      </c>
      <c r="U317" s="253"/>
      <c r="V317" s="254"/>
      <c r="W317" s="255"/>
      <c r="X317" s="255"/>
      <c r="Y317" s="255"/>
      <c r="Z317" s="255"/>
      <c r="AA317" s="255"/>
      <c r="AB317" s="251"/>
      <c r="AC317" s="256"/>
      <c r="AD317" s="254"/>
      <c r="AE317" s="255"/>
      <c r="AF317" s="255"/>
      <c r="AG317" s="255"/>
      <c r="AH317" s="255"/>
      <c r="AI317" s="257"/>
      <c r="AJ317" s="254"/>
      <c r="AK317" s="255"/>
      <c r="AL317" s="257"/>
      <c r="AM317" s="254"/>
      <c r="AN317" s="563"/>
      <c r="AO317" s="209"/>
    </row>
    <row r="318" spans="1:41" s="500" customFormat="1">
      <c r="A318" s="239"/>
      <c r="B318" s="239" t="s">
        <v>78</v>
      </c>
      <c r="C318" s="572">
        <f>IF(V318&gt;0,(V318/V320),0)</f>
        <v>0</v>
      </c>
      <c r="D318" s="572">
        <f t="shared" ref="D318:T318" si="212">IF(W318&gt;0,(W318/W320),0)</f>
        <v>0</v>
      </c>
      <c r="E318" s="572">
        <f t="shared" si="212"/>
        <v>0</v>
      </c>
      <c r="F318" s="572">
        <f t="shared" si="212"/>
        <v>0</v>
      </c>
      <c r="G318" s="572">
        <f t="shared" si="212"/>
        <v>0</v>
      </c>
      <c r="H318" s="572">
        <f t="shared" si="212"/>
        <v>0</v>
      </c>
      <c r="I318" s="572">
        <f t="shared" si="212"/>
        <v>0</v>
      </c>
      <c r="J318" s="573">
        <f t="shared" si="212"/>
        <v>0</v>
      </c>
      <c r="K318" s="574">
        <f t="shared" si="212"/>
        <v>0</v>
      </c>
      <c r="L318" s="572">
        <f t="shared" si="212"/>
        <v>0</v>
      </c>
      <c r="M318" s="572">
        <f t="shared" si="212"/>
        <v>0</v>
      </c>
      <c r="N318" s="572">
        <f t="shared" si="212"/>
        <v>0</v>
      </c>
      <c r="O318" s="575">
        <f t="shared" si="212"/>
        <v>0</v>
      </c>
      <c r="P318" s="574">
        <f t="shared" si="212"/>
        <v>0</v>
      </c>
      <c r="Q318" s="572">
        <f t="shared" si="212"/>
        <v>0</v>
      </c>
      <c r="R318" s="572">
        <f t="shared" si="212"/>
        <v>0</v>
      </c>
      <c r="S318" s="575">
        <f t="shared" si="212"/>
        <v>0</v>
      </c>
      <c r="T318" s="574">
        <f t="shared" si="212"/>
        <v>0</v>
      </c>
      <c r="U318" s="253"/>
      <c r="V318" s="254"/>
      <c r="W318" s="255"/>
      <c r="X318" s="255"/>
      <c r="Y318" s="255"/>
      <c r="Z318" s="255"/>
      <c r="AA318" s="255"/>
      <c r="AB318" s="251"/>
      <c r="AC318" s="256"/>
      <c r="AD318" s="254"/>
      <c r="AE318" s="255"/>
      <c r="AF318" s="255"/>
      <c r="AG318" s="255"/>
      <c r="AH318" s="255"/>
      <c r="AI318" s="257"/>
      <c r="AJ318" s="254"/>
      <c r="AK318" s="255"/>
      <c r="AL318" s="257"/>
      <c r="AM318" s="254"/>
      <c r="AN318" s="563"/>
      <c r="AO318" s="209"/>
    </row>
    <row r="319" spans="1:41" s="500" customFormat="1">
      <c r="A319" s="580"/>
      <c r="B319" s="580" t="s">
        <v>131</v>
      </c>
      <c r="C319" s="581">
        <f>IF(V319&gt;0,(V319/V320),0)</f>
        <v>0</v>
      </c>
      <c r="D319" s="582">
        <f t="shared" ref="D319:T319" si="213">IF(W319&gt;0,(W319/W320),0)</f>
        <v>0</v>
      </c>
      <c r="E319" s="582">
        <f t="shared" si="213"/>
        <v>0</v>
      </c>
      <c r="F319" s="582">
        <f t="shared" si="213"/>
        <v>0</v>
      </c>
      <c r="G319" s="582">
        <f t="shared" si="213"/>
        <v>0</v>
      </c>
      <c r="H319" s="582">
        <f t="shared" si="213"/>
        <v>0</v>
      </c>
      <c r="I319" s="583">
        <f t="shared" si="213"/>
        <v>0</v>
      </c>
      <c r="J319" s="584">
        <f t="shared" si="213"/>
        <v>0</v>
      </c>
      <c r="K319" s="581">
        <f t="shared" si="213"/>
        <v>0</v>
      </c>
      <c r="L319" s="582">
        <f t="shared" si="213"/>
        <v>0</v>
      </c>
      <c r="M319" s="582">
        <f t="shared" si="213"/>
        <v>0</v>
      </c>
      <c r="N319" s="582">
        <f t="shared" si="213"/>
        <v>0</v>
      </c>
      <c r="O319" s="583">
        <f t="shared" si="213"/>
        <v>0</v>
      </c>
      <c r="P319" s="581">
        <f t="shared" si="213"/>
        <v>0</v>
      </c>
      <c r="Q319" s="581">
        <f t="shared" si="213"/>
        <v>0</v>
      </c>
      <c r="R319" s="582">
        <f t="shared" si="213"/>
        <v>0</v>
      </c>
      <c r="S319" s="583">
        <f t="shared" si="213"/>
        <v>0</v>
      </c>
      <c r="T319" s="581">
        <f t="shared" si="213"/>
        <v>0</v>
      </c>
      <c r="U319" s="253"/>
      <c r="V319" s="254"/>
      <c r="W319" s="255"/>
      <c r="X319" s="255"/>
      <c r="Y319" s="255"/>
      <c r="Z319" s="255"/>
      <c r="AA319" s="255"/>
      <c r="AB319" s="582"/>
      <c r="AC319" s="256"/>
      <c r="AD319" s="254"/>
      <c r="AE319" s="255"/>
      <c r="AF319" s="255"/>
      <c r="AG319" s="255"/>
      <c r="AH319" s="255"/>
      <c r="AI319" s="257"/>
      <c r="AJ319" s="254"/>
      <c r="AK319" s="255"/>
      <c r="AL319" s="257"/>
      <c r="AM319" s="254"/>
      <c r="AN319" s="209"/>
      <c r="AO319" s="209"/>
    </row>
    <row r="320" spans="1:41" s="527" customFormat="1">
      <c r="A320" s="436"/>
      <c r="B320" s="436" t="s">
        <v>59</v>
      </c>
      <c r="C320" s="456">
        <f>SUM(C315:C319)</f>
        <v>0</v>
      </c>
      <c r="D320" s="456">
        <f t="shared" ref="D320:T320" si="214">SUM(D315:D319)</f>
        <v>0</v>
      </c>
      <c r="E320" s="456">
        <f t="shared" si="214"/>
        <v>0</v>
      </c>
      <c r="F320" s="456">
        <f t="shared" si="214"/>
        <v>0</v>
      </c>
      <c r="G320" s="456">
        <f t="shared" si="214"/>
        <v>0</v>
      </c>
      <c r="H320" s="456">
        <f t="shared" si="214"/>
        <v>0</v>
      </c>
      <c r="I320" s="456">
        <f t="shared" si="214"/>
        <v>0</v>
      </c>
      <c r="J320" s="576">
        <f t="shared" si="214"/>
        <v>0</v>
      </c>
      <c r="K320" s="577">
        <f t="shared" si="214"/>
        <v>0</v>
      </c>
      <c r="L320" s="578">
        <f t="shared" si="214"/>
        <v>0</v>
      </c>
      <c r="M320" s="578">
        <f t="shared" si="214"/>
        <v>0</v>
      </c>
      <c r="N320" s="578">
        <f t="shared" si="214"/>
        <v>0</v>
      </c>
      <c r="O320" s="579">
        <f t="shared" si="214"/>
        <v>0</v>
      </c>
      <c r="P320" s="577">
        <f t="shared" si="214"/>
        <v>0</v>
      </c>
      <c r="Q320" s="578">
        <f t="shared" si="214"/>
        <v>0</v>
      </c>
      <c r="R320" s="578">
        <f t="shared" si="214"/>
        <v>0</v>
      </c>
      <c r="S320" s="579">
        <f t="shared" si="214"/>
        <v>0</v>
      </c>
      <c r="T320" s="577">
        <f t="shared" si="214"/>
        <v>0</v>
      </c>
      <c r="U320" s="264"/>
      <c r="V320" s="265"/>
      <c r="W320" s="266"/>
      <c r="X320" s="266"/>
      <c r="Y320" s="266"/>
      <c r="Z320" s="266"/>
      <c r="AA320" s="266"/>
      <c r="AB320" s="262"/>
      <c r="AC320" s="267"/>
      <c r="AD320" s="265"/>
      <c r="AE320" s="266"/>
      <c r="AF320" s="266"/>
      <c r="AG320" s="266"/>
      <c r="AH320" s="266"/>
      <c r="AI320" s="268"/>
      <c r="AJ320" s="265"/>
      <c r="AK320" s="266"/>
      <c r="AL320" s="268"/>
      <c r="AM320" s="265"/>
      <c r="AN320" s="270"/>
      <c r="AO320" s="270"/>
    </row>
    <row r="321" spans="1:41" s="500" customFormat="1">
      <c r="A321" s="240" t="s">
        <v>162</v>
      </c>
      <c r="B321" s="240" t="s">
        <v>53</v>
      </c>
      <c r="C321" s="568">
        <f>IF(V321&gt;0,(V321/V326),0)</f>
        <v>0</v>
      </c>
      <c r="D321" s="568">
        <f t="shared" ref="D321:T321" si="215">IF(W321&gt;0,(W321/W326),0)</f>
        <v>0</v>
      </c>
      <c r="E321" s="568">
        <f t="shared" si="215"/>
        <v>0</v>
      </c>
      <c r="F321" s="568">
        <f t="shared" si="215"/>
        <v>0</v>
      </c>
      <c r="G321" s="568">
        <f t="shared" si="215"/>
        <v>0</v>
      </c>
      <c r="H321" s="568">
        <f t="shared" si="215"/>
        <v>0</v>
      </c>
      <c r="I321" s="568">
        <f t="shared" si="215"/>
        <v>0</v>
      </c>
      <c r="J321" s="569">
        <f t="shared" si="215"/>
        <v>0</v>
      </c>
      <c r="K321" s="570">
        <f t="shared" si="215"/>
        <v>0</v>
      </c>
      <c r="L321" s="568">
        <f t="shared" si="215"/>
        <v>0</v>
      </c>
      <c r="M321" s="568">
        <f t="shared" si="215"/>
        <v>0</v>
      </c>
      <c r="N321" s="568">
        <f t="shared" si="215"/>
        <v>0</v>
      </c>
      <c r="O321" s="571">
        <f t="shared" si="215"/>
        <v>0</v>
      </c>
      <c r="P321" s="570">
        <f t="shared" si="215"/>
        <v>0</v>
      </c>
      <c r="Q321" s="568">
        <f t="shared" si="215"/>
        <v>0</v>
      </c>
      <c r="R321" s="568">
        <f t="shared" si="215"/>
        <v>0</v>
      </c>
      <c r="S321" s="571">
        <f t="shared" si="215"/>
        <v>0</v>
      </c>
      <c r="T321" s="570">
        <f t="shared" si="215"/>
        <v>0</v>
      </c>
      <c r="U321" s="253"/>
      <c r="V321" s="245"/>
      <c r="W321" s="246"/>
      <c r="X321" s="246"/>
      <c r="Y321" s="246"/>
      <c r="Z321" s="246"/>
      <c r="AA321" s="246"/>
      <c r="AB321" s="242"/>
      <c r="AC321" s="247"/>
      <c r="AD321" s="245"/>
      <c r="AE321" s="246"/>
      <c r="AF321" s="246"/>
      <c r="AG321" s="246"/>
      <c r="AH321" s="246"/>
      <c r="AI321" s="248"/>
      <c r="AJ321" s="245"/>
      <c r="AK321" s="246"/>
      <c r="AL321" s="248"/>
      <c r="AM321" s="245"/>
      <c r="AN321" s="563"/>
      <c r="AO321" s="209"/>
    </row>
    <row r="322" spans="1:41" s="500" customFormat="1">
      <c r="A322" s="239"/>
      <c r="B322" s="239" t="s">
        <v>93</v>
      </c>
      <c r="C322" s="572">
        <f>IF(V322&gt;0,(V322/V326),0)</f>
        <v>0</v>
      </c>
      <c r="D322" s="572">
        <f t="shared" ref="D322:T322" si="216">IF(W322&gt;0,(W322/W326),0)</f>
        <v>0</v>
      </c>
      <c r="E322" s="572">
        <f t="shared" si="216"/>
        <v>0</v>
      </c>
      <c r="F322" s="572">
        <f t="shared" si="216"/>
        <v>0</v>
      </c>
      <c r="G322" s="572">
        <f t="shared" si="216"/>
        <v>0</v>
      </c>
      <c r="H322" s="572">
        <f t="shared" si="216"/>
        <v>0</v>
      </c>
      <c r="I322" s="572">
        <f t="shared" si="216"/>
        <v>0</v>
      </c>
      <c r="J322" s="573">
        <f t="shared" si="216"/>
        <v>0</v>
      </c>
      <c r="K322" s="574">
        <f t="shared" si="216"/>
        <v>0</v>
      </c>
      <c r="L322" s="572">
        <f t="shared" si="216"/>
        <v>0</v>
      </c>
      <c r="M322" s="572">
        <f t="shared" si="216"/>
        <v>0</v>
      </c>
      <c r="N322" s="572">
        <f t="shared" si="216"/>
        <v>0</v>
      </c>
      <c r="O322" s="575">
        <f t="shared" si="216"/>
        <v>0</v>
      </c>
      <c r="P322" s="574">
        <f t="shared" si="216"/>
        <v>0</v>
      </c>
      <c r="Q322" s="572">
        <f t="shared" si="216"/>
        <v>0</v>
      </c>
      <c r="R322" s="572">
        <f t="shared" si="216"/>
        <v>0</v>
      </c>
      <c r="S322" s="575">
        <f t="shared" si="216"/>
        <v>0</v>
      </c>
      <c r="T322" s="574">
        <f t="shared" si="216"/>
        <v>0</v>
      </c>
      <c r="U322" s="253"/>
      <c r="V322" s="254"/>
      <c r="W322" s="255"/>
      <c r="X322" s="255"/>
      <c r="Y322" s="255"/>
      <c r="Z322" s="255"/>
      <c r="AA322" s="255"/>
      <c r="AB322" s="251"/>
      <c r="AC322" s="256"/>
      <c r="AD322" s="254"/>
      <c r="AE322" s="255"/>
      <c r="AF322" s="255"/>
      <c r="AG322" s="255"/>
      <c r="AH322" s="255"/>
      <c r="AI322" s="257"/>
      <c r="AJ322" s="254"/>
      <c r="AK322" s="255"/>
      <c r="AL322" s="257"/>
      <c r="AM322" s="254"/>
      <c r="AN322" s="563"/>
      <c r="AO322" s="209"/>
    </row>
    <row r="323" spans="1:41" s="500" customFormat="1">
      <c r="A323" s="239"/>
      <c r="B323" s="239" t="s">
        <v>55</v>
      </c>
      <c r="C323" s="572">
        <f>IF(V323&gt;0,(V323/V326),0)</f>
        <v>0</v>
      </c>
      <c r="D323" s="572">
        <f t="shared" ref="D323:T323" si="217">IF(W323&gt;0,(W323/W326),0)</f>
        <v>0</v>
      </c>
      <c r="E323" s="572">
        <f t="shared" si="217"/>
        <v>0</v>
      </c>
      <c r="F323" s="572">
        <f t="shared" si="217"/>
        <v>0</v>
      </c>
      <c r="G323" s="572">
        <f t="shared" si="217"/>
        <v>0</v>
      </c>
      <c r="H323" s="572">
        <f t="shared" si="217"/>
        <v>0</v>
      </c>
      <c r="I323" s="572">
        <f t="shared" si="217"/>
        <v>0</v>
      </c>
      <c r="J323" s="573">
        <f t="shared" si="217"/>
        <v>0</v>
      </c>
      <c r="K323" s="574">
        <f t="shared" si="217"/>
        <v>0</v>
      </c>
      <c r="L323" s="572">
        <f t="shared" si="217"/>
        <v>0</v>
      </c>
      <c r="M323" s="572">
        <f t="shared" si="217"/>
        <v>0</v>
      </c>
      <c r="N323" s="572">
        <f t="shared" si="217"/>
        <v>0</v>
      </c>
      <c r="O323" s="575">
        <f t="shared" si="217"/>
        <v>0</v>
      </c>
      <c r="P323" s="574">
        <f t="shared" si="217"/>
        <v>0</v>
      </c>
      <c r="Q323" s="572">
        <f t="shared" si="217"/>
        <v>0</v>
      </c>
      <c r="R323" s="572">
        <f t="shared" si="217"/>
        <v>0</v>
      </c>
      <c r="S323" s="575">
        <f t="shared" si="217"/>
        <v>0</v>
      </c>
      <c r="T323" s="574">
        <f t="shared" si="217"/>
        <v>0</v>
      </c>
      <c r="U323" s="253"/>
      <c r="V323" s="254"/>
      <c r="W323" s="255"/>
      <c r="X323" s="255"/>
      <c r="Y323" s="255"/>
      <c r="Z323" s="255"/>
      <c r="AA323" s="255"/>
      <c r="AB323" s="251"/>
      <c r="AC323" s="256"/>
      <c r="AD323" s="254"/>
      <c r="AE323" s="255"/>
      <c r="AF323" s="255"/>
      <c r="AG323" s="255"/>
      <c r="AH323" s="255"/>
      <c r="AI323" s="257"/>
      <c r="AJ323" s="254"/>
      <c r="AK323" s="255"/>
      <c r="AL323" s="257"/>
      <c r="AM323" s="254"/>
      <c r="AN323" s="563"/>
      <c r="AO323" s="209"/>
    </row>
    <row r="324" spans="1:41" s="500" customFormat="1">
      <c r="A324" s="239"/>
      <c r="B324" s="239" t="s">
        <v>78</v>
      </c>
      <c r="C324" s="572">
        <f>IF(V324&gt;0,(V324/V326),0)</f>
        <v>0</v>
      </c>
      <c r="D324" s="572">
        <f t="shared" ref="D324:T324" si="218">IF(W324&gt;0,(W324/W326),0)</f>
        <v>0</v>
      </c>
      <c r="E324" s="572">
        <f t="shared" si="218"/>
        <v>0</v>
      </c>
      <c r="F324" s="572">
        <f t="shared" si="218"/>
        <v>0</v>
      </c>
      <c r="G324" s="572">
        <f t="shared" si="218"/>
        <v>0</v>
      </c>
      <c r="H324" s="572">
        <f t="shared" si="218"/>
        <v>0</v>
      </c>
      <c r="I324" s="572">
        <f t="shared" si="218"/>
        <v>0</v>
      </c>
      <c r="J324" s="573">
        <f t="shared" si="218"/>
        <v>0</v>
      </c>
      <c r="K324" s="574">
        <f t="shared" si="218"/>
        <v>0</v>
      </c>
      <c r="L324" s="572">
        <f t="shared" si="218"/>
        <v>0</v>
      </c>
      <c r="M324" s="572">
        <f t="shared" si="218"/>
        <v>0</v>
      </c>
      <c r="N324" s="572">
        <f t="shared" si="218"/>
        <v>0</v>
      </c>
      <c r="O324" s="575">
        <f t="shared" si="218"/>
        <v>0</v>
      </c>
      <c r="P324" s="574">
        <f t="shared" si="218"/>
        <v>0</v>
      </c>
      <c r="Q324" s="572">
        <f t="shared" si="218"/>
        <v>0</v>
      </c>
      <c r="R324" s="572">
        <f t="shared" si="218"/>
        <v>0</v>
      </c>
      <c r="S324" s="575">
        <f t="shared" si="218"/>
        <v>0</v>
      </c>
      <c r="T324" s="574">
        <f t="shared" si="218"/>
        <v>0</v>
      </c>
      <c r="U324" s="253"/>
      <c r="V324" s="254"/>
      <c r="W324" s="255"/>
      <c r="X324" s="255"/>
      <c r="Y324" s="255"/>
      <c r="Z324" s="255"/>
      <c r="AA324" s="255"/>
      <c r="AB324" s="251"/>
      <c r="AC324" s="256"/>
      <c r="AD324" s="254"/>
      <c r="AE324" s="255"/>
      <c r="AF324" s="255"/>
      <c r="AG324" s="255"/>
      <c r="AH324" s="255"/>
      <c r="AI324" s="257"/>
      <c r="AJ324" s="254"/>
      <c r="AK324" s="255"/>
      <c r="AL324" s="257"/>
      <c r="AM324" s="254"/>
      <c r="AN324" s="563"/>
      <c r="AO324" s="209"/>
    </row>
    <row r="325" spans="1:41" s="500" customFormat="1">
      <c r="A325" s="580"/>
      <c r="B325" s="580" t="s">
        <v>131</v>
      </c>
      <c r="C325" s="581">
        <f>IF(V325&gt;0,(V325/V326),0)</f>
        <v>0</v>
      </c>
      <c r="D325" s="582">
        <f t="shared" ref="D325:T325" si="219">IF(W325&gt;0,(W325/W326),0)</f>
        <v>0</v>
      </c>
      <c r="E325" s="582">
        <f t="shared" si="219"/>
        <v>0</v>
      </c>
      <c r="F325" s="582">
        <f t="shared" si="219"/>
        <v>0</v>
      </c>
      <c r="G325" s="582">
        <f t="shared" si="219"/>
        <v>0</v>
      </c>
      <c r="H325" s="582">
        <f t="shared" si="219"/>
        <v>0</v>
      </c>
      <c r="I325" s="583">
        <f t="shared" si="219"/>
        <v>0</v>
      </c>
      <c r="J325" s="584">
        <f t="shared" si="219"/>
        <v>0</v>
      </c>
      <c r="K325" s="581">
        <f t="shared" si="219"/>
        <v>0</v>
      </c>
      <c r="L325" s="582">
        <f t="shared" si="219"/>
        <v>0</v>
      </c>
      <c r="M325" s="582">
        <f t="shared" si="219"/>
        <v>0</v>
      </c>
      <c r="N325" s="582">
        <f t="shared" si="219"/>
        <v>0</v>
      </c>
      <c r="O325" s="583">
        <f t="shared" si="219"/>
        <v>0</v>
      </c>
      <c r="P325" s="581">
        <f t="shared" si="219"/>
        <v>0</v>
      </c>
      <c r="Q325" s="581">
        <f t="shared" si="219"/>
        <v>0</v>
      </c>
      <c r="R325" s="582">
        <f t="shared" si="219"/>
        <v>0</v>
      </c>
      <c r="S325" s="583">
        <f t="shared" si="219"/>
        <v>0</v>
      </c>
      <c r="T325" s="581">
        <f t="shared" si="219"/>
        <v>0</v>
      </c>
      <c r="U325" s="253"/>
      <c r="V325" s="254"/>
      <c r="W325" s="255"/>
      <c r="X325" s="255"/>
      <c r="Y325" s="255"/>
      <c r="Z325" s="255"/>
      <c r="AA325" s="255"/>
      <c r="AB325" s="582"/>
      <c r="AC325" s="256"/>
      <c r="AD325" s="254"/>
      <c r="AE325" s="255"/>
      <c r="AF325" s="255"/>
      <c r="AG325" s="255"/>
      <c r="AH325" s="255"/>
      <c r="AI325" s="257"/>
      <c r="AJ325" s="254"/>
      <c r="AK325" s="255"/>
      <c r="AL325" s="257"/>
      <c r="AM325" s="254"/>
      <c r="AN325" s="209"/>
      <c r="AO325" s="209"/>
    </row>
    <row r="326" spans="1:41" s="527" customFormat="1">
      <c r="A326" s="436"/>
      <c r="B326" s="436" t="s">
        <v>59</v>
      </c>
      <c r="C326" s="456">
        <f>SUM(C321:C325)</f>
        <v>0</v>
      </c>
      <c r="D326" s="456">
        <f t="shared" ref="D326:T326" si="220">SUM(D321:D325)</f>
        <v>0</v>
      </c>
      <c r="E326" s="456">
        <f t="shared" si="220"/>
        <v>0</v>
      </c>
      <c r="F326" s="456">
        <f t="shared" si="220"/>
        <v>0</v>
      </c>
      <c r="G326" s="456">
        <f t="shared" si="220"/>
        <v>0</v>
      </c>
      <c r="H326" s="456">
        <f t="shared" si="220"/>
        <v>0</v>
      </c>
      <c r="I326" s="456">
        <f t="shared" si="220"/>
        <v>0</v>
      </c>
      <c r="J326" s="576">
        <f t="shared" si="220"/>
        <v>0</v>
      </c>
      <c r="K326" s="577">
        <f t="shared" si="220"/>
        <v>0</v>
      </c>
      <c r="L326" s="578">
        <f t="shared" si="220"/>
        <v>0</v>
      </c>
      <c r="M326" s="578">
        <f t="shared" si="220"/>
        <v>0</v>
      </c>
      <c r="N326" s="578">
        <f t="shared" si="220"/>
        <v>0</v>
      </c>
      <c r="O326" s="579">
        <f t="shared" si="220"/>
        <v>0</v>
      </c>
      <c r="P326" s="577">
        <f t="shared" si="220"/>
        <v>0</v>
      </c>
      <c r="Q326" s="578">
        <f t="shared" si="220"/>
        <v>0</v>
      </c>
      <c r="R326" s="578">
        <f t="shared" si="220"/>
        <v>0</v>
      </c>
      <c r="S326" s="579">
        <f t="shared" si="220"/>
        <v>0</v>
      </c>
      <c r="T326" s="577">
        <f t="shared" si="220"/>
        <v>0</v>
      </c>
      <c r="U326" s="264"/>
      <c r="V326" s="265"/>
      <c r="W326" s="266"/>
      <c r="X326" s="266"/>
      <c r="Y326" s="266"/>
      <c r="Z326" s="266"/>
      <c r="AA326" s="266"/>
      <c r="AB326" s="262"/>
      <c r="AC326" s="267"/>
      <c r="AD326" s="265"/>
      <c r="AE326" s="266"/>
      <c r="AF326" s="266"/>
      <c r="AG326" s="266"/>
      <c r="AH326" s="266"/>
      <c r="AI326" s="268"/>
      <c r="AJ326" s="265"/>
      <c r="AK326" s="266"/>
      <c r="AL326" s="268"/>
      <c r="AM326" s="265"/>
      <c r="AN326" s="270"/>
      <c r="AO326" s="270"/>
    </row>
    <row r="327" spans="1:41" s="500" customFormat="1">
      <c r="A327" s="240" t="s">
        <v>163</v>
      </c>
      <c r="B327" s="240" t="s">
        <v>53</v>
      </c>
      <c r="C327" s="568">
        <f>IF(V327&gt;0,(V327/V332),0)</f>
        <v>0</v>
      </c>
      <c r="D327" s="568">
        <f t="shared" ref="D327:T327" si="221">IF(W327&gt;0,(W327/W332),0)</f>
        <v>0</v>
      </c>
      <c r="E327" s="568">
        <f t="shared" si="221"/>
        <v>0</v>
      </c>
      <c r="F327" s="568">
        <f t="shared" si="221"/>
        <v>0</v>
      </c>
      <c r="G327" s="568">
        <f t="shared" si="221"/>
        <v>0</v>
      </c>
      <c r="H327" s="568">
        <f t="shared" si="221"/>
        <v>0</v>
      </c>
      <c r="I327" s="568">
        <f t="shared" si="221"/>
        <v>0</v>
      </c>
      <c r="J327" s="569">
        <f t="shared" si="221"/>
        <v>0</v>
      </c>
      <c r="K327" s="570">
        <f t="shared" si="221"/>
        <v>0</v>
      </c>
      <c r="L327" s="568">
        <f t="shared" si="221"/>
        <v>0</v>
      </c>
      <c r="M327" s="568">
        <f t="shared" si="221"/>
        <v>0</v>
      </c>
      <c r="N327" s="568">
        <f t="shared" si="221"/>
        <v>0</v>
      </c>
      <c r="O327" s="571">
        <f t="shared" si="221"/>
        <v>0</v>
      </c>
      <c r="P327" s="570">
        <f t="shared" si="221"/>
        <v>0</v>
      </c>
      <c r="Q327" s="568">
        <f t="shared" si="221"/>
        <v>0</v>
      </c>
      <c r="R327" s="568">
        <f t="shared" si="221"/>
        <v>0</v>
      </c>
      <c r="S327" s="571">
        <f t="shared" si="221"/>
        <v>0</v>
      </c>
      <c r="T327" s="570">
        <f t="shared" si="221"/>
        <v>0</v>
      </c>
      <c r="U327" s="253"/>
      <c r="V327" s="245"/>
      <c r="W327" s="246"/>
      <c r="X327" s="246"/>
      <c r="Y327" s="246"/>
      <c r="Z327" s="246"/>
      <c r="AA327" s="246"/>
      <c r="AB327" s="242"/>
      <c r="AC327" s="247"/>
      <c r="AD327" s="245"/>
      <c r="AE327" s="246"/>
      <c r="AF327" s="246"/>
      <c r="AG327" s="246"/>
      <c r="AH327" s="246"/>
      <c r="AI327" s="248"/>
      <c r="AJ327" s="245"/>
      <c r="AK327" s="246"/>
      <c r="AL327" s="248"/>
      <c r="AM327" s="245"/>
      <c r="AN327" s="563"/>
      <c r="AO327" s="209"/>
    </row>
    <row r="328" spans="1:41" s="500" customFormat="1">
      <c r="A328" s="239"/>
      <c r="B328" s="239" t="s">
        <v>93</v>
      </c>
      <c r="C328" s="572">
        <f>IF(V328&gt;0,(V328/V332),0)</f>
        <v>0</v>
      </c>
      <c r="D328" s="572">
        <f t="shared" ref="D328:T328" si="222">IF(W328&gt;0,(W328/W332),0)</f>
        <v>0</v>
      </c>
      <c r="E328" s="572">
        <f t="shared" si="222"/>
        <v>0</v>
      </c>
      <c r="F328" s="572">
        <f t="shared" si="222"/>
        <v>0</v>
      </c>
      <c r="G328" s="572">
        <f t="shared" si="222"/>
        <v>0</v>
      </c>
      <c r="H328" s="572">
        <f t="shared" si="222"/>
        <v>0</v>
      </c>
      <c r="I328" s="572">
        <f t="shared" si="222"/>
        <v>0</v>
      </c>
      <c r="J328" s="573">
        <f t="shared" si="222"/>
        <v>0</v>
      </c>
      <c r="K328" s="574">
        <f t="shared" si="222"/>
        <v>0</v>
      </c>
      <c r="L328" s="572">
        <f t="shared" si="222"/>
        <v>0</v>
      </c>
      <c r="M328" s="572">
        <f t="shared" si="222"/>
        <v>0</v>
      </c>
      <c r="N328" s="572">
        <f t="shared" si="222"/>
        <v>0</v>
      </c>
      <c r="O328" s="575">
        <f t="shared" si="222"/>
        <v>0</v>
      </c>
      <c r="P328" s="574">
        <f t="shared" si="222"/>
        <v>0</v>
      </c>
      <c r="Q328" s="572">
        <f t="shared" si="222"/>
        <v>0</v>
      </c>
      <c r="R328" s="572">
        <f t="shared" si="222"/>
        <v>0</v>
      </c>
      <c r="S328" s="575">
        <f t="shared" si="222"/>
        <v>0</v>
      </c>
      <c r="T328" s="574">
        <f t="shared" si="222"/>
        <v>0</v>
      </c>
      <c r="U328" s="253"/>
      <c r="V328" s="254"/>
      <c r="W328" s="255"/>
      <c r="X328" s="255"/>
      <c r="Y328" s="255"/>
      <c r="Z328" s="255"/>
      <c r="AA328" s="255"/>
      <c r="AB328" s="251"/>
      <c r="AC328" s="256"/>
      <c r="AD328" s="254"/>
      <c r="AE328" s="255"/>
      <c r="AF328" s="255"/>
      <c r="AG328" s="255"/>
      <c r="AH328" s="255"/>
      <c r="AI328" s="257"/>
      <c r="AJ328" s="254"/>
      <c r="AK328" s="255"/>
      <c r="AL328" s="257"/>
      <c r="AM328" s="254"/>
      <c r="AN328" s="563"/>
      <c r="AO328" s="209"/>
    </row>
    <row r="329" spans="1:41" s="500" customFormat="1">
      <c r="A329" s="239"/>
      <c r="B329" s="239" t="s">
        <v>55</v>
      </c>
      <c r="C329" s="572">
        <f>IF(V329&gt;0,(V329/V332),0)</f>
        <v>0</v>
      </c>
      <c r="D329" s="572">
        <f t="shared" ref="D329:T329" si="223">IF(W329&gt;0,(W329/W332),0)</f>
        <v>0</v>
      </c>
      <c r="E329" s="572">
        <f t="shared" si="223"/>
        <v>0</v>
      </c>
      <c r="F329" s="572">
        <f t="shared" si="223"/>
        <v>0</v>
      </c>
      <c r="G329" s="572">
        <f t="shared" si="223"/>
        <v>0</v>
      </c>
      <c r="H329" s="572">
        <f t="shared" si="223"/>
        <v>0</v>
      </c>
      <c r="I329" s="572">
        <f t="shared" si="223"/>
        <v>0</v>
      </c>
      <c r="J329" s="573">
        <f t="shared" si="223"/>
        <v>0</v>
      </c>
      <c r="K329" s="574">
        <f t="shared" si="223"/>
        <v>0</v>
      </c>
      <c r="L329" s="572">
        <f t="shared" si="223"/>
        <v>0</v>
      </c>
      <c r="M329" s="572">
        <f t="shared" si="223"/>
        <v>0</v>
      </c>
      <c r="N329" s="572">
        <f t="shared" si="223"/>
        <v>0</v>
      </c>
      <c r="O329" s="575">
        <f t="shared" si="223"/>
        <v>0</v>
      </c>
      <c r="P329" s="574">
        <f t="shared" si="223"/>
        <v>0</v>
      </c>
      <c r="Q329" s="572">
        <f t="shared" si="223"/>
        <v>0</v>
      </c>
      <c r="R329" s="572">
        <f t="shared" si="223"/>
        <v>0</v>
      </c>
      <c r="S329" s="575">
        <f t="shared" si="223"/>
        <v>0</v>
      </c>
      <c r="T329" s="574">
        <f t="shared" si="223"/>
        <v>0</v>
      </c>
      <c r="U329" s="253"/>
      <c r="V329" s="254"/>
      <c r="W329" s="255"/>
      <c r="X329" s="255"/>
      <c r="Y329" s="255"/>
      <c r="Z329" s="255"/>
      <c r="AA329" s="255"/>
      <c r="AB329" s="251"/>
      <c r="AC329" s="256"/>
      <c r="AD329" s="254"/>
      <c r="AE329" s="255"/>
      <c r="AF329" s="255"/>
      <c r="AG329" s="255"/>
      <c r="AH329" s="255"/>
      <c r="AI329" s="257"/>
      <c r="AJ329" s="254"/>
      <c r="AK329" s="255"/>
      <c r="AL329" s="257"/>
      <c r="AM329" s="254"/>
      <c r="AN329" s="563"/>
      <c r="AO329" s="209"/>
    </row>
    <row r="330" spans="1:41" s="500" customFormat="1">
      <c r="A330" s="239"/>
      <c r="B330" s="239" t="s">
        <v>78</v>
      </c>
      <c r="C330" s="572">
        <f>IF(V330&gt;0,(V330/V332),0)</f>
        <v>0</v>
      </c>
      <c r="D330" s="572">
        <f t="shared" ref="D330:T330" si="224">IF(W330&gt;0,(W330/W332),0)</f>
        <v>0</v>
      </c>
      <c r="E330" s="572">
        <f t="shared" si="224"/>
        <v>0</v>
      </c>
      <c r="F330" s="572">
        <f t="shared" si="224"/>
        <v>0</v>
      </c>
      <c r="G330" s="572">
        <f t="shared" si="224"/>
        <v>0</v>
      </c>
      <c r="H330" s="572">
        <f t="shared" si="224"/>
        <v>0</v>
      </c>
      <c r="I330" s="572">
        <f t="shared" si="224"/>
        <v>0</v>
      </c>
      <c r="J330" s="573">
        <f t="shared" si="224"/>
        <v>0</v>
      </c>
      <c r="K330" s="574">
        <f t="shared" si="224"/>
        <v>0</v>
      </c>
      <c r="L330" s="572">
        <f t="shared" si="224"/>
        <v>0</v>
      </c>
      <c r="M330" s="572">
        <f t="shared" si="224"/>
        <v>0</v>
      </c>
      <c r="N330" s="572">
        <f t="shared" si="224"/>
        <v>0</v>
      </c>
      <c r="O330" s="575">
        <f t="shared" si="224"/>
        <v>0</v>
      </c>
      <c r="P330" s="574">
        <f t="shared" si="224"/>
        <v>0</v>
      </c>
      <c r="Q330" s="572">
        <f t="shared" si="224"/>
        <v>0</v>
      </c>
      <c r="R330" s="572">
        <f t="shared" si="224"/>
        <v>0</v>
      </c>
      <c r="S330" s="575">
        <f t="shared" si="224"/>
        <v>0</v>
      </c>
      <c r="T330" s="574">
        <f t="shared" si="224"/>
        <v>0</v>
      </c>
      <c r="U330" s="253"/>
      <c r="V330" s="254"/>
      <c r="W330" s="255"/>
      <c r="X330" s="255"/>
      <c r="Y330" s="255"/>
      <c r="Z330" s="255"/>
      <c r="AA330" s="255"/>
      <c r="AB330" s="251"/>
      <c r="AC330" s="256"/>
      <c r="AD330" s="254"/>
      <c r="AE330" s="255"/>
      <c r="AF330" s="255"/>
      <c r="AG330" s="255"/>
      <c r="AH330" s="255"/>
      <c r="AI330" s="257"/>
      <c r="AJ330" s="254"/>
      <c r="AK330" s="255"/>
      <c r="AL330" s="257"/>
      <c r="AM330" s="254"/>
      <c r="AN330" s="563"/>
      <c r="AO330" s="209"/>
    </row>
    <row r="331" spans="1:41" s="500" customFormat="1">
      <c r="A331" s="580"/>
      <c r="B331" s="580" t="s">
        <v>131</v>
      </c>
      <c r="C331" s="581">
        <f>IF(V331&gt;0,(V331/V332),0)</f>
        <v>0</v>
      </c>
      <c r="D331" s="582">
        <f t="shared" ref="D331:T331" si="225">IF(W331&gt;0,(W331/W332),0)</f>
        <v>0</v>
      </c>
      <c r="E331" s="582">
        <f t="shared" si="225"/>
        <v>0</v>
      </c>
      <c r="F331" s="582">
        <f t="shared" si="225"/>
        <v>0</v>
      </c>
      <c r="G331" s="582">
        <f t="shared" si="225"/>
        <v>0</v>
      </c>
      <c r="H331" s="582">
        <f t="shared" si="225"/>
        <v>0</v>
      </c>
      <c r="I331" s="583">
        <f t="shared" si="225"/>
        <v>0</v>
      </c>
      <c r="J331" s="584">
        <f t="shared" si="225"/>
        <v>0</v>
      </c>
      <c r="K331" s="581">
        <f t="shared" si="225"/>
        <v>0</v>
      </c>
      <c r="L331" s="582">
        <f t="shared" si="225"/>
        <v>0</v>
      </c>
      <c r="M331" s="582">
        <f t="shared" si="225"/>
        <v>0</v>
      </c>
      <c r="N331" s="582">
        <f t="shared" si="225"/>
        <v>0</v>
      </c>
      <c r="O331" s="583">
        <f t="shared" si="225"/>
        <v>0</v>
      </c>
      <c r="P331" s="581">
        <f t="shared" si="225"/>
        <v>0</v>
      </c>
      <c r="Q331" s="581">
        <f t="shared" si="225"/>
        <v>0</v>
      </c>
      <c r="R331" s="582">
        <f t="shared" si="225"/>
        <v>0</v>
      </c>
      <c r="S331" s="583">
        <f t="shared" si="225"/>
        <v>0</v>
      </c>
      <c r="T331" s="581">
        <f t="shared" si="225"/>
        <v>0</v>
      </c>
      <c r="U331" s="253"/>
      <c r="V331" s="254"/>
      <c r="W331" s="255"/>
      <c r="X331" s="255"/>
      <c r="Y331" s="255"/>
      <c r="Z331" s="255"/>
      <c r="AA331" s="255"/>
      <c r="AB331" s="582"/>
      <c r="AC331" s="256"/>
      <c r="AD331" s="254"/>
      <c r="AE331" s="255"/>
      <c r="AF331" s="255"/>
      <c r="AG331" s="255"/>
      <c r="AH331" s="255"/>
      <c r="AI331" s="257"/>
      <c r="AJ331" s="254"/>
      <c r="AK331" s="255"/>
      <c r="AL331" s="257"/>
      <c r="AM331" s="254"/>
      <c r="AN331" s="209"/>
      <c r="AO331" s="209"/>
    </row>
    <row r="332" spans="1:41" s="527" customFormat="1">
      <c r="A332" s="436"/>
      <c r="B332" s="436" t="s">
        <v>59</v>
      </c>
      <c r="C332" s="456">
        <f>SUM(C327:C331)</f>
        <v>0</v>
      </c>
      <c r="D332" s="456">
        <f t="shared" ref="D332:T332" si="226">SUM(D327:D331)</f>
        <v>0</v>
      </c>
      <c r="E332" s="456">
        <f t="shared" si="226"/>
        <v>0</v>
      </c>
      <c r="F332" s="456">
        <f t="shared" si="226"/>
        <v>0</v>
      </c>
      <c r="G332" s="456">
        <f t="shared" si="226"/>
        <v>0</v>
      </c>
      <c r="H332" s="456">
        <f t="shared" si="226"/>
        <v>0</v>
      </c>
      <c r="I332" s="456">
        <f t="shared" si="226"/>
        <v>0</v>
      </c>
      <c r="J332" s="576">
        <f t="shared" si="226"/>
        <v>0</v>
      </c>
      <c r="K332" s="577">
        <f t="shared" si="226"/>
        <v>0</v>
      </c>
      <c r="L332" s="578">
        <f t="shared" si="226"/>
        <v>0</v>
      </c>
      <c r="M332" s="578">
        <f t="shared" si="226"/>
        <v>0</v>
      </c>
      <c r="N332" s="578">
        <f t="shared" si="226"/>
        <v>0</v>
      </c>
      <c r="O332" s="579">
        <f t="shared" si="226"/>
        <v>0</v>
      </c>
      <c r="P332" s="577">
        <f t="shared" si="226"/>
        <v>0</v>
      </c>
      <c r="Q332" s="578">
        <f t="shared" si="226"/>
        <v>0</v>
      </c>
      <c r="R332" s="578">
        <f t="shared" si="226"/>
        <v>0</v>
      </c>
      <c r="S332" s="579">
        <f t="shared" si="226"/>
        <v>0</v>
      </c>
      <c r="T332" s="577">
        <f t="shared" si="226"/>
        <v>0</v>
      </c>
      <c r="U332" s="264"/>
      <c r="V332" s="265"/>
      <c r="W332" s="266"/>
      <c r="X332" s="266"/>
      <c r="Y332" s="266"/>
      <c r="Z332" s="266"/>
      <c r="AA332" s="266"/>
      <c r="AB332" s="262"/>
      <c r="AC332" s="267"/>
      <c r="AD332" s="265"/>
      <c r="AE332" s="266"/>
      <c r="AF332" s="266"/>
      <c r="AG332" s="266"/>
      <c r="AH332" s="266"/>
      <c r="AI332" s="268"/>
      <c r="AJ332" s="265"/>
      <c r="AK332" s="266"/>
      <c r="AL332" s="268"/>
      <c r="AM332" s="265"/>
      <c r="AN332" s="270"/>
      <c r="AO332" s="270"/>
    </row>
    <row r="333" spans="1:41" s="500" customFormat="1">
      <c r="A333" s="240" t="s">
        <v>166</v>
      </c>
      <c r="B333" s="240" t="s">
        <v>53</v>
      </c>
      <c r="C333" s="568">
        <f>IF(V333&gt;0,(V333/V338),0)</f>
        <v>0</v>
      </c>
      <c r="D333" s="568">
        <f t="shared" ref="D333:T333" si="227">IF(W333&gt;0,(W333/W338),0)</f>
        <v>0</v>
      </c>
      <c r="E333" s="568">
        <f t="shared" si="227"/>
        <v>0</v>
      </c>
      <c r="F333" s="568">
        <f t="shared" si="227"/>
        <v>0</v>
      </c>
      <c r="G333" s="568">
        <f t="shared" si="227"/>
        <v>0</v>
      </c>
      <c r="H333" s="568">
        <f t="shared" si="227"/>
        <v>0</v>
      </c>
      <c r="I333" s="568">
        <f t="shared" si="227"/>
        <v>0</v>
      </c>
      <c r="J333" s="569">
        <f t="shared" si="227"/>
        <v>0</v>
      </c>
      <c r="K333" s="570">
        <f t="shared" si="227"/>
        <v>0</v>
      </c>
      <c r="L333" s="568">
        <f t="shared" si="227"/>
        <v>0</v>
      </c>
      <c r="M333" s="568">
        <f t="shared" si="227"/>
        <v>0</v>
      </c>
      <c r="N333" s="568">
        <f t="shared" si="227"/>
        <v>0</v>
      </c>
      <c r="O333" s="571">
        <f t="shared" si="227"/>
        <v>0</v>
      </c>
      <c r="P333" s="570">
        <f t="shared" si="227"/>
        <v>0</v>
      </c>
      <c r="Q333" s="568">
        <f t="shared" si="227"/>
        <v>0</v>
      </c>
      <c r="R333" s="568">
        <f t="shared" si="227"/>
        <v>0</v>
      </c>
      <c r="S333" s="571">
        <f t="shared" si="227"/>
        <v>0</v>
      </c>
      <c r="T333" s="570">
        <f t="shared" si="227"/>
        <v>0</v>
      </c>
      <c r="U333" s="253"/>
      <c r="V333" s="245"/>
      <c r="W333" s="246"/>
      <c r="X333" s="246"/>
      <c r="Y333" s="246"/>
      <c r="Z333" s="246"/>
      <c r="AA333" s="246"/>
      <c r="AB333" s="242"/>
      <c r="AC333" s="247"/>
      <c r="AD333" s="245"/>
      <c r="AE333" s="246"/>
      <c r="AF333" s="246"/>
      <c r="AG333" s="246"/>
      <c r="AH333" s="246"/>
      <c r="AI333" s="248"/>
      <c r="AJ333" s="245"/>
      <c r="AK333" s="246"/>
      <c r="AL333" s="248"/>
      <c r="AM333" s="245"/>
      <c r="AN333" s="563"/>
      <c r="AO333" s="209"/>
    </row>
    <row r="334" spans="1:41" s="500" customFormat="1">
      <c r="A334" s="239"/>
      <c r="B334" s="239" t="s">
        <v>93</v>
      </c>
      <c r="C334" s="572">
        <f>IF(V334&gt;0,(V334/V338),0)</f>
        <v>0</v>
      </c>
      <c r="D334" s="572">
        <f t="shared" ref="D334:T334" si="228">IF(W334&gt;0,(W334/W338),0)</f>
        <v>0</v>
      </c>
      <c r="E334" s="572">
        <f t="shared" si="228"/>
        <v>0</v>
      </c>
      <c r="F334" s="572">
        <f t="shared" si="228"/>
        <v>0</v>
      </c>
      <c r="G334" s="572">
        <f t="shared" si="228"/>
        <v>0</v>
      </c>
      <c r="H334" s="572">
        <f t="shared" si="228"/>
        <v>0</v>
      </c>
      <c r="I334" s="572">
        <f t="shared" si="228"/>
        <v>0</v>
      </c>
      <c r="J334" s="573">
        <f t="shared" si="228"/>
        <v>0</v>
      </c>
      <c r="K334" s="574">
        <f t="shared" si="228"/>
        <v>0</v>
      </c>
      <c r="L334" s="572">
        <f t="shared" si="228"/>
        <v>0</v>
      </c>
      <c r="M334" s="572">
        <f t="shared" si="228"/>
        <v>0</v>
      </c>
      <c r="N334" s="572">
        <f t="shared" si="228"/>
        <v>0</v>
      </c>
      <c r="O334" s="575">
        <f t="shared" si="228"/>
        <v>0</v>
      </c>
      <c r="P334" s="574">
        <f t="shared" si="228"/>
        <v>0</v>
      </c>
      <c r="Q334" s="572">
        <f t="shared" si="228"/>
        <v>0</v>
      </c>
      <c r="R334" s="572">
        <f t="shared" si="228"/>
        <v>0</v>
      </c>
      <c r="S334" s="575">
        <f t="shared" si="228"/>
        <v>0</v>
      </c>
      <c r="T334" s="574">
        <f t="shared" si="228"/>
        <v>0</v>
      </c>
      <c r="U334" s="253"/>
      <c r="V334" s="254"/>
      <c r="W334" s="255"/>
      <c r="X334" s="255"/>
      <c r="Y334" s="255"/>
      <c r="Z334" s="255"/>
      <c r="AA334" s="255"/>
      <c r="AB334" s="251"/>
      <c r="AC334" s="256"/>
      <c r="AD334" s="254"/>
      <c r="AE334" s="255"/>
      <c r="AF334" s="255"/>
      <c r="AG334" s="255"/>
      <c r="AH334" s="255"/>
      <c r="AI334" s="257"/>
      <c r="AJ334" s="254"/>
      <c r="AK334" s="255"/>
      <c r="AL334" s="257"/>
      <c r="AM334" s="254"/>
      <c r="AN334" s="563"/>
      <c r="AO334" s="209"/>
    </row>
    <row r="335" spans="1:41" s="500" customFormat="1">
      <c r="A335" s="239"/>
      <c r="B335" s="239" t="s">
        <v>55</v>
      </c>
      <c r="C335" s="572">
        <f>IF(V335&gt;0,(V335/V338),0)</f>
        <v>0</v>
      </c>
      <c r="D335" s="572">
        <f t="shared" ref="D335:T335" si="229">IF(W335&gt;0,(W335/W338),0)</f>
        <v>0</v>
      </c>
      <c r="E335" s="572">
        <f t="shared" si="229"/>
        <v>0</v>
      </c>
      <c r="F335" s="572">
        <f t="shared" si="229"/>
        <v>0</v>
      </c>
      <c r="G335" s="572">
        <f t="shared" si="229"/>
        <v>0</v>
      </c>
      <c r="H335" s="572">
        <f t="shared" si="229"/>
        <v>0</v>
      </c>
      <c r="I335" s="572">
        <f t="shared" si="229"/>
        <v>0</v>
      </c>
      <c r="J335" s="573">
        <f t="shared" si="229"/>
        <v>0</v>
      </c>
      <c r="K335" s="574">
        <f t="shared" si="229"/>
        <v>0</v>
      </c>
      <c r="L335" s="572">
        <f t="shared" si="229"/>
        <v>0</v>
      </c>
      <c r="M335" s="572">
        <f t="shared" si="229"/>
        <v>0</v>
      </c>
      <c r="N335" s="572">
        <f t="shared" si="229"/>
        <v>0</v>
      </c>
      <c r="O335" s="575">
        <f t="shared" si="229"/>
        <v>0</v>
      </c>
      <c r="P335" s="574">
        <f t="shared" si="229"/>
        <v>0</v>
      </c>
      <c r="Q335" s="572">
        <f t="shared" si="229"/>
        <v>0</v>
      </c>
      <c r="R335" s="572">
        <f t="shared" si="229"/>
        <v>0</v>
      </c>
      <c r="S335" s="575">
        <f t="shared" si="229"/>
        <v>0</v>
      </c>
      <c r="T335" s="574">
        <f t="shared" si="229"/>
        <v>0</v>
      </c>
      <c r="U335" s="253"/>
      <c r="V335" s="254"/>
      <c r="W335" s="255"/>
      <c r="X335" s="255"/>
      <c r="Y335" s="255"/>
      <c r="Z335" s="255"/>
      <c r="AA335" s="255"/>
      <c r="AB335" s="251"/>
      <c r="AC335" s="256"/>
      <c r="AD335" s="254"/>
      <c r="AE335" s="255"/>
      <c r="AF335" s="255"/>
      <c r="AG335" s="255"/>
      <c r="AH335" s="255"/>
      <c r="AI335" s="257"/>
      <c r="AJ335" s="254"/>
      <c r="AK335" s="255"/>
      <c r="AL335" s="257"/>
      <c r="AM335" s="254"/>
      <c r="AN335" s="563"/>
      <c r="AO335" s="209"/>
    </row>
    <row r="336" spans="1:41" s="500" customFormat="1">
      <c r="A336" s="239"/>
      <c r="B336" s="239" t="s">
        <v>78</v>
      </c>
      <c r="C336" s="572">
        <f>IF(V336&gt;0,(V336/V338),0)</f>
        <v>0</v>
      </c>
      <c r="D336" s="572">
        <f t="shared" ref="D336:T336" si="230">IF(W336&gt;0,(W336/W338),0)</f>
        <v>0</v>
      </c>
      <c r="E336" s="572">
        <f t="shared" si="230"/>
        <v>0</v>
      </c>
      <c r="F336" s="572">
        <f t="shared" si="230"/>
        <v>0</v>
      </c>
      <c r="G336" s="572">
        <f t="shared" si="230"/>
        <v>0</v>
      </c>
      <c r="H336" s="572">
        <f t="shared" si="230"/>
        <v>0</v>
      </c>
      <c r="I336" s="572">
        <f t="shared" si="230"/>
        <v>0</v>
      </c>
      <c r="J336" s="573">
        <f t="shared" si="230"/>
        <v>0</v>
      </c>
      <c r="K336" s="574">
        <f t="shared" si="230"/>
        <v>0</v>
      </c>
      <c r="L336" s="572">
        <f t="shared" si="230"/>
        <v>0</v>
      </c>
      <c r="M336" s="572">
        <f t="shared" si="230"/>
        <v>0</v>
      </c>
      <c r="N336" s="572">
        <f t="shared" si="230"/>
        <v>0</v>
      </c>
      <c r="O336" s="575">
        <f t="shared" si="230"/>
        <v>0</v>
      </c>
      <c r="P336" s="574">
        <f t="shared" si="230"/>
        <v>0</v>
      </c>
      <c r="Q336" s="572">
        <f t="shared" si="230"/>
        <v>0</v>
      </c>
      <c r="R336" s="572">
        <f t="shared" si="230"/>
        <v>0</v>
      </c>
      <c r="S336" s="575">
        <f t="shared" si="230"/>
        <v>0</v>
      </c>
      <c r="T336" s="574">
        <f t="shared" si="230"/>
        <v>0</v>
      </c>
      <c r="U336" s="253"/>
      <c r="V336" s="254"/>
      <c r="W336" s="255"/>
      <c r="X336" s="255"/>
      <c r="Y336" s="255"/>
      <c r="Z336" s="255"/>
      <c r="AA336" s="255"/>
      <c r="AB336" s="251"/>
      <c r="AC336" s="256"/>
      <c r="AD336" s="254"/>
      <c r="AE336" s="255"/>
      <c r="AF336" s="255"/>
      <c r="AG336" s="255"/>
      <c r="AH336" s="255"/>
      <c r="AI336" s="257"/>
      <c r="AJ336" s="254"/>
      <c r="AK336" s="255"/>
      <c r="AL336" s="257"/>
      <c r="AM336" s="254"/>
      <c r="AN336" s="563"/>
      <c r="AO336" s="209"/>
    </row>
    <row r="337" spans="1:41" s="500" customFormat="1">
      <c r="A337" s="580"/>
      <c r="B337" s="580" t="s">
        <v>131</v>
      </c>
      <c r="C337" s="581">
        <f>IF(V337&gt;0,(V337/V338),0)</f>
        <v>0</v>
      </c>
      <c r="D337" s="582">
        <f t="shared" ref="D337:T337" si="231">IF(W337&gt;0,(W337/W338),0)</f>
        <v>0</v>
      </c>
      <c r="E337" s="582">
        <f t="shared" si="231"/>
        <v>0</v>
      </c>
      <c r="F337" s="582">
        <f t="shared" si="231"/>
        <v>0</v>
      </c>
      <c r="G337" s="582">
        <f t="shared" si="231"/>
        <v>0</v>
      </c>
      <c r="H337" s="582">
        <f t="shared" si="231"/>
        <v>0</v>
      </c>
      <c r="I337" s="583">
        <f t="shared" si="231"/>
        <v>0</v>
      </c>
      <c r="J337" s="584">
        <f t="shared" si="231"/>
        <v>0</v>
      </c>
      <c r="K337" s="581">
        <f t="shared" si="231"/>
        <v>0</v>
      </c>
      <c r="L337" s="582">
        <f t="shared" si="231"/>
        <v>0</v>
      </c>
      <c r="M337" s="582">
        <f t="shared" si="231"/>
        <v>0</v>
      </c>
      <c r="N337" s="582">
        <f t="shared" si="231"/>
        <v>0</v>
      </c>
      <c r="O337" s="583">
        <f t="shared" si="231"/>
        <v>0</v>
      </c>
      <c r="P337" s="581">
        <f t="shared" si="231"/>
        <v>0</v>
      </c>
      <c r="Q337" s="581">
        <f t="shared" si="231"/>
        <v>0</v>
      </c>
      <c r="R337" s="582">
        <f t="shared" si="231"/>
        <v>0</v>
      </c>
      <c r="S337" s="583">
        <f t="shared" si="231"/>
        <v>0</v>
      </c>
      <c r="T337" s="581">
        <f t="shared" si="231"/>
        <v>0</v>
      </c>
      <c r="U337" s="253"/>
      <c r="V337" s="254"/>
      <c r="W337" s="255"/>
      <c r="X337" s="255"/>
      <c r="Y337" s="255"/>
      <c r="Z337" s="255"/>
      <c r="AA337" s="255"/>
      <c r="AB337" s="582"/>
      <c r="AC337" s="256"/>
      <c r="AD337" s="254"/>
      <c r="AE337" s="255"/>
      <c r="AF337" s="255"/>
      <c r="AG337" s="255"/>
      <c r="AH337" s="255"/>
      <c r="AI337" s="257"/>
      <c r="AJ337" s="254"/>
      <c r="AK337" s="255"/>
      <c r="AL337" s="257"/>
      <c r="AM337" s="254"/>
      <c r="AN337" s="209"/>
      <c r="AO337" s="209"/>
    </row>
    <row r="338" spans="1:41" s="527" customFormat="1">
      <c r="A338" s="436"/>
      <c r="B338" s="436" t="s">
        <v>59</v>
      </c>
      <c r="C338" s="456">
        <f>SUM(C333:C337)</f>
        <v>0</v>
      </c>
      <c r="D338" s="456">
        <f t="shared" ref="D338:T338" si="232">SUM(D333:D337)</f>
        <v>0</v>
      </c>
      <c r="E338" s="456">
        <f t="shared" si="232"/>
        <v>0</v>
      </c>
      <c r="F338" s="456">
        <f t="shared" si="232"/>
        <v>0</v>
      </c>
      <c r="G338" s="456">
        <f t="shared" si="232"/>
        <v>0</v>
      </c>
      <c r="H338" s="456">
        <f t="shared" si="232"/>
        <v>0</v>
      </c>
      <c r="I338" s="456">
        <f t="shared" si="232"/>
        <v>0</v>
      </c>
      <c r="J338" s="576">
        <f t="shared" si="232"/>
        <v>0</v>
      </c>
      <c r="K338" s="577">
        <f t="shared" si="232"/>
        <v>0</v>
      </c>
      <c r="L338" s="578">
        <f t="shared" si="232"/>
        <v>0</v>
      </c>
      <c r="M338" s="578">
        <f t="shared" si="232"/>
        <v>0</v>
      </c>
      <c r="N338" s="578">
        <f t="shared" si="232"/>
        <v>0</v>
      </c>
      <c r="O338" s="579">
        <f t="shared" si="232"/>
        <v>0</v>
      </c>
      <c r="P338" s="577">
        <f t="shared" si="232"/>
        <v>0</v>
      </c>
      <c r="Q338" s="578">
        <f t="shared" si="232"/>
        <v>0</v>
      </c>
      <c r="R338" s="578">
        <f t="shared" si="232"/>
        <v>0</v>
      </c>
      <c r="S338" s="579">
        <f t="shared" si="232"/>
        <v>0</v>
      </c>
      <c r="T338" s="577">
        <f t="shared" si="232"/>
        <v>0</v>
      </c>
      <c r="U338" s="264"/>
      <c r="V338" s="265"/>
      <c r="W338" s="266"/>
      <c r="X338" s="266"/>
      <c r="Y338" s="266"/>
      <c r="Z338" s="266"/>
      <c r="AA338" s="266"/>
      <c r="AB338" s="262"/>
      <c r="AC338" s="267"/>
      <c r="AD338" s="265"/>
      <c r="AE338" s="266"/>
      <c r="AF338" s="266"/>
      <c r="AG338" s="266"/>
      <c r="AH338" s="266"/>
      <c r="AI338" s="268"/>
      <c r="AJ338" s="265"/>
      <c r="AK338" s="266"/>
      <c r="AL338" s="268"/>
      <c r="AM338" s="265"/>
      <c r="AN338" s="270"/>
      <c r="AO338" s="270"/>
    </row>
    <row r="339" spans="1:41" s="500" customFormat="1">
      <c r="A339" s="240" t="s">
        <v>170</v>
      </c>
      <c r="B339" s="240" t="s">
        <v>53</v>
      </c>
      <c r="C339" s="568">
        <f>IF(V339&gt;0,(V339/V344),0)</f>
        <v>0</v>
      </c>
      <c r="D339" s="568">
        <f t="shared" ref="D339:T339" si="233">IF(W339&gt;0,(W339/W344),0)</f>
        <v>0</v>
      </c>
      <c r="E339" s="568">
        <f t="shared" si="233"/>
        <v>0</v>
      </c>
      <c r="F339" s="568">
        <f t="shared" si="233"/>
        <v>0</v>
      </c>
      <c r="G339" s="568">
        <f t="shared" si="233"/>
        <v>0</v>
      </c>
      <c r="H339" s="568">
        <f t="shared" si="233"/>
        <v>0</v>
      </c>
      <c r="I339" s="568">
        <f t="shared" si="233"/>
        <v>0</v>
      </c>
      <c r="J339" s="569">
        <f t="shared" si="233"/>
        <v>0</v>
      </c>
      <c r="K339" s="570">
        <f t="shared" si="233"/>
        <v>0</v>
      </c>
      <c r="L339" s="568">
        <f t="shared" si="233"/>
        <v>0</v>
      </c>
      <c r="M339" s="568">
        <f t="shared" si="233"/>
        <v>0</v>
      </c>
      <c r="N339" s="568">
        <f t="shared" si="233"/>
        <v>0</v>
      </c>
      <c r="O339" s="571">
        <f t="shared" si="233"/>
        <v>0</v>
      </c>
      <c r="P339" s="570">
        <f t="shared" si="233"/>
        <v>0</v>
      </c>
      <c r="Q339" s="568">
        <f t="shared" si="233"/>
        <v>0</v>
      </c>
      <c r="R339" s="568">
        <f t="shared" si="233"/>
        <v>0</v>
      </c>
      <c r="S339" s="571">
        <f t="shared" si="233"/>
        <v>0</v>
      </c>
      <c r="T339" s="570">
        <f t="shared" si="233"/>
        <v>0</v>
      </c>
      <c r="U339" s="253"/>
      <c r="V339" s="245"/>
      <c r="W339" s="246"/>
      <c r="X339" s="246"/>
      <c r="Y339" s="246"/>
      <c r="Z339" s="246"/>
      <c r="AA339" s="246"/>
      <c r="AB339" s="242"/>
      <c r="AC339" s="247"/>
      <c r="AD339" s="245"/>
      <c r="AE339" s="246"/>
      <c r="AF339" s="246"/>
      <c r="AG339" s="246"/>
      <c r="AH339" s="246"/>
      <c r="AI339" s="248"/>
      <c r="AJ339" s="245"/>
      <c r="AK339" s="246"/>
      <c r="AL339" s="248"/>
      <c r="AM339" s="245"/>
      <c r="AN339" s="563"/>
      <c r="AO339" s="209"/>
    </row>
    <row r="340" spans="1:41" s="500" customFormat="1">
      <c r="A340" s="239"/>
      <c r="B340" s="239" t="s">
        <v>93</v>
      </c>
      <c r="C340" s="572">
        <f>IF(V340&gt;0,(V340/V344),0)</f>
        <v>0</v>
      </c>
      <c r="D340" s="572">
        <f t="shared" ref="D340:T340" si="234">IF(W340&gt;0,(W340/W344),0)</f>
        <v>0</v>
      </c>
      <c r="E340" s="572">
        <f t="shared" si="234"/>
        <v>0</v>
      </c>
      <c r="F340" s="572">
        <f t="shared" si="234"/>
        <v>0</v>
      </c>
      <c r="G340" s="572">
        <f t="shared" si="234"/>
        <v>0</v>
      </c>
      <c r="H340" s="572">
        <f t="shared" si="234"/>
        <v>0</v>
      </c>
      <c r="I340" s="572">
        <f t="shared" si="234"/>
        <v>0</v>
      </c>
      <c r="J340" s="573">
        <f t="shared" si="234"/>
        <v>0</v>
      </c>
      <c r="K340" s="574">
        <f t="shared" si="234"/>
        <v>0</v>
      </c>
      <c r="L340" s="572">
        <f t="shared" si="234"/>
        <v>0</v>
      </c>
      <c r="M340" s="572">
        <f t="shared" si="234"/>
        <v>0</v>
      </c>
      <c r="N340" s="572">
        <f t="shared" si="234"/>
        <v>0</v>
      </c>
      <c r="O340" s="575">
        <f t="shared" si="234"/>
        <v>0</v>
      </c>
      <c r="P340" s="574">
        <f t="shared" si="234"/>
        <v>0</v>
      </c>
      <c r="Q340" s="572">
        <f t="shared" si="234"/>
        <v>0</v>
      </c>
      <c r="R340" s="572">
        <f t="shared" si="234"/>
        <v>0</v>
      </c>
      <c r="S340" s="575">
        <f t="shared" si="234"/>
        <v>0</v>
      </c>
      <c r="T340" s="574">
        <f t="shared" si="234"/>
        <v>0</v>
      </c>
      <c r="U340" s="253"/>
      <c r="V340" s="254"/>
      <c r="W340" s="255"/>
      <c r="X340" s="255"/>
      <c r="Y340" s="255"/>
      <c r="Z340" s="255"/>
      <c r="AA340" s="255"/>
      <c r="AB340" s="251"/>
      <c r="AC340" s="256"/>
      <c r="AD340" s="254"/>
      <c r="AE340" s="255"/>
      <c r="AF340" s="255"/>
      <c r="AG340" s="255"/>
      <c r="AH340" s="255"/>
      <c r="AI340" s="257"/>
      <c r="AJ340" s="254"/>
      <c r="AK340" s="255"/>
      <c r="AL340" s="257"/>
      <c r="AM340" s="254"/>
      <c r="AN340" s="563"/>
      <c r="AO340" s="209"/>
    </row>
    <row r="341" spans="1:41" s="500" customFormat="1">
      <c r="A341" s="239"/>
      <c r="B341" s="239" t="s">
        <v>55</v>
      </c>
      <c r="C341" s="572">
        <f>IF(V341&gt;0,(V341/V344),0)</f>
        <v>0</v>
      </c>
      <c r="D341" s="572">
        <f t="shared" ref="D341:T341" si="235">IF(W341&gt;0,(W341/W344),0)</f>
        <v>0</v>
      </c>
      <c r="E341" s="572">
        <f t="shared" si="235"/>
        <v>0</v>
      </c>
      <c r="F341" s="572">
        <f t="shared" si="235"/>
        <v>0</v>
      </c>
      <c r="G341" s="572">
        <f t="shared" si="235"/>
        <v>0</v>
      </c>
      <c r="H341" s="572">
        <f t="shared" si="235"/>
        <v>0</v>
      </c>
      <c r="I341" s="572">
        <f t="shared" si="235"/>
        <v>0</v>
      </c>
      <c r="J341" s="573">
        <f t="shared" si="235"/>
        <v>0</v>
      </c>
      <c r="K341" s="574">
        <f t="shared" si="235"/>
        <v>0</v>
      </c>
      <c r="L341" s="572">
        <f t="shared" si="235"/>
        <v>0</v>
      </c>
      <c r="M341" s="572">
        <f t="shared" si="235"/>
        <v>0</v>
      </c>
      <c r="N341" s="572">
        <f t="shared" si="235"/>
        <v>0</v>
      </c>
      <c r="O341" s="575">
        <f t="shared" si="235"/>
        <v>0</v>
      </c>
      <c r="P341" s="574">
        <f t="shared" si="235"/>
        <v>0</v>
      </c>
      <c r="Q341" s="572">
        <f t="shared" si="235"/>
        <v>0</v>
      </c>
      <c r="R341" s="572">
        <f t="shared" si="235"/>
        <v>0</v>
      </c>
      <c r="S341" s="575">
        <f t="shared" si="235"/>
        <v>0</v>
      </c>
      <c r="T341" s="574">
        <f t="shared" si="235"/>
        <v>0</v>
      </c>
      <c r="U341" s="253"/>
      <c r="V341" s="254"/>
      <c r="W341" s="255"/>
      <c r="X341" s="255"/>
      <c r="Y341" s="255"/>
      <c r="Z341" s="255"/>
      <c r="AA341" s="255"/>
      <c r="AB341" s="251"/>
      <c r="AC341" s="256"/>
      <c r="AD341" s="254"/>
      <c r="AE341" s="255"/>
      <c r="AF341" s="255"/>
      <c r="AG341" s="255"/>
      <c r="AH341" s="255"/>
      <c r="AI341" s="257"/>
      <c r="AJ341" s="254"/>
      <c r="AK341" s="255"/>
      <c r="AL341" s="257"/>
      <c r="AM341" s="254"/>
      <c r="AN341" s="563"/>
      <c r="AO341" s="209"/>
    </row>
    <row r="342" spans="1:41" s="500" customFormat="1">
      <c r="A342" s="239"/>
      <c r="B342" s="239" t="s">
        <v>78</v>
      </c>
      <c r="C342" s="572">
        <f>IF(V342&gt;0,(V342/V344),0)</f>
        <v>0</v>
      </c>
      <c r="D342" s="572">
        <f t="shared" ref="D342:T342" si="236">IF(W342&gt;0,(W342/W344),0)</f>
        <v>0</v>
      </c>
      <c r="E342" s="572">
        <f t="shared" si="236"/>
        <v>0</v>
      </c>
      <c r="F342" s="572">
        <f t="shared" si="236"/>
        <v>0</v>
      </c>
      <c r="G342" s="572">
        <f t="shared" si="236"/>
        <v>0</v>
      </c>
      <c r="H342" s="572">
        <f t="shared" si="236"/>
        <v>0</v>
      </c>
      <c r="I342" s="572">
        <f t="shared" si="236"/>
        <v>0</v>
      </c>
      <c r="J342" s="573">
        <f t="shared" si="236"/>
        <v>0</v>
      </c>
      <c r="K342" s="574">
        <f t="shared" si="236"/>
        <v>0</v>
      </c>
      <c r="L342" s="572">
        <f t="shared" si="236"/>
        <v>0</v>
      </c>
      <c r="M342" s="572">
        <f t="shared" si="236"/>
        <v>0</v>
      </c>
      <c r="N342" s="572">
        <f t="shared" si="236"/>
        <v>0</v>
      </c>
      <c r="O342" s="575">
        <f t="shared" si="236"/>
        <v>0</v>
      </c>
      <c r="P342" s="574">
        <f t="shared" si="236"/>
        <v>0</v>
      </c>
      <c r="Q342" s="572">
        <f t="shared" si="236"/>
        <v>0</v>
      </c>
      <c r="R342" s="572">
        <f t="shared" si="236"/>
        <v>0</v>
      </c>
      <c r="S342" s="575">
        <f t="shared" si="236"/>
        <v>0</v>
      </c>
      <c r="T342" s="574">
        <f t="shared" si="236"/>
        <v>0</v>
      </c>
      <c r="U342" s="253"/>
      <c r="V342" s="254"/>
      <c r="W342" s="255"/>
      <c r="X342" s="255"/>
      <c r="Y342" s="255"/>
      <c r="Z342" s="255"/>
      <c r="AA342" s="255"/>
      <c r="AB342" s="251"/>
      <c r="AC342" s="256"/>
      <c r="AD342" s="254"/>
      <c r="AE342" s="255"/>
      <c r="AF342" s="255"/>
      <c r="AG342" s="255"/>
      <c r="AH342" s="255"/>
      <c r="AI342" s="257"/>
      <c r="AJ342" s="254"/>
      <c r="AK342" s="255"/>
      <c r="AL342" s="257"/>
      <c r="AM342" s="254"/>
      <c r="AN342" s="563"/>
      <c r="AO342" s="209"/>
    </row>
    <row r="343" spans="1:41" s="500" customFormat="1">
      <c r="A343" s="580"/>
      <c r="B343" s="580" t="s">
        <v>131</v>
      </c>
      <c r="C343" s="581">
        <f>IF(V343&gt;0,(V343/V344),0)</f>
        <v>0</v>
      </c>
      <c r="D343" s="582">
        <f t="shared" ref="D343:T343" si="237">IF(W343&gt;0,(W343/W344),0)</f>
        <v>0</v>
      </c>
      <c r="E343" s="582">
        <f t="shared" si="237"/>
        <v>0</v>
      </c>
      <c r="F343" s="582">
        <f t="shared" si="237"/>
        <v>0</v>
      </c>
      <c r="G343" s="582">
        <f t="shared" si="237"/>
        <v>0</v>
      </c>
      <c r="H343" s="582">
        <f t="shared" si="237"/>
        <v>0</v>
      </c>
      <c r="I343" s="583">
        <f t="shared" si="237"/>
        <v>0</v>
      </c>
      <c r="J343" s="584">
        <f t="shared" si="237"/>
        <v>0</v>
      </c>
      <c r="K343" s="581">
        <f t="shared" si="237"/>
        <v>0</v>
      </c>
      <c r="L343" s="582">
        <f t="shared" si="237"/>
        <v>0</v>
      </c>
      <c r="M343" s="582">
        <f t="shared" si="237"/>
        <v>0</v>
      </c>
      <c r="N343" s="582">
        <f t="shared" si="237"/>
        <v>0</v>
      </c>
      <c r="O343" s="583">
        <f t="shared" si="237"/>
        <v>0</v>
      </c>
      <c r="P343" s="581">
        <f t="shared" si="237"/>
        <v>0</v>
      </c>
      <c r="Q343" s="581">
        <f t="shared" si="237"/>
        <v>0</v>
      </c>
      <c r="R343" s="582">
        <f t="shared" si="237"/>
        <v>0</v>
      </c>
      <c r="S343" s="583">
        <f t="shared" si="237"/>
        <v>0</v>
      </c>
      <c r="T343" s="581">
        <f t="shared" si="237"/>
        <v>0</v>
      </c>
      <c r="U343" s="253"/>
      <c r="V343" s="254"/>
      <c r="W343" s="255"/>
      <c r="X343" s="255"/>
      <c r="Y343" s="255"/>
      <c r="Z343" s="255"/>
      <c r="AA343" s="255"/>
      <c r="AB343" s="582"/>
      <c r="AC343" s="256"/>
      <c r="AD343" s="254"/>
      <c r="AE343" s="255"/>
      <c r="AF343" s="255"/>
      <c r="AG343" s="255"/>
      <c r="AH343" s="255"/>
      <c r="AI343" s="257"/>
      <c r="AJ343" s="254"/>
      <c r="AK343" s="255"/>
      <c r="AL343" s="257"/>
      <c r="AM343" s="254"/>
      <c r="AN343" s="209"/>
      <c r="AO343" s="209"/>
    </row>
    <row r="344" spans="1:41" s="527" customFormat="1">
      <c r="A344" s="436"/>
      <c r="B344" s="436" t="s">
        <v>59</v>
      </c>
      <c r="C344" s="456">
        <f>SUM(C339:C343)</f>
        <v>0</v>
      </c>
      <c r="D344" s="456">
        <f t="shared" ref="D344:T344" si="238">SUM(D339:D343)</f>
        <v>0</v>
      </c>
      <c r="E344" s="456">
        <f t="shared" si="238"/>
        <v>0</v>
      </c>
      <c r="F344" s="456">
        <f t="shared" si="238"/>
        <v>0</v>
      </c>
      <c r="G344" s="456">
        <f t="shared" si="238"/>
        <v>0</v>
      </c>
      <c r="H344" s="456">
        <f t="shared" si="238"/>
        <v>0</v>
      </c>
      <c r="I344" s="456">
        <f t="shared" si="238"/>
        <v>0</v>
      </c>
      <c r="J344" s="576">
        <f t="shared" si="238"/>
        <v>0</v>
      </c>
      <c r="K344" s="577">
        <f t="shared" si="238"/>
        <v>0</v>
      </c>
      <c r="L344" s="578">
        <f t="shared" si="238"/>
        <v>0</v>
      </c>
      <c r="M344" s="578">
        <f t="shared" si="238"/>
        <v>0</v>
      </c>
      <c r="N344" s="578">
        <f t="shared" si="238"/>
        <v>0</v>
      </c>
      <c r="O344" s="579">
        <f t="shared" si="238"/>
        <v>0</v>
      </c>
      <c r="P344" s="577">
        <f t="shared" si="238"/>
        <v>0</v>
      </c>
      <c r="Q344" s="578">
        <f t="shared" si="238"/>
        <v>0</v>
      </c>
      <c r="R344" s="578">
        <f t="shared" si="238"/>
        <v>0</v>
      </c>
      <c r="S344" s="579">
        <f t="shared" si="238"/>
        <v>0</v>
      </c>
      <c r="T344" s="577">
        <f t="shared" si="238"/>
        <v>0</v>
      </c>
      <c r="U344" s="264"/>
      <c r="V344" s="265"/>
      <c r="W344" s="266"/>
      <c r="X344" s="266"/>
      <c r="Y344" s="266"/>
      <c r="Z344" s="266"/>
      <c r="AA344" s="266"/>
      <c r="AB344" s="262"/>
      <c r="AC344" s="267"/>
      <c r="AD344" s="265"/>
      <c r="AE344" s="266"/>
      <c r="AF344" s="266"/>
      <c r="AG344" s="266"/>
      <c r="AH344" s="266"/>
      <c r="AI344" s="268"/>
      <c r="AJ344" s="265"/>
      <c r="AK344" s="266"/>
      <c r="AL344" s="268"/>
      <c r="AM344" s="265"/>
      <c r="AN344" s="270"/>
      <c r="AO344" s="270"/>
    </row>
    <row r="345" spans="1:41" s="500" customFormat="1">
      <c r="B345" s="506"/>
      <c r="T345" s="506"/>
      <c r="U345" s="507"/>
      <c r="V345" s="209"/>
      <c r="W345" s="209"/>
      <c r="X345" s="209"/>
      <c r="Y345" s="209"/>
      <c r="Z345" s="209"/>
      <c r="AA345" s="209"/>
      <c r="AC345" s="209"/>
      <c r="AD345" s="209"/>
      <c r="AE345" s="209"/>
      <c r="AF345" s="209"/>
      <c r="AG345" s="209"/>
      <c r="AH345" s="209"/>
      <c r="AI345" s="209"/>
      <c r="AJ345" s="209"/>
      <c r="AK345" s="209"/>
      <c r="AL345" s="209"/>
      <c r="AM345" s="214"/>
      <c r="AN345" s="209"/>
      <c r="AO345" s="209"/>
    </row>
    <row r="346" spans="1:41" s="500" customFormat="1">
      <c r="B346" s="506"/>
      <c r="T346" s="506"/>
      <c r="U346" s="507"/>
      <c r="V346" s="209"/>
      <c r="W346" s="209"/>
      <c r="X346" s="209"/>
      <c r="Y346" s="209"/>
      <c r="Z346" s="209"/>
      <c r="AA346" s="209"/>
      <c r="AC346" s="209"/>
      <c r="AD346" s="209"/>
      <c r="AE346" s="209"/>
      <c r="AF346" s="209"/>
      <c r="AG346" s="209"/>
      <c r="AH346" s="209"/>
      <c r="AI346" s="209"/>
      <c r="AJ346" s="209"/>
      <c r="AK346" s="209"/>
      <c r="AL346" s="209"/>
      <c r="AM346" s="214"/>
      <c r="AN346" s="209"/>
      <c r="AO346" s="209"/>
    </row>
    <row r="347" spans="1:41" s="500" customFormat="1">
      <c r="B347" s="506"/>
      <c r="T347" s="506"/>
      <c r="U347" s="507"/>
      <c r="V347" s="209"/>
      <c r="W347" s="209"/>
      <c r="X347" s="209"/>
      <c r="Y347" s="209"/>
      <c r="Z347" s="209"/>
      <c r="AA347" s="209"/>
      <c r="AC347" s="209"/>
      <c r="AD347" s="209"/>
      <c r="AE347" s="209"/>
      <c r="AF347" s="209"/>
      <c r="AG347" s="209"/>
      <c r="AH347" s="209"/>
      <c r="AI347" s="209"/>
      <c r="AJ347" s="209"/>
      <c r="AK347" s="209"/>
      <c r="AL347" s="209"/>
      <c r="AM347" s="214"/>
      <c r="AN347" s="209"/>
      <c r="AO347" s="209"/>
    </row>
    <row r="348" spans="1:41" s="500" customFormat="1">
      <c r="B348" s="506"/>
      <c r="T348" s="506"/>
      <c r="U348" s="507"/>
      <c r="V348" s="209"/>
      <c r="W348" s="209"/>
      <c r="X348" s="209"/>
      <c r="Y348" s="209"/>
      <c r="Z348" s="209"/>
      <c r="AA348" s="209"/>
      <c r="AC348" s="209"/>
      <c r="AD348" s="209"/>
      <c r="AE348" s="209"/>
      <c r="AF348" s="209"/>
      <c r="AG348" s="209"/>
      <c r="AH348" s="209"/>
      <c r="AI348" s="209"/>
      <c r="AJ348" s="209"/>
      <c r="AK348" s="209"/>
      <c r="AL348" s="209"/>
      <c r="AM348" s="214"/>
      <c r="AN348" s="209"/>
      <c r="AO348" s="209"/>
    </row>
    <row r="349" spans="1:41" s="500" customFormat="1">
      <c r="B349" s="506"/>
      <c r="T349" s="506"/>
      <c r="U349" s="507"/>
      <c r="V349" s="209"/>
      <c r="W349" s="209"/>
      <c r="X349" s="209"/>
      <c r="Y349" s="209"/>
      <c r="Z349" s="209"/>
      <c r="AA349" s="209"/>
      <c r="AC349" s="209"/>
      <c r="AD349" s="209"/>
      <c r="AE349" s="209"/>
      <c r="AF349" s="209"/>
      <c r="AG349" s="209"/>
      <c r="AH349" s="209"/>
      <c r="AI349" s="209"/>
      <c r="AJ349" s="209"/>
      <c r="AK349" s="209"/>
      <c r="AL349" s="209"/>
      <c r="AM349" s="214"/>
      <c r="AN349" s="209"/>
      <c r="AO349" s="209"/>
    </row>
    <row r="350" spans="1:41" s="500" customFormat="1">
      <c r="B350" s="506"/>
      <c r="T350" s="506"/>
      <c r="U350" s="507"/>
      <c r="V350" s="209"/>
      <c r="W350" s="209"/>
      <c r="X350" s="209"/>
      <c r="Y350" s="209"/>
      <c r="Z350" s="209"/>
      <c r="AA350" s="209"/>
      <c r="AC350" s="209"/>
      <c r="AD350" s="209"/>
      <c r="AE350" s="209"/>
      <c r="AF350" s="209"/>
      <c r="AG350" s="209"/>
      <c r="AH350" s="209"/>
      <c r="AI350" s="209"/>
      <c r="AJ350" s="209"/>
      <c r="AK350" s="209"/>
      <c r="AL350" s="209"/>
      <c r="AM350" s="214"/>
      <c r="AN350" s="209"/>
      <c r="AO350" s="209"/>
    </row>
    <row r="351" spans="1:41" s="500" customFormat="1">
      <c r="B351" s="506"/>
      <c r="T351" s="506"/>
      <c r="U351" s="507"/>
      <c r="V351" s="209"/>
      <c r="W351" s="209"/>
      <c r="X351" s="209"/>
      <c r="Y351" s="209"/>
      <c r="Z351" s="209"/>
      <c r="AA351" s="209"/>
      <c r="AC351" s="209"/>
      <c r="AD351" s="209"/>
      <c r="AE351" s="209"/>
      <c r="AF351" s="209"/>
      <c r="AG351" s="209"/>
      <c r="AH351" s="209"/>
      <c r="AI351" s="209"/>
      <c r="AJ351" s="209"/>
      <c r="AK351" s="209"/>
      <c r="AL351" s="209"/>
      <c r="AM351" s="214"/>
      <c r="AN351" s="209"/>
      <c r="AO351" s="209"/>
    </row>
    <row r="352" spans="1:41" s="500" customFormat="1">
      <c r="B352" s="506"/>
      <c r="T352" s="506"/>
      <c r="U352" s="507"/>
      <c r="V352" s="209"/>
      <c r="W352" s="209"/>
      <c r="X352" s="209"/>
      <c r="Y352" s="209"/>
      <c r="Z352" s="209"/>
      <c r="AA352" s="209"/>
      <c r="AC352" s="209"/>
      <c r="AD352" s="209"/>
      <c r="AE352" s="209"/>
      <c r="AF352" s="209"/>
      <c r="AG352" s="209"/>
      <c r="AH352" s="209"/>
      <c r="AI352" s="209"/>
      <c r="AJ352" s="209"/>
      <c r="AK352" s="209"/>
      <c r="AL352" s="209"/>
      <c r="AM352" s="214"/>
      <c r="AN352" s="209"/>
      <c r="AO352" s="209"/>
    </row>
    <row r="353" spans="2:42" s="500" customFormat="1">
      <c r="B353" s="506"/>
      <c r="T353" s="506"/>
      <c r="U353" s="507"/>
      <c r="V353" s="209"/>
      <c r="W353" s="209"/>
      <c r="X353" s="209"/>
      <c r="Y353" s="209"/>
      <c r="Z353" s="209"/>
      <c r="AA353" s="209"/>
      <c r="AC353" s="209"/>
      <c r="AD353" s="209"/>
      <c r="AE353" s="209"/>
      <c r="AF353" s="209"/>
      <c r="AG353" s="209"/>
      <c r="AH353" s="209"/>
      <c r="AI353" s="209"/>
      <c r="AJ353" s="209"/>
      <c r="AK353" s="209"/>
      <c r="AL353" s="209"/>
      <c r="AM353" s="214"/>
      <c r="AN353" s="209"/>
      <c r="AO353" s="209"/>
    </row>
    <row r="354" spans="2:42" s="500" customFormat="1">
      <c r="B354" s="506"/>
      <c r="T354" s="506"/>
      <c r="U354" s="507"/>
      <c r="V354" s="209"/>
      <c r="W354" s="209"/>
      <c r="X354" s="209"/>
      <c r="Y354" s="209"/>
      <c r="Z354" s="209"/>
      <c r="AA354" s="209"/>
      <c r="AC354" s="209"/>
      <c r="AD354" s="209"/>
      <c r="AE354" s="209"/>
      <c r="AF354" s="209"/>
      <c r="AG354" s="209"/>
      <c r="AH354" s="209"/>
      <c r="AI354" s="209"/>
      <c r="AJ354" s="209"/>
      <c r="AK354" s="209"/>
      <c r="AL354" s="209"/>
      <c r="AM354" s="214"/>
      <c r="AN354" s="209"/>
      <c r="AO354" s="209"/>
    </row>
    <row r="355" spans="2:42" s="500" customFormat="1">
      <c r="B355" s="506"/>
      <c r="T355" s="506"/>
      <c r="U355" s="507"/>
      <c r="V355" s="209"/>
      <c r="W355" s="209"/>
      <c r="X355" s="209"/>
      <c r="Y355" s="209"/>
      <c r="Z355" s="209"/>
      <c r="AA355" s="209"/>
      <c r="AC355" s="209"/>
      <c r="AD355" s="209"/>
      <c r="AE355" s="209"/>
      <c r="AF355" s="209"/>
      <c r="AG355" s="209"/>
      <c r="AH355" s="209"/>
      <c r="AI355" s="209"/>
      <c r="AJ355" s="209"/>
      <c r="AK355" s="209"/>
      <c r="AL355" s="209"/>
      <c r="AM355" s="214"/>
      <c r="AN355" s="209"/>
      <c r="AO355" s="209"/>
    </row>
    <row r="356" spans="2:42" s="500" customFormat="1">
      <c r="B356" s="506"/>
      <c r="T356" s="506"/>
      <c r="U356" s="507"/>
      <c r="V356" s="209"/>
      <c r="W356" s="209"/>
      <c r="X356" s="209"/>
      <c r="Y356" s="209"/>
      <c r="Z356" s="209"/>
      <c r="AA356" s="209"/>
      <c r="AC356" s="209"/>
      <c r="AD356" s="209"/>
      <c r="AE356" s="209"/>
      <c r="AF356" s="209"/>
      <c r="AG356" s="209"/>
      <c r="AH356" s="209"/>
      <c r="AI356" s="209"/>
      <c r="AJ356" s="209"/>
      <c r="AK356" s="209"/>
      <c r="AL356" s="209"/>
      <c r="AM356" s="214"/>
      <c r="AN356" s="209"/>
      <c r="AO356" s="209"/>
    </row>
    <row r="357" spans="2:42" s="500" customFormat="1">
      <c r="B357" s="506"/>
      <c r="T357" s="506"/>
      <c r="U357" s="507"/>
      <c r="V357" s="209"/>
      <c r="W357" s="209"/>
      <c r="X357" s="209"/>
      <c r="Y357" s="209"/>
      <c r="Z357" s="209"/>
      <c r="AA357" s="209"/>
      <c r="AC357" s="209"/>
      <c r="AD357" s="209"/>
      <c r="AE357" s="209"/>
      <c r="AF357" s="209"/>
      <c r="AG357" s="209"/>
      <c r="AH357" s="209"/>
      <c r="AI357" s="209"/>
      <c r="AJ357" s="209"/>
      <c r="AK357" s="209"/>
      <c r="AL357" s="209"/>
      <c r="AM357" s="214"/>
      <c r="AN357" s="209"/>
      <c r="AO357" s="209"/>
    </row>
    <row r="358" spans="2:42" s="500" customFormat="1">
      <c r="B358" s="506"/>
      <c r="T358" s="506"/>
      <c r="U358" s="507"/>
      <c r="V358" s="209"/>
      <c r="W358" s="209"/>
      <c r="X358" s="209"/>
      <c r="Y358" s="209"/>
      <c r="Z358" s="209"/>
      <c r="AA358" s="209"/>
      <c r="AC358" s="209"/>
      <c r="AD358" s="209"/>
      <c r="AE358" s="209"/>
      <c r="AF358" s="209"/>
      <c r="AG358" s="209"/>
      <c r="AH358" s="209"/>
      <c r="AI358" s="209"/>
      <c r="AJ358" s="209"/>
      <c r="AK358" s="209"/>
      <c r="AL358" s="209"/>
      <c r="AM358" s="214"/>
      <c r="AN358" s="209"/>
      <c r="AO358" s="209"/>
    </row>
    <row r="359" spans="2:42" s="500" customFormat="1">
      <c r="B359" s="506"/>
      <c r="T359" s="506"/>
      <c r="U359" s="507"/>
      <c r="V359" s="209"/>
      <c r="W359" s="209"/>
      <c r="X359" s="209"/>
      <c r="Y359" s="209"/>
      <c r="Z359" s="209"/>
      <c r="AA359" s="209"/>
      <c r="AC359" s="209"/>
      <c r="AD359" s="209"/>
      <c r="AE359" s="209"/>
      <c r="AF359" s="209"/>
      <c r="AG359" s="209"/>
      <c r="AH359" s="209"/>
      <c r="AI359" s="209"/>
      <c r="AJ359" s="209"/>
      <c r="AK359" s="209"/>
      <c r="AL359" s="209"/>
      <c r="AM359" s="214"/>
      <c r="AN359" s="209"/>
      <c r="AO359" s="209"/>
    </row>
    <row r="360" spans="2:42" s="500" customFormat="1">
      <c r="B360" s="506"/>
      <c r="T360" s="506"/>
      <c r="U360" s="507"/>
      <c r="V360" s="209"/>
      <c r="W360" s="209"/>
      <c r="X360" s="209"/>
      <c r="Y360" s="209"/>
      <c r="Z360" s="209"/>
      <c r="AA360" s="209"/>
      <c r="AC360" s="209"/>
      <c r="AD360" s="209"/>
      <c r="AE360" s="209"/>
      <c r="AF360" s="209"/>
      <c r="AG360" s="209"/>
      <c r="AH360" s="209"/>
      <c r="AI360" s="209"/>
      <c r="AJ360" s="209"/>
      <c r="AK360" s="209"/>
      <c r="AL360" s="209"/>
      <c r="AM360" s="214"/>
      <c r="AN360" s="209"/>
      <c r="AO360" s="209"/>
    </row>
    <row r="361" spans="2:42" s="500" customFormat="1">
      <c r="B361" s="506"/>
      <c r="T361" s="506"/>
      <c r="U361" s="507"/>
      <c r="V361" s="209"/>
      <c r="W361" s="209"/>
      <c r="X361" s="209"/>
      <c r="Y361" s="209"/>
      <c r="Z361" s="209"/>
      <c r="AA361" s="209"/>
      <c r="AC361" s="209"/>
      <c r="AD361" s="209"/>
      <c r="AE361" s="209"/>
      <c r="AF361" s="209"/>
      <c r="AG361" s="209"/>
      <c r="AH361" s="209"/>
      <c r="AI361" s="209"/>
      <c r="AJ361" s="209"/>
      <c r="AK361" s="209"/>
      <c r="AL361" s="209"/>
      <c r="AM361" s="214"/>
      <c r="AN361" s="209"/>
      <c r="AO361" s="209"/>
    </row>
    <row r="362" spans="2:42" s="500" customFormat="1">
      <c r="B362" s="506"/>
      <c r="T362" s="506"/>
      <c r="U362" s="507"/>
      <c r="V362" s="209"/>
      <c r="W362" s="209"/>
      <c r="X362" s="209"/>
      <c r="Y362" s="209"/>
      <c r="Z362" s="209"/>
      <c r="AA362" s="209"/>
      <c r="AB362" s="209"/>
      <c r="AD362" s="209"/>
      <c r="AE362" s="209"/>
      <c r="AF362" s="209"/>
      <c r="AG362" s="209"/>
      <c r="AH362" s="209"/>
      <c r="AI362" s="209"/>
      <c r="AJ362" s="209"/>
      <c r="AK362" s="209"/>
      <c r="AL362" s="209"/>
      <c r="AM362" s="209"/>
      <c r="AN362" s="214"/>
      <c r="AO362" s="209"/>
      <c r="AP362" s="209"/>
    </row>
    <row r="363" spans="2:42" s="500" customFormat="1">
      <c r="B363" s="506"/>
      <c r="T363" s="506"/>
      <c r="U363" s="507"/>
      <c r="V363" s="209"/>
      <c r="W363" s="209"/>
      <c r="X363" s="209"/>
      <c r="Y363" s="209"/>
      <c r="Z363" s="209"/>
      <c r="AA363" s="209"/>
      <c r="AB363" s="209"/>
      <c r="AD363" s="209"/>
      <c r="AE363" s="209"/>
      <c r="AF363" s="209"/>
      <c r="AG363" s="209"/>
      <c r="AH363" s="209"/>
      <c r="AI363" s="209"/>
      <c r="AJ363" s="209"/>
      <c r="AK363" s="209"/>
      <c r="AL363" s="209"/>
      <c r="AM363" s="209"/>
      <c r="AN363" s="214"/>
      <c r="AO363" s="209"/>
      <c r="AP363" s="209"/>
    </row>
    <row r="364" spans="2:42" s="500" customFormat="1">
      <c r="B364" s="506"/>
      <c r="T364" s="506"/>
      <c r="U364" s="507"/>
      <c r="V364" s="209"/>
      <c r="W364" s="209"/>
      <c r="X364" s="209"/>
      <c r="Y364" s="209"/>
      <c r="Z364" s="209"/>
      <c r="AA364" s="209"/>
      <c r="AB364" s="209"/>
      <c r="AD364" s="209"/>
      <c r="AE364" s="209"/>
      <c r="AF364" s="209"/>
      <c r="AG364" s="209"/>
      <c r="AH364" s="209"/>
      <c r="AI364" s="209"/>
      <c r="AJ364" s="209"/>
      <c r="AK364" s="209"/>
      <c r="AL364" s="209"/>
      <c r="AM364" s="209"/>
      <c r="AN364" s="214"/>
      <c r="AO364" s="209"/>
      <c r="AP364" s="209"/>
    </row>
    <row r="365" spans="2:42" s="500" customFormat="1">
      <c r="B365" s="506"/>
      <c r="T365" s="506"/>
      <c r="U365" s="507"/>
      <c r="V365" s="209"/>
      <c r="W365" s="209"/>
      <c r="X365" s="209"/>
      <c r="Y365" s="209"/>
      <c r="Z365" s="209"/>
      <c r="AA365" s="209"/>
      <c r="AB365" s="209"/>
      <c r="AD365" s="209"/>
      <c r="AE365" s="209"/>
      <c r="AF365" s="209"/>
      <c r="AG365" s="209"/>
      <c r="AH365" s="209"/>
      <c r="AI365" s="209"/>
      <c r="AJ365" s="209"/>
      <c r="AK365" s="209"/>
      <c r="AL365" s="209"/>
      <c r="AM365" s="209"/>
      <c r="AN365" s="214"/>
      <c r="AO365" s="209"/>
      <c r="AP365" s="209"/>
    </row>
    <row r="366" spans="2:42" s="500" customFormat="1">
      <c r="B366" s="506"/>
      <c r="T366" s="506"/>
      <c r="U366" s="507"/>
      <c r="V366" s="209"/>
      <c r="W366" s="209"/>
      <c r="X366" s="209"/>
      <c r="Y366" s="209"/>
      <c r="Z366" s="209"/>
      <c r="AA366" s="209"/>
      <c r="AB366" s="209"/>
      <c r="AD366" s="209"/>
      <c r="AE366" s="209"/>
      <c r="AF366" s="209"/>
      <c r="AG366" s="209"/>
      <c r="AH366" s="209"/>
      <c r="AI366" s="209"/>
      <c r="AJ366" s="209"/>
      <c r="AK366" s="209"/>
      <c r="AL366" s="209"/>
      <c r="AM366" s="209"/>
      <c r="AN366" s="214"/>
      <c r="AO366" s="209"/>
      <c r="AP366" s="209"/>
    </row>
    <row r="367" spans="2:42" s="500" customFormat="1">
      <c r="B367" s="506"/>
      <c r="T367" s="506"/>
      <c r="U367" s="507"/>
      <c r="V367" s="209"/>
      <c r="W367" s="209"/>
      <c r="X367" s="209"/>
      <c r="Y367" s="209"/>
      <c r="Z367" s="209"/>
      <c r="AA367" s="209"/>
      <c r="AB367" s="209"/>
      <c r="AD367" s="209"/>
      <c r="AE367" s="209"/>
      <c r="AF367" s="209"/>
      <c r="AG367" s="209"/>
      <c r="AH367" s="209"/>
      <c r="AI367" s="209"/>
      <c r="AJ367" s="209"/>
      <c r="AK367" s="209"/>
      <c r="AL367" s="209"/>
      <c r="AM367" s="209"/>
      <c r="AN367" s="214"/>
      <c r="AO367" s="209"/>
      <c r="AP367" s="209"/>
    </row>
    <row r="368" spans="2:42" s="500" customFormat="1">
      <c r="B368" s="506"/>
      <c r="T368" s="506"/>
      <c r="U368" s="507"/>
      <c r="V368" s="209"/>
      <c r="W368" s="209"/>
      <c r="X368" s="209"/>
      <c r="Y368" s="209"/>
      <c r="Z368" s="209"/>
      <c r="AA368" s="209"/>
      <c r="AB368" s="209"/>
      <c r="AD368" s="209"/>
      <c r="AE368" s="209"/>
      <c r="AF368" s="209"/>
      <c r="AG368" s="209"/>
      <c r="AH368" s="209"/>
      <c r="AI368" s="209"/>
      <c r="AJ368" s="209"/>
      <c r="AK368" s="209"/>
      <c r="AL368" s="209"/>
      <c r="AM368" s="209"/>
      <c r="AN368" s="214"/>
      <c r="AO368" s="209"/>
      <c r="AP368" s="209"/>
    </row>
    <row r="369" spans="2:42" s="500" customFormat="1">
      <c r="B369" s="506"/>
      <c r="T369" s="506"/>
      <c r="U369" s="507"/>
      <c r="V369" s="209"/>
      <c r="W369" s="209"/>
      <c r="X369" s="209"/>
      <c r="Y369" s="209"/>
      <c r="Z369" s="209"/>
      <c r="AA369" s="209"/>
      <c r="AB369" s="209"/>
      <c r="AD369" s="209"/>
      <c r="AE369" s="209"/>
      <c r="AF369" s="209"/>
      <c r="AG369" s="209"/>
      <c r="AH369" s="209"/>
      <c r="AI369" s="209"/>
      <c r="AJ369" s="209"/>
      <c r="AK369" s="209"/>
      <c r="AL369" s="209"/>
      <c r="AM369" s="209"/>
      <c r="AN369" s="214"/>
      <c r="AO369" s="209"/>
      <c r="AP369" s="209"/>
    </row>
  </sheetData>
  <phoneticPr fontId="44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R362"/>
  <sheetViews>
    <sheetView workbookViewId="0"/>
  </sheetViews>
  <sheetFormatPr defaultColWidth="7.88671875" defaultRowHeight="15"/>
  <cols>
    <col min="1" max="1" width="8.5546875" style="80" customWidth="1"/>
    <col min="2" max="2" width="13.88671875" style="84" customWidth="1"/>
    <col min="3" max="3" width="5.5546875" style="80" bestFit="1" customWidth="1"/>
    <col min="4" max="4" width="5.21875" style="80" customWidth="1"/>
    <col min="5" max="5" width="5.109375" style="80" customWidth="1"/>
    <col min="6" max="6" width="4.6640625" style="80" customWidth="1"/>
    <col min="7" max="7" width="5.109375" style="80" customWidth="1"/>
    <col min="8" max="9" width="4.88671875" style="80" customWidth="1"/>
    <col min="10" max="10" width="4.6640625" style="80" customWidth="1"/>
    <col min="11" max="12" width="5.21875" style="80" customWidth="1"/>
    <col min="13" max="13" width="5.33203125" style="80" customWidth="1"/>
    <col min="14" max="14" width="6.109375" style="80" customWidth="1"/>
    <col min="15" max="15" width="5.109375" style="80" customWidth="1"/>
    <col min="16" max="16" width="5.77734375" style="80" customWidth="1"/>
    <col min="17" max="19" width="5" style="80" customWidth="1"/>
    <col min="20" max="20" width="4.6640625" style="84" customWidth="1"/>
    <col min="21" max="21" width="4.44140625" style="213" customWidth="1"/>
    <col min="22" max="22" width="7.5546875" style="209" customWidth="1"/>
    <col min="23" max="23" width="7.44140625" style="209" customWidth="1"/>
    <col min="24" max="24" width="7.21875" style="209" customWidth="1"/>
    <col min="25" max="25" width="6.44140625" style="209" customWidth="1"/>
    <col min="26" max="26" width="6.5546875" style="209" customWidth="1"/>
    <col min="27" max="27" width="6.21875" style="209" customWidth="1"/>
    <col min="28" max="28" width="5.77734375" style="80" customWidth="1"/>
    <col min="29" max="29" width="8.109375" style="209" customWidth="1"/>
    <col min="30" max="30" width="4.77734375" style="209" customWidth="1"/>
    <col min="31" max="32" width="6.77734375" style="209" customWidth="1"/>
    <col min="33" max="33" width="5.77734375" style="209" customWidth="1"/>
    <col min="34" max="34" width="4.77734375" style="209" customWidth="1"/>
    <col min="35" max="35" width="7.5546875" style="209" customWidth="1"/>
    <col min="36" max="36" width="6" style="209" customWidth="1"/>
    <col min="37" max="37" width="5" style="209" customWidth="1"/>
    <col min="38" max="38" width="4.77734375" style="209" customWidth="1"/>
    <col min="39" max="39" width="5.6640625" style="214" customWidth="1"/>
    <col min="40" max="40" width="4.77734375" style="209" customWidth="1"/>
    <col min="41" max="41" width="7.88671875" style="209" customWidth="1"/>
    <col min="42" max="16384" width="7.88671875" style="80"/>
  </cols>
  <sheetData>
    <row r="1" spans="1:41" ht="18">
      <c r="A1" s="203" t="s">
        <v>49</v>
      </c>
      <c r="B1" s="204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4"/>
      <c r="U1" s="206" t="s">
        <v>86</v>
      </c>
      <c r="V1" s="207"/>
      <c r="W1" s="207"/>
      <c r="X1" s="207"/>
      <c r="Y1" s="207"/>
      <c r="Z1" s="207"/>
      <c r="AA1" s="207"/>
      <c r="AB1" s="205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8"/>
    </row>
    <row r="2" spans="1:41" ht="18">
      <c r="A2" s="203" t="s">
        <v>123</v>
      </c>
      <c r="B2" s="204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4"/>
      <c r="U2" s="206" t="s">
        <v>86</v>
      </c>
      <c r="V2" s="207"/>
      <c r="W2" s="207"/>
      <c r="X2" s="207"/>
      <c r="Y2" s="207"/>
      <c r="Z2" s="207"/>
      <c r="AA2" s="207"/>
      <c r="AB2" s="205"/>
      <c r="AC2" s="207"/>
      <c r="AD2" s="207"/>
      <c r="AE2" s="207"/>
      <c r="AF2" s="207"/>
      <c r="AG2" s="207"/>
      <c r="AH2" s="207"/>
      <c r="AI2" s="207"/>
      <c r="AJ2" s="207"/>
      <c r="AK2" s="207"/>
      <c r="AL2" s="207"/>
      <c r="AM2" s="208"/>
    </row>
    <row r="3" spans="1:41" s="55" customFormat="1" ht="18.75" customHeight="1">
      <c r="A3" s="143" t="s">
        <v>129</v>
      </c>
      <c r="B3" s="82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2"/>
      <c r="U3" s="210" t="s">
        <v>86</v>
      </c>
      <c r="V3" s="211"/>
      <c r="W3" s="211"/>
      <c r="X3" s="211"/>
      <c r="Y3" s="211"/>
      <c r="Z3" s="211"/>
      <c r="AA3" s="211"/>
      <c r="AB3" s="83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2"/>
      <c r="AN3" s="64"/>
      <c r="AO3" s="64"/>
    </row>
    <row r="4" spans="1:41" s="55" customFormat="1" ht="15.75" customHeight="1">
      <c r="A4" s="81"/>
      <c r="B4" s="82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2"/>
      <c r="U4" s="210" t="s">
        <v>86</v>
      </c>
      <c r="V4" s="211"/>
      <c r="W4" s="211"/>
      <c r="X4" s="211"/>
      <c r="Y4" s="211"/>
      <c r="Z4" s="211"/>
      <c r="AA4" s="211"/>
      <c r="AB4" s="83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2"/>
      <c r="AN4" s="64"/>
      <c r="AO4" s="64"/>
    </row>
    <row r="5" spans="1:41" ht="15.75" customHeight="1">
      <c r="A5" s="57"/>
      <c r="U5" s="213" t="s">
        <v>86</v>
      </c>
      <c r="V5" s="424"/>
    </row>
    <row r="6" spans="1:41">
      <c r="A6" s="215"/>
      <c r="B6" s="60"/>
      <c r="C6" s="87" t="s">
        <v>95</v>
      </c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216"/>
      <c r="V6" s="87" t="s">
        <v>52</v>
      </c>
      <c r="W6" s="217"/>
      <c r="X6" s="217"/>
      <c r="Y6" s="217"/>
      <c r="Z6" s="217"/>
      <c r="AA6" s="217"/>
      <c r="AB6" s="86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</row>
    <row r="7" spans="1:41">
      <c r="A7" s="218"/>
      <c r="B7" s="219"/>
      <c r="C7" s="90" t="s">
        <v>96</v>
      </c>
      <c r="D7" s="91"/>
      <c r="E7" s="91"/>
      <c r="F7" s="91"/>
      <c r="G7" s="91"/>
      <c r="H7" s="91"/>
      <c r="I7" s="91"/>
      <c r="J7" s="91"/>
      <c r="K7" s="92" t="s">
        <v>97</v>
      </c>
      <c r="L7" s="220"/>
      <c r="M7" s="220"/>
      <c r="N7" s="220"/>
      <c r="O7" s="221"/>
      <c r="P7" s="222"/>
      <c r="Q7" s="92" t="s">
        <v>110</v>
      </c>
      <c r="R7" s="220"/>
      <c r="S7" s="220"/>
      <c r="T7" s="91"/>
      <c r="V7" s="90" t="s">
        <v>96</v>
      </c>
      <c r="W7" s="223"/>
      <c r="X7" s="223"/>
      <c r="Y7" s="223"/>
      <c r="Z7" s="223"/>
      <c r="AA7" s="223"/>
      <c r="AB7" s="91"/>
      <c r="AC7" s="223"/>
      <c r="AD7" s="224" t="s">
        <v>97</v>
      </c>
      <c r="AE7" s="225"/>
      <c r="AF7" s="225"/>
      <c r="AG7" s="225"/>
      <c r="AH7" s="226"/>
      <c r="AI7" s="227"/>
      <c r="AJ7" s="224" t="s">
        <v>110</v>
      </c>
      <c r="AK7" s="225"/>
      <c r="AL7" s="225"/>
      <c r="AM7" s="223"/>
    </row>
    <row r="8" spans="1:41" ht="54" customHeight="1">
      <c r="A8" s="228"/>
      <c r="B8" s="229"/>
      <c r="C8" s="230">
        <v>1</v>
      </c>
      <c r="D8" s="93">
        <v>2</v>
      </c>
      <c r="E8" s="93">
        <v>3</v>
      </c>
      <c r="F8" s="93">
        <v>4</v>
      </c>
      <c r="G8" s="93">
        <v>5</v>
      </c>
      <c r="H8" s="93">
        <v>6</v>
      </c>
      <c r="I8" s="232" t="s">
        <v>120</v>
      </c>
      <c r="J8" s="656" t="s">
        <v>119</v>
      </c>
      <c r="K8" s="232" t="s">
        <v>111</v>
      </c>
      <c r="L8" s="93">
        <v>1</v>
      </c>
      <c r="M8" s="93">
        <v>2</v>
      </c>
      <c r="N8" s="93">
        <v>3</v>
      </c>
      <c r="O8" s="232" t="s">
        <v>120</v>
      </c>
      <c r="P8" s="231" t="s">
        <v>121</v>
      </c>
      <c r="Q8" s="232">
        <v>1</v>
      </c>
      <c r="R8" s="232">
        <v>2</v>
      </c>
      <c r="S8" s="232" t="s">
        <v>120</v>
      </c>
      <c r="T8" s="233" t="s">
        <v>113</v>
      </c>
      <c r="U8" s="274"/>
      <c r="V8" s="235">
        <v>1</v>
      </c>
      <c r="W8" s="236">
        <v>2</v>
      </c>
      <c r="X8" s="236">
        <v>3</v>
      </c>
      <c r="Y8" s="236">
        <v>4</v>
      </c>
      <c r="Z8" s="236">
        <v>5</v>
      </c>
      <c r="AA8" s="236">
        <v>6</v>
      </c>
      <c r="AB8" s="232" t="s">
        <v>120</v>
      </c>
      <c r="AC8" s="341" t="s">
        <v>98</v>
      </c>
      <c r="AD8" s="237" t="s">
        <v>111</v>
      </c>
      <c r="AE8" s="236">
        <v>1</v>
      </c>
      <c r="AF8" s="236">
        <v>2</v>
      </c>
      <c r="AG8" s="236">
        <v>3</v>
      </c>
      <c r="AH8" s="237" t="s">
        <v>114</v>
      </c>
      <c r="AI8" s="341" t="s">
        <v>113</v>
      </c>
      <c r="AJ8" s="237">
        <v>1</v>
      </c>
      <c r="AK8" s="237">
        <v>2</v>
      </c>
      <c r="AL8" s="237" t="s">
        <v>114</v>
      </c>
      <c r="AM8" s="238" t="s">
        <v>113</v>
      </c>
    </row>
    <row r="9" spans="1:41" s="9" customFormat="1" ht="15.75" customHeight="1">
      <c r="A9" s="646" t="s">
        <v>2</v>
      </c>
      <c r="B9" s="647" t="s">
        <v>53</v>
      </c>
      <c r="C9" s="613">
        <f t="shared" ref="C9:H14" si="0">IF(V$14&gt;0,(V9/V$14),0)</f>
        <v>0.3988169827750993</v>
      </c>
      <c r="D9" s="614">
        <f t="shared" si="0"/>
        <v>0.30997098390925876</v>
      </c>
      <c r="E9" s="614">
        <f t="shared" si="0"/>
        <v>0.31697957255874365</v>
      </c>
      <c r="F9" s="614">
        <f t="shared" si="0"/>
        <v>0.28405246327107569</v>
      </c>
      <c r="G9" s="614">
        <f t="shared" si="0"/>
        <v>0.28804347826086957</v>
      </c>
      <c r="H9" s="615">
        <f t="shared" si="0"/>
        <v>0.24763321612117933</v>
      </c>
      <c r="I9" s="614"/>
      <c r="J9" s="657">
        <f t="shared" ref="J9:J14" si="1">IF(AC$14&gt;0,(AC9/AC$14),0)</f>
        <v>0.34343946415673327</v>
      </c>
      <c r="K9" s="616"/>
      <c r="L9" s="616"/>
      <c r="M9" s="616"/>
      <c r="N9" s="616"/>
      <c r="O9" s="616"/>
      <c r="P9" s="613">
        <f t="shared" ref="P9:P14" si="2">IF(AI$14&gt;0,(AI9/AI$14),0)</f>
        <v>0.29744611673396615</v>
      </c>
      <c r="Q9" s="616"/>
      <c r="R9" s="616"/>
      <c r="S9" s="616"/>
      <c r="T9" s="613">
        <f t="shared" ref="T9:T14" si="3">IF(AM$14&gt;0,(AM9/AM$14),0)</f>
        <v>0</v>
      </c>
      <c r="U9" s="274"/>
      <c r="V9" s="617">
        <v>37555</v>
      </c>
      <c r="W9" s="617">
        <v>11751</v>
      </c>
      <c r="X9" s="617">
        <v>16107</v>
      </c>
      <c r="Y9" s="617">
        <v>6129</v>
      </c>
      <c r="Z9" s="617">
        <v>3180</v>
      </c>
      <c r="AA9" s="617">
        <v>1831</v>
      </c>
      <c r="AB9" s="614"/>
      <c r="AC9" s="618">
        <f>SUM(V9:AA9)</f>
        <v>76553</v>
      </c>
      <c r="AD9" s="619"/>
      <c r="AE9" s="620"/>
      <c r="AF9" s="620"/>
      <c r="AG9" s="620"/>
      <c r="AH9" s="621"/>
      <c r="AI9" s="622">
        <v>5672</v>
      </c>
      <c r="AJ9" s="619"/>
      <c r="AK9" s="619"/>
      <c r="AL9" s="619"/>
      <c r="AM9" s="623"/>
      <c r="AN9" s="349"/>
      <c r="AO9" s="349"/>
    </row>
    <row r="10" spans="1:41" s="9" customFormat="1" ht="15.75" customHeight="1">
      <c r="A10" s="648"/>
      <c r="B10" s="646" t="s">
        <v>76</v>
      </c>
      <c r="C10" s="624">
        <f t="shared" si="0"/>
        <v>0.25789563111951236</v>
      </c>
      <c r="D10" s="625">
        <f t="shared" si="0"/>
        <v>0.28314428910577683</v>
      </c>
      <c r="E10" s="625">
        <f t="shared" si="0"/>
        <v>0.24571968355177706</v>
      </c>
      <c r="F10" s="625">
        <f t="shared" si="0"/>
        <v>0.2710293367938082</v>
      </c>
      <c r="G10" s="625">
        <f t="shared" si="0"/>
        <v>0.27092391304347824</v>
      </c>
      <c r="H10" s="626">
        <f t="shared" si="0"/>
        <v>0.2725182580470652</v>
      </c>
      <c r="I10" s="625"/>
      <c r="J10" s="658">
        <f t="shared" si="1"/>
        <v>0.26181578368872277</v>
      </c>
      <c r="K10" s="627"/>
      <c r="L10" s="627"/>
      <c r="M10" s="627"/>
      <c r="N10" s="627"/>
      <c r="O10" s="627"/>
      <c r="P10" s="624">
        <f t="shared" si="2"/>
        <v>0.23645707693114479</v>
      </c>
      <c r="Q10" s="627"/>
      <c r="R10" s="627"/>
      <c r="S10" s="627"/>
      <c r="T10" s="624">
        <f t="shared" si="3"/>
        <v>0</v>
      </c>
      <c r="U10" s="274"/>
      <c r="V10" s="628">
        <v>24285</v>
      </c>
      <c r="W10" s="628">
        <v>10734</v>
      </c>
      <c r="X10" s="628">
        <v>12486</v>
      </c>
      <c r="Y10" s="628">
        <v>5848</v>
      </c>
      <c r="Z10" s="628">
        <v>2991</v>
      </c>
      <c r="AA10" s="628">
        <v>2015</v>
      </c>
      <c r="AB10" s="625"/>
      <c r="AC10" s="629">
        <f>SUM(V10:AA10)</f>
        <v>58359</v>
      </c>
      <c r="AD10" s="619"/>
      <c r="AE10" s="620"/>
      <c r="AF10" s="620"/>
      <c r="AG10" s="620"/>
      <c r="AH10" s="621"/>
      <c r="AI10" s="622">
        <v>4509</v>
      </c>
      <c r="AJ10" s="619"/>
      <c r="AK10" s="619"/>
      <c r="AL10" s="619"/>
      <c r="AM10" s="623"/>
      <c r="AN10" s="349"/>
      <c r="AO10" s="349"/>
    </row>
    <row r="11" spans="1:41" s="9" customFormat="1" ht="15.75" customHeight="1">
      <c r="A11" s="648"/>
      <c r="B11" s="646" t="s">
        <v>77</v>
      </c>
      <c r="C11" s="624">
        <f t="shared" si="0"/>
        <v>0.22908480768005438</v>
      </c>
      <c r="D11" s="625">
        <f t="shared" si="0"/>
        <v>0.27734107095753102</v>
      </c>
      <c r="E11" s="625">
        <f t="shared" si="0"/>
        <v>0.28281575943637582</v>
      </c>
      <c r="F11" s="625">
        <f t="shared" si="0"/>
        <v>0.30412012791398246</v>
      </c>
      <c r="G11" s="625">
        <f t="shared" si="0"/>
        <v>0.30788043478260868</v>
      </c>
      <c r="H11" s="626">
        <f t="shared" si="0"/>
        <v>0.32566946172572359</v>
      </c>
      <c r="I11" s="625"/>
      <c r="J11" s="658">
        <f t="shared" si="1"/>
        <v>0.26391088420419828</v>
      </c>
      <c r="K11" s="627"/>
      <c r="L11" s="627"/>
      <c r="M11" s="627"/>
      <c r="N11" s="627"/>
      <c r="O11" s="627"/>
      <c r="P11" s="624">
        <f t="shared" si="2"/>
        <v>0.26220567413078821</v>
      </c>
      <c r="Q11" s="627"/>
      <c r="R11" s="627"/>
      <c r="S11" s="627"/>
      <c r="T11" s="624">
        <f t="shared" si="3"/>
        <v>0</v>
      </c>
      <c r="U11" s="274"/>
      <c r="V11" s="628">
        <v>21572</v>
      </c>
      <c r="W11" s="628">
        <v>10514</v>
      </c>
      <c r="X11" s="628">
        <v>14371</v>
      </c>
      <c r="Y11" s="628">
        <v>6562</v>
      </c>
      <c r="Z11" s="628">
        <v>3399</v>
      </c>
      <c r="AA11" s="628">
        <v>2408</v>
      </c>
      <c r="AB11" s="625"/>
      <c r="AC11" s="629">
        <f>SUM(V11:AA11)</f>
        <v>58826</v>
      </c>
      <c r="AD11" s="619"/>
      <c r="AE11" s="620"/>
      <c r="AF11" s="620"/>
      <c r="AG11" s="620"/>
      <c r="AH11" s="621"/>
      <c r="AI11" s="622">
        <v>5000</v>
      </c>
      <c r="AJ11" s="619"/>
      <c r="AK11" s="619"/>
      <c r="AL11" s="619"/>
      <c r="AM11" s="623"/>
      <c r="AN11" s="349"/>
      <c r="AO11" s="349"/>
    </row>
    <row r="12" spans="1:41" s="9" customFormat="1" ht="15.75" customHeight="1">
      <c r="A12" s="648"/>
      <c r="B12" s="646" t="s">
        <v>78</v>
      </c>
      <c r="C12" s="624">
        <f t="shared" si="0"/>
        <v>3.5596712189112846E-2</v>
      </c>
      <c r="D12" s="625">
        <f t="shared" si="0"/>
        <v>7.3568979161171194E-2</v>
      </c>
      <c r="E12" s="625">
        <f t="shared" si="0"/>
        <v>7.0334947061833353E-2</v>
      </c>
      <c r="F12" s="625">
        <f t="shared" si="0"/>
        <v>7.280900959354869E-2</v>
      </c>
      <c r="G12" s="625">
        <f t="shared" si="0"/>
        <v>8.3876811594202905E-2</v>
      </c>
      <c r="H12" s="626">
        <f t="shared" si="0"/>
        <v>8.2634568569110084E-2</v>
      </c>
      <c r="I12" s="625"/>
      <c r="J12" s="658">
        <f t="shared" si="1"/>
        <v>5.7527781391738933E-2</v>
      </c>
      <c r="K12" s="627"/>
      <c r="L12" s="627"/>
      <c r="M12" s="627"/>
      <c r="N12" s="627"/>
      <c r="O12" s="627"/>
      <c r="P12" s="624">
        <f t="shared" si="2"/>
        <v>0.17971576904924222</v>
      </c>
      <c r="Q12" s="627"/>
      <c r="R12" s="627"/>
      <c r="S12" s="627"/>
      <c r="T12" s="624">
        <f t="shared" si="3"/>
        <v>0</v>
      </c>
      <c r="U12" s="274"/>
      <c r="V12" s="628">
        <v>3352</v>
      </c>
      <c r="W12" s="628">
        <v>2789</v>
      </c>
      <c r="X12" s="628">
        <v>3574</v>
      </c>
      <c r="Y12" s="628">
        <v>1571</v>
      </c>
      <c r="Z12" s="628">
        <v>926</v>
      </c>
      <c r="AA12" s="628">
        <v>611</v>
      </c>
      <c r="AB12" s="625"/>
      <c r="AC12" s="629">
        <f>SUM(V12:AA12)</f>
        <v>12823</v>
      </c>
      <c r="AD12" s="619"/>
      <c r="AE12" s="620"/>
      <c r="AF12" s="620"/>
      <c r="AG12" s="620"/>
      <c r="AH12" s="621"/>
      <c r="AI12" s="622">
        <v>3427</v>
      </c>
      <c r="AJ12" s="619"/>
      <c r="AK12" s="619"/>
      <c r="AL12" s="619"/>
      <c r="AM12" s="623"/>
      <c r="AN12" s="349"/>
      <c r="AO12" s="349"/>
    </row>
    <row r="13" spans="1:41" s="9" customFormat="1" ht="15.75" customHeight="1">
      <c r="A13" s="648"/>
      <c r="B13" s="646" t="s">
        <v>131</v>
      </c>
      <c r="C13" s="624">
        <f t="shared" si="0"/>
        <v>7.8605866236221136E-2</v>
      </c>
      <c r="D13" s="625">
        <f t="shared" si="0"/>
        <v>5.5974676866262202E-2</v>
      </c>
      <c r="E13" s="625">
        <f t="shared" si="0"/>
        <v>8.4150037391270124E-2</v>
      </c>
      <c r="F13" s="625">
        <f t="shared" si="0"/>
        <v>6.7989062427584929E-2</v>
      </c>
      <c r="G13" s="625">
        <f t="shared" si="0"/>
        <v>4.9275362318840582E-2</v>
      </c>
      <c r="H13" s="626">
        <f t="shared" si="0"/>
        <v>7.1544495536921826E-2</v>
      </c>
      <c r="I13" s="625"/>
      <c r="J13" s="658">
        <f t="shared" si="1"/>
        <v>7.3306086558606737E-2</v>
      </c>
      <c r="K13" s="627"/>
      <c r="L13" s="627"/>
      <c r="M13" s="627"/>
      <c r="N13" s="627"/>
      <c r="O13" s="630"/>
      <c r="P13" s="624">
        <f t="shared" si="2"/>
        <v>2.4175363154858673E-2</v>
      </c>
      <c r="Q13" s="627"/>
      <c r="R13" s="627"/>
      <c r="S13" s="627"/>
      <c r="T13" s="624">
        <f t="shared" si="3"/>
        <v>0</v>
      </c>
      <c r="U13" s="274"/>
      <c r="V13" s="631">
        <v>7402</v>
      </c>
      <c r="W13" s="632">
        <v>2122</v>
      </c>
      <c r="X13" s="632">
        <v>4276</v>
      </c>
      <c r="Y13" s="632">
        <v>1467</v>
      </c>
      <c r="Z13" s="632">
        <v>544</v>
      </c>
      <c r="AA13" s="632">
        <v>529</v>
      </c>
      <c r="AB13" s="625"/>
      <c r="AC13" s="629">
        <v>16340</v>
      </c>
      <c r="AD13" s="619"/>
      <c r="AE13" s="620"/>
      <c r="AF13" s="620"/>
      <c r="AG13" s="620"/>
      <c r="AH13" s="621"/>
      <c r="AI13" s="622">
        <v>461</v>
      </c>
      <c r="AJ13" s="619"/>
      <c r="AK13" s="619"/>
      <c r="AL13" s="619"/>
      <c r="AM13" s="623"/>
      <c r="AN13" s="349"/>
      <c r="AO13" s="349"/>
    </row>
    <row r="14" spans="1:41" s="9" customFormat="1" ht="15.75" customHeight="1">
      <c r="A14" s="649"/>
      <c r="B14" s="650" t="s">
        <v>59</v>
      </c>
      <c r="C14" s="577">
        <f t="shared" si="0"/>
        <v>1</v>
      </c>
      <c r="D14" s="578">
        <f t="shared" si="0"/>
        <v>1</v>
      </c>
      <c r="E14" s="578">
        <f t="shared" si="0"/>
        <v>1</v>
      </c>
      <c r="F14" s="578">
        <f t="shared" si="0"/>
        <v>1</v>
      </c>
      <c r="G14" s="578">
        <f t="shared" si="0"/>
        <v>1</v>
      </c>
      <c r="H14" s="579">
        <f t="shared" si="0"/>
        <v>1</v>
      </c>
      <c r="I14" s="578"/>
      <c r="J14" s="659">
        <f t="shared" si="1"/>
        <v>1</v>
      </c>
      <c r="K14" s="633"/>
      <c r="L14" s="633"/>
      <c r="M14" s="633"/>
      <c r="N14" s="633"/>
      <c r="O14" s="633"/>
      <c r="P14" s="577">
        <f t="shared" si="2"/>
        <v>1</v>
      </c>
      <c r="Q14" s="633"/>
      <c r="R14" s="633"/>
      <c r="S14" s="633"/>
      <c r="T14" s="577">
        <f t="shared" si="3"/>
        <v>0</v>
      </c>
      <c r="U14" s="274"/>
      <c r="V14" s="634">
        <v>94166</v>
      </c>
      <c r="W14" s="635">
        <v>37910</v>
      </c>
      <c r="X14" s="635">
        <v>50814</v>
      </c>
      <c r="Y14" s="635">
        <v>21577</v>
      </c>
      <c r="Z14" s="635">
        <v>11040</v>
      </c>
      <c r="AA14" s="635">
        <v>7394</v>
      </c>
      <c r="AB14" s="578"/>
      <c r="AC14" s="629">
        <v>222901</v>
      </c>
      <c r="AD14" s="636"/>
      <c r="AE14" s="637"/>
      <c r="AF14" s="637"/>
      <c r="AG14" s="637"/>
      <c r="AH14" s="638"/>
      <c r="AI14" s="629">
        <f>SUM(AI9:AI13)</f>
        <v>19069</v>
      </c>
      <c r="AJ14" s="636"/>
      <c r="AK14" s="636"/>
      <c r="AL14" s="636"/>
      <c r="AM14" s="623"/>
      <c r="AN14" s="349"/>
      <c r="AO14" s="349"/>
    </row>
    <row r="15" spans="1:41" ht="13.9" customHeight="1">
      <c r="A15" s="239" t="s">
        <v>3</v>
      </c>
      <c r="B15" s="240" t="s">
        <v>53</v>
      </c>
      <c r="C15" s="241">
        <v>0.37485144496941941</v>
      </c>
      <c r="D15" s="242">
        <v>0.29470609711573564</v>
      </c>
      <c r="E15" s="242">
        <v>0.25844748858447486</v>
      </c>
      <c r="F15" s="242">
        <v>0.23750126761991686</v>
      </c>
      <c r="G15" s="242">
        <v>0.2343015805211448</v>
      </c>
      <c r="H15" s="243">
        <v>0.23451327433628319</v>
      </c>
      <c r="I15" s="242"/>
      <c r="J15" s="529">
        <v>0.30458248243980163</v>
      </c>
      <c r="K15" s="241">
        <v>0.1676470588235294</v>
      </c>
      <c r="L15" s="242">
        <v>0.1153197074817176</v>
      </c>
      <c r="M15" s="242">
        <v>8.4727826847645127E-2</v>
      </c>
      <c r="N15" s="242">
        <v>7.9204057744830275E-2</v>
      </c>
      <c r="O15" s="243">
        <v>0.20943494038361846</v>
      </c>
      <c r="P15" s="241">
        <v>0.10528944608161431</v>
      </c>
      <c r="Q15" s="342">
        <v>2.213368747233289E-3</v>
      </c>
      <c r="R15" s="242">
        <v>1.3119533527696793E-2</v>
      </c>
      <c r="S15" s="243">
        <v>0</v>
      </c>
      <c r="T15" s="342">
        <v>4.0080160320641279E-3</v>
      </c>
      <c r="U15" s="274"/>
      <c r="V15" s="245">
        <v>12932</v>
      </c>
      <c r="W15" s="246">
        <v>4036</v>
      </c>
      <c r="X15" s="246">
        <v>5943</v>
      </c>
      <c r="Y15" s="246">
        <v>2342</v>
      </c>
      <c r="Z15" s="246">
        <v>1097</v>
      </c>
      <c r="AA15" s="246">
        <v>795</v>
      </c>
      <c r="AB15" s="242"/>
      <c r="AC15" s="247">
        <v>27145</v>
      </c>
      <c r="AD15" s="245">
        <v>114</v>
      </c>
      <c r="AE15" s="246">
        <v>2091</v>
      </c>
      <c r="AF15" s="246">
        <v>1201</v>
      </c>
      <c r="AG15" s="246">
        <v>406</v>
      </c>
      <c r="AH15" s="248">
        <v>404</v>
      </c>
      <c r="AI15" s="248">
        <v>4216</v>
      </c>
      <c r="AJ15" s="245">
        <v>5</v>
      </c>
      <c r="AK15" s="246">
        <v>9</v>
      </c>
      <c r="AL15" s="248">
        <v>0</v>
      </c>
      <c r="AM15" s="245">
        <v>14</v>
      </c>
    </row>
    <row r="16" spans="1:41" ht="13.9" customHeight="1">
      <c r="A16" s="249"/>
      <c r="B16" s="239" t="s">
        <v>76</v>
      </c>
      <c r="C16" s="250">
        <v>0.26464535203918954</v>
      </c>
      <c r="D16" s="251">
        <v>0.28324205914567363</v>
      </c>
      <c r="E16" s="251">
        <v>0.24996738421395956</v>
      </c>
      <c r="F16" s="251">
        <v>0.25900010140959334</v>
      </c>
      <c r="G16" s="251">
        <v>0.24434002563007262</v>
      </c>
      <c r="H16" s="252">
        <v>0.24660766961651917</v>
      </c>
      <c r="I16" s="251"/>
      <c r="J16" s="530">
        <v>0.26133839007203608</v>
      </c>
      <c r="K16" s="250">
        <v>0.23970588235294119</v>
      </c>
      <c r="L16" s="251">
        <v>0.10462050937007092</v>
      </c>
      <c r="M16" s="251">
        <v>9.1429861444253191E-2</v>
      </c>
      <c r="N16" s="251">
        <v>9.0323839250877877E-2</v>
      </c>
      <c r="O16" s="252">
        <v>0.28978745463970967</v>
      </c>
      <c r="P16" s="250">
        <v>0.10933519804205584</v>
      </c>
      <c r="Q16" s="250">
        <v>5.3120849933598934E-3</v>
      </c>
      <c r="R16" s="251">
        <v>1.3119533527696793E-2</v>
      </c>
      <c r="S16" s="252">
        <v>0</v>
      </c>
      <c r="T16" s="250">
        <v>6.0120240480961923E-3</v>
      </c>
      <c r="U16" s="274"/>
      <c r="V16" s="254">
        <v>9130</v>
      </c>
      <c r="W16" s="255">
        <v>3879</v>
      </c>
      <c r="X16" s="255">
        <v>5748</v>
      </c>
      <c r="Y16" s="255">
        <v>2554</v>
      </c>
      <c r="Z16" s="255">
        <v>1144</v>
      </c>
      <c r="AA16" s="255">
        <v>836</v>
      </c>
      <c r="AB16" s="251"/>
      <c r="AC16" s="256">
        <v>23291</v>
      </c>
      <c r="AD16" s="254">
        <v>163</v>
      </c>
      <c r="AE16" s="255">
        <v>1897</v>
      </c>
      <c r="AF16" s="255">
        <v>1296</v>
      </c>
      <c r="AG16" s="255">
        <v>463</v>
      </c>
      <c r="AH16" s="257">
        <v>559</v>
      </c>
      <c r="AI16" s="257">
        <v>4378</v>
      </c>
      <c r="AJ16" s="254">
        <v>12</v>
      </c>
      <c r="AK16" s="255">
        <v>9</v>
      </c>
      <c r="AL16" s="257">
        <v>0</v>
      </c>
      <c r="AM16" s="254">
        <v>21</v>
      </c>
    </row>
    <row r="17" spans="1:41" ht="13.9" customHeight="1">
      <c r="A17" s="249"/>
      <c r="B17" s="239" t="s">
        <v>77</v>
      </c>
      <c r="C17" s="250">
        <v>0.23249949273891996</v>
      </c>
      <c r="D17" s="251">
        <v>0.26484118291347208</v>
      </c>
      <c r="E17" s="251">
        <v>0.30584909762991958</v>
      </c>
      <c r="F17" s="251">
        <v>0.33485447723354628</v>
      </c>
      <c r="G17" s="251">
        <v>0.34899615548910723</v>
      </c>
      <c r="H17" s="252">
        <v>0.31179941002949851</v>
      </c>
      <c r="I17" s="251"/>
      <c r="J17" s="530">
        <v>0.27685644397567377</v>
      </c>
      <c r="K17" s="250">
        <v>0.40294117647058825</v>
      </c>
      <c r="L17" s="251">
        <v>7.1916259472099356E-2</v>
      </c>
      <c r="M17" s="251">
        <v>7.5838812540564945E-2</v>
      </c>
      <c r="N17" s="251">
        <v>9.3055013655872029E-2</v>
      </c>
      <c r="O17" s="252">
        <v>0.30585795749092792</v>
      </c>
      <c r="P17" s="250">
        <v>9.2902452424953805E-2</v>
      </c>
      <c r="Q17" s="250">
        <v>9.7388224878264713E-3</v>
      </c>
      <c r="R17" s="251">
        <v>2.1865889212827987E-2</v>
      </c>
      <c r="S17" s="252">
        <v>0</v>
      </c>
      <c r="T17" s="250">
        <v>1.0592613799026625E-2</v>
      </c>
      <c r="U17" s="274"/>
      <c r="V17" s="254">
        <v>8021</v>
      </c>
      <c r="W17" s="255">
        <v>3627</v>
      </c>
      <c r="X17" s="255">
        <v>7033</v>
      </c>
      <c r="Y17" s="255">
        <v>3302</v>
      </c>
      <c r="Z17" s="255">
        <v>1634</v>
      </c>
      <c r="AA17" s="255">
        <v>1057</v>
      </c>
      <c r="AB17" s="251"/>
      <c r="AC17" s="256">
        <v>24674</v>
      </c>
      <c r="AD17" s="254">
        <v>274</v>
      </c>
      <c r="AE17" s="255">
        <v>1304</v>
      </c>
      <c r="AF17" s="255">
        <v>1075</v>
      </c>
      <c r="AG17" s="255">
        <v>477</v>
      </c>
      <c r="AH17" s="257">
        <v>590</v>
      </c>
      <c r="AI17" s="257">
        <v>3720</v>
      </c>
      <c r="AJ17" s="254">
        <v>22</v>
      </c>
      <c r="AK17" s="255">
        <v>15</v>
      </c>
      <c r="AL17" s="257">
        <v>0</v>
      </c>
      <c r="AM17" s="254">
        <v>37</v>
      </c>
    </row>
    <row r="18" spans="1:41" ht="13.9" customHeight="1">
      <c r="A18" s="249"/>
      <c r="B18" s="239" t="s">
        <v>78</v>
      </c>
      <c r="C18" s="250">
        <v>5.437838777935592E-2</v>
      </c>
      <c r="D18" s="251">
        <v>9.529025191675794E-2</v>
      </c>
      <c r="E18" s="251">
        <v>9.367253750815395E-2</v>
      </c>
      <c r="F18" s="251">
        <v>0.10698712098164487</v>
      </c>
      <c r="G18" s="251">
        <v>0.14011106364801368</v>
      </c>
      <c r="H18" s="252">
        <v>0.11946902654867257</v>
      </c>
      <c r="I18" s="251"/>
      <c r="J18" s="530">
        <v>8.3604497206077058E-2</v>
      </c>
      <c r="K18" s="250">
        <v>0.17205882352941176</v>
      </c>
      <c r="L18" s="251">
        <v>0.14912696749429191</v>
      </c>
      <c r="M18" s="251">
        <v>0.16917346276490675</v>
      </c>
      <c r="N18" s="251">
        <v>0.13792430745220444</v>
      </c>
      <c r="O18" s="252">
        <v>0.19388284085018145</v>
      </c>
      <c r="P18" s="250">
        <v>0.1573347984616153</v>
      </c>
      <c r="Q18" s="250">
        <v>1.2394864984506419E-2</v>
      </c>
      <c r="R18" s="251">
        <v>4.2274052478134108E-2</v>
      </c>
      <c r="S18" s="252">
        <v>0</v>
      </c>
      <c r="T18" s="250">
        <v>1.6318350987689665E-2</v>
      </c>
      <c r="U18" s="274"/>
      <c r="V18" s="254">
        <v>1876</v>
      </c>
      <c r="W18" s="255">
        <v>1305</v>
      </c>
      <c r="X18" s="255">
        <v>2154</v>
      </c>
      <c r="Y18" s="255">
        <v>1055</v>
      </c>
      <c r="Z18" s="255">
        <v>656</v>
      </c>
      <c r="AA18" s="255">
        <v>405</v>
      </c>
      <c r="AB18" s="251"/>
      <c r="AC18" s="256">
        <v>7451</v>
      </c>
      <c r="AD18" s="254">
        <v>117</v>
      </c>
      <c r="AE18" s="255">
        <v>2704</v>
      </c>
      <c r="AF18" s="255">
        <v>2398</v>
      </c>
      <c r="AG18" s="255">
        <v>707</v>
      </c>
      <c r="AH18" s="257">
        <v>374</v>
      </c>
      <c r="AI18" s="257">
        <v>6300</v>
      </c>
      <c r="AJ18" s="254">
        <v>28</v>
      </c>
      <c r="AK18" s="255">
        <v>29</v>
      </c>
      <c r="AL18" s="257">
        <v>0</v>
      </c>
      <c r="AM18" s="254">
        <v>57</v>
      </c>
    </row>
    <row r="19" spans="1:41" ht="13.9" customHeight="1">
      <c r="A19" s="249"/>
      <c r="B19" s="239" t="s">
        <v>32</v>
      </c>
      <c r="C19" s="250">
        <v>7.3625322473115165E-2</v>
      </c>
      <c r="D19" s="251">
        <v>6.1920408908360716E-2</v>
      </c>
      <c r="E19" s="251">
        <v>9.2063492063492069E-2</v>
      </c>
      <c r="F19" s="251">
        <v>6.1657032755298651E-2</v>
      </c>
      <c r="G19" s="251">
        <v>3.2251174711661681E-2</v>
      </c>
      <c r="H19" s="252">
        <v>8.7610619469026554E-2</v>
      </c>
      <c r="I19" s="251"/>
      <c r="J19" s="530">
        <v>7.361818630641144E-2</v>
      </c>
      <c r="K19" s="250">
        <v>1.7647058823529412E-2</v>
      </c>
      <c r="L19" s="251">
        <v>5.0186960214425161E-2</v>
      </c>
      <c r="M19" s="251">
        <v>6.0741597765047832E-2</v>
      </c>
      <c r="N19" s="251">
        <v>3.8041357783847055E-2</v>
      </c>
      <c r="O19" s="258">
        <v>1.0368066355624676E-3</v>
      </c>
      <c r="P19" s="250">
        <v>4.9448079516507669E-2</v>
      </c>
      <c r="Q19" s="250">
        <v>0</v>
      </c>
      <c r="R19" s="251">
        <v>0</v>
      </c>
      <c r="S19" s="252">
        <v>0</v>
      </c>
      <c r="T19" s="250">
        <v>0</v>
      </c>
      <c r="U19" s="274"/>
      <c r="V19" s="254">
        <v>2540</v>
      </c>
      <c r="W19" s="255">
        <v>848</v>
      </c>
      <c r="X19" s="255">
        <v>2117</v>
      </c>
      <c r="Y19" s="255">
        <v>608</v>
      </c>
      <c r="Z19" s="255">
        <v>151</v>
      </c>
      <c r="AA19" s="255">
        <v>297</v>
      </c>
      <c r="AB19" s="251"/>
      <c r="AC19" s="256">
        <v>6561</v>
      </c>
      <c r="AD19" s="254">
        <v>12</v>
      </c>
      <c r="AE19" s="255">
        <v>910</v>
      </c>
      <c r="AF19" s="255">
        <v>861</v>
      </c>
      <c r="AG19" s="255">
        <v>195</v>
      </c>
      <c r="AH19" s="257">
        <v>2</v>
      </c>
      <c r="AI19" s="257">
        <v>1980</v>
      </c>
      <c r="AJ19" s="254">
        <v>0</v>
      </c>
      <c r="AK19" s="255">
        <v>0</v>
      </c>
      <c r="AL19" s="257">
        <v>0</v>
      </c>
      <c r="AM19" s="254">
        <v>0</v>
      </c>
    </row>
    <row r="20" spans="1:41" ht="13.9" customHeight="1">
      <c r="A20" s="249"/>
      <c r="B20" s="239" t="s">
        <v>58</v>
      </c>
      <c r="C20" s="250">
        <v>0</v>
      </c>
      <c r="D20" s="251">
        <v>0</v>
      </c>
      <c r="E20" s="251">
        <v>0</v>
      </c>
      <c r="F20" s="251">
        <v>0</v>
      </c>
      <c r="G20" s="251">
        <v>0</v>
      </c>
      <c r="H20" s="252">
        <v>0</v>
      </c>
      <c r="I20" s="251"/>
      <c r="J20" s="530">
        <v>0</v>
      </c>
      <c r="K20" s="250">
        <v>0</v>
      </c>
      <c r="L20" s="251">
        <v>0.50882959596739508</v>
      </c>
      <c r="M20" s="251">
        <v>0.51808843863758225</v>
      </c>
      <c r="N20" s="251">
        <v>0.56145142411236837</v>
      </c>
      <c r="O20" s="252">
        <v>0</v>
      </c>
      <c r="P20" s="250">
        <v>0.48569002547325307</v>
      </c>
      <c r="Q20" s="250">
        <v>0.97034085878707388</v>
      </c>
      <c r="R20" s="251">
        <v>0.90962099125364426</v>
      </c>
      <c r="S20" s="252">
        <v>1</v>
      </c>
      <c r="T20" s="250">
        <v>0.96306899513312338</v>
      </c>
      <c r="U20" s="274"/>
      <c r="V20" s="254">
        <v>0</v>
      </c>
      <c r="W20" s="255">
        <v>0</v>
      </c>
      <c r="X20" s="255">
        <v>0</v>
      </c>
      <c r="Y20" s="255">
        <v>0</v>
      </c>
      <c r="Z20" s="255">
        <v>0</v>
      </c>
      <c r="AA20" s="255">
        <v>0</v>
      </c>
      <c r="AB20" s="251"/>
      <c r="AC20" s="256">
        <v>0</v>
      </c>
      <c r="AD20" s="254">
        <v>0</v>
      </c>
      <c r="AE20" s="255">
        <v>9226.2000000000007</v>
      </c>
      <c r="AF20" s="255">
        <v>7343.8</v>
      </c>
      <c r="AG20" s="255">
        <v>2878</v>
      </c>
      <c r="AH20" s="257">
        <v>0</v>
      </c>
      <c r="AI20" s="257">
        <v>19448</v>
      </c>
      <c r="AJ20" s="254">
        <v>2192</v>
      </c>
      <c r="AK20" s="255">
        <v>624</v>
      </c>
      <c r="AL20" s="257">
        <v>548</v>
      </c>
      <c r="AM20" s="254">
        <v>3364</v>
      </c>
    </row>
    <row r="21" spans="1:41" s="271" customFormat="1" ht="23.45" customHeight="1">
      <c r="A21" s="259"/>
      <c r="B21" s="260" t="s">
        <v>59</v>
      </c>
      <c r="C21" s="261">
        <v>1</v>
      </c>
      <c r="D21" s="262">
        <v>1</v>
      </c>
      <c r="E21" s="262">
        <v>1</v>
      </c>
      <c r="F21" s="262">
        <v>1</v>
      </c>
      <c r="G21" s="262">
        <v>1</v>
      </c>
      <c r="H21" s="263">
        <v>1</v>
      </c>
      <c r="I21" s="262"/>
      <c r="J21" s="531">
        <v>1</v>
      </c>
      <c r="K21" s="261">
        <v>1</v>
      </c>
      <c r="L21" s="262">
        <v>1</v>
      </c>
      <c r="M21" s="262">
        <v>1</v>
      </c>
      <c r="N21" s="262">
        <v>1</v>
      </c>
      <c r="O21" s="263">
        <v>1</v>
      </c>
      <c r="P21" s="261">
        <v>1</v>
      </c>
      <c r="Q21" s="261">
        <v>1</v>
      </c>
      <c r="R21" s="262">
        <v>1</v>
      </c>
      <c r="S21" s="263">
        <v>1</v>
      </c>
      <c r="T21" s="261">
        <v>1</v>
      </c>
      <c r="U21" s="274"/>
      <c r="V21" s="265">
        <v>34499</v>
      </c>
      <c r="W21" s="266">
        <v>13695</v>
      </c>
      <c r="X21" s="266">
        <v>22995</v>
      </c>
      <c r="Y21" s="266">
        <v>9861</v>
      </c>
      <c r="Z21" s="266">
        <v>4682</v>
      </c>
      <c r="AA21" s="266">
        <v>3390</v>
      </c>
      <c r="AB21" s="262"/>
      <c r="AC21" s="267">
        <v>89122</v>
      </c>
      <c r="AD21" s="265">
        <v>680</v>
      </c>
      <c r="AE21" s="266">
        <v>18132.2</v>
      </c>
      <c r="AF21" s="266">
        <v>14174.8</v>
      </c>
      <c r="AG21" s="266">
        <v>5126</v>
      </c>
      <c r="AH21" s="268">
        <v>1929</v>
      </c>
      <c r="AI21" s="268">
        <v>40042</v>
      </c>
      <c r="AJ21" s="265">
        <v>2259</v>
      </c>
      <c r="AK21" s="266">
        <v>686</v>
      </c>
      <c r="AL21" s="268">
        <v>548</v>
      </c>
      <c r="AM21" s="265">
        <v>3493</v>
      </c>
      <c r="AN21" s="270"/>
      <c r="AO21" s="270"/>
    </row>
    <row r="22" spans="1:41" ht="13.5" customHeight="1">
      <c r="A22" s="249" t="s">
        <v>4</v>
      </c>
      <c r="B22" s="239" t="s">
        <v>53</v>
      </c>
      <c r="C22" s="241">
        <v>0.36255411255411257</v>
      </c>
      <c r="D22" s="242">
        <v>0.28044280442804426</v>
      </c>
      <c r="E22" s="242">
        <v>0.21395775941230485</v>
      </c>
      <c r="F22" s="242">
        <v>0.22458628841607564</v>
      </c>
      <c r="G22" s="242">
        <v>0.2507836990595611</v>
      </c>
      <c r="H22" s="243">
        <v>0.328125</v>
      </c>
      <c r="I22" s="242"/>
      <c r="J22" s="529">
        <v>0.29938444320089536</v>
      </c>
      <c r="K22" s="241">
        <v>0</v>
      </c>
      <c r="L22" s="242">
        <v>0</v>
      </c>
      <c r="M22" s="242">
        <v>0</v>
      </c>
      <c r="N22" s="242">
        <v>0</v>
      </c>
      <c r="O22" s="243">
        <v>0</v>
      </c>
      <c r="P22" s="241">
        <v>0</v>
      </c>
      <c r="Q22" s="241">
        <v>0</v>
      </c>
      <c r="R22" s="242">
        <v>0</v>
      </c>
      <c r="S22" s="243">
        <v>0</v>
      </c>
      <c r="T22" s="241">
        <v>0</v>
      </c>
      <c r="U22" s="274"/>
      <c r="V22" s="245">
        <v>1005</v>
      </c>
      <c r="W22" s="246">
        <v>76</v>
      </c>
      <c r="X22" s="246">
        <v>233</v>
      </c>
      <c r="Y22" s="246">
        <v>190</v>
      </c>
      <c r="Z22" s="246">
        <v>80</v>
      </c>
      <c r="AA22" s="246">
        <v>21</v>
      </c>
      <c r="AB22" s="242"/>
      <c r="AC22" s="247">
        <v>1605</v>
      </c>
      <c r="AD22" s="245">
        <v>0</v>
      </c>
      <c r="AE22" s="246">
        <v>0</v>
      </c>
      <c r="AF22" s="246">
        <v>0</v>
      </c>
      <c r="AG22" s="246">
        <v>0</v>
      </c>
      <c r="AH22" s="248">
        <v>0</v>
      </c>
      <c r="AI22" s="248">
        <v>0</v>
      </c>
      <c r="AJ22" s="245">
        <v>0</v>
      </c>
      <c r="AK22" s="246">
        <v>0</v>
      </c>
      <c r="AL22" s="248">
        <v>0</v>
      </c>
      <c r="AM22" s="245">
        <v>0</v>
      </c>
    </row>
    <row r="23" spans="1:41" ht="13.9" customHeight="1">
      <c r="A23" s="249"/>
      <c r="B23" s="239" t="s">
        <v>76</v>
      </c>
      <c r="C23" s="250">
        <v>0.29942279942279942</v>
      </c>
      <c r="D23" s="251">
        <v>0.30627306273062732</v>
      </c>
      <c r="E23" s="251">
        <v>0.22681359044995408</v>
      </c>
      <c r="F23" s="251">
        <v>0.2860520094562648</v>
      </c>
      <c r="G23" s="251">
        <v>0.26959247648902823</v>
      </c>
      <c r="H23" s="252">
        <v>0.203125</v>
      </c>
      <c r="I23" s="251"/>
      <c r="J23" s="530">
        <v>0.27998507741093082</v>
      </c>
      <c r="K23" s="250">
        <v>0</v>
      </c>
      <c r="L23" s="251">
        <v>0</v>
      </c>
      <c r="M23" s="251">
        <v>0</v>
      </c>
      <c r="N23" s="251">
        <v>0</v>
      </c>
      <c r="O23" s="252">
        <v>0</v>
      </c>
      <c r="P23" s="250">
        <v>0</v>
      </c>
      <c r="Q23" s="250">
        <v>0</v>
      </c>
      <c r="R23" s="251">
        <v>0</v>
      </c>
      <c r="S23" s="252">
        <v>0</v>
      </c>
      <c r="T23" s="250">
        <v>0</v>
      </c>
      <c r="U23" s="274"/>
      <c r="V23" s="254">
        <v>830</v>
      </c>
      <c r="W23" s="255">
        <v>83</v>
      </c>
      <c r="X23" s="255">
        <v>247</v>
      </c>
      <c r="Y23" s="255">
        <v>242</v>
      </c>
      <c r="Z23" s="255">
        <v>86</v>
      </c>
      <c r="AA23" s="255">
        <v>13</v>
      </c>
      <c r="AB23" s="251"/>
      <c r="AC23" s="256">
        <v>1501</v>
      </c>
      <c r="AD23" s="254">
        <v>0</v>
      </c>
      <c r="AE23" s="255">
        <v>0</v>
      </c>
      <c r="AF23" s="255">
        <v>0</v>
      </c>
      <c r="AG23" s="255">
        <v>0</v>
      </c>
      <c r="AH23" s="257">
        <v>0</v>
      </c>
      <c r="AI23" s="257">
        <v>0</v>
      </c>
      <c r="AJ23" s="254">
        <v>0</v>
      </c>
      <c r="AK23" s="255">
        <v>0</v>
      </c>
      <c r="AL23" s="257">
        <v>0</v>
      </c>
      <c r="AM23" s="254">
        <v>0</v>
      </c>
    </row>
    <row r="24" spans="1:41" ht="13.9" customHeight="1">
      <c r="A24" s="249"/>
      <c r="B24" s="239" t="s">
        <v>77</v>
      </c>
      <c r="C24" s="250">
        <v>0.24927849927849927</v>
      </c>
      <c r="D24" s="251">
        <v>0.2988929889298893</v>
      </c>
      <c r="E24" s="251">
        <v>0.35629017447199263</v>
      </c>
      <c r="F24" s="251">
        <v>0.3546099290780142</v>
      </c>
      <c r="G24" s="251">
        <v>0.33228840125391851</v>
      </c>
      <c r="H24" s="252">
        <v>0.46875</v>
      </c>
      <c r="I24" s="251"/>
      <c r="J24" s="530">
        <v>0.29770565193060994</v>
      </c>
      <c r="K24" s="250">
        <v>0</v>
      </c>
      <c r="L24" s="251">
        <v>0</v>
      </c>
      <c r="M24" s="251">
        <v>0</v>
      </c>
      <c r="N24" s="251">
        <v>0</v>
      </c>
      <c r="O24" s="252">
        <v>0</v>
      </c>
      <c r="P24" s="250">
        <v>0</v>
      </c>
      <c r="Q24" s="250">
        <v>0</v>
      </c>
      <c r="R24" s="251">
        <v>0</v>
      </c>
      <c r="S24" s="252">
        <v>0</v>
      </c>
      <c r="T24" s="250">
        <v>0</v>
      </c>
      <c r="U24" s="274"/>
      <c r="V24" s="254">
        <v>691</v>
      </c>
      <c r="W24" s="255">
        <v>81</v>
      </c>
      <c r="X24" s="255">
        <v>388</v>
      </c>
      <c r="Y24" s="255">
        <v>300</v>
      </c>
      <c r="Z24" s="255">
        <v>106</v>
      </c>
      <c r="AA24" s="255">
        <v>30</v>
      </c>
      <c r="AB24" s="251"/>
      <c r="AC24" s="256">
        <v>1596</v>
      </c>
      <c r="AD24" s="254">
        <v>0</v>
      </c>
      <c r="AE24" s="255">
        <v>0</v>
      </c>
      <c r="AF24" s="255">
        <v>0</v>
      </c>
      <c r="AG24" s="255">
        <v>0</v>
      </c>
      <c r="AH24" s="257">
        <v>0</v>
      </c>
      <c r="AI24" s="257">
        <v>0</v>
      </c>
      <c r="AJ24" s="254">
        <v>0</v>
      </c>
      <c r="AK24" s="255">
        <v>0</v>
      </c>
      <c r="AL24" s="257">
        <v>0</v>
      </c>
      <c r="AM24" s="254">
        <v>0</v>
      </c>
    </row>
    <row r="25" spans="1:41" ht="13.9" customHeight="1">
      <c r="A25" s="249"/>
      <c r="B25" s="239" t="s">
        <v>78</v>
      </c>
      <c r="C25" s="250">
        <v>7.864357864357864E-2</v>
      </c>
      <c r="D25" s="273">
        <v>3.6900369003690036E-3</v>
      </c>
      <c r="E25" s="251">
        <v>0.20018365472910926</v>
      </c>
      <c r="F25" s="251">
        <v>0.12647754137115838</v>
      </c>
      <c r="G25" s="251">
        <v>0.12852664576802508</v>
      </c>
      <c r="H25" s="252">
        <v>0</v>
      </c>
      <c r="I25" s="251"/>
      <c r="J25" s="530">
        <v>0.10912143256855064</v>
      </c>
      <c r="K25" s="250">
        <v>0</v>
      </c>
      <c r="L25" s="251">
        <v>0</v>
      </c>
      <c r="M25" s="251">
        <v>0</v>
      </c>
      <c r="N25" s="251">
        <v>0</v>
      </c>
      <c r="O25" s="252">
        <v>0</v>
      </c>
      <c r="P25" s="250">
        <v>0</v>
      </c>
      <c r="Q25" s="250">
        <v>0</v>
      </c>
      <c r="R25" s="251">
        <v>0</v>
      </c>
      <c r="S25" s="252">
        <v>0</v>
      </c>
      <c r="T25" s="250">
        <v>0</v>
      </c>
      <c r="U25" s="274"/>
      <c r="V25" s="254">
        <v>218</v>
      </c>
      <c r="W25" s="255">
        <v>1</v>
      </c>
      <c r="X25" s="255">
        <v>218</v>
      </c>
      <c r="Y25" s="255">
        <v>107</v>
      </c>
      <c r="Z25" s="255">
        <v>41</v>
      </c>
      <c r="AA25" s="255">
        <v>0</v>
      </c>
      <c r="AB25" s="251"/>
      <c r="AC25" s="256">
        <v>585</v>
      </c>
      <c r="AD25" s="254">
        <v>0</v>
      </c>
      <c r="AE25" s="255">
        <v>0</v>
      </c>
      <c r="AF25" s="255">
        <v>0</v>
      </c>
      <c r="AG25" s="255">
        <v>0</v>
      </c>
      <c r="AH25" s="257">
        <v>0</v>
      </c>
      <c r="AI25" s="257">
        <v>0</v>
      </c>
      <c r="AJ25" s="254">
        <v>0</v>
      </c>
      <c r="AK25" s="255">
        <v>0</v>
      </c>
      <c r="AL25" s="257">
        <v>0</v>
      </c>
      <c r="AM25" s="254">
        <v>0</v>
      </c>
    </row>
    <row r="26" spans="1:41" ht="13.9" customHeight="1">
      <c r="A26" s="249"/>
      <c r="B26" s="239" t="s">
        <v>32</v>
      </c>
      <c r="C26" s="250">
        <v>1.0101010101010102E-2</v>
      </c>
      <c r="D26" s="251">
        <v>0.11070110701107011</v>
      </c>
      <c r="E26" s="273">
        <v>2.7548209366391185E-3</v>
      </c>
      <c r="F26" s="251">
        <v>8.2742316784869974E-3</v>
      </c>
      <c r="G26" s="251">
        <v>1.8808777429467086E-2</v>
      </c>
      <c r="H26" s="252">
        <v>0</v>
      </c>
      <c r="I26" s="251"/>
      <c r="J26" s="530">
        <v>1.3803394889013243E-2</v>
      </c>
      <c r="K26" s="250">
        <v>0</v>
      </c>
      <c r="L26" s="251">
        <v>0</v>
      </c>
      <c r="M26" s="251">
        <v>0</v>
      </c>
      <c r="N26" s="251">
        <v>0</v>
      </c>
      <c r="O26" s="252">
        <v>0</v>
      </c>
      <c r="P26" s="250">
        <v>0</v>
      </c>
      <c r="Q26" s="250">
        <v>0</v>
      </c>
      <c r="R26" s="251">
        <v>0</v>
      </c>
      <c r="S26" s="252">
        <v>0</v>
      </c>
      <c r="T26" s="250">
        <v>0</v>
      </c>
      <c r="U26" s="274"/>
      <c r="V26" s="254">
        <v>28</v>
      </c>
      <c r="W26" s="255">
        <v>30</v>
      </c>
      <c r="X26" s="255">
        <v>3</v>
      </c>
      <c r="Y26" s="255">
        <v>7</v>
      </c>
      <c r="Z26" s="255">
        <v>6</v>
      </c>
      <c r="AA26" s="255">
        <v>0</v>
      </c>
      <c r="AB26" s="251"/>
      <c r="AC26" s="256">
        <v>74</v>
      </c>
      <c r="AD26" s="254">
        <v>0</v>
      </c>
      <c r="AE26" s="255">
        <v>0</v>
      </c>
      <c r="AF26" s="255">
        <v>0</v>
      </c>
      <c r="AG26" s="255">
        <v>0</v>
      </c>
      <c r="AH26" s="257">
        <v>0</v>
      </c>
      <c r="AI26" s="257">
        <v>0</v>
      </c>
      <c r="AJ26" s="254">
        <v>0</v>
      </c>
      <c r="AK26" s="255">
        <v>0</v>
      </c>
      <c r="AL26" s="257">
        <v>0</v>
      </c>
      <c r="AM26" s="254">
        <v>0</v>
      </c>
    </row>
    <row r="27" spans="1:41" ht="13.9" customHeight="1">
      <c r="A27" s="249"/>
      <c r="B27" s="239" t="s">
        <v>58</v>
      </c>
      <c r="C27" s="250">
        <v>0</v>
      </c>
      <c r="D27" s="251">
        <v>0</v>
      </c>
      <c r="E27" s="251">
        <v>0</v>
      </c>
      <c r="F27" s="251">
        <v>0</v>
      </c>
      <c r="G27" s="251">
        <v>0</v>
      </c>
      <c r="H27" s="252">
        <v>0</v>
      </c>
      <c r="I27" s="251"/>
      <c r="J27" s="530">
        <v>0</v>
      </c>
      <c r="K27" s="250">
        <v>0</v>
      </c>
      <c r="L27" s="251">
        <v>1</v>
      </c>
      <c r="M27" s="251">
        <v>1</v>
      </c>
      <c r="N27" s="251">
        <v>1</v>
      </c>
      <c r="O27" s="252">
        <v>0</v>
      </c>
      <c r="P27" s="250">
        <v>1</v>
      </c>
      <c r="Q27" s="250">
        <v>1</v>
      </c>
      <c r="R27" s="251">
        <v>1</v>
      </c>
      <c r="S27" s="252">
        <v>0</v>
      </c>
      <c r="T27" s="250">
        <v>1</v>
      </c>
      <c r="U27" s="274"/>
      <c r="V27" s="254">
        <v>0</v>
      </c>
      <c r="W27" s="255">
        <v>0</v>
      </c>
      <c r="X27" s="255">
        <v>0</v>
      </c>
      <c r="Y27" s="255">
        <v>0</v>
      </c>
      <c r="Z27" s="255">
        <v>0</v>
      </c>
      <c r="AA27" s="255">
        <v>0</v>
      </c>
      <c r="AB27" s="251"/>
      <c r="AC27" s="256">
        <v>0</v>
      </c>
      <c r="AD27" s="254">
        <v>0</v>
      </c>
      <c r="AE27" s="255">
        <v>125</v>
      </c>
      <c r="AF27" s="255">
        <v>1012</v>
      </c>
      <c r="AG27" s="255">
        <v>432</v>
      </c>
      <c r="AH27" s="257">
        <v>0</v>
      </c>
      <c r="AI27" s="257">
        <v>1569</v>
      </c>
      <c r="AJ27" s="254">
        <v>110</v>
      </c>
      <c r="AK27" s="255">
        <v>87</v>
      </c>
      <c r="AL27" s="257">
        <v>0</v>
      </c>
      <c r="AM27" s="254">
        <v>197</v>
      </c>
    </row>
    <row r="28" spans="1:41" s="271" customFormat="1" ht="23.45" customHeight="1">
      <c r="A28" s="259"/>
      <c r="B28" s="260" t="s">
        <v>59</v>
      </c>
      <c r="C28" s="261">
        <v>1</v>
      </c>
      <c r="D28" s="262">
        <v>1</v>
      </c>
      <c r="E28" s="262">
        <v>1</v>
      </c>
      <c r="F28" s="262">
        <v>1</v>
      </c>
      <c r="G28" s="262">
        <v>1</v>
      </c>
      <c r="H28" s="263">
        <v>1</v>
      </c>
      <c r="I28" s="262"/>
      <c r="J28" s="531">
        <v>1</v>
      </c>
      <c r="K28" s="261">
        <v>0</v>
      </c>
      <c r="L28" s="262">
        <v>1</v>
      </c>
      <c r="M28" s="262">
        <v>1</v>
      </c>
      <c r="N28" s="262">
        <v>1</v>
      </c>
      <c r="O28" s="263">
        <v>0</v>
      </c>
      <c r="P28" s="261">
        <v>1</v>
      </c>
      <c r="Q28" s="261">
        <v>1</v>
      </c>
      <c r="R28" s="262">
        <v>1</v>
      </c>
      <c r="S28" s="263">
        <v>0</v>
      </c>
      <c r="T28" s="261">
        <v>1</v>
      </c>
      <c r="U28" s="274"/>
      <c r="V28" s="265">
        <v>2772</v>
      </c>
      <c r="W28" s="266">
        <v>271</v>
      </c>
      <c r="X28" s="266">
        <v>1089</v>
      </c>
      <c r="Y28" s="266">
        <v>846</v>
      </c>
      <c r="Z28" s="266">
        <v>319</v>
      </c>
      <c r="AA28" s="266">
        <v>64</v>
      </c>
      <c r="AB28" s="262"/>
      <c r="AC28" s="267">
        <v>5361</v>
      </c>
      <c r="AD28" s="265">
        <v>0</v>
      </c>
      <c r="AE28" s="266">
        <v>125</v>
      </c>
      <c r="AF28" s="266">
        <v>1012</v>
      </c>
      <c r="AG28" s="266">
        <v>432</v>
      </c>
      <c r="AH28" s="268">
        <v>0</v>
      </c>
      <c r="AI28" s="268">
        <v>1569</v>
      </c>
      <c r="AJ28" s="265">
        <v>110</v>
      </c>
      <c r="AK28" s="266">
        <v>87</v>
      </c>
      <c r="AL28" s="268">
        <v>0</v>
      </c>
      <c r="AM28" s="265">
        <v>197</v>
      </c>
      <c r="AN28" s="270"/>
      <c r="AO28" s="270"/>
    </row>
    <row r="29" spans="1:41" ht="13.5" customHeight="1">
      <c r="A29" s="239" t="s">
        <v>5</v>
      </c>
      <c r="B29" s="239" t="s">
        <v>53</v>
      </c>
      <c r="C29" s="241">
        <v>0.38895859473023842</v>
      </c>
      <c r="D29" s="242">
        <v>0</v>
      </c>
      <c r="E29" s="242">
        <v>0.22642857142857142</v>
      </c>
      <c r="F29" s="242">
        <v>0</v>
      </c>
      <c r="G29" s="242">
        <v>0.25735294117647056</v>
      </c>
      <c r="H29" s="243">
        <v>0.2185430463576159</v>
      </c>
      <c r="I29" s="242"/>
      <c r="J29" s="529">
        <v>0.27374301675977653</v>
      </c>
      <c r="K29" s="241">
        <v>4.6511627906976744E-2</v>
      </c>
      <c r="L29" s="242">
        <v>0</v>
      </c>
      <c r="M29" s="242">
        <v>0</v>
      </c>
      <c r="N29" s="242">
        <v>0</v>
      </c>
      <c r="O29" s="243">
        <v>0</v>
      </c>
      <c r="P29" s="241">
        <v>5.9880239520958087E-3</v>
      </c>
      <c r="Q29" s="241">
        <v>0</v>
      </c>
      <c r="R29" s="242">
        <v>0</v>
      </c>
      <c r="S29" s="243">
        <v>0</v>
      </c>
      <c r="T29" s="241">
        <v>0</v>
      </c>
      <c r="U29" s="274"/>
      <c r="V29" s="245">
        <v>310</v>
      </c>
      <c r="W29" s="246">
        <v>0</v>
      </c>
      <c r="X29" s="246">
        <v>317</v>
      </c>
      <c r="Y29" s="246">
        <v>0</v>
      </c>
      <c r="Z29" s="246">
        <v>140</v>
      </c>
      <c r="AA29" s="246">
        <v>66</v>
      </c>
      <c r="AB29" s="242"/>
      <c r="AC29" s="247">
        <v>833</v>
      </c>
      <c r="AD29" s="245">
        <v>8</v>
      </c>
      <c r="AE29" s="246">
        <v>0</v>
      </c>
      <c r="AF29" s="246">
        <v>0</v>
      </c>
      <c r="AG29" s="246">
        <v>0</v>
      </c>
      <c r="AH29" s="246">
        <v>0</v>
      </c>
      <c r="AI29" s="247">
        <v>8</v>
      </c>
      <c r="AJ29" s="246">
        <v>0</v>
      </c>
      <c r="AK29" s="246">
        <v>0</v>
      </c>
      <c r="AL29" s="246">
        <v>0</v>
      </c>
      <c r="AM29" s="245">
        <v>0</v>
      </c>
    </row>
    <row r="30" spans="1:41" ht="13.5" customHeight="1">
      <c r="A30" s="249"/>
      <c r="B30" s="239" t="s">
        <v>76</v>
      </c>
      <c r="C30" s="250">
        <v>0.28356336260978671</v>
      </c>
      <c r="D30" s="251">
        <v>0</v>
      </c>
      <c r="E30" s="251">
        <v>0.21142857142857144</v>
      </c>
      <c r="F30" s="251">
        <v>0</v>
      </c>
      <c r="G30" s="251">
        <v>0.22426470588235295</v>
      </c>
      <c r="H30" s="252">
        <v>0.14569536423841059</v>
      </c>
      <c r="I30" s="251"/>
      <c r="J30" s="530">
        <v>0.22609267170555372</v>
      </c>
      <c r="K30" s="250">
        <v>0.19767441860465115</v>
      </c>
      <c r="L30" s="251">
        <v>0</v>
      </c>
      <c r="M30" s="251">
        <v>0</v>
      </c>
      <c r="N30" s="251">
        <v>0</v>
      </c>
      <c r="O30" s="252">
        <v>0</v>
      </c>
      <c r="P30" s="250">
        <v>2.5449101796407185E-2</v>
      </c>
      <c r="Q30" s="250">
        <v>0</v>
      </c>
      <c r="R30" s="251">
        <v>0</v>
      </c>
      <c r="S30" s="252">
        <v>0</v>
      </c>
      <c r="T30" s="250">
        <v>0</v>
      </c>
      <c r="U30" s="274"/>
      <c r="V30" s="254">
        <v>226</v>
      </c>
      <c r="W30" s="255">
        <v>0</v>
      </c>
      <c r="X30" s="255">
        <v>296</v>
      </c>
      <c r="Y30" s="255">
        <v>0</v>
      </c>
      <c r="Z30" s="255">
        <v>122</v>
      </c>
      <c r="AA30" s="255">
        <v>44</v>
      </c>
      <c r="AB30" s="251"/>
      <c r="AC30" s="256">
        <v>688</v>
      </c>
      <c r="AD30" s="254">
        <v>34</v>
      </c>
      <c r="AE30" s="255">
        <v>0</v>
      </c>
      <c r="AF30" s="255">
        <v>0</v>
      </c>
      <c r="AG30" s="255">
        <v>0</v>
      </c>
      <c r="AH30" s="255">
        <v>0</v>
      </c>
      <c r="AI30" s="256">
        <v>34</v>
      </c>
      <c r="AJ30" s="255">
        <v>0</v>
      </c>
      <c r="AK30" s="255">
        <v>0</v>
      </c>
      <c r="AL30" s="255">
        <v>0</v>
      </c>
      <c r="AM30" s="254">
        <v>0</v>
      </c>
    </row>
    <row r="31" spans="1:41" ht="13.9" customHeight="1">
      <c r="A31" s="249"/>
      <c r="B31" s="239" t="s">
        <v>77</v>
      </c>
      <c r="C31" s="250">
        <v>0.19322459222082811</v>
      </c>
      <c r="D31" s="251">
        <v>0</v>
      </c>
      <c r="E31" s="251">
        <v>0.31071428571428572</v>
      </c>
      <c r="F31" s="251">
        <v>0</v>
      </c>
      <c r="G31" s="251">
        <v>0.31985294117647056</v>
      </c>
      <c r="H31" s="252">
        <v>0.26158940397350994</v>
      </c>
      <c r="I31" s="251"/>
      <c r="J31" s="530">
        <v>0.27670062438383175</v>
      </c>
      <c r="K31" s="250">
        <v>0.40697674418604651</v>
      </c>
      <c r="L31" s="251">
        <v>0</v>
      </c>
      <c r="M31" s="251">
        <v>0</v>
      </c>
      <c r="N31" s="251">
        <v>0</v>
      </c>
      <c r="O31" s="252">
        <v>0</v>
      </c>
      <c r="P31" s="250">
        <v>5.239520958083832E-2</v>
      </c>
      <c r="Q31" s="250">
        <v>0</v>
      </c>
      <c r="R31" s="251">
        <v>0</v>
      </c>
      <c r="S31" s="252">
        <v>0</v>
      </c>
      <c r="T31" s="250">
        <v>0</v>
      </c>
      <c r="U31" s="274"/>
      <c r="V31" s="254">
        <v>154</v>
      </c>
      <c r="W31" s="255">
        <v>0</v>
      </c>
      <c r="X31" s="255">
        <v>435</v>
      </c>
      <c r="Y31" s="255">
        <v>0</v>
      </c>
      <c r="Z31" s="255">
        <v>174</v>
      </c>
      <c r="AA31" s="255">
        <v>79</v>
      </c>
      <c r="AB31" s="251"/>
      <c r="AC31" s="256">
        <v>842</v>
      </c>
      <c r="AD31" s="254">
        <v>70</v>
      </c>
      <c r="AE31" s="255">
        <v>0</v>
      </c>
      <c r="AF31" s="255">
        <v>0</v>
      </c>
      <c r="AG31" s="255">
        <v>0</v>
      </c>
      <c r="AH31" s="255">
        <v>0</v>
      </c>
      <c r="AI31" s="256">
        <v>70</v>
      </c>
      <c r="AJ31" s="255">
        <v>0</v>
      </c>
      <c r="AK31" s="255">
        <v>0</v>
      </c>
      <c r="AL31" s="255">
        <v>0</v>
      </c>
      <c r="AM31" s="254">
        <v>0</v>
      </c>
    </row>
    <row r="32" spans="1:41" ht="13.9" customHeight="1">
      <c r="A32" s="249"/>
      <c r="B32" s="239" t="s">
        <v>78</v>
      </c>
      <c r="C32" s="250">
        <v>0.1191969887076537</v>
      </c>
      <c r="D32" s="251">
        <v>0</v>
      </c>
      <c r="E32" s="251">
        <v>0.22214285714285714</v>
      </c>
      <c r="F32" s="251">
        <v>0</v>
      </c>
      <c r="G32" s="251">
        <v>0.16544117647058823</v>
      </c>
      <c r="H32" s="252">
        <v>0.28476821192052981</v>
      </c>
      <c r="I32" s="251"/>
      <c r="J32" s="530">
        <v>0.19125862635557017</v>
      </c>
      <c r="K32" s="250">
        <v>0.27906976744186046</v>
      </c>
      <c r="L32" s="251">
        <v>0</v>
      </c>
      <c r="M32" s="251">
        <v>0</v>
      </c>
      <c r="N32" s="251">
        <v>0</v>
      </c>
      <c r="O32" s="252">
        <v>0</v>
      </c>
      <c r="P32" s="250">
        <v>3.5928143712574849E-2</v>
      </c>
      <c r="Q32" s="250">
        <v>0</v>
      </c>
      <c r="R32" s="251">
        <v>0</v>
      </c>
      <c r="S32" s="252">
        <v>0</v>
      </c>
      <c r="T32" s="250">
        <v>0</v>
      </c>
      <c r="U32" s="274"/>
      <c r="V32" s="254">
        <v>95</v>
      </c>
      <c r="W32" s="255">
        <v>0</v>
      </c>
      <c r="X32" s="255">
        <v>311</v>
      </c>
      <c r="Y32" s="255">
        <v>0</v>
      </c>
      <c r="Z32" s="255">
        <v>90</v>
      </c>
      <c r="AA32" s="255">
        <v>86</v>
      </c>
      <c r="AB32" s="251"/>
      <c r="AC32" s="256">
        <v>582</v>
      </c>
      <c r="AD32" s="254">
        <v>48</v>
      </c>
      <c r="AE32" s="255">
        <v>0</v>
      </c>
      <c r="AF32" s="255">
        <v>0</v>
      </c>
      <c r="AG32" s="255">
        <v>0</v>
      </c>
      <c r="AH32" s="255">
        <v>0</v>
      </c>
      <c r="AI32" s="256">
        <v>48</v>
      </c>
      <c r="AJ32" s="255">
        <v>0</v>
      </c>
      <c r="AK32" s="255">
        <v>0</v>
      </c>
      <c r="AL32" s="255">
        <v>0</v>
      </c>
      <c r="AM32" s="254">
        <v>0</v>
      </c>
    </row>
    <row r="33" spans="1:44" ht="13.9" customHeight="1">
      <c r="A33" s="249"/>
      <c r="B33" s="239" t="s">
        <v>32</v>
      </c>
      <c r="C33" s="250">
        <v>1.5056461731493099E-2</v>
      </c>
      <c r="D33" s="251">
        <v>0</v>
      </c>
      <c r="E33" s="251">
        <v>2.9285714285714286E-2</v>
      </c>
      <c r="F33" s="251">
        <v>0</v>
      </c>
      <c r="G33" s="251">
        <v>3.3088235294117647E-2</v>
      </c>
      <c r="H33" s="252">
        <v>8.9403973509933773E-2</v>
      </c>
      <c r="I33" s="251"/>
      <c r="J33" s="530">
        <v>3.2205060795267824E-2</v>
      </c>
      <c r="K33" s="250">
        <v>6.9767441860465115E-2</v>
      </c>
      <c r="L33" s="251">
        <v>0</v>
      </c>
      <c r="M33" s="251">
        <v>0</v>
      </c>
      <c r="N33" s="251">
        <v>0</v>
      </c>
      <c r="O33" s="252">
        <v>0</v>
      </c>
      <c r="P33" s="250">
        <v>8.9820359281437123E-3</v>
      </c>
      <c r="Q33" s="250">
        <v>0</v>
      </c>
      <c r="R33" s="251">
        <v>0</v>
      </c>
      <c r="S33" s="252">
        <v>0</v>
      </c>
      <c r="T33" s="250">
        <v>0</v>
      </c>
      <c r="U33" s="274"/>
      <c r="V33" s="254">
        <v>12</v>
      </c>
      <c r="W33" s="255">
        <v>0</v>
      </c>
      <c r="X33" s="255">
        <v>41</v>
      </c>
      <c r="Y33" s="255">
        <v>0</v>
      </c>
      <c r="Z33" s="255">
        <v>18</v>
      </c>
      <c r="AA33" s="255">
        <v>27</v>
      </c>
      <c r="AB33" s="251"/>
      <c r="AC33" s="256">
        <v>98</v>
      </c>
      <c r="AD33" s="254">
        <v>12</v>
      </c>
      <c r="AE33" s="255">
        <v>0</v>
      </c>
      <c r="AF33" s="255">
        <v>0</v>
      </c>
      <c r="AG33" s="255">
        <v>0</v>
      </c>
      <c r="AH33" s="255">
        <v>0</v>
      </c>
      <c r="AI33" s="256">
        <v>12</v>
      </c>
      <c r="AJ33" s="255">
        <v>0</v>
      </c>
      <c r="AK33" s="255">
        <v>0</v>
      </c>
      <c r="AL33" s="255">
        <v>0</v>
      </c>
      <c r="AM33" s="254">
        <v>0</v>
      </c>
    </row>
    <row r="34" spans="1:44" ht="13.9" customHeight="1">
      <c r="A34" s="249"/>
      <c r="B34" s="239" t="s">
        <v>58</v>
      </c>
      <c r="C34" s="250">
        <v>0</v>
      </c>
      <c r="D34" s="251">
        <v>0</v>
      </c>
      <c r="E34" s="251">
        <v>0</v>
      </c>
      <c r="F34" s="251">
        <v>0</v>
      </c>
      <c r="G34" s="251">
        <v>0</v>
      </c>
      <c r="H34" s="252">
        <v>0</v>
      </c>
      <c r="I34" s="251"/>
      <c r="J34" s="530">
        <v>0</v>
      </c>
      <c r="K34" s="250">
        <v>0</v>
      </c>
      <c r="L34" s="251">
        <v>0</v>
      </c>
      <c r="M34" s="251">
        <v>1</v>
      </c>
      <c r="N34" s="251">
        <v>1</v>
      </c>
      <c r="O34" s="252">
        <v>0</v>
      </c>
      <c r="P34" s="250">
        <v>0.87125748502994016</v>
      </c>
      <c r="Q34" s="250">
        <v>0</v>
      </c>
      <c r="R34" s="251">
        <v>0</v>
      </c>
      <c r="S34" s="252">
        <v>0</v>
      </c>
      <c r="T34" s="250">
        <v>0</v>
      </c>
      <c r="U34" s="274"/>
      <c r="V34" s="254">
        <v>0</v>
      </c>
      <c r="W34" s="255">
        <v>0</v>
      </c>
      <c r="X34" s="255">
        <v>0</v>
      </c>
      <c r="Y34" s="255">
        <v>0</v>
      </c>
      <c r="Z34" s="255">
        <v>0</v>
      </c>
      <c r="AA34" s="255">
        <v>0</v>
      </c>
      <c r="AB34" s="251"/>
      <c r="AC34" s="256">
        <v>0</v>
      </c>
      <c r="AD34" s="254">
        <v>0</v>
      </c>
      <c r="AE34" s="255">
        <v>0</v>
      </c>
      <c r="AF34" s="255">
        <v>306</v>
      </c>
      <c r="AG34" s="255">
        <v>858</v>
      </c>
      <c r="AH34" s="255">
        <v>0</v>
      </c>
      <c r="AI34" s="256">
        <v>1164</v>
      </c>
      <c r="AJ34" s="255">
        <v>0</v>
      </c>
      <c r="AK34" s="255">
        <v>0</v>
      </c>
      <c r="AL34" s="255">
        <v>0</v>
      </c>
      <c r="AM34" s="254">
        <v>0</v>
      </c>
    </row>
    <row r="35" spans="1:44" s="271" customFormat="1" ht="23.45" customHeight="1">
      <c r="A35" s="259"/>
      <c r="B35" s="260" t="s">
        <v>59</v>
      </c>
      <c r="C35" s="261">
        <v>1</v>
      </c>
      <c r="D35" s="262">
        <v>0</v>
      </c>
      <c r="E35" s="262">
        <v>1</v>
      </c>
      <c r="F35" s="262">
        <v>0</v>
      </c>
      <c r="G35" s="262">
        <v>1</v>
      </c>
      <c r="H35" s="263">
        <v>1</v>
      </c>
      <c r="I35" s="262"/>
      <c r="J35" s="531">
        <v>1</v>
      </c>
      <c r="K35" s="261">
        <v>1</v>
      </c>
      <c r="L35" s="262">
        <v>0</v>
      </c>
      <c r="M35" s="262">
        <v>1</v>
      </c>
      <c r="N35" s="262">
        <v>1</v>
      </c>
      <c r="O35" s="263">
        <v>0</v>
      </c>
      <c r="P35" s="261">
        <v>1</v>
      </c>
      <c r="Q35" s="261">
        <v>0</v>
      </c>
      <c r="R35" s="262">
        <v>0</v>
      </c>
      <c r="S35" s="263">
        <v>0</v>
      </c>
      <c r="T35" s="261">
        <v>0</v>
      </c>
      <c r="U35" s="274"/>
      <c r="V35" s="265">
        <v>797</v>
      </c>
      <c r="W35" s="266">
        <v>0</v>
      </c>
      <c r="X35" s="266">
        <v>1400</v>
      </c>
      <c r="Y35" s="266">
        <v>0</v>
      </c>
      <c r="Z35" s="266">
        <v>544</v>
      </c>
      <c r="AA35" s="266">
        <v>302</v>
      </c>
      <c r="AB35" s="262"/>
      <c r="AC35" s="267">
        <v>3043</v>
      </c>
      <c r="AD35" s="265">
        <v>172</v>
      </c>
      <c r="AE35" s="266">
        <v>0</v>
      </c>
      <c r="AF35" s="266">
        <v>306</v>
      </c>
      <c r="AG35" s="266">
        <v>858</v>
      </c>
      <c r="AH35" s="268">
        <v>0</v>
      </c>
      <c r="AI35" s="268">
        <v>1336</v>
      </c>
      <c r="AJ35" s="265">
        <v>0</v>
      </c>
      <c r="AK35" s="266">
        <v>0</v>
      </c>
      <c r="AL35" s="268">
        <v>0</v>
      </c>
      <c r="AM35" s="265">
        <v>0</v>
      </c>
      <c r="AN35" s="270"/>
      <c r="AO35" s="270"/>
    </row>
    <row r="36" spans="1:44" s="271" customFormat="1" ht="13.5" customHeight="1">
      <c r="A36" s="239" t="s">
        <v>82</v>
      </c>
      <c r="B36" s="239" t="s">
        <v>53</v>
      </c>
      <c r="C36" s="241">
        <v>0.36485280999107939</v>
      </c>
      <c r="D36" s="242">
        <v>0</v>
      </c>
      <c r="E36" s="242">
        <v>0</v>
      </c>
      <c r="F36" s="242">
        <v>0.21787709497206703</v>
      </c>
      <c r="G36" s="242">
        <v>0</v>
      </c>
      <c r="H36" s="243">
        <v>0</v>
      </c>
      <c r="I36" s="242"/>
      <c r="J36" s="529">
        <v>0.3446153846153846</v>
      </c>
      <c r="K36" s="241">
        <v>0</v>
      </c>
      <c r="L36" s="242">
        <v>0</v>
      </c>
      <c r="M36" s="242">
        <v>0</v>
      </c>
      <c r="N36" s="242">
        <v>0</v>
      </c>
      <c r="O36" s="243">
        <v>0</v>
      </c>
      <c r="P36" s="241">
        <v>0</v>
      </c>
      <c r="Q36" s="241">
        <v>0</v>
      </c>
      <c r="R36" s="242">
        <v>0</v>
      </c>
      <c r="S36" s="243">
        <v>0</v>
      </c>
      <c r="T36" s="241">
        <v>0</v>
      </c>
      <c r="U36" s="274"/>
      <c r="V36" s="254">
        <v>409</v>
      </c>
      <c r="W36" s="255">
        <v>0</v>
      </c>
      <c r="X36" s="255">
        <v>0</v>
      </c>
      <c r="Y36" s="255">
        <v>39</v>
      </c>
      <c r="Z36" s="255">
        <v>0</v>
      </c>
      <c r="AA36" s="255">
        <v>0</v>
      </c>
      <c r="AB36" s="242"/>
      <c r="AC36" s="256">
        <v>448</v>
      </c>
      <c r="AD36" s="254">
        <v>0</v>
      </c>
      <c r="AE36" s="255">
        <v>0</v>
      </c>
      <c r="AF36" s="255">
        <v>0</v>
      </c>
      <c r="AG36" s="255">
        <v>0</v>
      </c>
      <c r="AH36" s="255">
        <v>0</v>
      </c>
      <c r="AI36" s="256">
        <v>0</v>
      </c>
      <c r="AJ36" s="255">
        <v>0</v>
      </c>
      <c r="AK36" s="255">
        <v>0</v>
      </c>
      <c r="AL36" s="255">
        <v>0</v>
      </c>
      <c r="AM36" s="254">
        <v>0</v>
      </c>
      <c r="AN36" s="209"/>
      <c r="AO36" s="209"/>
      <c r="AP36" s="80"/>
      <c r="AQ36" s="80"/>
      <c r="AR36" s="80"/>
    </row>
    <row r="37" spans="1:44" s="271" customFormat="1" ht="13.5" customHeight="1">
      <c r="A37" s="249"/>
      <c r="B37" s="239" t="s">
        <v>76</v>
      </c>
      <c r="C37" s="250">
        <v>0.27921498661909011</v>
      </c>
      <c r="D37" s="251">
        <v>0</v>
      </c>
      <c r="E37" s="251">
        <v>0</v>
      </c>
      <c r="F37" s="251">
        <v>0.35195530726256985</v>
      </c>
      <c r="G37" s="251">
        <v>0</v>
      </c>
      <c r="H37" s="252">
        <v>0</v>
      </c>
      <c r="I37" s="251"/>
      <c r="J37" s="530">
        <v>0.28923076923076924</v>
      </c>
      <c r="K37" s="250">
        <v>0</v>
      </c>
      <c r="L37" s="251">
        <v>0</v>
      </c>
      <c r="M37" s="251">
        <v>0</v>
      </c>
      <c r="N37" s="251">
        <v>0</v>
      </c>
      <c r="O37" s="252">
        <v>0</v>
      </c>
      <c r="P37" s="250">
        <v>0</v>
      </c>
      <c r="Q37" s="250">
        <v>0</v>
      </c>
      <c r="R37" s="251">
        <v>0</v>
      </c>
      <c r="S37" s="252">
        <v>0</v>
      </c>
      <c r="T37" s="250">
        <v>0</v>
      </c>
      <c r="U37" s="274"/>
      <c r="V37" s="254">
        <v>313</v>
      </c>
      <c r="W37" s="255">
        <v>0</v>
      </c>
      <c r="X37" s="255">
        <v>0</v>
      </c>
      <c r="Y37" s="255">
        <v>63</v>
      </c>
      <c r="Z37" s="255">
        <v>0</v>
      </c>
      <c r="AA37" s="255">
        <v>0</v>
      </c>
      <c r="AB37" s="251"/>
      <c r="AC37" s="256">
        <v>376</v>
      </c>
      <c r="AD37" s="254">
        <v>0</v>
      </c>
      <c r="AE37" s="255">
        <v>0</v>
      </c>
      <c r="AF37" s="255">
        <v>0</v>
      </c>
      <c r="AG37" s="255">
        <v>0</v>
      </c>
      <c r="AH37" s="255">
        <v>0</v>
      </c>
      <c r="AI37" s="256">
        <v>0</v>
      </c>
      <c r="AJ37" s="255">
        <v>0</v>
      </c>
      <c r="AK37" s="255">
        <v>0</v>
      </c>
      <c r="AL37" s="255">
        <v>0</v>
      </c>
      <c r="AM37" s="254">
        <v>0</v>
      </c>
      <c r="AN37" s="209"/>
      <c r="AO37" s="209"/>
      <c r="AP37" s="80"/>
      <c r="AQ37" s="80"/>
      <c r="AR37" s="80"/>
    </row>
    <row r="38" spans="1:44" s="271" customFormat="1" ht="13.5" customHeight="1">
      <c r="A38" s="249"/>
      <c r="B38" s="239" t="s">
        <v>77</v>
      </c>
      <c r="C38" s="250">
        <v>0.25423728813559321</v>
      </c>
      <c r="D38" s="251">
        <v>0</v>
      </c>
      <c r="E38" s="251">
        <v>0</v>
      </c>
      <c r="F38" s="251">
        <v>0.34636871508379891</v>
      </c>
      <c r="G38" s="251">
        <v>0</v>
      </c>
      <c r="H38" s="252">
        <v>0</v>
      </c>
      <c r="I38" s="251"/>
      <c r="J38" s="530">
        <v>0.26692307692307693</v>
      </c>
      <c r="K38" s="250">
        <v>0</v>
      </c>
      <c r="L38" s="251">
        <v>0</v>
      </c>
      <c r="M38" s="251">
        <v>0</v>
      </c>
      <c r="N38" s="251">
        <v>0</v>
      </c>
      <c r="O38" s="252">
        <v>0</v>
      </c>
      <c r="P38" s="250">
        <v>0</v>
      </c>
      <c r="Q38" s="250">
        <v>0</v>
      </c>
      <c r="R38" s="251">
        <v>0</v>
      </c>
      <c r="S38" s="252">
        <v>0</v>
      </c>
      <c r="T38" s="250">
        <v>0</v>
      </c>
      <c r="U38" s="274"/>
      <c r="V38" s="254">
        <v>285</v>
      </c>
      <c r="W38" s="255">
        <v>0</v>
      </c>
      <c r="X38" s="255">
        <v>0</v>
      </c>
      <c r="Y38" s="255">
        <v>62</v>
      </c>
      <c r="Z38" s="255">
        <v>0</v>
      </c>
      <c r="AA38" s="255">
        <v>0</v>
      </c>
      <c r="AB38" s="251"/>
      <c r="AC38" s="256">
        <v>347</v>
      </c>
      <c r="AD38" s="254">
        <v>0</v>
      </c>
      <c r="AE38" s="255">
        <v>0</v>
      </c>
      <c r="AF38" s="255">
        <v>0</v>
      </c>
      <c r="AG38" s="255">
        <v>0</v>
      </c>
      <c r="AH38" s="255">
        <v>0</v>
      </c>
      <c r="AI38" s="256">
        <v>0</v>
      </c>
      <c r="AJ38" s="255">
        <v>0</v>
      </c>
      <c r="AK38" s="255">
        <v>0</v>
      </c>
      <c r="AL38" s="255">
        <v>0</v>
      </c>
      <c r="AM38" s="254">
        <v>0</v>
      </c>
      <c r="AN38" s="209"/>
      <c r="AO38" s="209"/>
      <c r="AP38" s="80"/>
      <c r="AQ38" s="80"/>
      <c r="AR38" s="80"/>
    </row>
    <row r="39" spans="1:44" s="271" customFormat="1" ht="13.5" customHeight="1">
      <c r="A39" s="249"/>
      <c r="B39" s="239" t="s">
        <v>78</v>
      </c>
      <c r="C39" s="250">
        <v>0.1008028545941124</v>
      </c>
      <c r="D39" s="251">
        <v>0</v>
      </c>
      <c r="E39" s="251">
        <v>0</v>
      </c>
      <c r="F39" s="251">
        <v>3.9106145251396648E-2</v>
      </c>
      <c r="G39" s="251">
        <v>0</v>
      </c>
      <c r="H39" s="252">
        <v>0</v>
      </c>
      <c r="I39" s="251"/>
      <c r="J39" s="530">
        <v>9.2307692307692313E-2</v>
      </c>
      <c r="K39" s="250">
        <v>0</v>
      </c>
      <c r="L39" s="251">
        <v>0</v>
      </c>
      <c r="M39" s="251">
        <v>0</v>
      </c>
      <c r="N39" s="251">
        <v>0</v>
      </c>
      <c r="O39" s="252">
        <v>0</v>
      </c>
      <c r="P39" s="250">
        <v>0</v>
      </c>
      <c r="Q39" s="250">
        <v>0</v>
      </c>
      <c r="R39" s="251">
        <v>0</v>
      </c>
      <c r="S39" s="252">
        <v>0</v>
      </c>
      <c r="T39" s="250">
        <v>0</v>
      </c>
      <c r="U39" s="274"/>
      <c r="V39" s="254">
        <v>113</v>
      </c>
      <c r="W39" s="255">
        <v>0</v>
      </c>
      <c r="X39" s="255">
        <v>0</v>
      </c>
      <c r="Y39" s="255">
        <v>7</v>
      </c>
      <c r="Z39" s="255">
        <v>0</v>
      </c>
      <c r="AA39" s="255">
        <v>0</v>
      </c>
      <c r="AB39" s="251"/>
      <c r="AC39" s="256">
        <v>120</v>
      </c>
      <c r="AD39" s="254">
        <v>0</v>
      </c>
      <c r="AE39" s="255">
        <v>0</v>
      </c>
      <c r="AF39" s="255">
        <v>0</v>
      </c>
      <c r="AG39" s="255">
        <v>0</v>
      </c>
      <c r="AH39" s="255">
        <v>0</v>
      </c>
      <c r="AI39" s="256">
        <v>0</v>
      </c>
      <c r="AJ39" s="255">
        <v>0</v>
      </c>
      <c r="AK39" s="255">
        <v>0</v>
      </c>
      <c r="AL39" s="255">
        <v>0</v>
      </c>
      <c r="AM39" s="254">
        <v>0</v>
      </c>
      <c r="AN39" s="209"/>
      <c r="AO39" s="209"/>
      <c r="AP39" s="80"/>
      <c r="AQ39" s="80"/>
      <c r="AR39" s="80"/>
    </row>
    <row r="40" spans="1:44" s="271" customFormat="1" ht="13.5" customHeight="1">
      <c r="A40" s="249"/>
      <c r="B40" s="239" t="s">
        <v>32</v>
      </c>
      <c r="C40" s="272">
        <v>8.9206066012488853E-4</v>
      </c>
      <c r="D40" s="251">
        <v>0</v>
      </c>
      <c r="E40" s="251">
        <v>0</v>
      </c>
      <c r="F40" s="251">
        <v>4.4692737430167599E-2</v>
      </c>
      <c r="G40" s="251">
        <v>0</v>
      </c>
      <c r="H40" s="252">
        <v>0</v>
      </c>
      <c r="I40" s="251"/>
      <c r="J40" s="530">
        <v>6.9230769230769233E-3</v>
      </c>
      <c r="K40" s="250">
        <v>0</v>
      </c>
      <c r="L40" s="251">
        <v>0</v>
      </c>
      <c r="M40" s="251">
        <v>0</v>
      </c>
      <c r="N40" s="251">
        <v>0</v>
      </c>
      <c r="O40" s="252">
        <v>0</v>
      </c>
      <c r="P40" s="250">
        <v>0</v>
      </c>
      <c r="Q40" s="250">
        <v>0</v>
      </c>
      <c r="R40" s="251">
        <v>0</v>
      </c>
      <c r="S40" s="252">
        <v>0</v>
      </c>
      <c r="T40" s="250">
        <v>0</v>
      </c>
      <c r="U40" s="274"/>
      <c r="V40" s="254">
        <v>1</v>
      </c>
      <c r="W40" s="255">
        <v>0</v>
      </c>
      <c r="X40" s="255">
        <v>0</v>
      </c>
      <c r="Y40" s="255">
        <v>8</v>
      </c>
      <c r="Z40" s="255">
        <v>0</v>
      </c>
      <c r="AA40" s="255">
        <v>0</v>
      </c>
      <c r="AB40" s="251"/>
      <c r="AC40" s="256">
        <v>9</v>
      </c>
      <c r="AD40" s="254">
        <v>0</v>
      </c>
      <c r="AE40" s="255">
        <v>0</v>
      </c>
      <c r="AF40" s="255">
        <v>0</v>
      </c>
      <c r="AG40" s="255">
        <v>0</v>
      </c>
      <c r="AH40" s="255">
        <v>0</v>
      </c>
      <c r="AI40" s="256">
        <v>0</v>
      </c>
      <c r="AJ40" s="255">
        <v>0</v>
      </c>
      <c r="AK40" s="255">
        <v>0</v>
      </c>
      <c r="AL40" s="255">
        <v>0</v>
      </c>
      <c r="AM40" s="254">
        <v>0</v>
      </c>
      <c r="AN40" s="209"/>
      <c r="AO40" s="209"/>
      <c r="AP40" s="80"/>
      <c r="AQ40" s="80"/>
      <c r="AR40" s="80"/>
    </row>
    <row r="41" spans="1:44" s="271" customFormat="1" ht="13.5" customHeight="1">
      <c r="A41" s="249"/>
      <c r="B41" s="239" t="s">
        <v>58</v>
      </c>
      <c r="C41" s="250">
        <v>0</v>
      </c>
      <c r="D41" s="251">
        <v>0</v>
      </c>
      <c r="E41" s="251">
        <v>0</v>
      </c>
      <c r="F41" s="251">
        <v>0</v>
      </c>
      <c r="G41" s="251">
        <v>0</v>
      </c>
      <c r="H41" s="252">
        <v>0</v>
      </c>
      <c r="I41" s="251"/>
      <c r="J41" s="530">
        <v>0</v>
      </c>
      <c r="K41" s="250">
        <v>0</v>
      </c>
      <c r="L41" s="251">
        <v>0</v>
      </c>
      <c r="M41" s="251">
        <v>1</v>
      </c>
      <c r="N41" s="251">
        <v>1</v>
      </c>
      <c r="O41" s="252">
        <v>0</v>
      </c>
      <c r="P41" s="250">
        <v>1</v>
      </c>
      <c r="Q41" s="250">
        <v>0</v>
      </c>
      <c r="R41" s="251">
        <v>0</v>
      </c>
      <c r="S41" s="252">
        <v>0</v>
      </c>
      <c r="T41" s="250">
        <v>0</v>
      </c>
      <c r="U41" s="274"/>
      <c r="V41" s="254">
        <v>0</v>
      </c>
      <c r="W41" s="255">
        <v>0</v>
      </c>
      <c r="X41" s="255">
        <v>0</v>
      </c>
      <c r="Y41" s="255">
        <v>0</v>
      </c>
      <c r="Z41" s="255">
        <v>0</v>
      </c>
      <c r="AA41" s="255">
        <v>0</v>
      </c>
      <c r="AB41" s="251"/>
      <c r="AC41" s="256">
        <v>0</v>
      </c>
      <c r="AD41" s="254">
        <v>0</v>
      </c>
      <c r="AE41" s="255">
        <v>0</v>
      </c>
      <c r="AF41" s="255">
        <v>184</v>
      </c>
      <c r="AG41" s="255">
        <v>43</v>
      </c>
      <c r="AH41" s="255">
        <v>0</v>
      </c>
      <c r="AI41" s="256">
        <v>227</v>
      </c>
      <c r="AJ41" s="255">
        <v>0</v>
      </c>
      <c r="AK41" s="255">
        <v>0</v>
      </c>
      <c r="AL41" s="255">
        <v>0</v>
      </c>
      <c r="AM41" s="254">
        <v>0</v>
      </c>
      <c r="AN41" s="209"/>
      <c r="AO41" s="209"/>
      <c r="AP41" s="80"/>
      <c r="AQ41" s="80"/>
      <c r="AR41" s="80"/>
    </row>
    <row r="42" spans="1:44" s="271" customFormat="1" ht="23.45" customHeight="1">
      <c r="A42" s="259"/>
      <c r="B42" s="260" t="s">
        <v>59</v>
      </c>
      <c r="C42" s="261">
        <v>1</v>
      </c>
      <c r="D42" s="262">
        <v>0</v>
      </c>
      <c r="E42" s="262">
        <v>0</v>
      </c>
      <c r="F42" s="262">
        <v>1</v>
      </c>
      <c r="G42" s="262">
        <v>0</v>
      </c>
      <c r="H42" s="263">
        <v>0</v>
      </c>
      <c r="I42" s="262"/>
      <c r="J42" s="531">
        <v>1</v>
      </c>
      <c r="K42" s="261">
        <v>0</v>
      </c>
      <c r="L42" s="262">
        <v>0</v>
      </c>
      <c r="M42" s="262">
        <v>1</v>
      </c>
      <c r="N42" s="262">
        <v>1</v>
      </c>
      <c r="O42" s="263">
        <v>0</v>
      </c>
      <c r="P42" s="261">
        <v>1</v>
      </c>
      <c r="Q42" s="261">
        <v>0</v>
      </c>
      <c r="R42" s="262">
        <v>0</v>
      </c>
      <c r="S42" s="263">
        <v>0</v>
      </c>
      <c r="T42" s="261">
        <v>0</v>
      </c>
      <c r="U42" s="274"/>
      <c r="V42" s="265">
        <v>1121</v>
      </c>
      <c r="W42" s="266">
        <v>0</v>
      </c>
      <c r="X42" s="266">
        <v>0</v>
      </c>
      <c r="Y42" s="266">
        <v>179</v>
      </c>
      <c r="Z42" s="266">
        <v>0</v>
      </c>
      <c r="AA42" s="266">
        <v>0</v>
      </c>
      <c r="AB42" s="262"/>
      <c r="AC42" s="267">
        <v>1300</v>
      </c>
      <c r="AD42" s="265">
        <v>0</v>
      </c>
      <c r="AE42" s="266">
        <v>0</v>
      </c>
      <c r="AF42" s="266">
        <v>184</v>
      </c>
      <c r="AG42" s="266">
        <v>43</v>
      </c>
      <c r="AH42" s="268">
        <v>0</v>
      </c>
      <c r="AI42" s="268">
        <v>227</v>
      </c>
      <c r="AJ42" s="265">
        <v>0</v>
      </c>
      <c r="AK42" s="266">
        <v>0</v>
      </c>
      <c r="AL42" s="268">
        <v>0</v>
      </c>
      <c r="AM42" s="265">
        <v>0</v>
      </c>
      <c r="AN42" s="270"/>
      <c r="AO42" s="270"/>
    </row>
    <row r="43" spans="1:44" ht="13.5" customHeight="1">
      <c r="A43" s="239" t="s">
        <v>6</v>
      </c>
      <c r="B43" s="239" t="s">
        <v>53</v>
      </c>
      <c r="C43" s="241">
        <v>0.36134876698540513</v>
      </c>
      <c r="D43" s="242">
        <v>0.23697223278813237</v>
      </c>
      <c r="E43" s="242">
        <v>0.21428571428571427</v>
      </c>
      <c r="F43" s="242">
        <v>0</v>
      </c>
      <c r="G43" s="242">
        <v>0.16888888888888889</v>
      </c>
      <c r="H43" s="243">
        <v>0.27692307692307694</v>
      </c>
      <c r="I43" s="242"/>
      <c r="J43" s="529">
        <v>0.2928</v>
      </c>
      <c r="K43" s="241">
        <v>0</v>
      </c>
      <c r="L43" s="242">
        <v>0</v>
      </c>
      <c r="M43" s="242">
        <v>0</v>
      </c>
      <c r="N43" s="242">
        <v>0</v>
      </c>
      <c r="O43" s="243">
        <v>0</v>
      </c>
      <c r="P43" s="241">
        <v>0</v>
      </c>
      <c r="Q43" s="241">
        <v>0</v>
      </c>
      <c r="R43" s="242">
        <v>0</v>
      </c>
      <c r="S43" s="243">
        <v>0</v>
      </c>
      <c r="T43" s="241">
        <v>0</v>
      </c>
      <c r="U43" s="274"/>
      <c r="V43" s="245">
        <v>1436</v>
      </c>
      <c r="W43" s="246">
        <v>623</v>
      </c>
      <c r="X43" s="246">
        <v>264</v>
      </c>
      <c r="Y43" s="246">
        <v>0</v>
      </c>
      <c r="Z43" s="246">
        <v>38</v>
      </c>
      <c r="AA43" s="246">
        <v>18</v>
      </c>
      <c r="AB43" s="242"/>
      <c r="AC43" s="247">
        <v>2379</v>
      </c>
      <c r="AD43" s="245">
        <v>0</v>
      </c>
      <c r="AE43" s="246">
        <v>0</v>
      </c>
      <c r="AF43" s="246">
        <v>0</v>
      </c>
      <c r="AG43" s="246">
        <v>0</v>
      </c>
      <c r="AH43" s="246">
        <v>0</v>
      </c>
      <c r="AI43" s="247">
        <v>0</v>
      </c>
      <c r="AJ43" s="246">
        <v>0</v>
      </c>
      <c r="AK43" s="246">
        <v>0</v>
      </c>
      <c r="AL43" s="246">
        <v>0</v>
      </c>
      <c r="AM43" s="245">
        <v>0</v>
      </c>
    </row>
    <row r="44" spans="1:44" ht="13.5" customHeight="1">
      <c r="A44" s="249"/>
      <c r="B44" s="239" t="s">
        <v>76</v>
      </c>
      <c r="C44" s="250">
        <v>0.28132863613487669</v>
      </c>
      <c r="D44" s="251">
        <v>0.30315709395207302</v>
      </c>
      <c r="E44" s="251">
        <v>0.28409090909090912</v>
      </c>
      <c r="F44" s="251">
        <v>0</v>
      </c>
      <c r="G44" s="251">
        <v>0.28888888888888886</v>
      </c>
      <c r="H44" s="252">
        <v>0.36923076923076925</v>
      </c>
      <c r="I44" s="251"/>
      <c r="J44" s="530">
        <v>0.28972307692307692</v>
      </c>
      <c r="K44" s="250">
        <v>0</v>
      </c>
      <c r="L44" s="251">
        <v>0</v>
      </c>
      <c r="M44" s="251">
        <v>0</v>
      </c>
      <c r="N44" s="251">
        <v>0</v>
      </c>
      <c r="O44" s="252">
        <v>0</v>
      </c>
      <c r="P44" s="250">
        <v>0</v>
      </c>
      <c r="Q44" s="250">
        <v>0</v>
      </c>
      <c r="R44" s="251">
        <v>0</v>
      </c>
      <c r="S44" s="252">
        <v>0</v>
      </c>
      <c r="T44" s="250">
        <v>0</v>
      </c>
      <c r="U44" s="274"/>
      <c r="V44" s="254">
        <v>1118</v>
      </c>
      <c r="W44" s="255">
        <v>797</v>
      </c>
      <c r="X44" s="255">
        <v>350</v>
      </c>
      <c r="Y44" s="255">
        <v>0</v>
      </c>
      <c r="Z44" s="255">
        <v>65</v>
      </c>
      <c r="AA44" s="255">
        <v>24</v>
      </c>
      <c r="AB44" s="251"/>
      <c r="AC44" s="256">
        <v>2354</v>
      </c>
      <c r="AD44" s="254">
        <v>0</v>
      </c>
      <c r="AE44" s="255">
        <v>0</v>
      </c>
      <c r="AF44" s="255">
        <v>0</v>
      </c>
      <c r="AG44" s="255">
        <v>0</v>
      </c>
      <c r="AH44" s="255">
        <v>0</v>
      </c>
      <c r="AI44" s="256">
        <v>0</v>
      </c>
      <c r="AJ44" s="255">
        <v>0</v>
      </c>
      <c r="AK44" s="255">
        <v>0</v>
      </c>
      <c r="AL44" s="255">
        <v>0</v>
      </c>
      <c r="AM44" s="254">
        <v>0</v>
      </c>
    </row>
    <row r="45" spans="1:44" ht="13.5" customHeight="1">
      <c r="A45" s="249"/>
      <c r="B45" s="239" t="s">
        <v>77</v>
      </c>
      <c r="C45" s="250">
        <v>0.28761952692501258</v>
      </c>
      <c r="D45" s="251">
        <v>0.25865348041080261</v>
      </c>
      <c r="E45" s="251">
        <v>0.34090909090909088</v>
      </c>
      <c r="F45" s="251">
        <v>0</v>
      </c>
      <c r="G45" s="251">
        <v>0.32444444444444442</v>
      </c>
      <c r="H45" s="252">
        <v>0.33846153846153848</v>
      </c>
      <c r="I45" s="251"/>
      <c r="J45" s="530">
        <v>0.28775384615384614</v>
      </c>
      <c r="K45" s="250">
        <v>0</v>
      </c>
      <c r="L45" s="251">
        <v>0</v>
      </c>
      <c r="M45" s="251">
        <v>0</v>
      </c>
      <c r="N45" s="251">
        <v>0</v>
      </c>
      <c r="O45" s="252">
        <v>0</v>
      </c>
      <c r="P45" s="250">
        <v>0</v>
      </c>
      <c r="Q45" s="250">
        <v>0</v>
      </c>
      <c r="R45" s="251">
        <v>0</v>
      </c>
      <c r="S45" s="252">
        <v>0</v>
      </c>
      <c r="T45" s="250">
        <v>0</v>
      </c>
      <c r="U45" s="274"/>
      <c r="V45" s="254">
        <v>1143</v>
      </c>
      <c r="W45" s="255">
        <v>680</v>
      </c>
      <c r="X45" s="255">
        <v>420</v>
      </c>
      <c r="Y45" s="255">
        <v>0</v>
      </c>
      <c r="Z45" s="255">
        <v>73</v>
      </c>
      <c r="AA45" s="255">
        <v>22</v>
      </c>
      <c r="AB45" s="251"/>
      <c r="AC45" s="256">
        <v>2338</v>
      </c>
      <c r="AD45" s="254">
        <v>0</v>
      </c>
      <c r="AE45" s="255">
        <v>0</v>
      </c>
      <c r="AF45" s="255">
        <v>0</v>
      </c>
      <c r="AG45" s="255">
        <v>0</v>
      </c>
      <c r="AH45" s="255">
        <v>0</v>
      </c>
      <c r="AI45" s="256">
        <v>0</v>
      </c>
      <c r="AJ45" s="255">
        <v>0</v>
      </c>
      <c r="AK45" s="255">
        <v>0</v>
      </c>
      <c r="AL45" s="255">
        <v>0</v>
      </c>
      <c r="AM45" s="254">
        <v>0</v>
      </c>
    </row>
    <row r="46" spans="1:44" ht="13.5" customHeight="1">
      <c r="A46" s="249"/>
      <c r="B46" s="239" t="s">
        <v>78</v>
      </c>
      <c r="C46" s="250">
        <v>5.3850025163563159E-2</v>
      </c>
      <c r="D46" s="251">
        <v>0.18219855458349182</v>
      </c>
      <c r="E46" s="251">
        <v>0.13230519480519481</v>
      </c>
      <c r="F46" s="251">
        <v>0</v>
      </c>
      <c r="G46" s="251">
        <v>0.21777777777777776</v>
      </c>
      <c r="H46" s="252">
        <v>1.5384615384615385E-2</v>
      </c>
      <c r="I46" s="251"/>
      <c r="J46" s="530">
        <v>0.11150769230769231</v>
      </c>
      <c r="K46" s="250">
        <v>0</v>
      </c>
      <c r="L46" s="251">
        <v>0</v>
      </c>
      <c r="M46" s="251">
        <v>0</v>
      </c>
      <c r="N46" s="251">
        <v>0</v>
      </c>
      <c r="O46" s="252">
        <v>0</v>
      </c>
      <c r="P46" s="250">
        <v>0</v>
      </c>
      <c r="Q46" s="250">
        <v>0</v>
      </c>
      <c r="R46" s="251">
        <v>0</v>
      </c>
      <c r="S46" s="252">
        <v>0</v>
      </c>
      <c r="T46" s="250">
        <v>0</v>
      </c>
      <c r="U46" s="274"/>
      <c r="V46" s="254">
        <v>214</v>
      </c>
      <c r="W46" s="255">
        <v>479</v>
      </c>
      <c r="X46" s="255">
        <v>163</v>
      </c>
      <c r="Y46" s="255">
        <v>0</v>
      </c>
      <c r="Z46" s="255">
        <v>49</v>
      </c>
      <c r="AA46" s="255">
        <v>1</v>
      </c>
      <c r="AB46" s="251"/>
      <c r="AC46" s="256">
        <v>906</v>
      </c>
      <c r="AD46" s="254">
        <v>0</v>
      </c>
      <c r="AE46" s="255">
        <v>0</v>
      </c>
      <c r="AF46" s="255">
        <v>0</v>
      </c>
      <c r="AG46" s="255">
        <v>0</v>
      </c>
      <c r="AH46" s="255">
        <v>0</v>
      </c>
      <c r="AI46" s="256">
        <v>0</v>
      </c>
      <c r="AJ46" s="255">
        <v>0</v>
      </c>
      <c r="AK46" s="255">
        <v>0</v>
      </c>
      <c r="AL46" s="255">
        <v>0</v>
      </c>
      <c r="AM46" s="254">
        <v>0</v>
      </c>
    </row>
    <row r="47" spans="1:44" ht="13.5" customHeight="1">
      <c r="A47" s="249"/>
      <c r="B47" s="239" t="s">
        <v>32</v>
      </c>
      <c r="C47" s="250">
        <v>1.5853044791142426E-2</v>
      </c>
      <c r="D47" s="251">
        <v>1.9018638265500189E-2</v>
      </c>
      <c r="E47" s="251">
        <v>2.8409090909090908E-2</v>
      </c>
      <c r="F47" s="251">
        <v>0</v>
      </c>
      <c r="G47" s="251">
        <v>0</v>
      </c>
      <c r="H47" s="252">
        <v>0</v>
      </c>
      <c r="I47" s="251"/>
      <c r="J47" s="530">
        <v>1.8215384615384616E-2</v>
      </c>
      <c r="K47" s="250">
        <v>0</v>
      </c>
      <c r="L47" s="251">
        <v>0</v>
      </c>
      <c r="M47" s="251">
        <v>0</v>
      </c>
      <c r="N47" s="251">
        <v>0</v>
      </c>
      <c r="O47" s="252">
        <v>0</v>
      </c>
      <c r="P47" s="250">
        <v>0</v>
      </c>
      <c r="Q47" s="250">
        <v>0</v>
      </c>
      <c r="R47" s="251">
        <v>0</v>
      </c>
      <c r="S47" s="252">
        <v>0</v>
      </c>
      <c r="T47" s="250">
        <v>0</v>
      </c>
      <c r="U47" s="274"/>
      <c r="V47" s="254">
        <v>63</v>
      </c>
      <c r="W47" s="255">
        <v>50</v>
      </c>
      <c r="X47" s="255">
        <v>35</v>
      </c>
      <c r="Y47" s="255">
        <v>0</v>
      </c>
      <c r="Z47" s="255">
        <v>0</v>
      </c>
      <c r="AA47" s="255">
        <v>0</v>
      </c>
      <c r="AB47" s="251"/>
      <c r="AC47" s="256">
        <v>148</v>
      </c>
      <c r="AD47" s="254">
        <v>0</v>
      </c>
      <c r="AE47" s="255">
        <v>0</v>
      </c>
      <c r="AF47" s="255">
        <v>0</v>
      </c>
      <c r="AG47" s="255">
        <v>0</v>
      </c>
      <c r="AH47" s="255">
        <v>0</v>
      </c>
      <c r="AI47" s="256">
        <v>0</v>
      </c>
      <c r="AJ47" s="255">
        <v>0</v>
      </c>
      <c r="AK47" s="255">
        <v>0</v>
      </c>
      <c r="AL47" s="255">
        <v>0</v>
      </c>
      <c r="AM47" s="254">
        <v>0</v>
      </c>
    </row>
    <row r="48" spans="1:44" ht="13.5" customHeight="1">
      <c r="A48" s="249"/>
      <c r="B48" s="239" t="s">
        <v>58</v>
      </c>
      <c r="C48" s="250">
        <v>0</v>
      </c>
      <c r="D48" s="251">
        <v>0</v>
      </c>
      <c r="E48" s="251">
        <v>0</v>
      </c>
      <c r="F48" s="251">
        <v>0</v>
      </c>
      <c r="G48" s="251">
        <v>0</v>
      </c>
      <c r="H48" s="252">
        <v>0</v>
      </c>
      <c r="I48" s="251"/>
      <c r="J48" s="530">
        <v>0</v>
      </c>
      <c r="K48" s="250">
        <v>0</v>
      </c>
      <c r="L48" s="251">
        <v>1</v>
      </c>
      <c r="M48" s="251">
        <v>1</v>
      </c>
      <c r="N48" s="251">
        <v>1</v>
      </c>
      <c r="O48" s="252">
        <v>0</v>
      </c>
      <c r="P48" s="250">
        <v>1</v>
      </c>
      <c r="Q48" s="250">
        <v>0</v>
      </c>
      <c r="R48" s="251">
        <v>0</v>
      </c>
      <c r="S48" s="252">
        <v>0</v>
      </c>
      <c r="T48" s="250">
        <v>0</v>
      </c>
      <c r="U48" s="274"/>
      <c r="V48" s="254">
        <v>0</v>
      </c>
      <c r="W48" s="255">
        <v>0</v>
      </c>
      <c r="X48" s="255">
        <v>0</v>
      </c>
      <c r="Y48" s="255">
        <v>0</v>
      </c>
      <c r="Z48" s="255">
        <v>0</v>
      </c>
      <c r="AA48" s="255">
        <v>0</v>
      </c>
      <c r="AB48" s="251"/>
      <c r="AC48" s="256">
        <v>0</v>
      </c>
      <c r="AD48" s="254">
        <v>0</v>
      </c>
      <c r="AE48" s="255">
        <v>4174</v>
      </c>
      <c r="AF48" s="255">
        <v>785</v>
      </c>
      <c r="AG48" s="255">
        <v>112</v>
      </c>
      <c r="AH48" s="255">
        <v>0</v>
      </c>
      <c r="AI48" s="256">
        <v>5071</v>
      </c>
      <c r="AJ48" s="255">
        <v>0</v>
      </c>
      <c r="AK48" s="255">
        <v>0</v>
      </c>
      <c r="AL48" s="255">
        <v>0</v>
      </c>
      <c r="AM48" s="254">
        <v>0</v>
      </c>
    </row>
    <row r="49" spans="1:41" s="271" customFormat="1" ht="23.45" customHeight="1">
      <c r="A49" s="259"/>
      <c r="B49" s="260" t="s">
        <v>59</v>
      </c>
      <c r="C49" s="261">
        <v>1</v>
      </c>
      <c r="D49" s="262">
        <v>1</v>
      </c>
      <c r="E49" s="262">
        <v>1</v>
      </c>
      <c r="F49" s="262">
        <v>0</v>
      </c>
      <c r="G49" s="262">
        <v>1</v>
      </c>
      <c r="H49" s="263">
        <v>1</v>
      </c>
      <c r="I49" s="262"/>
      <c r="J49" s="531">
        <v>1</v>
      </c>
      <c r="K49" s="261">
        <v>0</v>
      </c>
      <c r="L49" s="262">
        <v>1</v>
      </c>
      <c r="M49" s="262">
        <v>1</v>
      </c>
      <c r="N49" s="262">
        <v>1</v>
      </c>
      <c r="O49" s="263">
        <v>0</v>
      </c>
      <c r="P49" s="261">
        <v>1</v>
      </c>
      <c r="Q49" s="261">
        <v>0</v>
      </c>
      <c r="R49" s="262">
        <v>0</v>
      </c>
      <c r="S49" s="263">
        <v>0</v>
      </c>
      <c r="T49" s="261">
        <v>0</v>
      </c>
      <c r="U49" s="274"/>
      <c r="V49" s="265">
        <v>3974</v>
      </c>
      <c r="W49" s="266">
        <v>2629</v>
      </c>
      <c r="X49" s="266">
        <v>1232</v>
      </c>
      <c r="Y49" s="266">
        <v>0</v>
      </c>
      <c r="Z49" s="266">
        <v>225</v>
      </c>
      <c r="AA49" s="266">
        <v>65</v>
      </c>
      <c r="AB49" s="262"/>
      <c r="AC49" s="267">
        <v>8125</v>
      </c>
      <c r="AD49" s="265">
        <v>0</v>
      </c>
      <c r="AE49" s="266">
        <v>4174</v>
      </c>
      <c r="AF49" s="266">
        <v>785</v>
      </c>
      <c r="AG49" s="266">
        <v>112</v>
      </c>
      <c r="AH49" s="268">
        <v>0</v>
      </c>
      <c r="AI49" s="268">
        <v>5071</v>
      </c>
      <c r="AJ49" s="265">
        <v>0</v>
      </c>
      <c r="AK49" s="266">
        <v>0</v>
      </c>
      <c r="AL49" s="268">
        <v>0</v>
      </c>
      <c r="AM49" s="265">
        <v>0</v>
      </c>
      <c r="AN49" s="270"/>
      <c r="AO49" s="270"/>
    </row>
    <row r="50" spans="1:41" ht="13.9" customHeight="1">
      <c r="A50" s="239" t="s">
        <v>7</v>
      </c>
      <c r="B50" s="239" t="s">
        <v>53</v>
      </c>
      <c r="C50" s="241">
        <v>0.34992283950617287</v>
      </c>
      <c r="D50" s="242">
        <v>0.47735618115055078</v>
      </c>
      <c r="E50" s="242">
        <v>0.26394052044609667</v>
      </c>
      <c r="F50" s="242">
        <v>0.27887492519449431</v>
      </c>
      <c r="G50" s="242">
        <v>0.27515723270440251</v>
      </c>
      <c r="H50" s="243">
        <v>0.16793893129770993</v>
      </c>
      <c r="I50" s="242"/>
      <c r="J50" s="529">
        <v>0.32657048391944693</v>
      </c>
      <c r="K50" s="241">
        <v>0.1638655462184874</v>
      </c>
      <c r="L50" s="242">
        <v>9.6317280453257784E-2</v>
      </c>
      <c r="M50" s="242">
        <v>0.16891891891891891</v>
      </c>
      <c r="N50" s="242">
        <v>0.13953488372093023</v>
      </c>
      <c r="O50" s="243">
        <v>0</v>
      </c>
      <c r="P50" s="241">
        <v>0.14221556886227546</v>
      </c>
      <c r="Q50" s="241">
        <v>0</v>
      </c>
      <c r="R50" s="242">
        <v>0</v>
      </c>
      <c r="S50" s="243">
        <v>0</v>
      </c>
      <c r="T50" s="241">
        <v>0</v>
      </c>
      <c r="U50" s="274"/>
      <c r="V50" s="245">
        <v>907</v>
      </c>
      <c r="W50" s="246">
        <v>390</v>
      </c>
      <c r="X50" s="246">
        <v>213</v>
      </c>
      <c r="Y50" s="246">
        <v>466</v>
      </c>
      <c r="Z50" s="246">
        <v>175</v>
      </c>
      <c r="AA50" s="246">
        <v>22</v>
      </c>
      <c r="AB50" s="242"/>
      <c r="AC50" s="247">
        <v>2173</v>
      </c>
      <c r="AD50" s="245">
        <v>39</v>
      </c>
      <c r="AE50" s="246">
        <v>34</v>
      </c>
      <c r="AF50" s="246">
        <v>75</v>
      </c>
      <c r="AG50" s="246">
        <v>42</v>
      </c>
      <c r="AH50" s="246">
        <v>0</v>
      </c>
      <c r="AI50" s="247">
        <v>190</v>
      </c>
      <c r="AJ50" s="246">
        <v>0</v>
      </c>
      <c r="AK50" s="246">
        <v>0</v>
      </c>
      <c r="AL50" s="246">
        <v>0</v>
      </c>
      <c r="AM50" s="245">
        <v>0</v>
      </c>
    </row>
    <row r="51" spans="1:41" ht="13.9" customHeight="1">
      <c r="A51" s="249"/>
      <c r="B51" s="239" t="s">
        <v>76</v>
      </c>
      <c r="C51" s="250">
        <v>0.31057098765432101</v>
      </c>
      <c r="D51" s="251">
        <v>0.28763769889840879</v>
      </c>
      <c r="E51" s="251">
        <v>0.30731102850061959</v>
      </c>
      <c r="F51" s="251">
        <v>0.28067025733093953</v>
      </c>
      <c r="G51" s="251">
        <v>0.33333333333333331</v>
      </c>
      <c r="H51" s="252">
        <v>0.20610687022900764</v>
      </c>
      <c r="I51" s="251"/>
      <c r="J51" s="530">
        <v>0.29996994289149381</v>
      </c>
      <c r="K51" s="250">
        <v>0.31512605042016806</v>
      </c>
      <c r="L51" s="251">
        <v>0.40793201133144474</v>
      </c>
      <c r="M51" s="251">
        <v>0.27927927927927926</v>
      </c>
      <c r="N51" s="251">
        <v>0.26578073089700999</v>
      </c>
      <c r="O51" s="252">
        <v>0</v>
      </c>
      <c r="P51" s="250">
        <v>0.31661676646706588</v>
      </c>
      <c r="Q51" s="250">
        <v>0</v>
      </c>
      <c r="R51" s="251">
        <v>0</v>
      </c>
      <c r="S51" s="252">
        <v>0</v>
      </c>
      <c r="T51" s="250">
        <v>0</v>
      </c>
      <c r="U51" s="274"/>
      <c r="V51" s="254">
        <v>805</v>
      </c>
      <c r="W51" s="255">
        <v>235</v>
      </c>
      <c r="X51" s="255">
        <v>248</v>
      </c>
      <c r="Y51" s="255">
        <v>469</v>
      </c>
      <c r="Z51" s="255">
        <v>212</v>
      </c>
      <c r="AA51" s="255">
        <v>27</v>
      </c>
      <c r="AB51" s="251"/>
      <c r="AC51" s="256">
        <v>1996</v>
      </c>
      <c r="AD51" s="254">
        <v>75</v>
      </c>
      <c r="AE51" s="255">
        <v>144</v>
      </c>
      <c r="AF51" s="255">
        <v>124</v>
      </c>
      <c r="AG51" s="255">
        <v>80</v>
      </c>
      <c r="AH51" s="255">
        <v>0</v>
      </c>
      <c r="AI51" s="256">
        <v>423</v>
      </c>
      <c r="AJ51" s="255">
        <v>0</v>
      </c>
      <c r="AK51" s="255">
        <v>0</v>
      </c>
      <c r="AL51" s="255">
        <v>0</v>
      </c>
      <c r="AM51" s="254">
        <v>0</v>
      </c>
    </row>
    <row r="52" spans="1:41" ht="13.9" customHeight="1">
      <c r="A52" s="249"/>
      <c r="B52" s="239" t="s">
        <v>77</v>
      </c>
      <c r="C52" s="250">
        <v>0.25733024691358025</v>
      </c>
      <c r="D52" s="251">
        <v>0.22888616891064872</v>
      </c>
      <c r="E52" s="251">
        <v>0.39900867410161089</v>
      </c>
      <c r="F52" s="251">
        <v>0.35667265110712149</v>
      </c>
      <c r="G52" s="251">
        <v>0.35849056603773582</v>
      </c>
      <c r="H52" s="252">
        <v>0.59541984732824427</v>
      </c>
      <c r="I52" s="251"/>
      <c r="J52" s="530">
        <v>0.31229335737902014</v>
      </c>
      <c r="K52" s="250">
        <v>0.46218487394957986</v>
      </c>
      <c r="L52" s="251">
        <v>0.25212464589235128</v>
      </c>
      <c r="M52" s="251">
        <v>0.3536036036036036</v>
      </c>
      <c r="N52" s="251">
        <v>0.42857142857142855</v>
      </c>
      <c r="O52" s="252">
        <v>0</v>
      </c>
      <c r="P52" s="250">
        <v>0.3630239520958084</v>
      </c>
      <c r="Q52" s="250">
        <v>0</v>
      </c>
      <c r="R52" s="251">
        <v>0</v>
      </c>
      <c r="S52" s="252">
        <v>0</v>
      </c>
      <c r="T52" s="250">
        <v>0</v>
      </c>
      <c r="U52" s="274"/>
      <c r="V52" s="254">
        <v>667</v>
      </c>
      <c r="W52" s="255">
        <v>187</v>
      </c>
      <c r="X52" s="255">
        <v>322</v>
      </c>
      <c r="Y52" s="255">
        <v>596</v>
      </c>
      <c r="Z52" s="255">
        <v>228</v>
      </c>
      <c r="AA52" s="255">
        <v>78</v>
      </c>
      <c r="AB52" s="251"/>
      <c r="AC52" s="256">
        <v>2078</v>
      </c>
      <c r="AD52" s="254">
        <v>110</v>
      </c>
      <c r="AE52" s="255">
        <v>89</v>
      </c>
      <c r="AF52" s="255">
        <v>157</v>
      </c>
      <c r="AG52" s="255">
        <v>129</v>
      </c>
      <c r="AH52" s="255">
        <v>0</v>
      </c>
      <c r="AI52" s="256">
        <v>485</v>
      </c>
      <c r="AJ52" s="255">
        <v>0</v>
      </c>
      <c r="AK52" s="255">
        <v>0</v>
      </c>
      <c r="AL52" s="255">
        <v>0</v>
      </c>
      <c r="AM52" s="254">
        <v>0</v>
      </c>
    </row>
    <row r="53" spans="1:41" ht="13.9" customHeight="1">
      <c r="A53" s="249"/>
      <c r="B53" s="239" t="s">
        <v>78</v>
      </c>
      <c r="C53" s="250">
        <v>4.6682098765432098E-2</v>
      </c>
      <c r="D53" s="273">
        <v>2.4479804161566705E-3</v>
      </c>
      <c r="E53" s="251">
        <v>2.7261462205700124E-2</v>
      </c>
      <c r="F53" s="251">
        <v>7.0616397366846204E-2</v>
      </c>
      <c r="G53" s="251">
        <v>3.1446540880503145E-2</v>
      </c>
      <c r="H53" s="252">
        <v>2.2900763358778626E-2</v>
      </c>
      <c r="I53" s="251"/>
      <c r="J53" s="530">
        <v>4.2981665163811245E-2</v>
      </c>
      <c r="K53" s="250">
        <v>5.8823529411764705E-2</v>
      </c>
      <c r="L53" s="251">
        <v>0.24362606232294617</v>
      </c>
      <c r="M53" s="251">
        <v>0.1981981981981982</v>
      </c>
      <c r="N53" s="251">
        <v>0.16611295681063123</v>
      </c>
      <c r="O53" s="252">
        <v>0</v>
      </c>
      <c r="P53" s="250">
        <v>0.17814371257485029</v>
      </c>
      <c r="Q53" s="250">
        <v>0</v>
      </c>
      <c r="R53" s="251">
        <v>0</v>
      </c>
      <c r="S53" s="252">
        <v>0</v>
      </c>
      <c r="T53" s="250">
        <v>0</v>
      </c>
      <c r="U53" s="274"/>
      <c r="V53" s="254">
        <v>121</v>
      </c>
      <c r="W53" s="255">
        <v>2</v>
      </c>
      <c r="X53" s="255">
        <v>22</v>
      </c>
      <c r="Y53" s="255">
        <v>118</v>
      </c>
      <c r="Z53" s="255">
        <v>20</v>
      </c>
      <c r="AA53" s="255">
        <v>3</v>
      </c>
      <c r="AB53" s="251"/>
      <c r="AC53" s="256">
        <v>286</v>
      </c>
      <c r="AD53" s="254">
        <v>14</v>
      </c>
      <c r="AE53" s="255">
        <v>86</v>
      </c>
      <c r="AF53" s="255">
        <v>88</v>
      </c>
      <c r="AG53" s="255">
        <v>50</v>
      </c>
      <c r="AH53" s="255">
        <v>0</v>
      </c>
      <c r="AI53" s="256">
        <v>238</v>
      </c>
      <c r="AJ53" s="255">
        <v>0</v>
      </c>
      <c r="AK53" s="255">
        <v>0</v>
      </c>
      <c r="AL53" s="255">
        <v>0</v>
      </c>
      <c r="AM53" s="254">
        <v>0</v>
      </c>
    </row>
    <row r="54" spans="1:41" ht="13.9" customHeight="1">
      <c r="A54" s="249"/>
      <c r="B54" s="239" t="s">
        <v>32</v>
      </c>
      <c r="C54" s="250">
        <v>3.5493827160493825E-2</v>
      </c>
      <c r="D54" s="273">
        <v>3.6719706242350062E-3</v>
      </c>
      <c r="E54" s="273">
        <v>2.4783147459727386E-3</v>
      </c>
      <c r="F54" s="251">
        <v>1.3165769000598444E-2</v>
      </c>
      <c r="G54" s="273">
        <v>1.5723270440251573E-3</v>
      </c>
      <c r="H54" s="252">
        <v>7.6335877862595417E-3</v>
      </c>
      <c r="I54" s="251"/>
      <c r="J54" s="530">
        <v>1.8184550646227832E-2</v>
      </c>
      <c r="K54" s="250">
        <v>0</v>
      </c>
      <c r="L54" s="251">
        <v>0</v>
      </c>
      <c r="M54" s="251">
        <v>0</v>
      </c>
      <c r="N54" s="251">
        <v>0</v>
      </c>
      <c r="O54" s="252">
        <v>0</v>
      </c>
      <c r="P54" s="250">
        <v>0</v>
      </c>
      <c r="Q54" s="250">
        <v>0</v>
      </c>
      <c r="R54" s="251">
        <v>0</v>
      </c>
      <c r="S54" s="252">
        <v>0</v>
      </c>
      <c r="T54" s="250">
        <v>0</v>
      </c>
      <c r="U54" s="274"/>
      <c r="V54" s="254">
        <v>92</v>
      </c>
      <c r="W54" s="255">
        <v>3</v>
      </c>
      <c r="X54" s="255">
        <v>2</v>
      </c>
      <c r="Y54" s="255">
        <v>22</v>
      </c>
      <c r="Z54" s="255">
        <v>1</v>
      </c>
      <c r="AA54" s="255">
        <v>1</v>
      </c>
      <c r="AB54" s="251"/>
      <c r="AC54" s="256">
        <v>121</v>
      </c>
      <c r="AD54" s="254">
        <v>0</v>
      </c>
      <c r="AE54" s="255">
        <v>0</v>
      </c>
      <c r="AF54" s="255">
        <v>0</v>
      </c>
      <c r="AG54" s="255">
        <v>0</v>
      </c>
      <c r="AH54" s="255">
        <v>0</v>
      </c>
      <c r="AI54" s="256">
        <v>0</v>
      </c>
      <c r="AJ54" s="255">
        <v>0</v>
      </c>
      <c r="AK54" s="255">
        <v>0</v>
      </c>
      <c r="AL54" s="255">
        <v>0</v>
      </c>
      <c r="AM54" s="254">
        <v>0</v>
      </c>
    </row>
    <row r="55" spans="1:41" ht="13.9" customHeight="1">
      <c r="A55" s="249"/>
      <c r="B55" s="239" t="s">
        <v>58</v>
      </c>
      <c r="C55" s="250">
        <v>0</v>
      </c>
      <c r="D55" s="251">
        <v>0</v>
      </c>
      <c r="E55" s="251">
        <v>0</v>
      </c>
      <c r="F55" s="251">
        <v>0</v>
      </c>
      <c r="G55" s="251">
        <v>0</v>
      </c>
      <c r="H55" s="252">
        <v>0</v>
      </c>
      <c r="I55" s="251"/>
      <c r="J55" s="530">
        <v>0</v>
      </c>
      <c r="K55" s="250">
        <v>0</v>
      </c>
      <c r="L55" s="251">
        <v>0</v>
      </c>
      <c r="M55" s="251">
        <v>0</v>
      </c>
      <c r="N55" s="251">
        <v>0</v>
      </c>
      <c r="O55" s="252">
        <v>0</v>
      </c>
      <c r="P55" s="250">
        <v>0</v>
      </c>
      <c r="Q55" s="250">
        <v>1</v>
      </c>
      <c r="R55" s="251">
        <v>1</v>
      </c>
      <c r="S55" s="252">
        <v>0</v>
      </c>
      <c r="T55" s="250">
        <v>1</v>
      </c>
      <c r="U55" s="274"/>
      <c r="V55" s="254">
        <v>0</v>
      </c>
      <c r="W55" s="255">
        <v>0</v>
      </c>
      <c r="X55" s="255">
        <v>0</v>
      </c>
      <c r="Y55" s="255">
        <v>0</v>
      </c>
      <c r="Z55" s="255">
        <v>0</v>
      </c>
      <c r="AA55" s="255">
        <v>0</v>
      </c>
      <c r="AB55" s="251"/>
      <c r="AC55" s="256">
        <v>0</v>
      </c>
      <c r="AD55" s="254">
        <v>0</v>
      </c>
      <c r="AE55" s="255">
        <v>0</v>
      </c>
      <c r="AF55" s="255">
        <v>0</v>
      </c>
      <c r="AG55" s="255">
        <v>0</v>
      </c>
      <c r="AH55" s="255">
        <v>0</v>
      </c>
      <c r="AI55" s="256">
        <v>0</v>
      </c>
      <c r="AJ55" s="255">
        <v>1991</v>
      </c>
      <c r="AK55" s="255">
        <v>91</v>
      </c>
      <c r="AL55" s="255">
        <v>0</v>
      </c>
      <c r="AM55" s="254">
        <v>2082</v>
      </c>
    </row>
    <row r="56" spans="1:41" s="271" customFormat="1" ht="23.45" customHeight="1">
      <c r="A56" s="259"/>
      <c r="B56" s="260" t="s">
        <v>59</v>
      </c>
      <c r="C56" s="261">
        <v>1</v>
      </c>
      <c r="D56" s="262">
        <v>1</v>
      </c>
      <c r="E56" s="262">
        <v>1</v>
      </c>
      <c r="F56" s="262">
        <v>1</v>
      </c>
      <c r="G56" s="262">
        <v>1</v>
      </c>
      <c r="H56" s="263">
        <v>1</v>
      </c>
      <c r="I56" s="262"/>
      <c r="J56" s="531">
        <v>1</v>
      </c>
      <c r="K56" s="261">
        <v>1</v>
      </c>
      <c r="L56" s="262">
        <v>1</v>
      </c>
      <c r="M56" s="262">
        <v>1</v>
      </c>
      <c r="N56" s="262">
        <v>1</v>
      </c>
      <c r="O56" s="263">
        <v>0</v>
      </c>
      <c r="P56" s="261">
        <v>1</v>
      </c>
      <c r="Q56" s="261">
        <v>1</v>
      </c>
      <c r="R56" s="262">
        <v>1</v>
      </c>
      <c r="S56" s="263">
        <v>0</v>
      </c>
      <c r="T56" s="261">
        <v>1</v>
      </c>
      <c r="U56" s="274"/>
      <c r="V56" s="265">
        <v>2592</v>
      </c>
      <c r="W56" s="266">
        <v>817</v>
      </c>
      <c r="X56" s="266">
        <v>807</v>
      </c>
      <c r="Y56" s="266">
        <v>1671</v>
      </c>
      <c r="Z56" s="266">
        <v>636</v>
      </c>
      <c r="AA56" s="266">
        <v>131</v>
      </c>
      <c r="AB56" s="262"/>
      <c r="AC56" s="267">
        <v>6654</v>
      </c>
      <c r="AD56" s="265">
        <v>238</v>
      </c>
      <c r="AE56" s="266">
        <v>353</v>
      </c>
      <c r="AF56" s="266">
        <v>444</v>
      </c>
      <c r="AG56" s="266">
        <v>301</v>
      </c>
      <c r="AH56" s="268">
        <v>0</v>
      </c>
      <c r="AI56" s="268">
        <v>1336</v>
      </c>
      <c r="AJ56" s="265">
        <v>1991</v>
      </c>
      <c r="AK56" s="266">
        <v>91</v>
      </c>
      <c r="AL56" s="268">
        <v>0</v>
      </c>
      <c r="AM56" s="265">
        <v>2082</v>
      </c>
      <c r="AN56" s="270"/>
      <c r="AO56" s="270"/>
    </row>
    <row r="57" spans="1:41" ht="13.9" customHeight="1">
      <c r="A57" s="239" t="s">
        <v>8</v>
      </c>
      <c r="B57" s="239" t="s">
        <v>53</v>
      </c>
      <c r="C57" s="241">
        <v>0.36727879799666108</v>
      </c>
      <c r="D57" s="242">
        <v>0.40326633165829145</v>
      </c>
      <c r="E57" s="242">
        <v>0.23978685612788633</v>
      </c>
      <c r="F57" s="242">
        <v>0.19204545454545455</v>
      </c>
      <c r="G57" s="242">
        <v>0.19736842105263158</v>
      </c>
      <c r="H57" s="243">
        <v>0</v>
      </c>
      <c r="I57" s="242"/>
      <c r="J57" s="529">
        <v>0.28950159066808057</v>
      </c>
      <c r="K57" s="241">
        <v>0</v>
      </c>
      <c r="L57" s="242">
        <v>0.24373956594323873</v>
      </c>
      <c r="M57" s="242">
        <v>0.32637571157495254</v>
      </c>
      <c r="N57" s="242">
        <v>0.3383838383838384</v>
      </c>
      <c r="O57" s="243">
        <v>0</v>
      </c>
      <c r="P57" s="241">
        <v>0.3009184224743382</v>
      </c>
      <c r="Q57" s="241">
        <v>7.4626865671641784E-2</v>
      </c>
      <c r="R57" s="242">
        <v>0.14516129032258066</v>
      </c>
      <c r="S57" s="243">
        <v>0</v>
      </c>
      <c r="T57" s="241">
        <v>0.10852713178294573</v>
      </c>
      <c r="U57" s="274"/>
      <c r="V57" s="245">
        <v>440</v>
      </c>
      <c r="W57" s="246">
        <v>321</v>
      </c>
      <c r="X57" s="246">
        <v>405</v>
      </c>
      <c r="Y57" s="246">
        <v>169</v>
      </c>
      <c r="Z57" s="246">
        <v>30</v>
      </c>
      <c r="AA57" s="246">
        <v>0</v>
      </c>
      <c r="AB57" s="242"/>
      <c r="AC57" s="247">
        <v>1365</v>
      </c>
      <c r="AD57" s="245">
        <v>0</v>
      </c>
      <c r="AE57" s="246">
        <v>146</v>
      </c>
      <c r="AF57" s="246">
        <v>344</v>
      </c>
      <c r="AG57" s="246">
        <v>67</v>
      </c>
      <c r="AH57" s="246">
        <v>0</v>
      </c>
      <c r="AI57" s="247">
        <v>557</v>
      </c>
      <c r="AJ57" s="246">
        <v>5</v>
      </c>
      <c r="AK57" s="246">
        <v>9</v>
      </c>
      <c r="AL57" s="246">
        <v>0</v>
      </c>
      <c r="AM57" s="245">
        <v>14</v>
      </c>
    </row>
    <row r="58" spans="1:41" ht="13.9" customHeight="1">
      <c r="A58" s="249"/>
      <c r="B58" s="239" t="s">
        <v>76</v>
      </c>
      <c r="C58" s="250">
        <v>0.36143572621035058</v>
      </c>
      <c r="D58" s="251">
        <v>0.27010050251256279</v>
      </c>
      <c r="E58" s="251">
        <v>0.25518058022498519</v>
      </c>
      <c r="F58" s="251">
        <v>0.2340909090909091</v>
      </c>
      <c r="G58" s="251">
        <v>0.30921052631578949</v>
      </c>
      <c r="H58" s="252">
        <v>0</v>
      </c>
      <c r="I58" s="251"/>
      <c r="J58" s="530">
        <v>0.28250265111346767</v>
      </c>
      <c r="K58" s="250">
        <v>0</v>
      </c>
      <c r="L58" s="251">
        <v>0.38230383973288817</v>
      </c>
      <c r="M58" s="251">
        <v>0.29981024667931688</v>
      </c>
      <c r="N58" s="251">
        <v>0.2878787878787879</v>
      </c>
      <c r="O58" s="252">
        <v>0</v>
      </c>
      <c r="P58" s="250">
        <v>0.32522960561858455</v>
      </c>
      <c r="Q58" s="250">
        <v>0.17910447761194029</v>
      </c>
      <c r="R58" s="251">
        <v>0.14516129032258066</v>
      </c>
      <c r="S58" s="252">
        <v>0</v>
      </c>
      <c r="T58" s="250">
        <v>0.16279069767441862</v>
      </c>
      <c r="U58" s="274"/>
      <c r="V58" s="254">
        <v>433</v>
      </c>
      <c r="W58" s="255">
        <v>215</v>
      </c>
      <c r="X58" s="255">
        <v>431</v>
      </c>
      <c r="Y58" s="255">
        <v>206</v>
      </c>
      <c r="Z58" s="255">
        <v>47</v>
      </c>
      <c r="AA58" s="255">
        <v>0</v>
      </c>
      <c r="AB58" s="251"/>
      <c r="AC58" s="256">
        <v>1332</v>
      </c>
      <c r="AD58" s="254">
        <v>0</v>
      </c>
      <c r="AE58" s="255">
        <v>229</v>
      </c>
      <c r="AF58" s="255">
        <v>316</v>
      </c>
      <c r="AG58" s="255">
        <v>57</v>
      </c>
      <c r="AH58" s="255">
        <v>0</v>
      </c>
      <c r="AI58" s="256">
        <v>602</v>
      </c>
      <c r="AJ58" s="255">
        <v>12</v>
      </c>
      <c r="AK58" s="255">
        <v>9</v>
      </c>
      <c r="AL58" s="255">
        <v>0</v>
      </c>
      <c r="AM58" s="254">
        <v>21</v>
      </c>
    </row>
    <row r="59" spans="1:41" ht="13.9" customHeight="1">
      <c r="A59" s="249"/>
      <c r="B59" s="239" t="s">
        <v>77</v>
      </c>
      <c r="C59" s="250">
        <v>0.2036727879799666</v>
      </c>
      <c r="D59" s="251">
        <v>0.24748743718592964</v>
      </c>
      <c r="E59" s="251">
        <v>0.31379514505624628</v>
      </c>
      <c r="F59" s="251">
        <v>0.30227272727272725</v>
      </c>
      <c r="G59" s="251">
        <v>0.39473684210526316</v>
      </c>
      <c r="H59" s="252">
        <v>0</v>
      </c>
      <c r="I59" s="251"/>
      <c r="J59" s="530">
        <v>0.27507953340402969</v>
      </c>
      <c r="K59" s="250">
        <v>0</v>
      </c>
      <c r="L59" s="251">
        <v>0.16193656093489148</v>
      </c>
      <c r="M59" s="251">
        <v>0.19354838709677419</v>
      </c>
      <c r="N59" s="251">
        <v>0.24747474747474749</v>
      </c>
      <c r="O59" s="252">
        <v>0</v>
      </c>
      <c r="P59" s="250">
        <v>0.18908698001080498</v>
      </c>
      <c r="Q59" s="250">
        <v>0.32835820895522388</v>
      </c>
      <c r="R59" s="251">
        <v>0.24193548387096775</v>
      </c>
      <c r="S59" s="252">
        <v>0</v>
      </c>
      <c r="T59" s="250">
        <v>0.2868217054263566</v>
      </c>
      <c r="U59" s="274"/>
      <c r="V59" s="254">
        <v>244</v>
      </c>
      <c r="W59" s="255">
        <v>197</v>
      </c>
      <c r="X59" s="255">
        <v>530</v>
      </c>
      <c r="Y59" s="255">
        <v>266</v>
      </c>
      <c r="Z59" s="255">
        <v>60</v>
      </c>
      <c r="AA59" s="255">
        <v>0</v>
      </c>
      <c r="AB59" s="251"/>
      <c r="AC59" s="256">
        <v>1297</v>
      </c>
      <c r="AD59" s="254">
        <v>0</v>
      </c>
      <c r="AE59" s="255">
        <v>97</v>
      </c>
      <c r="AF59" s="255">
        <v>204</v>
      </c>
      <c r="AG59" s="255">
        <v>49</v>
      </c>
      <c r="AH59" s="255">
        <v>0</v>
      </c>
      <c r="AI59" s="256">
        <v>350</v>
      </c>
      <c r="AJ59" s="255">
        <v>22</v>
      </c>
      <c r="AK59" s="255">
        <v>15</v>
      </c>
      <c r="AL59" s="255">
        <v>0</v>
      </c>
      <c r="AM59" s="254">
        <v>37</v>
      </c>
    </row>
    <row r="60" spans="1:41" ht="13.9" customHeight="1">
      <c r="A60" s="249"/>
      <c r="B60" s="239" t="s">
        <v>78</v>
      </c>
      <c r="C60" s="272">
        <v>3.3388981636060101E-3</v>
      </c>
      <c r="D60" s="251">
        <v>6.6582914572864318E-2</v>
      </c>
      <c r="E60" s="251">
        <v>0.10597986974541149</v>
      </c>
      <c r="F60" s="251">
        <v>6.8181818181818177E-2</v>
      </c>
      <c r="G60" s="251">
        <v>9.8684210526315791E-2</v>
      </c>
      <c r="H60" s="252">
        <v>0</v>
      </c>
      <c r="I60" s="251"/>
      <c r="J60" s="530">
        <v>6.5959703075291629E-2</v>
      </c>
      <c r="K60" s="250">
        <v>0</v>
      </c>
      <c r="L60" s="251">
        <v>0.21202003338898165</v>
      </c>
      <c r="M60" s="251">
        <v>0.18026565464895636</v>
      </c>
      <c r="N60" s="251">
        <v>0.12626262626262627</v>
      </c>
      <c r="O60" s="252">
        <v>0</v>
      </c>
      <c r="P60" s="250">
        <v>0.1847649918962723</v>
      </c>
      <c r="Q60" s="250">
        <v>0.41791044776119401</v>
      </c>
      <c r="R60" s="251">
        <v>0.46774193548387094</v>
      </c>
      <c r="S60" s="252">
        <v>0</v>
      </c>
      <c r="T60" s="250">
        <v>0.44186046511627908</v>
      </c>
      <c r="U60" s="274"/>
      <c r="V60" s="254">
        <v>4</v>
      </c>
      <c r="W60" s="255">
        <v>53</v>
      </c>
      <c r="X60" s="255">
        <v>179</v>
      </c>
      <c r="Y60" s="255">
        <v>60</v>
      </c>
      <c r="Z60" s="255">
        <v>15</v>
      </c>
      <c r="AA60" s="255">
        <v>0</v>
      </c>
      <c r="AB60" s="251"/>
      <c r="AC60" s="256">
        <v>311</v>
      </c>
      <c r="AD60" s="254">
        <v>0</v>
      </c>
      <c r="AE60" s="255">
        <v>127</v>
      </c>
      <c r="AF60" s="255">
        <v>190</v>
      </c>
      <c r="AG60" s="255">
        <v>25</v>
      </c>
      <c r="AH60" s="255">
        <v>0</v>
      </c>
      <c r="AI60" s="256">
        <v>342</v>
      </c>
      <c r="AJ60" s="255">
        <v>28</v>
      </c>
      <c r="AK60" s="255">
        <v>29</v>
      </c>
      <c r="AL60" s="255">
        <v>0</v>
      </c>
      <c r="AM60" s="254">
        <v>57</v>
      </c>
    </row>
    <row r="61" spans="1:41" ht="13.9" customHeight="1">
      <c r="A61" s="249"/>
      <c r="B61" s="239" t="s">
        <v>32</v>
      </c>
      <c r="C61" s="250">
        <v>6.42737896494157E-2</v>
      </c>
      <c r="D61" s="251">
        <v>1.2562814070351759E-2</v>
      </c>
      <c r="E61" s="251">
        <v>8.5257548845470696E-2</v>
      </c>
      <c r="F61" s="251">
        <v>0.2034090909090909</v>
      </c>
      <c r="G61" s="251">
        <v>0</v>
      </c>
      <c r="H61" s="252">
        <v>0</v>
      </c>
      <c r="I61" s="251"/>
      <c r="J61" s="530">
        <v>8.6956521739130432E-2</v>
      </c>
      <c r="K61" s="250">
        <v>0</v>
      </c>
      <c r="L61" s="251">
        <v>0</v>
      </c>
      <c r="M61" s="251">
        <v>0</v>
      </c>
      <c r="N61" s="251">
        <v>0</v>
      </c>
      <c r="O61" s="252">
        <v>0</v>
      </c>
      <c r="P61" s="250">
        <v>0</v>
      </c>
      <c r="Q61" s="250">
        <v>0</v>
      </c>
      <c r="R61" s="251">
        <v>0</v>
      </c>
      <c r="S61" s="252">
        <v>0</v>
      </c>
      <c r="T61" s="250">
        <v>0</v>
      </c>
      <c r="U61" s="274"/>
      <c r="V61" s="254">
        <v>77</v>
      </c>
      <c r="W61" s="255">
        <v>10</v>
      </c>
      <c r="X61" s="255">
        <v>144</v>
      </c>
      <c r="Y61" s="255">
        <v>179</v>
      </c>
      <c r="Z61" s="255">
        <v>0</v>
      </c>
      <c r="AA61" s="255">
        <v>0</v>
      </c>
      <c r="AB61" s="251"/>
      <c r="AC61" s="256">
        <v>410</v>
      </c>
      <c r="AD61" s="254">
        <v>0</v>
      </c>
      <c r="AE61" s="255">
        <v>0</v>
      </c>
      <c r="AF61" s="255">
        <v>0</v>
      </c>
      <c r="AG61" s="255">
        <v>0</v>
      </c>
      <c r="AH61" s="255">
        <v>0</v>
      </c>
      <c r="AI61" s="256">
        <v>0</v>
      </c>
      <c r="AJ61" s="255">
        <v>0</v>
      </c>
      <c r="AK61" s="255">
        <v>0</v>
      </c>
      <c r="AL61" s="255">
        <v>0</v>
      </c>
      <c r="AM61" s="254">
        <v>0</v>
      </c>
    </row>
    <row r="62" spans="1:41" ht="13.9" customHeight="1">
      <c r="A62" s="249"/>
      <c r="B62" s="239" t="s">
        <v>58</v>
      </c>
      <c r="C62" s="250">
        <v>0</v>
      </c>
      <c r="D62" s="251">
        <v>0</v>
      </c>
      <c r="E62" s="251">
        <v>0</v>
      </c>
      <c r="F62" s="251">
        <v>0</v>
      </c>
      <c r="G62" s="251">
        <v>0</v>
      </c>
      <c r="H62" s="252">
        <v>0</v>
      </c>
      <c r="I62" s="251"/>
      <c r="J62" s="530">
        <v>0</v>
      </c>
      <c r="K62" s="250">
        <v>0</v>
      </c>
      <c r="L62" s="251">
        <v>0</v>
      </c>
      <c r="M62" s="251">
        <v>0</v>
      </c>
      <c r="N62" s="251">
        <v>0</v>
      </c>
      <c r="O62" s="252">
        <v>0</v>
      </c>
      <c r="P62" s="250">
        <v>0</v>
      </c>
      <c r="Q62" s="250">
        <v>0</v>
      </c>
      <c r="R62" s="251">
        <v>0</v>
      </c>
      <c r="S62" s="252">
        <v>0</v>
      </c>
      <c r="T62" s="250">
        <v>0</v>
      </c>
      <c r="U62" s="274"/>
      <c r="V62" s="254">
        <v>0</v>
      </c>
      <c r="W62" s="255">
        <v>0</v>
      </c>
      <c r="X62" s="255">
        <v>0</v>
      </c>
      <c r="Y62" s="255">
        <v>0</v>
      </c>
      <c r="Z62" s="255">
        <v>0</v>
      </c>
      <c r="AA62" s="255">
        <v>0</v>
      </c>
      <c r="AB62" s="251"/>
      <c r="AC62" s="256">
        <v>0</v>
      </c>
      <c r="AD62" s="254">
        <v>0</v>
      </c>
      <c r="AE62" s="255">
        <v>0</v>
      </c>
      <c r="AF62" s="255">
        <v>0</v>
      </c>
      <c r="AG62" s="255">
        <v>0</v>
      </c>
      <c r="AH62" s="255">
        <v>0</v>
      </c>
      <c r="AI62" s="256">
        <v>0</v>
      </c>
      <c r="AJ62" s="255">
        <v>0</v>
      </c>
      <c r="AK62" s="255">
        <v>0</v>
      </c>
      <c r="AL62" s="255">
        <v>0</v>
      </c>
      <c r="AM62" s="254">
        <v>0</v>
      </c>
    </row>
    <row r="63" spans="1:41" s="271" customFormat="1" ht="23.45" customHeight="1">
      <c r="A63" s="259"/>
      <c r="B63" s="260" t="s">
        <v>59</v>
      </c>
      <c r="C63" s="261">
        <v>1</v>
      </c>
      <c r="D63" s="262">
        <v>1</v>
      </c>
      <c r="E63" s="262">
        <v>1</v>
      </c>
      <c r="F63" s="262">
        <v>1</v>
      </c>
      <c r="G63" s="262">
        <v>1</v>
      </c>
      <c r="H63" s="263">
        <v>0</v>
      </c>
      <c r="I63" s="262"/>
      <c r="J63" s="531">
        <v>1</v>
      </c>
      <c r="K63" s="261">
        <v>0</v>
      </c>
      <c r="L63" s="262">
        <v>1</v>
      </c>
      <c r="M63" s="262">
        <v>1</v>
      </c>
      <c r="N63" s="262">
        <v>1</v>
      </c>
      <c r="O63" s="263">
        <v>0</v>
      </c>
      <c r="P63" s="261">
        <v>1</v>
      </c>
      <c r="Q63" s="261">
        <v>1</v>
      </c>
      <c r="R63" s="262">
        <v>1</v>
      </c>
      <c r="S63" s="263">
        <v>0</v>
      </c>
      <c r="T63" s="261">
        <v>1</v>
      </c>
      <c r="U63" s="274"/>
      <c r="V63" s="265">
        <v>1198</v>
      </c>
      <c r="W63" s="266">
        <v>796</v>
      </c>
      <c r="X63" s="266">
        <v>1689</v>
      </c>
      <c r="Y63" s="266">
        <v>880</v>
      </c>
      <c r="Z63" s="266">
        <v>152</v>
      </c>
      <c r="AA63" s="266">
        <v>0</v>
      </c>
      <c r="AB63" s="262"/>
      <c r="AC63" s="267">
        <v>4715</v>
      </c>
      <c r="AD63" s="265">
        <v>0</v>
      </c>
      <c r="AE63" s="266">
        <v>599</v>
      </c>
      <c r="AF63" s="266">
        <v>1054</v>
      </c>
      <c r="AG63" s="266">
        <v>198</v>
      </c>
      <c r="AH63" s="268">
        <v>0</v>
      </c>
      <c r="AI63" s="268">
        <v>1851</v>
      </c>
      <c r="AJ63" s="265">
        <v>67</v>
      </c>
      <c r="AK63" s="266">
        <v>62</v>
      </c>
      <c r="AL63" s="268">
        <v>0</v>
      </c>
      <c r="AM63" s="265">
        <v>129</v>
      </c>
      <c r="AN63" s="270"/>
      <c r="AO63" s="270"/>
    </row>
    <row r="64" spans="1:41" ht="13.9" customHeight="1">
      <c r="A64" s="239" t="s">
        <v>9</v>
      </c>
      <c r="B64" s="239" t="s">
        <v>53</v>
      </c>
      <c r="C64" s="241">
        <v>0.35423197492163011</v>
      </c>
      <c r="D64" s="242">
        <v>0.32182835820895522</v>
      </c>
      <c r="E64" s="242">
        <v>0.23643724696356275</v>
      </c>
      <c r="F64" s="242">
        <v>0.20405405405405405</v>
      </c>
      <c r="G64" s="242">
        <v>0.16444444444444445</v>
      </c>
      <c r="H64" s="243">
        <v>0</v>
      </c>
      <c r="I64" s="242"/>
      <c r="J64" s="529">
        <v>0.26573553419191004</v>
      </c>
      <c r="K64" s="241">
        <v>0.1941747572815534</v>
      </c>
      <c r="L64" s="242">
        <v>0.13192612137203166</v>
      </c>
      <c r="M64" s="242">
        <v>8.9494163424124515E-2</v>
      </c>
      <c r="N64" s="242">
        <v>2.1276595744680851E-2</v>
      </c>
      <c r="O64" s="243">
        <v>0</v>
      </c>
      <c r="P64" s="241">
        <v>0.104638619201726</v>
      </c>
      <c r="Q64" s="241">
        <v>0</v>
      </c>
      <c r="R64" s="242">
        <v>0</v>
      </c>
      <c r="S64" s="243">
        <v>0</v>
      </c>
      <c r="T64" s="241">
        <v>0</v>
      </c>
      <c r="U64" s="274"/>
      <c r="V64" s="245">
        <v>452</v>
      </c>
      <c r="W64" s="246">
        <v>345</v>
      </c>
      <c r="X64" s="246">
        <v>292</v>
      </c>
      <c r="Y64" s="246">
        <v>302</v>
      </c>
      <c r="Z64" s="246">
        <v>74</v>
      </c>
      <c r="AA64" s="246">
        <v>0</v>
      </c>
      <c r="AB64" s="242"/>
      <c r="AC64" s="247">
        <v>1465</v>
      </c>
      <c r="AD64" s="245">
        <v>20</v>
      </c>
      <c r="AE64" s="246">
        <v>50</v>
      </c>
      <c r="AF64" s="246">
        <v>23</v>
      </c>
      <c r="AG64" s="246">
        <v>4</v>
      </c>
      <c r="AH64" s="246">
        <v>0</v>
      </c>
      <c r="AI64" s="247">
        <v>97</v>
      </c>
      <c r="AJ64" s="246">
        <v>0</v>
      </c>
      <c r="AK64" s="246">
        <v>0</v>
      </c>
      <c r="AL64" s="246">
        <v>0</v>
      </c>
      <c r="AM64" s="245">
        <v>0</v>
      </c>
    </row>
    <row r="65" spans="1:41" ht="13.9" customHeight="1">
      <c r="A65" s="249"/>
      <c r="B65" s="239" t="s">
        <v>76</v>
      </c>
      <c r="C65" s="250">
        <v>0.20689655172413793</v>
      </c>
      <c r="D65" s="251">
        <v>0.22761194029850745</v>
      </c>
      <c r="E65" s="251">
        <v>0.24534412955465587</v>
      </c>
      <c r="F65" s="251">
        <v>0.20743243243243242</v>
      </c>
      <c r="G65" s="251">
        <v>0.26222222222222225</v>
      </c>
      <c r="H65" s="252">
        <v>0</v>
      </c>
      <c r="I65" s="251"/>
      <c r="J65" s="530">
        <v>0.22419735171413024</v>
      </c>
      <c r="K65" s="250">
        <v>0.27184466019417475</v>
      </c>
      <c r="L65" s="251">
        <v>0.26385224274406333</v>
      </c>
      <c r="M65" s="251">
        <v>0.17509727626459143</v>
      </c>
      <c r="N65" s="251">
        <v>0.1276595744680851</v>
      </c>
      <c r="O65" s="252">
        <v>0</v>
      </c>
      <c r="P65" s="250">
        <v>0.21251348435814454</v>
      </c>
      <c r="Q65" s="250">
        <v>0</v>
      </c>
      <c r="R65" s="251">
        <v>0</v>
      </c>
      <c r="S65" s="252">
        <v>0</v>
      </c>
      <c r="T65" s="250">
        <v>0</v>
      </c>
      <c r="U65" s="274"/>
      <c r="V65" s="254">
        <v>264</v>
      </c>
      <c r="W65" s="255">
        <v>244</v>
      </c>
      <c r="X65" s="255">
        <v>303</v>
      </c>
      <c r="Y65" s="255">
        <v>307</v>
      </c>
      <c r="Z65" s="255">
        <v>118</v>
      </c>
      <c r="AA65" s="255">
        <v>0</v>
      </c>
      <c r="AB65" s="251"/>
      <c r="AC65" s="256">
        <v>1236</v>
      </c>
      <c r="AD65" s="254">
        <v>28</v>
      </c>
      <c r="AE65" s="255">
        <v>100</v>
      </c>
      <c r="AF65" s="255">
        <v>45</v>
      </c>
      <c r="AG65" s="255">
        <v>24</v>
      </c>
      <c r="AH65" s="255">
        <v>0</v>
      </c>
      <c r="AI65" s="256">
        <v>197</v>
      </c>
      <c r="AJ65" s="255">
        <v>0</v>
      </c>
      <c r="AK65" s="255">
        <v>0</v>
      </c>
      <c r="AL65" s="255">
        <v>0</v>
      </c>
      <c r="AM65" s="254">
        <v>0</v>
      </c>
    </row>
    <row r="66" spans="1:41" ht="13.9" customHeight="1">
      <c r="A66" s="249"/>
      <c r="B66" s="239" t="s">
        <v>77</v>
      </c>
      <c r="C66" s="250">
        <v>0.21551724137931033</v>
      </c>
      <c r="D66" s="251">
        <v>0.24813432835820895</v>
      </c>
      <c r="E66" s="251">
        <v>0.35060728744939273</v>
      </c>
      <c r="F66" s="251">
        <v>0.36486486486486486</v>
      </c>
      <c r="G66" s="251">
        <v>0.38</v>
      </c>
      <c r="H66" s="252">
        <v>0</v>
      </c>
      <c r="I66" s="251"/>
      <c r="J66" s="530">
        <v>0.30564121168148012</v>
      </c>
      <c r="K66" s="250">
        <v>0.37864077669902912</v>
      </c>
      <c r="L66" s="251">
        <v>0.16358839050131926</v>
      </c>
      <c r="M66" s="251">
        <v>0.31128404669260701</v>
      </c>
      <c r="N66" s="251">
        <v>0.35638297872340424</v>
      </c>
      <c r="O66" s="252">
        <v>0</v>
      </c>
      <c r="P66" s="250">
        <v>0.26752966558791802</v>
      </c>
      <c r="Q66" s="250">
        <v>0</v>
      </c>
      <c r="R66" s="251">
        <v>0</v>
      </c>
      <c r="S66" s="252">
        <v>0</v>
      </c>
      <c r="T66" s="250">
        <v>0</v>
      </c>
      <c r="U66" s="274"/>
      <c r="V66" s="254">
        <v>275</v>
      </c>
      <c r="W66" s="255">
        <v>266</v>
      </c>
      <c r="X66" s="255">
        <v>433</v>
      </c>
      <c r="Y66" s="255">
        <v>540</v>
      </c>
      <c r="Z66" s="255">
        <v>171</v>
      </c>
      <c r="AA66" s="255">
        <v>0</v>
      </c>
      <c r="AB66" s="251"/>
      <c r="AC66" s="256">
        <v>1685</v>
      </c>
      <c r="AD66" s="254">
        <v>39</v>
      </c>
      <c r="AE66" s="255">
        <v>62</v>
      </c>
      <c r="AF66" s="255">
        <v>80</v>
      </c>
      <c r="AG66" s="255">
        <v>67</v>
      </c>
      <c r="AH66" s="255">
        <v>0</v>
      </c>
      <c r="AI66" s="256">
        <v>248</v>
      </c>
      <c r="AJ66" s="255">
        <v>0</v>
      </c>
      <c r="AK66" s="255">
        <v>0</v>
      </c>
      <c r="AL66" s="255">
        <v>0</v>
      </c>
      <c r="AM66" s="254">
        <v>0</v>
      </c>
    </row>
    <row r="67" spans="1:41" ht="13.9" customHeight="1">
      <c r="A67" s="249"/>
      <c r="B67" s="239" t="s">
        <v>78</v>
      </c>
      <c r="C67" s="250">
        <v>0.22335423197492163</v>
      </c>
      <c r="D67" s="251">
        <v>0.20242537313432835</v>
      </c>
      <c r="E67" s="251">
        <v>0.16032388663967612</v>
      </c>
      <c r="F67" s="251">
        <v>0.21486486486486486</v>
      </c>
      <c r="G67" s="251">
        <v>0.16</v>
      </c>
      <c r="H67" s="252">
        <v>0</v>
      </c>
      <c r="I67" s="251"/>
      <c r="J67" s="530">
        <v>0.19771449301650643</v>
      </c>
      <c r="K67" s="250">
        <v>0.1553398058252427</v>
      </c>
      <c r="L67" s="251">
        <v>0.40369393139841686</v>
      </c>
      <c r="M67" s="251">
        <v>0.42412451361867703</v>
      </c>
      <c r="N67" s="251">
        <v>0.49468085106382981</v>
      </c>
      <c r="O67" s="252">
        <v>0</v>
      </c>
      <c r="P67" s="250">
        <v>0.40021574973031282</v>
      </c>
      <c r="Q67" s="250">
        <v>0</v>
      </c>
      <c r="R67" s="251">
        <v>0</v>
      </c>
      <c r="S67" s="252">
        <v>0</v>
      </c>
      <c r="T67" s="250">
        <v>0</v>
      </c>
      <c r="U67" s="274"/>
      <c r="V67" s="254">
        <v>285</v>
      </c>
      <c r="W67" s="255">
        <v>217</v>
      </c>
      <c r="X67" s="255">
        <v>198</v>
      </c>
      <c r="Y67" s="255">
        <v>318</v>
      </c>
      <c r="Z67" s="255">
        <v>72</v>
      </c>
      <c r="AA67" s="255">
        <v>0</v>
      </c>
      <c r="AB67" s="251"/>
      <c r="AC67" s="256">
        <v>1090</v>
      </c>
      <c r="AD67" s="254">
        <v>16</v>
      </c>
      <c r="AE67" s="255">
        <v>153</v>
      </c>
      <c r="AF67" s="255">
        <v>109</v>
      </c>
      <c r="AG67" s="255">
        <v>93</v>
      </c>
      <c r="AH67" s="255">
        <v>0</v>
      </c>
      <c r="AI67" s="256">
        <v>371</v>
      </c>
      <c r="AJ67" s="255">
        <v>0</v>
      </c>
      <c r="AK67" s="255">
        <v>0</v>
      </c>
      <c r="AL67" s="255">
        <v>0</v>
      </c>
      <c r="AM67" s="254">
        <v>0</v>
      </c>
    </row>
    <row r="68" spans="1:41" ht="13.9" customHeight="1">
      <c r="A68" s="249"/>
      <c r="B68" s="239" t="s">
        <v>32</v>
      </c>
      <c r="C68" s="250">
        <v>0</v>
      </c>
      <c r="D68" s="251">
        <v>0</v>
      </c>
      <c r="E68" s="273">
        <v>7.2874493927125505E-3</v>
      </c>
      <c r="F68" s="251">
        <v>8.7837837837837843E-3</v>
      </c>
      <c r="G68" s="251">
        <v>3.3333333333333333E-2</v>
      </c>
      <c r="H68" s="252">
        <v>0</v>
      </c>
      <c r="I68" s="251"/>
      <c r="J68" s="530">
        <v>6.7114093959731542E-3</v>
      </c>
      <c r="K68" s="250">
        <v>0</v>
      </c>
      <c r="L68" s="251">
        <v>3.6939313984168866E-2</v>
      </c>
      <c r="M68" s="251">
        <v>0</v>
      </c>
      <c r="N68" s="251">
        <v>0</v>
      </c>
      <c r="O68" s="252">
        <v>0</v>
      </c>
      <c r="P68" s="250">
        <v>1.5102481121898598E-2</v>
      </c>
      <c r="Q68" s="250">
        <v>0</v>
      </c>
      <c r="R68" s="251">
        <v>0</v>
      </c>
      <c r="S68" s="252">
        <v>0</v>
      </c>
      <c r="T68" s="250">
        <v>0</v>
      </c>
      <c r="U68" s="274"/>
      <c r="V68" s="254">
        <v>0</v>
      </c>
      <c r="W68" s="255">
        <v>0</v>
      </c>
      <c r="X68" s="255">
        <v>9</v>
      </c>
      <c r="Y68" s="255">
        <v>13</v>
      </c>
      <c r="Z68" s="255">
        <v>15</v>
      </c>
      <c r="AA68" s="255">
        <v>0</v>
      </c>
      <c r="AB68" s="251"/>
      <c r="AC68" s="256">
        <v>37</v>
      </c>
      <c r="AD68" s="254">
        <v>0</v>
      </c>
      <c r="AE68" s="255">
        <v>14</v>
      </c>
      <c r="AF68" s="255">
        <v>0</v>
      </c>
      <c r="AG68" s="255">
        <v>0</v>
      </c>
      <c r="AH68" s="255">
        <v>0</v>
      </c>
      <c r="AI68" s="256">
        <v>14</v>
      </c>
      <c r="AJ68" s="255">
        <v>0</v>
      </c>
      <c r="AK68" s="255">
        <v>0</v>
      </c>
      <c r="AL68" s="255">
        <v>0</v>
      </c>
      <c r="AM68" s="254">
        <v>0</v>
      </c>
    </row>
    <row r="69" spans="1:41" ht="13.9" customHeight="1">
      <c r="A69" s="249"/>
      <c r="B69" s="239" t="s">
        <v>58</v>
      </c>
      <c r="C69" s="250">
        <v>0</v>
      </c>
      <c r="D69" s="251">
        <v>0</v>
      </c>
      <c r="E69" s="273">
        <v>0</v>
      </c>
      <c r="F69" s="251">
        <v>0</v>
      </c>
      <c r="G69" s="273">
        <v>0</v>
      </c>
      <c r="H69" s="252">
        <v>0</v>
      </c>
      <c r="I69" s="251"/>
      <c r="J69" s="533">
        <v>0</v>
      </c>
      <c r="K69" s="250">
        <v>0</v>
      </c>
      <c r="L69" s="251">
        <v>0</v>
      </c>
      <c r="M69" s="251">
        <v>0</v>
      </c>
      <c r="N69" s="251">
        <v>0</v>
      </c>
      <c r="O69" s="252">
        <v>0</v>
      </c>
      <c r="P69" s="250">
        <v>0</v>
      </c>
      <c r="Q69" s="250">
        <v>1</v>
      </c>
      <c r="R69" s="251">
        <v>1</v>
      </c>
      <c r="S69" s="252">
        <v>1</v>
      </c>
      <c r="T69" s="250">
        <v>1</v>
      </c>
      <c r="U69" s="274"/>
      <c r="V69" s="254">
        <v>0</v>
      </c>
      <c r="W69" s="255">
        <v>0</v>
      </c>
      <c r="X69" s="255">
        <v>0</v>
      </c>
      <c r="Y69" s="255">
        <v>0</v>
      </c>
      <c r="Z69" s="255">
        <v>0</v>
      </c>
      <c r="AA69" s="255">
        <v>0</v>
      </c>
      <c r="AB69" s="251"/>
      <c r="AC69" s="256">
        <v>0</v>
      </c>
      <c r="AD69" s="254">
        <v>0</v>
      </c>
      <c r="AE69" s="255">
        <v>0</v>
      </c>
      <c r="AF69" s="255">
        <v>0</v>
      </c>
      <c r="AG69" s="255">
        <v>0</v>
      </c>
      <c r="AH69" s="255">
        <v>0</v>
      </c>
      <c r="AI69" s="256">
        <v>0</v>
      </c>
      <c r="AJ69" s="255">
        <v>55</v>
      </c>
      <c r="AK69" s="255">
        <v>30</v>
      </c>
      <c r="AL69" s="255">
        <v>548</v>
      </c>
      <c r="AM69" s="254">
        <v>633</v>
      </c>
    </row>
    <row r="70" spans="1:41" s="271" customFormat="1" ht="23.45" customHeight="1">
      <c r="A70" s="259"/>
      <c r="B70" s="260" t="s">
        <v>59</v>
      </c>
      <c r="C70" s="261">
        <v>1</v>
      </c>
      <c r="D70" s="262">
        <v>1</v>
      </c>
      <c r="E70" s="262">
        <v>1</v>
      </c>
      <c r="F70" s="262">
        <v>1</v>
      </c>
      <c r="G70" s="262">
        <v>1</v>
      </c>
      <c r="H70" s="263">
        <v>0</v>
      </c>
      <c r="I70" s="262"/>
      <c r="J70" s="531">
        <v>1</v>
      </c>
      <c r="K70" s="261">
        <v>1</v>
      </c>
      <c r="L70" s="262">
        <v>1</v>
      </c>
      <c r="M70" s="262">
        <v>1</v>
      </c>
      <c r="N70" s="262">
        <v>1</v>
      </c>
      <c r="O70" s="263">
        <v>0</v>
      </c>
      <c r="P70" s="261">
        <v>1</v>
      </c>
      <c r="Q70" s="261">
        <v>1</v>
      </c>
      <c r="R70" s="262">
        <v>1</v>
      </c>
      <c r="S70" s="263">
        <v>1</v>
      </c>
      <c r="T70" s="261">
        <v>1</v>
      </c>
      <c r="U70" s="274"/>
      <c r="V70" s="265">
        <v>1276</v>
      </c>
      <c r="W70" s="266">
        <v>1072</v>
      </c>
      <c r="X70" s="266">
        <v>1235</v>
      </c>
      <c r="Y70" s="266">
        <v>1480</v>
      </c>
      <c r="Z70" s="266">
        <v>450</v>
      </c>
      <c r="AA70" s="266">
        <v>0</v>
      </c>
      <c r="AB70" s="262"/>
      <c r="AC70" s="267">
        <v>5513</v>
      </c>
      <c r="AD70" s="265">
        <v>103</v>
      </c>
      <c r="AE70" s="266">
        <v>379</v>
      </c>
      <c r="AF70" s="266">
        <v>257</v>
      </c>
      <c r="AG70" s="266">
        <v>188</v>
      </c>
      <c r="AH70" s="268">
        <v>0</v>
      </c>
      <c r="AI70" s="268">
        <v>927</v>
      </c>
      <c r="AJ70" s="265">
        <v>55</v>
      </c>
      <c r="AK70" s="266">
        <v>30</v>
      </c>
      <c r="AL70" s="268">
        <v>548</v>
      </c>
      <c r="AM70" s="265">
        <v>633</v>
      </c>
      <c r="AN70" s="270"/>
      <c r="AO70" s="270"/>
    </row>
    <row r="71" spans="1:41" ht="13.9" customHeight="1">
      <c r="A71" s="239" t="s">
        <v>10</v>
      </c>
      <c r="B71" s="239" t="s">
        <v>53</v>
      </c>
      <c r="C71" s="241">
        <v>0.43942370661427638</v>
      </c>
      <c r="D71" s="242">
        <v>0.27631578947368424</v>
      </c>
      <c r="E71" s="242">
        <v>0.26848874598070738</v>
      </c>
      <c r="F71" s="242">
        <v>0.22526636225266361</v>
      </c>
      <c r="G71" s="242">
        <v>0.18461538461538463</v>
      </c>
      <c r="H71" s="243">
        <v>0.2890625</v>
      </c>
      <c r="I71" s="242"/>
      <c r="J71" s="529">
        <v>0.31625568589897057</v>
      </c>
      <c r="K71" s="241">
        <v>0</v>
      </c>
      <c r="L71" s="242">
        <v>0.38509316770186336</v>
      </c>
      <c r="M71" s="242">
        <v>0.34104046242774566</v>
      </c>
      <c r="N71" s="242">
        <v>0.28010471204188481</v>
      </c>
      <c r="O71" s="243">
        <v>0</v>
      </c>
      <c r="P71" s="241">
        <v>0.35632708999543172</v>
      </c>
      <c r="Q71" s="241">
        <v>0</v>
      </c>
      <c r="R71" s="242">
        <v>0</v>
      </c>
      <c r="S71" s="243">
        <v>0</v>
      </c>
      <c r="T71" s="241">
        <v>0</v>
      </c>
      <c r="U71" s="274"/>
      <c r="V71" s="245">
        <v>671</v>
      </c>
      <c r="W71" s="246">
        <v>126</v>
      </c>
      <c r="X71" s="246">
        <v>167</v>
      </c>
      <c r="Y71" s="246">
        <v>296</v>
      </c>
      <c r="Z71" s="246">
        <v>24</v>
      </c>
      <c r="AA71" s="246">
        <v>37</v>
      </c>
      <c r="AB71" s="242"/>
      <c r="AC71" s="247">
        <v>1321</v>
      </c>
      <c r="AD71" s="245">
        <v>0</v>
      </c>
      <c r="AE71" s="246">
        <v>496</v>
      </c>
      <c r="AF71" s="246">
        <v>177</v>
      </c>
      <c r="AG71" s="246">
        <v>107</v>
      </c>
      <c r="AH71" s="246">
        <v>0</v>
      </c>
      <c r="AI71" s="247">
        <v>780</v>
      </c>
      <c r="AJ71" s="246">
        <v>0</v>
      </c>
      <c r="AK71" s="246">
        <v>0</v>
      </c>
      <c r="AL71" s="246">
        <v>0</v>
      </c>
      <c r="AM71" s="245">
        <v>0</v>
      </c>
    </row>
    <row r="72" spans="1:41" ht="13.9" customHeight="1">
      <c r="A72" s="249"/>
      <c r="B72" s="239" t="s">
        <v>76</v>
      </c>
      <c r="C72" s="250">
        <v>0.27242960052390308</v>
      </c>
      <c r="D72" s="251">
        <v>0.30921052631578949</v>
      </c>
      <c r="E72" s="251">
        <v>0.23311897106109325</v>
      </c>
      <c r="F72" s="251">
        <v>0.25114155251141551</v>
      </c>
      <c r="G72" s="251">
        <v>0.23076923076923078</v>
      </c>
      <c r="H72" s="252">
        <v>0.265625</v>
      </c>
      <c r="I72" s="251"/>
      <c r="J72" s="530">
        <v>0.26238927459899447</v>
      </c>
      <c r="K72" s="250">
        <v>0</v>
      </c>
      <c r="L72" s="251">
        <v>0.29813664596273293</v>
      </c>
      <c r="M72" s="251">
        <v>0.23506743737957611</v>
      </c>
      <c r="N72" s="251">
        <v>0.29057591623036649</v>
      </c>
      <c r="O72" s="252">
        <v>0</v>
      </c>
      <c r="P72" s="250">
        <v>0.28186386477843767</v>
      </c>
      <c r="Q72" s="250">
        <v>0</v>
      </c>
      <c r="R72" s="251">
        <v>0</v>
      </c>
      <c r="S72" s="252">
        <v>0</v>
      </c>
      <c r="T72" s="250">
        <v>0</v>
      </c>
      <c r="U72" s="274"/>
      <c r="V72" s="254">
        <v>416</v>
      </c>
      <c r="W72" s="255">
        <v>141</v>
      </c>
      <c r="X72" s="255">
        <v>145</v>
      </c>
      <c r="Y72" s="255">
        <v>330</v>
      </c>
      <c r="Z72" s="255">
        <v>30</v>
      </c>
      <c r="AA72" s="255">
        <v>34</v>
      </c>
      <c r="AB72" s="251"/>
      <c r="AC72" s="256">
        <v>1096</v>
      </c>
      <c r="AD72" s="254">
        <v>0</v>
      </c>
      <c r="AE72" s="255">
        <v>384</v>
      </c>
      <c r="AF72" s="255">
        <v>122</v>
      </c>
      <c r="AG72" s="255">
        <v>111</v>
      </c>
      <c r="AH72" s="255">
        <v>0</v>
      </c>
      <c r="AI72" s="256">
        <v>617</v>
      </c>
      <c r="AJ72" s="255">
        <v>0</v>
      </c>
      <c r="AK72" s="255">
        <v>0</v>
      </c>
      <c r="AL72" s="255">
        <v>0</v>
      </c>
      <c r="AM72" s="254">
        <v>0</v>
      </c>
    </row>
    <row r="73" spans="1:41" ht="13.9" customHeight="1">
      <c r="A73" s="249"/>
      <c r="B73" s="239" t="s">
        <v>77</v>
      </c>
      <c r="C73" s="250">
        <v>0.16568434839554683</v>
      </c>
      <c r="D73" s="251">
        <v>0.27192982456140352</v>
      </c>
      <c r="E73" s="251">
        <v>0.28938906752411575</v>
      </c>
      <c r="F73" s="251">
        <v>0.31354642313546421</v>
      </c>
      <c r="G73" s="251">
        <v>0.36923076923076925</v>
      </c>
      <c r="H73" s="252">
        <v>0.3671875</v>
      </c>
      <c r="I73" s="251"/>
      <c r="J73" s="530">
        <v>0.25472827388077568</v>
      </c>
      <c r="K73" s="250">
        <v>0</v>
      </c>
      <c r="L73" s="251">
        <v>0.26863354037267079</v>
      </c>
      <c r="M73" s="251">
        <v>0.29672447013487474</v>
      </c>
      <c r="N73" s="251">
        <v>0.2486910994764398</v>
      </c>
      <c r="O73" s="252">
        <v>0</v>
      </c>
      <c r="P73" s="250">
        <v>0.27181361352215622</v>
      </c>
      <c r="Q73" s="250">
        <v>0</v>
      </c>
      <c r="R73" s="251">
        <v>0</v>
      </c>
      <c r="S73" s="252">
        <v>0</v>
      </c>
      <c r="T73" s="250">
        <v>0</v>
      </c>
      <c r="U73" s="274"/>
      <c r="V73" s="254">
        <v>253</v>
      </c>
      <c r="W73" s="255">
        <v>124</v>
      </c>
      <c r="X73" s="255">
        <v>180</v>
      </c>
      <c r="Y73" s="255">
        <v>412</v>
      </c>
      <c r="Z73" s="255">
        <v>48</v>
      </c>
      <c r="AA73" s="255">
        <v>47</v>
      </c>
      <c r="AB73" s="251"/>
      <c r="AC73" s="256">
        <v>1064</v>
      </c>
      <c r="AD73" s="254">
        <v>0</v>
      </c>
      <c r="AE73" s="255">
        <v>346</v>
      </c>
      <c r="AF73" s="255">
        <v>154</v>
      </c>
      <c r="AG73" s="255">
        <v>95</v>
      </c>
      <c r="AH73" s="255">
        <v>0</v>
      </c>
      <c r="AI73" s="256">
        <v>595</v>
      </c>
      <c r="AJ73" s="255">
        <v>0</v>
      </c>
      <c r="AK73" s="255">
        <v>0</v>
      </c>
      <c r="AL73" s="255">
        <v>0</v>
      </c>
      <c r="AM73" s="254">
        <v>0</v>
      </c>
    </row>
    <row r="74" spans="1:41" ht="13.9" customHeight="1">
      <c r="A74" s="249"/>
      <c r="B74" s="239" t="s">
        <v>78</v>
      </c>
      <c r="C74" s="250">
        <v>1.9646365422396856E-2</v>
      </c>
      <c r="D74" s="251">
        <v>4.3859649122807015E-2</v>
      </c>
      <c r="E74" s="251">
        <v>5.3054662379421219E-2</v>
      </c>
      <c r="F74" s="251">
        <v>3.1202435312024351E-2</v>
      </c>
      <c r="G74" s="251">
        <v>6.1538461538461542E-2</v>
      </c>
      <c r="H74" s="252">
        <v>7.8125E-2</v>
      </c>
      <c r="I74" s="251"/>
      <c r="J74" s="530">
        <v>3.3995690687096E-2</v>
      </c>
      <c r="K74" s="250">
        <v>0</v>
      </c>
      <c r="L74" s="251">
        <v>4.6583850931677016E-2</v>
      </c>
      <c r="M74" s="251">
        <v>4.6242774566473986E-2</v>
      </c>
      <c r="N74" s="251">
        <v>0.17277486910994763</v>
      </c>
      <c r="O74" s="252">
        <v>0</v>
      </c>
      <c r="P74" s="250">
        <v>6.8524440383736868E-2</v>
      </c>
      <c r="Q74" s="250">
        <v>0</v>
      </c>
      <c r="R74" s="251">
        <v>0</v>
      </c>
      <c r="S74" s="252">
        <v>0</v>
      </c>
      <c r="T74" s="250">
        <v>0</v>
      </c>
      <c r="U74" s="274"/>
      <c r="V74" s="254">
        <v>30</v>
      </c>
      <c r="W74" s="255">
        <v>20</v>
      </c>
      <c r="X74" s="255">
        <v>33</v>
      </c>
      <c r="Y74" s="255">
        <v>41</v>
      </c>
      <c r="Z74" s="255">
        <v>8</v>
      </c>
      <c r="AA74" s="255">
        <v>10</v>
      </c>
      <c r="AB74" s="251"/>
      <c r="AC74" s="256">
        <v>142</v>
      </c>
      <c r="AD74" s="254">
        <v>0</v>
      </c>
      <c r="AE74" s="255">
        <v>60</v>
      </c>
      <c r="AF74" s="255">
        <v>24</v>
      </c>
      <c r="AG74" s="255">
        <v>66</v>
      </c>
      <c r="AH74" s="255">
        <v>0</v>
      </c>
      <c r="AI74" s="256">
        <v>150</v>
      </c>
      <c r="AJ74" s="255">
        <v>0</v>
      </c>
      <c r="AK74" s="255">
        <v>0</v>
      </c>
      <c r="AL74" s="255">
        <v>0</v>
      </c>
      <c r="AM74" s="254">
        <v>0</v>
      </c>
    </row>
    <row r="75" spans="1:41" ht="13.9" customHeight="1">
      <c r="A75" s="249"/>
      <c r="B75" s="239" t="s">
        <v>32</v>
      </c>
      <c r="C75" s="250">
        <v>0.10281597904387688</v>
      </c>
      <c r="D75" s="251">
        <v>9.8684210526315791E-2</v>
      </c>
      <c r="E75" s="251">
        <v>0.15594855305466238</v>
      </c>
      <c r="F75" s="251">
        <v>0.17884322678843226</v>
      </c>
      <c r="G75" s="251">
        <v>0.15384615384615385</v>
      </c>
      <c r="H75" s="252">
        <v>0</v>
      </c>
      <c r="I75" s="251"/>
      <c r="J75" s="530">
        <v>0.13263107493416326</v>
      </c>
      <c r="K75" s="250">
        <v>0</v>
      </c>
      <c r="L75" s="273">
        <v>1.5527950310559005E-3</v>
      </c>
      <c r="M75" s="251">
        <v>8.0924855491329481E-2</v>
      </c>
      <c r="N75" s="251">
        <v>7.8534031413612562E-3</v>
      </c>
      <c r="O75" s="252">
        <v>0</v>
      </c>
      <c r="P75" s="250">
        <v>2.147099132023755E-2</v>
      </c>
      <c r="Q75" s="250">
        <v>0</v>
      </c>
      <c r="R75" s="251">
        <v>0</v>
      </c>
      <c r="S75" s="252">
        <v>0</v>
      </c>
      <c r="T75" s="250">
        <v>0</v>
      </c>
      <c r="U75" s="274"/>
      <c r="V75" s="254">
        <v>157</v>
      </c>
      <c r="W75" s="255">
        <v>45</v>
      </c>
      <c r="X75" s="255">
        <v>97</v>
      </c>
      <c r="Y75" s="255">
        <v>235</v>
      </c>
      <c r="Z75" s="255">
        <v>20</v>
      </c>
      <c r="AA75" s="255">
        <v>0</v>
      </c>
      <c r="AB75" s="251"/>
      <c r="AC75" s="256">
        <v>554</v>
      </c>
      <c r="AD75" s="254">
        <v>0</v>
      </c>
      <c r="AE75" s="255">
        <v>2</v>
      </c>
      <c r="AF75" s="255">
        <v>42</v>
      </c>
      <c r="AG75" s="255">
        <v>3</v>
      </c>
      <c r="AH75" s="255">
        <v>0</v>
      </c>
      <c r="AI75" s="256">
        <v>47</v>
      </c>
      <c r="AJ75" s="255">
        <v>0</v>
      </c>
      <c r="AK75" s="255">
        <v>0</v>
      </c>
      <c r="AL75" s="255">
        <v>0</v>
      </c>
      <c r="AM75" s="254">
        <v>0</v>
      </c>
    </row>
    <row r="76" spans="1:41" ht="13.9" customHeight="1">
      <c r="A76" s="249"/>
      <c r="B76" s="239" t="s">
        <v>58</v>
      </c>
      <c r="C76" s="250">
        <v>0</v>
      </c>
      <c r="D76" s="251">
        <v>0</v>
      </c>
      <c r="E76" s="251">
        <v>0</v>
      </c>
      <c r="F76" s="251">
        <v>0</v>
      </c>
      <c r="G76" s="251">
        <v>0</v>
      </c>
      <c r="H76" s="252">
        <v>0</v>
      </c>
      <c r="I76" s="251"/>
      <c r="J76" s="530">
        <v>0</v>
      </c>
      <c r="K76" s="250">
        <v>0</v>
      </c>
      <c r="L76" s="251">
        <v>0</v>
      </c>
      <c r="M76" s="251">
        <v>0</v>
      </c>
      <c r="N76" s="251">
        <v>0</v>
      </c>
      <c r="O76" s="252">
        <v>0</v>
      </c>
      <c r="P76" s="250">
        <v>0</v>
      </c>
      <c r="Q76" s="250">
        <v>0</v>
      </c>
      <c r="R76" s="251">
        <v>0</v>
      </c>
      <c r="S76" s="252">
        <v>0</v>
      </c>
      <c r="T76" s="250">
        <v>0</v>
      </c>
      <c r="U76" s="274"/>
      <c r="V76" s="254">
        <v>0</v>
      </c>
      <c r="W76" s="255">
        <v>0</v>
      </c>
      <c r="X76" s="255">
        <v>0</v>
      </c>
      <c r="Y76" s="255">
        <v>0</v>
      </c>
      <c r="Z76" s="255">
        <v>0</v>
      </c>
      <c r="AA76" s="255">
        <v>0</v>
      </c>
      <c r="AB76" s="251"/>
      <c r="AC76" s="256">
        <v>0</v>
      </c>
      <c r="AD76" s="254">
        <v>0</v>
      </c>
      <c r="AE76" s="255">
        <v>0</v>
      </c>
      <c r="AF76" s="255">
        <v>0</v>
      </c>
      <c r="AG76" s="255">
        <v>0</v>
      </c>
      <c r="AH76" s="255">
        <v>0</v>
      </c>
      <c r="AI76" s="256">
        <v>0</v>
      </c>
      <c r="AJ76" s="255">
        <v>0</v>
      </c>
      <c r="AK76" s="255">
        <v>0</v>
      </c>
      <c r="AL76" s="255">
        <v>0</v>
      </c>
      <c r="AM76" s="254">
        <v>0</v>
      </c>
    </row>
    <row r="77" spans="1:41" s="271" customFormat="1" ht="23.45" customHeight="1">
      <c r="A77" s="259"/>
      <c r="B77" s="260" t="s">
        <v>59</v>
      </c>
      <c r="C77" s="261">
        <v>1</v>
      </c>
      <c r="D77" s="262">
        <v>1</v>
      </c>
      <c r="E77" s="262">
        <v>1</v>
      </c>
      <c r="F77" s="262">
        <v>1</v>
      </c>
      <c r="G77" s="262">
        <v>1</v>
      </c>
      <c r="H77" s="263">
        <v>1</v>
      </c>
      <c r="I77" s="262"/>
      <c r="J77" s="531">
        <v>1</v>
      </c>
      <c r="K77" s="261">
        <v>0</v>
      </c>
      <c r="L77" s="262">
        <v>1</v>
      </c>
      <c r="M77" s="262">
        <v>1</v>
      </c>
      <c r="N77" s="262">
        <v>1</v>
      </c>
      <c r="O77" s="263">
        <v>0</v>
      </c>
      <c r="P77" s="261">
        <v>1</v>
      </c>
      <c r="Q77" s="261">
        <v>0</v>
      </c>
      <c r="R77" s="262">
        <v>0</v>
      </c>
      <c r="S77" s="263">
        <v>0</v>
      </c>
      <c r="T77" s="261">
        <v>0</v>
      </c>
      <c r="U77" s="274"/>
      <c r="V77" s="265">
        <v>1527</v>
      </c>
      <c r="W77" s="266">
        <v>456</v>
      </c>
      <c r="X77" s="266">
        <v>622</v>
      </c>
      <c r="Y77" s="266">
        <v>1314</v>
      </c>
      <c r="Z77" s="266">
        <v>130</v>
      </c>
      <c r="AA77" s="266">
        <v>128</v>
      </c>
      <c r="AB77" s="262"/>
      <c r="AC77" s="267">
        <v>4177</v>
      </c>
      <c r="AD77" s="265">
        <v>0</v>
      </c>
      <c r="AE77" s="266">
        <v>1288</v>
      </c>
      <c r="AF77" s="266">
        <v>519</v>
      </c>
      <c r="AG77" s="266">
        <v>382</v>
      </c>
      <c r="AH77" s="268">
        <v>0</v>
      </c>
      <c r="AI77" s="268">
        <v>2189</v>
      </c>
      <c r="AJ77" s="265">
        <v>0</v>
      </c>
      <c r="AK77" s="266">
        <v>0</v>
      </c>
      <c r="AL77" s="268">
        <v>0</v>
      </c>
      <c r="AM77" s="265">
        <v>0</v>
      </c>
      <c r="AN77" s="270"/>
      <c r="AO77" s="270"/>
    </row>
    <row r="78" spans="1:41" ht="13.9" customHeight="1">
      <c r="A78" s="239" t="s">
        <v>11</v>
      </c>
      <c r="B78" s="239" t="s">
        <v>53</v>
      </c>
      <c r="C78" s="241">
        <v>0.28134556574923547</v>
      </c>
      <c r="D78" s="242">
        <v>0.29480122324159019</v>
      </c>
      <c r="E78" s="242">
        <v>0.16666666666666666</v>
      </c>
      <c r="F78" s="242">
        <v>0.22580645161290322</v>
      </c>
      <c r="G78" s="242">
        <v>0.20399999999999999</v>
      </c>
      <c r="H78" s="243">
        <v>0</v>
      </c>
      <c r="I78" s="242"/>
      <c r="J78" s="529">
        <v>0.26358024691358023</v>
      </c>
      <c r="K78" s="241">
        <v>0</v>
      </c>
      <c r="L78" s="242">
        <v>0</v>
      </c>
      <c r="M78" s="242">
        <v>0</v>
      </c>
      <c r="N78" s="242">
        <v>0</v>
      </c>
      <c r="O78" s="243">
        <v>0</v>
      </c>
      <c r="P78" s="241">
        <v>0</v>
      </c>
      <c r="Q78" s="241">
        <v>0</v>
      </c>
      <c r="R78" s="242">
        <v>0</v>
      </c>
      <c r="S78" s="243">
        <v>0</v>
      </c>
      <c r="T78" s="241">
        <v>0</v>
      </c>
      <c r="U78" s="274"/>
      <c r="V78" s="245">
        <v>184</v>
      </c>
      <c r="W78" s="246">
        <v>482</v>
      </c>
      <c r="X78" s="246">
        <v>60</v>
      </c>
      <c r="Y78" s="246">
        <v>77</v>
      </c>
      <c r="Z78" s="246">
        <v>51</v>
      </c>
      <c r="AA78" s="246">
        <v>0</v>
      </c>
      <c r="AB78" s="242"/>
      <c r="AC78" s="247">
        <v>854</v>
      </c>
      <c r="AD78" s="245">
        <v>0</v>
      </c>
      <c r="AE78" s="246">
        <v>0</v>
      </c>
      <c r="AF78" s="246">
        <v>0</v>
      </c>
      <c r="AG78" s="246">
        <v>0</v>
      </c>
      <c r="AH78" s="246">
        <v>0</v>
      </c>
      <c r="AI78" s="247">
        <v>0</v>
      </c>
      <c r="AJ78" s="246">
        <v>0</v>
      </c>
      <c r="AK78" s="246">
        <v>0</v>
      </c>
      <c r="AL78" s="246">
        <v>0</v>
      </c>
      <c r="AM78" s="245">
        <v>0</v>
      </c>
    </row>
    <row r="79" spans="1:41" ht="13.9" customHeight="1">
      <c r="A79" s="249"/>
      <c r="B79" s="239" t="s">
        <v>76</v>
      </c>
      <c r="C79" s="250">
        <v>0.21100917431192662</v>
      </c>
      <c r="D79" s="251">
        <v>0.24831804281345565</v>
      </c>
      <c r="E79" s="251">
        <v>0.24444444444444444</v>
      </c>
      <c r="F79" s="251">
        <v>0.1466275659824047</v>
      </c>
      <c r="G79" s="251">
        <v>0.18</v>
      </c>
      <c r="H79" s="252">
        <v>0</v>
      </c>
      <c r="I79" s="251"/>
      <c r="J79" s="530">
        <v>0.2243827160493827</v>
      </c>
      <c r="K79" s="250">
        <v>0</v>
      </c>
      <c r="L79" s="251">
        <v>0</v>
      </c>
      <c r="M79" s="251">
        <v>0</v>
      </c>
      <c r="N79" s="251">
        <v>0</v>
      </c>
      <c r="O79" s="252">
        <v>0</v>
      </c>
      <c r="P79" s="250">
        <v>0</v>
      </c>
      <c r="Q79" s="250">
        <v>0</v>
      </c>
      <c r="R79" s="251">
        <v>0</v>
      </c>
      <c r="S79" s="252">
        <v>0</v>
      </c>
      <c r="T79" s="250">
        <v>0</v>
      </c>
      <c r="U79" s="274"/>
      <c r="V79" s="254">
        <v>138</v>
      </c>
      <c r="W79" s="255">
        <v>406</v>
      </c>
      <c r="X79" s="255">
        <v>88</v>
      </c>
      <c r="Y79" s="255">
        <v>50</v>
      </c>
      <c r="Z79" s="255">
        <v>45</v>
      </c>
      <c r="AA79" s="255">
        <v>0</v>
      </c>
      <c r="AB79" s="251"/>
      <c r="AC79" s="256">
        <v>727</v>
      </c>
      <c r="AD79" s="254">
        <v>0</v>
      </c>
      <c r="AE79" s="255">
        <v>0</v>
      </c>
      <c r="AF79" s="255">
        <v>0</v>
      </c>
      <c r="AG79" s="255">
        <v>0</v>
      </c>
      <c r="AH79" s="255">
        <v>0</v>
      </c>
      <c r="AI79" s="256">
        <v>0</v>
      </c>
      <c r="AJ79" s="255">
        <v>0</v>
      </c>
      <c r="AK79" s="255">
        <v>0</v>
      </c>
      <c r="AL79" s="255">
        <v>0</v>
      </c>
      <c r="AM79" s="254">
        <v>0</v>
      </c>
    </row>
    <row r="80" spans="1:41" ht="13.9" customHeight="1">
      <c r="A80" s="249"/>
      <c r="B80" s="239" t="s">
        <v>77</v>
      </c>
      <c r="C80" s="250">
        <v>0.33027522935779818</v>
      </c>
      <c r="D80" s="251">
        <v>0.31559633027522938</v>
      </c>
      <c r="E80" s="251">
        <v>0.39166666666666666</v>
      </c>
      <c r="F80" s="251">
        <v>0.3460410557184751</v>
      </c>
      <c r="G80" s="251">
        <v>0.36399999999999999</v>
      </c>
      <c r="H80" s="252">
        <v>0</v>
      </c>
      <c r="I80" s="251"/>
      <c r="J80" s="530">
        <v>0.33395061728395059</v>
      </c>
      <c r="K80" s="250">
        <v>0</v>
      </c>
      <c r="L80" s="251">
        <v>0</v>
      </c>
      <c r="M80" s="251">
        <v>0</v>
      </c>
      <c r="N80" s="251">
        <v>0</v>
      </c>
      <c r="O80" s="252">
        <v>0</v>
      </c>
      <c r="P80" s="250">
        <v>0</v>
      </c>
      <c r="Q80" s="250">
        <v>0</v>
      </c>
      <c r="R80" s="251">
        <v>0</v>
      </c>
      <c r="S80" s="252">
        <v>0</v>
      </c>
      <c r="T80" s="250">
        <v>0</v>
      </c>
      <c r="U80" s="274"/>
      <c r="V80" s="254">
        <v>216</v>
      </c>
      <c r="W80" s="255">
        <v>516</v>
      </c>
      <c r="X80" s="255">
        <v>141</v>
      </c>
      <c r="Y80" s="255">
        <v>118</v>
      </c>
      <c r="Z80" s="255">
        <v>91</v>
      </c>
      <c r="AA80" s="255">
        <v>0</v>
      </c>
      <c r="AB80" s="251"/>
      <c r="AC80" s="256">
        <v>1082</v>
      </c>
      <c r="AD80" s="254">
        <v>0</v>
      </c>
      <c r="AE80" s="255">
        <v>0</v>
      </c>
      <c r="AF80" s="255">
        <v>0</v>
      </c>
      <c r="AG80" s="255">
        <v>0</v>
      </c>
      <c r="AH80" s="255">
        <v>0</v>
      </c>
      <c r="AI80" s="256">
        <v>0</v>
      </c>
      <c r="AJ80" s="255">
        <v>0</v>
      </c>
      <c r="AK80" s="255">
        <v>0</v>
      </c>
      <c r="AL80" s="255">
        <v>0</v>
      </c>
      <c r="AM80" s="254">
        <v>0</v>
      </c>
    </row>
    <row r="81" spans="1:41" ht="13.9" customHeight="1">
      <c r="A81" s="249"/>
      <c r="B81" s="239" t="s">
        <v>78</v>
      </c>
      <c r="C81" s="250">
        <v>0.17584097859327216</v>
      </c>
      <c r="D81" s="251">
        <v>0.10886850152905199</v>
      </c>
      <c r="E81" s="251">
        <v>0.19444444444444445</v>
      </c>
      <c r="F81" s="251">
        <v>0.28152492668621704</v>
      </c>
      <c r="G81" s="251">
        <v>0.252</v>
      </c>
      <c r="H81" s="252">
        <v>0</v>
      </c>
      <c r="I81" s="251"/>
      <c r="J81" s="530">
        <v>0.16111111111111112</v>
      </c>
      <c r="K81" s="250">
        <v>0</v>
      </c>
      <c r="L81" s="251">
        <v>0</v>
      </c>
      <c r="M81" s="251">
        <v>0</v>
      </c>
      <c r="N81" s="251">
        <v>0</v>
      </c>
      <c r="O81" s="252">
        <v>0</v>
      </c>
      <c r="P81" s="250">
        <v>0</v>
      </c>
      <c r="Q81" s="250">
        <v>0</v>
      </c>
      <c r="R81" s="251">
        <v>0</v>
      </c>
      <c r="S81" s="252">
        <v>0</v>
      </c>
      <c r="T81" s="250">
        <v>0</v>
      </c>
      <c r="U81" s="274"/>
      <c r="V81" s="254">
        <v>115</v>
      </c>
      <c r="W81" s="255">
        <v>178</v>
      </c>
      <c r="X81" s="255">
        <v>70</v>
      </c>
      <c r="Y81" s="255">
        <v>96</v>
      </c>
      <c r="Z81" s="255">
        <v>63</v>
      </c>
      <c r="AA81" s="255">
        <v>0</v>
      </c>
      <c r="AB81" s="251"/>
      <c r="AC81" s="256">
        <v>522</v>
      </c>
      <c r="AD81" s="254">
        <v>0</v>
      </c>
      <c r="AE81" s="255">
        <v>0</v>
      </c>
      <c r="AF81" s="255">
        <v>0</v>
      </c>
      <c r="AG81" s="255">
        <v>0</v>
      </c>
      <c r="AH81" s="255">
        <v>0</v>
      </c>
      <c r="AI81" s="256">
        <v>0</v>
      </c>
      <c r="AJ81" s="255">
        <v>0</v>
      </c>
      <c r="AK81" s="255">
        <v>0</v>
      </c>
      <c r="AL81" s="255">
        <v>0</v>
      </c>
      <c r="AM81" s="254">
        <v>0</v>
      </c>
    </row>
    <row r="82" spans="1:41" ht="13.9" customHeight="1">
      <c r="A82" s="249"/>
      <c r="B82" s="239" t="s">
        <v>32</v>
      </c>
      <c r="C82" s="272">
        <v>1.5290519877675841E-3</v>
      </c>
      <c r="D82" s="251">
        <v>3.2415902140672782E-2</v>
      </c>
      <c r="E82" s="273">
        <v>2.7777777777777779E-3</v>
      </c>
      <c r="F82" s="251">
        <v>0</v>
      </c>
      <c r="G82" s="251">
        <v>0</v>
      </c>
      <c r="H82" s="252">
        <v>0</v>
      </c>
      <c r="I82" s="251"/>
      <c r="J82" s="530">
        <v>1.6975308641975308E-2</v>
      </c>
      <c r="K82" s="250">
        <v>0</v>
      </c>
      <c r="L82" s="251">
        <v>0</v>
      </c>
      <c r="M82" s="251">
        <v>0</v>
      </c>
      <c r="N82" s="251">
        <v>0</v>
      </c>
      <c r="O82" s="252">
        <v>0</v>
      </c>
      <c r="P82" s="250">
        <v>0</v>
      </c>
      <c r="Q82" s="250">
        <v>0</v>
      </c>
      <c r="R82" s="251">
        <v>0</v>
      </c>
      <c r="S82" s="252">
        <v>0</v>
      </c>
      <c r="T82" s="250">
        <v>0</v>
      </c>
      <c r="U82" s="274"/>
      <c r="V82" s="254">
        <v>1</v>
      </c>
      <c r="W82" s="255">
        <v>53</v>
      </c>
      <c r="X82" s="255">
        <v>1</v>
      </c>
      <c r="Y82" s="255">
        <v>0</v>
      </c>
      <c r="Z82" s="255">
        <v>0</v>
      </c>
      <c r="AA82" s="255">
        <v>0</v>
      </c>
      <c r="AB82" s="251"/>
      <c r="AC82" s="256">
        <v>55</v>
      </c>
      <c r="AD82" s="254">
        <v>0</v>
      </c>
      <c r="AE82" s="255">
        <v>0</v>
      </c>
      <c r="AF82" s="255">
        <v>0</v>
      </c>
      <c r="AG82" s="255">
        <v>0</v>
      </c>
      <c r="AH82" s="255">
        <v>0</v>
      </c>
      <c r="AI82" s="256">
        <v>0</v>
      </c>
      <c r="AJ82" s="255">
        <v>0</v>
      </c>
      <c r="AK82" s="255">
        <v>0</v>
      </c>
      <c r="AL82" s="255">
        <v>0</v>
      </c>
      <c r="AM82" s="254">
        <v>0</v>
      </c>
    </row>
    <row r="83" spans="1:41" ht="13.9" customHeight="1">
      <c r="A83" s="249"/>
      <c r="B83" s="239" t="s">
        <v>58</v>
      </c>
      <c r="C83" s="250">
        <v>0</v>
      </c>
      <c r="D83" s="251">
        <v>0</v>
      </c>
      <c r="E83" s="251">
        <v>0</v>
      </c>
      <c r="F83" s="251">
        <v>0</v>
      </c>
      <c r="G83" s="251">
        <v>0</v>
      </c>
      <c r="H83" s="252">
        <v>0</v>
      </c>
      <c r="I83" s="251"/>
      <c r="J83" s="530">
        <v>0</v>
      </c>
      <c r="K83" s="250">
        <v>0</v>
      </c>
      <c r="L83" s="251">
        <v>1</v>
      </c>
      <c r="M83" s="251">
        <v>1</v>
      </c>
      <c r="N83" s="251">
        <v>1</v>
      </c>
      <c r="O83" s="252">
        <v>0</v>
      </c>
      <c r="P83" s="250">
        <v>1</v>
      </c>
      <c r="Q83" s="250">
        <v>0</v>
      </c>
      <c r="R83" s="251">
        <v>0</v>
      </c>
      <c r="S83" s="252">
        <v>0</v>
      </c>
      <c r="T83" s="250">
        <v>0</v>
      </c>
      <c r="U83" s="274"/>
      <c r="V83" s="254">
        <v>0</v>
      </c>
      <c r="W83" s="255">
        <v>0</v>
      </c>
      <c r="X83" s="255">
        <v>0</v>
      </c>
      <c r="Y83" s="255">
        <v>0</v>
      </c>
      <c r="Z83" s="255">
        <v>0</v>
      </c>
      <c r="AA83" s="255">
        <v>0</v>
      </c>
      <c r="AB83" s="251"/>
      <c r="AC83" s="256">
        <v>0</v>
      </c>
      <c r="AD83" s="254">
        <v>0</v>
      </c>
      <c r="AE83" s="255">
        <v>793.2</v>
      </c>
      <c r="AF83" s="255">
        <v>1511.8</v>
      </c>
      <c r="AG83" s="255">
        <v>151</v>
      </c>
      <c r="AH83" s="255">
        <v>0</v>
      </c>
      <c r="AI83" s="256">
        <v>2456</v>
      </c>
      <c r="AJ83" s="255">
        <v>0</v>
      </c>
      <c r="AK83" s="255">
        <v>0</v>
      </c>
      <c r="AL83" s="255">
        <v>0</v>
      </c>
      <c r="AM83" s="254">
        <v>0</v>
      </c>
    </row>
    <row r="84" spans="1:41" s="271" customFormat="1" ht="23.45" customHeight="1">
      <c r="A84" s="259"/>
      <c r="B84" s="260" t="s">
        <v>59</v>
      </c>
      <c r="C84" s="261">
        <v>1</v>
      </c>
      <c r="D84" s="262">
        <v>1</v>
      </c>
      <c r="E84" s="262">
        <v>1</v>
      </c>
      <c r="F84" s="262">
        <v>1</v>
      </c>
      <c r="G84" s="262">
        <v>1</v>
      </c>
      <c r="H84" s="263">
        <v>0</v>
      </c>
      <c r="I84" s="262"/>
      <c r="J84" s="531">
        <v>1</v>
      </c>
      <c r="K84" s="261">
        <v>0</v>
      </c>
      <c r="L84" s="262">
        <v>1</v>
      </c>
      <c r="M84" s="262">
        <v>1</v>
      </c>
      <c r="N84" s="262">
        <v>1</v>
      </c>
      <c r="O84" s="263">
        <v>0</v>
      </c>
      <c r="P84" s="261">
        <v>1</v>
      </c>
      <c r="Q84" s="261">
        <v>0</v>
      </c>
      <c r="R84" s="262">
        <v>0</v>
      </c>
      <c r="S84" s="263">
        <v>0</v>
      </c>
      <c r="T84" s="261">
        <v>0</v>
      </c>
      <c r="U84" s="274"/>
      <c r="V84" s="265">
        <v>654</v>
      </c>
      <c r="W84" s="266">
        <v>1635</v>
      </c>
      <c r="X84" s="266">
        <v>360</v>
      </c>
      <c r="Y84" s="266">
        <v>341</v>
      </c>
      <c r="Z84" s="266">
        <v>250</v>
      </c>
      <c r="AA84" s="266">
        <v>0</v>
      </c>
      <c r="AB84" s="262"/>
      <c r="AC84" s="267">
        <v>3240</v>
      </c>
      <c r="AD84" s="265">
        <v>0</v>
      </c>
      <c r="AE84" s="266">
        <v>793.2</v>
      </c>
      <c r="AF84" s="266">
        <v>1511.8</v>
      </c>
      <c r="AG84" s="266">
        <v>151</v>
      </c>
      <c r="AH84" s="268">
        <v>0</v>
      </c>
      <c r="AI84" s="268">
        <v>2456</v>
      </c>
      <c r="AJ84" s="265">
        <v>0</v>
      </c>
      <c r="AK84" s="266">
        <v>0</v>
      </c>
      <c r="AL84" s="268">
        <v>0</v>
      </c>
      <c r="AM84" s="265">
        <v>0</v>
      </c>
      <c r="AN84" s="270"/>
      <c r="AO84" s="270"/>
    </row>
    <row r="85" spans="1:41" ht="13.9" customHeight="1">
      <c r="A85" s="239" t="s">
        <v>12</v>
      </c>
      <c r="B85" s="239" t="s">
        <v>53</v>
      </c>
      <c r="C85" s="241">
        <v>0.40121786197564274</v>
      </c>
      <c r="D85" s="242">
        <v>0.22446043165467625</v>
      </c>
      <c r="E85" s="242">
        <v>0.25059288537549407</v>
      </c>
      <c r="F85" s="242">
        <v>0.1940928270042194</v>
      </c>
      <c r="G85" s="242">
        <v>0.16894977168949771</v>
      </c>
      <c r="H85" s="243">
        <v>0.2648221343873518</v>
      </c>
      <c r="I85" s="242"/>
      <c r="J85" s="529">
        <v>0.29852521408182681</v>
      </c>
      <c r="K85" s="241">
        <v>0</v>
      </c>
      <c r="L85" s="242">
        <v>0</v>
      </c>
      <c r="M85" s="242">
        <v>0</v>
      </c>
      <c r="N85" s="242">
        <v>0</v>
      </c>
      <c r="O85" s="243">
        <v>0</v>
      </c>
      <c r="P85" s="241">
        <v>0</v>
      </c>
      <c r="Q85" s="241">
        <v>0</v>
      </c>
      <c r="R85" s="242">
        <v>0</v>
      </c>
      <c r="S85" s="243">
        <v>0</v>
      </c>
      <c r="T85" s="241">
        <v>0</v>
      </c>
      <c r="U85" s="274"/>
      <c r="V85" s="245">
        <v>1186</v>
      </c>
      <c r="W85" s="246">
        <v>156</v>
      </c>
      <c r="X85" s="246">
        <v>951</v>
      </c>
      <c r="Y85" s="246">
        <v>46</v>
      </c>
      <c r="Z85" s="246">
        <v>37</v>
      </c>
      <c r="AA85" s="246">
        <v>134</v>
      </c>
      <c r="AB85" s="242"/>
      <c r="AC85" s="247">
        <v>2510</v>
      </c>
      <c r="AD85" s="245">
        <v>0</v>
      </c>
      <c r="AE85" s="246">
        <v>0</v>
      </c>
      <c r="AF85" s="246">
        <v>0</v>
      </c>
      <c r="AG85" s="246">
        <v>0</v>
      </c>
      <c r="AH85" s="246">
        <v>0</v>
      </c>
      <c r="AI85" s="247">
        <v>0</v>
      </c>
      <c r="AJ85" s="246">
        <v>0</v>
      </c>
      <c r="AK85" s="246">
        <v>0</v>
      </c>
      <c r="AL85" s="246">
        <v>0</v>
      </c>
      <c r="AM85" s="245">
        <v>0</v>
      </c>
    </row>
    <row r="86" spans="1:41" ht="13.9" customHeight="1">
      <c r="A86" s="249"/>
      <c r="B86" s="239" t="s">
        <v>76</v>
      </c>
      <c r="C86" s="250">
        <v>0.23410013531799728</v>
      </c>
      <c r="D86" s="251">
        <v>0.23309352517985613</v>
      </c>
      <c r="E86" s="251">
        <v>0.28432147562582344</v>
      </c>
      <c r="F86" s="251">
        <v>0.23628691983122363</v>
      </c>
      <c r="G86" s="251">
        <v>0.25570776255707761</v>
      </c>
      <c r="H86" s="252">
        <v>0.2865612648221344</v>
      </c>
      <c r="I86" s="251"/>
      <c r="J86" s="530">
        <v>0.26046622264509989</v>
      </c>
      <c r="K86" s="250">
        <v>0</v>
      </c>
      <c r="L86" s="251">
        <v>0</v>
      </c>
      <c r="M86" s="251">
        <v>0</v>
      </c>
      <c r="N86" s="251">
        <v>0</v>
      </c>
      <c r="O86" s="252">
        <v>0</v>
      </c>
      <c r="P86" s="250">
        <v>0</v>
      </c>
      <c r="Q86" s="250">
        <v>0</v>
      </c>
      <c r="R86" s="251">
        <v>0</v>
      </c>
      <c r="S86" s="252">
        <v>0</v>
      </c>
      <c r="T86" s="250">
        <v>0</v>
      </c>
      <c r="U86" s="274"/>
      <c r="V86" s="254">
        <v>692</v>
      </c>
      <c r="W86" s="255">
        <v>162</v>
      </c>
      <c r="X86" s="255">
        <v>1079</v>
      </c>
      <c r="Y86" s="255">
        <v>56</v>
      </c>
      <c r="Z86" s="255">
        <v>56</v>
      </c>
      <c r="AA86" s="255">
        <v>145</v>
      </c>
      <c r="AB86" s="251"/>
      <c r="AC86" s="256">
        <v>2190</v>
      </c>
      <c r="AD86" s="254">
        <v>0</v>
      </c>
      <c r="AE86" s="255">
        <v>0</v>
      </c>
      <c r="AF86" s="255">
        <v>0</v>
      </c>
      <c r="AG86" s="255">
        <v>0</v>
      </c>
      <c r="AH86" s="255">
        <v>0</v>
      </c>
      <c r="AI86" s="256">
        <v>0</v>
      </c>
      <c r="AJ86" s="255">
        <v>0</v>
      </c>
      <c r="AK86" s="255">
        <v>0</v>
      </c>
      <c r="AL86" s="255">
        <v>0</v>
      </c>
      <c r="AM86" s="254">
        <v>0</v>
      </c>
    </row>
    <row r="87" spans="1:41" ht="13.9" customHeight="1">
      <c r="A87" s="249"/>
      <c r="B87" s="239" t="s">
        <v>77</v>
      </c>
      <c r="C87" s="250">
        <v>0.19012178619756429</v>
      </c>
      <c r="D87" s="251">
        <v>0.26474820143884892</v>
      </c>
      <c r="E87" s="251">
        <v>0.26139657444005271</v>
      </c>
      <c r="F87" s="251">
        <v>0.36708860759493672</v>
      </c>
      <c r="G87" s="251">
        <v>0.28310502283105021</v>
      </c>
      <c r="H87" s="252">
        <v>0.23715415019762845</v>
      </c>
      <c r="I87" s="251"/>
      <c r="J87" s="530">
        <v>0.2387012369172217</v>
      </c>
      <c r="K87" s="250">
        <v>0</v>
      </c>
      <c r="L87" s="251">
        <v>0</v>
      </c>
      <c r="M87" s="251">
        <v>0</v>
      </c>
      <c r="N87" s="251">
        <v>0</v>
      </c>
      <c r="O87" s="252">
        <v>0</v>
      </c>
      <c r="P87" s="250">
        <v>0</v>
      </c>
      <c r="Q87" s="250">
        <v>0</v>
      </c>
      <c r="R87" s="251">
        <v>0</v>
      </c>
      <c r="S87" s="252">
        <v>0</v>
      </c>
      <c r="T87" s="250">
        <v>0</v>
      </c>
      <c r="U87" s="274"/>
      <c r="V87" s="254">
        <v>562</v>
      </c>
      <c r="W87" s="255">
        <v>184</v>
      </c>
      <c r="X87" s="255">
        <v>992</v>
      </c>
      <c r="Y87" s="255">
        <v>87</v>
      </c>
      <c r="Z87" s="255">
        <v>62</v>
      </c>
      <c r="AA87" s="255">
        <v>120</v>
      </c>
      <c r="AB87" s="251"/>
      <c r="AC87" s="256">
        <v>2007</v>
      </c>
      <c r="AD87" s="254">
        <v>0</v>
      </c>
      <c r="AE87" s="255">
        <v>0</v>
      </c>
      <c r="AF87" s="255">
        <v>0</v>
      </c>
      <c r="AG87" s="255">
        <v>0</v>
      </c>
      <c r="AH87" s="255">
        <v>0</v>
      </c>
      <c r="AI87" s="256">
        <v>0</v>
      </c>
      <c r="AJ87" s="255">
        <v>0</v>
      </c>
      <c r="AK87" s="255">
        <v>0</v>
      </c>
      <c r="AL87" s="255">
        <v>0</v>
      </c>
      <c r="AM87" s="254">
        <v>0</v>
      </c>
    </row>
    <row r="88" spans="1:41" ht="13.9" customHeight="1">
      <c r="A88" s="249"/>
      <c r="B88" s="239" t="s">
        <v>78</v>
      </c>
      <c r="C88" s="272">
        <v>4.3978349120433018E-3</v>
      </c>
      <c r="D88" s="251">
        <v>7.1942446043165471E-3</v>
      </c>
      <c r="E88" s="251">
        <v>6.3241106719367588E-3</v>
      </c>
      <c r="F88" s="251">
        <v>2.1097046413502109E-2</v>
      </c>
      <c r="G88" s="251">
        <v>4.5662100456621002E-2</v>
      </c>
      <c r="H88" s="252">
        <v>4.3478260869565216E-2</v>
      </c>
      <c r="I88" s="251"/>
      <c r="J88" s="530">
        <v>9.39581351094196E-3</v>
      </c>
      <c r="K88" s="250">
        <v>0</v>
      </c>
      <c r="L88" s="251">
        <v>0</v>
      </c>
      <c r="M88" s="251">
        <v>0</v>
      </c>
      <c r="N88" s="251">
        <v>0</v>
      </c>
      <c r="O88" s="252">
        <v>0</v>
      </c>
      <c r="P88" s="250">
        <v>0</v>
      </c>
      <c r="Q88" s="250">
        <v>0</v>
      </c>
      <c r="R88" s="251">
        <v>0</v>
      </c>
      <c r="S88" s="252">
        <v>0</v>
      </c>
      <c r="T88" s="250">
        <v>0</v>
      </c>
      <c r="U88" s="274"/>
      <c r="V88" s="254">
        <v>13</v>
      </c>
      <c r="W88" s="255">
        <v>5</v>
      </c>
      <c r="X88" s="255">
        <v>24</v>
      </c>
      <c r="Y88" s="255">
        <v>5</v>
      </c>
      <c r="Z88" s="255">
        <v>10</v>
      </c>
      <c r="AA88" s="255">
        <v>22</v>
      </c>
      <c r="AB88" s="251"/>
      <c r="AC88" s="256">
        <v>79</v>
      </c>
      <c r="AD88" s="254">
        <v>0</v>
      </c>
      <c r="AE88" s="255">
        <v>0</v>
      </c>
      <c r="AF88" s="255">
        <v>0</v>
      </c>
      <c r="AG88" s="255">
        <v>0</v>
      </c>
      <c r="AH88" s="255">
        <v>0</v>
      </c>
      <c r="AI88" s="256">
        <v>0</v>
      </c>
      <c r="AJ88" s="255">
        <v>0</v>
      </c>
      <c r="AK88" s="255">
        <v>0</v>
      </c>
      <c r="AL88" s="255">
        <v>0</v>
      </c>
      <c r="AM88" s="254">
        <v>0</v>
      </c>
    </row>
    <row r="89" spans="1:41" ht="13.9" customHeight="1">
      <c r="A89" s="249"/>
      <c r="B89" s="239" t="s">
        <v>32</v>
      </c>
      <c r="C89" s="250">
        <v>0.17016238159675237</v>
      </c>
      <c r="D89" s="251">
        <v>0.27050359712230215</v>
      </c>
      <c r="E89" s="251">
        <v>0.19736495388669301</v>
      </c>
      <c r="F89" s="251">
        <v>0.18143459915611815</v>
      </c>
      <c r="G89" s="251">
        <v>0.24657534246575341</v>
      </c>
      <c r="H89" s="252">
        <v>0.16798418972332016</v>
      </c>
      <c r="I89" s="251"/>
      <c r="J89" s="530">
        <v>0.19291151284490962</v>
      </c>
      <c r="K89" s="250">
        <v>0</v>
      </c>
      <c r="L89" s="251">
        <v>0</v>
      </c>
      <c r="M89" s="251">
        <v>0</v>
      </c>
      <c r="N89" s="251">
        <v>0</v>
      </c>
      <c r="O89" s="252">
        <v>0</v>
      </c>
      <c r="P89" s="250">
        <v>0</v>
      </c>
      <c r="Q89" s="250">
        <v>0</v>
      </c>
      <c r="R89" s="251">
        <v>0</v>
      </c>
      <c r="S89" s="252">
        <v>0</v>
      </c>
      <c r="T89" s="250">
        <v>0</v>
      </c>
      <c r="U89" s="274"/>
      <c r="V89" s="254">
        <v>503</v>
      </c>
      <c r="W89" s="255">
        <v>188</v>
      </c>
      <c r="X89" s="255">
        <v>749</v>
      </c>
      <c r="Y89" s="255">
        <v>43</v>
      </c>
      <c r="Z89" s="255">
        <v>54</v>
      </c>
      <c r="AA89" s="255">
        <v>85</v>
      </c>
      <c r="AB89" s="251"/>
      <c r="AC89" s="256">
        <v>1622</v>
      </c>
      <c r="AD89" s="254">
        <v>0</v>
      </c>
      <c r="AE89" s="255">
        <v>0</v>
      </c>
      <c r="AF89" s="255">
        <v>0</v>
      </c>
      <c r="AG89" s="255">
        <v>0</v>
      </c>
      <c r="AH89" s="255">
        <v>0</v>
      </c>
      <c r="AI89" s="256">
        <v>0</v>
      </c>
      <c r="AJ89" s="255">
        <v>0</v>
      </c>
      <c r="AK89" s="255">
        <v>0</v>
      </c>
      <c r="AL89" s="255">
        <v>0</v>
      </c>
      <c r="AM89" s="254">
        <v>0</v>
      </c>
    </row>
    <row r="90" spans="1:41" ht="13.9" customHeight="1">
      <c r="A90" s="249"/>
      <c r="B90" s="239" t="s">
        <v>58</v>
      </c>
      <c r="C90" s="250">
        <v>0</v>
      </c>
      <c r="D90" s="251">
        <v>0</v>
      </c>
      <c r="E90" s="251">
        <v>0</v>
      </c>
      <c r="F90" s="251">
        <v>0</v>
      </c>
      <c r="G90" s="251">
        <v>0</v>
      </c>
      <c r="H90" s="252">
        <v>0</v>
      </c>
      <c r="I90" s="251"/>
      <c r="J90" s="530">
        <v>0</v>
      </c>
      <c r="K90" s="250">
        <v>0</v>
      </c>
      <c r="L90" s="251">
        <v>1</v>
      </c>
      <c r="M90" s="251">
        <v>1</v>
      </c>
      <c r="N90" s="251">
        <v>1</v>
      </c>
      <c r="O90" s="252">
        <v>0</v>
      </c>
      <c r="P90" s="250">
        <v>1</v>
      </c>
      <c r="Q90" s="250">
        <v>0</v>
      </c>
      <c r="R90" s="251">
        <v>0</v>
      </c>
      <c r="S90" s="252">
        <v>0</v>
      </c>
      <c r="T90" s="250">
        <v>0</v>
      </c>
      <c r="U90" s="274"/>
      <c r="V90" s="254">
        <v>0</v>
      </c>
      <c r="W90" s="255">
        <v>0</v>
      </c>
      <c r="X90" s="255">
        <v>0</v>
      </c>
      <c r="Y90" s="255">
        <v>0</v>
      </c>
      <c r="Z90" s="255">
        <v>0</v>
      </c>
      <c r="AA90" s="255">
        <v>0</v>
      </c>
      <c r="AB90" s="251"/>
      <c r="AC90" s="256">
        <v>0</v>
      </c>
      <c r="AD90" s="254">
        <v>0</v>
      </c>
      <c r="AE90" s="255">
        <v>1810</v>
      </c>
      <c r="AF90" s="255">
        <v>2550</v>
      </c>
      <c r="AG90" s="255">
        <v>882</v>
      </c>
      <c r="AH90" s="255">
        <v>0</v>
      </c>
      <c r="AI90" s="256">
        <v>5242</v>
      </c>
      <c r="AJ90" s="255">
        <v>0</v>
      </c>
      <c r="AK90" s="255">
        <v>0</v>
      </c>
      <c r="AL90" s="255">
        <v>0</v>
      </c>
      <c r="AM90" s="254">
        <v>0</v>
      </c>
    </row>
    <row r="91" spans="1:41" s="271" customFormat="1" ht="23.45" customHeight="1">
      <c r="A91" s="259"/>
      <c r="B91" s="260" t="s">
        <v>59</v>
      </c>
      <c r="C91" s="261">
        <v>1</v>
      </c>
      <c r="D91" s="262">
        <v>1</v>
      </c>
      <c r="E91" s="262">
        <v>1</v>
      </c>
      <c r="F91" s="262">
        <v>1</v>
      </c>
      <c r="G91" s="262">
        <v>1</v>
      </c>
      <c r="H91" s="263">
        <v>1</v>
      </c>
      <c r="I91" s="262"/>
      <c r="J91" s="531">
        <v>1</v>
      </c>
      <c r="K91" s="261">
        <v>0</v>
      </c>
      <c r="L91" s="262">
        <v>1</v>
      </c>
      <c r="M91" s="262">
        <v>1</v>
      </c>
      <c r="N91" s="262">
        <v>1</v>
      </c>
      <c r="O91" s="263">
        <v>0</v>
      </c>
      <c r="P91" s="261">
        <v>1</v>
      </c>
      <c r="Q91" s="261">
        <v>0</v>
      </c>
      <c r="R91" s="262">
        <v>0</v>
      </c>
      <c r="S91" s="263">
        <v>0</v>
      </c>
      <c r="T91" s="261">
        <v>0</v>
      </c>
      <c r="U91" s="274"/>
      <c r="V91" s="265">
        <v>2956</v>
      </c>
      <c r="W91" s="266">
        <v>695</v>
      </c>
      <c r="X91" s="266">
        <v>3795</v>
      </c>
      <c r="Y91" s="266">
        <v>237</v>
      </c>
      <c r="Z91" s="266">
        <v>219</v>
      </c>
      <c r="AA91" s="266">
        <v>506</v>
      </c>
      <c r="AB91" s="262"/>
      <c r="AC91" s="267">
        <v>8408</v>
      </c>
      <c r="AD91" s="265">
        <v>0</v>
      </c>
      <c r="AE91" s="266">
        <v>1810</v>
      </c>
      <c r="AF91" s="266">
        <v>2550</v>
      </c>
      <c r="AG91" s="266">
        <v>882</v>
      </c>
      <c r="AH91" s="268">
        <v>0</v>
      </c>
      <c r="AI91" s="268">
        <v>5242</v>
      </c>
      <c r="AJ91" s="265">
        <v>0</v>
      </c>
      <c r="AK91" s="266">
        <v>0</v>
      </c>
      <c r="AL91" s="268">
        <v>0</v>
      </c>
      <c r="AM91" s="265">
        <v>0</v>
      </c>
      <c r="AN91" s="270"/>
      <c r="AO91" s="270"/>
    </row>
    <row r="92" spans="1:41" ht="13.9" customHeight="1">
      <c r="A92" s="239" t="s">
        <v>13</v>
      </c>
      <c r="B92" s="239" t="s">
        <v>53</v>
      </c>
      <c r="C92" s="241">
        <v>0.35807365439093486</v>
      </c>
      <c r="D92" s="242">
        <v>0</v>
      </c>
      <c r="E92" s="242">
        <v>0.39750000000000002</v>
      </c>
      <c r="F92" s="242">
        <v>0.19934640522875818</v>
      </c>
      <c r="G92" s="242">
        <v>0.22830440587449932</v>
      </c>
      <c r="H92" s="243">
        <v>0.15873015873015872</v>
      </c>
      <c r="I92" s="242"/>
      <c r="J92" s="529">
        <v>0.3061635944700461</v>
      </c>
      <c r="K92" s="241">
        <v>9.7560975609756101E-2</v>
      </c>
      <c r="L92" s="242">
        <v>0</v>
      </c>
      <c r="M92" s="242">
        <v>0</v>
      </c>
      <c r="N92" s="242">
        <v>0</v>
      </c>
      <c r="O92" s="243">
        <v>0</v>
      </c>
      <c r="P92" s="241">
        <v>6.5843621399176953E-3</v>
      </c>
      <c r="Q92" s="241">
        <v>0</v>
      </c>
      <c r="R92" s="242">
        <v>0</v>
      </c>
      <c r="S92" s="243">
        <v>0</v>
      </c>
      <c r="T92" s="241">
        <v>0</v>
      </c>
      <c r="U92" s="274"/>
      <c r="V92" s="245">
        <v>632</v>
      </c>
      <c r="W92" s="246">
        <v>0</v>
      </c>
      <c r="X92" s="246">
        <v>159</v>
      </c>
      <c r="Y92" s="246">
        <v>61</v>
      </c>
      <c r="Z92" s="246">
        <v>171</v>
      </c>
      <c r="AA92" s="246">
        <v>40</v>
      </c>
      <c r="AB92" s="242"/>
      <c r="AC92" s="247">
        <v>1063</v>
      </c>
      <c r="AD92" s="245">
        <v>8</v>
      </c>
      <c r="AE92" s="246">
        <v>0</v>
      </c>
      <c r="AF92" s="246">
        <v>0</v>
      </c>
      <c r="AG92" s="246">
        <v>0</v>
      </c>
      <c r="AH92" s="246">
        <v>0</v>
      </c>
      <c r="AI92" s="247">
        <v>8</v>
      </c>
      <c r="AJ92" s="246">
        <v>0</v>
      </c>
      <c r="AK92" s="246">
        <v>0</v>
      </c>
      <c r="AL92" s="246">
        <v>0</v>
      </c>
      <c r="AM92" s="245">
        <v>0</v>
      </c>
    </row>
    <row r="93" spans="1:41" ht="13.9" customHeight="1">
      <c r="A93" s="249"/>
      <c r="B93" s="239" t="s">
        <v>76</v>
      </c>
      <c r="C93" s="250">
        <v>0.26005665722379606</v>
      </c>
      <c r="D93" s="251">
        <v>0</v>
      </c>
      <c r="E93" s="251">
        <v>0.16250000000000001</v>
      </c>
      <c r="F93" s="251">
        <v>0.21568627450980393</v>
      </c>
      <c r="G93" s="251">
        <v>0.21762349799732977</v>
      </c>
      <c r="H93" s="252">
        <v>0.17460317460317459</v>
      </c>
      <c r="I93" s="251"/>
      <c r="J93" s="530">
        <v>0.22955069124423963</v>
      </c>
      <c r="K93" s="250">
        <v>0.12195121951219512</v>
      </c>
      <c r="L93" s="251">
        <v>0</v>
      </c>
      <c r="M93" s="251">
        <v>0</v>
      </c>
      <c r="N93" s="251">
        <v>0</v>
      </c>
      <c r="O93" s="252">
        <v>0</v>
      </c>
      <c r="P93" s="250">
        <v>8.23045267489712E-3</v>
      </c>
      <c r="Q93" s="250">
        <v>0</v>
      </c>
      <c r="R93" s="251">
        <v>0</v>
      </c>
      <c r="S93" s="252">
        <v>0</v>
      </c>
      <c r="T93" s="250">
        <v>0</v>
      </c>
      <c r="U93" s="274"/>
      <c r="V93" s="254">
        <v>459</v>
      </c>
      <c r="W93" s="255">
        <v>0</v>
      </c>
      <c r="X93" s="255">
        <v>65</v>
      </c>
      <c r="Y93" s="255">
        <v>66</v>
      </c>
      <c r="Z93" s="255">
        <v>163</v>
      </c>
      <c r="AA93" s="255">
        <v>44</v>
      </c>
      <c r="AB93" s="251"/>
      <c r="AC93" s="256">
        <v>797</v>
      </c>
      <c r="AD93" s="254">
        <v>10</v>
      </c>
      <c r="AE93" s="255">
        <v>0</v>
      </c>
      <c r="AF93" s="255">
        <v>0</v>
      </c>
      <c r="AG93" s="255">
        <v>0</v>
      </c>
      <c r="AH93" s="255">
        <v>0</v>
      </c>
      <c r="AI93" s="256">
        <v>10</v>
      </c>
      <c r="AJ93" s="255">
        <v>0</v>
      </c>
      <c r="AK93" s="255">
        <v>0</v>
      </c>
      <c r="AL93" s="255">
        <v>0</v>
      </c>
      <c r="AM93" s="254">
        <v>0</v>
      </c>
    </row>
    <row r="94" spans="1:41" ht="13.9" customHeight="1">
      <c r="A94" s="249"/>
      <c r="B94" s="239" t="s">
        <v>77</v>
      </c>
      <c r="C94" s="250">
        <v>0.24362606232294617</v>
      </c>
      <c r="D94" s="251">
        <v>0</v>
      </c>
      <c r="E94" s="251">
        <v>0.24</v>
      </c>
      <c r="F94" s="251">
        <v>0.3202614379084967</v>
      </c>
      <c r="G94" s="251">
        <v>0.30974632843791722</v>
      </c>
      <c r="H94" s="252">
        <v>0.3531746031746032</v>
      </c>
      <c r="I94" s="251"/>
      <c r="J94" s="530">
        <v>0.27217741935483869</v>
      </c>
      <c r="K94" s="250">
        <v>0.5</v>
      </c>
      <c r="L94" s="251">
        <v>0</v>
      </c>
      <c r="M94" s="251">
        <v>0</v>
      </c>
      <c r="N94" s="251">
        <v>0</v>
      </c>
      <c r="O94" s="252">
        <v>0</v>
      </c>
      <c r="P94" s="250">
        <v>3.3744855967078193E-2</v>
      </c>
      <c r="Q94" s="250">
        <v>0</v>
      </c>
      <c r="R94" s="251">
        <v>0</v>
      </c>
      <c r="S94" s="252">
        <v>0</v>
      </c>
      <c r="T94" s="250">
        <v>0</v>
      </c>
      <c r="U94" s="274"/>
      <c r="V94" s="254">
        <v>430</v>
      </c>
      <c r="W94" s="255">
        <v>0</v>
      </c>
      <c r="X94" s="255">
        <v>96</v>
      </c>
      <c r="Y94" s="255">
        <v>98</v>
      </c>
      <c r="Z94" s="255">
        <v>232</v>
      </c>
      <c r="AA94" s="255">
        <v>89</v>
      </c>
      <c r="AB94" s="251"/>
      <c r="AC94" s="256">
        <v>945</v>
      </c>
      <c r="AD94" s="254">
        <v>41</v>
      </c>
      <c r="AE94" s="255">
        <v>0</v>
      </c>
      <c r="AF94" s="255">
        <v>0</v>
      </c>
      <c r="AG94" s="255">
        <v>0</v>
      </c>
      <c r="AH94" s="255">
        <v>0</v>
      </c>
      <c r="AI94" s="256">
        <v>41</v>
      </c>
      <c r="AJ94" s="255">
        <v>0</v>
      </c>
      <c r="AK94" s="255">
        <v>0</v>
      </c>
      <c r="AL94" s="255">
        <v>0</v>
      </c>
      <c r="AM94" s="254">
        <v>0</v>
      </c>
    </row>
    <row r="95" spans="1:41" ht="13.9" customHeight="1">
      <c r="A95" s="249"/>
      <c r="B95" s="239" t="s">
        <v>78</v>
      </c>
      <c r="C95" s="250">
        <v>0.13824362606232293</v>
      </c>
      <c r="D95" s="251">
        <v>0</v>
      </c>
      <c r="E95" s="251">
        <v>0.2</v>
      </c>
      <c r="F95" s="251">
        <v>0.26470588235294118</v>
      </c>
      <c r="G95" s="251">
        <v>0.24432576769025366</v>
      </c>
      <c r="H95" s="252">
        <v>0.31349206349206349</v>
      </c>
      <c r="I95" s="251"/>
      <c r="J95" s="530">
        <v>0.19210829493087558</v>
      </c>
      <c r="K95" s="250">
        <v>0.28048780487804881</v>
      </c>
      <c r="L95" s="251">
        <v>0</v>
      </c>
      <c r="M95" s="251">
        <v>0</v>
      </c>
      <c r="N95" s="251">
        <v>0</v>
      </c>
      <c r="O95" s="252">
        <v>0</v>
      </c>
      <c r="P95" s="250">
        <v>1.8930041152263374E-2</v>
      </c>
      <c r="Q95" s="250">
        <v>0</v>
      </c>
      <c r="R95" s="251">
        <v>0</v>
      </c>
      <c r="S95" s="252">
        <v>0</v>
      </c>
      <c r="T95" s="250">
        <v>0</v>
      </c>
      <c r="U95" s="274"/>
      <c r="V95" s="254">
        <v>244</v>
      </c>
      <c r="W95" s="255">
        <v>0</v>
      </c>
      <c r="X95" s="255">
        <v>80</v>
      </c>
      <c r="Y95" s="255">
        <v>81</v>
      </c>
      <c r="Z95" s="255">
        <v>183</v>
      </c>
      <c r="AA95" s="255">
        <v>79</v>
      </c>
      <c r="AB95" s="251"/>
      <c r="AC95" s="256">
        <v>667</v>
      </c>
      <c r="AD95" s="254">
        <v>23</v>
      </c>
      <c r="AE95" s="255">
        <v>0</v>
      </c>
      <c r="AF95" s="255">
        <v>0</v>
      </c>
      <c r="AG95" s="255">
        <v>0</v>
      </c>
      <c r="AH95" s="255">
        <v>0</v>
      </c>
      <c r="AI95" s="256">
        <v>23</v>
      </c>
      <c r="AJ95" s="255">
        <v>0</v>
      </c>
      <c r="AK95" s="255">
        <v>0</v>
      </c>
      <c r="AL95" s="255">
        <v>0</v>
      </c>
      <c r="AM95" s="254">
        <v>0</v>
      </c>
    </row>
    <row r="96" spans="1:41" ht="13.9" customHeight="1">
      <c r="A96" s="249"/>
      <c r="B96" s="239" t="s">
        <v>32</v>
      </c>
      <c r="C96" s="250">
        <v>0</v>
      </c>
      <c r="D96" s="251">
        <v>0</v>
      </c>
      <c r="E96" s="251">
        <v>0</v>
      </c>
      <c r="F96" s="251">
        <v>0</v>
      </c>
      <c r="G96" s="251">
        <v>0</v>
      </c>
      <c r="H96" s="252">
        <v>0</v>
      </c>
      <c r="I96" s="251"/>
      <c r="J96" s="530">
        <v>0</v>
      </c>
      <c r="K96" s="250">
        <v>0</v>
      </c>
      <c r="L96" s="251">
        <v>0</v>
      </c>
      <c r="M96" s="251">
        <v>0</v>
      </c>
      <c r="N96" s="251">
        <v>0</v>
      </c>
      <c r="O96" s="252">
        <v>0</v>
      </c>
      <c r="P96" s="250">
        <v>0</v>
      </c>
      <c r="Q96" s="250">
        <v>0</v>
      </c>
      <c r="R96" s="251">
        <v>0</v>
      </c>
      <c r="S96" s="252">
        <v>0</v>
      </c>
      <c r="T96" s="250">
        <v>0</v>
      </c>
      <c r="U96" s="274"/>
      <c r="V96" s="254">
        <v>0</v>
      </c>
      <c r="W96" s="255">
        <v>0</v>
      </c>
      <c r="X96" s="255">
        <v>0</v>
      </c>
      <c r="Y96" s="255">
        <v>0</v>
      </c>
      <c r="Z96" s="255">
        <v>0</v>
      </c>
      <c r="AA96" s="255">
        <v>0</v>
      </c>
      <c r="AB96" s="251"/>
      <c r="AC96" s="256">
        <v>0</v>
      </c>
      <c r="AD96" s="254">
        <v>0</v>
      </c>
      <c r="AE96" s="255">
        <v>0</v>
      </c>
      <c r="AF96" s="255">
        <v>0</v>
      </c>
      <c r="AG96" s="255">
        <v>0</v>
      </c>
      <c r="AH96" s="255">
        <v>0</v>
      </c>
      <c r="AI96" s="256">
        <v>0</v>
      </c>
      <c r="AJ96" s="255">
        <v>0</v>
      </c>
      <c r="AK96" s="255">
        <v>0</v>
      </c>
      <c r="AL96" s="255">
        <v>0</v>
      </c>
      <c r="AM96" s="254">
        <v>0</v>
      </c>
    </row>
    <row r="97" spans="1:41" ht="13.9" customHeight="1">
      <c r="A97" s="249"/>
      <c r="B97" s="239" t="s">
        <v>58</v>
      </c>
      <c r="C97" s="250">
        <v>0</v>
      </c>
      <c r="D97" s="251">
        <v>0</v>
      </c>
      <c r="E97" s="251">
        <v>0</v>
      </c>
      <c r="F97" s="251">
        <v>0</v>
      </c>
      <c r="G97" s="251">
        <v>0</v>
      </c>
      <c r="H97" s="252">
        <v>0</v>
      </c>
      <c r="I97" s="251"/>
      <c r="J97" s="530">
        <v>0</v>
      </c>
      <c r="K97" s="250">
        <v>0</v>
      </c>
      <c r="L97" s="251">
        <v>1</v>
      </c>
      <c r="M97" s="251">
        <v>1</v>
      </c>
      <c r="N97" s="251">
        <v>1</v>
      </c>
      <c r="O97" s="252">
        <v>0</v>
      </c>
      <c r="P97" s="250">
        <v>0.93251028806584357</v>
      </c>
      <c r="Q97" s="250">
        <v>0</v>
      </c>
      <c r="R97" s="251">
        <v>0</v>
      </c>
      <c r="S97" s="252">
        <v>0</v>
      </c>
      <c r="T97" s="250">
        <v>0</v>
      </c>
      <c r="U97" s="274"/>
      <c r="V97" s="254">
        <v>0</v>
      </c>
      <c r="W97" s="255">
        <v>0</v>
      </c>
      <c r="X97" s="255">
        <v>0</v>
      </c>
      <c r="Y97" s="255">
        <v>0</v>
      </c>
      <c r="Z97" s="255">
        <v>0</v>
      </c>
      <c r="AA97" s="255">
        <v>0</v>
      </c>
      <c r="AB97" s="251"/>
      <c r="AC97" s="256">
        <v>0</v>
      </c>
      <c r="AD97" s="254">
        <v>0</v>
      </c>
      <c r="AE97" s="255">
        <v>400</v>
      </c>
      <c r="AF97" s="255">
        <v>363</v>
      </c>
      <c r="AG97" s="255">
        <v>370</v>
      </c>
      <c r="AH97" s="255">
        <v>0</v>
      </c>
      <c r="AI97" s="256">
        <v>1133</v>
      </c>
      <c r="AJ97" s="255">
        <v>0</v>
      </c>
      <c r="AK97" s="255">
        <v>0</v>
      </c>
      <c r="AL97" s="255">
        <v>0</v>
      </c>
      <c r="AM97" s="254">
        <v>0</v>
      </c>
    </row>
    <row r="98" spans="1:41" s="271" customFormat="1" ht="23.45" customHeight="1">
      <c r="A98" s="259"/>
      <c r="B98" s="260" t="s">
        <v>59</v>
      </c>
      <c r="C98" s="261">
        <v>1</v>
      </c>
      <c r="D98" s="262">
        <v>0</v>
      </c>
      <c r="E98" s="262">
        <v>1</v>
      </c>
      <c r="F98" s="262">
        <v>1</v>
      </c>
      <c r="G98" s="262">
        <v>1</v>
      </c>
      <c r="H98" s="263">
        <v>1</v>
      </c>
      <c r="I98" s="262"/>
      <c r="J98" s="531">
        <v>1</v>
      </c>
      <c r="K98" s="261">
        <v>1</v>
      </c>
      <c r="L98" s="262">
        <v>1</v>
      </c>
      <c r="M98" s="262">
        <v>1</v>
      </c>
      <c r="N98" s="262">
        <v>1</v>
      </c>
      <c r="O98" s="263">
        <v>0</v>
      </c>
      <c r="P98" s="261">
        <v>1</v>
      </c>
      <c r="Q98" s="261">
        <v>0</v>
      </c>
      <c r="R98" s="262">
        <v>0</v>
      </c>
      <c r="S98" s="263">
        <v>0</v>
      </c>
      <c r="T98" s="261">
        <v>0</v>
      </c>
      <c r="U98" s="274"/>
      <c r="V98" s="265">
        <v>1765</v>
      </c>
      <c r="W98" s="266">
        <v>0</v>
      </c>
      <c r="X98" s="266">
        <v>400</v>
      </c>
      <c r="Y98" s="266">
        <v>306</v>
      </c>
      <c r="Z98" s="266">
        <v>749</v>
      </c>
      <c r="AA98" s="266">
        <v>252</v>
      </c>
      <c r="AB98" s="262"/>
      <c r="AC98" s="267">
        <v>3472</v>
      </c>
      <c r="AD98" s="265">
        <v>82</v>
      </c>
      <c r="AE98" s="266">
        <v>400</v>
      </c>
      <c r="AF98" s="266">
        <v>363</v>
      </c>
      <c r="AG98" s="266">
        <v>370</v>
      </c>
      <c r="AH98" s="268">
        <v>0</v>
      </c>
      <c r="AI98" s="268">
        <v>1215</v>
      </c>
      <c r="AJ98" s="265">
        <v>0</v>
      </c>
      <c r="AK98" s="266">
        <v>0</v>
      </c>
      <c r="AL98" s="268">
        <v>0</v>
      </c>
      <c r="AM98" s="265">
        <v>0</v>
      </c>
      <c r="AN98" s="270"/>
      <c r="AO98" s="270"/>
    </row>
    <row r="99" spans="1:41" ht="13.9" customHeight="1">
      <c r="A99" s="239" t="s">
        <v>14</v>
      </c>
      <c r="B99" s="239" t="s">
        <v>53</v>
      </c>
      <c r="C99" s="241">
        <v>0.3818639798488665</v>
      </c>
      <c r="D99" s="242">
        <v>0</v>
      </c>
      <c r="E99" s="242">
        <v>0.26819923371647508</v>
      </c>
      <c r="F99" s="242">
        <v>0.2665615141955836</v>
      </c>
      <c r="G99" s="242">
        <v>0.30060120240480964</v>
      </c>
      <c r="H99" s="243">
        <v>0.22977941176470587</v>
      </c>
      <c r="I99" s="242"/>
      <c r="J99" s="529">
        <v>0.32424165179709408</v>
      </c>
      <c r="K99" s="241">
        <v>0</v>
      </c>
      <c r="L99" s="242">
        <v>0</v>
      </c>
      <c r="M99" s="242">
        <v>0</v>
      </c>
      <c r="N99" s="242">
        <v>0.13355048859934854</v>
      </c>
      <c r="O99" s="243">
        <v>0</v>
      </c>
      <c r="P99" s="241">
        <v>2.1658742736397254E-2</v>
      </c>
      <c r="Q99" s="241">
        <v>0</v>
      </c>
      <c r="R99" s="242">
        <v>0</v>
      </c>
      <c r="S99" s="243">
        <v>0</v>
      </c>
      <c r="T99" s="241">
        <v>0</v>
      </c>
      <c r="U99" s="274"/>
      <c r="V99" s="245">
        <v>758</v>
      </c>
      <c r="W99" s="246">
        <v>0</v>
      </c>
      <c r="X99" s="246">
        <v>70</v>
      </c>
      <c r="Y99" s="246">
        <v>169</v>
      </c>
      <c r="Z99" s="246">
        <v>150</v>
      </c>
      <c r="AA99" s="246">
        <v>125</v>
      </c>
      <c r="AB99" s="242"/>
      <c r="AC99" s="247">
        <v>1272</v>
      </c>
      <c r="AD99" s="245">
        <v>0</v>
      </c>
      <c r="AE99" s="246">
        <v>0</v>
      </c>
      <c r="AF99" s="246">
        <v>0</v>
      </c>
      <c r="AG99" s="246">
        <v>41</v>
      </c>
      <c r="AH99" s="246">
        <v>0</v>
      </c>
      <c r="AI99" s="247">
        <v>41</v>
      </c>
      <c r="AJ99" s="246">
        <v>0</v>
      </c>
      <c r="AK99" s="246">
        <v>0</v>
      </c>
      <c r="AL99" s="246">
        <v>0</v>
      </c>
      <c r="AM99" s="245">
        <v>0</v>
      </c>
    </row>
    <row r="100" spans="1:41" ht="13.9" customHeight="1">
      <c r="A100" s="249"/>
      <c r="B100" s="239" t="s">
        <v>76</v>
      </c>
      <c r="C100" s="250">
        <v>0.26801007556675061</v>
      </c>
      <c r="D100" s="251">
        <v>0</v>
      </c>
      <c r="E100" s="251">
        <v>0.30268199233716475</v>
      </c>
      <c r="F100" s="251">
        <v>0.33280757097791797</v>
      </c>
      <c r="G100" s="251">
        <v>0.21042084168336672</v>
      </c>
      <c r="H100" s="252">
        <v>0.25183823529411764</v>
      </c>
      <c r="I100" s="251"/>
      <c r="J100" s="530">
        <v>0.27122100433341828</v>
      </c>
      <c r="K100" s="250">
        <v>0</v>
      </c>
      <c r="L100" s="251">
        <v>0</v>
      </c>
      <c r="M100" s="251">
        <v>0</v>
      </c>
      <c r="N100" s="251">
        <v>0.11726384364820847</v>
      </c>
      <c r="O100" s="252">
        <v>0</v>
      </c>
      <c r="P100" s="250">
        <v>1.9017432646592711E-2</v>
      </c>
      <c r="Q100" s="250">
        <v>0</v>
      </c>
      <c r="R100" s="251">
        <v>0</v>
      </c>
      <c r="S100" s="252">
        <v>0</v>
      </c>
      <c r="T100" s="250">
        <v>0</v>
      </c>
      <c r="U100" s="274"/>
      <c r="V100" s="254">
        <v>532</v>
      </c>
      <c r="W100" s="255">
        <v>0</v>
      </c>
      <c r="X100" s="255">
        <v>79</v>
      </c>
      <c r="Y100" s="255">
        <v>211</v>
      </c>
      <c r="Z100" s="255">
        <v>105</v>
      </c>
      <c r="AA100" s="255">
        <v>137</v>
      </c>
      <c r="AB100" s="251"/>
      <c r="AC100" s="256">
        <v>1064</v>
      </c>
      <c r="AD100" s="254">
        <v>0</v>
      </c>
      <c r="AE100" s="255">
        <v>0</v>
      </c>
      <c r="AF100" s="255">
        <v>0</v>
      </c>
      <c r="AG100" s="255">
        <v>36</v>
      </c>
      <c r="AH100" s="255">
        <v>0</v>
      </c>
      <c r="AI100" s="256">
        <v>36</v>
      </c>
      <c r="AJ100" s="255">
        <v>0</v>
      </c>
      <c r="AK100" s="255">
        <v>0</v>
      </c>
      <c r="AL100" s="255">
        <v>0</v>
      </c>
      <c r="AM100" s="254">
        <v>0</v>
      </c>
    </row>
    <row r="101" spans="1:41" ht="13.9" customHeight="1">
      <c r="A101" s="249"/>
      <c r="B101" s="239" t="s">
        <v>77</v>
      </c>
      <c r="C101" s="250">
        <v>0.23224181360201512</v>
      </c>
      <c r="D101" s="251">
        <v>0</v>
      </c>
      <c r="E101" s="251">
        <v>0.31417624521072796</v>
      </c>
      <c r="F101" s="251">
        <v>0.30283911671924291</v>
      </c>
      <c r="G101" s="251">
        <v>0.37274549098196391</v>
      </c>
      <c r="H101" s="252">
        <v>0.31433823529411764</v>
      </c>
      <c r="I101" s="251"/>
      <c r="J101" s="530">
        <v>0.27835839918429772</v>
      </c>
      <c r="K101" s="250">
        <v>0</v>
      </c>
      <c r="L101" s="251">
        <v>0</v>
      </c>
      <c r="M101" s="251">
        <v>0</v>
      </c>
      <c r="N101" s="251">
        <v>8.143322475570032E-2</v>
      </c>
      <c r="O101" s="252">
        <v>0</v>
      </c>
      <c r="P101" s="250">
        <v>1.3206550449022716E-2</v>
      </c>
      <c r="Q101" s="250">
        <v>0</v>
      </c>
      <c r="R101" s="251">
        <v>0</v>
      </c>
      <c r="S101" s="252">
        <v>0</v>
      </c>
      <c r="T101" s="250">
        <v>0</v>
      </c>
      <c r="U101" s="274"/>
      <c r="V101" s="254">
        <v>461</v>
      </c>
      <c r="W101" s="255">
        <v>0</v>
      </c>
      <c r="X101" s="255">
        <v>82</v>
      </c>
      <c r="Y101" s="255">
        <v>192</v>
      </c>
      <c r="Z101" s="255">
        <v>186</v>
      </c>
      <c r="AA101" s="255">
        <v>171</v>
      </c>
      <c r="AB101" s="251"/>
      <c r="AC101" s="256">
        <v>1092</v>
      </c>
      <c r="AD101" s="254">
        <v>0</v>
      </c>
      <c r="AE101" s="255">
        <v>0</v>
      </c>
      <c r="AF101" s="255">
        <v>0</v>
      </c>
      <c r="AG101" s="255">
        <v>25</v>
      </c>
      <c r="AH101" s="255">
        <v>0</v>
      </c>
      <c r="AI101" s="256">
        <v>25</v>
      </c>
      <c r="AJ101" s="255">
        <v>0</v>
      </c>
      <c r="AK101" s="255">
        <v>0</v>
      </c>
      <c r="AL101" s="255">
        <v>0</v>
      </c>
      <c r="AM101" s="254">
        <v>0</v>
      </c>
    </row>
    <row r="102" spans="1:41" ht="13.9" customHeight="1">
      <c r="A102" s="249"/>
      <c r="B102" s="239" t="s">
        <v>78</v>
      </c>
      <c r="C102" s="250">
        <v>3.8790931989924435E-2</v>
      </c>
      <c r="D102" s="251">
        <v>0</v>
      </c>
      <c r="E102" s="251">
        <v>0.10727969348659004</v>
      </c>
      <c r="F102" s="251">
        <v>8.9905362776025233E-2</v>
      </c>
      <c r="G102" s="251">
        <v>0.10621242484969939</v>
      </c>
      <c r="H102" s="252">
        <v>0.18933823529411764</v>
      </c>
      <c r="I102" s="251"/>
      <c r="J102" s="530">
        <v>8.1060412949273519E-2</v>
      </c>
      <c r="K102" s="250">
        <v>0</v>
      </c>
      <c r="L102" s="251">
        <v>0</v>
      </c>
      <c r="M102" s="251">
        <v>0</v>
      </c>
      <c r="N102" s="251">
        <v>8.4690553745928335E-2</v>
      </c>
      <c r="O102" s="252">
        <v>0</v>
      </c>
      <c r="P102" s="250">
        <v>1.3734812466983624E-2</v>
      </c>
      <c r="Q102" s="250">
        <v>0</v>
      </c>
      <c r="R102" s="251">
        <v>0</v>
      </c>
      <c r="S102" s="252">
        <v>0</v>
      </c>
      <c r="T102" s="250">
        <v>0</v>
      </c>
      <c r="U102" s="274"/>
      <c r="V102" s="254">
        <v>77</v>
      </c>
      <c r="W102" s="255">
        <v>0</v>
      </c>
      <c r="X102" s="255">
        <v>28</v>
      </c>
      <c r="Y102" s="255">
        <v>57</v>
      </c>
      <c r="Z102" s="255">
        <v>53</v>
      </c>
      <c r="AA102" s="255">
        <v>103</v>
      </c>
      <c r="AB102" s="251"/>
      <c r="AC102" s="256">
        <v>318</v>
      </c>
      <c r="AD102" s="254">
        <v>0</v>
      </c>
      <c r="AE102" s="255">
        <v>0</v>
      </c>
      <c r="AF102" s="255">
        <v>0</v>
      </c>
      <c r="AG102" s="255">
        <v>26</v>
      </c>
      <c r="AH102" s="255">
        <v>0</v>
      </c>
      <c r="AI102" s="256">
        <v>26</v>
      </c>
      <c r="AJ102" s="255">
        <v>0</v>
      </c>
      <c r="AK102" s="255">
        <v>0</v>
      </c>
      <c r="AL102" s="255">
        <v>0</v>
      </c>
      <c r="AM102" s="254">
        <v>0</v>
      </c>
    </row>
    <row r="103" spans="1:41" ht="13.9" customHeight="1">
      <c r="A103" s="249"/>
      <c r="B103" s="239" t="s">
        <v>32</v>
      </c>
      <c r="C103" s="250">
        <v>7.9093198992443325E-2</v>
      </c>
      <c r="D103" s="251">
        <v>0</v>
      </c>
      <c r="E103" s="251">
        <v>7.6628352490421452E-3</v>
      </c>
      <c r="F103" s="251">
        <v>7.8864353312302835E-3</v>
      </c>
      <c r="G103" s="251">
        <v>1.002004008016032E-2</v>
      </c>
      <c r="H103" s="252">
        <v>1.4705882352941176E-2</v>
      </c>
      <c r="I103" s="251"/>
      <c r="J103" s="530">
        <v>4.5118531735916394E-2</v>
      </c>
      <c r="K103" s="250">
        <v>0</v>
      </c>
      <c r="L103" s="251">
        <v>1</v>
      </c>
      <c r="M103" s="251">
        <v>1</v>
      </c>
      <c r="N103" s="251">
        <v>0.58306188925081437</v>
      </c>
      <c r="O103" s="252">
        <v>0</v>
      </c>
      <c r="P103" s="250">
        <v>0.9323824617010037</v>
      </c>
      <c r="Q103" s="250">
        <v>0</v>
      </c>
      <c r="R103" s="251">
        <v>0</v>
      </c>
      <c r="S103" s="252">
        <v>0</v>
      </c>
      <c r="T103" s="250">
        <v>0</v>
      </c>
      <c r="U103" s="274"/>
      <c r="V103" s="254">
        <v>157</v>
      </c>
      <c r="W103" s="255">
        <v>0</v>
      </c>
      <c r="X103" s="255">
        <v>2</v>
      </c>
      <c r="Y103" s="255">
        <v>5</v>
      </c>
      <c r="Z103" s="255">
        <v>5</v>
      </c>
      <c r="AA103" s="255">
        <v>8</v>
      </c>
      <c r="AB103" s="251"/>
      <c r="AC103" s="256">
        <v>177</v>
      </c>
      <c r="AD103" s="254">
        <v>0</v>
      </c>
      <c r="AE103" s="255">
        <v>775</v>
      </c>
      <c r="AF103" s="255">
        <v>811</v>
      </c>
      <c r="AG103" s="255">
        <v>179</v>
      </c>
      <c r="AH103" s="255">
        <v>0</v>
      </c>
      <c r="AI103" s="256">
        <v>1765</v>
      </c>
      <c r="AJ103" s="255">
        <v>0</v>
      </c>
      <c r="AK103" s="255">
        <v>0</v>
      </c>
      <c r="AL103" s="255">
        <v>0</v>
      </c>
      <c r="AM103" s="254">
        <v>0</v>
      </c>
    </row>
    <row r="104" spans="1:41" ht="13.9" customHeight="1">
      <c r="A104" s="249"/>
      <c r="B104" s="239" t="s">
        <v>58</v>
      </c>
      <c r="C104" s="250">
        <v>0</v>
      </c>
      <c r="D104" s="251">
        <v>0</v>
      </c>
      <c r="E104" s="251">
        <v>0</v>
      </c>
      <c r="F104" s="251">
        <v>0</v>
      </c>
      <c r="G104" s="251">
        <v>0</v>
      </c>
      <c r="H104" s="252">
        <v>0</v>
      </c>
      <c r="I104" s="251"/>
      <c r="J104" s="530">
        <v>0</v>
      </c>
      <c r="K104" s="250">
        <v>0</v>
      </c>
      <c r="L104" s="251">
        <v>0</v>
      </c>
      <c r="M104" s="251">
        <v>0</v>
      </c>
      <c r="N104" s="251">
        <v>0</v>
      </c>
      <c r="O104" s="252">
        <v>0</v>
      </c>
      <c r="P104" s="250">
        <v>0</v>
      </c>
      <c r="Q104" s="250">
        <v>0</v>
      </c>
      <c r="R104" s="251">
        <v>0</v>
      </c>
      <c r="S104" s="252">
        <v>0</v>
      </c>
      <c r="T104" s="250">
        <v>0</v>
      </c>
      <c r="U104" s="274"/>
      <c r="V104" s="254">
        <v>0</v>
      </c>
      <c r="W104" s="255">
        <v>0</v>
      </c>
      <c r="X104" s="255">
        <v>0</v>
      </c>
      <c r="Y104" s="255">
        <v>0</v>
      </c>
      <c r="Z104" s="255">
        <v>0</v>
      </c>
      <c r="AA104" s="255">
        <v>0</v>
      </c>
      <c r="AB104" s="251"/>
      <c r="AC104" s="256">
        <v>0</v>
      </c>
      <c r="AD104" s="254">
        <v>0</v>
      </c>
      <c r="AE104" s="255">
        <v>0</v>
      </c>
      <c r="AF104" s="255">
        <v>0</v>
      </c>
      <c r="AG104" s="255">
        <v>0</v>
      </c>
      <c r="AH104" s="255">
        <v>0</v>
      </c>
      <c r="AI104" s="256">
        <v>0</v>
      </c>
      <c r="AJ104" s="255">
        <v>0</v>
      </c>
      <c r="AK104" s="255">
        <v>0</v>
      </c>
      <c r="AL104" s="255">
        <v>0</v>
      </c>
      <c r="AM104" s="254">
        <v>0</v>
      </c>
    </row>
    <row r="105" spans="1:41" s="271" customFormat="1" ht="23.45" customHeight="1">
      <c r="A105" s="259"/>
      <c r="B105" s="260" t="s">
        <v>59</v>
      </c>
      <c r="C105" s="261">
        <v>1</v>
      </c>
      <c r="D105" s="262">
        <v>0</v>
      </c>
      <c r="E105" s="262">
        <v>1</v>
      </c>
      <c r="F105" s="262">
        <v>1</v>
      </c>
      <c r="G105" s="262">
        <v>1</v>
      </c>
      <c r="H105" s="263">
        <v>1</v>
      </c>
      <c r="I105" s="262"/>
      <c r="J105" s="531">
        <v>1</v>
      </c>
      <c r="K105" s="261">
        <v>0</v>
      </c>
      <c r="L105" s="262">
        <v>1</v>
      </c>
      <c r="M105" s="262">
        <v>1</v>
      </c>
      <c r="N105" s="262">
        <v>1</v>
      </c>
      <c r="O105" s="263">
        <v>0</v>
      </c>
      <c r="P105" s="261">
        <v>1</v>
      </c>
      <c r="Q105" s="261">
        <v>0</v>
      </c>
      <c r="R105" s="262">
        <v>0</v>
      </c>
      <c r="S105" s="263">
        <v>0</v>
      </c>
      <c r="T105" s="261">
        <v>0</v>
      </c>
      <c r="U105" s="274"/>
      <c r="V105" s="265">
        <v>1985</v>
      </c>
      <c r="W105" s="266">
        <v>0</v>
      </c>
      <c r="X105" s="266">
        <v>261</v>
      </c>
      <c r="Y105" s="266">
        <v>634</v>
      </c>
      <c r="Z105" s="266">
        <v>499</v>
      </c>
      <c r="AA105" s="266">
        <v>544</v>
      </c>
      <c r="AB105" s="262"/>
      <c r="AC105" s="267">
        <v>3923</v>
      </c>
      <c r="AD105" s="265">
        <v>0</v>
      </c>
      <c r="AE105" s="266">
        <v>775</v>
      </c>
      <c r="AF105" s="266">
        <v>811</v>
      </c>
      <c r="AG105" s="266">
        <v>307</v>
      </c>
      <c r="AH105" s="268">
        <v>0</v>
      </c>
      <c r="AI105" s="268">
        <v>1893</v>
      </c>
      <c r="AJ105" s="265">
        <v>0</v>
      </c>
      <c r="AK105" s="266">
        <v>0</v>
      </c>
      <c r="AL105" s="268">
        <v>0</v>
      </c>
      <c r="AM105" s="265">
        <v>0</v>
      </c>
      <c r="AN105" s="270"/>
      <c r="AO105" s="270"/>
    </row>
    <row r="106" spans="1:41" ht="13.9" customHeight="1">
      <c r="A106" s="239" t="s">
        <v>15</v>
      </c>
      <c r="B106" s="239" t="s">
        <v>53</v>
      </c>
      <c r="C106" s="241">
        <v>0.38156123822341859</v>
      </c>
      <c r="D106" s="242">
        <v>0.27251184834123221</v>
      </c>
      <c r="E106" s="242">
        <v>0.30930930930930933</v>
      </c>
      <c r="F106" s="242">
        <v>0.41324921135646686</v>
      </c>
      <c r="G106" s="242">
        <v>0.3168724279835391</v>
      </c>
      <c r="H106" s="243">
        <v>0</v>
      </c>
      <c r="I106" s="242"/>
      <c r="J106" s="529">
        <v>0.33698366954851106</v>
      </c>
      <c r="K106" s="241">
        <v>0</v>
      </c>
      <c r="L106" s="242">
        <v>0.11600587371512482</v>
      </c>
      <c r="M106" s="242">
        <v>0.10761421319796954</v>
      </c>
      <c r="N106" s="242">
        <v>0.14285714285714285</v>
      </c>
      <c r="O106" s="243">
        <v>0</v>
      </c>
      <c r="P106" s="241">
        <v>0.11207897793263646</v>
      </c>
      <c r="Q106" s="241">
        <v>0</v>
      </c>
      <c r="R106" s="242">
        <v>0</v>
      </c>
      <c r="S106" s="243">
        <v>0</v>
      </c>
      <c r="T106" s="241">
        <v>0</v>
      </c>
      <c r="U106" s="274"/>
      <c r="V106" s="245">
        <v>567</v>
      </c>
      <c r="W106" s="246">
        <v>230</v>
      </c>
      <c r="X106" s="246">
        <v>618</v>
      </c>
      <c r="Y106" s="246">
        <v>262</v>
      </c>
      <c r="Z106" s="246">
        <v>77</v>
      </c>
      <c r="AA106" s="246">
        <v>0</v>
      </c>
      <c r="AB106" s="242"/>
      <c r="AC106" s="247">
        <v>1754</v>
      </c>
      <c r="AD106" s="245">
        <v>0</v>
      </c>
      <c r="AE106" s="246">
        <v>79</v>
      </c>
      <c r="AF106" s="246">
        <v>106</v>
      </c>
      <c r="AG106" s="246">
        <v>8</v>
      </c>
      <c r="AH106" s="246">
        <v>0</v>
      </c>
      <c r="AI106" s="247">
        <v>193</v>
      </c>
      <c r="AJ106" s="246">
        <v>0</v>
      </c>
      <c r="AK106" s="246">
        <v>0</v>
      </c>
      <c r="AL106" s="246">
        <v>0</v>
      </c>
      <c r="AM106" s="245">
        <v>0</v>
      </c>
    </row>
    <row r="107" spans="1:41" ht="13.9" customHeight="1">
      <c r="A107" s="249"/>
      <c r="B107" s="239" t="s">
        <v>76</v>
      </c>
      <c r="C107" s="250">
        <v>0.23822341857335128</v>
      </c>
      <c r="D107" s="251">
        <v>0.2618483412322275</v>
      </c>
      <c r="E107" s="251">
        <v>0.2722722722722723</v>
      </c>
      <c r="F107" s="251">
        <v>0.24921135646687698</v>
      </c>
      <c r="G107" s="251">
        <v>0.14814814814814814</v>
      </c>
      <c r="H107" s="252">
        <v>0</v>
      </c>
      <c r="I107" s="251"/>
      <c r="J107" s="530">
        <v>0.2522574447646494</v>
      </c>
      <c r="K107" s="250">
        <v>0</v>
      </c>
      <c r="L107" s="251">
        <v>0.46549192364170339</v>
      </c>
      <c r="M107" s="251">
        <v>0.4467005076142132</v>
      </c>
      <c r="N107" s="251">
        <v>0.5</v>
      </c>
      <c r="O107" s="252">
        <v>0</v>
      </c>
      <c r="P107" s="250">
        <v>0.45586527293844364</v>
      </c>
      <c r="Q107" s="250">
        <v>0</v>
      </c>
      <c r="R107" s="251">
        <v>0</v>
      </c>
      <c r="S107" s="252">
        <v>0</v>
      </c>
      <c r="T107" s="250">
        <v>0</v>
      </c>
      <c r="U107" s="274"/>
      <c r="V107" s="254">
        <v>354</v>
      </c>
      <c r="W107" s="255">
        <v>221</v>
      </c>
      <c r="X107" s="255">
        <v>544</v>
      </c>
      <c r="Y107" s="255">
        <v>158</v>
      </c>
      <c r="Z107" s="255">
        <v>36</v>
      </c>
      <c r="AA107" s="255">
        <v>0</v>
      </c>
      <c r="AB107" s="251"/>
      <c r="AC107" s="256">
        <v>1313</v>
      </c>
      <c r="AD107" s="254">
        <v>0</v>
      </c>
      <c r="AE107" s="255">
        <v>317</v>
      </c>
      <c r="AF107" s="255">
        <v>440</v>
      </c>
      <c r="AG107" s="255">
        <v>28</v>
      </c>
      <c r="AH107" s="255">
        <v>0</v>
      </c>
      <c r="AI107" s="256">
        <v>785</v>
      </c>
      <c r="AJ107" s="255">
        <v>0</v>
      </c>
      <c r="AK107" s="255">
        <v>0</v>
      </c>
      <c r="AL107" s="255">
        <v>0</v>
      </c>
      <c r="AM107" s="254">
        <v>0</v>
      </c>
    </row>
    <row r="108" spans="1:41" ht="13.9" customHeight="1">
      <c r="A108" s="249"/>
      <c r="B108" s="239" t="s">
        <v>77</v>
      </c>
      <c r="C108" s="250">
        <v>0.21803499327052489</v>
      </c>
      <c r="D108" s="251">
        <v>0.29976303317535546</v>
      </c>
      <c r="E108" s="251">
        <v>0.29679679679679677</v>
      </c>
      <c r="F108" s="251">
        <v>0.27444794952681389</v>
      </c>
      <c r="G108" s="251">
        <v>0.36213991769547327</v>
      </c>
      <c r="H108" s="252">
        <v>0</v>
      </c>
      <c r="I108" s="251"/>
      <c r="J108" s="530">
        <v>0.27512007684918349</v>
      </c>
      <c r="K108" s="250">
        <v>0</v>
      </c>
      <c r="L108" s="251">
        <v>0.19823788546255505</v>
      </c>
      <c r="M108" s="251">
        <v>0.24873096446700507</v>
      </c>
      <c r="N108" s="251">
        <v>7.1428571428571425E-2</v>
      </c>
      <c r="O108" s="252">
        <v>0</v>
      </c>
      <c r="P108" s="250">
        <v>0.22299651567944251</v>
      </c>
      <c r="Q108" s="250">
        <v>0</v>
      </c>
      <c r="R108" s="251">
        <v>0</v>
      </c>
      <c r="S108" s="252">
        <v>0</v>
      </c>
      <c r="T108" s="250">
        <v>0</v>
      </c>
      <c r="U108" s="274"/>
      <c r="V108" s="254">
        <v>324</v>
      </c>
      <c r="W108" s="255">
        <v>253</v>
      </c>
      <c r="X108" s="255">
        <v>593</v>
      </c>
      <c r="Y108" s="255">
        <v>174</v>
      </c>
      <c r="Z108" s="255">
        <v>88</v>
      </c>
      <c r="AA108" s="255">
        <v>0</v>
      </c>
      <c r="AB108" s="251"/>
      <c r="AC108" s="256">
        <v>1432</v>
      </c>
      <c r="AD108" s="254">
        <v>0</v>
      </c>
      <c r="AE108" s="255">
        <v>135</v>
      </c>
      <c r="AF108" s="255">
        <v>245</v>
      </c>
      <c r="AG108" s="255">
        <v>4</v>
      </c>
      <c r="AH108" s="255">
        <v>0</v>
      </c>
      <c r="AI108" s="256">
        <v>384</v>
      </c>
      <c r="AJ108" s="255">
        <v>0</v>
      </c>
      <c r="AK108" s="255">
        <v>0</v>
      </c>
      <c r="AL108" s="255">
        <v>0</v>
      </c>
      <c r="AM108" s="254">
        <v>0</v>
      </c>
    </row>
    <row r="109" spans="1:41" ht="13.9" customHeight="1">
      <c r="A109" s="249"/>
      <c r="B109" s="239" t="s">
        <v>78</v>
      </c>
      <c r="C109" s="250">
        <v>2.5572005383580079E-2</v>
      </c>
      <c r="D109" s="251">
        <v>0.10900473933649289</v>
      </c>
      <c r="E109" s="251">
        <v>0.10010010010010011</v>
      </c>
      <c r="F109" s="251">
        <v>6.3091482649842268E-2</v>
      </c>
      <c r="G109" s="251">
        <v>0.16049382716049382</v>
      </c>
      <c r="H109" s="252">
        <v>0</v>
      </c>
      <c r="I109" s="251"/>
      <c r="J109" s="530">
        <v>7.8578290105667623E-2</v>
      </c>
      <c r="K109" s="250">
        <v>0</v>
      </c>
      <c r="L109" s="251">
        <v>0.14977973568281938</v>
      </c>
      <c r="M109" s="251">
        <v>0.19695431472081218</v>
      </c>
      <c r="N109" s="251">
        <v>0.2857142857142857</v>
      </c>
      <c r="O109" s="252">
        <v>0</v>
      </c>
      <c r="P109" s="250">
        <v>0.18118466898954705</v>
      </c>
      <c r="Q109" s="250">
        <v>0</v>
      </c>
      <c r="R109" s="251">
        <v>0</v>
      </c>
      <c r="S109" s="252">
        <v>0</v>
      </c>
      <c r="T109" s="250">
        <v>0</v>
      </c>
      <c r="U109" s="274"/>
      <c r="V109" s="254">
        <v>38</v>
      </c>
      <c r="W109" s="255">
        <v>92</v>
      </c>
      <c r="X109" s="255">
        <v>200</v>
      </c>
      <c r="Y109" s="255">
        <v>40</v>
      </c>
      <c r="Z109" s="255">
        <v>39</v>
      </c>
      <c r="AA109" s="255">
        <v>0</v>
      </c>
      <c r="AB109" s="251"/>
      <c r="AC109" s="256">
        <v>409</v>
      </c>
      <c r="AD109" s="254">
        <v>0</v>
      </c>
      <c r="AE109" s="255">
        <v>102</v>
      </c>
      <c r="AF109" s="255">
        <v>194</v>
      </c>
      <c r="AG109" s="255">
        <v>16</v>
      </c>
      <c r="AH109" s="255">
        <v>0</v>
      </c>
      <c r="AI109" s="256">
        <v>312</v>
      </c>
      <c r="AJ109" s="255">
        <v>0</v>
      </c>
      <c r="AK109" s="255">
        <v>0</v>
      </c>
      <c r="AL109" s="255">
        <v>0</v>
      </c>
      <c r="AM109" s="254">
        <v>0</v>
      </c>
    </row>
    <row r="110" spans="1:41" ht="13.9" customHeight="1">
      <c r="A110" s="249"/>
      <c r="B110" s="239" t="s">
        <v>32</v>
      </c>
      <c r="C110" s="250">
        <v>0.13660834454912515</v>
      </c>
      <c r="D110" s="251">
        <v>5.6872037914691941E-2</v>
      </c>
      <c r="E110" s="251">
        <v>2.1521521521521522E-2</v>
      </c>
      <c r="F110" s="251">
        <v>0</v>
      </c>
      <c r="G110" s="251">
        <v>1.2345679012345678E-2</v>
      </c>
      <c r="H110" s="252">
        <v>0</v>
      </c>
      <c r="I110" s="251"/>
      <c r="J110" s="530">
        <v>5.7060518731988474E-2</v>
      </c>
      <c r="K110" s="250">
        <v>0</v>
      </c>
      <c r="L110" s="251">
        <v>7.0484581497797363E-2</v>
      </c>
      <c r="M110" s="251">
        <v>0</v>
      </c>
      <c r="N110" s="251">
        <v>0</v>
      </c>
      <c r="O110" s="252">
        <v>0</v>
      </c>
      <c r="P110" s="250">
        <v>2.7874564459930314E-2</v>
      </c>
      <c r="Q110" s="250">
        <v>0</v>
      </c>
      <c r="R110" s="251">
        <v>0</v>
      </c>
      <c r="S110" s="252">
        <v>0</v>
      </c>
      <c r="T110" s="250">
        <v>0</v>
      </c>
      <c r="U110" s="274"/>
      <c r="V110" s="254">
        <v>203</v>
      </c>
      <c r="W110" s="255">
        <v>48</v>
      </c>
      <c r="X110" s="255">
        <v>43</v>
      </c>
      <c r="Y110" s="255">
        <v>0</v>
      </c>
      <c r="Z110" s="255">
        <v>3</v>
      </c>
      <c r="AA110" s="255">
        <v>0</v>
      </c>
      <c r="AB110" s="251"/>
      <c r="AC110" s="256">
        <v>297</v>
      </c>
      <c r="AD110" s="254">
        <v>0</v>
      </c>
      <c r="AE110" s="255">
        <v>48</v>
      </c>
      <c r="AF110" s="255">
        <v>0</v>
      </c>
      <c r="AG110" s="255">
        <v>0</v>
      </c>
      <c r="AH110" s="255">
        <v>0</v>
      </c>
      <c r="AI110" s="256">
        <v>48</v>
      </c>
      <c r="AJ110" s="255">
        <v>0</v>
      </c>
      <c r="AK110" s="255">
        <v>0</v>
      </c>
      <c r="AL110" s="255">
        <v>0</v>
      </c>
      <c r="AM110" s="254">
        <v>0</v>
      </c>
    </row>
    <row r="111" spans="1:41" ht="13.9" customHeight="1">
      <c r="A111" s="249"/>
      <c r="B111" s="239" t="s">
        <v>58</v>
      </c>
      <c r="C111" s="250">
        <v>0</v>
      </c>
      <c r="D111" s="251">
        <v>0</v>
      </c>
      <c r="E111" s="251">
        <v>0</v>
      </c>
      <c r="F111" s="251">
        <v>0</v>
      </c>
      <c r="G111" s="251">
        <v>0</v>
      </c>
      <c r="H111" s="252">
        <v>0</v>
      </c>
      <c r="I111" s="251"/>
      <c r="J111" s="530">
        <v>0</v>
      </c>
      <c r="K111" s="250">
        <v>0</v>
      </c>
      <c r="L111" s="251">
        <v>0</v>
      </c>
      <c r="M111" s="251">
        <v>0</v>
      </c>
      <c r="N111" s="251">
        <v>0</v>
      </c>
      <c r="O111" s="252">
        <v>0</v>
      </c>
      <c r="P111" s="250">
        <v>0</v>
      </c>
      <c r="Q111" s="250">
        <v>1</v>
      </c>
      <c r="R111" s="251">
        <v>1</v>
      </c>
      <c r="S111" s="252">
        <v>0</v>
      </c>
      <c r="T111" s="250">
        <v>1</v>
      </c>
      <c r="U111" s="274"/>
      <c r="V111" s="254">
        <v>0</v>
      </c>
      <c r="W111" s="255">
        <v>0</v>
      </c>
      <c r="X111" s="255">
        <v>0</v>
      </c>
      <c r="Y111" s="255">
        <v>0</v>
      </c>
      <c r="Z111" s="255">
        <v>0</v>
      </c>
      <c r="AA111" s="255">
        <v>0</v>
      </c>
      <c r="AB111" s="251"/>
      <c r="AC111" s="256">
        <v>0</v>
      </c>
      <c r="AD111" s="254">
        <v>0</v>
      </c>
      <c r="AE111" s="255">
        <v>0</v>
      </c>
      <c r="AF111" s="255">
        <v>0</v>
      </c>
      <c r="AG111" s="255">
        <v>0</v>
      </c>
      <c r="AH111" s="255">
        <v>0</v>
      </c>
      <c r="AI111" s="256">
        <v>0</v>
      </c>
      <c r="AJ111" s="255">
        <v>36</v>
      </c>
      <c r="AK111" s="255">
        <v>416</v>
      </c>
      <c r="AL111" s="255">
        <v>0</v>
      </c>
      <c r="AM111" s="254">
        <v>452</v>
      </c>
    </row>
    <row r="112" spans="1:41" s="271" customFormat="1" ht="23.45" customHeight="1">
      <c r="A112" s="259"/>
      <c r="B112" s="260" t="s">
        <v>59</v>
      </c>
      <c r="C112" s="261">
        <v>1</v>
      </c>
      <c r="D112" s="262">
        <v>1</v>
      </c>
      <c r="E112" s="262">
        <v>1</v>
      </c>
      <c r="F112" s="262">
        <v>1</v>
      </c>
      <c r="G112" s="262">
        <v>1</v>
      </c>
      <c r="H112" s="263">
        <v>0</v>
      </c>
      <c r="I112" s="262"/>
      <c r="J112" s="531">
        <v>1</v>
      </c>
      <c r="K112" s="261">
        <v>0</v>
      </c>
      <c r="L112" s="262">
        <v>1</v>
      </c>
      <c r="M112" s="262">
        <v>1</v>
      </c>
      <c r="N112" s="262">
        <v>1</v>
      </c>
      <c r="O112" s="263">
        <v>0</v>
      </c>
      <c r="P112" s="261">
        <v>1</v>
      </c>
      <c r="Q112" s="261">
        <v>1</v>
      </c>
      <c r="R112" s="262">
        <v>1</v>
      </c>
      <c r="S112" s="263">
        <v>0</v>
      </c>
      <c r="T112" s="261">
        <v>1</v>
      </c>
      <c r="U112" s="274"/>
      <c r="V112" s="265">
        <v>1486</v>
      </c>
      <c r="W112" s="266">
        <v>844</v>
      </c>
      <c r="X112" s="266">
        <v>1998</v>
      </c>
      <c r="Y112" s="266">
        <v>634</v>
      </c>
      <c r="Z112" s="266">
        <v>243</v>
      </c>
      <c r="AA112" s="266">
        <v>0</v>
      </c>
      <c r="AB112" s="262"/>
      <c r="AC112" s="267">
        <v>5205</v>
      </c>
      <c r="AD112" s="265">
        <v>0</v>
      </c>
      <c r="AE112" s="266">
        <v>681</v>
      </c>
      <c r="AF112" s="266">
        <v>985</v>
      </c>
      <c r="AG112" s="266">
        <v>56</v>
      </c>
      <c r="AH112" s="268">
        <v>0</v>
      </c>
      <c r="AI112" s="268">
        <v>1722</v>
      </c>
      <c r="AJ112" s="265">
        <v>36</v>
      </c>
      <c r="AK112" s="266">
        <v>416</v>
      </c>
      <c r="AL112" s="268">
        <v>0</v>
      </c>
      <c r="AM112" s="265">
        <v>452</v>
      </c>
      <c r="AN112" s="270"/>
      <c r="AO112" s="270"/>
    </row>
    <row r="113" spans="1:41" ht="13.9" customHeight="1">
      <c r="A113" s="239" t="s">
        <v>16</v>
      </c>
      <c r="B113" s="239" t="s">
        <v>53</v>
      </c>
      <c r="C113" s="241">
        <v>0.37173792337590228</v>
      </c>
      <c r="D113" s="242">
        <v>0.26998689384010482</v>
      </c>
      <c r="E113" s="242">
        <v>0.24942756831018165</v>
      </c>
      <c r="F113" s="242">
        <v>0.15348837209302327</v>
      </c>
      <c r="G113" s="242">
        <v>0.18055555555555555</v>
      </c>
      <c r="H113" s="243">
        <v>0.16717325227963525</v>
      </c>
      <c r="I113" s="242"/>
      <c r="J113" s="529">
        <v>0.2995651375022968</v>
      </c>
      <c r="K113" s="241">
        <v>0</v>
      </c>
      <c r="L113" s="242">
        <v>0.19037749814951888</v>
      </c>
      <c r="M113" s="242">
        <v>0.14084928229665072</v>
      </c>
      <c r="N113" s="242">
        <v>0.10128913443830571</v>
      </c>
      <c r="O113" s="243">
        <v>0</v>
      </c>
      <c r="P113" s="241">
        <v>0.17026874647622628</v>
      </c>
      <c r="Q113" s="241">
        <v>0</v>
      </c>
      <c r="R113" s="242">
        <v>0</v>
      </c>
      <c r="S113" s="243">
        <v>0</v>
      </c>
      <c r="T113" s="241">
        <v>0</v>
      </c>
      <c r="U113" s="274"/>
      <c r="V113" s="245">
        <v>2678</v>
      </c>
      <c r="W113" s="246">
        <v>412</v>
      </c>
      <c r="X113" s="246">
        <v>1634</v>
      </c>
      <c r="Y113" s="246">
        <v>99</v>
      </c>
      <c r="Z113" s="246">
        <v>13</v>
      </c>
      <c r="AA113" s="246">
        <v>55</v>
      </c>
      <c r="AB113" s="242"/>
      <c r="AC113" s="247">
        <v>4891</v>
      </c>
      <c r="AD113" s="245">
        <v>0</v>
      </c>
      <c r="AE113" s="246">
        <v>1286</v>
      </c>
      <c r="AF113" s="246">
        <v>471</v>
      </c>
      <c r="AG113" s="246">
        <v>55</v>
      </c>
      <c r="AH113" s="246">
        <v>0</v>
      </c>
      <c r="AI113" s="247">
        <v>1812</v>
      </c>
      <c r="AJ113" s="246">
        <v>0</v>
      </c>
      <c r="AK113" s="246">
        <v>0</v>
      </c>
      <c r="AL113" s="246">
        <v>0</v>
      </c>
      <c r="AM113" s="245">
        <v>0</v>
      </c>
    </row>
    <row r="114" spans="1:41" ht="13.9" customHeight="1">
      <c r="A114" s="249"/>
      <c r="B114" s="239" t="s">
        <v>76</v>
      </c>
      <c r="C114" s="250">
        <v>0.22779011660188783</v>
      </c>
      <c r="D114" s="251">
        <v>0.24180865006553079</v>
      </c>
      <c r="E114" s="251">
        <v>0.22851473057548466</v>
      </c>
      <c r="F114" s="251">
        <v>0.2992248062015504</v>
      </c>
      <c r="G114" s="251">
        <v>0.2361111111111111</v>
      </c>
      <c r="H114" s="252">
        <v>0.19148936170212766</v>
      </c>
      <c r="I114" s="251"/>
      <c r="J114" s="530">
        <v>0.23151834384761438</v>
      </c>
      <c r="K114" s="250">
        <v>0</v>
      </c>
      <c r="L114" s="251">
        <v>0.1070318282753516</v>
      </c>
      <c r="M114" s="251">
        <v>7.1471291866028713E-2</v>
      </c>
      <c r="N114" s="251">
        <v>0.10865561694290976</v>
      </c>
      <c r="O114" s="252">
        <v>0</v>
      </c>
      <c r="P114" s="250">
        <v>9.594061266679195E-2</v>
      </c>
      <c r="Q114" s="250">
        <v>0</v>
      </c>
      <c r="R114" s="251">
        <v>0</v>
      </c>
      <c r="S114" s="252">
        <v>0</v>
      </c>
      <c r="T114" s="250">
        <v>0</v>
      </c>
      <c r="U114" s="274"/>
      <c r="V114" s="254">
        <v>1641</v>
      </c>
      <c r="W114" s="255">
        <v>369</v>
      </c>
      <c r="X114" s="255">
        <v>1497</v>
      </c>
      <c r="Y114" s="255">
        <v>193</v>
      </c>
      <c r="Z114" s="255">
        <v>17</v>
      </c>
      <c r="AA114" s="255">
        <v>63</v>
      </c>
      <c r="AB114" s="251"/>
      <c r="AC114" s="256">
        <v>3780</v>
      </c>
      <c r="AD114" s="254">
        <v>0</v>
      </c>
      <c r="AE114" s="255">
        <v>723</v>
      </c>
      <c r="AF114" s="255">
        <v>239</v>
      </c>
      <c r="AG114" s="255">
        <v>59</v>
      </c>
      <c r="AH114" s="255">
        <v>0</v>
      </c>
      <c r="AI114" s="256">
        <v>1021</v>
      </c>
      <c r="AJ114" s="255">
        <v>0</v>
      </c>
      <c r="AK114" s="255">
        <v>0</v>
      </c>
      <c r="AL114" s="255">
        <v>0</v>
      </c>
      <c r="AM114" s="254">
        <v>0</v>
      </c>
    </row>
    <row r="115" spans="1:41" ht="13.9" customHeight="1">
      <c r="A115" s="249"/>
      <c r="B115" s="239" t="s">
        <v>77</v>
      </c>
      <c r="C115" s="250">
        <v>0.22445863409217101</v>
      </c>
      <c r="D115" s="251">
        <v>0.25622542595019659</v>
      </c>
      <c r="E115" s="251">
        <v>0.29812242405739581</v>
      </c>
      <c r="F115" s="251">
        <v>0.34418604651162793</v>
      </c>
      <c r="G115" s="251">
        <v>0.52777777777777779</v>
      </c>
      <c r="H115" s="252">
        <v>0.18844984802431611</v>
      </c>
      <c r="I115" s="251"/>
      <c r="J115" s="530">
        <v>0.26232620812151652</v>
      </c>
      <c r="K115" s="250">
        <v>0</v>
      </c>
      <c r="L115" s="251">
        <v>8.5122131754256106E-2</v>
      </c>
      <c r="M115" s="251">
        <v>6.3397129186602869E-2</v>
      </c>
      <c r="N115" s="251">
        <v>7.3664825046040522E-2</v>
      </c>
      <c r="O115" s="252">
        <v>0</v>
      </c>
      <c r="P115" s="250">
        <v>7.771095658710768E-2</v>
      </c>
      <c r="Q115" s="250">
        <v>0</v>
      </c>
      <c r="R115" s="251">
        <v>0</v>
      </c>
      <c r="S115" s="252">
        <v>0</v>
      </c>
      <c r="T115" s="250">
        <v>0</v>
      </c>
      <c r="U115" s="274"/>
      <c r="V115" s="254">
        <v>1617</v>
      </c>
      <c r="W115" s="255">
        <v>391</v>
      </c>
      <c r="X115" s="255">
        <v>1953</v>
      </c>
      <c r="Y115" s="255">
        <v>222</v>
      </c>
      <c r="Z115" s="255">
        <v>38</v>
      </c>
      <c r="AA115" s="255">
        <v>62</v>
      </c>
      <c r="AB115" s="251"/>
      <c r="AC115" s="256">
        <v>4283</v>
      </c>
      <c r="AD115" s="254">
        <v>0</v>
      </c>
      <c r="AE115" s="255">
        <v>575</v>
      </c>
      <c r="AF115" s="255">
        <v>212</v>
      </c>
      <c r="AG115" s="255">
        <v>40</v>
      </c>
      <c r="AH115" s="255">
        <v>0</v>
      </c>
      <c r="AI115" s="256">
        <v>827</v>
      </c>
      <c r="AJ115" s="255">
        <v>0</v>
      </c>
      <c r="AK115" s="255">
        <v>0</v>
      </c>
      <c r="AL115" s="255">
        <v>0</v>
      </c>
      <c r="AM115" s="254">
        <v>0</v>
      </c>
    </row>
    <row r="116" spans="1:41" ht="13.9" customHeight="1">
      <c r="A116" s="249"/>
      <c r="B116" s="239" t="s">
        <v>78</v>
      </c>
      <c r="C116" s="250">
        <v>1.7073847862298722E-2</v>
      </c>
      <c r="D116" s="251">
        <v>1.1795543905635648E-2</v>
      </c>
      <c r="E116" s="251">
        <v>7.2660662494275677E-2</v>
      </c>
      <c r="F116" s="251">
        <v>5.4263565891472867E-2</v>
      </c>
      <c r="G116" s="251">
        <v>5.5555555555555552E-2</v>
      </c>
      <c r="H116" s="252">
        <v>1.2158054711246201E-2</v>
      </c>
      <c r="I116" s="251"/>
      <c r="J116" s="530">
        <v>4.0423837814662827E-2</v>
      </c>
      <c r="K116" s="250">
        <v>0</v>
      </c>
      <c r="L116" s="251">
        <v>0.32213175425610657</v>
      </c>
      <c r="M116" s="251">
        <v>0.53289473684210531</v>
      </c>
      <c r="N116" s="251">
        <v>0.66114180478821361</v>
      </c>
      <c r="O116" s="252">
        <v>0</v>
      </c>
      <c r="P116" s="250">
        <v>0.4056568314226649</v>
      </c>
      <c r="Q116" s="250">
        <v>0</v>
      </c>
      <c r="R116" s="251">
        <v>0</v>
      </c>
      <c r="S116" s="252">
        <v>0</v>
      </c>
      <c r="T116" s="250">
        <v>0</v>
      </c>
      <c r="U116" s="274"/>
      <c r="V116" s="254">
        <v>123</v>
      </c>
      <c r="W116" s="255">
        <v>18</v>
      </c>
      <c r="X116" s="255">
        <v>476</v>
      </c>
      <c r="Y116" s="255">
        <v>35</v>
      </c>
      <c r="Z116" s="255">
        <v>4</v>
      </c>
      <c r="AA116" s="255">
        <v>4</v>
      </c>
      <c r="AB116" s="251"/>
      <c r="AC116" s="256">
        <v>660</v>
      </c>
      <c r="AD116" s="254">
        <v>0</v>
      </c>
      <c r="AE116" s="255">
        <v>2176</v>
      </c>
      <c r="AF116" s="255">
        <v>1782</v>
      </c>
      <c r="AG116" s="255">
        <v>359</v>
      </c>
      <c r="AH116" s="255">
        <v>0</v>
      </c>
      <c r="AI116" s="256">
        <v>4317</v>
      </c>
      <c r="AJ116" s="255">
        <v>0</v>
      </c>
      <c r="AK116" s="255">
        <v>0</v>
      </c>
      <c r="AL116" s="255">
        <v>0</v>
      </c>
      <c r="AM116" s="254">
        <v>0</v>
      </c>
    </row>
    <row r="117" spans="1:41" ht="13.9" customHeight="1">
      <c r="A117" s="249"/>
      <c r="B117" s="239" t="s">
        <v>32</v>
      </c>
      <c r="C117" s="250">
        <v>0.15893947806774014</v>
      </c>
      <c r="D117" s="251">
        <v>0.22018348623853212</v>
      </c>
      <c r="E117" s="251">
        <v>0.1512746145626622</v>
      </c>
      <c r="F117" s="251">
        <v>0.14883720930232558</v>
      </c>
      <c r="G117" s="251">
        <v>0</v>
      </c>
      <c r="H117" s="252">
        <v>0.44072948328267475</v>
      </c>
      <c r="I117" s="251"/>
      <c r="J117" s="530">
        <v>0.16616647271390947</v>
      </c>
      <c r="K117" s="250">
        <v>0</v>
      </c>
      <c r="L117" s="251">
        <v>1.0510732790525537E-2</v>
      </c>
      <c r="M117" s="273">
        <v>2.3923444976076554E-3</v>
      </c>
      <c r="N117" s="251">
        <v>0</v>
      </c>
      <c r="O117" s="252">
        <v>0</v>
      </c>
      <c r="P117" s="250">
        <v>7.4234166510054505E-3</v>
      </c>
      <c r="Q117" s="250">
        <v>0</v>
      </c>
      <c r="R117" s="251">
        <v>0</v>
      </c>
      <c r="S117" s="252">
        <v>0</v>
      </c>
      <c r="T117" s="250">
        <v>0</v>
      </c>
      <c r="U117" s="274"/>
      <c r="V117" s="254">
        <v>1145</v>
      </c>
      <c r="W117" s="255">
        <v>336</v>
      </c>
      <c r="X117" s="255">
        <v>991</v>
      </c>
      <c r="Y117" s="255">
        <v>96</v>
      </c>
      <c r="Z117" s="255">
        <v>0</v>
      </c>
      <c r="AA117" s="255">
        <v>145</v>
      </c>
      <c r="AB117" s="251"/>
      <c r="AC117" s="256">
        <v>2713</v>
      </c>
      <c r="AD117" s="254">
        <v>0</v>
      </c>
      <c r="AE117" s="255">
        <v>71</v>
      </c>
      <c r="AF117" s="255">
        <v>8</v>
      </c>
      <c r="AG117" s="255">
        <v>0</v>
      </c>
      <c r="AH117" s="255">
        <v>0</v>
      </c>
      <c r="AI117" s="256">
        <v>79</v>
      </c>
      <c r="AJ117" s="255">
        <v>0</v>
      </c>
      <c r="AK117" s="255">
        <v>0</v>
      </c>
      <c r="AL117" s="255">
        <v>0</v>
      </c>
      <c r="AM117" s="254">
        <v>0</v>
      </c>
    </row>
    <row r="118" spans="1:41" ht="13.9" customHeight="1">
      <c r="A118" s="249"/>
      <c r="B118" s="239" t="s">
        <v>58</v>
      </c>
      <c r="C118" s="250">
        <v>0</v>
      </c>
      <c r="D118" s="251">
        <v>0</v>
      </c>
      <c r="E118" s="251">
        <v>0</v>
      </c>
      <c r="F118" s="251">
        <v>0</v>
      </c>
      <c r="G118" s="251">
        <v>0</v>
      </c>
      <c r="H118" s="252">
        <v>0</v>
      </c>
      <c r="I118" s="251"/>
      <c r="J118" s="530">
        <v>0</v>
      </c>
      <c r="K118" s="250">
        <v>0</v>
      </c>
      <c r="L118" s="251">
        <v>0.28482605477424128</v>
      </c>
      <c r="M118" s="251">
        <v>0.18899521531100477</v>
      </c>
      <c r="N118" s="251">
        <v>5.5248618784530384E-2</v>
      </c>
      <c r="O118" s="252">
        <v>0</v>
      </c>
      <c r="P118" s="250">
        <v>0.24299943619620373</v>
      </c>
      <c r="Q118" s="250">
        <v>0</v>
      </c>
      <c r="R118" s="251">
        <v>0</v>
      </c>
      <c r="S118" s="252">
        <v>0</v>
      </c>
      <c r="T118" s="250">
        <v>0</v>
      </c>
      <c r="U118" s="274"/>
      <c r="V118" s="254">
        <v>0</v>
      </c>
      <c r="W118" s="255">
        <v>0</v>
      </c>
      <c r="X118" s="255">
        <v>0</v>
      </c>
      <c r="Y118" s="255">
        <v>0</v>
      </c>
      <c r="Z118" s="255">
        <v>0</v>
      </c>
      <c r="AA118" s="255">
        <v>0</v>
      </c>
      <c r="AB118" s="251"/>
      <c r="AC118" s="256">
        <v>0</v>
      </c>
      <c r="AD118" s="254">
        <v>0</v>
      </c>
      <c r="AE118" s="255">
        <v>1924</v>
      </c>
      <c r="AF118" s="255">
        <v>632</v>
      </c>
      <c r="AG118" s="255">
        <v>30</v>
      </c>
      <c r="AH118" s="255">
        <v>0</v>
      </c>
      <c r="AI118" s="256">
        <v>2586</v>
      </c>
      <c r="AJ118" s="255">
        <v>0</v>
      </c>
      <c r="AK118" s="255">
        <v>0</v>
      </c>
      <c r="AL118" s="255">
        <v>0</v>
      </c>
      <c r="AM118" s="254">
        <v>0</v>
      </c>
    </row>
    <row r="119" spans="1:41" s="271" customFormat="1" ht="23.45" customHeight="1">
      <c r="A119" s="259"/>
      <c r="B119" s="260" t="s">
        <v>59</v>
      </c>
      <c r="C119" s="261">
        <v>1</v>
      </c>
      <c r="D119" s="262">
        <v>1</v>
      </c>
      <c r="E119" s="262">
        <v>1</v>
      </c>
      <c r="F119" s="262">
        <v>1</v>
      </c>
      <c r="G119" s="262">
        <v>1</v>
      </c>
      <c r="H119" s="263">
        <v>1</v>
      </c>
      <c r="I119" s="262"/>
      <c r="J119" s="531">
        <v>1</v>
      </c>
      <c r="K119" s="261">
        <v>0</v>
      </c>
      <c r="L119" s="262">
        <v>1</v>
      </c>
      <c r="M119" s="262">
        <v>1</v>
      </c>
      <c r="N119" s="262">
        <v>1</v>
      </c>
      <c r="O119" s="263">
        <v>0</v>
      </c>
      <c r="P119" s="261">
        <v>1</v>
      </c>
      <c r="Q119" s="261">
        <v>0</v>
      </c>
      <c r="R119" s="262">
        <v>0</v>
      </c>
      <c r="S119" s="263">
        <v>0</v>
      </c>
      <c r="T119" s="261">
        <v>0</v>
      </c>
      <c r="U119" s="274"/>
      <c r="V119" s="265">
        <v>7204</v>
      </c>
      <c r="W119" s="266">
        <v>1526</v>
      </c>
      <c r="X119" s="266">
        <v>6551</v>
      </c>
      <c r="Y119" s="266">
        <v>645</v>
      </c>
      <c r="Z119" s="266">
        <v>72</v>
      </c>
      <c r="AA119" s="266">
        <v>329</v>
      </c>
      <c r="AB119" s="262"/>
      <c r="AC119" s="267">
        <v>16327</v>
      </c>
      <c r="AD119" s="265">
        <v>0</v>
      </c>
      <c r="AE119" s="266">
        <v>6755</v>
      </c>
      <c r="AF119" s="266">
        <v>3344</v>
      </c>
      <c r="AG119" s="266">
        <v>543</v>
      </c>
      <c r="AH119" s="268">
        <v>0</v>
      </c>
      <c r="AI119" s="268">
        <v>10642</v>
      </c>
      <c r="AJ119" s="265">
        <v>0</v>
      </c>
      <c r="AK119" s="266">
        <v>0</v>
      </c>
      <c r="AL119" s="268">
        <v>0</v>
      </c>
      <c r="AM119" s="265">
        <v>0</v>
      </c>
      <c r="AN119" s="270"/>
      <c r="AO119" s="270"/>
    </row>
    <row r="120" spans="1:41" ht="13.9" customHeight="1">
      <c r="A120" s="239" t="s">
        <v>17</v>
      </c>
      <c r="B120" s="239" t="s">
        <v>53</v>
      </c>
      <c r="C120" s="241">
        <v>0.41438788388725284</v>
      </c>
      <c r="D120" s="242">
        <v>0.29620853080568721</v>
      </c>
      <c r="E120" s="242">
        <v>0.33031674208144796</v>
      </c>
      <c r="F120" s="242">
        <v>0.23919308357348704</v>
      </c>
      <c r="G120" s="242">
        <v>0.19072164948453607</v>
      </c>
      <c r="H120" s="243">
        <v>0.25</v>
      </c>
      <c r="I120" s="242"/>
      <c r="J120" s="529">
        <v>0.32842879663688912</v>
      </c>
      <c r="K120" s="241">
        <v>0</v>
      </c>
      <c r="L120" s="242">
        <v>0</v>
      </c>
      <c r="M120" s="242">
        <v>0</v>
      </c>
      <c r="N120" s="242">
        <v>0.25</v>
      </c>
      <c r="O120" s="243">
        <v>0.20943494038361846</v>
      </c>
      <c r="P120" s="241">
        <v>0.21017811704834605</v>
      </c>
      <c r="Q120" s="241">
        <v>0</v>
      </c>
      <c r="R120" s="242">
        <v>0</v>
      </c>
      <c r="S120" s="243">
        <v>0</v>
      </c>
      <c r="T120" s="241">
        <v>0</v>
      </c>
      <c r="U120" s="274"/>
      <c r="V120" s="245">
        <v>985</v>
      </c>
      <c r="W120" s="246">
        <v>875</v>
      </c>
      <c r="X120" s="246">
        <v>365</v>
      </c>
      <c r="Y120" s="246">
        <v>166</v>
      </c>
      <c r="Z120" s="246">
        <v>37</v>
      </c>
      <c r="AA120" s="246">
        <v>72</v>
      </c>
      <c r="AB120" s="242"/>
      <c r="AC120" s="247">
        <v>2500</v>
      </c>
      <c r="AD120" s="245">
        <v>0</v>
      </c>
      <c r="AE120" s="246">
        <v>0</v>
      </c>
      <c r="AF120" s="246">
        <v>0</v>
      </c>
      <c r="AG120" s="246">
        <v>9</v>
      </c>
      <c r="AH120" s="246">
        <v>404</v>
      </c>
      <c r="AI120" s="247">
        <v>413</v>
      </c>
      <c r="AJ120" s="246">
        <v>0</v>
      </c>
      <c r="AK120" s="246">
        <v>0</v>
      </c>
      <c r="AL120" s="246">
        <v>0</v>
      </c>
      <c r="AM120" s="245">
        <v>0</v>
      </c>
    </row>
    <row r="121" spans="1:41" ht="13.9" customHeight="1">
      <c r="A121" s="249"/>
      <c r="B121" s="239" t="s">
        <v>76</v>
      </c>
      <c r="C121" s="250">
        <v>0.28944047118216237</v>
      </c>
      <c r="D121" s="251">
        <v>0.34055517941773866</v>
      </c>
      <c r="E121" s="251">
        <v>0.23800904977375564</v>
      </c>
      <c r="F121" s="251">
        <v>0.29250720461095103</v>
      </c>
      <c r="G121" s="251">
        <v>0.21649484536082475</v>
      </c>
      <c r="H121" s="252">
        <v>0.30902777777777779</v>
      </c>
      <c r="I121" s="251"/>
      <c r="J121" s="530">
        <v>0.30097214923804522</v>
      </c>
      <c r="K121" s="250">
        <v>0</v>
      </c>
      <c r="L121" s="251">
        <v>0</v>
      </c>
      <c r="M121" s="251">
        <v>0</v>
      </c>
      <c r="N121" s="251">
        <v>0.41666666666666669</v>
      </c>
      <c r="O121" s="252">
        <v>0.28978745463970967</v>
      </c>
      <c r="P121" s="250">
        <v>0.29211195928753181</v>
      </c>
      <c r="Q121" s="250">
        <v>0</v>
      </c>
      <c r="R121" s="251">
        <v>0</v>
      </c>
      <c r="S121" s="252">
        <v>0</v>
      </c>
      <c r="T121" s="250">
        <v>0</v>
      </c>
      <c r="U121" s="274"/>
      <c r="V121" s="254">
        <v>688</v>
      </c>
      <c r="W121" s="255">
        <v>1006</v>
      </c>
      <c r="X121" s="255">
        <v>263</v>
      </c>
      <c r="Y121" s="255">
        <v>203</v>
      </c>
      <c r="Z121" s="255">
        <v>42</v>
      </c>
      <c r="AA121" s="255">
        <v>89</v>
      </c>
      <c r="AB121" s="251"/>
      <c r="AC121" s="256">
        <v>2291</v>
      </c>
      <c r="AD121" s="254">
        <v>0</v>
      </c>
      <c r="AE121" s="255">
        <v>0</v>
      </c>
      <c r="AF121" s="255">
        <v>0</v>
      </c>
      <c r="AG121" s="255">
        <v>15</v>
      </c>
      <c r="AH121" s="255">
        <v>559</v>
      </c>
      <c r="AI121" s="256">
        <v>574</v>
      </c>
      <c r="AJ121" s="255">
        <v>0</v>
      </c>
      <c r="AK121" s="255">
        <v>0</v>
      </c>
      <c r="AL121" s="255">
        <v>0</v>
      </c>
      <c r="AM121" s="254">
        <v>0</v>
      </c>
    </row>
    <row r="122" spans="1:41" ht="13.9" customHeight="1">
      <c r="A122" s="249"/>
      <c r="B122" s="239" t="s">
        <v>77</v>
      </c>
      <c r="C122" s="250">
        <v>0.19394194362641987</v>
      </c>
      <c r="D122" s="251">
        <v>0.25321597833446174</v>
      </c>
      <c r="E122" s="251">
        <v>0.31674208144796379</v>
      </c>
      <c r="F122" s="251">
        <v>0.33861671469740634</v>
      </c>
      <c r="G122" s="251">
        <v>0.39690721649484534</v>
      </c>
      <c r="H122" s="252">
        <v>0.31597222222222221</v>
      </c>
      <c r="I122" s="251"/>
      <c r="J122" s="530">
        <v>0.25775091960063057</v>
      </c>
      <c r="K122" s="250">
        <v>0</v>
      </c>
      <c r="L122" s="251">
        <v>0</v>
      </c>
      <c r="M122" s="251">
        <v>0</v>
      </c>
      <c r="N122" s="251">
        <v>0.25</v>
      </c>
      <c r="O122" s="252">
        <v>0.30585795749092792</v>
      </c>
      <c r="P122" s="250">
        <v>0.30483460559796438</v>
      </c>
      <c r="Q122" s="250">
        <v>0</v>
      </c>
      <c r="R122" s="251">
        <v>0</v>
      </c>
      <c r="S122" s="252">
        <v>0</v>
      </c>
      <c r="T122" s="250">
        <v>0</v>
      </c>
      <c r="U122" s="274"/>
      <c r="V122" s="254">
        <v>461</v>
      </c>
      <c r="W122" s="255">
        <v>748</v>
      </c>
      <c r="X122" s="255">
        <v>350</v>
      </c>
      <c r="Y122" s="255">
        <v>235</v>
      </c>
      <c r="Z122" s="255">
        <v>77</v>
      </c>
      <c r="AA122" s="255">
        <v>91</v>
      </c>
      <c r="AB122" s="251"/>
      <c r="AC122" s="256">
        <v>1962</v>
      </c>
      <c r="AD122" s="254">
        <v>0</v>
      </c>
      <c r="AE122" s="255">
        <v>0</v>
      </c>
      <c r="AF122" s="255">
        <v>0</v>
      </c>
      <c r="AG122" s="255">
        <v>9</v>
      </c>
      <c r="AH122" s="255">
        <v>590</v>
      </c>
      <c r="AI122" s="256">
        <v>599</v>
      </c>
      <c r="AJ122" s="255">
        <v>0</v>
      </c>
      <c r="AK122" s="255">
        <v>0</v>
      </c>
      <c r="AL122" s="255">
        <v>0</v>
      </c>
      <c r="AM122" s="254">
        <v>0</v>
      </c>
    </row>
    <row r="123" spans="1:41" ht="13.9" customHeight="1">
      <c r="A123" s="249"/>
      <c r="B123" s="239" t="s">
        <v>78</v>
      </c>
      <c r="C123" s="250">
        <v>6.6049642406394618E-2</v>
      </c>
      <c r="D123" s="251">
        <v>8.1245768449559913E-2</v>
      </c>
      <c r="E123" s="251">
        <v>0.11493212669683257</v>
      </c>
      <c r="F123" s="251">
        <v>0.12968299711815562</v>
      </c>
      <c r="G123" s="251">
        <v>4.6391752577319589E-2</v>
      </c>
      <c r="H123" s="252">
        <v>7.2916666666666671E-2</v>
      </c>
      <c r="I123" s="251"/>
      <c r="J123" s="530">
        <v>8.4603258013662641E-2</v>
      </c>
      <c r="K123" s="250">
        <v>0</v>
      </c>
      <c r="L123" s="251">
        <v>0</v>
      </c>
      <c r="M123" s="251">
        <v>0</v>
      </c>
      <c r="N123" s="251">
        <v>0</v>
      </c>
      <c r="O123" s="252">
        <v>0.19388284085018145</v>
      </c>
      <c r="P123" s="250">
        <v>0.19033078880407125</v>
      </c>
      <c r="Q123" s="250">
        <v>0</v>
      </c>
      <c r="R123" s="251">
        <v>0</v>
      </c>
      <c r="S123" s="252">
        <v>0</v>
      </c>
      <c r="T123" s="250">
        <v>0</v>
      </c>
      <c r="U123" s="274"/>
      <c r="V123" s="254">
        <v>157</v>
      </c>
      <c r="W123" s="255">
        <v>240</v>
      </c>
      <c r="X123" s="255">
        <v>127</v>
      </c>
      <c r="Y123" s="255">
        <v>90</v>
      </c>
      <c r="Z123" s="255">
        <v>9</v>
      </c>
      <c r="AA123" s="255">
        <v>21</v>
      </c>
      <c r="AB123" s="251"/>
      <c r="AC123" s="256">
        <v>644</v>
      </c>
      <c r="AD123" s="254">
        <v>0</v>
      </c>
      <c r="AE123" s="255">
        <v>0</v>
      </c>
      <c r="AF123" s="255">
        <v>0</v>
      </c>
      <c r="AG123" s="255">
        <v>0</v>
      </c>
      <c r="AH123" s="255">
        <v>374</v>
      </c>
      <c r="AI123" s="256">
        <v>374</v>
      </c>
      <c r="AJ123" s="255">
        <v>0</v>
      </c>
      <c r="AK123" s="255">
        <v>0</v>
      </c>
      <c r="AL123" s="255">
        <v>0</v>
      </c>
      <c r="AM123" s="254">
        <v>0</v>
      </c>
    </row>
    <row r="124" spans="1:41" ht="13.9" customHeight="1">
      <c r="A124" s="249"/>
      <c r="B124" s="239" t="s">
        <v>32</v>
      </c>
      <c r="C124" s="250">
        <v>3.6180058897770297E-2</v>
      </c>
      <c r="D124" s="251">
        <v>2.8774542992552471E-2</v>
      </c>
      <c r="E124" s="251">
        <v>0</v>
      </c>
      <c r="F124" s="251">
        <v>0</v>
      </c>
      <c r="G124" s="251">
        <v>0.14948453608247422</v>
      </c>
      <c r="H124" s="252">
        <v>5.2083333333333336E-2</v>
      </c>
      <c r="I124" s="251"/>
      <c r="J124" s="530">
        <v>2.8244876510772465E-2</v>
      </c>
      <c r="K124" s="250">
        <v>0</v>
      </c>
      <c r="L124" s="251">
        <v>0</v>
      </c>
      <c r="M124" s="251">
        <v>0</v>
      </c>
      <c r="N124" s="251">
        <v>8.3333333333333329E-2</v>
      </c>
      <c r="O124" s="258">
        <v>1.0368066355624676E-3</v>
      </c>
      <c r="P124" s="272">
        <v>2.5445292620865142E-3</v>
      </c>
      <c r="Q124" s="250">
        <v>0</v>
      </c>
      <c r="R124" s="251">
        <v>0</v>
      </c>
      <c r="S124" s="252">
        <v>0</v>
      </c>
      <c r="T124" s="250">
        <v>0</v>
      </c>
      <c r="U124" s="274"/>
      <c r="V124" s="254">
        <v>86</v>
      </c>
      <c r="W124" s="255">
        <v>85</v>
      </c>
      <c r="X124" s="255">
        <v>0</v>
      </c>
      <c r="Y124" s="255">
        <v>0</v>
      </c>
      <c r="Z124" s="255">
        <v>29</v>
      </c>
      <c r="AA124" s="255">
        <v>15</v>
      </c>
      <c r="AB124" s="251"/>
      <c r="AC124" s="256">
        <v>215</v>
      </c>
      <c r="AD124" s="254">
        <v>0</v>
      </c>
      <c r="AE124" s="255">
        <v>0</v>
      </c>
      <c r="AF124" s="255">
        <v>0</v>
      </c>
      <c r="AG124" s="255">
        <v>3</v>
      </c>
      <c r="AH124" s="255">
        <v>2</v>
      </c>
      <c r="AI124" s="256">
        <v>5</v>
      </c>
      <c r="AJ124" s="255">
        <v>0</v>
      </c>
      <c r="AK124" s="255">
        <v>0</v>
      </c>
      <c r="AL124" s="255">
        <v>0</v>
      </c>
      <c r="AM124" s="254">
        <v>0</v>
      </c>
    </row>
    <row r="125" spans="1:41" ht="13.9" customHeight="1">
      <c r="A125" s="249"/>
      <c r="B125" s="239" t="s">
        <v>58</v>
      </c>
      <c r="C125" s="250">
        <v>0</v>
      </c>
      <c r="D125" s="251">
        <v>0</v>
      </c>
      <c r="E125" s="251">
        <v>0</v>
      </c>
      <c r="F125" s="251">
        <v>0</v>
      </c>
      <c r="G125" s="251">
        <v>0</v>
      </c>
      <c r="H125" s="252">
        <v>0</v>
      </c>
      <c r="I125" s="251"/>
      <c r="J125" s="530">
        <v>0</v>
      </c>
      <c r="K125" s="250">
        <v>0</v>
      </c>
      <c r="L125" s="251">
        <v>0</v>
      </c>
      <c r="M125" s="251">
        <v>0</v>
      </c>
      <c r="N125" s="251">
        <v>0</v>
      </c>
      <c r="O125" s="252">
        <v>0</v>
      </c>
      <c r="P125" s="250">
        <v>0</v>
      </c>
      <c r="Q125" s="250">
        <v>0</v>
      </c>
      <c r="R125" s="251">
        <v>0</v>
      </c>
      <c r="S125" s="252">
        <v>0</v>
      </c>
      <c r="T125" s="250">
        <v>0</v>
      </c>
      <c r="U125" s="274"/>
      <c r="V125" s="254">
        <v>0</v>
      </c>
      <c r="W125" s="255">
        <v>0</v>
      </c>
      <c r="X125" s="255">
        <v>0</v>
      </c>
      <c r="Y125" s="255">
        <v>0</v>
      </c>
      <c r="Z125" s="255">
        <v>0</v>
      </c>
      <c r="AA125" s="255">
        <v>0</v>
      </c>
      <c r="AB125" s="251"/>
      <c r="AC125" s="256">
        <v>0</v>
      </c>
      <c r="AD125" s="254">
        <v>0</v>
      </c>
      <c r="AE125" s="255">
        <v>0</v>
      </c>
      <c r="AF125" s="255">
        <v>0</v>
      </c>
      <c r="AG125" s="255">
        <v>0</v>
      </c>
      <c r="AH125" s="255">
        <v>0</v>
      </c>
      <c r="AI125" s="256">
        <v>0</v>
      </c>
      <c r="AJ125" s="255">
        <v>0</v>
      </c>
      <c r="AK125" s="255">
        <v>0</v>
      </c>
      <c r="AL125" s="255">
        <v>0</v>
      </c>
      <c r="AM125" s="254">
        <v>0</v>
      </c>
    </row>
    <row r="126" spans="1:41" s="271" customFormat="1" ht="23.45" customHeight="1">
      <c r="A126" s="259"/>
      <c r="B126" s="260" t="s">
        <v>59</v>
      </c>
      <c r="C126" s="261">
        <v>1</v>
      </c>
      <c r="D126" s="262">
        <v>1</v>
      </c>
      <c r="E126" s="262">
        <v>1</v>
      </c>
      <c r="F126" s="262">
        <v>1</v>
      </c>
      <c r="G126" s="262">
        <v>1</v>
      </c>
      <c r="H126" s="263">
        <v>1</v>
      </c>
      <c r="I126" s="262"/>
      <c r="J126" s="531">
        <v>1</v>
      </c>
      <c r="K126" s="261">
        <v>0</v>
      </c>
      <c r="L126" s="262">
        <v>0</v>
      </c>
      <c r="M126" s="262">
        <v>0</v>
      </c>
      <c r="N126" s="262">
        <v>1</v>
      </c>
      <c r="O126" s="263">
        <v>1</v>
      </c>
      <c r="P126" s="261">
        <v>1</v>
      </c>
      <c r="Q126" s="261">
        <v>0</v>
      </c>
      <c r="R126" s="262">
        <v>0</v>
      </c>
      <c r="S126" s="263">
        <v>0</v>
      </c>
      <c r="T126" s="261">
        <v>0</v>
      </c>
      <c r="U126" s="274"/>
      <c r="V126" s="265">
        <v>2377</v>
      </c>
      <c r="W126" s="266">
        <v>2954</v>
      </c>
      <c r="X126" s="266">
        <v>1105</v>
      </c>
      <c r="Y126" s="266">
        <v>694</v>
      </c>
      <c r="Z126" s="266">
        <v>194</v>
      </c>
      <c r="AA126" s="266">
        <v>288</v>
      </c>
      <c r="AB126" s="262"/>
      <c r="AC126" s="267">
        <v>7612</v>
      </c>
      <c r="AD126" s="265">
        <v>0</v>
      </c>
      <c r="AE126" s="266">
        <v>0</v>
      </c>
      <c r="AF126" s="266">
        <v>0</v>
      </c>
      <c r="AG126" s="266">
        <v>36</v>
      </c>
      <c r="AH126" s="268">
        <v>1929</v>
      </c>
      <c r="AI126" s="268">
        <v>1965</v>
      </c>
      <c r="AJ126" s="265">
        <v>0</v>
      </c>
      <c r="AK126" s="266">
        <v>0</v>
      </c>
      <c r="AL126" s="268">
        <v>0</v>
      </c>
      <c r="AM126" s="265">
        <v>0</v>
      </c>
      <c r="AN126" s="270"/>
      <c r="AO126" s="270"/>
    </row>
    <row r="127" spans="1:41" ht="13.9" customHeight="1">
      <c r="A127" s="239" t="s">
        <v>18</v>
      </c>
      <c r="B127" s="239" t="s">
        <v>53</v>
      </c>
      <c r="C127" s="241">
        <v>0.38282208588957056</v>
      </c>
      <c r="D127" s="242">
        <v>0</v>
      </c>
      <c r="E127" s="242">
        <v>0.43237250554323725</v>
      </c>
      <c r="F127" s="242">
        <v>0</v>
      </c>
      <c r="G127" s="242">
        <v>0</v>
      </c>
      <c r="H127" s="243">
        <v>0.26248399487836105</v>
      </c>
      <c r="I127" s="242"/>
      <c r="J127" s="529">
        <v>0.34782608695652173</v>
      </c>
      <c r="K127" s="241">
        <v>0.45882352941176469</v>
      </c>
      <c r="L127" s="242">
        <v>0</v>
      </c>
      <c r="M127" s="242">
        <v>0.10204081632653061</v>
      </c>
      <c r="N127" s="242">
        <v>0.27340823970037453</v>
      </c>
      <c r="O127" s="243">
        <v>0</v>
      </c>
      <c r="P127" s="241">
        <v>0.29177057356608477</v>
      </c>
      <c r="Q127" s="241">
        <v>0</v>
      </c>
      <c r="R127" s="242">
        <v>0</v>
      </c>
      <c r="S127" s="243">
        <v>0</v>
      </c>
      <c r="T127" s="241">
        <v>0</v>
      </c>
      <c r="U127" s="274"/>
      <c r="V127" s="245">
        <v>312</v>
      </c>
      <c r="W127" s="246">
        <v>0</v>
      </c>
      <c r="X127" s="246">
        <v>195</v>
      </c>
      <c r="Y127" s="246">
        <v>0</v>
      </c>
      <c r="Z127" s="246">
        <v>0</v>
      </c>
      <c r="AA127" s="246">
        <v>205</v>
      </c>
      <c r="AB127" s="242"/>
      <c r="AC127" s="247">
        <v>712</v>
      </c>
      <c r="AD127" s="245">
        <v>39</v>
      </c>
      <c r="AE127" s="246">
        <v>0</v>
      </c>
      <c r="AF127" s="246">
        <v>5</v>
      </c>
      <c r="AG127" s="246">
        <v>73</v>
      </c>
      <c r="AH127" s="246">
        <v>0</v>
      </c>
      <c r="AI127" s="247">
        <v>117</v>
      </c>
      <c r="AJ127" s="246">
        <v>0</v>
      </c>
      <c r="AK127" s="246">
        <v>0</v>
      </c>
      <c r="AL127" s="246">
        <v>0</v>
      </c>
      <c r="AM127" s="245">
        <v>0</v>
      </c>
    </row>
    <row r="128" spans="1:41" ht="13.9" customHeight="1">
      <c r="A128" s="249"/>
      <c r="B128" s="239" t="s">
        <v>76</v>
      </c>
      <c r="C128" s="250">
        <v>0.27116564417177913</v>
      </c>
      <c r="D128" s="251">
        <v>0</v>
      </c>
      <c r="E128" s="251">
        <v>0.25055432372505543</v>
      </c>
      <c r="F128" s="251">
        <v>0</v>
      </c>
      <c r="G128" s="251">
        <v>0</v>
      </c>
      <c r="H128" s="252">
        <v>0.27656850192061461</v>
      </c>
      <c r="I128" s="251"/>
      <c r="J128" s="530">
        <v>0.26868588177821201</v>
      </c>
      <c r="K128" s="250">
        <v>0.18823529411764706</v>
      </c>
      <c r="L128" s="251">
        <v>0</v>
      </c>
      <c r="M128" s="251">
        <v>0.20408163265306123</v>
      </c>
      <c r="N128" s="251">
        <v>0.19850187265917604</v>
      </c>
      <c r="O128" s="252">
        <v>0</v>
      </c>
      <c r="P128" s="250">
        <v>0.1970074812967581</v>
      </c>
      <c r="Q128" s="250">
        <v>0</v>
      </c>
      <c r="R128" s="251">
        <v>0</v>
      </c>
      <c r="S128" s="252">
        <v>0</v>
      </c>
      <c r="T128" s="250">
        <v>0</v>
      </c>
      <c r="U128" s="274"/>
      <c r="V128" s="254">
        <v>221</v>
      </c>
      <c r="W128" s="255">
        <v>0</v>
      </c>
      <c r="X128" s="255">
        <v>113</v>
      </c>
      <c r="Y128" s="255">
        <v>0</v>
      </c>
      <c r="Z128" s="255">
        <v>0</v>
      </c>
      <c r="AA128" s="255">
        <v>216</v>
      </c>
      <c r="AB128" s="251"/>
      <c r="AC128" s="256">
        <v>550</v>
      </c>
      <c r="AD128" s="254">
        <v>16</v>
      </c>
      <c r="AE128" s="255">
        <v>0</v>
      </c>
      <c r="AF128" s="255">
        <v>10</v>
      </c>
      <c r="AG128" s="255">
        <v>53</v>
      </c>
      <c r="AH128" s="255">
        <v>0</v>
      </c>
      <c r="AI128" s="256">
        <v>79</v>
      </c>
      <c r="AJ128" s="255">
        <v>0</v>
      </c>
      <c r="AK128" s="255">
        <v>0</v>
      </c>
      <c r="AL128" s="255">
        <v>0</v>
      </c>
      <c r="AM128" s="254">
        <v>0</v>
      </c>
    </row>
    <row r="129" spans="1:41" ht="13.9" customHeight="1">
      <c r="A129" s="249"/>
      <c r="B129" s="239" t="s">
        <v>77</v>
      </c>
      <c r="C129" s="250">
        <v>0.29202453987730059</v>
      </c>
      <c r="D129" s="251">
        <v>0</v>
      </c>
      <c r="E129" s="251">
        <v>0.2616407982261641</v>
      </c>
      <c r="F129" s="251">
        <v>0</v>
      </c>
      <c r="G129" s="251">
        <v>0</v>
      </c>
      <c r="H129" s="252">
        <v>0.34314980793854033</v>
      </c>
      <c r="I129" s="251"/>
      <c r="J129" s="530">
        <v>0.30483634587200781</v>
      </c>
      <c r="K129" s="250">
        <v>0.16470588235294117</v>
      </c>
      <c r="L129" s="251">
        <v>0</v>
      </c>
      <c r="M129" s="251">
        <v>0.46938775510204084</v>
      </c>
      <c r="N129" s="251">
        <v>0.22097378277153559</v>
      </c>
      <c r="O129" s="252">
        <v>0</v>
      </c>
      <c r="P129" s="250">
        <v>0.23940149625935161</v>
      </c>
      <c r="Q129" s="250">
        <v>0</v>
      </c>
      <c r="R129" s="251">
        <v>0</v>
      </c>
      <c r="S129" s="252">
        <v>0</v>
      </c>
      <c r="T129" s="250">
        <v>0</v>
      </c>
      <c r="U129" s="274"/>
      <c r="V129" s="254">
        <v>238</v>
      </c>
      <c r="W129" s="255">
        <v>0</v>
      </c>
      <c r="X129" s="255">
        <v>118</v>
      </c>
      <c r="Y129" s="255">
        <v>0</v>
      </c>
      <c r="Z129" s="255">
        <v>0</v>
      </c>
      <c r="AA129" s="255">
        <v>268</v>
      </c>
      <c r="AB129" s="251"/>
      <c r="AC129" s="256">
        <v>624</v>
      </c>
      <c r="AD129" s="254">
        <v>14</v>
      </c>
      <c r="AE129" s="255">
        <v>0</v>
      </c>
      <c r="AF129" s="255">
        <v>23</v>
      </c>
      <c r="AG129" s="255">
        <v>59</v>
      </c>
      <c r="AH129" s="255">
        <v>0</v>
      </c>
      <c r="AI129" s="256">
        <v>96</v>
      </c>
      <c r="AJ129" s="255">
        <v>0</v>
      </c>
      <c r="AK129" s="255">
        <v>0</v>
      </c>
      <c r="AL129" s="255">
        <v>0</v>
      </c>
      <c r="AM129" s="254">
        <v>0</v>
      </c>
    </row>
    <row r="130" spans="1:41" ht="13.9" customHeight="1">
      <c r="A130" s="249"/>
      <c r="B130" s="239" t="s">
        <v>78</v>
      </c>
      <c r="C130" s="250">
        <v>3.5582822085889573E-2</v>
      </c>
      <c r="D130" s="251">
        <v>0</v>
      </c>
      <c r="E130" s="251">
        <v>5.543237250554324E-2</v>
      </c>
      <c r="F130" s="251">
        <v>0</v>
      </c>
      <c r="G130" s="251">
        <v>0</v>
      </c>
      <c r="H130" s="252">
        <v>9.7311139564660698E-2</v>
      </c>
      <c r="I130" s="251"/>
      <c r="J130" s="530">
        <v>6.3507572056668293E-2</v>
      </c>
      <c r="K130" s="250">
        <v>0.18823529411764706</v>
      </c>
      <c r="L130" s="251">
        <v>0</v>
      </c>
      <c r="M130" s="251">
        <v>0.22448979591836735</v>
      </c>
      <c r="N130" s="251">
        <v>0.2696629213483146</v>
      </c>
      <c r="O130" s="252">
        <v>0</v>
      </c>
      <c r="P130" s="250">
        <v>0.24688279301745636</v>
      </c>
      <c r="Q130" s="250">
        <v>0</v>
      </c>
      <c r="R130" s="251">
        <v>0</v>
      </c>
      <c r="S130" s="252">
        <v>0</v>
      </c>
      <c r="T130" s="250">
        <v>0</v>
      </c>
      <c r="U130" s="274"/>
      <c r="V130" s="254">
        <v>29</v>
      </c>
      <c r="W130" s="255">
        <v>0</v>
      </c>
      <c r="X130" s="255">
        <v>25</v>
      </c>
      <c r="Y130" s="255">
        <v>0</v>
      </c>
      <c r="Z130" s="255">
        <v>0</v>
      </c>
      <c r="AA130" s="255">
        <v>76</v>
      </c>
      <c r="AB130" s="251"/>
      <c r="AC130" s="256">
        <v>130</v>
      </c>
      <c r="AD130" s="254">
        <v>16</v>
      </c>
      <c r="AE130" s="255">
        <v>0</v>
      </c>
      <c r="AF130" s="255">
        <v>11</v>
      </c>
      <c r="AG130" s="255">
        <v>72</v>
      </c>
      <c r="AH130" s="255">
        <v>0</v>
      </c>
      <c r="AI130" s="256">
        <v>99</v>
      </c>
      <c r="AJ130" s="255">
        <v>0</v>
      </c>
      <c r="AK130" s="255">
        <v>0</v>
      </c>
      <c r="AL130" s="255">
        <v>0</v>
      </c>
      <c r="AM130" s="254">
        <v>0</v>
      </c>
    </row>
    <row r="131" spans="1:41" ht="13.9" customHeight="1">
      <c r="A131" s="249"/>
      <c r="B131" s="239" t="s">
        <v>32</v>
      </c>
      <c r="C131" s="250">
        <v>1.8404907975460124E-2</v>
      </c>
      <c r="D131" s="251">
        <v>0</v>
      </c>
      <c r="E131" s="251">
        <v>0</v>
      </c>
      <c r="F131" s="251">
        <v>0</v>
      </c>
      <c r="G131" s="251">
        <v>0</v>
      </c>
      <c r="H131" s="252">
        <v>2.0486555697823303E-2</v>
      </c>
      <c r="I131" s="251"/>
      <c r="J131" s="530">
        <v>1.5144113336590131E-2</v>
      </c>
      <c r="K131" s="250">
        <v>0</v>
      </c>
      <c r="L131" s="251">
        <v>0</v>
      </c>
      <c r="M131" s="251">
        <v>0</v>
      </c>
      <c r="N131" s="251">
        <v>3.7453183520599252E-2</v>
      </c>
      <c r="O131" s="252">
        <v>0</v>
      </c>
      <c r="P131" s="250">
        <v>2.4937655860349128E-2</v>
      </c>
      <c r="Q131" s="250">
        <v>0</v>
      </c>
      <c r="R131" s="251">
        <v>0</v>
      </c>
      <c r="S131" s="252">
        <v>0</v>
      </c>
      <c r="T131" s="250">
        <v>0</v>
      </c>
      <c r="U131" s="274"/>
      <c r="V131" s="254">
        <v>15</v>
      </c>
      <c r="W131" s="255">
        <v>0</v>
      </c>
      <c r="X131" s="255">
        <v>0</v>
      </c>
      <c r="Y131" s="255">
        <v>0</v>
      </c>
      <c r="Z131" s="255">
        <v>0</v>
      </c>
      <c r="AA131" s="255">
        <v>16</v>
      </c>
      <c r="AB131" s="251"/>
      <c r="AC131" s="256">
        <v>31</v>
      </c>
      <c r="AD131" s="254">
        <v>0</v>
      </c>
      <c r="AE131" s="255">
        <v>0</v>
      </c>
      <c r="AF131" s="255">
        <v>0</v>
      </c>
      <c r="AG131" s="255">
        <v>10</v>
      </c>
      <c r="AH131" s="255">
        <v>0</v>
      </c>
      <c r="AI131" s="256">
        <v>10</v>
      </c>
      <c r="AJ131" s="255">
        <v>0</v>
      </c>
      <c r="AK131" s="255">
        <v>0</v>
      </c>
      <c r="AL131" s="255">
        <v>0</v>
      </c>
      <c r="AM131" s="254">
        <v>0</v>
      </c>
    </row>
    <row r="132" spans="1:41" ht="13.9" customHeight="1">
      <c r="A132" s="249"/>
      <c r="B132" s="239" t="s">
        <v>58</v>
      </c>
      <c r="C132" s="250">
        <v>0</v>
      </c>
      <c r="D132" s="251">
        <v>0</v>
      </c>
      <c r="E132" s="251">
        <v>0</v>
      </c>
      <c r="F132" s="251">
        <v>0</v>
      </c>
      <c r="G132" s="251">
        <v>0</v>
      </c>
      <c r="H132" s="252">
        <v>0</v>
      </c>
      <c r="I132" s="251"/>
      <c r="J132" s="530">
        <v>0</v>
      </c>
      <c r="K132" s="250">
        <v>0</v>
      </c>
      <c r="L132" s="251">
        <v>0</v>
      </c>
      <c r="M132" s="251">
        <v>0</v>
      </c>
      <c r="N132" s="251">
        <v>0</v>
      </c>
      <c r="O132" s="252">
        <v>0</v>
      </c>
      <c r="P132" s="250">
        <v>0</v>
      </c>
      <c r="Q132" s="250">
        <v>0</v>
      </c>
      <c r="R132" s="251">
        <v>0</v>
      </c>
      <c r="S132" s="252">
        <v>0</v>
      </c>
      <c r="T132" s="250">
        <v>0</v>
      </c>
      <c r="U132" s="274"/>
      <c r="V132" s="254">
        <v>0</v>
      </c>
      <c r="W132" s="255">
        <v>0</v>
      </c>
      <c r="X132" s="255">
        <v>0</v>
      </c>
      <c r="Y132" s="255">
        <v>0</v>
      </c>
      <c r="Z132" s="255">
        <v>0</v>
      </c>
      <c r="AA132" s="255">
        <v>0</v>
      </c>
      <c r="AB132" s="251"/>
      <c r="AC132" s="256">
        <v>0</v>
      </c>
      <c r="AD132" s="254">
        <v>0</v>
      </c>
      <c r="AE132" s="255">
        <v>0</v>
      </c>
      <c r="AF132" s="255">
        <v>0</v>
      </c>
      <c r="AG132" s="255">
        <v>0</v>
      </c>
      <c r="AH132" s="255">
        <v>0</v>
      </c>
      <c r="AI132" s="256">
        <v>0</v>
      </c>
      <c r="AJ132" s="255">
        <v>0</v>
      </c>
      <c r="AK132" s="255">
        <v>0</v>
      </c>
      <c r="AL132" s="255">
        <v>0</v>
      </c>
      <c r="AM132" s="254">
        <v>0</v>
      </c>
    </row>
    <row r="133" spans="1:41" s="271" customFormat="1" ht="23.45" customHeight="1">
      <c r="A133" s="259"/>
      <c r="B133" s="260" t="s">
        <v>59</v>
      </c>
      <c r="C133" s="261">
        <v>1</v>
      </c>
      <c r="D133" s="262">
        <v>0</v>
      </c>
      <c r="E133" s="262">
        <v>1</v>
      </c>
      <c r="F133" s="262">
        <v>0</v>
      </c>
      <c r="G133" s="262">
        <v>0</v>
      </c>
      <c r="H133" s="263">
        <v>1</v>
      </c>
      <c r="I133" s="262"/>
      <c r="J133" s="531">
        <v>1</v>
      </c>
      <c r="K133" s="261">
        <v>1</v>
      </c>
      <c r="L133" s="262">
        <v>0</v>
      </c>
      <c r="M133" s="262">
        <v>1</v>
      </c>
      <c r="N133" s="262">
        <v>1</v>
      </c>
      <c r="O133" s="263">
        <v>0</v>
      </c>
      <c r="P133" s="261">
        <v>1</v>
      </c>
      <c r="Q133" s="261">
        <v>0</v>
      </c>
      <c r="R133" s="262">
        <v>0</v>
      </c>
      <c r="S133" s="263">
        <v>0</v>
      </c>
      <c r="T133" s="261">
        <v>0</v>
      </c>
      <c r="U133" s="274"/>
      <c r="V133" s="265">
        <v>815</v>
      </c>
      <c r="W133" s="266">
        <v>0</v>
      </c>
      <c r="X133" s="266">
        <v>451</v>
      </c>
      <c r="Y133" s="266">
        <v>0</v>
      </c>
      <c r="Z133" s="266">
        <v>0</v>
      </c>
      <c r="AA133" s="266">
        <v>781</v>
      </c>
      <c r="AB133" s="262"/>
      <c r="AC133" s="267">
        <v>2047</v>
      </c>
      <c r="AD133" s="265">
        <v>85</v>
      </c>
      <c r="AE133" s="266">
        <v>0</v>
      </c>
      <c r="AF133" s="266">
        <v>49</v>
      </c>
      <c r="AG133" s="266">
        <v>267</v>
      </c>
      <c r="AH133" s="268">
        <v>0</v>
      </c>
      <c r="AI133" s="268">
        <v>401</v>
      </c>
      <c r="AJ133" s="265">
        <v>0</v>
      </c>
      <c r="AK133" s="266">
        <v>0</v>
      </c>
      <c r="AL133" s="268">
        <v>0</v>
      </c>
      <c r="AM133" s="265">
        <v>0</v>
      </c>
      <c r="AN133" s="270"/>
      <c r="AO133" s="270"/>
    </row>
    <row r="134" spans="1:41" s="9" customFormat="1" ht="15.75" customHeight="1">
      <c r="A134" s="646" t="s">
        <v>171</v>
      </c>
      <c r="B134" s="647" t="s">
        <v>53</v>
      </c>
      <c r="C134" s="613">
        <f t="shared" ref="C134:L138" si="4">IF(V$139&gt;0,(V134/V$139),0)</f>
        <v>0.44822160770477737</v>
      </c>
      <c r="D134" s="614">
        <f t="shared" si="4"/>
        <v>0.33280054800776343</v>
      </c>
      <c r="E134" s="614">
        <f t="shared" si="4"/>
        <v>0.40589251913422764</v>
      </c>
      <c r="F134" s="614">
        <f t="shared" si="4"/>
        <v>0.30573951434878588</v>
      </c>
      <c r="G134" s="614">
        <f t="shared" si="4"/>
        <v>0.25422773393461107</v>
      </c>
      <c r="H134" s="615">
        <f t="shared" si="4"/>
        <v>0.2625615763546798</v>
      </c>
      <c r="I134" s="614">
        <f t="shared" si="4"/>
        <v>0</v>
      </c>
      <c r="J134" s="660">
        <f t="shared" si="4"/>
        <v>0.39549473684210529</v>
      </c>
      <c r="K134" s="614">
        <f t="shared" si="4"/>
        <v>0</v>
      </c>
      <c r="L134" s="614">
        <f t="shared" si="4"/>
        <v>3.0203155392262804E-2</v>
      </c>
      <c r="M134" s="614">
        <f t="shared" ref="M134:T138" si="5">IF(AF$139&gt;0,(AF134/AF$139),0)</f>
        <v>5.9138632954788946E-2</v>
      </c>
      <c r="N134" s="614">
        <f t="shared" si="5"/>
        <v>0.10919970082273747</v>
      </c>
      <c r="O134" s="615">
        <f t="shared" si="5"/>
        <v>0</v>
      </c>
      <c r="P134" s="652">
        <f t="shared" si="5"/>
        <v>4.5881160273390238E-2</v>
      </c>
      <c r="Q134" s="614">
        <f t="shared" si="5"/>
        <v>0</v>
      </c>
      <c r="R134" s="614">
        <f t="shared" si="5"/>
        <v>0</v>
      </c>
      <c r="S134" s="615">
        <f t="shared" si="5"/>
        <v>0</v>
      </c>
      <c r="T134" s="613">
        <f t="shared" si="5"/>
        <v>0</v>
      </c>
      <c r="U134" s="274"/>
      <c r="V134" s="617">
        <f t="shared" ref="V134:V139" si="6">+V140+V146+V152+V158+V164+V170+V176+V182+V188+V194+V200+V206+V212</f>
        <v>9401</v>
      </c>
      <c r="W134" s="617">
        <f t="shared" ref="W134:AM139" si="7">+W140+W146+W152+W158+W164+W170+W176+W182+W188+W194+W200+W206+W212</f>
        <v>2915</v>
      </c>
      <c r="X134" s="617">
        <f t="shared" si="7"/>
        <v>4932</v>
      </c>
      <c r="Y134" s="617">
        <f t="shared" si="7"/>
        <v>554</v>
      </c>
      <c r="Z134" s="617">
        <f t="shared" si="7"/>
        <v>451</v>
      </c>
      <c r="AA134" s="617">
        <f t="shared" si="7"/>
        <v>533</v>
      </c>
      <c r="AB134" s="614">
        <f t="shared" si="7"/>
        <v>0</v>
      </c>
      <c r="AC134" s="618">
        <f t="shared" si="7"/>
        <v>18786</v>
      </c>
      <c r="AD134" s="590">
        <f t="shared" si="7"/>
        <v>0</v>
      </c>
      <c r="AE134" s="591">
        <f t="shared" si="7"/>
        <v>559</v>
      </c>
      <c r="AF134" s="591">
        <f t="shared" si="7"/>
        <v>552</v>
      </c>
      <c r="AG134" s="591">
        <f t="shared" si="7"/>
        <v>292</v>
      </c>
      <c r="AH134" s="591">
        <f t="shared" si="7"/>
        <v>0</v>
      </c>
      <c r="AI134" s="592">
        <f t="shared" si="7"/>
        <v>1403</v>
      </c>
      <c r="AJ134" s="591">
        <f t="shared" si="7"/>
        <v>0</v>
      </c>
      <c r="AK134" s="591">
        <f t="shared" si="7"/>
        <v>0</v>
      </c>
      <c r="AL134" s="591">
        <f t="shared" si="7"/>
        <v>0</v>
      </c>
      <c r="AM134" s="590">
        <f t="shared" si="7"/>
        <v>0</v>
      </c>
      <c r="AN134" s="349"/>
      <c r="AO134" s="349"/>
    </row>
    <row r="135" spans="1:41" s="9" customFormat="1" ht="15.75" customHeight="1">
      <c r="A135" s="648"/>
      <c r="B135" s="646" t="s">
        <v>76</v>
      </c>
      <c r="C135" s="624">
        <f t="shared" si="4"/>
        <v>0.21960522551730713</v>
      </c>
      <c r="D135" s="625">
        <f t="shared" si="4"/>
        <v>0.26304372645279139</v>
      </c>
      <c r="E135" s="625">
        <f t="shared" si="4"/>
        <v>0.19817298987737636</v>
      </c>
      <c r="F135" s="625">
        <f t="shared" si="4"/>
        <v>0.27980132450331124</v>
      </c>
      <c r="G135" s="625">
        <f t="shared" si="4"/>
        <v>0.24239007891770012</v>
      </c>
      <c r="H135" s="626">
        <f t="shared" si="4"/>
        <v>0.22709359605911331</v>
      </c>
      <c r="I135" s="625">
        <f t="shared" si="4"/>
        <v>0</v>
      </c>
      <c r="J135" s="661">
        <f t="shared" si="4"/>
        <v>0.22559999999999999</v>
      </c>
      <c r="K135" s="625">
        <f t="shared" si="4"/>
        <v>0</v>
      </c>
      <c r="L135" s="625">
        <f t="shared" si="4"/>
        <v>9.7795547871190828E-3</v>
      </c>
      <c r="M135" s="625">
        <f t="shared" si="5"/>
        <v>3.4283265481037072E-2</v>
      </c>
      <c r="N135" s="625">
        <f t="shared" si="5"/>
        <v>5.7591623036649213E-2</v>
      </c>
      <c r="O135" s="626">
        <f t="shared" si="5"/>
        <v>0</v>
      </c>
      <c r="P135" s="653">
        <f t="shared" si="5"/>
        <v>2.1419928709244907E-2</v>
      </c>
      <c r="Q135" s="625">
        <f t="shared" si="5"/>
        <v>0</v>
      </c>
      <c r="R135" s="625">
        <f t="shared" si="5"/>
        <v>0</v>
      </c>
      <c r="S135" s="626">
        <f t="shared" si="5"/>
        <v>0</v>
      </c>
      <c r="T135" s="624">
        <f t="shared" si="5"/>
        <v>0</v>
      </c>
      <c r="U135" s="274"/>
      <c r="V135" s="628">
        <f t="shared" si="6"/>
        <v>4606</v>
      </c>
      <c r="W135" s="628">
        <f t="shared" ref="W135:AK135" si="8">+W141+W147+W153+W159+W165+W171+W177+W183+W189+W195+W201+W207+W213</f>
        <v>2304</v>
      </c>
      <c r="X135" s="628">
        <f t="shared" si="8"/>
        <v>2408</v>
      </c>
      <c r="Y135" s="628">
        <f t="shared" si="8"/>
        <v>507</v>
      </c>
      <c r="Z135" s="628">
        <f t="shared" si="8"/>
        <v>430</v>
      </c>
      <c r="AA135" s="628">
        <f t="shared" si="8"/>
        <v>461</v>
      </c>
      <c r="AB135" s="625">
        <f t="shared" si="8"/>
        <v>0</v>
      </c>
      <c r="AC135" s="629">
        <f t="shared" si="8"/>
        <v>10716</v>
      </c>
      <c r="AD135" s="594">
        <f t="shared" si="8"/>
        <v>0</v>
      </c>
      <c r="AE135" s="595">
        <f t="shared" si="8"/>
        <v>181</v>
      </c>
      <c r="AF135" s="595">
        <f t="shared" si="8"/>
        <v>320</v>
      </c>
      <c r="AG135" s="595">
        <f t="shared" si="8"/>
        <v>154</v>
      </c>
      <c r="AH135" s="595">
        <f t="shared" si="8"/>
        <v>0</v>
      </c>
      <c r="AI135" s="596">
        <f t="shared" si="8"/>
        <v>655</v>
      </c>
      <c r="AJ135" s="595">
        <f t="shared" si="8"/>
        <v>0</v>
      </c>
      <c r="AK135" s="595">
        <f t="shared" si="8"/>
        <v>0</v>
      </c>
      <c r="AL135" s="595">
        <f t="shared" si="7"/>
        <v>0</v>
      </c>
      <c r="AM135" s="594">
        <f t="shared" si="7"/>
        <v>0</v>
      </c>
      <c r="AN135" s="349"/>
      <c r="AO135" s="349"/>
    </row>
    <row r="136" spans="1:41" s="9" customFormat="1" ht="15.75" customHeight="1">
      <c r="A136" s="648"/>
      <c r="B136" s="646" t="s">
        <v>77</v>
      </c>
      <c r="C136" s="624">
        <f t="shared" si="4"/>
        <v>0.20582626108515303</v>
      </c>
      <c r="D136" s="625">
        <f t="shared" si="4"/>
        <v>0.26144537047608174</v>
      </c>
      <c r="E136" s="625">
        <f t="shared" si="4"/>
        <v>0.25874413628507942</v>
      </c>
      <c r="F136" s="625">
        <f t="shared" si="4"/>
        <v>0.25883002207505518</v>
      </c>
      <c r="G136" s="625">
        <f t="shared" si="4"/>
        <v>0.26381059751972941</v>
      </c>
      <c r="H136" s="626">
        <f t="shared" si="4"/>
        <v>0.30344827586206896</v>
      </c>
      <c r="I136" s="625">
        <f t="shared" si="4"/>
        <v>0</v>
      </c>
      <c r="J136" s="661">
        <f t="shared" si="4"/>
        <v>0.23797894736842104</v>
      </c>
      <c r="K136" s="625">
        <f t="shared" si="4"/>
        <v>0</v>
      </c>
      <c r="L136" s="625">
        <f t="shared" si="4"/>
        <v>6.4296520423600609E-3</v>
      </c>
      <c r="M136" s="625">
        <f t="shared" si="5"/>
        <v>5.1317763016927365E-2</v>
      </c>
      <c r="N136" s="625">
        <f t="shared" si="5"/>
        <v>0.10359012715033658</v>
      </c>
      <c r="O136" s="626">
        <f t="shared" si="5"/>
        <v>0</v>
      </c>
      <c r="P136" s="653">
        <f t="shared" si="5"/>
        <v>2.8614408581052356E-2</v>
      </c>
      <c r="Q136" s="625">
        <f t="shared" si="5"/>
        <v>0</v>
      </c>
      <c r="R136" s="625">
        <f t="shared" si="5"/>
        <v>0</v>
      </c>
      <c r="S136" s="626">
        <f t="shared" si="5"/>
        <v>0</v>
      </c>
      <c r="T136" s="624">
        <f t="shared" si="5"/>
        <v>0</v>
      </c>
      <c r="U136" s="274"/>
      <c r="V136" s="628">
        <f t="shared" si="6"/>
        <v>4317</v>
      </c>
      <c r="W136" s="628">
        <f t="shared" si="7"/>
        <v>2290</v>
      </c>
      <c r="X136" s="628">
        <f t="shared" si="7"/>
        <v>3144</v>
      </c>
      <c r="Y136" s="628">
        <f t="shared" si="7"/>
        <v>469</v>
      </c>
      <c r="Z136" s="628">
        <f t="shared" si="7"/>
        <v>468</v>
      </c>
      <c r="AA136" s="628">
        <f t="shared" si="7"/>
        <v>616</v>
      </c>
      <c r="AB136" s="625">
        <f t="shared" si="7"/>
        <v>0</v>
      </c>
      <c r="AC136" s="629">
        <f t="shared" si="7"/>
        <v>11304</v>
      </c>
      <c r="AD136" s="594">
        <f t="shared" si="7"/>
        <v>0</v>
      </c>
      <c r="AE136" s="595">
        <f t="shared" si="7"/>
        <v>119</v>
      </c>
      <c r="AF136" s="595">
        <f t="shared" si="7"/>
        <v>479</v>
      </c>
      <c r="AG136" s="595">
        <f t="shared" si="7"/>
        <v>277</v>
      </c>
      <c r="AH136" s="595">
        <f t="shared" si="7"/>
        <v>0</v>
      </c>
      <c r="AI136" s="596">
        <f t="shared" si="7"/>
        <v>875</v>
      </c>
      <c r="AJ136" s="595">
        <f t="shared" si="7"/>
        <v>0</v>
      </c>
      <c r="AK136" s="595">
        <f t="shared" si="7"/>
        <v>0</v>
      </c>
      <c r="AL136" s="595">
        <f t="shared" si="7"/>
        <v>0</v>
      </c>
      <c r="AM136" s="594">
        <f t="shared" si="7"/>
        <v>0</v>
      </c>
      <c r="AN136" s="349"/>
      <c r="AO136" s="349"/>
    </row>
    <row r="137" spans="1:41" s="9" customFormat="1" ht="15.75" customHeight="1">
      <c r="A137" s="648"/>
      <c r="B137" s="646" t="s">
        <v>78</v>
      </c>
      <c r="C137" s="624">
        <f t="shared" si="4"/>
        <v>3.6664441689711072E-2</v>
      </c>
      <c r="D137" s="625">
        <f t="shared" si="4"/>
        <v>6.5418426761045784E-2</v>
      </c>
      <c r="E137" s="625">
        <f t="shared" si="4"/>
        <v>1.4484404575755082E-2</v>
      </c>
      <c r="F137" s="625">
        <f t="shared" si="4"/>
        <v>1.6556291390728478E-2</v>
      </c>
      <c r="G137" s="625">
        <f t="shared" si="4"/>
        <v>8.4554678692220969E-2</v>
      </c>
      <c r="H137" s="626">
        <f t="shared" si="4"/>
        <v>9.1625615763546803E-2</v>
      </c>
      <c r="I137" s="625">
        <f t="shared" si="4"/>
        <v>0</v>
      </c>
      <c r="J137" s="661">
        <f t="shared" si="4"/>
        <v>3.9663157894736845E-2</v>
      </c>
      <c r="K137" s="625">
        <f t="shared" si="4"/>
        <v>0</v>
      </c>
      <c r="L137" s="625">
        <f t="shared" si="4"/>
        <v>0.79668251566889992</v>
      </c>
      <c r="M137" s="625">
        <f t="shared" si="5"/>
        <v>0.49067923719734302</v>
      </c>
      <c r="N137" s="625">
        <f t="shared" si="5"/>
        <v>0.50523560209424079</v>
      </c>
      <c r="O137" s="626">
        <f t="shared" si="5"/>
        <v>1</v>
      </c>
      <c r="P137" s="653">
        <f t="shared" si="5"/>
        <v>0.67821053664279407</v>
      </c>
      <c r="Q137" s="625">
        <f t="shared" si="5"/>
        <v>0</v>
      </c>
      <c r="R137" s="625">
        <f t="shared" si="5"/>
        <v>0</v>
      </c>
      <c r="S137" s="626">
        <f t="shared" si="5"/>
        <v>0</v>
      </c>
      <c r="T137" s="624">
        <f t="shared" si="5"/>
        <v>0</v>
      </c>
      <c r="U137" s="274"/>
      <c r="V137" s="628">
        <f t="shared" si="6"/>
        <v>769</v>
      </c>
      <c r="W137" s="628">
        <f t="shared" si="7"/>
        <v>573</v>
      </c>
      <c r="X137" s="628">
        <f t="shared" si="7"/>
        <v>176</v>
      </c>
      <c r="Y137" s="628">
        <f t="shared" si="7"/>
        <v>30</v>
      </c>
      <c r="Z137" s="628">
        <f t="shared" si="7"/>
        <v>150</v>
      </c>
      <c r="AA137" s="628">
        <f t="shared" si="7"/>
        <v>186</v>
      </c>
      <c r="AB137" s="625">
        <f t="shared" si="7"/>
        <v>0</v>
      </c>
      <c r="AC137" s="629">
        <f t="shared" si="7"/>
        <v>1884</v>
      </c>
      <c r="AD137" s="594">
        <f t="shared" si="7"/>
        <v>0</v>
      </c>
      <c r="AE137" s="595">
        <f t="shared" si="7"/>
        <v>14745</v>
      </c>
      <c r="AF137" s="595">
        <f t="shared" si="7"/>
        <v>4580</v>
      </c>
      <c r="AG137" s="595">
        <f t="shared" si="7"/>
        <v>1351</v>
      </c>
      <c r="AH137" s="595">
        <f t="shared" si="7"/>
        <v>63</v>
      </c>
      <c r="AI137" s="596">
        <f t="shared" si="7"/>
        <v>20739</v>
      </c>
      <c r="AJ137" s="595">
        <f t="shared" si="7"/>
        <v>0</v>
      </c>
      <c r="AK137" s="595">
        <f t="shared" si="7"/>
        <v>0</v>
      </c>
      <c r="AL137" s="595">
        <f t="shared" si="7"/>
        <v>0</v>
      </c>
      <c r="AM137" s="594">
        <f t="shared" si="7"/>
        <v>0</v>
      </c>
      <c r="AN137" s="349"/>
      <c r="AO137" s="349"/>
    </row>
    <row r="138" spans="1:41" s="9" customFormat="1" ht="15.75" customHeight="1">
      <c r="A138" s="648"/>
      <c r="B138" s="646" t="s">
        <v>131</v>
      </c>
      <c r="C138" s="624">
        <f t="shared" si="4"/>
        <v>8.9682464003051396E-2</v>
      </c>
      <c r="D138" s="625">
        <f t="shared" si="4"/>
        <v>7.7291928302317611E-2</v>
      </c>
      <c r="E138" s="625">
        <f t="shared" si="4"/>
        <v>0.12270595012756151</v>
      </c>
      <c r="F138" s="625">
        <f t="shared" si="4"/>
        <v>0.13907284768211919</v>
      </c>
      <c r="G138" s="625">
        <f t="shared" si="4"/>
        <v>0.15501691093573844</v>
      </c>
      <c r="H138" s="626">
        <f t="shared" si="4"/>
        <v>0.11527093596059114</v>
      </c>
      <c r="I138" s="625">
        <f t="shared" si="4"/>
        <v>0</v>
      </c>
      <c r="J138" s="661">
        <f t="shared" si="4"/>
        <v>0.10126315789473685</v>
      </c>
      <c r="K138" s="625">
        <f t="shared" si="4"/>
        <v>0</v>
      </c>
      <c r="L138" s="625">
        <f t="shared" si="4"/>
        <v>0.15690512210935811</v>
      </c>
      <c r="M138" s="625">
        <f t="shared" si="5"/>
        <v>0.36458110134990357</v>
      </c>
      <c r="N138" s="625">
        <f t="shared" si="5"/>
        <v>0.22438294689603591</v>
      </c>
      <c r="O138" s="626">
        <f t="shared" si="5"/>
        <v>0</v>
      </c>
      <c r="P138" s="653">
        <f t="shared" si="5"/>
        <v>0.22587396579351843</v>
      </c>
      <c r="Q138" s="625">
        <f t="shared" si="5"/>
        <v>0</v>
      </c>
      <c r="R138" s="625">
        <f t="shared" si="5"/>
        <v>0</v>
      </c>
      <c r="S138" s="626">
        <f t="shared" si="5"/>
        <v>0</v>
      </c>
      <c r="T138" s="624">
        <f t="shared" si="5"/>
        <v>0</v>
      </c>
      <c r="U138" s="274"/>
      <c r="V138" s="628">
        <f t="shared" si="6"/>
        <v>1881</v>
      </c>
      <c r="W138" s="632">
        <f t="shared" si="7"/>
        <v>677</v>
      </c>
      <c r="X138" s="632">
        <f t="shared" si="7"/>
        <v>1491</v>
      </c>
      <c r="Y138" s="632">
        <f t="shared" si="7"/>
        <v>252</v>
      </c>
      <c r="Z138" s="632">
        <f t="shared" si="7"/>
        <v>275</v>
      </c>
      <c r="AA138" s="632">
        <f t="shared" si="7"/>
        <v>234</v>
      </c>
      <c r="AB138" s="625">
        <f t="shared" si="7"/>
        <v>0</v>
      </c>
      <c r="AC138" s="629">
        <f t="shared" si="7"/>
        <v>4810</v>
      </c>
      <c r="AD138" s="594">
        <f t="shared" si="7"/>
        <v>0</v>
      </c>
      <c r="AE138" s="595">
        <f t="shared" si="7"/>
        <v>2904</v>
      </c>
      <c r="AF138" s="595">
        <f t="shared" si="7"/>
        <v>3403</v>
      </c>
      <c r="AG138" s="595">
        <f t="shared" si="7"/>
        <v>600</v>
      </c>
      <c r="AH138" s="595">
        <f t="shared" si="7"/>
        <v>0</v>
      </c>
      <c r="AI138" s="596">
        <f t="shared" si="7"/>
        <v>6907</v>
      </c>
      <c r="AJ138" s="595">
        <f t="shared" si="7"/>
        <v>0</v>
      </c>
      <c r="AK138" s="595">
        <f t="shared" si="7"/>
        <v>0</v>
      </c>
      <c r="AL138" s="595">
        <f t="shared" si="7"/>
        <v>0</v>
      </c>
      <c r="AM138" s="594">
        <f t="shared" si="7"/>
        <v>0</v>
      </c>
      <c r="AN138" s="349"/>
      <c r="AO138" s="349"/>
    </row>
    <row r="139" spans="1:41" s="9" customFormat="1" ht="15.75" customHeight="1">
      <c r="A139" s="649"/>
      <c r="B139" s="650" t="s">
        <v>59</v>
      </c>
      <c r="C139" s="577">
        <f t="shared" ref="C139:T139" si="9">SUM(C134:C138)</f>
        <v>0.99999999999999989</v>
      </c>
      <c r="D139" s="578">
        <f t="shared" si="9"/>
        <v>0.99999999999999989</v>
      </c>
      <c r="E139" s="578">
        <f t="shared" si="9"/>
        <v>1</v>
      </c>
      <c r="F139" s="578">
        <f t="shared" si="9"/>
        <v>1</v>
      </c>
      <c r="G139" s="578">
        <f t="shared" si="9"/>
        <v>1</v>
      </c>
      <c r="H139" s="579">
        <f t="shared" si="9"/>
        <v>1</v>
      </c>
      <c r="I139" s="578">
        <f t="shared" si="9"/>
        <v>0</v>
      </c>
      <c r="J139" s="589">
        <f t="shared" si="9"/>
        <v>1</v>
      </c>
      <c r="K139" s="578">
        <f t="shared" si="9"/>
        <v>0</v>
      </c>
      <c r="L139" s="578">
        <f t="shared" si="9"/>
        <v>1</v>
      </c>
      <c r="M139" s="578">
        <f t="shared" si="9"/>
        <v>1</v>
      </c>
      <c r="N139" s="578">
        <f t="shared" si="9"/>
        <v>1</v>
      </c>
      <c r="O139" s="579">
        <f t="shared" si="9"/>
        <v>1</v>
      </c>
      <c r="P139" s="654">
        <f t="shared" si="9"/>
        <v>1</v>
      </c>
      <c r="Q139" s="578">
        <f t="shared" si="9"/>
        <v>0</v>
      </c>
      <c r="R139" s="578">
        <f t="shared" si="9"/>
        <v>0</v>
      </c>
      <c r="S139" s="579">
        <f t="shared" si="9"/>
        <v>0</v>
      </c>
      <c r="T139" s="577">
        <f t="shared" si="9"/>
        <v>0</v>
      </c>
      <c r="U139" s="274"/>
      <c r="V139" s="655">
        <f t="shared" si="6"/>
        <v>20974</v>
      </c>
      <c r="W139" s="635">
        <f t="shared" si="7"/>
        <v>8759</v>
      </c>
      <c r="X139" s="635">
        <f t="shared" si="7"/>
        <v>12151</v>
      </c>
      <c r="Y139" s="635">
        <f t="shared" si="7"/>
        <v>1812</v>
      </c>
      <c r="Z139" s="635">
        <f t="shared" si="7"/>
        <v>1774</v>
      </c>
      <c r="AA139" s="635">
        <f t="shared" si="7"/>
        <v>2030</v>
      </c>
      <c r="AB139" s="578">
        <f t="shared" si="7"/>
        <v>0</v>
      </c>
      <c r="AC139" s="651">
        <f t="shared" si="7"/>
        <v>47500</v>
      </c>
      <c r="AD139" s="598">
        <f t="shared" si="7"/>
        <v>0</v>
      </c>
      <c r="AE139" s="599">
        <f t="shared" si="7"/>
        <v>18508</v>
      </c>
      <c r="AF139" s="599">
        <f t="shared" si="7"/>
        <v>9334</v>
      </c>
      <c r="AG139" s="599">
        <f t="shared" si="7"/>
        <v>2674</v>
      </c>
      <c r="AH139" s="599">
        <f t="shared" si="7"/>
        <v>63</v>
      </c>
      <c r="AI139" s="600">
        <f t="shared" si="7"/>
        <v>30579</v>
      </c>
      <c r="AJ139" s="599">
        <f t="shared" si="7"/>
        <v>0</v>
      </c>
      <c r="AK139" s="599">
        <f t="shared" si="7"/>
        <v>0</v>
      </c>
      <c r="AL139" s="599">
        <f t="shared" si="7"/>
        <v>0</v>
      </c>
      <c r="AM139" s="598">
        <f t="shared" si="7"/>
        <v>0</v>
      </c>
      <c r="AN139" s="349"/>
      <c r="AO139" s="349"/>
    </row>
    <row r="140" spans="1:41">
      <c r="A140" s="646" t="s">
        <v>136</v>
      </c>
      <c r="B140" s="647" t="s">
        <v>53</v>
      </c>
      <c r="C140" s="613">
        <f>IF(V$145&gt;0,(V140/V$145),0)</f>
        <v>0</v>
      </c>
      <c r="D140" s="614">
        <f t="shared" ref="D140:T144" si="10">IF(W$145&gt;0,(W140/W$145),0)</f>
        <v>0</v>
      </c>
      <c r="E140" s="614">
        <f t="shared" si="10"/>
        <v>0.23433583959899748</v>
      </c>
      <c r="F140" s="614">
        <f t="shared" si="10"/>
        <v>0</v>
      </c>
      <c r="G140" s="614">
        <f t="shared" si="10"/>
        <v>0.10989010989010989</v>
      </c>
      <c r="H140" s="615">
        <f t="shared" si="10"/>
        <v>0</v>
      </c>
      <c r="I140" s="614">
        <f t="shared" si="10"/>
        <v>0</v>
      </c>
      <c r="J140" s="660">
        <f t="shared" si="10"/>
        <v>0.22159730033745781</v>
      </c>
      <c r="K140" s="614">
        <f t="shared" si="10"/>
        <v>0</v>
      </c>
      <c r="L140" s="614">
        <f t="shared" si="10"/>
        <v>0</v>
      </c>
      <c r="M140" s="614">
        <f t="shared" si="10"/>
        <v>0</v>
      </c>
      <c r="N140" s="614">
        <f t="shared" si="10"/>
        <v>0.21052631578947367</v>
      </c>
      <c r="O140" s="615">
        <f t="shared" si="10"/>
        <v>0</v>
      </c>
      <c r="P140" s="652">
        <f t="shared" si="10"/>
        <v>0.21052631578947367</v>
      </c>
      <c r="Q140" s="614">
        <f t="shared" si="10"/>
        <v>0</v>
      </c>
      <c r="R140" s="614">
        <f t="shared" si="10"/>
        <v>0</v>
      </c>
      <c r="S140" s="615">
        <f t="shared" si="10"/>
        <v>0</v>
      </c>
      <c r="T140" s="613">
        <f t="shared" si="10"/>
        <v>0</v>
      </c>
      <c r="U140" s="274"/>
      <c r="V140" s="639"/>
      <c r="W140" s="640"/>
      <c r="X140" s="640">
        <v>187</v>
      </c>
      <c r="Y140" s="640"/>
      <c r="Z140" s="640">
        <v>10</v>
      </c>
      <c r="AA140" s="640"/>
      <c r="AB140" s="640"/>
      <c r="AC140" s="639">
        <v>197</v>
      </c>
      <c r="AD140" s="639"/>
      <c r="AE140" s="640"/>
      <c r="AF140" s="640"/>
      <c r="AG140" s="640">
        <v>4</v>
      </c>
      <c r="AH140" s="640"/>
      <c r="AI140" s="639">
        <v>4</v>
      </c>
      <c r="AJ140" s="639"/>
      <c r="AK140" s="640"/>
      <c r="AL140" s="640"/>
      <c r="AM140" s="639"/>
    </row>
    <row r="141" spans="1:41">
      <c r="A141" s="648"/>
      <c r="B141" s="646" t="s">
        <v>76</v>
      </c>
      <c r="C141" s="624">
        <f>IF(V$145&gt;0,(V141/V$145),0)</f>
        <v>0</v>
      </c>
      <c r="D141" s="625">
        <f t="shared" si="10"/>
        <v>0</v>
      </c>
      <c r="E141" s="625">
        <f t="shared" si="10"/>
        <v>0.25939849624060152</v>
      </c>
      <c r="F141" s="625">
        <f t="shared" si="10"/>
        <v>0</v>
      </c>
      <c r="G141" s="625">
        <f t="shared" si="10"/>
        <v>0.15384615384615385</v>
      </c>
      <c r="H141" s="626">
        <f t="shared" si="10"/>
        <v>0</v>
      </c>
      <c r="I141" s="625">
        <f t="shared" si="10"/>
        <v>0</v>
      </c>
      <c r="J141" s="661">
        <f t="shared" si="10"/>
        <v>0.24859392575928008</v>
      </c>
      <c r="K141" s="625">
        <f t="shared" si="10"/>
        <v>0</v>
      </c>
      <c r="L141" s="625">
        <f t="shared" si="10"/>
        <v>0</v>
      </c>
      <c r="M141" s="625">
        <f t="shared" si="10"/>
        <v>0</v>
      </c>
      <c r="N141" s="625">
        <f t="shared" si="10"/>
        <v>0.15789473684210525</v>
      </c>
      <c r="O141" s="626">
        <f t="shared" si="10"/>
        <v>0</v>
      </c>
      <c r="P141" s="653">
        <f t="shared" si="10"/>
        <v>0.15789473684210525</v>
      </c>
      <c r="Q141" s="625">
        <f t="shared" si="10"/>
        <v>0</v>
      </c>
      <c r="R141" s="625">
        <f t="shared" si="10"/>
        <v>0</v>
      </c>
      <c r="S141" s="626">
        <f t="shared" si="10"/>
        <v>0</v>
      </c>
      <c r="T141" s="624">
        <f t="shared" si="10"/>
        <v>0</v>
      </c>
      <c r="U141" s="274"/>
      <c r="V141" s="641"/>
      <c r="W141" s="642"/>
      <c r="X141" s="642">
        <v>207</v>
      </c>
      <c r="Y141" s="642"/>
      <c r="Z141" s="642">
        <v>14</v>
      </c>
      <c r="AA141" s="642"/>
      <c r="AB141" s="642"/>
      <c r="AC141" s="641">
        <v>221</v>
      </c>
      <c r="AD141" s="641"/>
      <c r="AE141" s="642"/>
      <c r="AF141" s="642"/>
      <c r="AG141" s="642">
        <v>3</v>
      </c>
      <c r="AH141" s="642"/>
      <c r="AI141" s="641">
        <v>3</v>
      </c>
      <c r="AJ141" s="641"/>
      <c r="AK141" s="642"/>
      <c r="AL141" s="642"/>
      <c r="AM141" s="641"/>
    </row>
    <row r="142" spans="1:41">
      <c r="A142" s="648"/>
      <c r="B142" s="646" t="s">
        <v>77</v>
      </c>
      <c r="C142" s="624">
        <f>IF(V$145&gt;0,(V142/V$145),0)</f>
        <v>0</v>
      </c>
      <c r="D142" s="625">
        <f t="shared" si="10"/>
        <v>0</v>
      </c>
      <c r="E142" s="625">
        <f t="shared" si="10"/>
        <v>0.41353383458646614</v>
      </c>
      <c r="F142" s="625">
        <f t="shared" si="10"/>
        <v>0</v>
      </c>
      <c r="G142" s="625">
        <f t="shared" si="10"/>
        <v>0.72527472527472525</v>
      </c>
      <c r="H142" s="626">
        <f t="shared" si="10"/>
        <v>0</v>
      </c>
      <c r="I142" s="625">
        <f t="shared" si="10"/>
        <v>0</v>
      </c>
      <c r="J142" s="661">
        <f t="shared" si="10"/>
        <v>0.44544431946006752</v>
      </c>
      <c r="K142" s="625">
        <f t="shared" si="10"/>
        <v>0</v>
      </c>
      <c r="L142" s="625">
        <f t="shared" si="10"/>
        <v>0</v>
      </c>
      <c r="M142" s="625">
        <f t="shared" si="10"/>
        <v>0</v>
      </c>
      <c r="N142" s="625">
        <f t="shared" si="10"/>
        <v>0.36842105263157893</v>
      </c>
      <c r="O142" s="626">
        <f t="shared" si="10"/>
        <v>0</v>
      </c>
      <c r="P142" s="653">
        <f t="shared" si="10"/>
        <v>0.36842105263157893</v>
      </c>
      <c r="Q142" s="625">
        <f t="shared" si="10"/>
        <v>0</v>
      </c>
      <c r="R142" s="625">
        <f t="shared" si="10"/>
        <v>0</v>
      </c>
      <c r="S142" s="626">
        <f t="shared" si="10"/>
        <v>0</v>
      </c>
      <c r="T142" s="624">
        <f t="shared" si="10"/>
        <v>0</v>
      </c>
      <c r="U142" s="274"/>
      <c r="V142" s="641"/>
      <c r="W142" s="642"/>
      <c r="X142" s="642">
        <v>330</v>
      </c>
      <c r="Y142" s="642"/>
      <c r="Z142" s="642">
        <v>66</v>
      </c>
      <c r="AA142" s="642"/>
      <c r="AB142" s="642"/>
      <c r="AC142" s="641">
        <v>396</v>
      </c>
      <c r="AD142" s="641"/>
      <c r="AE142" s="642"/>
      <c r="AF142" s="642"/>
      <c r="AG142" s="642">
        <v>7</v>
      </c>
      <c r="AH142" s="642"/>
      <c r="AI142" s="641">
        <v>7</v>
      </c>
      <c r="AJ142" s="641"/>
      <c r="AK142" s="642"/>
      <c r="AL142" s="642"/>
      <c r="AM142" s="641"/>
    </row>
    <row r="143" spans="1:41">
      <c r="A143" s="648"/>
      <c r="B143" s="646" t="s">
        <v>78</v>
      </c>
      <c r="C143" s="624">
        <f>IF(V$145&gt;0,(V143/V$145),0)</f>
        <v>0</v>
      </c>
      <c r="D143" s="625">
        <f t="shared" si="10"/>
        <v>0</v>
      </c>
      <c r="E143" s="625">
        <f t="shared" si="10"/>
        <v>8.3959899749373429E-2</v>
      </c>
      <c r="F143" s="625">
        <f t="shared" si="10"/>
        <v>0</v>
      </c>
      <c r="G143" s="625">
        <f t="shared" si="10"/>
        <v>1.098901098901099E-2</v>
      </c>
      <c r="H143" s="626">
        <f t="shared" si="10"/>
        <v>0</v>
      </c>
      <c r="I143" s="625">
        <f t="shared" si="10"/>
        <v>0</v>
      </c>
      <c r="J143" s="661">
        <f t="shared" si="10"/>
        <v>7.6490438695163102E-2</v>
      </c>
      <c r="K143" s="625">
        <f t="shared" si="10"/>
        <v>0</v>
      </c>
      <c r="L143" s="625">
        <f t="shared" si="10"/>
        <v>0</v>
      </c>
      <c r="M143" s="625">
        <f t="shared" si="10"/>
        <v>0</v>
      </c>
      <c r="N143" s="625">
        <f t="shared" si="10"/>
        <v>0.26315789473684209</v>
      </c>
      <c r="O143" s="626">
        <f t="shared" si="10"/>
        <v>0</v>
      </c>
      <c r="P143" s="653">
        <f t="shared" si="10"/>
        <v>0.26315789473684209</v>
      </c>
      <c r="Q143" s="625">
        <f t="shared" si="10"/>
        <v>0</v>
      </c>
      <c r="R143" s="625">
        <f t="shared" si="10"/>
        <v>0</v>
      </c>
      <c r="S143" s="626">
        <f t="shared" si="10"/>
        <v>0</v>
      </c>
      <c r="T143" s="624">
        <f t="shared" si="10"/>
        <v>0</v>
      </c>
      <c r="U143" s="274"/>
      <c r="V143" s="641"/>
      <c r="W143" s="642"/>
      <c r="X143" s="642">
        <v>67</v>
      </c>
      <c r="Y143" s="642"/>
      <c r="Z143" s="642">
        <v>1</v>
      </c>
      <c r="AA143" s="642"/>
      <c r="AB143" s="642"/>
      <c r="AC143" s="641">
        <v>68</v>
      </c>
      <c r="AD143" s="641"/>
      <c r="AE143" s="642"/>
      <c r="AF143" s="642"/>
      <c r="AG143" s="642">
        <v>5</v>
      </c>
      <c r="AH143" s="642"/>
      <c r="AI143" s="641">
        <v>5</v>
      </c>
      <c r="AJ143" s="641"/>
      <c r="AK143" s="642"/>
      <c r="AL143" s="642"/>
      <c r="AM143" s="641"/>
    </row>
    <row r="144" spans="1:41">
      <c r="A144" s="648"/>
      <c r="B144" s="646" t="s">
        <v>209</v>
      </c>
      <c r="C144" s="624">
        <f>IF(V$145&gt;0,(V144/V$145),0)</f>
        <v>0</v>
      </c>
      <c r="D144" s="625">
        <f t="shared" si="10"/>
        <v>0</v>
      </c>
      <c r="E144" s="625">
        <f t="shared" si="10"/>
        <v>8.771929824561403E-3</v>
      </c>
      <c r="F144" s="625">
        <f t="shared" si="10"/>
        <v>0</v>
      </c>
      <c r="G144" s="625">
        <f t="shared" si="10"/>
        <v>0</v>
      </c>
      <c r="H144" s="626">
        <f t="shared" si="10"/>
        <v>0</v>
      </c>
      <c r="I144" s="625">
        <f t="shared" si="10"/>
        <v>0</v>
      </c>
      <c r="J144" s="661">
        <f t="shared" si="10"/>
        <v>7.874015748031496E-3</v>
      </c>
      <c r="K144" s="625">
        <f t="shared" si="10"/>
        <v>0</v>
      </c>
      <c r="L144" s="625">
        <f t="shared" si="10"/>
        <v>0</v>
      </c>
      <c r="M144" s="625">
        <f t="shared" si="10"/>
        <v>0</v>
      </c>
      <c r="N144" s="625">
        <f t="shared" si="10"/>
        <v>0</v>
      </c>
      <c r="O144" s="626">
        <f t="shared" si="10"/>
        <v>0</v>
      </c>
      <c r="P144" s="653">
        <f t="shared" si="10"/>
        <v>0</v>
      </c>
      <c r="Q144" s="625">
        <f t="shared" si="10"/>
        <v>0</v>
      </c>
      <c r="R144" s="625">
        <f t="shared" si="10"/>
        <v>0</v>
      </c>
      <c r="S144" s="626">
        <f t="shared" si="10"/>
        <v>0</v>
      </c>
      <c r="T144" s="624">
        <f t="shared" si="10"/>
        <v>0</v>
      </c>
      <c r="U144" s="274"/>
      <c r="V144" s="641"/>
      <c r="W144" s="642"/>
      <c r="X144" s="642">
        <v>7</v>
      </c>
      <c r="Y144" s="642"/>
      <c r="Z144" s="642"/>
      <c r="AA144" s="642"/>
      <c r="AB144" s="642"/>
      <c r="AC144" s="641">
        <v>7</v>
      </c>
      <c r="AD144" s="641"/>
      <c r="AE144" s="642"/>
      <c r="AF144" s="642"/>
      <c r="AG144" s="642"/>
      <c r="AH144" s="642"/>
      <c r="AI144" s="641"/>
      <c r="AJ144" s="641"/>
      <c r="AK144" s="642"/>
      <c r="AL144" s="642"/>
      <c r="AM144" s="641"/>
    </row>
    <row r="145" spans="1:39">
      <c r="A145" s="649"/>
      <c r="B145" s="650" t="s">
        <v>59</v>
      </c>
      <c r="C145" s="577">
        <f>SUM(C140:C144)</f>
        <v>0</v>
      </c>
      <c r="D145" s="578">
        <f t="shared" ref="D145:T145" si="11">SUM(D140:D144)</f>
        <v>0</v>
      </c>
      <c r="E145" s="578">
        <f t="shared" si="11"/>
        <v>1</v>
      </c>
      <c r="F145" s="578">
        <f t="shared" si="11"/>
        <v>0</v>
      </c>
      <c r="G145" s="578">
        <f t="shared" si="11"/>
        <v>1</v>
      </c>
      <c r="H145" s="579">
        <f t="shared" si="11"/>
        <v>0</v>
      </c>
      <c r="I145" s="578">
        <f t="shared" si="11"/>
        <v>0</v>
      </c>
      <c r="J145" s="589">
        <f t="shared" si="11"/>
        <v>1.0000000000000002</v>
      </c>
      <c r="K145" s="578">
        <f t="shared" si="11"/>
        <v>0</v>
      </c>
      <c r="L145" s="578">
        <f t="shared" si="11"/>
        <v>0</v>
      </c>
      <c r="M145" s="578">
        <f t="shared" si="11"/>
        <v>0</v>
      </c>
      <c r="N145" s="578">
        <f t="shared" si="11"/>
        <v>1</v>
      </c>
      <c r="O145" s="579">
        <f t="shared" si="11"/>
        <v>0</v>
      </c>
      <c r="P145" s="654">
        <f t="shared" si="11"/>
        <v>1</v>
      </c>
      <c r="Q145" s="578">
        <f t="shared" si="11"/>
        <v>0</v>
      </c>
      <c r="R145" s="578">
        <f t="shared" si="11"/>
        <v>0</v>
      </c>
      <c r="S145" s="579">
        <f t="shared" si="11"/>
        <v>0</v>
      </c>
      <c r="T145" s="577">
        <f t="shared" si="11"/>
        <v>0</v>
      </c>
      <c r="U145" s="274"/>
      <c r="V145" s="641"/>
      <c r="W145" s="642"/>
      <c r="X145" s="642">
        <v>798</v>
      </c>
      <c r="Y145" s="642"/>
      <c r="Z145" s="642">
        <v>91</v>
      </c>
      <c r="AA145" s="642"/>
      <c r="AB145" s="642"/>
      <c r="AC145" s="641">
        <v>889</v>
      </c>
      <c r="AD145" s="641"/>
      <c r="AE145" s="642"/>
      <c r="AF145" s="642"/>
      <c r="AG145" s="642">
        <v>19</v>
      </c>
      <c r="AH145" s="642"/>
      <c r="AI145" s="641">
        <v>19</v>
      </c>
      <c r="AJ145" s="641"/>
      <c r="AK145" s="642"/>
      <c r="AL145" s="642"/>
      <c r="AM145" s="641"/>
    </row>
    <row r="146" spans="1:39">
      <c r="A146" s="646" t="s">
        <v>137</v>
      </c>
      <c r="B146" s="647" t="s">
        <v>53</v>
      </c>
      <c r="C146" s="613">
        <f t="shared" ref="C146:L150" si="12">IF(V$151&gt;0,(V146/V$151),0)</f>
        <v>0.42752415861379539</v>
      </c>
      <c r="D146" s="614">
        <f t="shared" si="12"/>
        <v>0.3380281690140845</v>
      </c>
      <c r="E146" s="614">
        <f t="shared" si="12"/>
        <v>0</v>
      </c>
      <c r="F146" s="614">
        <f t="shared" si="12"/>
        <v>0.18380062305295949</v>
      </c>
      <c r="G146" s="614">
        <f t="shared" si="12"/>
        <v>0</v>
      </c>
      <c r="H146" s="615">
        <f t="shared" si="12"/>
        <v>0</v>
      </c>
      <c r="I146" s="614">
        <f t="shared" si="12"/>
        <v>0</v>
      </c>
      <c r="J146" s="660">
        <f t="shared" si="12"/>
        <v>0.3923611111111111</v>
      </c>
      <c r="K146" s="614">
        <f t="shared" si="12"/>
        <v>0</v>
      </c>
      <c r="L146" s="614">
        <f t="shared" si="12"/>
        <v>0</v>
      </c>
      <c r="M146" s="614">
        <f t="shared" ref="M146:T150" si="13">IF(AF$151&gt;0,(AF146/AF$151),0)</f>
        <v>0</v>
      </c>
      <c r="N146" s="614">
        <f t="shared" si="13"/>
        <v>0</v>
      </c>
      <c r="O146" s="615">
        <f t="shared" si="13"/>
        <v>0</v>
      </c>
      <c r="P146" s="652">
        <f t="shared" si="13"/>
        <v>0</v>
      </c>
      <c r="Q146" s="614">
        <f t="shared" si="13"/>
        <v>0</v>
      </c>
      <c r="R146" s="614">
        <f t="shared" si="13"/>
        <v>0</v>
      </c>
      <c r="S146" s="615">
        <f t="shared" si="13"/>
        <v>0</v>
      </c>
      <c r="T146" s="613">
        <f t="shared" si="13"/>
        <v>0</v>
      </c>
      <c r="U146" s="274"/>
      <c r="V146" s="639">
        <v>1283</v>
      </c>
      <c r="W146" s="640">
        <v>240</v>
      </c>
      <c r="X146" s="640"/>
      <c r="Y146" s="640">
        <v>59</v>
      </c>
      <c r="Z146" s="640"/>
      <c r="AA146" s="640"/>
      <c r="AB146" s="640"/>
      <c r="AC146" s="639">
        <v>1582</v>
      </c>
      <c r="AD146" s="639"/>
      <c r="AE146" s="640"/>
      <c r="AF146" s="640"/>
      <c r="AG146" s="640"/>
      <c r="AH146" s="640"/>
      <c r="AI146" s="639"/>
      <c r="AJ146" s="639"/>
      <c r="AK146" s="640"/>
      <c r="AL146" s="640"/>
      <c r="AM146" s="639"/>
    </row>
    <row r="147" spans="1:39">
      <c r="A147" s="648"/>
      <c r="B147" s="646" t="s">
        <v>76</v>
      </c>
      <c r="C147" s="624">
        <f t="shared" si="12"/>
        <v>0.25991336221259581</v>
      </c>
      <c r="D147" s="625">
        <f t="shared" si="12"/>
        <v>0.30563380281690139</v>
      </c>
      <c r="E147" s="625">
        <f t="shared" si="12"/>
        <v>0</v>
      </c>
      <c r="F147" s="625">
        <f t="shared" si="12"/>
        <v>0.3364485981308411</v>
      </c>
      <c r="G147" s="625">
        <f t="shared" si="12"/>
        <v>0</v>
      </c>
      <c r="H147" s="626">
        <f t="shared" si="12"/>
        <v>0</v>
      </c>
      <c r="I147" s="625">
        <f t="shared" si="12"/>
        <v>0</v>
      </c>
      <c r="J147" s="661">
        <f t="shared" si="12"/>
        <v>0.27405753968253971</v>
      </c>
      <c r="K147" s="625">
        <f t="shared" si="12"/>
        <v>0</v>
      </c>
      <c r="L147" s="625">
        <f t="shared" si="12"/>
        <v>0</v>
      </c>
      <c r="M147" s="625">
        <f t="shared" si="13"/>
        <v>0</v>
      </c>
      <c r="N147" s="625">
        <f t="shared" si="13"/>
        <v>0</v>
      </c>
      <c r="O147" s="626">
        <f t="shared" si="13"/>
        <v>0</v>
      </c>
      <c r="P147" s="653">
        <f t="shared" si="13"/>
        <v>0</v>
      </c>
      <c r="Q147" s="625">
        <f t="shared" si="13"/>
        <v>0</v>
      </c>
      <c r="R147" s="625">
        <f t="shared" si="13"/>
        <v>0</v>
      </c>
      <c r="S147" s="626">
        <f t="shared" si="13"/>
        <v>0</v>
      </c>
      <c r="T147" s="624">
        <f t="shared" si="13"/>
        <v>0</v>
      </c>
      <c r="U147" s="274"/>
      <c r="V147" s="641">
        <v>780</v>
      </c>
      <c r="W147" s="642">
        <v>217</v>
      </c>
      <c r="X147" s="642"/>
      <c r="Y147" s="642">
        <v>108</v>
      </c>
      <c r="Z147" s="642"/>
      <c r="AA147" s="642"/>
      <c r="AB147" s="642"/>
      <c r="AC147" s="641">
        <v>1105</v>
      </c>
      <c r="AD147" s="641"/>
      <c r="AE147" s="642"/>
      <c r="AF147" s="642"/>
      <c r="AG147" s="642"/>
      <c r="AH147" s="642"/>
      <c r="AI147" s="641"/>
      <c r="AJ147" s="641"/>
      <c r="AK147" s="642"/>
      <c r="AL147" s="642"/>
      <c r="AM147" s="641"/>
    </row>
    <row r="148" spans="1:39">
      <c r="A148" s="648"/>
      <c r="B148" s="646" t="s">
        <v>77</v>
      </c>
      <c r="C148" s="624">
        <f t="shared" si="12"/>
        <v>0.19893368877040987</v>
      </c>
      <c r="D148" s="625">
        <f t="shared" si="12"/>
        <v>0.21971830985915494</v>
      </c>
      <c r="E148" s="625">
        <f t="shared" si="12"/>
        <v>0</v>
      </c>
      <c r="F148" s="625">
        <f t="shared" si="12"/>
        <v>0.25233644859813081</v>
      </c>
      <c r="G148" s="625">
        <f t="shared" si="12"/>
        <v>0</v>
      </c>
      <c r="H148" s="626">
        <f t="shared" si="12"/>
        <v>0</v>
      </c>
      <c r="I148" s="625">
        <f t="shared" si="12"/>
        <v>0</v>
      </c>
      <c r="J148" s="661">
        <f t="shared" si="12"/>
        <v>0.20684523809523808</v>
      </c>
      <c r="K148" s="625">
        <f t="shared" si="12"/>
        <v>0</v>
      </c>
      <c r="L148" s="625">
        <f t="shared" si="12"/>
        <v>0</v>
      </c>
      <c r="M148" s="625">
        <f t="shared" si="13"/>
        <v>0</v>
      </c>
      <c r="N148" s="625">
        <f t="shared" si="13"/>
        <v>0</v>
      </c>
      <c r="O148" s="626">
        <f t="shared" si="13"/>
        <v>0</v>
      </c>
      <c r="P148" s="653">
        <f t="shared" si="13"/>
        <v>0</v>
      </c>
      <c r="Q148" s="625">
        <f t="shared" si="13"/>
        <v>0</v>
      </c>
      <c r="R148" s="625">
        <f t="shared" si="13"/>
        <v>0</v>
      </c>
      <c r="S148" s="626">
        <f t="shared" si="13"/>
        <v>0</v>
      </c>
      <c r="T148" s="624">
        <f t="shared" si="13"/>
        <v>0</v>
      </c>
      <c r="U148" s="274"/>
      <c r="V148" s="641">
        <v>597</v>
      </c>
      <c r="W148" s="642">
        <v>156</v>
      </c>
      <c r="X148" s="642"/>
      <c r="Y148" s="642">
        <v>81</v>
      </c>
      <c r="Z148" s="642"/>
      <c r="AA148" s="642"/>
      <c r="AB148" s="642"/>
      <c r="AC148" s="641">
        <v>834</v>
      </c>
      <c r="AD148" s="641"/>
      <c r="AE148" s="642"/>
      <c r="AF148" s="642"/>
      <c r="AG148" s="642"/>
      <c r="AH148" s="642"/>
      <c r="AI148" s="641"/>
      <c r="AJ148" s="641"/>
      <c r="AK148" s="642"/>
      <c r="AL148" s="642"/>
      <c r="AM148" s="641"/>
    </row>
    <row r="149" spans="1:39">
      <c r="A149" s="648"/>
      <c r="B149" s="646" t="s">
        <v>78</v>
      </c>
      <c r="C149" s="624">
        <f t="shared" si="12"/>
        <v>2.4991669443518827E-2</v>
      </c>
      <c r="D149" s="625">
        <f t="shared" si="12"/>
        <v>8.7323943661971826E-2</v>
      </c>
      <c r="E149" s="625">
        <f t="shared" si="12"/>
        <v>0</v>
      </c>
      <c r="F149" s="625">
        <f t="shared" si="12"/>
        <v>3.1152647975077881E-3</v>
      </c>
      <c r="G149" s="625">
        <f t="shared" si="12"/>
        <v>0</v>
      </c>
      <c r="H149" s="626">
        <f t="shared" si="12"/>
        <v>0</v>
      </c>
      <c r="I149" s="625">
        <f t="shared" si="12"/>
        <v>0</v>
      </c>
      <c r="J149" s="661">
        <f t="shared" si="12"/>
        <v>3.4226190476190479E-2</v>
      </c>
      <c r="K149" s="625">
        <f t="shared" si="12"/>
        <v>0</v>
      </c>
      <c r="L149" s="625">
        <f t="shared" si="12"/>
        <v>0</v>
      </c>
      <c r="M149" s="625">
        <f t="shared" si="13"/>
        <v>0.26370217166494314</v>
      </c>
      <c r="N149" s="625">
        <f t="shared" si="13"/>
        <v>1</v>
      </c>
      <c r="O149" s="626">
        <f t="shared" si="13"/>
        <v>0</v>
      </c>
      <c r="P149" s="653">
        <f t="shared" si="13"/>
        <v>0.12810283687943264</v>
      </c>
      <c r="Q149" s="625">
        <f t="shared" si="13"/>
        <v>0</v>
      </c>
      <c r="R149" s="625">
        <f t="shared" si="13"/>
        <v>0</v>
      </c>
      <c r="S149" s="626">
        <f t="shared" si="13"/>
        <v>0</v>
      </c>
      <c r="T149" s="624">
        <f t="shared" si="13"/>
        <v>0</v>
      </c>
      <c r="U149" s="274"/>
      <c r="V149" s="641">
        <v>75</v>
      </c>
      <c r="W149" s="642">
        <v>62</v>
      </c>
      <c r="X149" s="642"/>
      <c r="Y149" s="642">
        <v>1</v>
      </c>
      <c r="Z149" s="642"/>
      <c r="AA149" s="642"/>
      <c r="AB149" s="642"/>
      <c r="AC149" s="641">
        <v>138</v>
      </c>
      <c r="AD149" s="641"/>
      <c r="AE149" s="642"/>
      <c r="AF149" s="642">
        <v>255</v>
      </c>
      <c r="AG149" s="642">
        <v>34</v>
      </c>
      <c r="AH149" s="642"/>
      <c r="AI149" s="641">
        <v>289</v>
      </c>
      <c r="AJ149" s="641"/>
      <c r="AK149" s="642"/>
      <c r="AL149" s="642"/>
      <c r="AM149" s="641"/>
    </row>
    <row r="150" spans="1:39">
      <c r="A150" s="648"/>
      <c r="B150" s="646" t="s">
        <v>209</v>
      </c>
      <c r="C150" s="624">
        <f t="shared" si="12"/>
        <v>8.8637120959680113E-2</v>
      </c>
      <c r="D150" s="625">
        <f t="shared" si="12"/>
        <v>4.9295774647887321E-2</v>
      </c>
      <c r="E150" s="625">
        <f t="shared" si="12"/>
        <v>0</v>
      </c>
      <c r="F150" s="625">
        <f t="shared" si="12"/>
        <v>0.22429906542056074</v>
      </c>
      <c r="G150" s="625">
        <f t="shared" si="12"/>
        <v>0</v>
      </c>
      <c r="H150" s="626">
        <f t="shared" si="12"/>
        <v>0</v>
      </c>
      <c r="I150" s="625">
        <f t="shared" si="12"/>
        <v>0</v>
      </c>
      <c r="J150" s="661">
        <f t="shared" si="12"/>
        <v>9.2509920634920639E-2</v>
      </c>
      <c r="K150" s="625">
        <f t="shared" si="12"/>
        <v>0</v>
      </c>
      <c r="L150" s="625">
        <f t="shared" si="12"/>
        <v>1</v>
      </c>
      <c r="M150" s="625">
        <f t="shared" si="13"/>
        <v>0.73629782833505686</v>
      </c>
      <c r="N150" s="625">
        <f t="shared" si="13"/>
        <v>0</v>
      </c>
      <c r="O150" s="626">
        <f t="shared" si="13"/>
        <v>0</v>
      </c>
      <c r="P150" s="653">
        <f t="shared" si="13"/>
        <v>0.87189716312056742</v>
      </c>
      <c r="Q150" s="625">
        <f t="shared" si="13"/>
        <v>0</v>
      </c>
      <c r="R150" s="625">
        <f t="shared" si="13"/>
        <v>0</v>
      </c>
      <c r="S150" s="626">
        <f t="shared" si="13"/>
        <v>0</v>
      </c>
      <c r="T150" s="624">
        <f t="shared" si="13"/>
        <v>0</v>
      </c>
      <c r="U150" s="274"/>
      <c r="V150" s="641">
        <v>266</v>
      </c>
      <c r="W150" s="642">
        <v>35</v>
      </c>
      <c r="X150" s="642"/>
      <c r="Y150" s="642">
        <v>72</v>
      </c>
      <c r="Z150" s="642"/>
      <c r="AA150" s="642"/>
      <c r="AB150" s="642"/>
      <c r="AC150" s="641">
        <v>373</v>
      </c>
      <c r="AD150" s="641"/>
      <c r="AE150" s="642">
        <v>1255</v>
      </c>
      <c r="AF150" s="642">
        <v>712</v>
      </c>
      <c r="AG150" s="642"/>
      <c r="AH150" s="642"/>
      <c r="AI150" s="641">
        <v>1967</v>
      </c>
      <c r="AJ150" s="641"/>
      <c r="AK150" s="642"/>
      <c r="AL150" s="642"/>
      <c r="AM150" s="641"/>
    </row>
    <row r="151" spans="1:39">
      <c r="A151" s="649"/>
      <c r="B151" s="650" t="s">
        <v>59</v>
      </c>
      <c r="C151" s="577">
        <f t="shared" ref="C151:T151" si="14">SUM(C146:C150)</f>
        <v>1</v>
      </c>
      <c r="D151" s="578">
        <f t="shared" si="14"/>
        <v>1</v>
      </c>
      <c r="E151" s="578">
        <f t="shared" si="14"/>
        <v>0</v>
      </c>
      <c r="F151" s="578">
        <f t="shared" si="14"/>
        <v>0.99999999999999989</v>
      </c>
      <c r="G151" s="578">
        <f t="shared" si="14"/>
        <v>0</v>
      </c>
      <c r="H151" s="579">
        <f t="shared" si="14"/>
        <v>0</v>
      </c>
      <c r="I151" s="578">
        <f t="shared" si="14"/>
        <v>0</v>
      </c>
      <c r="J151" s="589">
        <f t="shared" si="14"/>
        <v>1</v>
      </c>
      <c r="K151" s="578">
        <f t="shared" si="14"/>
        <v>0</v>
      </c>
      <c r="L151" s="578">
        <f t="shared" si="14"/>
        <v>1</v>
      </c>
      <c r="M151" s="578">
        <f t="shared" si="14"/>
        <v>1</v>
      </c>
      <c r="N151" s="578">
        <f t="shared" si="14"/>
        <v>1</v>
      </c>
      <c r="O151" s="579">
        <f t="shared" si="14"/>
        <v>0</v>
      </c>
      <c r="P151" s="654">
        <f t="shared" si="14"/>
        <v>1</v>
      </c>
      <c r="Q151" s="578">
        <f t="shared" si="14"/>
        <v>0</v>
      </c>
      <c r="R151" s="578">
        <f t="shared" si="14"/>
        <v>0</v>
      </c>
      <c r="S151" s="579">
        <f t="shared" si="14"/>
        <v>0</v>
      </c>
      <c r="T151" s="577">
        <f t="shared" si="14"/>
        <v>0</v>
      </c>
      <c r="U151" s="274"/>
      <c r="V151" s="641">
        <v>3001</v>
      </c>
      <c r="W151" s="642">
        <v>710</v>
      </c>
      <c r="X151" s="642"/>
      <c r="Y151" s="642">
        <v>321</v>
      </c>
      <c r="Z151" s="642"/>
      <c r="AA151" s="642"/>
      <c r="AB151" s="642"/>
      <c r="AC151" s="641">
        <v>4032</v>
      </c>
      <c r="AD151" s="641"/>
      <c r="AE151" s="642">
        <v>1255</v>
      </c>
      <c r="AF151" s="642">
        <v>967</v>
      </c>
      <c r="AG151" s="642">
        <v>34</v>
      </c>
      <c r="AH151" s="642"/>
      <c r="AI151" s="641">
        <v>2256</v>
      </c>
      <c r="AJ151" s="641"/>
      <c r="AK151" s="642"/>
      <c r="AL151" s="642"/>
      <c r="AM151" s="641"/>
    </row>
    <row r="152" spans="1:39">
      <c r="A152" s="646" t="s">
        <v>138</v>
      </c>
      <c r="B152" s="647" t="s">
        <v>53</v>
      </c>
      <c r="C152" s="613">
        <f t="shared" ref="C152:L156" si="15">IF(V$157&gt;0,(V152/V$157),0)</f>
        <v>0.54170582706766912</v>
      </c>
      <c r="D152" s="614">
        <f t="shared" si="15"/>
        <v>0.44454545454545452</v>
      </c>
      <c r="E152" s="614">
        <f t="shared" si="15"/>
        <v>0.44497816593886463</v>
      </c>
      <c r="F152" s="614">
        <f t="shared" si="15"/>
        <v>0.37926509186351703</v>
      </c>
      <c r="G152" s="614">
        <f t="shared" si="15"/>
        <v>0.26400000000000001</v>
      </c>
      <c r="H152" s="615">
        <f t="shared" si="15"/>
        <v>0.24324324324324326</v>
      </c>
      <c r="I152" s="614">
        <f t="shared" si="15"/>
        <v>0</v>
      </c>
      <c r="J152" s="660">
        <f t="shared" si="15"/>
        <v>0.4822378756397912</v>
      </c>
      <c r="K152" s="614">
        <f t="shared" si="15"/>
        <v>0</v>
      </c>
      <c r="L152" s="614">
        <f t="shared" si="15"/>
        <v>7.7195467422096313E-3</v>
      </c>
      <c r="M152" s="614">
        <f t="shared" ref="M152:T156" si="16">IF(AF$157&gt;0,(AF152/AF$157),0)</f>
        <v>4.7968224870149713E-2</v>
      </c>
      <c r="N152" s="614">
        <f t="shared" si="16"/>
        <v>0</v>
      </c>
      <c r="O152" s="615">
        <f t="shared" si="16"/>
        <v>0</v>
      </c>
      <c r="P152" s="652">
        <f t="shared" si="16"/>
        <v>1.4928723762487371E-2</v>
      </c>
      <c r="Q152" s="614">
        <f t="shared" si="16"/>
        <v>0</v>
      </c>
      <c r="R152" s="614">
        <f t="shared" si="16"/>
        <v>0</v>
      </c>
      <c r="S152" s="615">
        <f t="shared" si="16"/>
        <v>0</v>
      </c>
      <c r="T152" s="613">
        <f t="shared" si="16"/>
        <v>0</v>
      </c>
      <c r="U152" s="274"/>
      <c r="V152" s="639">
        <v>4611</v>
      </c>
      <c r="W152" s="640">
        <v>489</v>
      </c>
      <c r="X152" s="640">
        <v>4076</v>
      </c>
      <c r="Y152" s="640">
        <v>289</v>
      </c>
      <c r="Z152" s="640">
        <v>33</v>
      </c>
      <c r="AA152" s="640">
        <v>18</v>
      </c>
      <c r="AB152" s="640"/>
      <c r="AC152" s="639">
        <v>9516</v>
      </c>
      <c r="AD152" s="639"/>
      <c r="AE152" s="640">
        <v>109</v>
      </c>
      <c r="AF152" s="640">
        <v>157</v>
      </c>
      <c r="AG152" s="640"/>
      <c r="AH152" s="640"/>
      <c r="AI152" s="639">
        <v>266</v>
      </c>
      <c r="AJ152" s="639"/>
      <c r="AK152" s="640"/>
      <c r="AL152" s="640"/>
      <c r="AM152" s="639"/>
    </row>
    <row r="153" spans="1:39">
      <c r="A153" s="648"/>
      <c r="B153" s="646" t="s">
        <v>76</v>
      </c>
      <c r="C153" s="624">
        <f t="shared" si="15"/>
        <v>0.16705827067669174</v>
      </c>
      <c r="D153" s="625">
        <f t="shared" si="15"/>
        <v>0.20454545454545456</v>
      </c>
      <c r="E153" s="625">
        <f t="shared" si="15"/>
        <v>0.1784934497816594</v>
      </c>
      <c r="F153" s="625">
        <f t="shared" si="15"/>
        <v>0.25984251968503935</v>
      </c>
      <c r="G153" s="625">
        <f t="shared" si="15"/>
        <v>0.26400000000000001</v>
      </c>
      <c r="H153" s="626">
        <f t="shared" si="15"/>
        <v>8.1081081081081086E-2</v>
      </c>
      <c r="I153" s="625">
        <f t="shared" si="15"/>
        <v>0</v>
      </c>
      <c r="J153" s="661">
        <f t="shared" si="15"/>
        <v>0.17833071504586226</v>
      </c>
      <c r="K153" s="625">
        <f t="shared" si="15"/>
        <v>0</v>
      </c>
      <c r="L153" s="625">
        <f t="shared" si="15"/>
        <v>7.294617563739377E-3</v>
      </c>
      <c r="M153" s="625">
        <f t="shared" si="16"/>
        <v>9.4714329361442109E-3</v>
      </c>
      <c r="N153" s="625">
        <f t="shared" si="16"/>
        <v>0</v>
      </c>
      <c r="O153" s="626">
        <f t="shared" si="16"/>
        <v>0</v>
      </c>
      <c r="P153" s="653">
        <f t="shared" si="16"/>
        <v>7.5204849029071727E-3</v>
      </c>
      <c r="Q153" s="625">
        <f t="shared" si="16"/>
        <v>0</v>
      </c>
      <c r="R153" s="625">
        <f t="shared" si="16"/>
        <v>0</v>
      </c>
      <c r="S153" s="626">
        <f t="shared" si="16"/>
        <v>0</v>
      </c>
      <c r="T153" s="624">
        <f t="shared" si="16"/>
        <v>0</v>
      </c>
      <c r="U153" s="274"/>
      <c r="V153" s="641">
        <v>1422</v>
      </c>
      <c r="W153" s="642">
        <v>225</v>
      </c>
      <c r="X153" s="642">
        <v>1635</v>
      </c>
      <c r="Y153" s="642">
        <v>198</v>
      </c>
      <c r="Z153" s="642">
        <v>33</v>
      </c>
      <c r="AA153" s="642">
        <v>6</v>
      </c>
      <c r="AB153" s="642"/>
      <c r="AC153" s="641">
        <v>3519</v>
      </c>
      <c r="AD153" s="641"/>
      <c r="AE153" s="642">
        <v>103</v>
      </c>
      <c r="AF153" s="642">
        <v>31</v>
      </c>
      <c r="AG153" s="642"/>
      <c r="AH153" s="642"/>
      <c r="AI153" s="641">
        <v>134</v>
      </c>
      <c r="AJ153" s="641"/>
      <c r="AK153" s="642"/>
      <c r="AL153" s="642"/>
      <c r="AM153" s="641"/>
    </row>
    <row r="154" spans="1:39">
      <c r="A154" s="648"/>
      <c r="B154" s="646" t="s">
        <v>77</v>
      </c>
      <c r="C154" s="624">
        <f t="shared" si="15"/>
        <v>0.18879229323308272</v>
      </c>
      <c r="D154" s="625">
        <f t="shared" si="15"/>
        <v>0.22090909090909092</v>
      </c>
      <c r="E154" s="625">
        <f t="shared" si="15"/>
        <v>0.24814410480349344</v>
      </c>
      <c r="F154" s="625">
        <f t="shared" si="15"/>
        <v>0.25459317585301838</v>
      </c>
      <c r="G154" s="625">
        <f t="shared" si="15"/>
        <v>0.23200000000000001</v>
      </c>
      <c r="H154" s="626">
        <f t="shared" si="15"/>
        <v>0.27027027027027029</v>
      </c>
      <c r="I154" s="625">
        <f t="shared" si="15"/>
        <v>0</v>
      </c>
      <c r="J154" s="661">
        <f t="shared" si="15"/>
        <v>0.22125373739421275</v>
      </c>
      <c r="K154" s="625">
        <f t="shared" si="15"/>
        <v>0</v>
      </c>
      <c r="L154" s="625">
        <f t="shared" si="15"/>
        <v>1.8413597733711049E-3</v>
      </c>
      <c r="M154" s="625">
        <f t="shared" si="16"/>
        <v>2.6886648334860985E-2</v>
      </c>
      <c r="N154" s="625">
        <f t="shared" si="16"/>
        <v>0</v>
      </c>
      <c r="O154" s="626">
        <f t="shared" si="16"/>
        <v>0</v>
      </c>
      <c r="P154" s="653">
        <f t="shared" si="16"/>
        <v>6.3980244696374457E-3</v>
      </c>
      <c r="Q154" s="625">
        <f t="shared" si="16"/>
        <v>0</v>
      </c>
      <c r="R154" s="625">
        <f t="shared" si="16"/>
        <v>0</v>
      </c>
      <c r="S154" s="626">
        <f t="shared" si="16"/>
        <v>0</v>
      </c>
      <c r="T154" s="624">
        <f t="shared" si="16"/>
        <v>0</v>
      </c>
      <c r="U154" s="274"/>
      <c r="V154" s="641">
        <v>1607</v>
      </c>
      <c r="W154" s="642">
        <v>243</v>
      </c>
      <c r="X154" s="642">
        <v>2273</v>
      </c>
      <c r="Y154" s="642">
        <v>194</v>
      </c>
      <c r="Z154" s="642">
        <v>29</v>
      </c>
      <c r="AA154" s="642">
        <v>20</v>
      </c>
      <c r="AB154" s="642"/>
      <c r="AC154" s="641">
        <v>4366</v>
      </c>
      <c r="AD154" s="641"/>
      <c r="AE154" s="642">
        <v>26</v>
      </c>
      <c r="AF154" s="642">
        <v>88</v>
      </c>
      <c r="AG154" s="642"/>
      <c r="AH154" s="642"/>
      <c r="AI154" s="641">
        <v>114</v>
      </c>
      <c r="AJ154" s="641"/>
      <c r="AK154" s="642"/>
      <c r="AL154" s="642"/>
      <c r="AM154" s="641"/>
    </row>
    <row r="155" spans="1:39">
      <c r="A155" s="648"/>
      <c r="B155" s="646" t="s">
        <v>78</v>
      </c>
      <c r="C155" s="624">
        <f t="shared" si="15"/>
        <v>0</v>
      </c>
      <c r="D155" s="625">
        <f t="shared" si="15"/>
        <v>0</v>
      </c>
      <c r="E155" s="625">
        <f t="shared" si="15"/>
        <v>1.091703056768559E-4</v>
      </c>
      <c r="F155" s="625">
        <f t="shared" si="15"/>
        <v>1.3123359580052493E-3</v>
      </c>
      <c r="G155" s="625">
        <f t="shared" si="15"/>
        <v>0</v>
      </c>
      <c r="H155" s="626">
        <f t="shared" si="15"/>
        <v>0</v>
      </c>
      <c r="I155" s="625">
        <f t="shared" si="15"/>
        <v>0</v>
      </c>
      <c r="J155" s="661">
        <f t="shared" si="15"/>
        <v>1.0135306339634116E-4</v>
      </c>
      <c r="K155" s="625">
        <f t="shared" si="15"/>
        <v>0</v>
      </c>
      <c r="L155" s="625">
        <f t="shared" si="15"/>
        <v>0.98314447592067988</v>
      </c>
      <c r="M155" s="625">
        <f t="shared" si="16"/>
        <v>0.90772991139627257</v>
      </c>
      <c r="N155" s="625">
        <f t="shared" si="16"/>
        <v>0.98342541436464093</v>
      </c>
      <c r="O155" s="626">
        <f t="shared" si="16"/>
        <v>1</v>
      </c>
      <c r="P155" s="653">
        <f t="shared" si="16"/>
        <v>0.96935683017173646</v>
      </c>
      <c r="Q155" s="625">
        <f t="shared" si="16"/>
        <v>0</v>
      </c>
      <c r="R155" s="625">
        <f t="shared" si="16"/>
        <v>0</v>
      </c>
      <c r="S155" s="626">
        <f t="shared" si="16"/>
        <v>0</v>
      </c>
      <c r="T155" s="624">
        <f t="shared" si="16"/>
        <v>0</v>
      </c>
      <c r="U155" s="274"/>
      <c r="V155" s="641"/>
      <c r="W155" s="642"/>
      <c r="X155" s="642">
        <v>1</v>
      </c>
      <c r="Y155" s="642">
        <v>1</v>
      </c>
      <c r="Z155" s="642"/>
      <c r="AA155" s="642"/>
      <c r="AB155" s="642"/>
      <c r="AC155" s="641">
        <v>2</v>
      </c>
      <c r="AD155" s="641"/>
      <c r="AE155" s="642">
        <v>13882</v>
      </c>
      <c r="AF155" s="642">
        <v>2971</v>
      </c>
      <c r="AG155" s="642">
        <v>356</v>
      </c>
      <c r="AH155" s="642">
        <v>63</v>
      </c>
      <c r="AI155" s="641">
        <v>17272</v>
      </c>
      <c r="AJ155" s="641"/>
      <c r="AK155" s="642"/>
      <c r="AL155" s="642"/>
      <c r="AM155" s="641"/>
    </row>
    <row r="156" spans="1:39">
      <c r="A156" s="648"/>
      <c r="B156" s="646" t="s">
        <v>209</v>
      </c>
      <c r="C156" s="624">
        <f t="shared" si="15"/>
        <v>0.10244360902255639</v>
      </c>
      <c r="D156" s="625">
        <f t="shared" si="15"/>
        <v>0.13</v>
      </c>
      <c r="E156" s="625">
        <f t="shared" si="15"/>
        <v>0.12827510917030568</v>
      </c>
      <c r="F156" s="625">
        <f t="shared" si="15"/>
        <v>0.10498687664041995</v>
      </c>
      <c r="G156" s="625">
        <f t="shared" si="15"/>
        <v>0.24</v>
      </c>
      <c r="H156" s="626">
        <f t="shared" si="15"/>
        <v>0.40540540540540543</v>
      </c>
      <c r="I156" s="625">
        <f t="shared" si="15"/>
        <v>0</v>
      </c>
      <c r="J156" s="661">
        <f t="shared" si="15"/>
        <v>0.11807631885673744</v>
      </c>
      <c r="K156" s="625">
        <f t="shared" si="15"/>
        <v>0</v>
      </c>
      <c r="L156" s="625">
        <f t="shared" si="15"/>
        <v>0</v>
      </c>
      <c r="M156" s="625">
        <f t="shared" si="16"/>
        <v>7.9437824625725635E-3</v>
      </c>
      <c r="N156" s="625">
        <f t="shared" si="16"/>
        <v>1.6574585635359115E-2</v>
      </c>
      <c r="O156" s="626">
        <f t="shared" si="16"/>
        <v>0</v>
      </c>
      <c r="P156" s="653">
        <f t="shared" si="16"/>
        <v>1.7959366932315637E-3</v>
      </c>
      <c r="Q156" s="625">
        <f t="shared" si="16"/>
        <v>0</v>
      </c>
      <c r="R156" s="625">
        <f t="shared" si="16"/>
        <v>0</v>
      </c>
      <c r="S156" s="626">
        <f t="shared" si="16"/>
        <v>0</v>
      </c>
      <c r="T156" s="624">
        <f t="shared" si="16"/>
        <v>0</v>
      </c>
      <c r="U156" s="274"/>
      <c r="V156" s="641">
        <v>872</v>
      </c>
      <c r="W156" s="642">
        <v>143</v>
      </c>
      <c r="X156" s="642">
        <v>1175</v>
      </c>
      <c r="Y156" s="642">
        <v>80</v>
      </c>
      <c r="Z156" s="642">
        <v>30</v>
      </c>
      <c r="AA156" s="642">
        <v>30</v>
      </c>
      <c r="AB156" s="642"/>
      <c r="AC156" s="641">
        <v>2330</v>
      </c>
      <c r="AD156" s="641"/>
      <c r="AE156" s="642"/>
      <c r="AF156" s="642">
        <v>26</v>
      </c>
      <c r="AG156" s="642">
        <v>6</v>
      </c>
      <c r="AH156" s="642"/>
      <c r="AI156" s="641">
        <v>32</v>
      </c>
      <c r="AJ156" s="641"/>
      <c r="AK156" s="642"/>
      <c r="AL156" s="642"/>
      <c r="AM156" s="641"/>
    </row>
    <row r="157" spans="1:39">
      <c r="A157" s="649"/>
      <c r="B157" s="650" t="s">
        <v>59</v>
      </c>
      <c r="C157" s="577">
        <f t="shared" ref="C157:T157" si="17">SUM(C152:C156)</f>
        <v>1</v>
      </c>
      <c r="D157" s="578">
        <f t="shared" si="17"/>
        <v>1</v>
      </c>
      <c r="E157" s="578">
        <f t="shared" si="17"/>
        <v>1</v>
      </c>
      <c r="F157" s="578">
        <f t="shared" si="17"/>
        <v>1</v>
      </c>
      <c r="G157" s="578">
        <f t="shared" si="17"/>
        <v>1</v>
      </c>
      <c r="H157" s="579">
        <f t="shared" si="17"/>
        <v>1</v>
      </c>
      <c r="I157" s="578">
        <f t="shared" si="17"/>
        <v>0</v>
      </c>
      <c r="J157" s="589">
        <f t="shared" si="17"/>
        <v>0.99999999999999989</v>
      </c>
      <c r="K157" s="578">
        <f t="shared" si="17"/>
        <v>0</v>
      </c>
      <c r="L157" s="578">
        <f t="shared" si="17"/>
        <v>1</v>
      </c>
      <c r="M157" s="578">
        <f t="shared" si="17"/>
        <v>1</v>
      </c>
      <c r="N157" s="578">
        <f t="shared" si="17"/>
        <v>1</v>
      </c>
      <c r="O157" s="579">
        <f t="shared" si="17"/>
        <v>1</v>
      </c>
      <c r="P157" s="654">
        <f t="shared" si="17"/>
        <v>1</v>
      </c>
      <c r="Q157" s="578">
        <f t="shared" si="17"/>
        <v>0</v>
      </c>
      <c r="R157" s="578">
        <f t="shared" si="17"/>
        <v>0</v>
      </c>
      <c r="S157" s="579">
        <f t="shared" si="17"/>
        <v>0</v>
      </c>
      <c r="T157" s="577">
        <f t="shared" si="17"/>
        <v>0</v>
      </c>
      <c r="U157" s="274"/>
      <c r="V157" s="641">
        <v>8512</v>
      </c>
      <c r="W157" s="642">
        <v>1100</v>
      </c>
      <c r="X157" s="642">
        <v>9160</v>
      </c>
      <c r="Y157" s="642">
        <v>762</v>
      </c>
      <c r="Z157" s="642">
        <v>125</v>
      </c>
      <c r="AA157" s="642">
        <v>74</v>
      </c>
      <c r="AB157" s="642"/>
      <c r="AC157" s="641">
        <v>19733</v>
      </c>
      <c r="AD157" s="641"/>
      <c r="AE157" s="642">
        <v>14120</v>
      </c>
      <c r="AF157" s="642">
        <v>3273</v>
      </c>
      <c r="AG157" s="642">
        <v>362</v>
      </c>
      <c r="AH157" s="642">
        <v>63</v>
      </c>
      <c r="AI157" s="641">
        <v>17818</v>
      </c>
      <c r="AJ157" s="641"/>
      <c r="AK157" s="642"/>
      <c r="AL157" s="642"/>
      <c r="AM157" s="641"/>
    </row>
    <row r="158" spans="1:39">
      <c r="A158" s="646" t="s">
        <v>139</v>
      </c>
      <c r="B158" s="647" t="s">
        <v>53</v>
      </c>
      <c r="C158" s="613">
        <f t="shared" ref="C158:L162" si="18">IF(V$163&gt;0,(V158/V$163),0)</f>
        <v>0.40054372451291348</v>
      </c>
      <c r="D158" s="614">
        <f t="shared" si="18"/>
        <v>0.3109048723897912</v>
      </c>
      <c r="E158" s="614">
        <f t="shared" si="18"/>
        <v>0.3007518796992481</v>
      </c>
      <c r="F158" s="614">
        <f t="shared" si="18"/>
        <v>0</v>
      </c>
      <c r="G158" s="614">
        <f t="shared" si="18"/>
        <v>0.32793522267206476</v>
      </c>
      <c r="H158" s="615">
        <f t="shared" si="18"/>
        <v>0.2821948488241881</v>
      </c>
      <c r="I158" s="614">
        <f t="shared" si="18"/>
        <v>0</v>
      </c>
      <c r="J158" s="660">
        <f t="shared" si="18"/>
        <v>0.34972067039106147</v>
      </c>
      <c r="K158" s="614">
        <f t="shared" si="18"/>
        <v>0</v>
      </c>
      <c r="L158" s="614">
        <f t="shared" si="18"/>
        <v>0</v>
      </c>
      <c r="M158" s="614">
        <f t="shared" ref="M158:T162" si="19">IF(AF$163&gt;0,(AF158/AF$163),0)</f>
        <v>0.23791102514506771</v>
      </c>
      <c r="N158" s="614">
        <f t="shared" si="19"/>
        <v>5.0228310502283102E-2</v>
      </c>
      <c r="O158" s="615">
        <f t="shared" si="19"/>
        <v>0</v>
      </c>
      <c r="P158" s="652">
        <f t="shared" si="19"/>
        <v>0.12488350419384903</v>
      </c>
      <c r="Q158" s="614">
        <f t="shared" si="19"/>
        <v>0</v>
      </c>
      <c r="R158" s="614">
        <f t="shared" si="19"/>
        <v>0</v>
      </c>
      <c r="S158" s="615">
        <f t="shared" si="19"/>
        <v>0</v>
      </c>
      <c r="T158" s="613">
        <f t="shared" si="19"/>
        <v>0</v>
      </c>
      <c r="U158" s="274"/>
      <c r="V158" s="639">
        <v>884</v>
      </c>
      <c r="W158" s="640">
        <v>268</v>
      </c>
      <c r="X158" s="640">
        <v>80</v>
      </c>
      <c r="Y158" s="640"/>
      <c r="Z158" s="640">
        <v>81</v>
      </c>
      <c r="AA158" s="640">
        <v>252</v>
      </c>
      <c r="AB158" s="640"/>
      <c r="AC158" s="639">
        <v>1565</v>
      </c>
      <c r="AD158" s="639"/>
      <c r="AE158" s="640"/>
      <c r="AF158" s="640">
        <v>123</v>
      </c>
      <c r="AG158" s="640">
        <v>11</v>
      </c>
      <c r="AH158" s="640"/>
      <c r="AI158" s="639">
        <v>134</v>
      </c>
      <c r="AJ158" s="639"/>
      <c r="AK158" s="640"/>
      <c r="AL158" s="640"/>
      <c r="AM158" s="639"/>
    </row>
    <row r="159" spans="1:39">
      <c r="A159" s="648"/>
      <c r="B159" s="646" t="s">
        <v>76</v>
      </c>
      <c r="C159" s="624">
        <f t="shared" si="18"/>
        <v>0.2433167195287721</v>
      </c>
      <c r="D159" s="625">
        <f t="shared" si="18"/>
        <v>0.23549883990719259</v>
      </c>
      <c r="E159" s="625">
        <f t="shared" si="18"/>
        <v>0.23308270676691728</v>
      </c>
      <c r="F159" s="625">
        <f t="shared" si="18"/>
        <v>0</v>
      </c>
      <c r="G159" s="625">
        <f t="shared" si="18"/>
        <v>0.33603238866396762</v>
      </c>
      <c r="H159" s="626">
        <f t="shared" si="18"/>
        <v>0.23516237402015677</v>
      </c>
      <c r="I159" s="625">
        <f t="shared" si="18"/>
        <v>0</v>
      </c>
      <c r="J159" s="661">
        <f t="shared" si="18"/>
        <v>0.24469273743016759</v>
      </c>
      <c r="K159" s="625">
        <f t="shared" si="18"/>
        <v>0</v>
      </c>
      <c r="L159" s="625">
        <f t="shared" si="18"/>
        <v>0</v>
      </c>
      <c r="M159" s="625">
        <f t="shared" si="19"/>
        <v>0.13346228239845262</v>
      </c>
      <c r="N159" s="625">
        <f t="shared" si="19"/>
        <v>4.1095890410958902E-2</v>
      </c>
      <c r="O159" s="626">
        <f t="shared" si="19"/>
        <v>0</v>
      </c>
      <c r="P159" s="653">
        <f t="shared" si="19"/>
        <v>7.2693383038210629E-2</v>
      </c>
      <c r="Q159" s="625">
        <f t="shared" si="19"/>
        <v>0</v>
      </c>
      <c r="R159" s="625">
        <f t="shared" si="19"/>
        <v>0</v>
      </c>
      <c r="S159" s="626">
        <f t="shared" si="19"/>
        <v>0</v>
      </c>
      <c r="T159" s="624">
        <f t="shared" si="19"/>
        <v>0</v>
      </c>
      <c r="U159" s="274"/>
      <c r="V159" s="641">
        <v>537</v>
      </c>
      <c r="W159" s="642">
        <v>203</v>
      </c>
      <c r="X159" s="642">
        <v>62</v>
      </c>
      <c r="Y159" s="642"/>
      <c r="Z159" s="642">
        <v>83</v>
      </c>
      <c r="AA159" s="642">
        <v>210</v>
      </c>
      <c r="AB159" s="642"/>
      <c r="AC159" s="641">
        <v>1095</v>
      </c>
      <c r="AD159" s="641"/>
      <c r="AE159" s="642"/>
      <c r="AF159" s="642">
        <v>69</v>
      </c>
      <c r="AG159" s="642">
        <v>9</v>
      </c>
      <c r="AH159" s="642"/>
      <c r="AI159" s="641">
        <v>78</v>
      </c>
      <c r="AJ159" s="641"/>
      <c r="AK159" s="642"/>
      <c r="AL159" s="642"/>
      <c r="AM159" s="641"/>
    </row>
    <row r="160" spans="1:39">
      <c r="A160" s="648"/>
      <c r="B160" s="646" t="s">
        <v>77</v>
      </c>
      <c r="C160" s="624">
        <f t="shared" si="18"/>
        <v>0.23289533303126417</v>
      </c>
      <c r="D160" s="625">
        <f t="shared" si="18"/>
        <v>0.20301624129930396</v>
      </c>
      <c r="E160" s="625">
        <f t="shared" si="18"/>
        <v>0.20300751879699247</v>
      </c>
      <c r="F160" s="625">
        <f t="shared" si="18"/>
        <v>0</v>
      </c>
      <c r="G160" s="625">
        <f t="shared" si="18"/>
        <v>0.26720647773279355</v>
      </c>
      <c r="H160" s="626">
        <f t="shared" si="18"/>
        <v>0.26987681970884658</v>
      </c>
      <c r="I160" s="625">
        <f t="shared" si="18"/>
        <v>0</v>
      </c>
      <c r="J160" s="661">
        <f t="shared" si="18"/>
        <v>0.23463687150837989</v>
      </c>
      <c r="K160" s="625">
        <f t="shared" si="18"/>
        <v>0</v>
      </c>
      <c r="L160" s="625">
        <f t="shared" si="18"/>
        <v>0</v>
      </c>
      <c r="M160" s="625">
        <f t="shared" si="19"/>
        <v>0.22050290135396519</v>
      </c>
      <c r="N160" s="625">
        <f t="shared" si="19"/>
        <v>7.7625570776255703E-2</v>
      </c>
      <c r="O160" s="626">
        <f t="shared" si="19"/>
        <v>0</v>
      </c>
      <c r="P160" s="653">
        <f t="shared" si="19"/>
        <v>0.12208760484622554</v>
      </c>
      <c r="Q160" s="625">
        <f t="shared" si="19"/>
        <v>0</v>
      </c>
      <c r="R160" s="625">
        <f t="shared" si="19"/>
        <v>0</v>
      </c>
      <c r="S160" s="626">
        <f t="shared" si="19"/>
        <v>0</v>
      </c>
      <c r="T160" s="624">
        <f t="shared" si="19"/>
        <v>0</v>
      </c>
      <c r="U160" s="274"/>
      <c r="V160" s="641">
        <v>514</v>
      </c>
      <c r="W160" s="642">
        <v>175</v>
      </c>
      <c r="X160" s="642">
        <v>54</v>
      </c>
      <c r="Y160" s="642"/>
      <c r="Z160" s="642">
        <v>66</v>
      </c>
      <c r="AA160" s="642">
        <v>241</v>
      </c>
      <c r="AB160" s="642"/>
      <c r="AC160" s="641">
        <v>1050</v>
      </c>
      <c r="AD160" s="641"/>
      <c r="AE160" s="642"/>
      <c r="AF160" s="642">
        <v>114</v>
      </c>
      <c r="AG160" s="642">
        <v>17</v>
      </c>
      <c r="AH160" s="642"/>
      <c r="AI160" s="641">
        <v>131</v>
      </c>
      <c r="AJ160" s="641"/>
      <c r="AK160" s="642"/>
      <c r="AL160" s="642"/>
      <c r="AM160" s="641"/>
    </row>
    <row r="161" spans="1:39">
      <c r="A161" s="648"/>
      <c r="B161" s="646" t="s">
        <v>78</v>
      </c>
      <c r="C161" s="624">
        <f t="shared" si="18"/>
        <v>0.10693248753964658</v>
      </c>
      <c r="D161" s="625">
        <f t="shared" si="18"/>
        <v>0.1716937354988399</v>
      </c>
      <c r="E161" s="625">
        <f t="shared" si="18"/>
        <v>0.26315789473684209</v>
      </c>
      <c r="F161" s="625">
        <f t="shared" si="18"/>
        <v>0</v>
      </c>
      <c r="G161" s="625">
        <f t="shared" si="18"/>
        <v>6.8825910931174086E-2</v>
      </c>
      <c r="H161" s="626">
        <f t="shared" si="18"/>
        <v>8.7346024636058228E-2</v>
      </c>
      <c r="I161" s="625">
        <f t="shared" si="18"/>
        <v>0</v>
      </c>
      <c r="J161" s="661">
        <f t="shared" si="18"/>
        <v>0.12268156424581006</v>
      </c>
      <c r="K161" s="625">
        <f t="shared" si="18"/>
        <v>0</v>
      </c>
      <c r="L161" s="625">
        <f t="shared" si="18"/>
        <v>0</v>
      </c>
      <c r="M161" s="625">
        <f t="shared" si="19"/>
        <v>0.26499032882011603</v>
      </c>
      <c r="N161" s="625">
        <f t="shared" si="19"/>
        <v>0.12328767123287671</v>
      </c>
      <c r="O161" s="626">
        <f t="shared" si="19"/>
        <v>0</v>
      </c>
      <c r="P161" s="653">
        <f t="shared" si="19"/>
        <v>0.15284249767008387</v>
      </c>
      <c r="Q161" s="625">
        <f t="shared" si="19"/>
        <v>0</v>
      </c>
      <c r="R161" s="625">
        <f t="shared" si="19"/>
        <v>0</v>
      </c>
      <c r="S161" s="626">
        <f t="shared" si="19"/>
        <v>0</v>
      </c>
      <c r="T161" s="624">
        <f t="shared" si="19"/>
        <v>0</v>
      </c>
      <c r="U161" s="274"/>
      <c r="V161" s="641">
        <v>236</v>
      </c>
      <c r="W161" s="642">
        <v>148</v>
      </c>
      <c r="X161" s="642">
        <v>70</v>
      </c>
      <c r="Y161" s="642"/>
      <c r="Z161" s="642">
        <v>17</v>
      </c>
      <c r="AA161" s="642">
        <v>78</v>
      </c>
      <c r="AB161" s="642"/>
      <c r="AC161" s="641">
        <v>549</v>
      </c>
      <c r="AD161" s="641"/>
      <c r="AE161" s="642"/>
      <c r="AF161" s="642">
        <v>137</v>
      </c>
      <c r="AG161" s="642">
        <v>27</v>
      </c>
      <c r="AH161" s="642"/>
      <c r="AI161" s="641">
        <v>164</v>
      </c>
      <c r="AJ161" s="641"/>
      <c r="AK161" s="642"/>
      <c r="AL161" s="642"/>
      <c r="AM161" s="641"/>
    </row>
    <row r="162" spans="1:39">
      <c r="A162" s="648"/>
      <c r="B162" s="646" t="s">
        <v>209</v>
      </c>
      <c r="C162" s="624">
        <f t="shared" si="18"/>
        <v>1.6311735387403714E-2</v>
      </c>
      <c r="D162" s="625">
        <f t="shared" si="18"/>
        <v>7.8886310904872387E-2</v>
      </c>
      <c r="E162" s="625">
        <f t="shared" si="18"/>
        <v>0</v>
      </c>
      <c r="F162" s="625">
        <f t="shared" si="18"/>
        <v>0</v>
      </c>
      <c r="G162" s="625">
        <f t="shared" si="18"/>
        <v>0</v>
      </c>
      <c r="H162" s="626">
        <f t="shared" si="18"/>
        <v>0.12541993281075028</v>
      </c>
      <c r="I162" s="625">
        <f t="shared" si="18"/>
        <v>0</v>
      </c>
      <c r="J162" s="661">
        <f t="shared" si="18"/>
        <v>4.8268156424581009E-2</v>
      </c>
      <c r="K162" s="625">
        <f t="shared" si="18"/>
        <v>0</v>
      </c>
      <c r="L162" s="625">
        <f t="shared" si="18"/>
        <v>1</v>
      </c>
      <c r="M162" s="625">
        <f t="shared" si="19"/>
        <v>0.14313346228239845</v>
      </c>
      <c r="N162" s="625">
        <f t="shared" si="19"/>
        <v>0.70776255707762559</v>
      </c>
      <c r="O162" s="626">
        <f t="shared" si="19"/>
        <v>0</v>
      </c>
      <c r="P162" s="653">
        <f t="shared" si="19"/>
        <v>0.52749301025163098</v>
      </c>
      <c r="Q162" s="625">
        <f t="shared" si="19"/>
        <v>0</v>
      </c>
      <c r="R162" s="625">
        <f t="shared" si="19"/>
        <v>0</v>
      </c>
      <c r="S162" s="626">
        <f t="shared" si="19"/>
        <v>0</v>
      </c>
      <c r="T162" s="624">
        <f t="shared" si="19"/>
        <v>0</v>
      </c>
      <c r="U162" s="274"/>
      <c r="V162" s="641">
        <v>36</v>
      </c>
      <c r="W162" s="642">
        <v>68</v>
      </c>
      <c r="X162" s="642"/>
      <c r="Y162" s="642"/>
      <c r="Z162" s="642"/>
      <c r="AA162" s="642">
        <v>112</v>
      </c>
      <c r="AB162" s="642"/>
      <c r="AC162" s="641">
        <v>216</v>
      </c>
      <c r="AD162" s="641"/>
      <c r="AE162" s="642">
        <v>337</v>
      </c>
      <c r="AF162" s="642">
        <v>74</v>
      </c>
      <c r="AG162" s="642">
        <v>155</v>
      </c>
      <c r="AH162" s="642"/>
      <c r="AI162" s="641">
        <v>566</v>
      </c>
      <c r="AJ162" s="641"/>
      <c r="AK162" s="642"/>
      <c r="AL162" s="642"/>
      <c r="AM162" s="641"/>
    </row>
    <row r="163" spans="1:39">
      <c r="A163" s="649"/>
      <c r="B163" s="650" t="s">
        <v>59</v>
      </c>
      <c r="C163" s="577">
        <f t="shared" ref="C163:T163" si="20">SUM(C158:C162)</f>
        <v>1</v>
      </c>
      <c r="D163" s="578">
        <f t="shared" si="20"/>
        <v>1</v>
      </c>
      <c r="E163" s="578">
        <f t="shared" si="20"/>
        <v>0.99999999999999978</v>
      </c>
      <c r="F163" s="578">
        <f t="shared" si="20"/>
        <v>0</v>
      </c>
      <c r="G163" s="578">
        <f t="shared" si="20"/>
        <v>1.0000000000000002</v>
      </c>
      <c r="H163" s="579">
        <f t="shared" si="20"/>
        <v>0.99999999999999989</v>
      </c>
      <c r="I163" s="578">
        <f t="shared" si="20"/>
        <v>0</v>
      </c>
      <c r="J163" s="589">
        <f t="shared" si="20"/>
        <v>1</v>
      </c>
      <c r="K163" s="578">
        <f t="shared" si="20"/>
        <v>0</v>
      </c>
      <c r="L163" s="578">
        <f t="shared" si="20"/>
        <v>1</v>
      </c>
      <c r="M163" s="578">
        <f t="shared" si="20"/>
        <v>0.99999999999999989</v>
      </c>
      <c r="N163" s="578">
        <f t="shared" si="20"/>
        <v>1</v>
      </c>
      <c r="O163" s="579">
        <f t="shared" si="20"/>
        <v>0</v>
      </c>
      <c r="P163" s="654">
        <f t="shared" si="20"/>
        <v>1</v>
      </c>
      <c r="Q163" s="578">
        <f t="shared" si="20"/>
        <v>0</v>
      </c>
      <c r="R163" s="578">
        <f t="shared" si="20"/>
        <v>0</v>
      </c>
      <c r="S163" s="579">
        <f t="shared" si="20"/>
        <v>0</v>
      </c>
      <c r="T163" s="577">
        <f t="shared" si="20"/>
        <v>0</v>
      </c>
      <c r="U163" s="274"/>
      <c r="V163" s="641">
        <v>2207</v>
      </c>
      <c r="W163" s="642">
        <v>862</v>
      </c>
      <c r="X163" s="642">
        <v>266</v>
      </c>
      <c r="Y163" s="642"/>
      <c r="Z163" s="642">
        <v>247</v>
      </c>
      <c r="AA163" s="642">
        <v>893</v>
      </c>
      <c r="AB163" s="642"/>
      <c r="AC163" s="641">
        <v>4475</v>
      </c>
      <c r="AD163" s="641"/>
      <c r="AE163" s="642">
        <v>337</v>
      </c>
      <c r="AF163" s="642">
        <v>517</v>
      </c>
      <c r="AG163" s="642">
        <v>219</v>
      </c>
      <c r="AH163" s="642"/>
      <c r="AI163" s="641">
        <v>1073</v>
      </c>
      <c r="AJ163" s="641"/>
      <c r="AK163" s="642"/>
      <c r="AL163" s="642"/>
      <c r="AM163" s="641"/>
    </row>
    <row r="164" spans="1:39">
      <c r="A164" s="646" t="s">
        <v>141</v>
      </c>
      <c r="B164" s="647" t="s">
        <v>53</v>
      </c>
      <c r="C164" s="613">
        <f t="shared" ref="C164:L168" si="21">IF(V$169&gt;0,(V164/V$169),0)</f>
        <v>0.41001855287569572</v>
      </c>
      <c r="D164" s="614">
        <f t="shared" si="21"/>
        <v>0</v>
      </c>
      <c r="E164" s="614">
        <f t="shared" si="21"/>
        <v>0</v>
      </c>
      <c r="F164" s="614">
        <f t="shared" si="21"/>
        <v>0</v>
      </c>
      <c r="G164" s="614">
        <f t="shared" si="21"/>
        <v>0</v>
      </c>
      <c r="H164" s="615">
        <f t="shared" si="21"/>
        <v>0.32663316582914576</v>
      </c>
      <c r="I164" s="614">
        <f t="shared" si="21"/>
        <v>0</v>
      </c>
      <c r="J164" s="660">
        <f t="shared" si="21"/>
        <v>0.39702427564604542</v>
      </c>
      <c r="K164" s="614">
        <f t="shared" si="21"/>
        <v>0</v>
      </c>
      <c r="L164" s="614">
        <f t="shared" si="21"/>
        <v>0</v>
      </c>
      <c r="M164" s="614">
        <f t="shared" ref="M164:T168" si="22">IF(AF$169&gt;0,(AF164/AF$169),0)</f>
        <v>0.25714285714285712</v>
      </c>
      <c r="N164" s="614">
        <f t="shared" si="22"/>
        <v>0.24334600760456274</v>
      </c>
      <c r="O164" s="615">
        <f t="shared" si="22"/>
        <v>0</v>
      </c>
      <c r="P164" s="652">
        <f t="shared" si="22"/>
        <v>0.25208913649025072</v>
      </c>
      <c r="Q164" s="614">
        <f t="shared" si="22"/>
        <v>0</v>
      </c>
      <c r="R164" s="614">
        <f t="shared" si="22"/>
        <v>0</v>
      </c>
      <c r="S164" s="615">
        <f t="shared" si="22"/>
        <v>0</v>
      </c>
      <c r="T164" s="613">
        <f t="shared" si="22"/>
        <v>0</v>
      </c>
      <c r="U164" s="274"/>
      <c r="V164" s="639">
        <v>442</v>
      </c>
      <c r="W164" s="640"/>
      <c r="X164" s="640"/>
      <c r="Y164" s="640"/>
      <c r="Z164" s="640"/>
      <c r="AA164" s="640">
        <v>65</v>
      </c>
      <c r="AB164" s="640"/>
      <c r="AC164" s="639">
        <v>507</v>
      </c>
      <c r="AD164" s="639"/>
      <c r="AE164" s="640"/>
      <c r="AF164" s="640">
        <v>117</v>
      </c>
      <c r="AG164" s="640">
        <v>64</v>
      </c>
      <c r="AH164" s="640"/>
      <c r="AI164" s="639">
        <v>181</v>
      </c>
      <c r="AJ164" s="639"/>
      <c r="AK164" s="640"/>
      <c r="AL164" s="640"/>
      <c r="AM164" s="639"/>
    </row>
    <row r="165" spans="1:39">
      <c r="A165" s="648"/>
      <c r="B165" s="646" t="s">
        <v>76</v>
      </c>
      <c r="C165" s="624">
        <f t="shared" si="21"/>
        <v>0.26252319109461969</v>
      </c>
      <c r="D165" s="625">
        <f t="shared" si="21"/>
        <v>0</v>
      </c>
      <c r="E165" s="625">
        <f t="shared" si="21"/>
        <v>0</v>
      </c>
      <c r="F165" s="625">
        <f t="shared" si="21"/>
        <v>0</v>
      </c>
      <c r="G165" s="625">
        <f t="shared" si="21"/>
        <v>0</v>
      </c>
      <c r="H165" s="626">
        <f t="shared" si="21"/>
        <v>0.271356783919598</v>
      </c>
      <c r="I165" s="625">
        <f t="shared" si="21"/>
        <v>0</v>
      </c>
      <c r="J165" s="661">
        <f t="shared" si="21"/>
        <v>0.26389976507439311</v>
      </c>
      <c r="K165" s="625">
        <f t="shared" si="21"/>
        <v>0</v>
      </c>
      <c r="L165" s="625">
        <f t="shared" si="21"/>
        <v>0</v>
      </c>
      <c r="M165" s="625">
        <f t="shared" si="22"/>
        <v>0.22417582417582418</v>
      </c>
      <c r="N165" s="625">
        <f t="shared" si="22"/>
        <v>0.20152091254752852</v>
      </c>
      <c r="O165" s="626">
        <f t="shared" si="22"/>
        <v>0</v>
      </c>
      <c r="P165" s="653">
        <f t="shared" si="22"/>
        <v>0.21587743732590528</v>
      </c>
      <c r="Q165" s="625">
        <f t="shared" si="22"/>
        <v>0</v>
      </c>
      <c r="R165" s="625">
        <f t="shared" si="22"/>
        <v>0</v>
      </c>
      <c r="S165" s="626">
        <f t="shared" si="22"/>
        <v>0</v>
      </c>
      <c r="T165" s="624">
        <f t="shared" si="22"/>
        <v>0</v>
      </c>
      <c r="U165" s="274"/>
      <c r="V165" s="641">
        <v>283</v>
      </c>
      <c r="W165" s="642"/>
      <c r="X165" s="642"/>
      <c r="Y165" s="642"/>
      <c r="Z165" s="642"/>
      <c r="AA165" s="642">
        <v>54</v>
      </c>
      <c r="AB165" s="642"/>
      <c r="AC165" s="641">
        <v>337</v>
      </c>
      <c r="AD165" s="641"/>
      <c r="AE165" s="642"/>
      <c r="AF165" s="642">
        <v>102</v>
      </c>
      <c r="AG165" s="642">
        <v>53</v>
      </c>
      <c r="AH165" s="642"/>
      <c r="AI165" s="641">
        <v>155</v>
      </c>
      <c r="AJ165" s="641"/>
      <c r="AK165" s="642"/>
      <c r="AL165" s="642"/>
      <c r="AM165" s="641"/>
    </row>
    <row r="166" spans="1:39">
      <c r="A166" s="648"/>
      <c r="B166" s="646" t="s">
        <v>77</v>
      </c>
      <c r="C166" s="624">
        <f t="shared" si="21"/>
        <v>0.22727272727272727</v>
      </c>
      <c r="D166" s="625">
        <f t="shared" si="21"/>
        <v>0</v>
      </c>
      <c r="E166" s="625">
        <f t="shared" si="21"/>
        <v>0</v>
      </c>
      <c r="F166" s="625">
        <f t="shared" si="21"/>
        <v>0</v>
      </c>
      <c r="G166" s="625">
        <f t="shared" si="21"/>
        <v>0</v>
      </c>
      <c r="H166" s="626">
        <f t="shared" si="21"/>
        <v>0.26633165829145727</v>
      </c>
      <c r="I166" s="625">
        <f t="shared" si="21"/>
        <v>0</v>
      </c>
      <c r="J166" s="661">
        <f t="shared" si="21"/>
        <v>0.23335943617854346</v>
      </c>
      <c r="K166" s="625">
        <f t="shared" si="21"/>
        <v>0</v>
      </c>
      <c r="L166" s="625">
        <f t="shared" si="21"/>
        <v>0</v>
      </c>
      <c r="M166" s="625">
        <f t="shared" si="22"/>
        <v>0.21758241758241759</v>
      </c>
      <c r="N166" s="625">
        <f t="shared" si="22"/>
        <v>0.28517110266159695</v>
      </c>
      <c r="O166" s="626">
        <f t="shared" si="22"/>
        <v>0</v>
      </c>
      <c r="P166" s="653">
        <f t="shared" si="22"/>
        <v>0.24233983286908078</v>
      </c>
      <c r="Q166" s="625">
        <f t="shared" si="22"/>
        <v>0</v>
      </c>
      <c r="R166" s="625">
        <f t="shared" si="22"/>
        <v>0</v>
      </c>
      <c r="S166" s="626">
        <f t="shared" si="22"/>
        <v>0</v>
      </c>
      <c r="T166" s="624">
        <f t="shared" si="22"/>
        <v>0</v>
      </c>
      <c r="U166" s="274"/>
      <c r="V166" s="641">
        <v>245</v>
      </c>
      <c r="W166" s="642"/>
      <c r="X166" s="642"/>
      <c r="Y166" s="642"/>
      <c r="Z166" s="642"/>
      <c r="AA166" s="642">
        <v>53</v>
      </c>
      <c r="AB166" s="642"/>
      <c r="AC166" s="641">
        <v>298</v>
      </c>
      <c r="AD166" s="641"/>
      <c r="AE166" s="642"/>
      <c r="AF166" s="642">
        <v>99</v>
      </c>
      <c r="AG166" s="642">
        <v>75</v>
      </c>
      <c r="AH166" s="642"/>
      <c r="AI166" s="641">
        <v>174</v>
      </c>
      <c r="AJ166" s="641"/>
      <c r="AK166" s="642"/>
      <c r="AL166" s="642"/>
      <c r="AM166" s="641"/>
    </row>
    <row r="167" spans="1:39">
      <c r="A167" s="648"/>
      <c r="B167" s="646" t="s">
        <v>78</v>
      </c>
      <c r="C167" s="624">
        <f t="shared" si="21"/>
        <v>0.10018552875695733</v>
      </c>
      <c r="D167" s="625">
        <f t="shared" si="21"/>
        <v>0</v>
      </c>
      <c r="E167" s="625">
        <f t="shared" si="21"/>
        <v>0</v>
      </c>
      <c r="F167" s="625">
        <f t="shared" si="21"/>
        <v>0</v>
      </c>
      <c r="G167" s="625">
        <f t="shared" si="21"/>
        <v>0</v>
      </c>
      <c r="H167" s="626">
        <f t="shared" si="21"/>
        <v>0.135678391959799</v>
      </c>
      <c r="I167" s="625">
        <f t="shared" si="21"/>
        <v>0</v>
      </c>
      <c r="J167" s="661">
        <f t="shared" si="21"/>
        <v>0.10571652310101801</v>
      </c>
      <c r="K167" s="625">
        <f t="shared" si="21"/>
        <v>0</v>
      </c>
      <c r="L167" s="625">
        <f t="shared" si="21"/>
        <v>0</v>
      </c>
      <c r="M167" s="625">
        <f t="shared" si="22"/>
        <v>0.30109890109890108</v>
      </c>
      <c r="N167" s="625">
        <f t="shared" si="22"/>
        <v>0.26996197718631176</v>
      </c>
      <c r="O167" s="626">
        <f t="shared" si="22"/>
        <v>0</v>
      </c>
      <c r="P167" s="653">
        <f t="shared" si="22"/>
        <v>0.28969359331476324</v>
      </c>
      <c r="Q167" s="625">
        <f t="shared" si="22"/>
        <v>0</v>
      </c>
      <c r="R167" s="625">
        <f t="shared" si="22"/>
        <v>0</v>
      </c>
      <c r="S167" s="626">
        <f t="shared" si="22"/>
        <v>0</v>
      </c>
      <c r="T167" s="624">
        <f t="shared" si="22"/>
        <v>0</v>
      </c>
      <c r="U167" s="274"/>
      <c r="V167" s="641">
        <v>108</v>
      </c>
      <c r="W167" s="642"/>
      <c r="X167" s="642"/>
      <c r="Y167" s="642"/>
      <c r="Z167" s="642"/>
      <c r="AA167" s="642">
        <v>27</v>
      </c>
      <c r="AB167" s="642"/>
      <c r="AC167" s="641">
        <v>135</v>
      </c>
      <c r="AD167" s="641"/>
      <c r="AE167" s="642"/>
      <c r="AF167" s="642">
        <v>137</v>
      </c>
      <c r="AG167" s="642">
        <v>71</v>
      </c>
      <c r="AH167" s="642"/>
      <c r="AI167" s="641">
        <v>208</v>
      </c>
      <c r="AJ167" s="641"/>
      <c r="AK167" s="642"/>
      <c r="AL167" s="642"/>
      <c r="AM167" s="641"/>
    </row>
    <row r="168" spans="1:39">
      <c r="A168" s="648"/>
      <c r="B168" s="646" t="s">
        <v>209</v>
      </c>
      <c r="C168" s="624">
        <f t="shared" si="21"/>
        <v>0</v>
      </c>
      <c r="D168" s="625">
        <f t="shared" si="21"/>
        <v>0</v>
      </c>
      <c r="E168" s="625">
        <f t="shared" si="21"/>
        <v>0</v>
      </c>
      <c r="F168" s="625">
        <f t="shared" si="21"/>
        <v>0</v>
      </c>
      <c r="G168" s="625">
        <f t="shared" si="21"/>
        <v>0</v>
      </c>
      <c r="H168" s="626">
        <f t="shared" si="21"/>
        <v>0</v>
      </c>
      <c r="I168" s="625">
        <f t="shared" si="21"/>
        <v>0</v>
      </c>
      <c r="J168" s="661">
        <f t="shared" si="21"/>
        <v>0</v>
      </c>
      <c r="K168" s="625">
        <f t="shared" si="21"/>
        <v>0</v>
      </c>
      <c r="L168" s="625">
        <f t="shared" si="21"/>
        <v>0</v>
      </c>
      <c r="M168" s="625">
        <f t="shared" si="22"/>
        <v>0</v>
      </c>
      <c r="N168" s="625">
        <f t="shared" si="22"/>
        <v>0</v>
      </c>
      <c r="O168" s="626">
        <f t="shared" si="22"/>
        <v>0</v>
      </c>
      <c r="P168" s="653">
        <f t="shared" si="22"/>
        <v>0</v>
      </c>
      <c r="Q168" s="625">
        <f t="shared" si="22"/>
        <v>0</v>
      </c>
      <c r="R168" s="625">
        <f t="shared" si="22"/>
        <v>0</v>
      </c>
      <c r="S168" s="626">
        <f t="shared" si="22"/>
        <v>0</v>
      </c>
      <c r="T168" s="624">
        <f t="shared" si="22"/>
        <v>0</v>
      </c>
      <c r="U168" s="274"/>
      <c r="V168" s="641"/>
      <c r="W168" s="642"/>
      <c r="X168" s="642"/>
      <c r="Y168" s="642"/>
      <c r="Z168" s="642"/>
      <c r="AA168" s="642"/>
      <c r="AB168" s="642"/>
      <c r="AC168" s="641"/>
      <c r="AD168" s="641"/>
      <c r="AE168" s="642"/>
      <c r="AF168" s="642"/>
      <c r="AG168" s="642"/>
      <c r="AH168" s="642"/>
      <c r="AI168" s="641"/>
      <c r="AJ168" s="641"/>
      <c r="AK168" s="642"/>
      <c r="AL168" s="642"/>
      <c r="AM168" s="641"/>
    </row>
    <row r="169" spans="1:39">
      <c r="A169" s="649"/>
      <c r="B169" s="650" t="s">
        <v>59</v>
      </c>
      <c r="C169" s="577">
        <f t="shared" ref="C169:T169" si="23">SUM(C164:C168)</f>
        <v>1</v>
      </c>
      <c r="D169" s="578">
        <f t="shared" si="23"/>
        <v>0</v>
      </c>
      <c r="E169" s="578">
        <f t="shared" si="23"/>
        <v>0</v>
      </c>
      <c r="F169" s="578">
        <f t="shared" si="23"/>
        <v>0</v>
      </c>
      <c r="G169" s="578">
        <f t="shared" si="23"/>
        <v>0</v>
      </c>
      <c r="H169" s="579">
        <f t="shared" si="23"/>
        <v>1</v>
      </c>
      <c r="I169" s="578">
        <f t="shared" si="23"/>
        <v>0</v>
      </c>
      <c r="J169" s="589">
        <f t="shared" si="23"/>
        <v>1</v>
      </c>
      <c r="K169" s="578">
        <f t="shared" si="23"/>
        <v>0</v>
      </c>
      <c r="L169" s="578">
        <f t="shared" si="23"/>
        <v>0</v>
      </c>
      <c r="M169" s="578">
        <f t="shared" si="23"/>
        <v>1</v>
      </c>
      <c r="N169" s="578">
        <f t="shared" si="23"/>
        <v>1</v>
      </c>
      <c r="O169" s="579">
        <f t="shared" si="23"/>
        <v>0</v>
      </c>
      <c r="P169" s="654">
        <f t="shared" si="23"/>
        <v>1</v>
      </c>
      <c r="Q169" s="578">
        <f t="shared" si="23"/>
        <v>0</v>
      </c>
      <c r="R169" s="578">
        <f t="shared" si="23"/>
        <v>0</v>
      </c>
      <c r="S169" s="579">
        <f t="shared" si="23"/>
        <v>0</v>
      </c>
      <c r="T169" s="577">
        <f t="shared" si="23"/>
        <v>0</v>
      </c>
      <c r="U169" s="274"/>
      <c r="V169" s="641">
        <v>1078</v>
      </c>
      <c r="W169" s="642"/>
      <c r="X169" s="642"/>
      <c r="Y169" s="642"/>
      <c r="Z169" s="642"/>
      <c r="AA169" s="642">
        <v>199</v>
      </c>
      <c r="AB169" s="642"/>
      <c r="AC169" s="641">
        <v>1277</v>
      </c>
      <c r="AD169" s="641"/>
      <c r="AE169" s="642"/>
      <c r="AF169" s="642">
        <v>455</v>
      </c>
      <c r="AG169" s="642">
        <v>263</v>
      </c>
      <c r="AH169" s="642"/>
      <c r="AI169" s="641">
        <v>718</v>
      </c>
      <c r="AJ169" s="641"/>
      <c r="AK169" s="642"/>
      <c r="AL169" s="642"/>
      <c r="AM169" s="641"/>
    </row>
    <row r="170" spans="1:39">
      <c r="A170" s="646" t="s">
        <v>143</v>
      </c>
      <c r="B170" s="647" t="s">
        <v>53</v>
      </c>
      <c r="C170" s="613">
        <f t="shared" ref="C170:L174" si="24">IF(V$175&gt;0,(V170/V$175),0)</f>
        <v>0</v>
      </c>
      <c r="D170" s="614">
        <f t="shared" si="24"/>
        <v>0.30493273542600896</v>
      </c>
      <c r="E170" s="614">
        <f t="shared" si="24"/>
        <v>0.27079646017699116</v>
      </c>
      <c r="F170" s="614">
        <f t="shared" si="24"/>
        <v>0</v>
      </c>
      <c r="G170" s="614">
        <f t="shared" si="24"/>
        <v>0</v>
      </c>
      <c r="H170" s="615">
        <f t="shared" si="24"/>
        <v>0.36296296296296299</v>
      </c>
      <c r="I170" s="614">
        <f t="shared" si="24"/>
        <v>0</v>
      </c>
      <c r="J170" s="660">
        <f t="shared" si="24"/>
        <v>0.29862258953168042</v>
      </c>
      <c r="K170" s="614">
        <f t="shared" si="24"/>
        <v>0</v>
      </c>
      <c r="L170" s="614">
        <f t="shared" si="24"/>
        <v>0</v>
      </c>
      <c r="M170" s="614">
        <f t="shared" ref="M170:T174" si="25">IF(AF$175&gt;0,(AF170/AF$175),0)</f>
        <v>0.1178343949044586</v>
      </c>
      <c r="N170" s="614">
        <f t="shared" si="25"/>
        <v>0</v>
      </c>
      <c r="O170" s="615">
        <f t="shared" si="25"/>
        <v>0</v>
      </c>
      <c r="P170" s="652">
        <f t="shared" si="25"/>
        <v>0.10451977401129943</v>
      </c>
      <c r="Q170" s="614">
        <f t="shared" si="25"/>
        <v>0</v>
      </c>
      <c r="R170" s="614">
        <f t="shared" si="25"/>
        <v>0</v>
      </c>
      <c r="S170" s="615">
        <f t="shared" si="25"/>
        <v>0</v>
      </c>
      <c r="T170" s="613">
        <f t="shared" si="25"/>
        <v>0</v>
      </c>
      <c r="U170" s="274"/>
      <c r="V170" s="639"/>
      <c r="W170" s="640">
        <v>340</v>
      </c>
      <c r="X170" s="640">
        <v>153</v>
      </c>
      <c r="Y170" s="640"/>
      <c r="Z170" s="640"/>
      <c r="AA170" s="640">
        <v>49</v>
      </c>
      <c r="AB170" s="640"/>
      <c r="AC170" s="639">
        <v>542</v>
      </c>
      <c r="AD170" s="639"/>
      <c r="AE170" s="640"/>
      <c r="AF170" s="640">
        <v>37</v>
      </c>
      <c r="AG170" s="640"/>
      <c r="AH170" s="640"/>
      <c r="AI170" s="639">
        <v>37</v>
      </c>
      <c r="AJ170" s="639"/>
      <c r="AK170" s="640"/>
      <c r="AL170" s="640"/>
      <c r="AM170" s="639"/>
    </row>
    <row r="171" spans="1:39">
      <c r="A171" s="648"/>
      <c r="B171" s="646" t="s">
        <v>76</v>
      </c>
      <c r="C171" s="624">
        <f t="shared" si="24"/>
        <v>0</v>
      </c>
      <c r="D171" s="625">
        <f t="shared" si="24"/>
        <v>0.22869955156950672</v>
      </c>
      <c r="E171" s="625">
        <f t="shared" si="24"/>
        <v>0.26548672566371684</v>
      </c>
      <c r="F171" s="625">
        <f t="shared" si="24"/>
        <v>0</v>
      </c>
      <c r="G171" s="625">
        <f t="shared" si="24"/>
        <v>0</v>
      </c>
      <c r="H171" s="626">
        <f t="shared" si="24"/>
        <v>0.2</v>
      </c>
      <c r="I171" s="625">
        <f t="shared" si="24"/>
        <v>0</v>
      </c>
      <c r="J171" s="661">
        <f t="shared" si="24"/>
        <v>0.23801652892561984</v>
      </c>
      <c r="K171" s="625">
        <f t="shared" si="24"/>
        <v>0</v>
      </c>
      <c r="L171" s="625">
        <f t="shared" si="24"/>
        <v>0</v>
      </c>
      <c r="M171" s="625">
        <f t="shared" si="25"/>
        <v>0.12738853503184713</v>
      </c>
      <c r="N171" s="625">
        <f t="shared" si="25"/>
        <v>0</v>
      </c>
      <c r="O171" s="626">
        <f t="shared" si="25"/>
        <v>0</v>
      </c>
      <c r="P171" s="653">
        <f t="shared" si="25"/>
        <v>0.11299435028248588</v>
      </c>
      <c r="Q171" s="625">
        <f t="shared" si="25"/>
        <v>0</v>
      </c>
      <c r="R171" s="625">
        <f t="shared" si="25"/>
        <v>0</v>
      </c>
      <c r="S171" s="626">
        <f t="shared" si="25"/>
        <v>0</v>
      </c>
      <c r="T171" s="624">
        <f t="shared" si="25"/>
        <v>0</v>
      </c>
      <c r="U171" s="274"/>
      <c r="V171" s="641"/>
      <c r="W171" s="642">
        <v>255</v>
      </c>
      <c r="X171" s="642">
        <v>150</v>
      </c>
      <c r="Y171" s="642"/>
      <c r="Z171" s="642"/>
      <c r="AA171" s="642">
        <v>27</v>
      </c>
      <c r="AB171" s="642"/>
      <c r="AC171" s="641">
        <v>432</v>
      </c>
      <c r="AD171" s="641"/>
      <c r="AE171" s="642"/>
      <c r="AF171" s="642">
        <v>40</v>
      </c>
      <c r="AG171" s="642"/>
      <c r="AH171" s="642"/>
      <c r="AI171" s="641">
        <v>40</v>
      </c>
      <c r="AJ171" s="641"/>
      <c r="AK171" s="642"/>
      <c r="AL171" s="642"/>
      <c r="AM171" s="641"/>
    </row>
    <row r="172" spans="1:39">
      <c r="A172" s="648"/>
      <c r="B172" s="646" t="s">
        <v>77</v>
      </c>
      <c r="C172" s="624">
        <f t="shared" si="24"/>
        <v>0</v>
      </c>
      <c r="D172" s="625">
        <f t="shared" si="24"/>
        <v>0.21704035874439462</v>
      </c>
      <c r="E172" s="625">
        <f t="shared" si="24"/>
        <v>0.24778761061946902</v>
      </c>
      <c r="F172" s="625">
        <f t="shared" si="24"/>
        <v>0</v>
      </c>
      <c r="G172" s="625">
        <f t="shared" si="24"/>
        <v>0</v>
      </c>
      <c r="H172" s="626">
        <f t="shared" si="24"/>
        <v>0.29629629629629628</v>
      </c>
      <c r="I172" s="625">
        <f t="shared" si="24"/>
        <v>0</v>
      </c>
      <c r="J172" s="661">
        <f t="shared" si="24"/>
        <v>0.2325068870523416</v>
      </c>
      <c r="K172" s="625">
        <f t="shared" si="24"/>
        <v>0</v>
      </c>
      <c r="L172" s="625">
        <f t="shared" si="24"/>
        <v>0</v>
      </c>
      <c r="M172" s="625">
        <f t="shared" si="25"/>
        <v>0.12101910828025478</v>
      </c>
      <c r="N172" s="625">
        <f t="shared" si="25"/>
        <v>0</v>
      </c>
      <c r="O172" s="626">
        <f t="shared" si="25"/>
        <v>0</v>
      </c>
      <c r="P172" s="653">
        <f t="shared" si="25"/>
        <v>0.10734463276836158</v>
      </c>
      <c r="Q172" s="625">
        <f t="shared" si="25"/>
        <v>0</v>
      </c>
      <c r="R172" s="625">
        <f t="shared" si="25"/>
        <v>0</v>
      </c>
      <c r="S172" s="626">
        <f t="shared" si="25"/>
        <v>0</v>
      </c>
      <c r="T172" s="624">
        <f t="shared" si="25"/>
        <v>0</v>
      </c>
      <c r="U172" s="274"/>
      <c r="V172" s="641"/>
      <c r="W172" s="642">
        <v>242</v>
      </c>
      <c r="X172" s="642">
        <v>140</v>
      </c>
      <c r="Y172" s="642"/>
      <c r="Z172" s="642"/>
      <c r="AA172" s="642">
        <v>40</v>
      </c>
      <c r="AB172" s="642"/>
      <c r="AC172" s="641">
        <v>422</v>
      </c>
      <c r="AD172" s="641"/>
      <c r="AE172" s="642"/>
      <c r="AF172" s="642">
        <v>38</v>
      </c>
      <c r="AG172" s="642"/>
      <c r="AH172" s="642"/>
      <c r="AI172" s="641">
        <v>38</v>
      </c>
      <c r="AJ172" s="641"/>
      <c r="AK172" s="642"/>
      <c r="AL172" s="642"/>
      <c r="AM172" s="641"/>
    </row>
    <row r="173" spans="1:39">
      <c r="A173" s="648"/>
      <c r="B173" s="646" t="s">
        <v>78</v>
      </c>
      <c r="C173" s="624">
        <f t="shared" si="24"/>
        <v>0</v>
      </c>
      <c r="D173" s="625">
        <f t="shared" si="24"/>
        <v>9.5067264573991034E-2</v>
      </c>
      <c r="E173" s="625">
        <f t="shared" si="24"/>
        <v>2.3008849557522124E-2</v>
      </c>
      <c r="F173" s="625">
        <f t="shared" si="24"/>
        <v>0</v>
      </c>
      <c r="G173" s="625">
        <f t="shared" si="24"/>
        <v>0</v>
      </c>
      <c r="H173" s="626">
        <f t="shared" si="24"/>
        <v>0.14074074074074075</v>
      </c>
      <c r="I173" s="625">
        <f t="shared" si="24"/>
        <v>0</v>
      </c>
      <c r="J173" s="661">
        <f t="shared" si="24"/>
        <v>7.6033057851239663E-2</v>
      </c>
      <c r="K173" s="625">
        <f t="shared" si="24"/>
        <v>0</v>
      </c>
      <c r="L173" s="625">
        <f t="shared" si="24"/>
        <v>0</v>
      </c>
      <c r="M173" s="625">
        <f t="shared" si="25"/>
        <v>0.60828025477707004</v>
      </c>
      <c r="N173" s="625">
        <f t="shared" si="25"/>
        <v>1</v>
      </c>
      <c r="O173" s="626">
        <f t="shared" si="25"/>
        <v>0</v>
      </c>
      <c r="P173" s="653">
        <f t="shared" si="25"/>
        <v>0.65254237288135597</v>
      </c>
      <c r="Q173" s="625">
        <f t="shared" si="25"/>
        <v>0</v>
      </c>
      <c r="R173" s="625">
        <f t="shared" si="25"/>
        <v>0</v>
      </c>
      <c r="S173" s="626">
        <f t="shared" si="25"/>
        <v>0</v>
      </c>
      <c r="T173" s="624">
        <f t="shared" si="25"/>
        <v>0</v>
      </c>
      <c r="U173" s="274"/>
      <c r="V173" s="641"/>
      <c r="W173" s="642">
        <v>106</v>
      </c>
      <c r="X173" s="642">
        <v>13</v>
      </c>
      <c r="Y173" s="642"/>
      <c r="Z173" s="642"/>
      <c r="AA173" s="642">
        <v>19</v>
      </c>
      <c r="AB173" s="642"/>
      <c r="AC173" s="641">
        <v>138</v>
      </c>
      <c r="AD173" s="641"/>
      <c r="AE173" s="642"/>
      <c r="AF173" s="642">
        <v>191</v>
      </c>
      <c r="AG173" s="642">
        <v>40</v>
      </c>
      <c r="AH173" s="642"/>
      <c r="AI173" s="641">
        <v>231</v>
      </c>
      <c r="AJ173" s="641"/>
      <c r="AK173" s="642"/>
      <c r="AL173" s="642"/>
      <c r="AM173" s="641"/>
    </row>
    <row r="174" spans="1:39">
      <c r="A174" s="648"/>
      <c r="B174" s="646" t="s">
        <v>209</v>
      </c>
      <c r="C174" s="624">
        <f t="shared" si="24"/>
        <v>0</v>
      </c>
      <c r="D174" s="625">
        <f t="shared" si="24"/>
        <v>0.15426008968609867</v>
      </c>
      <c r="E174" s="625">
        <f t="shared" si="24"/>
        <v>0.1929203539823009</v>
      </c>
      <c r="F174" s="625">
        <f t="shared" si="24"/>
        <v>0</v>
      </c>
      <c r="G174" s="625">
        <f t="shared" si="24"/>
        <v>0</v>
      </c>
      <c r="H174" s="626">
        <f t="shared" si="24"/>
        <v>0</v>
      </c>
      <c r="I174" s="625">
        <f t="shared" si="24"/>
        <v>0</v>
      </c>
      <c r="J174" s="661">
        <f t="shared" si="24"/>
        <v>0.15482093663911844</v>
      </c>
      <c r="K174" s="625">
        <f t="shared" si="24"/>
        <v>0</v>
      </c>
      <c r="L174" s="625">
        <f t="shared" si="24"/>
        <v>0</v>
      </c>
      <c r="M174" s="625">
        <f t="shared" si="25"/>
        <v>2.5477707006369428E-2</v>
      </c>
      <c r="N174" s="625">
        <f t="shared" si="25"/>
        <v>0</v>
      </c>
      <c r="O174" s="626">
        <f t="shared" si="25"/>
        <v>0</v>
      </c>
      <c r="P174" s="653">
        <f t="shared" si="25"/>
        <v>2.2598870056497175E-2</v>
      </c>
      <c r="Q174" s="625">
        <f t="shared" si="25"/>
        <v>0</v>
      </c>
      <c r="R174" s="625">
        <f t="shared" si="25"/>
        <v>0</v>
      </c>
      <c r="S174" s="626">
        <f t="shared" si="25"/>
        <v>0</v>
      </c>
      <c r="T174" s="624">
        <f t="shared" si="25"/>
        <v>0</v>
      </c>
      <c r="U174" s="274"/>
      <c r="V174" s="641"/>
      <c r="W174" s="642">
        <v>172</v>
      </c>
      <c r="X174" s="642">
        <v>109</v>
      </c>
      <c r="Y174" s="642"/>
      <c r="Z174" s="642"/>
      <c r="AA174" s="642"/>
      <c r="AB174" s="642"/>
      <c r="AC174" s="641">
        <v>281</v>
      </c>
      <c r="AD174" s="641"/>
      <c r="AE174" s="642"/>
      <c r="AF174" s="642">
        <v>8</v>
      </c>
      <c r="AG174" s="642"/>
      <c r="AH174" s="642"/>
      <c r="AI174" s="641">
        <v>8</v>
      </c>
      <c r="AJ174" s="641"/>
      <c r="AK174" s="642"/>
      <c r="AL174" s="642"/>
      <c r="AM174" s="641"/>
    </row>
    <row r="175" spans="1:39">
      <c r="A175" s="649"/>
      <c r="B175" s="650" t="s">
        <v>59</v>
      </c>
      <c r="C175" s="577">
        <f t="shared" ref="C175:T175" si="26">SUM(C170:C174)</f>
        <v>0</v>
      </c>
      <c r="D175" s="578">
        <f t="shared" si="26"/>
        <v>1</v>
      </c>
      <c r="E175" s="578">
        <f t="shared" si="26"/>
        <v>1</v>
      </c>
      <c r="F175" s="578">
        <f t="shared" si="26"/>
        <v>0</v>
      </c>
      <c r="G175" s="578">
        <f t="shared" si="26"/>
        <v>0</v>
      </c>
      <c r="H175" s="579">
        <f t="shared" si="26"/>
        <v>1</v>
      </c>
      <c r="I175" s="578">
        <f t="shared" si="26"/>
        <v>0</v>
      </c>
      <c r="J175" s="589">
        <f t="shared" si="26"/>
        <v>1</v>
      </c>
      <c r="K175" s="578">
        <f t="shared" si="26"/>
        <v>0</v>
      </c>
      <c r="L175" s="578">
        <f t="shared" si="26"/>
        <v>0</v>
      </c>
      <c r="M175" s="578">
        <f t="shared" si="26"/>
        <v>1</v>
      </c>
      <c r="N175" s="578">
        <f t="shared" si="26"/>
        <v>1</v>
      </c>
      <c r="O175" s="579">
        <f t="shared" si="26"/>
        <v>0</v>
      </c>
      <c r="P175" s="654">
        <f t="shared" si="26"/>
        <v>1</v>
      </c>
      <c r="Q175" s="578">
        <f t="shared" si="26"/>
        <v>0</v>
      </c>
      <c r="R175" s="578">
        <f t="shared" si="26"/>
        <v>0</v>
      </c>
      <c r="S175" s="579">
        <f t="shared" si="26"/>
        <v>0</v>
      </c>
      <c r="T175" s="577">
        <f t="shared" si="26"/>
        <v>0</v>
      </c>
      <c r="U175" s="274"/>
      <c r="V175" s="641"/>
      <c r="W175" s="642">
        <v>1115</v>
      </c>
      <c r="X175" s="642">
        <v>565</v>
      </c>
      <c r="Y175" s="642"/>
      <c r="Z175" s="642"/>
      <c r="AA175" s="642">
        <v>135</v>
      </c>
      <c r="AB175" s="642"/>
      <c r="AC175" s="641">
        <v>1815</v>
      </c>
      <c r="AD175" s="641"/>
      <c r="AE175" s="642"/>
      <c r="AF175" s="642">
        <v>314</v>
      </c>
      <c r="AG175" s="642">
        <v>40</v>
      </c>
      <c r="AH175" s="642"/>
      <c r="AI175" s="641">
        <v>354</v>
      </c>
      <c r="AJ175" s="641"/>
      <c r="AK175" s="642"/>
      <c r="AL175" s="642"/>
      <c r="AM175" s="641"/>
    </row>
    <row r="176" spans="1:39">
      <c r="A176" s="646" t="s">
        <v>152</v>
      </c>
      <c r="B176" s="647" t="s">
        <v>53</v>
      </c>
      <c r="C176" s="613">
        <f t="shared" ref="C176:L180" si="27">IF(V$181&gt;0,(V176/V$181),0)</f>
        <v>0</v>
      </c>
      <c r="D176" s="614">
        <f t="shared" si="27"/>
        <v>0.32537313432835818</v>
      </c>
      <c r="E176" s="614">
        <f t="shared" si="27"/>
        <v>0</v>
      </c>
      <c r="F176" s="614">
        <f t="shared" si="27"/>
        <v>0.3048780487804878</v>
      </c>
      <c r="G176" s="614">
        <f t="shared" si="27"/>
        <v>0.27391304347826084</v>
      </c>
      <c r="H176" s="615">
        <f t="shared" si="27"/>
        <v>0.32</v>
      </c>
      <c r="I176" s="614">
        <f t="shared" si="27"/>
        <v>0</v>
      </c>
      <c r="J176" s="660">
        <f t="shared" si="27"/>
        <v>0.31469979296066253</v>
      </c>
      <c r="K176" s="614">
        <f t="shared" si="27"/>
        <v>0</v>
      </c>
      <c r="L176" s="614">
        <f t="shared" si="27"/>
        <v>0</v>
      </c>
      <c r="M176" s="614">
        <f t="shared" ref="M176:T180" si="28">IF(AF$181&gt;0,(AF176/AF$181),0)</f>
        <v>0</v>
      </c>
      <c r="N176" s="614">
        <f t="shared" si="28"/>
        <v>0</v>
      </c>
      <c r="O176" s="615">
        <f t="shared" si="28"/>
        <v>0</v>
      </c>
      <c r="P176" s="652">
        <f t="shared" si="28"/>
        <v>0</v>
      </c>
      <c r="Q176" s="614">
        <f t="shared" si="28"/>
        <v>0</v>
      </c>
      <c r="R176" s="614">
        <f t="shared" si="28"/>
        <v>0</v>
      </c>
      <c r="S176" s="615">
        <f t="shared" si="28"/>
        <v>0</v>
      </c>
      <c r="T176" s="613">
        <f t="shared" si="28"/>
        <v>0</v>
      </c>
      <c r="U176" s="274"/>
      <c r="V176" s="639"/>
      <c r="W176" s="640">
        <v>327</v>
      </c>
      <c r="X176" s="640"/>
      <c r="Y176" s="640">
        <v>50</v>
      </c>
      <c r="Z176" s="640">
        <v>63</v>
      </c>
      <c r="AA176" s="640">
        <v>16</v>
      </c>
      <c r="AB176" s="640"/>
      <c r="AC176" s="639">
        <v>456</v>
      </c>
      <c r="AD176" s="639"/>
      <c r="AE176" s="640"/>
      <c r="AF176" s="640"/>
      <c r="AG176" s="640"/>
      <c r="AH176" s="640"/>
      <c r="AI176" s="639"/>
      <c r="AJ176" s="639"/>
      <c r="AK176" s="640"/>
      <c r="AL176" s="640"/>
      <c r="AM176" s="639"/>
    </row>
    <row r="177" spans="1:39">
      <c r="A177" s="648"/>
      <c r="B177" s="646" t="s">
        <v>76</v>
      </c>
      <c r="C177" s="624">
        <f t="shared" si="27"/>
        <v>0</v>
      </c>
      <c r="D177" s="625">
        <f t="shared" si="27"/>
        <v>0.2656716417910448</v>
      </c>
      <c r="E177" s="625">
        <f t="shared" si="27"/>
        <v>0</v>
      </c>
      <c r="F177" s="625">
        <f t="shared" si="27"/>
        <v>0.15853658536585366</v>
      </c>
      <c r="G177" s="625">
        <f t="shared" si="27"/>
        <v>0.16521739130434782</v>
      </c>
      <c r="H177" s="626">
        <f t="shared" si="27"/>
        <v>0.22</v>
      </c>
      <c r="I177" s="625">
        <f t="shared" si="27"/>
        <v>0</v>
      </c>
      <c r="J177" s="661">
        <f t="shared" si="27"/>
        <v>0.2360248447204969</v>
      </c>
      <c r="K177" s="625">
        <f t="shared" si="27"/>
        <v>0</v>
      </c>
      <c r="L177" s="625">
        <f t="shared" si="27"/>
        <v>0</v>
      </c>
      <c r="M177" s="625">
        <f t="shared" si="28"/>
        <v>0</v>
      </c>
      <c r="N177" s="625">
        <f t="shared" si="28"/>
        <v>0</v>
      </c>
      <c r="O177" s="626">
        <f t="shared" si="28"/>
        <v>0</v>
      </c>
      <c r="P177" s="653">
        <f t="shared" si="28"/>
        <v>0</v>
      </c>
      <c r="Q177" s="625">
        <f t="shared" si="28"/>
        <v>0</v>
      </c>
      <c r="R177" s="625">
        <f t="shared" si="28"/>
        <v>0</v>
      </c>
      <c r="S177" s="626">
        <f t="shared" si="28"/>
        <v>0</v>
      </c>
      <c r="T177" s="624">
        <f t="shared" si="28"/>
        <v>0</v>
      </c>
      <c r="U177" s="274"/>
      <c r="V177" s="641"/>
      <c r="W177" s="642">
        <v>267</v>
      </c>
      <c r="X177" s="642"/>
      <c r="Y177" s="642">
        <v>26</v>
      </c>
      <c r="Z177" s="642">
        <v>38</v>
      </c>
      <c r="AA177" s="642">
        <v>11</v>
      </c>
      <c r="AB177" s="642"/>
      <c r="AC177" s="641">
        <v>342</v>
      </c>
      <c r="AD177" s="641"/>
      <c r="AE177" s="642"/>
      <c r="AF177" s="642"/>
      <c r="AG177" s="642"/>
      <c r="AH177" s="642"/>
      <c r="AI177" s="641"/>
      <c r="AJ177" s="641"/>
      <c r="AK177" s="642"/>
      <c r="AL177" s="642"/>
      <c r="AM177" s="641"/>
    </row>
    <row r="178" spans="1:39">
      <c r="A178" s="648"/>
      <c r="B178" s="646" t="s">
        <v>77</v>
      </c>
      <c r="C178" s="624">
        <f t="shared" si="27"/>
        <v>0</v>
      </c>
      <c r="D178" s="625">
        <f t="shared" si="27"/>
        <v>0.28059701492537314</v>
      </c>
      <c r="E178" s="625">
        <f t="shared" si="27"/>
        <v>0</v>
      </c>
      <c r="F178" s="625">
        <f t="shared" si="27"/>
        <v>0.2073170731707317</v>
      </c>
      <c r="G178" s="625">
        <f t="shared" si="27"/>
        <v>0.22608695652173913</v>
      </c>
      <c r="H178" s="626">
        <f t="shared" si="27"/>
        <v>0.24</v>
      </c>
      <c r="I178" s="625">
        <f t="shared" si="27"/>
        <v>0</v>
      </c>
      <c r="J178" s="661">
        <f t="shared" si="27"/>
        <v>0.26224982746721875</v>
      </c>
      <c r="K178" s="625">
        <f t="shared" si="27"/>
        <v>0</v>
      </c>
      <c r="L178" s="625">
        <f t="shared" si="27"/>
        <v>0</v>
      </c>
      <c r="M178" s="625">
        <f t="shared" si="28"/>
        <v>0</v>
      </c>
      <c r="N178" s="625">
        <f t="shared" si="28"/>
        <v>0</v>
      </c>
      <c r="O178" s="626">
        <f t="shared" si="28"/>
        <v>0</v>
      </c>
      <c r="P178" s="653">
        <f t="shared" si="28"/>
        <v>0</v>
      </c>
      <c r="Q178" s="625">
        <f t="shared" si="28"/>
        <v>0</v>
      </c>
      <c r="R178" s="625">
        <f t="shared" si="28"/>
        <v>0</v>
      </c>
      <c r="S178" s="626">
        <f t="shared" si="28"/>
        <v>0</v>
      </c>
      <c r="T178" s="624">
        <f t="shared" si="28"/>
        <v>0</v>
      </c>
      <c r="U178" s="274"/>
      <c r="V178" s="641"/>
      <c r="W178" s="642">
        <v>282</v>
      </c>
      <c r="X178" s="642"/>
      <c r="Y178" s="642">
        <v>34</v>
      </c>
      <c r="Z178" s="642">
        <v>52</v>
      </c>
      <c r="AA178" s="642">
        <v>12</v>
      </c>
      <c r="AB178" s="642"/>
      <c r="AC178" s="641">
        <v>380</v>
      </c>
      <c r="AD178" s="641"/>
      <c r="AE178" s="642"/>
      <c r="AF178" s="642"/>
      <c r="AG178" s="642"/>
      <c r="AH178" s="642"/>
      <c r="AI178" s="641"/>
      <c r="AJ178" s="641"/>
      <c r="AK178" s="642"/>
      <c r="AL178" s="642"/>
      <c r="AM178" s="641"/>
    </row>
    <row r="179" spans="1:39">
      <c r="A179" s="648"/>
      <c r="B179" s="646" t="s">
        <v>78</v>
      </c>
      <c r="C179" s="624">
        <f t="shared" si="27"/>
        <v>0</v>
      </c>
      <c r="D179" s="625">
        <f t="shared" si="27"/>
        <v>0.11641791044776119</v>
      </c>
      <c r="E179" s="625">
        <f t="shared" si="27"/>
        <v>0</v>
      </c>
      <c r="F179" s="625">
        <f t="shared" si="27"/>
        <v>0</v>
      </c>
      <c r="G179" s="625">
        <f t="shared" si="27"/>
        <v>0.14782608695652175</v>
      </c>
      <c r="H179" s="626">
        <f t="shared" si="27"/>
        <v>0.22</v>
      </c>
      <c r="I179" s="625">
        <f t="shared" si="27"/>
        <v>0</v>
      </c>
      <c r="J179" s="661">
        <f t="shared" si="27"/>
        <v>0.11180124223602485</v>
      </c>
      <c r="K179" s="625">
        <f t="shared" si="27"/>
        <v>0</v>
      </c>
      <c r="L179" s="625">
        <f t="shared" si="27"/>
        <v>0</v>
      </c>
      <c r="M179" s="625">
        <f t="shared" si="28"/>
        <v>0</v>
      </c>
      <c r="N179" s="625">
        <f t="shared" si="28"/>
        <v>0.78350515463917525</v>
      </c>
      <c r="O179" s="626">
        <f t="shared" si="28"/>
        <v>0</v>
      </c>
      <c r="P179" s="653">
        <f t="shared" si="28"/>
        <v>0.78350515463917525</v>
      </c>
      <c r="Q179" s="625">
        <f t="shared" si="28"/>
        <v>0</v>
      </c>
      <c r="R179" s="625">
        <f t="shared" si="28"/>
        <v>0</v>
      </c>
      <c r="S179" s="626">
        <f t="shared" si="28"/>
        <v>0</v>
      </c>
      <c r="T179" s="624">
        <f t="shared" si="28"/>
        <v>0</v>
      </c>
      <c r="U179" s="274"/>
      <c r="V179" s="641"/>
      <c r="W179" s="642">
        <v>117</v>
      </c>
      <c r="X179" s="642"/>
      <c r="Y179" s="642"/>
      <c r="Z179" s="642">
        <v>34</v>
      </c>
      <c r="AA179" s="642">
        <v>11</v>
      </c>
      <c r="AB179" s="642"/>
      <c r="AC179" s="641">
        <v>162</v>
      </c>
      <c r="AD179" s="641"/>
      <c r="AE179" s="642"/>
      <c r="AF179" s="642"/>
      <c r="AG179" s="642">
        <v>152</v>
      </c>
      <c r="AH179" s="642"/>
      <c r="AI179" s="641">
        <v>152</v>
      </c>
      <c r="AJ179" s="641"/>
      <c r="AK179" s="642"/>
      <c r="AL179" s="642"/>
      <c r="AM179" s="641"/>
    </row>
    <row r="180" spans="1:39">
      <c r="A180" s="648"/>
      <c r="B180" s="646" t="s">
        <v>209</v>
      </c>
      <c r="C180" s="624">
        <f t="shared" si="27"/>
        <v>0</v>
      </c>
      <c r="D180" s="625">
        <f t="shared" si="27"/>
        <v>1.1940298507462687E-2</v>
      </c>
      <c r="E180" s="625">
        <f t="shared" si="27"/>
        <v>0</v>
      </c>
      <c r="F180" s="625">
        <f t="shared" si="27"/>
        <v>0.32926829268292684</v>
      </c>
      <c r="G180" s="625">
        <f t="shared" si="27"/>
        <v>0.18695652173913044</v>
      </c>
      <c r="H180" s="626">
        <f t="shared" si="27"/>
        <v>0</v>
      </c>
      <c r="I180" s="625">
        <f t="shared" si="27"/>
        <v>0</v>
      </c>
      <c r="J180" s="661">
        <f t="shared" si="27"/>
        <v>7.522429261559696E-2</v>
      </c>
      <c r="K180" s="625">
        <f t="shared" si="27"/>
        <v>0</v>
      </c>
      <c r="L180" s="625">
        <f t="shared" si="27"/>
        <v>0</v>
      </c>
      <c r="M180" s="625">
        <f t="shared" si="28"/>
        <v>0</v>
      </c>
      <c r="N180" s="625">
        <f t="shared" si="28"/>
        <v>0.21649484536082475</v>
      </c>
      <c r="O180" s="626">
        <f t="shared" si="28"/>
        <v>0</v>
      </c>
      <c r="P180" s="653">
        <f t="shared" si="28"/>
        <v>0.21649484536082475</v>
      </c>
      <c r="Q180" s="625">
        <f t="shared" si="28"/>
        <v>0</v>
      </c>
      <c r="R180" s="625">
        <f t="shared" si="28"/>
        <v>0</v>
      </c>
      <c r="S180" s="626">
        <f t="shared" si="28"/>
        <v>0</v>
      </c>
      <c r="T180" s="624">
        <f t="shared" si="28"/>
        <v>0</v>
      </c>
      <c r="U180" s="274"/>
      <c r="V180" s="641"/>
      <c r="W180" s="642">
        <v>12</v>
      </c>
      <c r="X180" s="642"/>
      <c r="Y180" s="642">
        <v>54</v>
      </c>
      <c r="Z180" s="642">
        <v>43</v>
      </c>
      <c r="AA180" s="642"/>
      <c r="AB180" s="642"/>
      <c r="AC180" s="641">
        <v>109</v>
      </c>
      <c r="AD180" s="641"/>
      <c r="AE180" s="642"/>
      <c r="AF180" s="642"/>
      <c r="AG180" s="642">
        <v>42</v>
      </c>
      <c r="AH180" s="642"/>
      <c r="AI180" s="641">
        <v>42</v>
      </c>
      <c r="AJ180" s="641"/>
      <c r="AK180" s="642"/>
      <c r="AL180" s="642"/>
      <c r="AM180" s="641"/>
    </row>
    <row r="181" spans="1:39">
      <c r="A181" s="649"/>
      <c r="B181" s="650" t="s">
        <v>59</v>
      </c>
      <c r="C181" s="577">
        <f t="shared" ref="C181:T181" si="29">SUM(C176:C180)</f>
        <v>0</v>
      </c>
      <c r="D181" s="578">
        <f t="shared" si="29"/>
        <v>1</v>
      </c>
      <c r="E181" s="578">
        <f t="shared" si="29"/>
        <v>0</v>
      </c>
      <c r="F181" s="578">
        <f t="shared" si="29"/>
        <v>1</v>
      </c>
      <c r="G181" s="578">
        <f t="shared" si="29"/>
        <v>1</v>
      </c>
      <c r="H181" s="579">
        <f t="shared" si="29"/>
        <v>1</v>
      </c>
      <c r="I181" s="578">
        <f t="shared" si="29"/>
        <v>0</v>
      </c>
      <c r="J181" s="589">
        <f t="shared" si="29"/>
        <v>0.99999999999999989</v>
      </c>
      <c r="K181" s="578">
        <f t="shared" si="29"/>
        <v>0</v>
      </c>
      <c r="L181" s="578">
        <f t="shared" si="29"/>
        <v>0</v>
      </c>
      <c r="M181" s="578">
        <f t="shared" si="29"/>
        <v>0</v>
      </c>
      <c r="N181" s="578">
        <f t="shared" si="29"/>
        <v>1</v>
      </c>
      <c r="O181" s="579">
        <f t="shared" si="29"/>
        <v>0</v>
      </c>
      <c r="P181" s="654">
        <f t="shared" si="29"/>
        <v>1</v>
      </c>
      <c r="Q181" s="578">
        <f t="shared" si="29"/>
        <v>0</v>
      </c>
      <c r="R181" s="578">
        <f t="shared" si="29"/>
        <v>0</v>
      </c>
      <c r="S181" s="579">
        <f t="shared" si="29"/>
        <v>0</v>
      </c>
      <c r="T181" s="577">
        <f t="shared" si="29"/>
        <v>0</v>
      </c>
      <c r="U181" s="274"/>
      <c r="V181" s="641"/>
      <c r="W181" s="642">
        <v>1005</v>
      </c>
      <c r="X181" s="642"/>
      <c r="Y181" s="642">
        <v>164</v>
      </c>
      <c r="Z181" s="642">
        <v>230</v>
      </c>
      <c r="AA181" s="642">
        <v>50</v>
      </c>
      <c r="AB181" s="642"/>
      <c r="AC181" s="641">
        <v>1449</v>
      </c>
      <c r="AD181" s="641"/>
      <c r="AE181" s="642"/>
      <c r="AF181" s="642"/>
      <c r="AG181" s="642">
        <v>194</v>
      </c>
      <c r="AH181" s="642"/>
      <c r="AI181" s="641">
        <v>194</v>
      </c>
      <c r="AJ181" s="641"/>
      <c r="AK181" s="642"/>
      <c r="AL181" s="642"/>
      <c r="AM181" s="641"/>
    </row>
    <row r="182" spans="1:39">
      <c r="A182" s="646" t="s">
        <v>158</v>
      </c>
      <c r="B182" s="647" t="s">
        <v>53</v>
      </c>
      <c r="C182" s="613">
        <f t="shared" ref="C182:L186" si="30">IF(V$187&gt;0,(V182/V$187),0)</f>
        <v>0</v>
      </c>
      <c r="D182" s="614">
        <f t="shared" si="30"/>
        <v>0.30848861283643891</v>
      </c>
      <c r="E182" s="614">
        <f t="shared" si="30"/>
        <v>0</v>
      </c>
      <c r="F182" s="614">
        <f t="shared" si="30"/>
        <v>0</v>
      </c>
      <c r="G182" s="614">
        <f t="shared" si="30"/>
        <v>0</v>
      </c>
      <c r="H182" s="615">
        <f t="shared" si="30"/>
        <v>2.4096385542168676E-2</v>
      </c>
      <c r="I182" s="614">
        <f t="shared" si="30"/>
        <v>0</v>
      </c>
      <c r="J182" s="660">
        <f t="shared" si="30"/>
        <v>0.29308093994778067</v>
      </c>
      <c r="K182" s="614">
        <f t="shared" si="30"/>
        <v>0</v>
      </c>
      <c r="L182" s="614">
        <f t="shared" si="30"/>
        <v>0.64320785597381347</v>
      </c>
      <c r="M182" s="614">
        <f t="shared" ref="M182:T186" si="31">IF(AF$187&gt;0,(AF182/AF$187),0)</f>
        <v>0.66233766233766234</v>
      </c>
      <c r="N182" s="614">
        <f t="shared" si="31"/>
        <v>0</v>
      </c>
      <c r="O182" s="615">
        <f t="shared" si="31"/>
        <v>0</v>
      </c>
      <c r="P182" s="652">
        <f t="shared" si="31"/>
        <v>0.64534883720930236</v>
      </c>
      <c r="Q182" s="614">
        <f t="shared" si="31"/>
        <v>0</v>
      </c>
      <c r="R182" s="614">
        <f t="shared" si="31"/>
        <v>0</v>
      </c>
      <c r="S182" s="615">
        <f t="shared" si="31"/>
        <v>0</v>
      </c>
      <c r="T182" s="613">
        <f t="shared" si="31"/>
        <v>0</v>
      </c>
      <c r="U182" s="274"/>
      <c r="V182" s="639"/>
      <c r="W182" s="640">
        <v>447</v>
      </c>
      <c r="X182" s="640"/>
      <c r="Y182" s="640"/>
      <c r="Z182" s="640"/>
      <c r="AA182" s="640">
        <v>2</v>
      </c>
      <c r="AB182" s="640"/>
      <c r="AC182" s="639">
        <v>449</v>
      </c>
      <c r="AD182" s="639"/>
      <c r="AE182" s="640">
        <v>393</v>
      </c>
      <c r="AF182" s="640">
        <v>51</v>
      </c>
      <c r="AG182" s="640"/>
      <c r="AH182" s="640"/>
      <c r="AI182" s="639">
        <v>444</v>
      </c>
      <c r="AJ182" s="639"/>
      <c r="AK182" s="640"/>
      <c r="AL182" s="640"/>
      <c r="AM182" s="639"/>
    </row>
    <row r="183" spans="1:39">
      <c r="A183" s="648"/>
      <c r="B183" s="646" t="s">
        <v>76</v>
      </c>
      <c r="C183" s="624">
        <f t="shared" si="30"/>
        <v>0</v>
      </c>
      <c r="D183" s="625">
        <f t="shared" si="30"/>
        <v>0.305728088336784</v>
      </c>
      <c r="E183" s="625">
        <f t="shared" si="30"/>
        <v>0</v>
      </c>
      <c r="F183" s="625">
        <f t="shared" si="30"/>
        <v>0</v>
      </c>
      <c r="G183" s="625">
        <f t="shared" si="30"/>
        <v>0</v>
      </c>
      <c r="H183" s="626">
        <f t="shared" si="30"/>
        <v>6.0240963855421686E-2</v>
      </c>
      <c r="I183" s="625">
        <f t="shared" si="30"/>
        <v>0</v>
      </c>
      <c r="J183" s="661">
        <f t="shared" si="30"/>
        <v>0.29242819843342038</v>
      </c>
      <c r="K183" s="625">
        <f t="shared" si="30"/>
        <v>0</v>
      </c>
      <c r="L183" s="625">
        <f t="shared" si="30"/>
        <v>0</v>
      </c>
      <c r="M183" s="625">
        <f t="shared" si="31"/>
        <v>0</v>
      </c>
      <c r="N183" s="625">
        <f t="shared" si="31"/>
        <v>0</v>
      </c>
      <c r="O183" s="626">
        <f t="shared" si="31"/>
        <v>0</v>
      </c>
      <c r="P183" s="653">
        <f t="shared" si="31"/>
        <v>0</v>
      </c>
      <c r="Q183" s="625">
        <f t="shared" si="31"/>
        <v>0</v>
      </c>
      <c r="R183" s="625">
        <f t="shared" si="31"/>
        <v>0</v>
      </c>
      <c r="S183" s="626">
        <f t="shared" si="31"/>
        <v>0</v>
      </c>
      <c r="T183" s="624">
        <f t="shared" si="31"/>
        <v>0</v>
      </c>
      <c r="U183" s="274"/>
      <c r="V183" s="641"/>
      <c r="W183" s="642">
        <v>443</v>
      </c>
      <c r="X183" s="642"/>
      <c r="Y183" s="642"/>
      <c r="Z183" s="642"/>
      <c r="AA183" s="642">
        <v>5</v>
      </c>
      <c r="AB183" s="642"/>
      <c r="AC183" s="641">
        <v>448</v>
      </c>
      <c r="AD183" s="641"/>
      <c r="AE183" s="642"/>
      <c r="AF183" s="642"/>
      <c r="AG183" s="642"/>
      <c r="AH183" s="642"/>
      <c r="AI183" s="641"/>
      <c r="AJ183" s="641"/>
      <c r="AK183" s="642"/>
      <c r="AL183" s="642"/>
      <c r="AM183" s="641"/>
    </row>
    <row r="184" spans="1:39">
      <c r="A184" s="648"/>
      <c r="B184" s="646" t="s">
        <v>77</v>
      </c>
      <c r="C184" s="624">
        <f t="shared" si="30"/>
        <v>0</v>
      </c>
      <c r="D184" s="625">
        <f t="shared" si="30"/>
        <v>0.31608005521048999</v>
      </c>
      <c r="E184" s="625">
        <f t="shared" si="30"/>
        <v>0</v>
      </c>
      <c r="F184" s="625">
        <f t="shared" si="30"/>
        <v>0</v>
      </c>
      <c r="G184" s="625">
        <f t="shared" si="30"/>
        <v>0</v>
      </c>
      <c r="H184" s="626">
        <f t="shared" si="30"/>
        <v>0.10843373493975904</v>
      </c>
      <c r="I184" s="625">
        <f t="shared" si="30"/>
        <v>0</v>
      </c>
      <c r="J184" s="661">
        <f t="shared" si="30"/>
        <v>0.30483028720626631</v>
      </c>
      <c r="K184" s="625">
        <f t="shared" si="30"/>
        <v>0</v>
      </c>
      <c r="L184" s="625">
        <f t="shared" si="30"/>
        <v>0</v>
      </c>
      <c r="M184" s="625">
        <f t="shared" si="31"/>
        <v>0</v>
      </c>
      <c r="N184" s="625">
        <f t="shared" si="31"/>
        <v>0</v>
      </c>
      <c r="O184" s="626">
        <f t="shared" si="31"/>
        <v>0</v>
      </c>
      <c r="P184" s="653">
        <f t="shared" si="31"/>
        <v>0</v>
      </c>
      <c r="Q184" s="625">
        <f t="shared" si="31"/>
        <v>0</v>
      </c>
      <c r="R184" s="625">
        <f t="shared" si="31"/>
        <v>0</v>
      </c>
      <c r="S184" s="626">
        <f t="shared" si="31"/>
        <v>0</v>
      </c>
      <c r="T184" s="624">
        <f t="shared" si="31"/>
        <v>0</v>
      </c>
      <c r="U184" s="274"/>
      <c r="V184" s="641"/>
      <c r="W184" s="642">
        <v>458</v>
      </c>
      <c r="X184" s="642"/>
      <c r="Y184" s="642"/>
      <c r="Z184" s="642"/>
      <c r="AA184" s="642">
        <v>9</v>
      </c>
      <c r="AB184" s="642"/>
      <c r="AC184" s="641">
        <v>467</v>
      </c>
      <c r="AD184" s="641"/>
      <c r="AE184" s="642"/>
      <c r="AF184" s="642"/>
      <c r="AG184" s="642"/>
      <c r="AH184" s="642"/>
      <c r="AI184" s="641"/>
      <c r="AJ184" s="641"/>
      <c r="AK184" s="642"/>
      <c r="AL184" s="642"/>
      <c r="AM184" s="641"/>
    </row>
    <row r="185" spans="1:39">
      <c r="A185" s="648"/>
      <c r="B185" s="646" t="s">
        <v>78</v>
      </c>
      <c r="C185" s="624">
        <f t="shared" si="30"/>
        <v>0</v>
      </c>
      <c r="D185" s="625">
        <f t="shared" si="30"/>
        <v>3.1055900621118012E-2</v>
      </c>
      <c r="E185" s="625">
        <f t="shared" si="30"/>
        <v>0</v>
      </c>
      <c r="F185" s="625">
        <f t="shared" si="30"/>
        <v>0</v>
      </c>
      <c r="G185" s="625">
        <f t="shared" si="30"/>
        <v>0</v>
      </c>
      <c r="H185" s="626">
        <f t="shared" si="30"/>
        <v>0</v>
      </c>
      <c r="I185" s="625">
        <f t="shared" si="30"/>
        <v>0</v>
      </c>
      <c r="J185" s="661">
        <f t="shared" si="30"/>
        <v>2.93733681462141E-2</v>
      </c>
      <c r="K185" s="625">
        <f t="shared" si="30"/>
        <v>0</v>
      </c>
      <c r="L185" s="625">
        <f t="shared" si="30"/>
        <v>0.28314238952536824</v>
      </c>
      <c r="M185" s="625">
        <f t="shared" si="31"/>
        <v>0.33766233766233766</v>
      </c>
      <c r="N185" s="625">
        <f t="shared" si="31"/>
        <v>0</v>
      </c>
      <c r="O185" s="626">
        <f t="shared" si="31"/>
        <v>0</v>
      </c>
      <c r="P185" s="653">
        <f t="shared" si="31"/>
        <v>0.28924418604651164</v>
      </c>
      <c r="Q185" s="625">
        <f t="shared" si="31"/>
        <v>0</v>
      </c>
      <c r="R185" s="625">
        <f t="shared" si="31"/>
        <v>0</v>
      </c>
      <c r="S185" s="626">
        <f t="shared" si="31"/>
        <v>0</v>
      </c>
      <c r="T185" s="624">
        <f t="shared" si="31"/>
        <v>0</v>
      </c>
      <c r="U185" s="274"/>
      <c r="V185" s="641"/>
      <c r="W185" s="642">
        <v>45</v>
      </c>
      <c r="X185" s="642"/>
      <c r="Y185" s="642"/>
      <c r="Z185" s="642"/>
      <c r="AA185" s="642"/>
      <c r="AB185" s="642"/>
      <c r="AC185" s="641">
        <v>45</v>
      </c>
      <c r="AD185" s="641"/>
      <c r="AE185" s="642">
        <v>173</v>
      </c>
      <c r="AF185" s="642">
        <v>26</v>
      </c>
      <c r="AG185" s="642"/>
      <c r="AH185" s="642"/>
      <c r="AI185" s="641">
        <v>199</v>
      </c>
      <c r="AJ185" s="641"/>
      <c r="AK185" s="642"/>
      <c r="AL185" s="642"/>
      <c r="AM185" s="641"/>
    </row>
    <row r="186" spans="1:39">
      <c r="A186" s="648"/>
      <c r="B186" s="646" t="s">
        <v>209</v>
      </c>
      <c r="C186" s="624">
        <f t="shared" si="30"/>
        <v>0</v>
      </c>
      <c r="D186" s="625">
        <f t="shared" si="30"/>
        <v>3.864734299516908E-2</v>
      </c>
      <c r="E186" s="625">
        <f t="shared" si="30"/>
        <v>0</v>
      </c>
      <c r="F186" s="625">
        <f t="shared" si="30"/>
        <v>0</v>
      </c>
      <c r="G186" s="625">
        <f t="shared" si="30"/>
        <v>0</v>
      </c>
      <c r="H186" s="626">
        <f t="shared" si="30"/>
        <v>0.80722891566265065</v>
      </c>
      <c r="I186" s="625">
        <f t="shared" si="30"/>
        <v>0</v>
      </c>
      <c r="J186" s="661">
        <f t="shared" si="30"/>
        <v>8.0287206266318537E-2</v>
      </c>
      <c r="K186" s="625">
        <f t="shared" si="30"/>
        <v>0</v>
      </c>
      <c r="L186" s="625">
        <f t="shared" si="30"/>
        <v>7.3649754500818329E-2</v>
      </c>
      <c r="M186" s="625">
        <f t="shared" si="31"/>
        <v>0</v>
      </c>
      <c r="N186" s="625">
        <f t="shared" si="31"/>
        <v>0</v>
      </c>
      <c r="O186" s="626">
        <f t="shared" si="31"/>
        <v>0</v>
      </c>
      <c r="P186" s="653">
        <f t="shared" si="31"/>
        <v>6.5406976744186052E-2</v>
      </c>
      <c r="Q186" s="625">
        <f t="shared" si="31"/>
        <v>0</v>
      </c>
      <c r="R186" s="625">
        <f t="shared" si="31"/>
        <v>0</v>
      </c>
      <c r="S186" s="626">
        <f t="shared" si="31"/>
        <v>0</v>
      </c>
      <c r="T186" s="624">
        <f t="shared" si="31"/>
        <v>0</v>
      </c>
      <c r="U186" s="274"/>
      <c r="V186" s="641"/>
      <c r="W186" s="642">
        <v>56</v>
      </c>
      <c r="X186" s="642"/>
      <c r="Y186" s="642"/>
      <c r="Z186" s="642"/>
      <c r="AA186" s="642">
        <v>67</v>
      </c>
      <c r="AB186" s="642"/>
      <c r="AC186" s="641">
        <v>123</v>
      </c>
      <c r="AD186" s="641"/>
      <c r="AE186" s="642">
        <v>45</v>
      </c>
      <c r="AF186" s="642"/>
      <c r="AG186" s="642"/>
      <c r="AH186" s="642"/>
      <c r="AI186" s="641">
        <v>45</v>
      </c>
      <c r="AJ186" s="641"/>
      <c r="AK186" s="642"/>
      <c r="AL186" s="642"/>
      <c r="AM186" s="641"/>
    </row>
    <row r="187" spans="1:39">
      <c r="A187" s="649"/>
      <c r="B187" s="650" t="s">
        <v>59</v>
      </c>
      <c r="C187" s="577">
        <f t="shared" ref="C187:T187" si="32">SUM(C182:C186)</f>
        <v>0</v>
      </c>
      <c r="D187" s="578">
        <f t="shared" si="32"/>
        <v>0.99999999999999989</v>
      </c>
      <c r="E187" s="578">
        <f t="shared" si="32"/>
        <v>0</v>
      </c>
      <c r="F187" s="578">
        <f t="shared" si="32"/>
        <v>0</v>
      </c>
      <c r="G187" s="578">
        <f t="shared" si="32"/>
        <v>0</v>
      </c>
      <c r="H187" s="579">
        <f t="shared" si="32"/>
        <v>1</v>
      </c>
      <c r="I187" s="578">
        <f t="shared" si="32"/>
        <v>0</v>
      </c>
      <c r="J187" s="589">
        <f t="shared" si="32"/>
        <v>0.99999999999999989</v>
      </c>
      <c r="K187" s="578">
        <f t="shared" si="32"/>
        <v>0</v>
      </c>
      <c r="L187" s="578">
        <f t="shared" si="32"/>
        <v>1</v>
      </c>
      <c r="M187" s="578">
        <f t="shared" si="32"/>
        <v>1</v>
      </c>
      <c r="N187" s="578">
        <f t="shared" si="32"/>
        <v>0</v>
      </c>
      <c r="O187" s="579">
        <f t="shared" si="32"/>
        <v>0</v>
      </c>
      <c r="P187" s="654">
        <f t="shared" si="32"/>
        <v>1</v>
      </c>
      <c r="Q187" s="578">
        <f t="shared" si="32"/>
        <v>0</v>
      </c>
      <c r="R187" s="578">
        <f t="shared" si="32"/>
        <v>0</v>
      </c>
      <c r="S187" s="579">
        <f t="shared" si="32"/>
        <v>0</v>
      </c>
      <c r="T187" s="577">
        <f t="shared" si="32"/>
        <v>0</v>
      </c>
      <c r="U187" s="274"/>
      <c r="V187" s="641"/>
      <c r="W187" s="642">
        <v>1449</v>
      </c>
      <c r="X187" s="642"/>
      <c r="Y187" s="642"/>
      <c r="Z187" s="642"/>
      <c r="AA187" s="642">
        <v>83</v>
      </c>
      <c r="AB187" s="642"/>
      <c r="AC187" s="641">
        <v>1532</v>
      </c>
      <c r="AD187" s="641"/>
      <c r="AE187" s="642">
        <v>611</v>
      </c>
      <c r="AF187" s="642">
        <v>77</v>
      </c>
      <c r="AG187" s="642"/>
      <c r="AH187" s="642"/>
      <c r="AI187" s="641">
        <v>688</v>
      </c>
      <c r="AJ187" s="641"/>
      <c r="AK187" s="642"/>
      <c r="AL187" s="642"/>
      <c r="AM187" s="641"/>
    </row>
    <row r="188" spans="1:39">
      <c r="A188" s="646" t="s">
        <v>157</v>
      </c>
      <c r="B188" s="647" t="s">
        <v>53</v>
      </c>
      <c r="C188" s="613">
        <f t="shared" ref="C188:L192" si="33">IF(V$193&gt;0,(V188/V$193),0)</f>
        <v>0.38100686498855835</v>
      </c>
      <c r="D188" s="614">
        <f t="shared" si="33"/>
        <v>0.30988274706867669</v>
      </c>
      <c r="E188" s="614">
        <f t="shared" si="33"/>
        <v>0.22142857142857142</v>
      </c>
      <c r="F188" s="614">
        <f t="shared" si="33"/>
        <v>0.25423728813559321</v>
      </c>
      <c r="G188" s="614">
        <f t="shared" si="33"/>
        <v>0.34343434343434343</v>
      </c>
      <c r="H188" s="615">
        <f t="shared" si="33"/>
        <v>0</v>
      </c>
      <c r="I188" s="614">
        <f t="shared" si="33"/>
        <v>0</v>
      </c>
      <c r="J188" s="660">
        <f t="shared" si="33"/>
        <v>0.33533916849015316</v>
      </c>
      <c r="K188" s="614">
        <f t="shared" si="33"/>
        <v>0</v>
      </c>
      <c r="L188" s="614">
        <f t="shared" si="33"/>
        <v>0</v>
      </c>
      <c r="M188" s="614">
        <f t="shared" ref="M188:T192" si="34">IF(AF$193&gt;0,(AF188/AF$193),0)</f>
        <v>7.4498567335243557E-2</v>
      </c>
      <c r="N188" s="614">
        <f t="shared" si="34"/>
        <v>6.2645011600928072E-2</v>
      </c>
      <c r="O188" s="615">
        <f t="shared" si="34"/>
        <v>0</v>
      </c>
      <c r="P188" s="652">
        <f t="shared" si="34"/>
        <v>4.7195013357079249E-2</v>
      </c>
      <c r="Q188" s="614">
        <f t="shared" si="34"/>
        <v>0</v>
      </c>
      <c r="R188" s="614">
        <f t="shared" si="34"/>
        <v>0</v>
      </c>
      <c r="S188" s="615">
        <f t="shared" si="34"/>
        <v>0</v>
      </c>
      <c r="T188" s="613">
        <f t="shared" si="34"/>
        <v>0</v>
      </c>
      <c r="U188" s="274"/>
      <c r="V188" s="639">
        <v>333</v>
      </c>
      <c r="W188" s="640">
        <v>185</v>
      </c>
      <c r="X188" s="640">
        <v>31</v>
      </c>
      <c r="Y188" s="640">
        <v>30</v>
      </c>
      <c r="Z188" s="640">
        <v>34</v>
      </c>
      <c r="AA188" s="640"/>
      <c r="AB188" s="640"/>
      <c r="AC188" s="639">
        <v>613</v>
      </c>
      <c r="AD188" s="639"/>
      <c r="AE188" s="640"/>
      <c r="AF188" s="640">
        <v>26</v>
      </c>
      <c r="AG188" s="640">
        <v>27</v>
      </c>
      <c r="AH188" s="640"/>
      <c r="AI188" s="639">
        <v>53</v>
      </c>
      <c r="AJ188" s="639"/>
      <c r="AK188" s="640"/>
      <c r="AL188" s="640"/>
      <c r="AM188" s="639"/>
    </row>
    <row r="189" spans="1:39">
      <c r="A189" s="648"/>
      <c r="B189" s="646" t="s">
        <v>76</v>
      </c>
      <c r="C189" s="624">
        <f t="shared" si="33"/>
        <v>0.26659038901601828</v>
      </c>
      <c r="D189" s="625">
        <f t="shared" si="33"/>
        <v>0.30988274706867669</v>
      </c>
      <c r="E189" s="625">
        <f t="shared" si="33"/>
        <v>0.3</v>
      </c>
      <c r="F189" s="625">
        <f t="shared" si="33"/>
        <v>0.3135593220338983</v>
      </c>
      <c r="G189" s="625">
        <f t="shared" si="33"/>
        <v>0.23232323232323232</v>
      </c>
      <c r="H189" s="626">
        <f t="shared" si="33"/>
        <v>0</v>
      </c>
      <c r="I189" s="625">
        <f t="shared" si="33"/>
        <v>0</v>
      </c>
      <c r="J189" s="661">
        <f t="shared" si="33"/>
        <v>0.28446389496717722</v>
      </c>
      <c r="K189" s="625">
        <f t="shared" si="33"/>
        <v>0</v>
      </c>
      <c r="L189" s="625">
        <f t="shared" si="33"/>
        <v>0</v>
      </c>
      <c r="M189" s="625">
        <f t="shared" si="34"/>
        <v>7.4498567335243557E-2</v>
      </c>
      <c r="N189" s="625">
        <f t="shared" si="34"/>
        <v>8.3526682134570762E-2</v>
      </c>
      <c r="O189" s="626">
        <f t="shared" si="34"/>
        <v>0</v>
      </c>
      <c r="P189" s="653">
        <f t="shared" si="34"/>
        <v>5.5209260908281391E-2</v>
      </c>
      <c r="Q189" s="625">
        <f t="shared" si="34"/>
        <v>0</v>
      </c>
      <c r="R189" s="625">
        <f t="shared" si="34"/>
        <v>0</v>
      </c>
      <c r="S189" s="626">
        <f t="shared" si="34"/>
        <v>0</v>
      </c>
      <c r="T189" s="624">
        <f t="shared" si="34"/>
        <v>0</v>
      </c>
      <c r="U189" s="274"/>
      <c r="V189" s="641">
        <v>233</v>
      </c>
      <c r="W189" s="642">
        <v>185</v>
      </c>
      <c r="X189" s="642">
        <v>42</v>
      </c>
      <c r="Y189" s="642">
        <v>37</v>
      </c>
      <c r="Z189" s="642">
        <v>23</v>
      </c>
      <c r="AA189" s="642"/>
      <c r="AB189" s="642"/>
      <c r="AC189" s="641">
        <v>520</v>
      </c>
      <c r="AD189" s="641"/>
      <c r="AE189" s="642"/>
      <c r="AF189" s="642">
        <v>26</v>
      </c>
      <c r="AG189" s="642">
        <v>36</v>
      </c>
      <c r="AH189" s="642"/>
      <c r="AI189" s="641">
        <v>62</v>
      </c>
      <c r="AJ189" s="641"/>
      <c r="AK189" s="642"/>
      <c r="AL189" s="642"/>
      <c r="AM189" s="641"/>
    </row>
    <row r="190" spans="1:39">
      <c r="A190" s="648"/>
      <c r="B190" s="646" t="s">
        <v>77</v>
      </c>
      <c r="C190" s="624">
        <f t="shared" si="33"/>
        <v>0.23798627002288331</v>
      </c>
      <c r="D190" s="625">
        <f t="shared" si="33"/>
        <v>0.35175879396984927</v>
      </c>
      <c r="E190" s="625">
        <f t="shared" si="33"/>
        <v>0.32857142857142857</v>
      </c>
      <c r="F190" s="625">
        <f t="shared" si="33"/>
        <v>0.1864406779661017</v>
      </c>
      <c r="G190" s="625">
        <f t="shared" si="33"/>
        <v>0.31313131313131315</v>
      </c>
      <c r="H190" s="626">
        <f t="shared" si="33"/>
        <v>0</v>
      </c>
      <c r="I190" s="625">
        <f t="shared" si="33"/>
        <v>0</v>
      </c>
      <c r="J190" s="661">
        <f t="shared" si="33"/>
        <v>0.28282275711159738</v>
      </c>
      <c r="K190" s="625">
        <f t="shared" si="33"/>
        <v>0</v>
      </c>
      <c r="L190" s="625">
        <f t="shared" si="33"/>
        <v>0</v>
      </c>
      <c r="M190" s="625">
        <f t="shared" si="34"/>
        <v>0.2148997134670487</v>
      </c>
      <c r="N190" s="625">
        <f t="shared" si="34"/>
        <v>0.1136890951276102</v>
      </c>
      <c r="O190" s="626">
        <f t="shared" si="34"/>
        <v>0</v>
      </c>
      <c r="P190" s="653">
        <f t="shared" si="34"/>
        <v>0.11041852181656278</v>
      </c>
      <c r="Q190" s="625">
        <f t="shared" si="34"/>
        <v>0</v>
      </c>
      <c r="R190" s="625">
        <f t="shared" si="34"/>
        <v>0</v>
      </c>
      <c r="S190" s="626">
        <f t="shared" si="34"/>
        <v>0</v>
      </c>
      <c r="T190" s="624">
        <f t="shared" si="34"/>
        <v>0</v>
      </c>
      <c r="U190" s="274"/>
      <c r="V190" s="641">
        <v>208</v>
      </c>
      <c r="W190" s="642">
        <v>210</v>
      </c>
      <c r="X190" s="642">
        <v>46</v>
      </c>
      <c r="Y190" s="642">
        <v>22</v>
      </c>
      <c r="Z190" s="642">
        <v>31</v>
      </c>
      <c r="AA190" s="642"/>
      <c r="AB190" s="642"/>
      <c r="AC190" s="641">
        <v>517</v>
      </c>
      <c r="AD190" s="641"/>
      <c r="AE190" s="642"/>
      <c r="AF190" s="642">
        <v>75</v>
      </c>
      <c r="AG190" s="642">
        <v>49</v>
      </c>
      <c r="AH190" s="642"/>
      <c r="AI190" s="641">
        <v>124</v>
      </c>
      <c r="AJ190" s="641"/>
      <c r="AK190" s="642"/>
      <c r="AL190" s="642"/>
      <c r="AM190" s="641"/>
    </row>
    <row r="191" spans="1:39">
      <c r="A191" s="648"/>
      <c r="B191" s="646" t="s">
        <v>78</v>
      </c>
      <c r="C191" s="624">
        <f t="shared" si="33"/>
        <v>5.7208237986270021E-3</v>
      </c>
      <c r="D191" s="625">
        <f t="shared" si="33"/>
        <v>2.8475711892797319E-2</v>
      </c>
      <c r="E191" s="625">
        <f t="shared" si="33"/>
        <v>0.15</v>
      </c>
      <c r="F191" s="625">
        <f t="shared" si="33"/>
        <v>1.6949152542372881E-2</v>
      </c>
      <c r="G191" s="625">
        <f t="shared" si="33"/>
        <v>0.1111111111111111</v>
      </c>
      <c r="H191" s="626">
        <f t="shared" si="33"/>
        <v>0</v>
      </c>
      <c r="I191" s="625">
        <f t="shared" si="33"/>
        <v>0</v>
      </c>
      <c r="J191" s="661">
        <f t="shared" si="33"/>
        <v>3.0634573304157548E-2</v>
      </c>
      <c r="K191" s="625">
        <f t="shared" si="33"/>
        <v>0</v>
      </c>
      <c r="L191" s="625">
        <f t="shared" si="33"/>
        <v>1</v>
      </c>
      <c r="M191" s="625">
        <f t="shared" si="34"/>
        <v>0.34957020057306593</v>
      </c>
      <c r="N191" s="625">
        <f t="shared" si="34"/>
        <v>0.40835266821345706</v>
      </c>
      <c r="O191" s="626">
        <f t="shared" si="34"/>
        <v>0</v>
      </c>
      <c r="P191" s="653">
        <f t="shared" si="34"/>
        <v>0.57079252003561887</v>
      </c>
      <c r="Q191" s="625">
        <f t="shared" si="34"/>
        <v>0</v>
      </c>
      <c r="R191" s="625">
        <f t="shared" si="34"/>
        <v>0</v>
      </c>
      <c r="S191" s="626">
        <f t="shared" si="34"/>
        <v>0</v>
      </c>
      <c r="T191" s="624">
        <f t="shared" si="34"/>
        <v>0</v>
      </c>
      <c r="U191" s="274"/>
      <c r="V191" s="641">
        <v>5</v>
      </c>
      <c r="W191" s="642">
        <v>17</v>
      </c>
      <c r="X191" s="642">
        <v>21</v>
      </c>
      <c r="Y191" s="642">
        <v>2</v>
      </c>
      <c r="Z191" s="642">
        <v>11</v>
      </c>
      <c r="AA191" s="642"/>
      <c r="AB191" s="642"/>
      <c r="AC191" s="641">
        <v>56</v>
      </c>
      <c r="AD191" s="641"/>
      <c r="AE191" s="642">
        <v>343</v>
      </c>
      <c r="AF191" s="642">
        <v>122</v>
      </c>
      <c r="AG191" s="642">
        <v>176</v>
      </c>
      <c r="AH191" s="642"/>
      <c r="AI191" s="641">
        <v>641</v>
      </c>
      <c r="AJ191" s="641"/>
      <c r="AK191" s="642"/>
      <c r="AL191" s="642"/>
      <c r="AM191" s="641"/>
    </row>
    <row r="192" spans="1:39">
      <c r="A192" s="648"/>
      <c r="B192" s="646" t="s">
        <v>209</v>
      </c>
      <c r="C192" s="624">
        <f t="shared" si="33"/>
        <v>0.10869565217391304</v>
      </c>
      <c r="D192" s="625">
        <f t="shared" si="33"/>
        <v>0</v>
      </c>
      <c r="E192" s="625">
        <f t="shared" si="33"/>
        <v>0</v>
      </c>
      <c r="F192" s="625">
        <f t="shared" si="33"/>
        <v>0.2288135593220339</v>
      </c>
      <c r="G192" s="625">
        <f t="shared" si="33"/>
        <v>0</v>
      </c>
      <c r="H192" s="626">
        <f t="shared" si="33"/>
        <v>0</v>
      </c>
      <c r="I192" s="625">
        <f t="shared" si="33"/>
        <v>0</v>
      </c>
      <c r="J192" s="661">
        <f t="shared" si="33"/>
        <v>6.6739606126914666E-2</v>
      </c>
      <c r="K192" s="625">
        <f t="shared" si="33"/>
        <v>0</v>
      </c>
      <c r="L192" s="625">
        <f t="shared" si="33"/>
        <v>0</v>
      </c>
      <c r="M192" s="625">
        <f t="shared" si="34"/>
        <v>0.28653295128939826</v>
      </c>
      <c r="N192" s="625">
        <f t="shared" si="34"/>
        <v>0.33178654292343385</v>
      </c>
      <c r="O192" s="626">
        <f t="shared" si="34"/>
        <v>0</v>
      </c>
      <c r="P192" s="653">
        <f t="shared" si="34"/>
        <v>0.21638468388245771</v>
      </c>
      <c r="Q192" s="625">
        <f t="shared" si="34"/>
        <v>0</v>
      </c>
      <c r="R192" s="625">
        <f t="shared" si="34"/>
        <v>0</v>
      </c>
      <c r="S192" s="626">
        <f t="shared" si="34"/>
        <v>0</v>
      </c>
      <c r="T192" s="624">
        <f t="shared" si="34"/>
        <v>0</v>
      </c>
      <c r="U192" s="274"/>
      <c r="V192" s="641">
        <v>95</v>
      </c>
      <c r="W192" s="642"/>
      <c r="X192" s="642"/>
      <c r="Y192" s="642">
        <v>27</v>
      </c>
      <c r="Z192" s="642"/>
      <c r="AA192" s="642"/>
      <c r="AB192" s="642"/>
      <c r="AC192" s="641">
        <v>122</v>
      </c>
      <c r="AD192" s="641"/>
      <c r="AE192" s="642"/>
      <c r="AF192" s="642">
        <v>100</v>
      </c>
      <c r="AG192" s="642">
        <v>143</v>
      </c>
      <c r="AH192" s="642"/>
      <c r="AI192" s="641">
        <v>243</v>
      </c>
      <c r="AJ192" s="641"/>
      <c r="AK192" s="642"/>
      <c r="AL192" s="642"/>
      <c r="AM192" s="641"/>
    </row>
    <row r="193" spans="1:39">
      <c r="A193" s="649"/>
      <c r="B193" s="650" t="s">
        <v>59</v>
      </c>
      <c r="C193" s="577">
        <f t="shared" ref="C193:T193" si="35">SUM(C188:C192)</f>
        <v>1</v>
      </c>
      <c r="D193" s="578">
        <f t="shared" si="35"/>
        <v>0.99999999999999989</v>
      </c>
      <c r="E193" s="578">
        <f t="shared" si="35"/>
        <v>0.99999999999999989</v>
      </c>
      <c r="F193" s="578">
        <f t="shared" si="35"/>
        <v>1</v>
      </c>
      <c r="G193" s="578">
        <f t="shared" si="35"/>
        <v>1</v>
      </c>
      <c r="H193" s="579">
        <f t="shared" si="35"/>
        <v>0</v>
      </c>
      <c r="I193" s="578">
        <f t="shared" si="35"/>
        <v>0</v>
      </c>
      <c r="J193" s="589">
        <f t="shared" si="35"/>
        <v>0.99999999999999989</v>
      </c>
      <c r="K193" s="578">
        <f t="shared" si="35"/>
        <v>0</v>
      </c>
      <c r="L193" s="578">
        <f t="shared" si="35"/>
        <v>1</v>
      </c>
      <c r="M193" s="578">
        <f t="shared" si="35"/>
        <v>1</v>
      </c>
      <c r="N193" s="578">
        <f t="shared" si="35"/>
        <v>1</v>
      </c>
      <c r="O193" s="579">
        <f t="shared" si="35"/>
        <v>0</v>
      </c>
      <c r="P193" s="654">
        <f t="shared" si="35"/>
        <v>1</v>
      </c>
      <c r="Q193" s="578">
        <f t="shared" si="35"/>
        <v>0</v>
      </c>
      <c r="R193" s="578">
        <f t="shared" si="35"/>
        <v>0</v>
      </c>
      <c r="S193" s="579">
        <f t="shared" si="35"/>
        <v>0</v>
      </c>
      <c r="T193" s="577">
        <f t="shared" si="35"/>
        <v>0</v>
      </c>
      <c r="U193" s="274"/>
      <c r="V193" s="641">
        <v>874</v>
      </c>
      <c r="W193" s="642">
        <v>597</v>
      </c>
      <c r="X193" s="642">
        <v>140</v>
      </c>
      <c r="Y193" s="642">
        <v>118</v>
      </c>
      <c r="Z193" s="642">
        <v>99</v>
      </c>
      <c r="AA193" s="642"/>
      <c r="AB193" s="642"/>
      <c r="AC193" s="641">
        <v>1828</v>
      </c>
      <c r="AD193" s="641"/>
      <c r="AE193" s="642">
        <v>343</v>
      </c>
      <c r="AF193" s="642">
        <v>349</v>
      </c>
      <c r="AG193" s="642">
        <v>431</v>
      </c>
      <c r="AH193" s="642"/>
      <c r="AI193" s="641">
        <v>1123</v>
      </c>
      <c r="AJ193" s="641"/>
      <c r="AK193" s="642"/>
      <c r="AL193" s="642"/>
      <c r="AM193" s="641"/>
    </row>
    <row r="194" spans="1:39">
      <c r="A194" s="646" t="s">
        <v>161</v>
      </c>
      <c r="B194" s="647" t="s">
        <v>53</v>
      </c>
      <c r="C194" s="613">
        <f t="shared" ref="C194:L198" si="36">IF(V$199&gt;0,(V194/V$199),0)</f>
        <v>0.26626776364996263</v>
      </c>
      <c r="D194" s="614">
        <f t="shared" si="36"/>
        <v>0.32849364791288566</v>
      </c>
      <c r="E194" s="614">
        <f t="shared" si="36"/>
        <v>0</v>
      </c>
      <c r="F194" s="614">
        <f t="shared" si="36"/>
        <v>0.31805157593123207</v>
      </c>
      <c r="G194" s="614">
        <f t="shared" si="36"/>
        <v>0.23595505617977527</v>
      </c>
      <c r="H194" s="615">
        <f t="shared" si="36"/>
        <v>0.21848739495798319</v>
      </c>
      <c r="I194" s="614">
        <f t="shared" si="36"/>
        <v>0</v>
      </c>
      <c r="J194" s="660">
        <f t="shared" si="36"/>
        <v>0.28425357873210633</v>
      </c>
      <c r="K194" s="614">
        <f t="shared" si="36"/>
        <v>0</v>
      </c>
      <c r="L194" s="614">
        <f t="shared" si="36"/>
        <v>0</v>
      </c>
      <c r="M194" s="614">
        <f t="shared" ref="M194:T198" si="37">IF(AF$199&gt;0,(AF194/AF$199),0)</f>
        <v>2.9895366218236172E-2</v>
      </c>
      <c r="N194" s="614">
        <f t="shared" si="37"/>
        <v>0.2607361963190184</v>
      </c>
      <c r="O194" s="615">
        <f t="shared" si="37"/>
        <v>0</v>
      </c>
      <c r="P194" s="652">
        <f t="shared" si="37"/>
        <v>5.7220708446866483E-2</v>
      </c>
      <c r="Q194" s="614">
        <f t="shared" si="37"/>
        <v>0</v>
      </c>
      <c r="R194" s="614">
        <f t="shared" si="37"/>
        <v>0</v>
      </c>
      <c r="S194" s="615">
        <f t="shared" si="37"/>
        <v>0</v>
      </c>
      <c r="T194" s="613">
        <f t="shared" si="37"/>
        <v>0</v>
      </c>
      <c r="U194" s="274"/>
      <c r="V194" s="639">
        <v>356</v>
      </c>
      <c r="W194" s="640">
        <v>181</v>
      </c>
      <c r="X194" s="640"/>
      <c r="Y194" s="640">
        <v>111</v>
      </c>
      <c r="Z194" s="640">
        <v>21</v>
      </c>
      <c r="AA194" s="640">
        <v>26</v>
      </c>
      <c r="AB194" s="640"/>
      <c r="AC194" s="639">
        <v>695</v>
      </c>
      <c r="AD194" s="639"/>
      <c r="AE194" s="640"/>
      <c r="AF194" s="640">
        <v>20</v>
      </c>
      <c r="AG194" s="640">
        <v>85</v>
      </c>
      <c r="AH194" s="640"/>
      <c r="AI194" s="639">
        <v>105</v>
      </c>
      <c r="AJ194" s="639"/>
      <c r="AK194" s="640"/>
      <c r="AL194" s="640"/>
      <c r="AM194" s="639"/>
    </row>
    <row r="195" spans="1:39">
      <c r="A195" s="648"/>
      <c r="B195" s="646" t="s">
        <v>76</v>
      </c>
      <c r="C195" s="624">
        <f t="shared" si="36"/>
        <v>0.29319371727748689</v>
      </c>
      <c r="D195" s="625">
        <f t="shared" si="36"/>
        <v>0.25226860254083483</v>
      </c>
      <c r="E195" s="625">
        <f t="shared" si="36"/>
        <v>0</v>
      </c>
      <c r="F195" s="625">
        <f t="shared" si="36"/>
        <v>0.31805157593123207</v>
      </c>
      <c r="G195" s="625">
        <f t="shared" si="36"/>
        <v>0.29213483146067415</v>
      </c>
      <c r="H195" s="626">
        <f t="shared" si="36"/>
        <v>0.36974789915966388</v>
      </c>
      <c r="I195" s="625">
        <f t="shared" si="36"/>
        <v>0</v>
      </c>
      <c r="J195" s="661">
        <f t="shared" si="36"/>
        <v>0.29120654396728018</v>
      </c>
      <c r="K195" s="625">
        <f t="shared" si="36"/>
        <v>0</v>
      </c>
      <c r="L195" s="625">
        <f t="shared" si="36"/>
        <v>0</v>
      </c>
      <c r="M195" s="625">
        <f t="shared" si="37"/>
        <v>3.8863976083707022E-2</v>
      </c>
      <c r="N195" s="625">
        <f t="shared" si="37"/>
        <v>3.3742331288343558E-2</v>
      </c>
      <c r="O195" s="626">
        <f t="shared" si="37"/>
        <v>0</v>
      </c>
      <c r="P195" s="653">
        <f t="shared" si="37"/>
        <v>2.0163487738419618E-2</v>
      </c>
      <c r="Q195" s="625">
        <f t="shared" si="37"/>
        <v>0</v>
      </c>
      <c r="R195" s="625">
        <f t="shared" si="37"/>
        <v>0</v>
      </c>
      <c r="S195" s="626">
        <f t="shared" si="37"/>
        <v>0</v>
      </c>
      <c r="T195" s="624">
        <f t="shared" si="37"/>
        <v>0</v>
      </c>
      <c r="U195" s="274"/>
      <c r="V195" s="641">
        <v>392</v>
      </c>
      <c r="W195" s="642">
        <v>139</v>
      </c>
      <c r="X195" s="642"/>
      <c r="Y195" s="642">
        <v>111</v>
      </c>
      <c r="Z195" s="642">
        <v>26</v>
      </c>
      <c r="AA195" s="642">
        <v>44</v>
      </c>
      <c r="AB195" s="642"/>
      <c r="AC195" s="641">
        <v>712</v>
      </c>
      <c r="AD195" s="641"/>
      <c r="AE195" s="642"/>
      <c r="AF195" s="642">
        <v>26</v>
      </c>
      <c r="AG195" s="642">
        <v>11</v>
      </c>
      <c r="AH195" s="642"/>
      <c r="AI195" s="641">
        <v>37</v>
      </c>
      <c r="AJ195" s="641"/>
      <c r="AK195" s="642"/>
      <c r="AL195" s="642"/>
      <c r="AM195" s="641"/>
    </row>
    <row r="196" spans="1:39">
      <c r="A196" s="648"/>
      <c r="B196" s="646" t="s">
        <v>77</v>
      </c>
      <c r="C196" s="624">
        <f t="shared" si="36"/>
        <v>0.25504861630516079</v>
      </c>
      <c r="D196" s="625">
        <f t="shared" si="36"/>
        <v>0.30671506352087113</v>
      </c>
      <c r="E196" s="625">
        <f t="shared" si="36"/>
        <v>0</v>
      </c>
      <c r="F196" s="625">
        <f t="shared" si="36"/>
        <v>0.27220630372492838</v>
      </c>
      <c r="G196" s="625">
        <f t="shared" si="36"/>
        <v>0.3707865168539326</v>
      </c>
      <c r="H196" s="626">
        <f t="shared" si="36"/>
        <v>0.36974789915966388</v>
      </c>
      <c r="I196" s="625">
        <f t="shared" si="36"/>
        <v>0</v>
      </c>
      <c r="J196" s="661">
        <f t="shared" si="36"/>
        <v>0.2789366053169734</v>
      </c>
      <c r="K196" s="625">
        <f t="shared" si="36"/>
        <v>0</v>
      </c>
      <c r="L196" s="625">
        <f t="shared" si="36"/>
        <v>0</v>
      </c>
      <c r="M196" s="625">
        <f t="shared" si="37"/>
        <v>5.5306427503736919E-2</v>
      </c>
      <c r="N196" s="625">
        <f t="shared" si="37"/>
        <v>2.7607361963190184E-2</v>
      </c>
      <c r="O196" s="626">
        <f t="shared" si="37"/>
        <v>0</v>
      </c>
      <c r="P196" s="653">
        <f t="shared" si="37"/>
        <v>2.5068119891008173E-2</v>
      </c>
      <c r="Q196" s="625">
        <f t="shared" si="37"/>
        <v>0</v>
      </c>
      <c r="R196" s="625">
        <f t="shared" si="37"/>
        <v>0</v>
      </c>
      <c r="S196" s="626">
        <f t="shared" si="37"/>
        <v>0</v>
      </c>
      <c r="T196" s="624">
        <f t="shared" si="37"/>
        <v>0</v>
      </c>
      <c r="U196" s="274"/>
      <c r="V196" s="641">
        <v>341</v>
      </c>
      <c r="W196" s="642">
        <v>169</v>
      </c>
      <c r="X196" s="642"/>
      <c r="Y196" s="642">
        <v>95</v>
      </c>
      <c r="Z196" s="642">
        <v>33</v>
      </c>
      <c r="AA196" s="642">
        <v>44</v>
      </c>
      <c r="AB196" s="642"/>
      <c r="AC196" s="641">
        <v>682</v>
      </c>
      <c r="AD196" s="641"/>
      <c r="AE196" s="642"/>
      <c r="AF196" s="642">
        <v>37</v>
      </c>
      <c r="AG196" s="642">
        <v>9</v>
      </c>
      <c r="AH196" s="642"/>
      <c r="AI196" s="641">
        <v>46</v>
      </c>
      <c r="AJ196" s="641"/>
      <c r="AK196" s="642"/>
      <c r="AL196" s="642"/>
      <c r="AM196" s="641"/>
    </row>
    <row r="197" spans="1:39">
      <c r="A197" s="648"/>
      <c r="B197" s="646" t="s">
        <v>78</v>
      </c>
      <c r="C197" s="624">
        <f t="shared" si="36"/>
        <v>0.15706806282722513</v>
      </c>
      <c r="D197" s="625">
        <f t="shared" si="36"/>
        <v>0.10526315789473684</v>
      </c>
      <c r="E197" s="625">
        <f t="shared" si="36"/>
        <v>0</v>
      </c>
      <c r="F197" s="625">
        <f t="shared" si="36"/>
        <v>7.4498567335243557E-2</v>
      </c>
      <c r="G197" s="625">
        <f t="shared" si="36"/>
        <v>0.10112359550561797</v>
      </c>
      <c r="H197" s="626">
        <f t="shared" si="36"/>
        <v>4.2016806722689079E-2</v>
      </c>
      <c r="I197" s="625">
        <f t="shared" si="36"/>
        <v>0</v>
      </c>
      <c r="J197" s="661">
        <f t="shared" si="36"/>
        <v>0.1259713701431493</v>
      </c>
      <c r="K197" s="625">
        <f t="shared" si="36"/>
        <v>0</v>
      </c>
      <c r="L197" s="625">
        <f t="shared" si="36"/>
        <v>0.28809523809523807</v>
      </c>
      <c r="M197" s="625">
        <f t="shared" si="37"/>
        <v>0.3991031390134529</v>
      </c>
      <c r="N197" s="625">
        <f t="shared" si="37"/>
        <v>0.54907975460122704</v>
      </c>
      <c r="O197" s="626">
        <f t="shared" si="37"/>
        <v>0</v>
      </c>
      <c r="P197" s="653">
        <f t="shared" si="37"/>
        <v>0.37493188010899181</v>
      </c>
      <c r="Q197" s="625">
        <f t="shared" si="37"/>
        <v>0</v>
      </c>
      <c r="R197" s="625">
        <f t="shared" si="37"/>
        <v>0</v>
      </c>
      <c r="S197" s="626">
        <f t="shared" si="37"/>
        <v>0</v>
      </c>
      <c r="T197" s="624">
        <f t="shared" si="37"/>
        <v>0</v>
      </c>
      <c r="U197" s="274"/>
      <c r="V197" s="641">
        <v>210</v>
      </c>
      <c r="W197" s="642">
        <v>58</v>
      </c>
      <c r="X197" s="642"/>
      <c r="Y197" s="642">
        <v>26</v>
      </c>
      <c r="Z197" s="642">
        <v>9</v>
      </c>
      <c r="AA197" s="642">
        <v>5</v>
      </c>
      <c r="AB197" s="642"/>
      <c r="AC197" s="641">
        <v>308</v>
      </c>
      <c r="AD197" s="641"/>
      <c r="AE197" s="642">
        <v>242</v>
      </c>
      <c r="AF197" s="642">
        <v>267</v>
      </c>
      <c r="AG197" s="642">
        <v>179</v>
      </c>
      <c r="AH197" s="642"/>
      <c r="AI197" s="641">
        <v>688</v>
      </c>
      <c r="AJ197" s="641"/>
      <c r="AK197" s="642"/>
      <c r="AL197" s="642"/>
      <c r="AM197" s="641"/>
    </row>
    <row r="198" spans="1:39">
      <c r="A198" s="648"/>
      <c r="B198" s="646" t="s">
        <v>209</v>
      </c>
      <c r="C198" s="624">
        <f t="shared" si="36"/>
        <v>2.8421839940164548E-2</v>
      </c>
      <c r="D198" s="625">
        <f t="shared" si="36"/>
        <v>7.2595281306715061E-3</v>
      </c>
      <c r="E198" s="625">
        <f t="shared" si="36"/>
        <v>0</v>
      </c>
      <c r="F198" s="625">
        <f t="shared" si="36"/>
        <v>1.7191977077363897E-2</v>
      </c>
      <c r="G198" s="625">
        <f t="shared" si="36"/>
        <v>0</v>
      </c>
      <c r="H198" s="626">
        <f t="shared" si="36"/>
        <v>0</v>
      </c>
      <c r="I198" s="625">
        <f t="shared" si="36"/>
        <v>0</v>
      </c>
      <c r="J198" s="661">
        <f t="shared" si="36"/>
        <v>1.9631901840490799E-2</v>
      </c>
      <c r="K198" s="625">
        <f t="shared" si="36"/>
        <v>0</v>
      </c>
      <c r="L198" s="625">
        <f t="shared" si="36"/>
        <v>0.71190476190476193</v>
      </c>
      <c r="M198" s="625">
        <f t="shared" si="37"/>
        <v>0.47683109118086697</v>
      </c>
      <c r="N198" s="625">
        <f t="shared" si="37"/>
        <v>0.12883435582822086</v>
      </c>
      <c r="O198" s="626">
        <f t="shared" si="37"/>
        <v>0</v>
      </c>
      <c r="P198" s="653">
        <f t="shared" si="37"/>
        <v>0.52261580381471384</v>
      </c>
      <c r="Q198" s="625">
        <f t="shared" si="37"/>
        <v>0</v>
      </c>
      <c r="R198" s="625">
        <f t="shared" si="37"/>
        <v>0</v>
      </c>
      <c r="S198" s="626">
        <f t="shared" si="37"/>
        <v>0</v>
      </c>
      <c r="T198" s="624">
        <f t="shared" si="37"/>
        <v>0</v>
      </c>
      <c r="U198" s="274"/>
      <c r="V198" s="641">
        <v>38</v>
      </c>
      <c r="W198" s="642">
        <v>4</v>
      </c>
      <c r="X198" s="642"/>
      <c r="Y198" s="642">
        <v>6</v>
      </c>
      <c r="Z198" s="642"/>
      <c r="AA198" s="642"/>
      <c r="AB198" s="642"/>
      <c r="AC198" s="641">
        <v>48</v>
      </c>
      <c r="AD198" s="641"/>
      <c r="AE198" s="642">
        <v>598</v>
      </c>
      <c r="AF198" s="642">
        <v>319</v>
      </c>
      <c r="AG198" s="642">
        <v>42</v>
      </c>
      <c r="AH198" s="642"/>
      <c r="AI198" s="641">
        <v>959</v>
      </c>
      <c r="AJ198" s="641"/>
      <c r="AK198" s="642"/>
      <c r="AL198" s="642"/>
      <c r="AM198" s="641"/>
    </row>
    <row r="199" spans="1:39">
      <c r="A199" s="649"/>
      <c r="B199" s="650" t="s">
        <v>59</v>
      </c>
      <c r="C199" s="577">
        <f t="shared" ref="C199:T199" si="38">SUM(C194:C198)</f>
        <v>1</v>
      </c>
      <c r="D199" s="578">
        <f t="shared" si="38"/>
        <v>0.99999999999999989</v>
      </c>
      <c r="E199" s="578">
        <f t="shared" si="38"/>
        <v>0</v>
      </c>
      <c r="F199" s="578">
        <f t="shared" si="38"/>
        <v>0.99999999999999989</v>
      </c>
      <c r="G199" s="578">
        <f t="shared" si="38"/>
        <v>1</v>
      </c>
      <c r="H199" s="579">
        <f t="shared" si="38"/>
        <v>1</v>
      </c>
      <c r="I199" s="578">
        <f t="shared" si="38"/>
        <v>0</v>
      </c>
      <c r="J199" s="589">
        <f t="shared" si="38"/>
        <v>1</v>
      </c>
      <c r="K199" s="578">
        <f t="shared" si="38"/>
        <v>0</v>
      </c>
      <c r="L199" s="578">
        <f t="shared" si="38"/>
        <v>1</v>
      </c>
      <c r="M199" s="578">
        <f t="shared" si="38"/>
        <v>1</v>
      </c>
      <c r="N199" s="578">
        <f t="shared" si="38"/>
        <v>1</v>
      </c>
      <c r="O199" s="579">
        <f t="shared" si="38"/>
        <v>0</v>
      </c>
      <c r="P199" s="654">
        <f t="shared" si="38"/>
        <v>1</v>
      </c>
      <c r="Q199" s="578">
        <f t="shared" si="38"/>
        <v>0</v>
      </c>
      <c r="R199" s="578">
        <f t="shared" si="38"/>
        <v>0</v>
      </c>
      <c r="S199" s="579">
        <f t="shared" si="38"/>
        <v>0</v>
      </c>
      <c r="T199" s="577">
        <f t="shared" si="38"/>
        <v>0</v>
      </c>
      <c r="U199" s="274"/>
      <c r="V199" s="641">
        <v>1337</v>
      </c>
      <c r="W199" s="642">
        <v>551</v>
      </c>
      <c r="X199" s="642"/>
      <c r="Y199" s="642">
        <v>349</v>
      </c>
      <c r="Z199" s="642">
        <v>89</v>
      </c>
      <c r="AA199" s="642">
        <v>119</v>
      </c>
      <c r="AB199" s="642"/>
      <c r="AC199" s="641">
        <v>2445</v>
      </c>
      <c r="AD199" s="641"/>
      <c r="AE199" s="642">
        <v>840</v>
      </c>
      <c r="AF199" s="642">
        <v>669</v>
      </c>
      <c r="AG199" s="642">
        <v>326</v>
      </c>
      <c r="AH199" s="642"/>
      <c r="AI199" s="641">
        <v>1835</v>
      </c>
      <c r="AJ199" s="641"/>
      <c r="AK199" s="642"/>
      <c r="AL199" s="642"/>
      <c r="AM199" s="641"/>
    </row>
    <row r="200" spans="1:39">
      <c r="A200" s="646" t="s">
        <v>165</v>
      </c>
      <c r="B200" s="647" t="s">
        <v>53</v>
      </c>
      <c r="C200" s="613">
        <f t="shared" ref="C200:L204" si="39">IF(V$205&gt;0,(V200/V$205),0)</f>
        <v>0.32874354561101549</v>
      </c>
      <c r="D200" s="614">
        <f t="shared" si="39"/>
        <v>0.3081155433287483</v>
      </c>
      <c r="E200" s="614">
        <f t="shared" si="39"/>
        <v>0</v>
      </c>
      <c r="F200" s="614">
        <f t="shared" si="39"/>
        <v>0</v>
      </c>
      <c r="G200" s="614">
        <f t="shared" si="39"/>
        <v>0.29022556390977444</v>
      </c>
      <c r="H200" s="615">
        <f t="shared" si="39"/>
        <v>0.22012578616352202</v>
      </c>
      <c r="I200" s="614">
        <f t="shared" si="39"/>
        <v>0</v>
      </c>
      <c r="J200" s="660">
        <f t="shared" si="39"/>
        <v>0.29825140217749918</v>
      </c>
      <c r="K200" s="614">
        <f t="shared" si="39"/>
        <v>0</v>
      </c>
      <c r="L200" s="614">
        <f t="shared" si="39"/>
        <v>0.17117117117117117</v>
      </c>
      <c r="M200" s="614">
        <f t="shared" ref="M200:T204" si="40">IF(AF$205&gt;0,(AF200/AF$205),0)</f>
        <v>0.17796610169491525</v>
      </c>
      <c r="N200" s="614">
        <f t="shared" si="40"/>
        <v>0.36318407960199006</v>
      </c>
      <c r="O200" s="615">
        <f t="shared" si="40"/>
        <v>0</v>
      </c>
      <c r="P200" s="652">
        <f t="shared" si="40"/>
        <v>0.23159509202453987</v>
      </c>
      <c r="Q200" s="614">
        <f t="shared" si="40"/>
        <v>0</v>
      </c>
      <c r="R200" s="614">
        <f t="shared" si="40"/>
        <v>0</v>
      </c>
      <c r="S200" s="615">
        <f t="shared" si="40"/>
        <v>0</v>
      </c>
      <c r="T200" s="613">
        <f t="shared" si="40"/>
        <v>0</v>
      </c>
      <c r="U200" s="274"/>
      <c r="V200" s="639">
        <v>382</v>
      </c>
      <c r="W200" s="640">
        <v>224</v>
      </c>
      <c r="X200" s="640"/>
      <c r="Y200" s="640"/>
      <c r="Z200" s="640">
        <v>193</v>
      </c>
      <c r="AA200" s="640">
        <v>105</v>
      </c>
      <c r="AB200" s="640"/>
      <c r="AC200" s="639">
        <v>904</v>
      </c>
      <c r="AD200" s="639"/>
      <c r="AE200" s="640">
        <v>57</v>
      </c>
      <c r="AF200" s="640">
        <v>21</v>
      </c>
      <c r="AG200" s="640">
        <v>73</v>
      </c>
      <c r="AH200" s="640"/>
      <c r="AI200" s="639">
        <v>151</v>
      </c>
      <c r="AJ200" s="639"/>
      <c r="AK200" s="640"/>
      <c r="AL200" s="640"/>
      <c r="AM200" s="639"/>
    </row>
    <row r="201" spans="1:39">
      <c r="A201" s="648"/>
      <c r="B201" s="646" t="s">
        <v>76</v>
      </c>
      <c r="C201" s="624">
        <f t="shared" si="39"/>
        <v>0.2289156626506024</v>
      </c>
      <c r="D201" s="625">
        <f t="shared" si="39"/>
        <v>0.29160935350756534</v>
      </c>
      <c r="E201" s="625">
        <f t="shared" si="39"/>
        <v>0</v>
      </c>
      <c r="F201" s="625">
        <f t="shared" si="39"/>
        <v>0</v>
      </c>
      <c r="G201" s="625">
        <f t="shared" si="39"/>
        <v>0.28872180451127821</v>
      </c>
      <c r="H201" s="626">
        <f t="shared" si="39"/>
        <v>0.2180293501048218</v>
      </c>
      <c r="I201" s="625">
        <f t="shared" si="39"/>
        <v>0</v>
      </c>
      <c r="J201" s="661">
        <f t="shared" si="39"/>
        <v>0.255361266908611</v>
      </c>
      <c r="K201" s="625">
        <f t="shared" si="39"/>
        <v>0</v>
      </c>
      <c r="L201" s="625">
        <f t="shared" si="39"/>
        <v>0.23423423423423423</v>
      </c>
      <c r="M201" s="625">
        <f t="shared" si="40"/>
        <v>0.22033898305084745</v>
      </c>
      <c r="N201" s="625">
        <f t="shared" si="40"/>
        <v>0</v>
      </c>
      <c r="O201" s="626">
        <f t="shared" si="40"/>
        <v>0</v>
      </c>
      <c r="P201" s="653">
        <f t="shared" si="40"/>
        <v>0.15950920245398773</v>
      </c>
      <c r="Q201" s="625">
        <f t="shared" si="40"/>
        <v>0</v>
      </c>
      <c r="R201" s="625">
        <f t="shared" si="40"/>
        <v>0</v>
      </c>
      <c r="S201" s="626">
        <f t="shared" si="40"/>
        <v>0</v>
      </c>
      <c r="T201" s="624">
        <f t="shared" si="40"/>
        <v>0</v>
      </c>
      <c r="U201" s="274"/>
      <c r="V201" s="641">
        <v>266</v>
      </c>
      <c r="W201" s="642">
        <v>212</v>
      </c>
      <c r="X201" s="642"/>
      <c r="Y201" s="642"/>
      <c r="Z201" s="642">
        <v>192</v>
      </c>
      <c r="AA201" s="642">
        <v>104</v>
      </c>
      <c r="AB201" s="642"/>
      <c r="AC201" s="641">
        <v>774</v>
      </c>
      <c r="AD201" s="641"/>
      <c r="AE201" s="642">
        <v>78</v>
      </c>
      <c r="AF201" s="642">
        <v>26</v>
      </c>
      <c r="AG201" s="642"/>
      <c r="AH201" s="642"/>
      <c r="AI201" s="641">
        <v>104</v>
      </c>
      <c r="AJ201" s="641"/>
      <c r="AK201" s="642"/>
      <c r="AL201" s="642"/>
      <c r="AM201" s="641"/>
    </row>
    <row r="202" spans="1:39">
      <c r="A202" s="648"/>
      <c r="B202" s="646" t="s">
        <v>77</v>
      </c>
      <c r="C202" s="624">
        <f t="shared" si="39"/>
        <v>0.20309810671256454</v>
      </c>
      <c r="D202" s="625">
        <f t="shared" si="39"/>
        <v>0.27235213204951858</v>
      </c>
      <c r="E202" s="625">
        <f t="shared" si="39"/>
        <v>0</v>
      </c>
      <c r="F202" s="625">
        <f t="shared" si="39"/>
        <v>0</v>
      </c>
      <c r="G202" s="625">
        <f t="shared" si="39"/>
        <v>0.26015037593984963</v>
      </c>
      <c r="H202" s="626">
        <f t="shared" si="39"/>
        <v>0.41299790356394128</v>
      </c>
      <c r="I202" s="625">
        <f t="shared" si="39"/>
        <v>0</v>
      </c>
      <c r="J202" s="661">
        <f t="shared" si="39"/>
        <v>0.26525899043220058</v>
      </c>
      <c r="K202" s="625">
        <f t="shared" si="39"/>
        <v>0</v>
      </c>
      <c r="L202" s="625">
        <f t="shared" si="39"/>
        <v>0.27927927927927926</v>
      </c>
      <c r="M202" s="625">
        <f t="shared" si="40"/>
        <v>0.23728813559322035</v>
      </c>
      <c r="N202" s="625">
        <f t="shared" si="40"/>
        <v>0</v>
      </c>
      <c r="O202" s="626">
        <f t="shared" si="40"/>
        <v>0</v>
      </c>
      <c r="P202" s="653">
        <f t="shared" si="40"/>
        <v>0.18558282208588958</v>
      </c>
      <c r="Q202" s="625">
        <f t="shared" si="40"/>
        <v>0</v>
      </c>
      <c r="R202" s="625">
        <f t="shared" si="40"/>
        <v>0</v>
      </c>
      <c r="S202" s="626">
        <f t="shared" si="40"/>
        <v>0</v>
      </c>
      <c r="T202" s="624">
        <f t="shared" si="40"/>
        <v>0</v>
      </c>
      <c r="U202" s="274"/>
      <c r="V202" s="641">
        <v>236</v>
      </c>
      <c r="W202" s="642">
        <v>198</v>
      </c>
      <c r="X202" s="642"/>
      <c r="Y202" s="642"/>
      <c r="Z202" s="642">
        <v>173</v>
      </c>
      <c r="AA202" s="642">
        <v>197</v>
      </c>
      <c r="AB202" s="642"/>
      <c r="AC202" s="641">
        <v>804</v>
      </c>
      <c r="AD202" s="641"/>
      <c r="AE202" s="642">
        <v>93</v>
      </c>
      <c r="AF202" s="642">
        <v>28</v>
      </c>
      <c r="AG202" s="642"/>
      <c r="AH202" s="642"/>
      <c r="AI202" s="641">
        <v>121</v>
      </c>
      <c r="AJ202" s="641"/>
      <c r="AK202" s="642"/>
      <c r="AL202" s="642"/>
      <c r="AM202" s="641"/>
    </row>
    <row r="203" spans="1:39">
      <c r="A203" s="648"/>
      <c r="B203" s="646" t="s">
        <v>78</v>
      </c>
      <c r="C203" s="624">
        <f t="shared" si="39"/>
        <v>8.6058519793459555E-4</v>
      </c>
      <c r="D203" s="625">
        <f t="shared" si="39"/>
        <v>2.3383768913342505E-2</v>
      </c>
      <c r="E203" s="625">
        <f t="shared" si="39"/>
        <v>0</v>
      </c>
      <c r="F203" s="625">
        <f t="shared" si="39"/>
        <v>0</v>
      </c>
      <c r="G203" s="625">
        <f t="shared" si="39"/>
        <v>0.11729323308270677</v>
      </c>
      <c r="H203" s="626">
        <f t="shared" si="39"/>
        <v>9.6436058700209645E-2</v>
      </c>
      <c r="I203" s="625">
        <f t="shared" si="39"/>
        <v>0</v>
      </c>
      <c r="J203" s="661">
        <f t="shared" si="39"/>
        <v>4.6849224678323982E-2</v>
      </c>
      <c r="K203" s="625">
        <f t="shared" si="39"/>
        <v>0</v>
      </c>
      <c r="L203" s="625">
        <f t="shared" si="39"/>
        <v>0.31531531531531531</v>
      </c>
      <c r="M203" s="625">
        <f t="shared" si="40"/>
        <v>7.6271186440677971E-2</v>
      </c>
      <c r="N203" s="625">
        <f t="shared" si="40"/>
        <v>0.63681592039800994</v>
      </c>
      <c r="O203" s="626">
        <f t="shared" si="40"/>
        <v>0</v>
      </c>
      <c r="P203" s="653">
        <f t="shared" si="40"/>
        <v>0.37116564417177916</v>
      </c>
      <c r="Q203" s="625">
        <f t="shared" si="40"/>
        <v>0</v>
      </c>
      <c r="R203" s="625">
        <f t="shared" si="40"/>
        <v>0</v>
      </c>
      <c r="S203" s="626">
        <f t="shared" si="40"/>
        <v>0</v>
      </c>
      <c r="T203" s="624">
        <f t="shared" si="40"/>
        <v>0</v>
      </c>
      <c r="U203" s="274"/>
      <c r="V203" s="641">
        <v>1</v>
      </c>
      <c r="W203" s="642">
        <v>17</v>
      </c>
      <c r="X203" s="642"/>
      <c r="Y203" s="642"/>
      <c r="Z203" s="642">
        <v>78</v>
      </c>
      <c r="AA203" s="642">
        <v>46</v>
      </c>
      <c r="AB203" s="642"/>
      <c r="AC203" s="641">
        <v>142</v>
      </c>
      <c r="AD203" s="641"/>
      <c r="AE203" s="642">
        <v>105</v>
      </c>
      <c r="AF203" s="642">
        <v>9</v>
      </c>
      <c r="AG203" s="642">
        <v>128</v>
      </c>
      <c r="AH203" s="642"/>
      <c r="AI203" s="641">
        <v>242</v>
      </c>
      <c r="AJ203" s="641"/>
      <c r="AK203" s="642"/>
      <c r="AL203" s="642"/>
      <c r="AM203" s="641"/>
    </row>
    <row r="204" spans="1:39">
      <c r="A204" s="648"/>
      <c r="B204" s="646" t="s">
        <v>209</v>
      </c>
      <c r="C204" s="624">
        <f t="shared" si="39"/>
        <v>0.23838209982788297</v>
      </c>
      <c r="D204" s="625">
        <f t="shared" si="39"/>
        <v>0.10453920220082531</v>
      </c>
      <c r="E204" s="625">
        <f t="shared" si="39"/>
        <v>0</v>
      </c>
      <c r="F204" s="625">
        <f t="shared" si="39"/>
        <v>0</v>
      </c>
      <c r="G204" s="625">
        <f t="shared" si="39"/>
        <v>4.3609022556390979E-2</v>
      </c>
      <c r="H204" s="626">
        <f t="shared" si="39"/>
        <v>5.2410901467505239E-2</v>
      </c>
      <c r="I204" s="625">
        <f t="shared" si="39"/>
        <v>0</v>
      </c>
      <c r="J204" s="661">
        <f t="shared" si="39"/>
        <v>0.13427911580336521</v>
      </c>
      <c r="K204" s="625">
        <f t="shared" si="39"/>
        <v>0</v>
      </c>
      <c r="L204" s="625">
        <f t="shared" si="39"/>
        <v>0</v>
      </c>
      <c r="M204" s="625">
        <f t="shared" si="40"/>
        <v>0.28813559322033899</v>
      </c>
      <c r="N204" s="625">
        <f t="shared" si="40"/>
        <v>0</v>
      </c>
      <c r="O204" s="626">
        <f t="shared" si="40"/>
        <v>0</v>
      </c>
      <c r="P204" s="653">
        <f t="shared" si="40"/>
        <v>5.2147239263803678E-2</v>
      </c>
      <c r="Q204" s="625">
        <f t="shared" si="40"/>
        <v>0</v>
      </c>
      <c r="R204" s="625">
        <f t="shared" si="40"/>
        <v>0</v>
      </c>
      <c r="S204" s="626">
        <f t="shared" si="40"/>
        <v>0</v>
      </c>
      <c r="T204" s="624">
        <f t="shared" si="40"/>
        <v>0</v>
      </c>
      <c r="U204" s="274"/>
      <c r="V204" s="641">
        <v>277</v>
      </c>
      <c r="W204" s="642">
        <v>76</v>
      </c>
      <c r="X204" s="642"/>
      <c r="Y204" s="642"/>
      <c r="Z204" s="642">
        <v>29</v>
      </c>
      <c r="AA204" s="642">
        <v>25</v>
      </c>
      <c r="AB204" s="642"/>
      <c r="AC204" s="641">
        <v>407</v>
      </c>
      <c r="AD204" s="641"/>
      <c r="AE204" s="642"/>
      <c r="AF204" s="642">
        <v>34</v>
      </c>
      <c r="AG204" s="642"/>
      <c r="AH204" s="642"/>
      <c r="AI204" s="641">
        <v>34</v>
      </c>
      <c r="AJ204" s="641"/>
      <c r="AK204" s="642"/>
      <c r="AL204" s="642"/>
      <c r="AM204" s="641"/>
    </row>
    <row r="205" spans="1:39">
      <c r="A205" s="649"/>
      <c r="B205" s="650" t="s">
        <v>59</v>
      </c>
      <c r="C205" s="577">
        <f t="shared" ref="C205:T205" si="41">SUM(C200:C204)</f>
        <v>1</v>
      </c>
      <c r="D205" s="578">
        <f t="shared" si="41"/>
        <v>1</v>
      </c>
      <c r="E205" s="578">
        <f t="shared" si="41"/>
        <v>0</v>
      </c>
      <c r="F205" s="578">
        <f t="shared" si="41"/>
        <v>0</v>
      </c>
      <c r="G205" s="578">
        <f t="shared" si="41"/>
        <v>1</v>
      </c>
      <c r="H205" s="579">
        <f t="shared" si="41"/>
        <v>1</v>
      </c>
      <c r="I205" s="578">
        <f t="shared" si="41"/>
        <v>0</v>
      </c>
      <c r="J205" s="589">
        <f t="shared" si="41"/>
        <v>1</v>
      </c>
      <c r="K205" s="578">
        <f t="shared" si="41"/>
        <v>0</v>
      </c>
      <c r="L205" s="578">
        <f t="shared" si="41"/>
        <v>0.99999999999999989</v>
      </c>
      <c r="M205" s="578">
        <f t="shared" si="41"/>
        <v>1</v>
      </c>
      <c r="N205" s="578">
        <f t="shared" si="41"/>
        <v>1</v>
      </c>
      <c r="O205" s="579">
        <f t="shared" si="41"/>
        <v>0</v>
      </c>
      <c r="P205" s="654">
        <f t="shared" si="41"/>
        <v>1</v>
      </c>
      <c r="Q205" s="578">
        <f t="shared" si="41"/>
        <v>0</v>
      </c>
      <c r="R205" s="578">
        <f t="shared" si="41"/>
        <v>0</v>
      </c>
      <c r="S205" s="579">
        <f t="shared" si="41"/>
        <v>0</v>
      </c>
      <c r="T205" s="577">
        <f t="shared" si="41"/>
        <v>0</v>
      </c>
      <c r="U205" s="274"/>
      <c r="V205" s="641">
        <v>1162</v>
      </c>
      <c r="W205" s="642">
        <v>727</v>
      </c>
      <c r="X205" s="642"/>
      <c r="Y205" s="642"/>
      <c r="Z205" s="642">
        <v>665</v>
      </c>
      <c r="AA205" s="642">
        <v>477</v>
      </c>
      <c r="AB205" s="642"/>
      <c r="AC205" s="641">
        <v>3031</v>
      </c>
      <c r="AD205" s="641"/>
      <c r="AE205" s="642">
        <v>333</v>
      </c>
      <c r="AF205" s="642">
        <v>118</v>
      </c>
      <c r="AG205" s="642">
        <v>201</v>
      </c>
      <c r="AH205" s="642"/>
      <c r="AI205" s="641">
        <v>652</v>
      </c>
      <c r="AJ205" s="641"/>
      <c r="AK205" s="642"/>
      <c r="AL205" s="642"/>
      <c r="AM205" s="641"/>
    </row>
    <row r="206" spans="1:39">
      <c r="A206" s="646" t="s">
        <v>167</v>
      </c>
      <c r="B206" s="647" t="s">
        <v>53</v>
      </c>
      <c r="C206" s="613">
        <f t="shared" ref="C206:L210" si="42">IF(V$211&gt;0,(V206/V$211),0)</f>
        <v>0.39600428112736352</v>
      </c>
      <c r="D206" s="614">
        <f t="shared" si="42"/>
        <v>0</v>
      </c>
      <c r="E206" s="614">
        <f t="shared" si="42"/>
        <v>0.33142389525368249</v>
      </c>
      <c r="F206" s="614">
        <f t="shared" si="42"/>
        <v>0.15306122448979592</v>
      </c>
      <c r="G206" s="614">
        <f t="shared" si="42"/>
        <v>7.0175438596491224E-2</v>
      </c>
      <c r="H206" s="615">
        <f t="shared" si="42"/>
        <v>0</v>
      </c>
      <c r="I206" s="614">
        <f t="shared" si="42"/>
        <v>0</v>
      </c>
      <c r="J206" s="660">
        <f t="shared" si="42"/>
        <v>0.35532061595035624</v>
      </c>
      <c r="K206" s="614">
        <f t="shared" si="42"/>
        <v>0</v>
      </c>
      <c r="L206" s="614">
        <f t="shared" si="42"/>
        <v>0</v>
      </c>
      <c r="M206" s="614">
        <f t="shared" ref="M206:T210" si="43">IF(AF$211&gt;0,(AF206/AF$211),0)</f>
        <v>0</v>
      </c>
      <c r="N206" s="614">
        <f t="shared" si="43"/>
        <v>0</v>
      </c>
      <c r="O206" s="615">
        <f t="shared" si="43"/>
        <v>0</v>
      </c>
      <c r="P206" s="652">
        <f t="shared" si="43"/>
        <v>0</v>
      </c>
      <c r="Q206" s="614">
        <f t="shared" si="43"/>
        <v>0</v>
      </c>
      <c r="R206" s="614">
        <f t="shared" si="43"/>
        <v>0</v>
      </c>
      <c r="S206" s="615">
        <f t="shared" si="43"/>
        <v>0</v>
      </c>
      <c r="T206" s="613">
        <f t="shared" si="43"/>
        <v>0</v>
      </c>
      <c r="U206" s="274"/>
      <c r="V206" s="639">
        <v>1110</v>
      </c>
      <c r="W206" s="640"/>
      <c r="X206" s="640">
        <v>405</v>
      </c>
      <c r="Y206" s="640">
        <v>15</v>
      </c>
      <c r="Z206" s="640">
        <v>16</v>
      </c>
      <c r="AA206" s="640"/>
      <c r="AB206" s="640"/>
      <c r="AC206" s="639">
        <v>1546</v>
      </c>
      <c r="AD206" s="639"/>
      <c r="AE206" s="640"/>
      <c r="AF206" s="640"/>
      <c r="AG206" s="640"/>
      <c r="AH206" s="640"/>
      <c r="AI206" s="639"/>
      <c r="AJ206" s="639"/>
      <c r="AK206" s="640"/>
      <c r="AL206" s="640"/>
      <c r="AM206" s="639"/>
    </row>
    <row r="207" spans="1:39">
      <c r="A207" s="648"/>
      <c r="B207" s="646" t="s">
        <v>76</v>
      </c>
      <c r="C207" s="624">
        <f t="shared" si="42"/>
        <v>0.24723510524438103</v>
      </c>
      <c r="D207" s="625">
        <f t="shared" si="42"/>
        <v>0</v>
      </c>
      <c r="E207" s="625">
        <f t="shared" si="42"/>
        <v>0.25531914893617019</v>
      </c>
      <c r="F207" s="625">
        <f t="shared" si="42"/>
        <v>0.27551020408163263</v>
      </c>
      <c r="G207" s="625">
        <f t="shared" si="42"/>
        <v>9.2105263157894732E-2</v>
      </c>
      <c r="H207" s="626">
        <f t="shared" si="42"/>
        <v>0</v>
      </c>
      <c r="I207" s="625">
        <f t="shared" si="42"/>
        <v>0</v>
      </c>
      <c r="J207" s="661">
        <f t="shared" si="42"/>
        <v>0.2420133302689037</v>
      </c>
      <c r="K207" s="625">
        <f t="shared" si="42"/>
        <v>0</v>
      </c>
      <c r="L207" s="625">
        <f t="shared" si="42"/>
        <v>0</v>
      </c>
      <c r="M207" s="625">
        <f t="shared" si="43"/>
        <v>0</v>
      </c>
      <c r="N207" s="625">
        <f t="shared" si="43"/>
        <v>0</v>
      </c>
      <c r="O207" s="626">
        <f t="shared" si="43"/>
        <v>0</v>
      </c>
      <c r="P207" s="653">
        <f t="shared" si="43"/>
        <v>0</v>
      </c>
      <c r="Q207" s="625">
        <f t="shared" si="43"/>
        <v>0</v>
      </c>
      <c r="R207" s="625">
        <f t="shared" si="43"/>
        <v>0</v>
      </c>
      <c r="S207" s="626">
        <f t="shared" si="43"/>
        <v>0</v>
      </c>
      <c r="T207" s="624">
        <f t="shared" si="43"/>
        <v>0</v>
      </c>
      <c r="U207" s="274"/>
      <c r="V207" s="641">
        <v>693</v>
      </c>
      <c r="W207" s="642"/>
      <c r="X207" s="642">
        <v>312</v>
      </c>
      <c r="Y207" s="642">
        <v>27</v>
      </c>
      <c r="Z207" s="642">
        <v>21</v>
      </c>
      <c r="AA207" s="642"/>
      <c r="AB207" s="642"/>
      <c r="AC207" s="641">
        <v>1053</v>
      </c>
      <c r="AD207" s="641"/>
      <c r="AE207" s="642"/>
      <c r="AF207" s="642"/>
      <c r="AG207" s="642"/>
      <c r="AH207" s="642"/>
      <c r="AI207" s="641"/>
      <c r="AJ207" s="641"/>
      <c r="AK207" s="642"/>
      <c r="AL207" s="642"/>
      <c r="AM207" s="641"/>
    </row>
    <row r="208" spans="1:39">
      <c r="A208" s="648"/>
      <c r="B208" s="646" t="s">
        <v>77</v>
      </c>
      <c r="C208" s="624">
        <f t="shared" si="42"/>
        <v>0.20299678915447736</v>
      </c>
      <c r="D208" s="625">
        <f t="shared" si="42"/>
        <v>0</v>
      </c>
      <c r="E208" s="625">
        <f t="shared" si="42"/>
        <v>0.24631751227495907</v>
      </c>
      <c r="F208" s="625">
        <f t="shared" si="42"/>
        <v>0.43877551020408162</v>
      </c>
      <c r="G208" s="625">
        <f t="shared" si="42"/>
        <v>7.8947368421052627E-2</v>
      </c>
      <c r="H208" s="626">
        <f t="shared" si="42"/>
        <v>0</v>
      </c>
      <c r="I208" s="625">
        <f t="shared" si="42"/>
        <v>0</v>
      </c>
      <c r="J208" s="661">
        <f t="shared" si="42"/>
        <v>0.21397379912663755</v>
      </c>
      <c r="K208" s="625">
        <f t="shared" si="42"/>
        <v>0</v>
      </c>
      <c r="L208" s="625">
        <f t="shared" si="42"/>
        <v>0</v>
      </c>
      <c r="M208" s="625">
        <f t="shared" si="43"/>
        <v>0</v>
      </c>
      <c r="N208" s="625">
        <f t="shared" si="43"/>
        <v>0.20422535211267606</v>
      </c>
      <c r="O208" s="626">
        <f t="shared" si="43"/>
        <v>0</v>
      </c>
      <c r="P208" s="653">
        <f t="shared" si="43"/>
        <v>1.7517366354575657E-2</v>
      </c>
      <c r="Q208" s="625">
        <f t="shared" si="43"/>
        <v>0</v>
      </c>
      <c r="R208" s="625">
        <f t="shared" si="43"/>
        <v>0</v>
      </c>
      <c r="S208" s="626">
        <f t="shared" si="43"/>
        <v>0</v>
      </c>
      <c r="T208" s="624">
        <f t="shared" si="43"/>
        <v>0</v>
      </c>
      <c r="U208" s="274"/>
      <c r="V208" s="641">
        <v>569</v>
      </c>
      <c r="W208" s="642"/>
      <c r="X208" s="642">
        <v>301</v>
      </c>
      <c r="Y208" s="642">
        <v>43</v>
      </c>
      <c r="Z208" s="642">
        <v>18</v>
      </c>
      <c r="AA208" s="642"/>
      <c r="AB208" s="642"/>
      <c r="AC208" s="641">
        <v>931</v>
      </c>
      <c r="AD208" s="641"/>
      <c r="AE208" s="642"/>
      <c r="AF208" s="642"/>
      <c r="AG208" s="642">
        <v>58</v>
      </c>
      <c r="AH208" s="642"/>
      <c r="AI208" s="641">
        <v>58</v>
      </c>
      <c r="AJ208" s="641"/>
      <c r="AK208" s="642"/>
      <c r="AL208" s="642"/>
      <c r="AM208" s="641"/>
    </row>
    <row r="209" spans="1:41">
      <c r="A209" s="648"/>
      <c r="B209" s="646" t="s">
        <v>78</v>
      </c>
      <c r="C209" s="624">
        <f t="shared" si="42"/>
        <v>4.780592222618623E-2</v>
      </c>
      <c r="D209" s="625">
        <f t="shared" si="42"/>
        <v>0</v>
      </c>
      <c r="E209" s="625">
        <f t="shared" si="42"/>
        <v>3.2733224222585926E-3</v>
      </c>
      <c r="F209" s="625">
        <f t="shared" si="42"/>
        <v>0</v>
      </c>
      <c r="G209" s="625">
        <f t="shared" si="42"/>
        <v>0</v>
      </c>
      <c r="H209" s="626">
        <f t="shared" si="42"/>
        <v>0</v>
      </c>
      <c r="I209" s="625">
        <f t="shared" si="42"/>
        <v>0</v>
      </c>
      <c r="J209" s="661">
        <f t="shared" si="42"/>
        <v>3.1716846701907608E-2</v>
      </c>
      <c r="K209" s="625">
        <f t="shared" si="42"/>
        <v>0</v>
      </c>
      <c r="L209" s="625">
        <f t="shared" si="42"/>
        <v>0</v>
      </c>
      <c r="M209" s="625">
        <f t="shared" si="43"/>
        <v>0.19720101781170485</v>
      </c>
      <c r="N209" s="625">
        <f t="shared" si="43"/>
        <v>0.32042253521126762</v>
      </c>
      <c r="O209" s="626">
        <f t="shared" si="43"/>
        <v>0</v>
      </c>
      <c r="P209" s="653">
        <f t="shared" si="43"/>
        <v>0.1679250981576563</v>
      </c>
      <c r="Q209" s="625">
        <f t="shared" si="43"/>
        <v>0</v>
      </c>
      <c r="R209" s="625">
        <f t="shared" si="43"/>
        <v>0</v>
      </c>
      <c r="S209" s="626">
        <f t="shared" si="43"/>
        <v>0</v>
      </c>
      <c r="T209" s="624">
        <f t="shared" si="43"/>
        <v>0</v>
      </c>
      <c r="U209" s="274"/>
      <c r="V209" s="641">
        <v>134</v>
      </c>
      <c r="W209" s="642"/>
      <c r="X209" s="642">
        <v>4</v>
      </c>
      <c r="Y209" s="642"/>
      <c r="Z209" s="642"/>
      <c r="AA209" s="642"/>
      <c r="AB209" s="642"/>
      <c r="AC209" s="641">
        <v>138</v>
      </c>
      <c r="AD209" s="641"/>
      <c r="AE209" s="642"/>
      <c r="AF209" s="642">
        <v>465</v>
      </c>
      <c r="AG209" s="642">
        <v>91</v>
      </c>
      <c r="AH209" s="642"/>
      <c r="AI209" s="641">
        <v>556</v>
      </c>
      <c r="AJ209" s="641"/>
      <c r="AK209" s="642"/>
      <c r="AL209" s="642"/>
      <c r="AM209" s="641"/>
    </row>
    <row r="210" spans="1:41">
      <c r="A210" s="648"/>
      <c r="B210" s="646" t="s">
        <v>209</v>
      </c>
      <c r="C210" s="624">
        <f t="shared" si="42"/>
        <v>0.10595790224759187</v>
      </c>
      <c r="D210" s="625">
        <f t="shared" si="42"/>
        <v>0</v>
      </c>
      <c r="E210" s="625">
        <f t="shared" si="42"/>
        <v>0.16366612111292964</v>
      </c>
      <c r="F210" s="625">
        <f t="shared" si="42"/>
        <v>0.1326530612244898</v>
      </c>
      <c r="G210" s="625">
        <f t="shared" si="42"/>
        <v>0.75877192982456143</v>
      </c>
      <c r="H210" s="626">
        <f t="shared" si="42"/>
        <v>0</v>
      </c>
      <c r="I210" s="625">
        <f t="shared" si="42"/>
        <v>0</v>
      </c>
      <c r="J210" s="661">
        <f t="shared" si="42"/>
        <v>0.15697540795219489</v>
      </c>
      <c r="K210" s="625">
        <f t="shared" si="42"/>
        <v>0</v>
      </c>
      <c r="L210" s="625">
        <f t="shared" si="42"/>
        <v>1</v>
      </c>
      <c r="M210" s="625">
        <f t="shared" si="43"/>
        <v>0.80279898218829515</v>
      </c>
      <c r="N210" s="625">
        <f t="shared" si="43"/>
        <v>0.47535211267605632</v>
      </c>
      <c r="O210" s="626">
        <f t="shared" si="43"/>
        <v>0</v>
      </c>
      <c r="P210" s="653">
        <f t="shared" si="43"/>
        <v>0.81455753548776799</v>
      </c>
      <c r="Q210" s="625">
        <f t="shared" si="43"/>
        <v>0</v>
      </c>
      <c r="R210" s="625">
        <f t="shared" si="43"/>
        <v>0</v>
      </c>
      <c r="S210" s="626">
        <f t="shared" si="43"/>
        <v>0</v>
      </c>
      <c r="T210" s="624">
        <f t="shared" si="43"/>
        <v>0</v>
      </c>
      <c r="U210" s="274"/>
      <c r="V210" s="641">
        <v>297</v>
      </c>
      <c r="W210" s="642"/>
      <c r="X210" s="642">
        <v>200</v>
      </c>
      <c r="Y210" s="642">
        <v>13</v>
      </c>
      <c r="Z210" s="642">
        <v>173</v>
      </c>
      <c r="AA210" s="642"/>
      <c r="AB210" s="642"/>
      <c r="AC210" s="641">
        <v>683</v>
      </c>
      <c r="AD210" s="641"/>
      <c r="AE210" s="642">
        <v>669</v>
      </c>
      <c r="AF210" s="642">
        <v>1893</v>
      </c>
      <c r="AG210" s="642">
        <v>135</v>
      </c>
      <c r="AH210" s="642"/>
      <c r="AI210" s="641">
        <v>2697</v>
      </c>
      <c r="AJ210" s="641"/>
      <c r="AK210" s="642"/>
      <c r="AL210" s="642"/>
      <c r="AM210" s="641"/>
    </row>
    <row r="211" spans="1:41">
      <c r="A211" s="649"/>
      <c r="B211" s="650" t="s">
        <v>59</v>
      </c>
      <c r="C211" s="577">
        <f t="shared" ref="C211:T211" si="44">SUM(C206:C210)</f>
        <v>0.99999999999999989</v>
      </c>
      <c r="D211" s="578">
        <f t="shared" si="44"/>
        <v>0</v>
      </c>
      <c r="E211" s="578">
        <f t="shared" si="44"/>
        <v>1</v>
      </c>
      <c r="F211" s="578">
        <f t="shared" si="44"/>
        <v>1</v>
      </c>
      <c r="G211" s="578">
        <f t="shared" si="44"/>
        <v>1</v>
      </c>
      <c r="H211" s="579">
        <f t="shared" si="44"/>
        <v>0</v>
      </c>
      <c r="I211" s="578">
        <f t="shared" si="44"/>
        <v>0</v>
      </c>
      <c r="J211" s="589">
        <f t="shared" si="44"/>
        <v>0.99999999999999989</v>
      </c>
      <c r="K211" s="578">
        <f t="shared" si="44"/>
        <v>0</v>
      </c>
      <c r="L211" s="578">
        <f t="shared" si="44"/>
        <v>1</v>
      </c>
      <c r="M211" s="578">
        <f t="shared" si="44"/>
        <v>1</v>
      </c>
      <c r="N211" s="578">
        <f t="shared" si="44"/>
        <v>1</v>
      </c>
      <c r="O211" s="579">
        <f t="shared" si="44"/>
        <v>0</v>
      </c>
      <c r="P211" s="654">
        <f t="shared" si="44"/>
        <v>1</v>
      </c>
      <c r="Q211" s="578">
        <f t="shared" si="44"/>
        <v>0</v>
      </c>
      <c r="R211" s="578">
        <f t="shared" si="44"/>
        <v>0</v>
      </c>
      <c r="S211" s="579">
        <f t="shared" si="44"/>
        <v>0</v>
      </c>
      <c r="T211" s="577">
        <f t="shared" si="44"/>
        <v>0</v>
      </c>
      <c r="U211" s="274"/>
      <c r="V211" s="641">
        <v>2803</v>
      </c>
      <c r="W211" s="642"/>
      <c r="X211" s="642">
        <v>1222</v>
      </c>
      <c r="Y211" s="642">
        <v>98</v>
      </c>
      <c r="Z211" s="642">
        <v>228</v>
      </c>
      <c r="AA211" s="642"/>
      <c r="AB211" s="642"/>
      <c r="AC211" s="641">
        <v>4351</v>
      </c>
      <c r="AD211" s="641"/>
      <c r="AE211" s="642">
        <v>669</v>
      </c>
      <c r="AF211" s="642">
        <v>2358</v>
      </c>
      <c r="AG211" s="642">
        <v>284</v>
      </c>
      <c r="AH211" s="642"/>
      <c r="AI211" s="641">
        <v>3311</v>
      </c>
      <c r="AJ211" s="641"/>
      <c r="AK211" s="642"/>
      <c r="AL211" s="642"/>
      <c r="AM211" s="641"/>
    </row>
    <row r="212" spans="1:41">
      <c r="A212" s="646" t="s">
        <v>169</v>
      </c>
      <c r="B212" s="647" t="s">
        <v>53</v>
      </c>
      <c r="C212" s="613">
        <f t="shared" ref="C212:L216" si="45">IF(V$217&gt;0,(V212/V$217),0)</f>
        <v>0</v>
      </c>
      <c r="D212" s="614">
        <f t="shared" si="45"/>
        <v>0.33281493001555212</v>
      </c>
      <c r="E212" s="614">
        <f t="shared" si="45"/>
        <v>0</v>
      </c>
      <c r="F212" s="614">
        <f t="shared" si="45"/>
        <v>0</v>
      </c>
      <c r="G212" s="614">
        <f t="shared" si="45"/>
        <v>0</v>
      </c>
      <c r="H212" s="615">
        <f t="shared" si="45"/>
        <v>0</v>
      </c>
      <c r="I212" s="614">
        <f t="shared" si="45"/>
        <v>0</v>
      </c>
      <c r="J212" s="660">
        <f t="shared" si="45"/>
        <v>0.33281493001555212</v>
      </c>
      <c r="K212" s="614">
        <f t="shared" si="45"/>
        <v>0</v>
      </c>
      <c r="L212" s="614">
        <f t="shared" si="45"/>
        <v>0</v>
      </c>
      <c r="M212" s="614">
        <f t="shared" ref="M212:T216" si="46">IF(AF$217&gt;0,(AF212/AF$217),0)</f>
        <v>0</v>
      </c>
      <c r="N212" s="614">
        <f t="shared" si="46"/>
        <v>9.3023255813953487E-2</v>
      </c>
      <c r="O212" s="615">
        <f t="shared" si="46"/>
        <v>0</v>
      </c>
      <c r="P212" s="652">
        <f t="shared" si="46"/>
        <v>5.204460966542751E-2</v>
      </c>
      <c r="Q212" s="614">
        <f t="shared" si="46"/>
        <v>0</v>
      </c>
      <c r="R212" s="614">
        <f t="shared" si="46"/>
        <v>0</v>
      </c>
      <c r="S212" s="615">
        <f t="shared" si="46"/>
        <v>0</v>
      </c>
      <c r="T212" s="613">
        <f t="shared" si="46"/>
        <v>0</v>
      </c>
      <c r="U212" s="274"/>
      <c r="V212" s="639"/>
      <c r="W212" s="640">
        <v>214</v>
      </c>
      <c r="X212" s="640"/>
      <c r="Y212" s="640"/>
      <c r="Z212" s="640"/>
      <c r="AA212" s="640"/>
      <c r="AB212" s="640"/>
      <c r="AC212" s="639">
        <v>214</v>
      </c>
      <c r="AD212" s="639"/>
      <c r="AE212" s="640"/>
      <c r="AF212" s="640"/>
      <c r="AG212" s="640">
        <v>28</v>
      </c>
      <c r="AH212" s="640"/>
      <c r="AI212" s="639">
        <v>28</v>
      </c>
      <c r="AJ212" s="639"/>
      <c r="AK212" s="640"/>
      <c r="AL212" s="640"/>
      <c r="AM212" s="639"/>
    </row>
    <row r="213" spans="1:41">
      <c r="A213" s="648"/>
      <c r="B213" s="646" t="s">
        <v>76</v>
      </c>
      <c r="C213" s="624">
        <f t="shared" si="45"/>
        <v>0</v>
      </c>
      <c r="D213" s="625">
        <f t="shared" si="45"/>
        <v>0.24572317262830481</v>
      </c>
      <c r="E213" s="625">
        <f t="shared" si="45"/>
        <v>0</v>
      </c>
      <c r="F213" s="625">
        <f t="shared" si="45"/>
        <v>0</v>
      </c>
      <c r="G213" s="625">
        <f t="shared" si="45"/>
        <v>0</v>
      </c>
      <c r="H213" s="626">
        <f t="shared" si="45"/>
        <v>0</v>
      </c>
      <c r="I213" s="625">
        <f t="shared" si="45"/>
        <v>0</v>
      </c>
      <c r="J213" s="661">
        <f t="shared" si="45"/>
        <v>0.24572317262830481</v>
      </c>
      <c r="K213" s="625">
        <f t="shared" si="45"/>
        <v>0</v>
      </c>
      <c r="L213" s="625">
        <f t="shared" si="45"/>
        <v>0</v>
      </c>
      <c r="M213" s="625">
        <f t="shared" si="46"/>
        <v>0</v>
      </c>
      <c r="N213" s="625">
        <f t="shared" si="46"/>
        <v>0.13953488372093023</v>
      </c>
      <c r="O213" s="626">
        <f t="shared" si="46"/>
        <v>0</v>
      </c>
      <c r="P213" s="653">
        <f t="shared" si="46"/>
        <v>7.8066914498141265E-2</v>
      </c>
      <c r="Q213" s="625">
        <f t="shared" si="46"/>
        <v>0</v>
      </c>
      <c r="R213" s="625">
        <f t="shared" si="46"/>
        <v>0</v>
      </c>
      <c r="S213" s="626">
        <f t="shared" si="46"/>
        <v>0</v>
      </c>
      <c r="T213" s="624">
        <f t="shared" si="46"/>
        <v>0</v>
      </c>
      <c r="U213" s="274"/>
      <c r="V213" s="641"/>
      <c r="W213" s="643">
        <v>158</v>
      </c>
      <c r="X213" s="643"/>
      <c r="Y213" s="643"/>
      <c r="Z213" s="643"/>
      <c r="AA213" s="643"/>
      <c r="AB213" s="643"/>
      <c r="AC213" s="641">
        <v>158</v>
      </c>
      <c r="AD213" s="641"/>
      <c r="AE213" s="643"/>
      <c r="AF213" s="643"/>
      <c r="AG213" s="643">
        <v>42</v>
      </c>
      <c r="AH213" s="643"/>
      <c r="AI213" s="641">
        <v>42</v>
      </c>
      <c r="AJ213" s="641"/>
      <c r="AK213" s="643"/>
      <c r="AL213" s="643"/>
      <c r="AM213" s="641"/>
    </row>
    <row r="214" spans="1:41">
      <c r="A214" s="648"/>
      <c r="B214" s="646" t="s">
        <v>77</v>
      </c>
      <c r="C214" s="624">
        <f t="shared" si="45"/>
        <v>0</v>
      </c>
      <c r="D214" s="625">
        <f t="shared" si="45"/>
        <v>0.24416796267496113</v>
      </c>
      <c r="E214" s="625">
        <f t="shared" si="45"/>
        <v>0</v>
      </c>
      <c r="F214" s="625">
        <f t="shared" si="45"/>
        <v>0</v>
      </c>
      <c r="G214" s="625">
        <f t="shared" si="45"/>
        <v>0</v>
      </c>
      <c r="H214" s="626">
        <f t="shared" si="45"/>
        <v>0</v>
      </c>
      <c r="I214" s="625">
        <f t="shared" si="45"/>
        <v>0</v>
      </c>
      <c r="J214" s="661">
        <f t="shared" si="45"/>
        <v>0.24416796267496113</v>
      </c>
      <c r="K214" s="625">
        <f t="shared" si="45"/>
        <v>0</v>
      </c>
      <c r="L214" s="625">
        <f t="shared" si="45"/>
        <v>0</v>
      </c>
      <c r="M214" s="625">
        <f t="shared" si="46"/>
        <v>0</v>
      </c>
      <c r="N214" s="625">
        <f t="shared" si="46"/>
        <v>0.20598006644518271</v>
      </c>
      <c r="O214" s="626">
        <f t="shared" si="46"/>
        <v>0</v>
      </c>
      <c r="P214" s="653">
        <f t="shared" si="46"/>
        <v>0.11524163568773234</v>
      </c>
      <c r="Q214" s="625">
        <f t="shared" si="46"/>
        <v>0</v>
      </c>
      <c r="R214" s="625">
        <f t="shared" si="46"/>
        <v>0</v>
      </c>
      <c r="S214" s="626">
        <f t="shared" si="46"/>
        <v>0</v>
      </c>
      <c r="T214" s="624">
        <f t="shared" si="46"/>
        <v>0</v>
      </c>
      <c r="U214" s="274"/>
      <c r="V214" s="641"/>
      <c r="W214" s="643">
        <v>157</v>
      </c>
      <c r="X214" s="643"/>
      <c r="Y214" s="643"/>
      <c r="Z214" s="643"/>
      <c r="AA214" s="643"/>
      <c r="AB214" s="643"/>
      <c r="AC214" s="641">
        <v>157</v>
      </c>
      <c r="AD214" s="641"/>
      <c r="AE214" s="643"/>
      <c r="AF214" s="643"/>
      <c r="AG214" s="643">
        <v>62</v>
      </c>
      <c r="AH214" s="643"/>
      <c r="AI214" s="641">
        <v>62</v>
      </c>
      <c r="AJ214" s="641"/>
      <c r="AK214" s="643"/>
      <c r="AL214" s="643"/>
      <c r="AM214" s="641"/>
    </row>
    <row r="215" spans="1:41">
      <c r="A215" s="648"/>
      <c r="B215" s="646" t="s">
        <v>78</v>
      </c>
      <c r="C215" s="624">
        <f t="shared" si="45"/>
        <v>0</v>
      </c>
      <c r="D215" s="625">
        <f t="shared" si="45"/>
        <v>4.6656298600311046E-3</v>
      </c>
      <c r="E215" s="625">
        <f t="shared" si="45"/>
        <v>0</v>
      </c>
      <c r="F215" s="625">
        <f t="shared" si="45"/>
        <v>0</v>
      </c>
      <c r="G215" s="625">
        <f t="shared" si="45"/>
        <v>0</v>
      </c>
      <c r="H215" s="626">
        <f t="shared" si="45"/>
        <v>0</v>
      </c>
      <c r="I215" s="625">
        <f t="shared" si="45"/>
        <v>0</v>
      </c>
      <c r="J215" s="661">
        <f t="shared" si="45"/>
        <v>4.6656298600311046E-3</v>
      </c>
      <c r="K215" s="625">
        <f t="shared" si="45"/>
        <v>0</v>
      </c>
      <c r="L215" s="625">
        <f t="shared" si="45"/>
        <v>0</v>
      </c>
      <c r="M215" s="625">
        <f t="shared" si="46"/>
        <v>0</v>
      </c>
      <c r="N215" s="625">
        <f t="shared" si="46"/>
        <v>0.30564784053156147</v>
      </c>
      <c r="O215" s="626">
        <f t="shared" si="46"/>
        <v>0</v>
      </c>
      <c r="P215" s="653">
        <f t="shared" si="46"/>
        <v>0.17100371747211895</v>
      </c>
      <c r="Q215" s="625">
        <f t="shared" si="46"/>
        <v>0</v>
      </c>
      <c r="R215" s="625">
        <f t="shared" si="46"/>
        <v>0</v>
      </c>
      <c r="S215" s="626">
        <f t="shared" si="46"/>
        <v>0</v>
      </c>
      <c r="T215" s="624">
        <f t="shared" si="46"/>
        <v>0</v>
      </c>
      <c r="U215" s="274"/>
      <c r="V215" s="641"/>
      <c r="W215" s="643">
        <v>3</v>
      </c>
      <c r="X215" s="643"/>
      <c r="Y215" s="643"/>
      <c r="Z215" s="643"/>
      <c r="AA215" s="643"/>
      <c r="AB215" s="643"/>
      <c r="AC215" s="641">
        <v>3</v>
      </c>
      <c r="AD215" s="641"/>
      <c r="AE215" s="643"/>
      <c r="AF215" s="643"/>
      <c r="AG215" s="643">
        <v>92</v>
      </c>
      <c r="AH215" s="643"/>
      <c r="AI215" s="641">
        <v>92</v>
      </c>
      <c r="AJ215" s="641"/>
      <c r="AK215" s="643"/>
      <c r="AL215" s="643"/>
      <c r="AM215" s="641"/>
    </row>
    <row r="216" spans="1:41">
      <c r="A216" s="648"/>
      <c r="B216" s="646" t="s">
        <v>209</v>
      </c>
      <c r="C216" s="624">
        <f t="shared" si="45"/>
        <v>0</v>
      </c>
      <c r="D216" s="625">
        <f t="shared" si="45"/>
        <v>0.17262830482115085</v>
      </c>
      <c r="E216" s="625">
        <f t="shared" si="45"/>
        <v>0</v>
      </c>
      <c r="F216" s="625">
        <f t="shared" si="45"/>
        <v>0</v>
      </c>
      <c r="G216" s="625">
        <f t="shared" si="45"/>
        <v>0</v>
      </c>
      <c r="H216" s="626">
        <f t="shared" si="45"/>
        <v>0</v>
      </c>
      <c r="I216" s="625">
        <f t="shared" si="45"/>
        <v>0</v>
      </c>
      <c r="J216" s="661">
        <f t="shared" si="45"/>
        <v>0.17262830482115085</v>
      </c>
      <c r="K216" s="625">
        <f t="shared" si="45"/>
        <v>0</v>
      </c>
      <c r="L216" s="625">
        <f t="shared" si="45"/>
        <v>0</v>
      </c>
      <c r="M216" s="625">
        <f t="shared" si="46"/>
        <v>1</v>
      </c>
      <c r="N216" s="625">
        <f t="shared" si="46"/>
        <v>0.2558139534883721</v>
      </c>
      <c r="O216" s="626">
        <f t="shared" si="46"/>
        <v>0</v>
      </c>
      <c r="P216" s="653">
        <f t="shared" si="46"/>
        <v>0.58364312267657992</v>
      </c>
      <c r="Q216" s="625">
        <f t="shared" si="46"/>
        <v>0</v>
      </c>
      <c r="R216" s="625">
        <f t="shared" si="46"/>
        <v>0</v>
      </c>
      <c r="S216" s="626">
        <f t="shared" si="46"/>
        <v>0</v>
      </c>
      <c r="T216" s="624">
        <f t="shared" si="46"/>
        <v>0</v>
      </c>
      <c r="U216" s="274"/>
      <c r="V216" s="641"/>
      <c r="W216" s="643">
        <v>111</v>
      </c>
      <c r="X216" s="643"/>
      <c r="Y216" s="643"/>
      <c r="Z216" s="643"/>
      <c r="AA216" s="643"/>
      <c r="AB216" s="643"/>
      <c r="AC216" s="641">
        <v>111</v>
      </c>
      <c r="AD216" s="641"/>
      <c r="AE216" s="643"/>
      <c r="AF216" s="643">
        <v>237</v>
      </c>
      <c r="AG216" s="643">
        <v>77</v>
      </c>
      <c r="AH216" s="643"/>
      <c r="AI216" s="641">
        <v>314</v>
      </c>
      <c r="AJ216" s="641"/>
      <c r="AK216" s="643"/>
      <c r="AL216" s="643"/>
      <c r="AM216" s="641"/>
    </row>
    <row r="217" spans="1:41">
      <c r="A217" s="649"/>
      <c r="B217" s="650" t="s">
        <v>59</v>
      </c>
      <c r="C217" s="577">
        <f t="shared" ref="C217:T217" si="47">SUM(C212:C216)</f>
        <v>0</v>
      </c>
      <c r="D217" s="578">
        <f t="shared" si="47"/>
        <v>1</v>
      </c>
      <c r="E217" s="578">
        <f t="shared" si="47"/>
        <v>0</v>
      </c>
      <c r="F217" s="578">
        <f t="shared" si="47"/>
        <v>0</v>
      </c>
      <c r="G217" s="578">
        <f t="shared" si="47"/>
        <v>0</v>
      </c>
      <c r="H217" s="579">
        <f t="shared" si="47"/>
        <v>0</v>
      </c>
      <c r="I217" s="578">
        <f t="shared" si="47"/>
        <v>0</v>
      </c>
      <c r="J217" s="589">
        <f t="shared" si="47"/>
        <v>1</v>
      </c>
      <c r="K217" s="578">
        <f t="shared" si="47"/>
        <v>0</v>
      </c>
      <c r="L217" s="578">
        <f t="shared" si="47"/>
        <v>0</v>
      </c>
      <c r="M217" s="578">
        <f t="shared" si="47"/>
        <v>1</v>
      </c>
      <c r="N217" s="578">
        <f t="shared" si="47"/>
        <v>1</v>
      </c>
      <c r="O217" s="579">
        <f t="shared" si="47"/>
        <v>0</v>
      </c>
      <c r="P217" s="654">
        <f t="shared" si="47"/>
        <v>1</v>
      </c>
      <c r="Q217" s="578">
        <f t="shared" si="47"/>
        <v>0</v>
      </c>
      <c r="R217" s="578">
        <f t="shared" si="47"/>
        <v>0</v>
      </c>
      <c r="S217" s="579">
        <f t="shared" si="47"/>
        <v>0</v>
      </c>
      <c r="T217" s="577">
        <f t="shared" si="47"/>
        <v>0</v>
      </c>
      <c r="U217" s="274"/>
      <c r="V217" s="644"/>
      <c r="W217" s="645">
        <v>643</v>
      </c>
      <c r="X217" s="645"/>
      <c r="Y217" s="645"/>
      <c r="Z217" s="645"/>
      <c r="AA217" s="645"/>
      <c r="AB217" s="645"/>
      <c r="AC217" s="644">
        <v>643</v>
      </c>
      <c r="AD217" s="644"/>
      <c r="AE217" s="645"/>
      <c r="AF217" s="645">
        <v>237</v>
      </c>
      <c r="AG217" s="645">
        <v>301</v>
      </c>
      <c r="AH217" s="645"/>
      <c r="AI217" s="644">
        <v>538</v>
      </c>
      <c r="AJ217" s="644"/>
      <c r="AK217" s="645"/>
      <c r="AL217" s="645"/>
      <c r="AM217" s="644"/>
    </row>
    <row r="218" spans="1:41" s="9" customFormat="1" ht="15.75" customHeight="1">
      <c r="A218" s="646" t="s">
        <v>172</v>
      </c>
      <c r="B218" s="647" t="s">
        <v>53</v>
      </c>
      <c r="C218" s="613">
        <f t="shared" ref="C218:L222" si="48">IF(V$223&gt;0,(V218/V$223),0)</f>
        <v>0.3752754820936639</v>
      </c>
      <c r="D218" s="614">
        <f t="shared" si="48"/>
        <v>0.27206960602209407</v>
      </c>
      <c r="E218" s="614">
        <f t="shared" si="48"/>
        <v>0.29376424280091151</v>
      </c>
      <c r="F218" s="614">
        <f t="shared" si="48"/>
        <v>0.29023783185840707</v>
      </c>
      <c r="G218" s="614">
        <f t="shared" si="48"/>
        <v>0.31076473453482706</v>
      </c>
      <c r="H218" s="615">
        <f t="shared" si="48"/>
        <v>0.1875</v>
      </c>
      <c r="I218" s="614">
        <f t="shared" si="48"/>
        <v>0.12290502793296089</v>
      </c>
      <c r="J218" s="660">
        <f t="shared" si="48"/>
        <v>0.32381055163269712</v>
      </c>
      <c r="K218" s="614">
        <f t="shared" si="48"/>
        <v>0.28099173553719009</v>
      </c>
      <c r="L218" s="614">
        <f t="shared" si="48"/>
        <v>0.15109584890415109</v>
      </c>
      <c r="M218" s="614">
        <f t="shared" ref="M218:T222" si="49">IF(AF$223&gt;0,(AF218/AF$223),0)</f>
        <v>9.6960167714884693E-2</v>
      </c>
      <c r="N218" s="614">
        <f t="shared" si="49"/>
        <v>8.4170573788792141E-2</v>
      </c>
      <c r="O218" s="615">
        <f t="shared" si="49"/>
        <v>0</v>
      </c>
      <c r="P218" s="652">
        <f t="shared" si="49"/>
        <v>0.11779876045089639</v>
      </c>
      <c r="Q218" s="614">
        <f t="shared" si="49"/>
        <v>0</v>
      </c>
      <c r="R218" s="614">
        <f t="shared" si="49"/>
        <v>0</v>
      </c>
      <c r="S218" s="615">
        <f t="shared" si="49"/>
        <v>0</v>
      </c>
      <c r="T218" s="613">
        <f t="shared" si="49"/>
        <v>0</v>
      </c>
      <c r="U218" s="274"/>
      <c r="V218" s="617">
        <f t="shared" ref="V218:V223" si="50">+V224+V230+V236+V242+V248+V254+V260+V266+V272+V278+V284+V290</f>
        <v>10898</v>
      </c>
      <c r="W218" s="617">
        <f t="shared" ref="W218:AM223" si="51">+W224+W230+W236+W242+W248+W254+W260+W266+W272+W278+W284+W290</f>
        <v>2783</v>
      </c>
      <c r="X218" s="617">
        <f t="shared" si="51"/>
        <v>4254</v>
      </c>
      <c r="Y218" s="617">
        <f t="shared" si="51"/>
        <v>2099</v>
      </c>
      <c r="Z218" s="617">
        <f t="shared" si="51"/>
        <v>638</v>
      </c>
      <c r="AA218" s="617">
        <f t="shared" si="51"/>
        <v>309</v>
      </c>
      <c r="AB218" s="617">
        <f t="shared" si="51"/>
        <v>22</v>
      </c>
      <c r="AC218" s="618">
        <f t="shared" si="51"/>
        <v>21003</v>
      </c>
      <c r="AD218" s="590">
        <f t="shared" si="51"/>
        <v>34</v>
      </c>
      <c r="AE218" s="591">
        <f t="shared" si="51"/>
        <v>1496</v>
      </c>
      <c r="AF218" s="591">
        <f t="shared" si="51"/>
        <v>925</v>
      </c>
      <c r="AG218" s="591">
        <f t="shared" si="51"/>
        <v>377</v>
      </c>
      <c r="AH218" s="591">
        <f t="shared" si="51"/>
        <v>0</v>
      </c>
      <c r="AI218" s="592">
        <f t="shared" si="51"/>
        <v>2832</v>
      </c>
      <c r="AJ218" s="591">
        <f t="shared" si="51"/>
        <v>0</v>
      </c>
      <c r="AK218" s="591">
        <f t="shared" si="51"/>
        <v>0</v>
      </c>
      <c r="AL218" s="591">
        <f t="shared" si="51"/>
        <v>0</v>
      </c>
      <c r="AM218" s="590">
        <f t="shared" si="51"/>
        <v>0</v>
      </c>
      <c r="AN218" s="349"/>
      <c r="AO218" s="349"/>
    </row>
    <row r="219" spans="1:41" s="9" customFormat="1" ht="15.75" customHeight="1">
      <c r="A219" s="648"/>
      <c r="B219" s="646" t="s">
        <v>76</v>
      </c>
      <c r="C219" s="624">
        <f t="shared" si="48"/>
        <v>0.26556473829201099</v>
      </c>
      <c r="D219" s="625">
        <f t="shared" si="48"/>
        <v>0.28859126014273145</v>
      </c>
      <c r="E219" s="625">
        <f t="shared" si="48"/>
        <v>0.26310337683861612</v>
      </c>
      <c r="F219" s="625">
        <f t="shared" si="48"/>
        <v>0.27350663716814161</v>
      </c>
      <c r="G219" s="625">
        <f t="shared" si="48"/>
        <v>0.26984900146127616</v>
      </c>
      <c r="H219" s="626">
        <f t="shared" si="48"/>
        <v>0.30097087378640774</v>
      </c>
      <c r="I219" s="625">
        <f t="shared" si="48"/>
        <v>0.41899441340782123</v>
      </c>
      <c r="J219" s="661">
        <f t="shared" si="48"/>
        <v>0.27099071875674507</v>
      </c>
      <c r="K219" s="625">
        <f t="shared" si="48"/>
        <v>0.33057851239669422</v>
      </c>
      <c r="L219" s="625">
        <f t="shared" si="48"/>
        <v>9.9080900919099074E-2</v>
      </c>
      <c r="M219" s="625">
        <f t="shared" si="49"/>
        <v>8.7631027253668767E-2</v>
      </c>
      <c r="N219" s="625">
        <f t="shared" si="49"/>
        <v>8.3054253181513729E-2</v>
      </c>
      <c r="O219" s="626">
        <f t="shared" si="49"/>
        <v>0</v>
      </c>
      <c r="P219" s="653">
        <f t="shared" si="49"/>
        <v>9.271660912607628E-2</v>
      </c>
      <c r="Q219" s="625">
        <f t="shared" si="49"/>
        <v>0</v>
      </c>
      <c r="R219" s="625">
        <f t="shared" si="49"/>
        <v>0</v>
      </c>
      <c r="S219" s="626">
        <f t="shared" si="49"/>
        <v>0</v>
      </c>
      <c r="T219" s="624">
        <f t="shared" si="49"/>
        <v>0</v>
      </c>
      <c r="U219" s="274"/>
      <c r="V219" s="628">
        <f t="shared" si="50"/>
        <v>7712</v>
      </c>
      <c r="W219" s="628">
        <f t="shared" ref="W219:AK219" si="52">+W225+W231+W237+W243+W249+W255+W261+W267+W273+W279+W285+W291</f>
        <v>2952</v>
      </c>
      <c r="X219" s="628">
        <f t="shared" si="52"/>
        <v>3810</v>
      </c>
      <c r="Y219" s="628">
        <f t="shared" si="52"/>
        <v>1978</v>
      </c>
      <c r="Z219" s="628">
        <f t="shared" si="52"/>
        <v>554</v>
      </c>
      <c r="AA219" s="628">
        <f t="shared" si="52"/>
        <v>496</v>
      </c>
      <c r="AB219" s="628">
        <f t="shared" si="52"/>
        <v>75</v>
      </c>
      <c r="AC219" s="629">
        <f t="shared" si="52"/>
        <v>17577</v>
      </c>
      <c r="AD219" s="594">
        <f t="shared" si="52"/>
        <v>40</v>
      </c>
      <c r="AE219" s="595">
        <f t="shared" si="52"/>
        <v>981</v>
      </c>
      <c r="AF219" s="595">
        <f t="shared" si="52"/>
        <v>836</v>
      </c>
      <c r="AG219" s="595">
        <f t="shared" si="52"/>
        <v>372</v>
      </c>
      <c r="AH219" s="595">
        <f t="shared" si="52"/>
        <v>0</v>
      </c>
      <c r="AI219" s="596">
        <f t="shared" si="52"/>
        <v>2229</v>
      </c>
      <c r="AJ219" s="595">
        <f t="shared" si="52"/>
        <v>0</v>
      </c>
      <c r="AK219" s="595">
        <f t="shared" si="52"/>
        <v>0</v>
      </c>
      <c r="AL219" s="595">
        <f t="shared" si="51"/>
        <v>0</v>
      </c>
      <c r="AM219" s="594">
        <f t="shared" si="51"/>
        <v>0</v>
      </c>
      <c r="AN219" s="349"/>
      <c r="AO219" s="349"/>
    </row>
    <row r="220" spans="1:41" s="9" customFormat="1" ht="15.75" customHeight="1">
      <c r="A220" s="648"/>
      <c r="B220" s="646" t="s">
        <v>77</v>
      </c>
      <c r="C220" s="624">
        <f t="shared" si="48"/>
        <v>0.24524793388429753</v>
      </c>
      <c r="D220" s="625">
        <f t="shared" si="48"/>
        <v>0.28771140873985729</v>
      </c>
      <c r="E220" s="625">
        <f t="shared" si="48"/>
        <v>0.27801947379324632</v>
      </c>
      <c r="F220" s="625">
        <f t="shared" si="48"/>
        <v>0.28263274336283184</v>
      </c>
      <c r="G220" s="625">
        <f t="shared" si="48"/>
        <v>0.26643935703848026</v>
      </c>
      <c r="H220" s="626">
        <f t="shared" si="48"/>
        <v>0.34344660194174759</v>
      </c>
      <c r="I220" s="625">
        <f t="shared" si="48"/>
        <v>0.31284916201117319</v>
      </c>
      <c r="J220" s="661">
        <f t="shared" si="48"/>
        <v>0.26678178286207643</v>
      </c>
      <c r="K220" s="625">
        <f t="shared" si="48"/>
        <v>0.34710743801652894</v>
      </c>
      <c r="L220" s="625">
        <f t="shared" si="48"/>
        <v>0.12594687405312593</v>
      </c>
      <c r="M220" s="625">
        <f t="shared" si="49"/>
        <v>0.10136268343815513</v>
      </c>
      <c r="N220" s="625">
        <f t="shared" si="49"/>
        <v>0.10247823174815807</v>
      </c>
      <c r="O220" s="626">
        <f t="shared" si="49"/>
        <v>0</v>
      </c>
      <c r="P220" s="653">
        <f t="shared" si="49"/>
        <v>0.11293207437294622</v>
      </c>
      <c r="Q220" s="625">
        <f t="shared" si="49"/>
        <v>0</v>
      </c>
      <c r="R220" s="625">
        <f t="shared" si="49"/>
        <v>0</v>
      </c>
      <c r="S220" s="626">
        <f t="shared" si="49"/>
        <v>0</v>
      </c>
      <c r="T220" s="624">
        <f t="shared" si="49"/>
        <v>0</v>
      </c>
      <c r="U220" s="274"/>
      <c r="V220" s="628">
        <f t="shared" si="50"/>
        <v>7122</v>
      </c>
      <c r="W220" s="628">
        <f t="shared" si="51"/>
        <v>2943</v>
      </c>
      <c r="X220" s="628">
        <f t="shared" si="51"/>
        <v>4026</v>
      </c>
      <c r="Y220" s="628">
        <f t="shared" si="51"/>
        <v>2044</v>
      </c>
      <c r="Z220" s="628">
        <f t="shared" si="51"/>
        <v>547</v>
      </c>
      <c r="AA220" s="628">
        <f t="shared" si="51"/>
        <v>566</v>
      </c>
      <c r="AB220" s="628">
        <f t="shared" si="51"/>
        <v>56</v>
      </c>
      <c r="AC220" s="629">
        <f t="shared" si="51"/>
        <v>17304</v>
      </c>
      <c r="AD220" s="594">
        <f t="shared" si="51"/>
        <v>42</v>
      </c>
      <c r="AE220" s="595">
        <f t="shared" si="51"/>
        <v>1247</v>
      </c>
      <c r="AF220" s="595">
        <f t="shared" si="51"/>
        <v>967</v>
      </c>
      <c r="AG220" s="595">
        <f t="shared" si="51"/>
        <v>459</v>
      </c>
      <c r="AH220" s="595">
        <f t="shared" si="51"/>
        <v>0</v>
      </c>
      <c r="AI220" s="596">
        <f t="shared" si="51"/>
        <v>2715</v>
      </c>
      <c r="AJ220" s="595">
        <f t="shared" si="51"/>
        <v>0</v>
      </c>
      <c r="AK220" s="595">
        <f t="shared" si="51"/>
        <v>0</v>
      </c>
      <c r="AL220" s="595">
        <f t="shared" si="51"/>
        <v>0</v>
      </c>
      <c r="AM220" s="594">
        <f t="shared" si="51"/>
        <v>0</v>
      </c>
      <c r="AN220" s="349"/>
      <c r="AO220" s="349"/>
    </row>
    <row r="221" spans="1:41" s="9" customFormat="1" ht="15.75" customHeight="1">
      <c r="A221" s="648"/>
      <c r="B221" s="646" t="s">
        <v>78</v>
      </c>
      <c r="C221" s="624">
        <f t="shared" si="48"/>
        <v>2.2451790633608814E-2</v>
      </c>
      <c r="D221" s="625">
        <f t="shared" si="48"/>
        <v>8.632319874865578E-2</v>
      </c>
      <c r="E221" s="625">
        <f t="shared" si="48"/>
        <v>9.9302534355362196E-2</v>
      </c>
      <c r="F221" s="625">
        <f t="shared" si="48"/>
        <v>5.9596238938053096E-2</v>
      </c>
      <c r="G221" s="625">
        <f t="shared" si="48"/>
        <v>6.3809059912323426E-2</v>
      </c>
      <c r="H221" s="626">
        <f t="shared" si="48"/>
        <v>0.12196601941747573</v>
      </c>
      <c r="I221" s="625">
        <f t="shared" si="48"/>
        <v>0.14525139664804471</v>
      </c>
      <c r="J221" s="661">
        <f t="shared" si="48"/>
        <v>5.8000061669390396E-2</v>
      </c>
      <c r="K221" s="625">
        <f t="shared" si="48"/>
        <v>4.1322314049586778E-2</v>
      </c>
      <c r="L221" s="625">
        <f t="shared" si="48"/>
        <v>0.29441470558529442</v>
      </c>
      <c r="M221" s="625">
        <f t="shared" si="49"/>
        <v>0.33658280922431866</v>
      </c>
      <c r="N221" s="625">
        <f t="shared" si="49"/>
        <v>0.41370841705737887</v>
      </c>
      <c r="O221" s="626">
        <f t="shared" si="49"/>
        <v>0</v>
      </c>
      <c r="P221" s="653">
        <f t="shared" si="49"/>
        <v>0.3320993303107192</v>
      </c>
      <c r="Q221" s="625">
        <f t="shared" si="49"/>
        <v>0</v>
      </c>
      <c r="R221" s="625">
        <f t="shared" si="49"/>
        <v>0</v>
      </c>
      <c r="S221" s="626">
        <f t="shared" si="49"/>
        <v>0</v>
      </c>
      <c r="T221" s="624">
        <f t="shared" si="49"/>
        <v>0</v>
      </c>
      <c r="U221" s="274"/>
      <c r="V221" s="628">
        <f t="shared" si="50"/>
        <v>652</v>
      </c>
      <c r="W221" s="628">
        <f t="shared" si="51"/>
        <v>883</v>
      </c>
      <c r="X221" s="628">
        <f t="shared" si="51"/>
        <v>1438</v>
      </c>
      <c r="Y221" s="628">
        <f t="shared" si="51"/>
        <v>431</v>
      </c>
      <c r="Z221" s="628">
        <f t="shared" si="51"/>
        <v>131</v>
      </c>
      <c r="AA221" s="628">
        <f t="shared" si="51"/>
        <v>201</v>
      </c>
      <c r="AB221" s="628">
        <f t="shared" si="51"/>
        <v>26</v>
      </c>
      <c r="AC221" s="629">
        <f t="shared" si="51"/>
        <v>3762</v>
      </c>
      <c r="AD221" s="594">
        <f t="shared" si="51"/>
        <v>5</v>
      </c>
      <c r="AE221" s="595">
        <f t="shared" si="51"/>
        <v>2915</v>
      </c>
      <c r="AF221" s="595">
        <f t="shared" si="51"/>
        <v>3211</v>
      </c>
      <c r="AG221" s="595">
        <f t="shared" si="51"/>
        <v>1853</v>
      </c>
      <c r="AH221" s="595">
        <f t="shared" si="51"/>
        <v>0</v>
      </c>
      <c r="AI221" s="596">
        <f t="shared" si="51"/>
        <v>7984</v>
      </c>
      <c r="AJ221" s="595">
        <f t="shared" si="51"/>
        <v>0</v>
      </c>
      <c r="AK221" s="595">
        <f t="shared" si="51"/>
        <v>0</v>
      </c>
      <c r="AL221" s="595">
        <f t="shared" si="51"/>
        <v>0</v>
      </c>
      <c r="AM221" s="594">
        <f t="shared" si="51"/>
        <v>0</v>
      </c>
      <c r="AN221" s="349"/>
      <c r="AO221" s="349"/>
    </row>
    <row r="222" spans="1:41" s="9" customFormat="1" ht="15.75" customHeight="1">
      <c r="A222" s="648"/>
      <c r="B222" s="646" t="s">
        <v>131</v>
      </c>
      <c r="C222" s="624">
        <f t="shared" si="48"/>
        <v>9.1460055096418733E-2</v>
      </c>
      <c r="D222" s="625">
        <f t="shared" si="48"/>
        <v>6.5304526346661451E-2</v>
      </c>
      <c r="E222" s="625">
        <f t="shared" si="48"/>
        <v>6.5810372211863824E-2</v>
      </c>
      <c r="F222" s="625">
        <f t="shared" si="48"/>
        <v>9.4026548672566365E-2</v>
      </c>
      <c r="G222" s="625">
        <f t="shared" si="48"/>
        <v>8.9137847053093036E-2</v>
      </c>
      <c r="H222" s="626">
        <f t="shared" si="48"/>
        <v>4.6116504854368932E-2</v>
      </c>
      <c r="I222" s="625">
        <f t="shared" si="48"/>
        <v>0</v>
      </c>
      <c r="J222" s="661">
        <f t="shared" si="48"/>
        <v>8.0416885079090991E-2</v>
      </c>
      <c r="K222" s="625">
        <f t="shared" si="48"/>
        <v>0</v>
      </c>
      <c r="L222" s="625">
        <f t="shared" si="48"/>
        <v>0.32946167053832948</v>
      </c>
      <c r="M222" s="625">
        <f t="shared" si="49"/>
        <v>0.37746331236897274</v>
      </c>
      <c r="N222" s="625">
        <f t="shared" si="49"/>
        <v>0.31658852422415718</v>
      </c>
      <c r="O222" s="626">
        <f t="shared" si="49"/>
        <v>0</v>
      </c>
      <c r="P222" s="653">
        <f t="shared" si="49"/>
        <v>0.34445322573936193</v>
      </c>
      <c r="Q222" s="625">
        <f t="shared" si="49"/>
        <v>0</v>
      </c>
      <c r="R222" s="625">
        <f t="shared" si="49"/>
        <v>0</v>
      </c>
      <c r="S222" s="626">
        <f t="shared" si="49"/>
        <v>0</v>
      </c>
      <c r="T222" s="624">
        <f t="shared" si="49"/>
        <v>0</v>
      </c>
      <c r="U222" s="274"/>
      <c r="V222" s="631">
        <f t="shared" si="50"/>
        <v>2656</v>
      </c>
      <c r="W222" s="632">
        <f t="shared" si="51"/>
        <v>668</v>
      </c>
      <c r="X222" s="632">
        <f t="shared" si="51"/>
        <v>953</v>
      </c>
      <c r="Y222" s="632">
        <f t="shared" si="51"/>
        <v>680</v>
      </c>
      <c r="Z222" s="632">
        <f t="shared" si="51"/>
        <v>183</v>
      </c>
      <c r="AA222" s="632">
        <f t="shared" si="51"/>
        <v>76</v>
      </c>
      <c r="AB222" s="632">
        <f t="shared" si="51"/>
        <v>0</v>
      </c>
      <c r="AC222" s="629">
        <f t="shared" si="51"/>
        <v>5216</v>
      </c>
      <c r="AD222" s="594">
        <f t="shared" si="51"/>
        <v>0</v>
      </c>
      <c r="AE222" s="595">
        <f t="shared" si="51"/>
        <v>3262</v>
      </c>
      <c r="AF222" s="595">
        <f t="shared" si="51"/>
        <v>3601</v>
      </c>
      <c r="AG222" s="595">
        <f t="shared" si="51"/>
        <v>1418</v>
      </c>
      <c r="AH222" s="595">
        <f t="shared" si="51"/>
        <v>0</v>
      </c>
      <c r="AI222" s="596">
        <f t="shared" si="51"/>
        <v>8281</v>
      </c>
      <c r="AJ222" s="595">
        <f t="shared" si="51"/>
        <v>0</v>
      </c>
      <c r="AK222" s="595">
        <f t="shared" si="51"/>
        <v>0</v>
      </c>
      <c r="AL222" s="595">
        <f t="shared" si="51"/>
        <v>0</v>
      </c>
      <c r="AM222" s="594">
        <f t="shared" si="51"/>
        <v>0</v>
      </c>
      <c r="AN222" s="349"/>
      <c r="AO222" s="349"/>
    </row>
    <row r="223" spans="1:41" s="9" customFormat="1" ht="15.75" customHeight="1">
      <c r="A223" s="649"/>
      <c r="B223" s="650" t="s">
        <v>59</v>
      </c>
      <c r="C223" s="577">
        <f t="shared" ref="C223:T223" si="53">SUM(C218:C222)</f>
        <v>1</v>
      </c>
      <c r="D223" s="578">
        <f t="shared" si="53"/>
        <v>1.0000000000000002</v>
      </c>
      <c r="E223" s="578">
        <f t="shared" si="53"/>
        <v>1</v>
      </c>
      <c r="F223" s="578">
        <f t="shared" si="53"/>
        <v>1</v>
      </c>
      <c r="G223" s="578">
        <f t="shared" si="53"/>
        <v>0.99999999999999989</v>
      </c>
      <c r="H223" s="579">
        <f t="shared" si="53"/>
        <v>1</v>
      </c>
      <c r="I223" s="578">
        <f t="shared" si="53"/>
        <v>1</v>
      </c>
      <c r="J223" s="589">
        <f t="shared" si="53"/>
        <v>1</v>
      </c>
      <c r="K223" s="578">
        <f t="shared" si="53"/>
        <v>0.99999999999999989</v>
      </c>
      <c r="L223" s="578">
        <f t="shared" si="53"/>
        <v>1</v>
      </c>
      <c r="M223" s="578">
        <f t="shared" si="53"/>
        <v>1</v>
      </c>
      <c r="N223" s="578">
        <f t="shared" si="53"/>
        <v>1</v>
      </c>
      <c r="O223" s="579">
        <f t="shared" si="53"/>
        <v>0</v>
      </c>
      <c r="P223" s="654">
        <f t="shared" si="53"/>
        <v>1</v>
      </c>
      <c r="Q223" s="578">
        <f t="shared" si="53"/>
        <v>0</v>
      </c>
      <c r="R223" s="578">
        <f t="shared" si="53"/>
        <v>0</v>
      </c>
      <c r="S223" s="579">
        <f t="shared" si="53"/>
        <v>0</v>
      </c>
      <c r="T223" s="577">
        <f t="shared" si="53"/>
        <v>0</v>
      </c>
      <c r="U223" s="274"/>
      <c r="V223" s="634">
        <f t="shared" si="50"/>
        <v>29040</v>
      </c>
      <c r="W223" s="635">
        <f t="shared" si="51"/>
        <v>10229</v>
      </c>
      <c r="X223" s="635">
        <f t="shared" si="51"/>
        <v>14481</v>
      </c>
      <c r="Y223" s="635">
        <f t="shared" si="51"/>
        <v>7232</v>
      </c>
      <c r="Z223" s="635">
        <f t="shared" si="51"/>
        <v>2053</v>
      </c>
      <c r="AA223" s="635">
        <f t="shared" si="51"/>
        <v>1648</v>
      </c>
      <c r="AB223" s="635">
        <f t="shared" si="51"/>
        <v>179</v>
      </c>
      <c r="AC223" s="651">
        <f t="shared" si="51"/>
        <v>64862</v>
      </c>
      <c r="AD223" s="598">
        <f t="shared" si="51"/>
        <v>121</v>
      </c>
      <c r="AE223" s="599">
        <f t="shared" si="51"/>
        <v>9901</v>
      </c>
      <c r="AF223" s="599">
        <f t="shared" si="51"/>
        <v>9540</v>
      </c>
      <c r="AG223" s="599">
        <f t="shared" si="51"/>
        <v>4479</v>
      </c>
      <c r="AH223" s="599">
        <f t="shared" si="51"/>
        <v>0</v>
      </c>
      <c r="AI223" s="600">
        <f t="shared" si="51"/>
        <v>24041</v>
      </c>
      <c r="AJ223" s="599">
        <f t="shared" si="51"/>
        <v>0</v>
      </c>
      <c r="AK223" s="599">
        <f t="shared" si="51"/>
        <v>0</v>
      </c>
      <c r="AL223" s="599">
        <f t="shared" si="51"/>
        <v>0</v>
      </c>
      <c r="AM223" s="598">
        <f t="shared" si="51"/>
        <v>0</v>
      </c>
      <c r="AN223" s="349"/>
      <c r="AO223" s="349"/>
    </row>
    <row r="224" spans="1:41">
      <c r="A224" s="646" t="s">
        <v>144</v>
      </c>
      <c r="B224" s="647" t="s">
        <v>53</v>
      </c>
      <c r="C224" s="613">
        <f t="shared" ref="C224:L228" si="54">IF(V$229&gt;0,(V224/V$229),0)</f>
        <v>0.322383325781604</v>
      </c>
      <c r="D224" s="614">
        <f t="shared" si="54"/>
        <v>0.2402745995423341</v>
      </c>
      <c r="E224" s="614">
        <f t="shared" si="54"/>
        <v>0.29574350469872857</v>
      </c>
      <c r="F224" s="614">
        <f t="shared" si="54"/>
        <v>0</v>
      </c>
      <c r="G224" s="614">
        <f t="shared" si="54"/>
        <v>0</v>
      </c>
      <c r="H224" s="615">
        <f t="shared" si="54"/>
        <v>0</v>
      </c>
      <c r="I224" s="614">
        <f t="shared" si="54"/>
        <v>0</v>
      </c>
      <c r="J224" s="660">
        <f t="shared" si="54"/>
        <v>0.30350325623175389</v>
      </c>
      <c r="K224" s="614">
        <f t="shared" si="54"/>
        <v>0</v>
      </c>
      <c r="L224" s="614">
        <f t="shared" si="54"/>
        <v>0.22284725227174385</v>
      </c>
      <c r="M224" s="614">
        <f t="shared" ref="M224:T228" si="55">IF(AF$229&gt;0,(AF224/AF$229),0)</f>
        <v>0.21974714027694159</v>
      </c>
      <c r="N224" s="614">
        <f t="shared" si="55"/>
        <v>0.24406047516198703</v>
      </c>
      <c r="O224" s="615">
        <f t="shared" si="55"/>
        <v>0</v>
      </c>
      <c r="P224" s="652">
        <f t="shared" si="55"/>
        <v>0.22390078917700112</v>
      </c>
      <c r="Q224" s="614">
        <f t="shared" si="55"/>
        <v>0</v>
      </c>
      <c r="R224" s="614">
        <f t="shared" si="55"/>
        <v>0</v>
      </c>
      <c r="S224" s="615">
        <f t="shared" si="55"/>
        <v>0</v>
      </c>
      <c r="T224" s="613">
        <f t="shared" si="55"/>
        <v>0</v>
      </c>
      <c r="U224" s="274"/>
      <c r="V224" s="639">
        <v>1423</v>
      </c>
      <c r="W224" s="640">
        <v>210</v>
      </c>
      <c r="X224" s="640">
        <v>1070</v>
      </c>
      <c r="Y224" s="640"/>
      <c r="Z224" s="640"/>
      <c r="AA224" s="640"/>
      <c r="AB224" s="640"/>
      <c r="AC224" s="639">
        <v>2703</v>
      </c>
      <c r="AD224" s="639"/>
      <c r="AE224" s="640">
        <v>515</v>
      </c>
      <c r="AF224" s="640">
        <v>365</v>
      </c>
      <c r="AG224" s="640">
        <v>113</v>
      </c>
      <c r="AH224" s="640"/>
      <c r="AI224" s="639">
        <v>993</v>
      </c>
      <c r="AJ224" s="639"/>
      <c r="AK224" s="640"/>
      <c r="AL224" s="640"/>
      <c r="AM224" s="639"/>
    </row>
    <row r="225" spans="1:39">
      <c r="A225" s="648"/>
      <c r="B225" s="646" t="s">
        <v>76</v>
      </c>
      <c r="C225" s="624">
        <f t="shared" si="54"/>
        <v>0.25192569098323514</v>
      </c>
      <c r="D225" s="625">
        <f t="shared" si="54"/>
        <v>0.34897025171624713</v>
      </c>
      <c r="E225" s="625">
        <f t="shared" si="54"/>
        <v>0.23659480375898287</v>
      </c>
      <c r="F225" s="625">
        <f t="shared" si="54"/>
        <v>0</v>
      </c>
      <c r="G225" s="625">
        <f t="shared" si="54"/>
        <v>0</v>
      </c>
      <c r="H225" s="626">
        <f t="shared" si="54"/>
        <v>0</v>
      </c>
      <c r="I225" s="625">
        <f t="shared" si="54"/>
        <v>0</v>
      </c>
      <c r="J225" s="661">
        <f t="shared" si="54"/>
        <v>0.25522119919155628</v>
      </c>
      <c r="K225" s="625">
        <f t="shared" si="54"/>
        <v>0</v>
      </c>
      <c r="L225" s="625">
        <f t="shared" si="54"/>
        <v>0.15837299870186067</v>
      </c>
      <c r="M225" s="625">
        <f t="shared" si="55"/>
        <v>0.10836845273931367</v>
      </c>
      <c r="N225" s="625">
        <f t="shared" si="55"/>
        <v>2.591792656587473E-2</v>
      </c>
      <c r="O225" s="626">
        <f t="shared" si="55"/>
        <v>0</v>
      </c>
      <c r="P225" s="653">
        <f t="shared" si="55"/>
        <v>0.12581736189402482</v>
      </c>
      <c r="Q225" s="625">
        <f t="shared" si="55"/>
        <v>0</v>
      </c>
      <c r="R225" s="625">
        <f t="shared" si="55"/>
        <v>0</v>
      </c>
      <c r="S225" s="626">
        <f t="shared" si="55"/>
        <v>0</v>
      </c>
      <c r="T225" s="624">
        <f t="shared" si="55"/>
        <v>0</v>
      </c>
      <c r="U225" s="274"/>
      <c r="V225" s="641">
        <v>1112</v>
      </c>
      <c r="W225" s="642">
        <v>305</v>
      </c>
      <c r="X225" s="642">
        <v>856</v>
      </c>
      <c r="Y225" s="642"/>
      <c r="Z225" s="642"/>
      <c r="AA225" s="642"/>
      <c r="AB225" s="642"/>
      <c r="AC225" s="641">
        <v>2273</v>
      </c>
      <c r="AD225" s="641"/>
      <c r="AE225" s="642">
        <v>366</v>
      </c>
      <c r="AF225" s="642">
        <v>180</v>
      </c>
      <c r="AG225" s="642">
        <v>12</v>
      </c>
      <c r="AH225" s="642"/>
      <c r="AI225" s="641">
        <v>558</v>
      </c>
      <c r="AJ225" s="641"/>
      <c r="AK225" s="642"/>
      <c r="AL225" s="642"/>
      <c r="AM225" s="641"/>
    </row>
    <row r="226" spans="1:39">
      <c r="A226" s="648"/>
      <c r="B226" s="646" t="s">
        <v>77</v>
      </c>
      <c r="C226" s="624">
        <f t="shared" si="54"/>
        <v>0.30018124150430447</v>
      </c>
      <c r="D226" s="625">
        <f t="shared" si="54"/>
        <v>0.24256292906178489</v>
      </c>
      <c r="E226" s="625">
        <f t="shared" si="54"/>
        <v>0.26920950801547816</v>
      </c>
      <c r="F226" s="625">
        <f t="shared" si="54"/>
        <v>0</v>
      </c>
      <c r="G226" s="625">
        <f t="shared" si="54"/>
        <v>0</v>
      </c>
      <c r="H226" s="626">
        <f t="shared" si="54"/>
        <v>0</v>
      </c>
      <c r="I226" s="625">
        <f t="shared" si="54"/>
        <v>0</v>
      </c>
      <c r="J226" s="661">
        <f t="shared" si="54"/>
        <v>0.28194475634403771</v>
      </c>
      <c r="K226" s="625">
        <f t="shared" si="54"/>
        <v>0</v>
      </c>
      <c r="L226" s="625">
        <f t="shared" si="54"/>
        <v>0.18044136737343142</v>
      </c>
      <c r="M226" s="625">
        <f t="shared" si="55"/>
        <v>0.14268512944009631</v>
      </c>
      <c r="N226" s="625">
        <f t="shared" si="55"/>
        <v>7.1274298056155511E-2</v>
      </c>
      <c r="O226" s="626">
        <f t="shared" si="55"/>
        <v>0</v>
      </c>
      <c r="P226" s="653">
        <f t="shared" si="55"/>
        <v>0.15490417136414883</v>
      </c>
      <c r="Q226" s="625">
        <f t="shared" si="55"/>
        <v>0</v>
      </c>
      <c r="R226" s="625">
        <f t="shared" si="55"/>
        <v>0</v>
      </c>
      <c r="S226" s="626">
        <f t="shared" si="55"/>
        <v>0</v>
      </c>
      <c r="T226" s="624">
        <f t="shared" si="55"/>
        <v>0</v>
      </c>
      <c r="U226" s="274"/>
      <c r="V226" s="641">
        <v>1325</v>
      </c>
      <c r="W226" s="642">
        <v>212</v>
      </c>
      <c r="X226" s="642">
        <v>974</v>
      </c>
      <c r="Y226" s="642"/>
      <c r="Z226" s="642"/>
      <c r="AA226" s="642"/>
      <c r="AB226" s="642"/>
      <c r="AC226" s="641">
        <v>2511</v>
      </c>
      <c r="AD226" s="641"/>
      <c r="AE226" s="642">
        <v>417</v>
      </c>
      <c r="AF226" s="642">
        <v>237</v>
      </c>
      <c r="AG226" s="642">
        <v>33</v>
      </c>
      <c r="AH226" s="642"/>
      <c r="AI226" s="641">
        <v>687</v>
      </c>
      <c r="AJ226" s="641"/>
      <c r="AK226" s="642"/>
      <c r="AL226" s="642"/>
      <c r="AM226" s="641"/>
    </row>
    <row r="227" spans="1:39">
      <c r="A227" s="648"/>
      <c r="B227" s="646" t="s">
        <v>78</v>
      </c>
      <c r="C227" s="624">
        <f t="shared" si="54"/>
        <v>3.7607612143180785E-2</v>
      </c>
      <c r="D227" s="625">
        <f t="shared" si="54"/>
        <v>0.16819221967963388</v>
      </c>
      <c r="E227" s="625">
        <f t="shared" si="54"/>
        <v>0.12797125483692648</v>
      </c>
      <c r="F227" s="625">
        <f t="shared" si="54"/>
        <v>0</v>
      </c>
      <c r="G227" s="625">
        <f t="shared" si="54"/>
        <v>0</v>
      </c>
      <c r="H227" s="626">
        <f t="shared" si="54"/>
        <v>0</v>
      </c>
      <c r="I227" s="625">
        <f t="shared" si="54"/>
        <v>0</v>
      </c>
      <c r="J227" s="661">
        <f t="shared" si="54"/>
        <v>8.7132270379519428E-2</v>
      </c>
      <c r="K227" s="625">
        <f t="shared" si="54"/>
        <v>0</v>
      </c>
      <c r="L227" s="625">
        <f t="shared" si="54"/>
        <v>0.24794461272176546</v>
      </c>
      <c r="M227" s="625">
        <f t="shared" si="55"/>
        <v>0.23720650210716435</v>
      </c>
      <c r="N227" s="625">
        <f t="shared" si="55"/>
        <v>0.13606911447084233</v>
      </c>
      <c r="O227" s="626">
        <f t="shared" si="55"/>
        <v>0</v>
      </c>
      <c r="P227" s="653">
        <f t="shared" si="55"/>
        <v>0.23224351747463359</v>
      </c>
      <c r="Q227" s="625">
        <f t="shared" si="55"/>
        <v>0</v>
      </c>
      <c r="R227" s="625">
        <f t="shared" si="55"/>
        <v>0</v>
      </c>
      <c r="S227" s="626">
        <f t="shared" si="55"/>
        <v>0</v>
      </c>
      <c r="T227" s="624">
        <f t="shared" si="55"/>
        <v>0</v>
      </c>
      <c r="U227" s="274"/>
      <c r="V227" s="641">
        <v>166</v>
      </c>
      <c r="W227" s="642">
        <v>147</v>
      </c>
      <c r="X227" s="642">
        <v>463</v>
      </c>
      <c r="Y227" s="642"/>
      <c r="Z227" s="642"/>
      <c r="AA227" s="642"/>
      <c r="AB227" s="642"/>
      <c r="AC227" s="641">
        <v>776</v>
      </c>
      <c r="AD227" s="641"/>
      <c r="AE227" s="642">
        <v>573</v>
      </c>
      <c r="AF227" s="642">
        <v>394</v>
      </c>
      <c r="AG227" s="642">
        <v>63</v>
      </c>
      <c r="AH227" s="642"/>
      <c r="AI227" s="641">
        <v>1030</v>
      </c>
      <c r="AJ227" s="641"/>
      <c r="AK227" s="642"/>
      <c r="AL227" s="642"/>
      <c r="AM227" s="641"/>
    </row>
    <row r="228" spans="1:39">
      <c r="A228" s="648"/>
      <c r="B228" s="646" t="s">
        <v>209</v>
      </c>
      <c r="C228" s="624">
        <f t="shared" si="54"/>
        <v>8.7902129587675584E-2</v>
      </c>
      <c r="D228" s="625">
        <f t="shared" si="54"/>
        <v>0</v>
      </c>
      <c r="E228" s="625">
        <f t="shared" si="54"/>
        <v>7.0480928689883912E-2</v>
      </c>
      <c r="F228" s="625">
        <f t="shared" si="54"/>
        <v>0</v>
      </c>
      <c r="G228" s="625">
        <f t="shared" si="54"/>
        <v>0</v>
      </c>
      <c r="H228" s="626">
        <f t="shared" si="54"/>
        <v>0</v>
      </c>
      <c r="I228" s="625">
        <f t="shared" si="54"/>
        <v>0</v>
      </c>
      <c r="J228" s="661">
        <f t="shared" si="54"/>
        <v>7.2198517853132721E-2</v>
      </c>
      <c r="K228" s="625">
        <f t="shared" si="54"/>
        <v>0</v>
      </c>
      <c r="L228" s="625">
        <f t="shared" si="54"/>
        <v>0.19039376893119861</v>
      </c>
      <c r="M228" s="625">
        <f t="shared" si="55"/>
        <v>0.29199277543648405</v>
      </c>
      <c r="N228" s="625">
        <f t="shared" si="55"/>
        <v>0.52267818574514036</v>
      </c>
      <c r="O228" s="626">
        <f t="shared" si="55"/>
        <v>0</v>
      </c>
      <c r="P228" s="653">
        <f t="shared" si="55"/>
        <v>0.26313416009019164</v>
      </c>
      <c r="Q228" s="625">
        <f t="shared" si="55"/>
        <v>0</v>
      </c>
      <c r="R228" s="625">
        <f t="shared" si="55"/>
        <v>0</v>
      </c>
      <c r="S228" s="626">
        <f t="shared" si="55"/>
        <v>0</v>
      </c>
      <c r="T228" s="624">
        <f t="shared" si="55"/>
        <v>0</v>
      </c>
      <c r="U228" s="274"/>
      <c r="V228" s="641">
        <v>388</v>
      </c>
      <c r="W228" s="642"/>
      <c r="X228" s="642">
        <v>255</v>
      </c>
      <c r="Y228" s="642"/>
      <c r="Z228" s="642"/>
      <c r="AA228" s="642"/>
      <c r="AB228" s="642"/>
      <c r="AC228" s="641">
        <v>643</v>
      </c>
      <c r="AD228" s="641"/>
      <c r="AE228" s="642">
        <v>440</v>
      </c>
      <c r="AF228" s="642">
        <v>485</v>
      </c>
      <c r="AG228" s="642">
        <v>242</v>
      </c>
      <c r="AH228" s="642"/>
      <c r="AI228" s="641">
        <v>1167</v>
      </c>
      <c r="AJ228" s="641"/>
      <c r="AK228" s="642"/>
      <c r="AL228" s="642"/>
      <c r="AM228" s="641"/>
    </row>
    <row r="229" spans="1:39">
      <c r="A229" s="649"/>
      <c r="B229" s="650" t="s">
        <v>59</v>
      </c>
      <c r="C229" s="577">
        <f t="shared" ref="C229:T229" si="56">SUM(C224:C228)</f>
        <v>1</v>
      </c>
      <c r="D229" s="578">
        <f t="shared" si="56"/>
        <v>1</v>
      </c>
      <c r="E229" s="578">
        <f t="shared" si="56"/>
        <v>1</v>
      </c>
      <c r="F229" s="578">
        <f t="shared" si="56"/>
        <v>0</v>
      </c>
      <c r="G229" s="578">
        <f t="shared" si="56"/>
        <v>0</v>
      </c>
      <c r="H229" s="579">
        <f t="shared" si="56"/>
        <v>0</v>
      </c>
      <c r="I229" s="578">
        <f t="shared" si="56"/>
        <v>0</v>
      </c>
      <c r="J229" s="589">
        <f t="shared" si="56"/>
        <v>1</v>
      </c>
      <c r="K229" s="578">
        <f t="shared" si="56"/>
        <v>0</v>
      </c>
      <c r="L229" s="578">
        <f t="shared" si="56"/>
        <v>1</v>
      </c>
      <c r="M229" s="578">
        <f t="shared" si="56"/>
        <v>1</v>
      </c>
      <c r="N229" s="578">
        <f t="shared" si="56"/>
        <v>1</v>
      </c>
      <c r="O229" s="579">
        <f t="shared" si="56"/>
        <v>0</v>
      </c>
      <c r="P229" s="654">
        <f t="shared" si="56"/>
        <v>1</v>
      </c>
      <c r="Q229" s="578">
        <f t="shared" si="56"/>
        <v>0</v>
      </c>
      <c r="R229" s="578">
        <f t="shared" si="56"/>
        <v>0</v>
      </c>
      <c r="S229" s="579">
        <f t="shared" si="56"/>
        <v>0</v>
      </c>
      <c r="T229" s="577">
        <f t="shared" si="56"/>
        <v>0</v>
      </c>
      <c r="U229" s="274"/>
      <c r="V229" s="641">
        <v>4414</v>
      </c>
      <c r="W229" s="642">
        <v>874</v>
      </c>
      <c r="X229" s="642">
        <v>3618</v>
      </c>
      <c r="Y229" s="642"/>
      <c r="Z229" s="642"/>
      <c r="AA229" s="642"/>
      <c r="AB229" s="642"/>
      <c r="AC229" s="641">
        <v>8906</v>
      </c>
      <c r="AD229" s="641"/>
      <c r="AE229" s="642">
        <v>2311</v>
      </c>
      <c r="AF229" s="642">
        <v>1661</v>
      </c>
      <c r="AG229" s="642">
        <v>463</v>
      </c>
      <c r="AH229" s="642"/>
      <c r="AI229" s="641">
        <v>4435</v>
      </c>
      <c r="AJ229" s="641"/>
      <c r="AK229" s="642"/>
      <c r="AL229" s="642"/>
      <c r="AM229" s="641"/>
    </row>
    <row r="230" spans="1:39">
      <c r="A230" s="646" t="s">
        <v>145</v>
      </c>
      <c r="B230" s="647" t="s">
        <v>53</v>
      </c>
      <c r="C230" s="613">
        <f t="shared" ref="C230:L234" si="57">IF(V$235&gt;0,(V230/V$235),0)</f>
        <v>0.36636880584890336</v>
      </c>
      <c r="D230" s="614">
        <f t="shared" si="57"/>
        <v>0.27712508638562544</v>
      </c>
      <c r="E230" s="614">
        <f t="shared" si="57"/>
        <v>0.21396598030438674</v>
      </c>
      <c r="F230" s="614">
        <f t="shared" si="57"/>
        <v>0.16028708133971292</v>
      </c>
      <c r="G230" s="614">
        <f t="shared" si="57"/>
        <v>0.2608695652173913</v>
      </c>
      <c r="H230" s="615">
        <f t="shared" si="57"/>
        <v>0.13307984790874525</v>
      </c>
      <c r="I230" s="614">
        <f t="shared" si="57"/>
        <v>0</v>
      </c>
      <c r="J230" s="660">
        <f t="shared" si="57"/>
        <v>0.29242955460329828</v>
      </c>
      <c r="K230" s="614">
        <f t="shared" si="57"/>
        <v>0</v>
      </c>
      <c r="L230" s="614">
        <f t="shared" si="57"/>
        <v>0.3883248730964467</v>
      </c>
      <c r="M230" s="614">
        <f t="shared" ref="M230:T234" si="58">IF(AF$235&gt;0,(AF230/AF$235),0)</f>
        <v>6.7826086956521744E-2</v>
      </c>
      <c r="N230" s="614">
        <f t="shared" si="58"/>
        <v>0.1111111111111111</v>
      </c>
      <c r="O230" s="615">
        <f t="shared" si="58"/>
        <v>0</v>
      </c>
      <c r="P230" s="652">
        <f t="shared" si="58"/>
        <v>0.18337617823479005</v>
      </c>
      <c r="Q230" s="614">
        <f t="shared" si="58"/>
        <v>0</v>
      </c>
      <c r="R230" s="614">
        <f t="shared" si="58"/>
        <v>0</v>
      </c>
      <c r="S230" s="615">
        <f t="shared" si="58"/>
        <v>0</v>
      </c>
      <c r="T230" s="613">
        <f t="shared" si="58"/>
        <v>0</v>
      </c>
      <c r="U230" s="274"/>
      <c r="V230" s="639">
        <v>1353</v>
      </c>
      <c r="W230" s="640">
        <v>401</v>
      </c>
      <c r="X230" s="640">
        <v>239</v>
      </c>
      <c r="Y230" s="640">
        <v>134</v>
      </c>
      <c r="Z230" s="640">
        <v>90</v>
      </c>
      <c r="AA230" s="640">
        <v>35</v>
      </c>
      <c r="AB230" s="640"/>
      <c r="AC230" s="639">
        <v>2252</v>
      </c>
      <c r="AD230" s="639"/>
      <c r="AE230" s="640">
        <v>153</v>
      </c>
      <c r="AF230" s="640">
        <v>39</v>
      </c>
      <c r="AG230" s="640">
        <v>22</v>
      </c>
      <c r="AH230" s="640"/>
      <c r="AI230" s="639">
        <v>214</v>
      </c>
      <c r="AJ230" s="639"/>
      <c r="AK230" s="640"/>
      <c r="AL230" s="640"/>
      <c r="AM230" s="639"/>
    </row>
    <row r="231" spans="1:39">
      <c r="A231" s="648"/>
      <c r="B231" s="646" t="s">
        <v>76</v>
      </c>
      <c r="C231" s="624">
        <f t="shared" si="57"/>
        <v>0.25913891145410234</v>
      </c>
      <c r="D231" s="625">
        <f t="shared" si="57"/>
        <v>0.22736696613683482</v>
      </c>
      <c r="E231" s="625">
        <f t="shared" si="57"/>
        <v>0.34288272157564909</v>
      </c>
      <c r="F231" s="625">
        <f t="shared" si="57"/>
        <v>0.29545454545454547</v>
      </c>
      <c r="G231" s="625">
        <f t="shared" si="57"/>
        <v>0.30434782608695654</v>
      </c>
      <c r="H231" s="626">
        <f t="shared" si="57"/>
        <v>0.37262357414448671</v>
      </c>
      <c r="I231" s="625">
        <f t="shared" si="57"/>
        <v>0</v>
      </c>
      <c r="J231" s="661">
        <f t="shared" si="57"/>
        <v>0.27515907025061681</v>
      </c>
      <c r="K231" s="625">
        <f t="shared" si="57"/>
        <v>0</v>
      </c>
      <c r="L231" s="625">
        <f t="shared" si="57"/>
        <v>0.17005076142131981</v>
      </c>
      <c r="M231" s="625">
        <f t="shared" si="58"/>
        <v>0.22608695652173913</v>
      </c>
      <c r="N231" s="625">
        <f t="shared" si="58"/>
        <v>0.23737373737373738</v>
      </c>
      <c r="O231" s="626">
        <f t="shared" si="58"/>
        <v>0</v>
      </c>
      <c r="P231" s="653">
        <f t="shared" si="58"/>
        <v>0.20908311910882604</v>
      </c>
      <c r="Q231" s="625">
        <f t="shared" si="58"/>
        <v>0</v>
      </c>
      <c r="R231" s="625">
        <f t="shared" si="58"/>
        <v>0</v>
      </c>
      <c r="S231" s="626">
        <f t="shared" si="58"/>
        <v>0</v>
      </c>
      <c r="T231" s="624">
        <f t="shared" si="58"/>
        <v>0</v>
      </c>
      <c r="U231" s="274"/>
      <c r="V231" s="641">
        <v>957</v>
      </c>
      <c r="W231" s="642">
        <v>329</v>
      </c>
      <c r="X231" s="642">
        <v>383</v>
      </c>
      <c r="Y231" s="642">
        <v>247</v>
      </c>
      <c r="Z231" s="642">
        <v>105</v>
      </c>
      <c r="AA231" s="642">
        <v>98</v>
      </c>
      <c r="AB231" s="642"/>
      <c r="AC231" s="641">
        <v>2119</v>
      </c>
      <c r="AD231" s="641"/>
      <c r="AE231" s="642">
        <v>67</v>
      </c>
      <c r="AF231" s="642">
        <v>130</v>
      </c>
      <c r="AG231" s="642">
        <v>47</v>
      </c>
      <c r="AH231" s="642"/>
      <c r="AI231" s="641">
        <v>244</v>
      </c>
      <c r="AJ231" s="641"/>
      <c r="AK231" s="642"/>
      <c r="AL231" s="642"/>
      <c r="AM231" s="641"/>
    </row>
    <row r="232" spans="1:39">
      <c r="A232" s="648"/>
      <c r="B232" s="646" t="s">
        <v>77</v>
      </c>
      <c r="C232" s="624">
        <f t="shared" si="57"/>
        <v>0.22691578662334147</v>
      </c>
      <c r="D232" s="625">
        <f t="shared" si="57"/>
        <v>0.3483068417415342</v>
      </c>
      <c r="E232" s="625">
        <f t="shared" si="57"/>
        <v>0.25067144136078784</v>
      </c>
      <c r="F232" s="625">
        <f t="shared" si="57"/>
        <v>0.33133971291866027</v>
      </c>
      <c r="G232" s="625">
        <f t="shared" si="57"/>
        <v>0.2144927536231884</v>
      </c>
      <c r="H232" s="626">
        <f t="shared" si="57"/>
        <v>0.32319391634980987</v>
      </c>
      <c r="I232" s="625">
        <f t="shared" si="57"/>
        <v>0</v>
      </c>
      <c r="J232" s="661">
        <f t="shared" si="57"/>
        <v>0.26723802103622907</v>
      </c>
      <c r="K232" s="625">
        <f t="shared" si="57"/>
        <v>0</v>
      </c>
      <c r="L232" s="625">
        <f t="shared" si="57"/>
        <v>0.2512690355329949</v>
      </c>
      <c r="M232" s="625">
        <f t="shared" si="58"/>
        <v>0.44173913043478263</v>
      </c>
      <c r="N232" s="625">
        <f t="shared" si="58"/>
        <v>0.35353535353535354</v>
      </c>
      <c r="O232" s="626">
        <f t="shared" si="58"/>
        <v>0</v>
      </c>
      <c r="P232" s="653">
        <f t="shared" si="58"/>
        <v>0.36246786632390743</v>
      </c>
      <c r="Q232" s="625">
        <f t="shared" si="58"/>
        <v>0</v>
      </c>
      <c r="R232" s="625">
        <f t="shared" si="58"/>
        <v>0</v>
      </c>
      <c r="S232" s="626">
        <f t="shared" si="58"/>
        <v>0</v>
      </c>
      <c r="T232" s="624">
        <f t="shared" si="58"/>
        <v>0</v>
      </c>
      <c r="U232" s="274"/>
      <c r="V232" s="641">
        <v>838</v>
      </c>
      <c r="W232" s="642">
        <v>504</v>
      </c>
      <c r="X232" s="642">
        <v>280</v>
      </c>
      <c r="Y232" s="642">
        <v>277</v>
      </c>
      <c r="Z232" s="642">
        <v>74</v>
      </c>
      <c r="AA232" s="642">
        <v>85</v>
      </c>
      <c r="AB232" s="642"/>
      <c r="AC232" s="641">
        <v>2058</v>
      </c>
      <c r="AD232" s="641"/>
      <c r="AE232" s="642">
        <v>99</v>
      </c>
      <c r="AF232" s="642">
        <v>254</v>
      </c>
      <c r="AG232" s="642">
        <v>70</v>
      </c>
      <c r="AH232" s="642"/>
      <c r="AI232" s="641">
        <v>423</v>
      </c>
      <c r="AJ232" s="641"/>
      <c r="AK232" s="642"/>
      <c r="AL232" s="642"/>
      <c r="AM232" s="641"/>
    </row>
    <row r="233" spans="1:39">
      <c r="A233" s="648"/>
      <c r="B233" s="646" t="s">
        <v>78</v>
      </c>
      <c r="C233" s="624">
        <f t="shared" si="57"/>
        <v>7.85269428648795E-3</v>
      </c>
      <c r="D233" s="625">
        <f t="shared" si="57"/>
        <v>0.14512785072563925</v>
      </c>
      <c r="E233" s="625">
        <f t="shared" si="57"/>
        <v>1.9695613249776187E-2</v>
      </c>
      <c r="F233" s="625">
        <f t="shared" si="57"/>
        <v>0.11842105263157894</v>
      </c>
      <c r="G233" s="625">
        <f t="shared" si="57"/>
        <v>2.8985507246376812E-3</v>
      </c>
      <c r="H233" s="626">
        <f t="shared" si="57"/>
        <v>3.8022813688212928E-3</v>
      </c>
      <c r="I233" s="625">
        <f t="shared" si="57"/>
        <v>0</v>
      </c>
      <c r="J233" s="661">
        <f t="shared" si="57"/>
        <v>4.7006882223087909E-2</v>
      </c>
      <c r="K233" s="625">
        <f t="shared" si="57"/>
        <v>0</v>
      </c>
      <c r="L233" s="625">
        <f t="shared" si="57"/>
        <v>0.17005076142131981</v>
      </c>
      <c r="M233" s="625">
        <f t="shared" si="58"/>
        <v>0.21913043478260869</v>
      </c>
      <c r="N233" s="625">
        <f t="shared" si="58"/>
        <v>0.2878787878787879</v>
      </c>
      <c r="O233" s="626">
        <f t="shared" si="58"/>
        <v>0</v>
      </c>
      <c r="P233" s="653">
        <f t="shared" si="58"/>
        <v>0.21422450728363324</v>
      </c>
      <c r="Q233" s="625">
        <f t="shared" si="58"/>
        <v>0</v>
      </c>
      <c r="R233" s="625">
        <f t="shared" si="58"/>
        <v>0</v>
      </c>
      <c r="S233" s="626">
        <f t="shared" si="58"/>
        <v>0</v>
      </c>
      <c r="T233" s="624">
        <f t="shared" si="58"/>
        <v>0</v>
      </c>
      <c r="U233" s="274"/>
      <c r="V233" s="641">
        <v>29</v>
      </c>
      <c r="W233" s="642">
        <v>210</v>
      </c>
      <c r="X233" s="642">
        <v>22</v>
      </c>
      <c r="Y233" s="642">
        <v>99</v>
      </c>
      <c r="Z233" s="642">
        <v>1</v>
      </c>
      <c r="AA233" s="642">
        <v>1</v>
      </c>
      <c r="AB233" s="642"/>
      <c r="AC233" s="641">
        <v>362</v>
      </c>
      <c r="AD233" s="641"/>
      <c r="AE233" s="642">
        <v>67</v>
      </c>
      <c r="AF233" s="642">
        <v>126</v>
      </c>
      <c r="AG233" s="642">
        <v>57</v>
      </c>
      <c r="AH233" s="642"/>
      <c r="AI233" s="641">
        <v>250</v>
      </c>
      <c r="AJ233" s="641"/>
      <c r="AK233" s="642"/>
      <c r="AL233" s="642"/>
      <c r="AM233" s="641"/>
    </row>
    <row r="234" spans="1:39">
      <c r="A234" s="648"/>
      <c r="B234" s="646" t="s">
        <v>209</v>
      </c>
      <c r="C234" s="624">
        <f t="shared" si="57"/>
        <v>0.1397238017871649</v>
      </c>
      <c r="D234" s="625">
        <f t="shared" si="57"/>
        <v>2.0732550103662751E-3</v>
      </c>
      <c r="E234" s="625">
        <f t="shared" si="57"/>
        <v>0.17278424350940019</v>
      </c>
      <c r="F234" s="625">
        <f t="shared" si="57"/>
        <v>9.4497607655502386E-2</v>
      </c>
      <c r="G234" s="625">
        <f t="shared" si="57"/>
        <v>0.21739130434782608</v>
      </c>
      <c r="H234" s="626">
        <f t="shared" si="57"/>
        <v>0.16730038022813687</v>
      </c>
      <c r="I234" s="625">
        <f t="shared" si="57"/>
        <v>0</v>
      </c>
      <c r="J234" s="661">
        <f t="shared" si="57"/>
        <v>0.11816647188676795</v>
      </c>
      <c r="K234" s="625">
        <f t="shared" si="57"/>
        <v>0</v>
      </c>
      <c r="L234" s="625">
        <f t="shared" si="57"/>
        <v>2.030456852791878E-2</v>
      </c>
      <c r="M234" s="625">
        <f t="shared" si="58"/>
        <v>4.5217391304347827E-2</v>
      </c>
      <c r="N234" s="625">
        <f t="shared" si="58"/>
        <v>1.0101010101010102E-2</v>
      </c>
      <c r="O234" s="626">
        <f t="shared" si="58"/>
        <v>0</v>
      </c>
      <c r="P234" s="653">
        <f t="shared" si="58"/>
        <v>3.0848329048843187E-2</v>
      </c>
      <c r="Q234" s="625">
        <f t="shared" si="58"/>
        <v>0</v>
      </c>
      <c r="R234" s="625">
        <f t="shared" si="58"/>
        <v>0</v>
      </c>
      <c r="S234" s="626">
        <f t="shared" si="58"/>
        <v>0</v>
      </c>
      <c r="T234" s="624">
        <f t="shared" si="58"/>
        <v>0</v>
      </c>
      <c r="U234" s="274"/>
      <c r="V234" s="641">
        <v>516</v>
      </c>
      <c r="W234" s="642">
        <v>3</v>
      </c>
      <c r="X234" s="642">
        <v>193</v>
      </c>
      <c r="Y234" s="642">
        <v>79</v>
      </c>
      <c r="Z234" s="642">
        <v>75</v>
      </c>
      <c r="AA234" s="642">
        <v>44</v>
      </c>
      <c r="AB234" s="642"/>
      <c r="AC234" s="641">
        <v>910</v>
      </c>
      <c r="AD234" s="641"/>
      <c r="AE234" s="642">
        <v>8</v>
      </c>
      <c r="AF234" s="642">
        <v>26</v>
      </c>
      <c r="AG234" s="642">
        <v>2</v>
      </c>
      <c r="AH234" s="642"/>
      <c r="AI234" s="641">
        <v>36</v>
      </c>
      <c r="AJ234" s="641"/>
      <c r="AK234" s="642"/>
      <c r="AL234" s="642"/>
      <c r="AM234" s="641"/>
    </row>
    <row r="235" spans="1:39">
      <c r="A235" s="649"/>
      <c r="B235" s="650" t="s">
        <v>59</v>
      </c>
      <c r="C235" s="577">
        <f t="shared" ref="C235:T235" si="59">SUM(C230:C234)</f>
        <v>1</v>
      </c>
      <c r="D235" s="578">
        <f t="shared" si="59"/>
        <v>1.0000000000000002</v>
      </c>
      <c r="E235" s="578">
        <f t="shared" si="59"/>
        <v>1</v>
      </c>
      <c r="F235" s="578">
        <f t="shared" si="59"/>
        <v>1</v>
      </c>
      <c r="G235" s="578">
        <f t="shared" si="59"/>
        <v>1</v>
      </c>
      <c r="H235" s="579">
        <f t="shared" si="59"/>
        <v>1</v>
      </c>
      <c r="I235" s="578">
        <f t="shared" si="59"/>
        <v>0</v>
      </c>
      <c r="J235" s="589">
        <f t="shared" si="59"/>
        <v>1</v>
      </c>
      <c r="K235" s="578">
        <f t="shared" si="59"/>
        <v>0</v>
      </c>
      <c r="L235" s="578">
        <f t="shared" si="59"/>
        <v>0.99999999999999989</v>
      </c>
      <c r="M235" s="578">
        <f t="shared" si="59"/>
        <v>1</v>
      </c>
      <c r="N235" s="578">
        <f t="shared" si="59"/>
        <v>0.99999999999999989</v>
      </c>
      <c r="O235" s="579">
        <f t="shared" si="59"/>
        <v>0</v>
      </c>
      <c r="P235" s="654">
        <f t="shared" si="59"/>
        <v>0.99999999999999989</v>
      </c>
      <c r="Q235" s="578">
        <f t="shared" si="59"/>
        <v>0</v>
      </c>
      <c r="R235" s="578">
        <f t="shared" si="59"/>
        <v>0</v>
      </c>
      <c r="S235" s="579">
        <f t="shared" si="59"/>
        <v>0</v>
      </c>
      <c r="T235" s="577">
        <f t="shared" si="59"/>
        <v>0</v>
      </c>
      <c r="U235" s="274"/>
      <c r="V235" s="641">
        <v>3693</v>
      </c>
      <c r="W235" s="642">
        <v>1447</v>
      </c>
      <c r="X235" s="642">
        <v>1117</v>
      </c>
      <c r="Y235" s="642">
        <v>836</v>
      </c>
      <c r="Z235" s="642">
        <v>345</v>
      </c>
      <c r="AA235" s="642">
        <v>263</v>
      </c>
      <c r="AB235" s="642"/>
      <c r="AC235" s="641">
        <v>7701</v>
      </c>
      <c r="AD235" s="641"/>
      <c r="AE235" s="642">
        <v>394</v>
      </c>
      <c r="AF235" s="642">
        <v>575</v>
      </c>
      <c r="AG235" s="642">
        <v>198</v>
      </c>
      <c r="AH235" s="642"/>
      <c r="AI235" s="641">
        <v>1167</v>
      </c>
      <c r="AJ235" s="641"/>
      <c r="AK235" s="642"/>
      <c r="AL235" s="642"/>
      <c r="AM235" s="641"/>
    </row>
    <row r="236" spans="1:39">
      <c r="A236" s="646" t="s">
        <v>142</v>
      </c>
      <c r="B236" s="647" t="s">
        <v>53</v>
      </c>
      <c r="C236" s="613">
        <f t="shared" ref="C236:L240" si="60">IF(V$241&gt;0,(V236/V$241),0)</f>
        <v>0.39794303797468356</v>
      </c>
      <c r="D236" s="614">
        <f t="shared" si="60"/>
        <v>0</v>
      </c>
      <c r="E236" s="614">
        <f t="shared" si="60"/>
        <v>0.25354609929078015</v>
      </c>
      <c r="F236" s="614">
        <f t="shared" si="60"/>
        <v>0</v>
      </c>
      <c r="G236" s="614">
        <f t="shared" si="60"/>
        <v>0</v>
      </c>
      <c r="H236" s="615">
        <f t="shared" si="60"/>
        <v>0</v>
      </c>
      <c r="I236" s="614">
        <f t="shared" si="60"/>
        <v>0</v>
      </c>
      <c r="J236" s="660">
        <f t="shared" si="60"/>
        <v>0.37160413971539458</v>
      </c>
      <c r="K236" s="614">
        <f t="shared" si="60"/>
        <v>0</v>
      </c>
      <c r="L236" s="614">
        <f t="shared" si="60"/>
        <v>0.16257088846880907</v>
      </c>
      <c r="M236" s="614">
        <f t="shared" ref="M236:T240" si="61">IF(AF$241&gt;0,(AF236/AF$241),0)</f>
        <v>4.9652432969215489E-2</v>
      </c>
      <c r="N236" s="614">
        <f t="shared" si="61"/>
        <v>0.14634146341463414</v>
      </c>
      <c r="O236" s="615">
        <f t="shared" si="61"/>
        <v>0</v>
      </c>
      <c r="P236" s="652">
        <f t="shared" si="61"/>
        <v>9.4117647058823528E-2</v>
      </c>
      <c r="Q236" s="614">
        <f t="shared" si="61"/>
        <v>0</v>
      </c>
      <c r="R236" s="614">
        <f t="shared" si="61"/>
        <v>0</v>
      </c>
      <c r="S236" s="615">
        <f t="shared" si="61"/>
        <v>0</v>
      </c>
      <c r="T236" s="613">
        <f t="shared" si="61"/>
        <v>0</v>
      </c>
      <c r="U236" s="274"/>
      <c r="V236" s="639">
        <v>1006</v>
      </c>
      <c r="W236" s="640"/>
      <c r="X236" s="640">
        <v>143</v>
      </c>
      <c r="Y236" s="640"/>
      <c r="Z236" s="640"/>
      <c r="AA236" s="640"/>
      <c r="AB236" s="640"/>
      <c r="AC236" s="639">
        <v>1149</v>
      </c>
      <c r="AD236" s="639"/>
      <c r="AE236" s="640">
        <v>86</v>
      </c>
      <c r="AF236" s="640">
        <v>50</v>
      </c>
      <c r="AG236" s="640">
        <v>24</v>
      </c>
      <c r="AH236" s="640"/>
      <c r="AI236" s="639">
        <v>160</v>
      </c>
      <c r="AJ236" s="639"/>
      <c r="AK236" s="640"/>
      <c r="AL236" s="640"/>
      <c r="AM236" s="639"/>
    </row>
    <row r="237" spans="1:39">
      <c r="A237" s="648"/>
      <c r="B237" s="646" t="s">
        <v>76</v>
      </c>
      <c r="C237" s="624">
        <f t="shared" si="60"/>
        <v>0.29628164556962028</v>
      </c>
      <c r="D237" s="625">
        <f t="shared" si="60"/>
        <v>0</v>
      </c>
      <c r="E237" s="625">
        <f t="shared" si="60"/>
        <v>0.34042553191489361</v>
      </c>
      <c r="F237" s="625">
        <f t="shared" si="60"/>
        <v>0</v>
      </c>
      <c r="G237" s="625">
        <f t="shared" si="60"/>
        <v>0</v>
      </c>
      <c r="H237" s="626">
        <f t="shared" si="60"/>
        <v>0</v>
      </c>
      <c r="I237" s="625">
        <f t="shared" si="60"/>
        <v>0</v>
      </c>
      <c r="J237" s="661">
        <f t="shared" si="60"/>
        <v>0.30433376455368694</v>
      </c>
      <c r="K237" s="625">
        <f t="shared" si="60"/>
        <v>0</v>
      </c>
      <c r="L237" s="625">
        <f t="shared" si="60"/>
        <v>5.1039697542533083E-2</v>
      </c>
      <c r="M237" s="625">
        <f t="shared" si="61"/>
        <v>3.8728897715988087E-2</v>
      </c>
      <c r="N237" s="625">
        <f t="shared" si="61"/>
        <v>0.14634146341463414</v>
      </c>
      <c r="O237" s="626">
        <f t="shared" si="61"/>
        <v>0</v>
      </c>
      <c r="P237" s="653">
        <f t="shared" si="61"/>
        <v>5.2941176470588235E-2</v>
      </c>
      <c r="Q237" s="625">
        <f t="shared" si="61"/>
        <v>0</v>
      </c>
      <c r="R237" s="625">
        <f t="shared" si="61"/>
        <v>0</v>
      </c>
      <c r="S237" s="626">
        <f t="shared" si="61"/>
        <v>0</v>
      </c>
      <c r="T237" s="624">
        <f t="shared" si="61"/>
        <v>0</v>
      </c>
      <c r="U237" s="274"/>
      <c r="V237" s="641">
        <v>749</v>
      </c>
      <c r="W237" s="642"/>
      <c r="X237" s="642">
        <v>192</v>
      </c>
      <c r="Y237" s="642"/>
      <c r="Z237" s="642"/>
      <c r="AA237" s="642"/>
      <c r="AB237" s="642"/>
      <c r="AC237" s="641">
        <v>941</v>
      </c>
      <c r="AD237" s="641"/>
      <c r="AE237" s="642">
        <v>27</v>
      </c>
      <c r="AF237" s="642">
        <v>39</v>
      </c>
      <c r="AG237" s="642">
        <v>24</v>
      </c>
      <c r="AH237" s="642"/>
      <c r="AI237" s="641">
        <v>90</v>
      </c>
      <c r="AJ237" s="641"/>
      <c r="AK237" s="642"/>
      <c r="AL237" s="642"/>
      <c r="AM237" s="641"/>
    </row>
    <row r="238" spans="1:39">
      <c r="A238" s="648"/>
      <c r="B238" s="646" t="s">
        <v>77</v>
      </c>
      <c r="C238" s="624">
        <f t="shared" si="60"/>
        <v>0.24248417721518986</v>
      </c>
      <c r="D238" s="625">
        <f t="shared" si="60"/>
        <v>0</v>
      </c>
      <c r="E238" s="625">
        <f t="shared" si="60"/>
        <v>0.23936170212765959</v>
      </c>
      <c r="F238" s="625">
        <f t="shared" si="60"/>
        <v>0</v>
      </c>
      <c r="G238" s="625">
        <f t="shared" si="60"/>
        <v>0</v>
      </c>
      <c r="H238" s="626">
        <f t="shared" si="60"/>
        <v>0</v>
      </c>
      <c r="I238" s="625">
        <f t="shared" si="60"/>
        <v>0</v>
      </c>
      <c r="J238" s="661">
        <f t="shared" si="60"/>
        <v>0.24191461836998707</v>
      </c>
      <c r="K238" s="625">
        <f t="shared" si="60"/>
        <v>0</v>
      </c>
      <c r="L238" s="625">
        <f t="shared" si="60"/>
        <v>0.11909262759924386</v>
      </c>
      <c r="M238" s="625">
        <f t="shared" si="61"/>
        <v>5.8589870903674283E-2</v>
      </c>
      <c r="N238" s="625">
        <f t="shared" si="61"/>
        <v>0.12804878048780488</v>
      </c>
      <c r="O238" s="626">
        <f t="shared" si="61"/>
        <v>0</v>
      </c>
      <c r="P238" s="653">
        <f t="shared" si="61"/>
        <v>8.4117647058823533E-2</v>
      </c>
      <c r="Q238" s="625">
        <f t="shared" si="61"/>
        <v>0</v>
      </c>
      <c r="R238" s="625">
        <f t="shared" si="61"/>
        <v>0</v>
      </c>
      <c r="S238" s="626">
        <f t="shared" si="61"/>
        <v>0</v>
      </c>
      <c r="T238" s="624">
        <f t="shared" si="61"/>
        <v>0</v>
      </c>
      <c r="U238" s="274"/>
      <c r="V238" s="641">
        <v>613</v>
      </c>
      <c r="W238" s="642"/>
      <c r="X238" s="642">
        <v>135</v>
      </c>
      <c r="Y238" s="642"/>
      <c r="Z238" s="642"/>
      <c r="AA238" s="642"/>
      <c r="AB238" s="642"/>
      <c r="AC238" s="641">
        <v>748</v>
      </c>
      <c r="AD238" s="641"/>
      <c r="AE238" s="642">
        <v>63</v>
      </c>
      <c r="AF238" s="642">
        <v>59</v>
      </c>
      <c r="AG238" s="642">
        <v>21</v>
      </c>
      <c r="AH238" s="642"/>
      <c r="AI238" s="641">
        <v>143</v>
      </c>
      <c r="AJ238" s="641"/>
      <c r="AK238" s="642"/>
      <c r="AL238" s="642"/>
      <c r="AM238" s="641"/>
    </row>
    <row r="239" spans="1:39">
      <c r="A239" s="648"/>
      <c r="B239" s="646" t="s">
        <v>78</v>
      </c>
      <c r="C239" s="624">
        <f t="shared" si="60"/>
        <v>3.9556962025316458E-3</v>
      </c>
      <c r="D239" s="625">
        <f t="shared" si="60"/>
        <v>0</v>
      </c>
      <c r="E239" s="625">
        <f t="shared" si="60"/>
        <v>0.16666666666666666</v>
      </c>
      <c r="F239" s="625">
        <f t="shared" si="60"/>
        <v>0</v>
      </c>
      <c r="G239" s="625">
        <f t="shared" si="60"/>
        <v>0</v>
      </c>
      <c r="H239" s="626">
        <f t="shared" si="60"/>
        <v>0</v>
      </c>
      <c r="I239" s="625">
        <f t="shared" si="60"/>
        <v>0</v>
      </c>
      <c r="J239" s="661">
        <f t="shared" si="60"/>
        <v>3.3635187580853813E-2</v>
      </c>
      <c r="K239" s="625">
        <f t="shared" si="60"/>
        <v>0</v>
      </c>
      <c r="L239" s="625">
        <f t="shared" si="60"/>
        <v>0.13610586011342155</v>
      </c>
      <c r="M239" s="625">
        <f t="shared" si="61"/>
        <v>0.60973187686196628</v>
      </c>
      <c r="N239" s="625">
        <f t="shared" si="61"/>
        <v>0.34146341463414637</v>
      </c>
      <c r="O239" s="626">
        <f t="shared" si="61"/>
        <v>0</v>
      </c>
      <c r="P239" s="653">
        <f t="shared" si="61"/>
        <v>0.43647058823529411</v>
      </c>
      <c r="Q239" s="625">
        <f t="shared" si="61"/>
        <v>0</v>
      </c>
      <c r="R239" s="625">
        <f t="shared" si="61"/>
        <v>0</v>
      </c>
      <c r="S239" s="626">
        <f t="shared" si="61"/>
        <v>0</v>
      </c>
      <c r="T239" s="624">
        <f t="shared" si="61"/>
        <v>0</v>
      </c>
      <c r="U239" s="274"/>
      <c r="V239" s="641">
        <v>10</v>
      </c>
      <c r="W239" s="642"/>
      <c r="X239" s="642">
        <v>94</v>
      </c>
      <c r="Y239" s="642"/>
      <c r="Z239" s="642"/>
      <c r="AA239" s="642"/>
      <c r="AB239" s="642"/>
      <c r="AC239" s="641">
        <v>104</v>
      </c>
      <c r="AD239" s="641"/>
      <c r="AE239" s="642">
        <v>72</v>
      </c>
      <c r="AF239" s="642">
        <v>614</v>
      </c>
      <c r="AG239" s="642">
        <v>56</v>
      </c>
      <c r="AH239" s="642"/>
      <c r="AI239" s="641">
        <v>742</v>
      </c>
      <c r="AJ239" s="641"/>
      <c r="AK239" s="642"/>
      <c r="AL239" s="642"/>
      <c r="AM239" s="641"/>
    </row>
    <row r="240" spans="1:39">
      <c r="A240" s="648"/>
      <c r="B240" s="646" t="s">
        <v>209</v>
      </c>
      <c r="C240" s="624">
        <f t="shared" si="60"/>
        <v>5.9335443037974681E-2</v>
      </c>
      <c r="D240" s="625">
        <f t="shared" si="60"/>
        <v>0</v>
      </c>
      <c r="E240" s="625">
        <f t="shared" si="60"/>
        <v>0</v>
      </c>
      <c r="F240" s="625">
        <f t="shared" si="60"/>
        <v>0</v>
      </c>
      <c r="G240" s="625">
        <f t="shared" si="60"/>
        <v>0</v>
      </c>
      <c r="H240" s="626">
        <f t="shared" si="60"/>
        <v>0</v>
      </c>
      <c r="I240" s="625">
        <f t="shared" si="60"/>
        <v>0</v>
      </c>
      <c r="J240" s="661">
        <f t="shared" si="60"/>
        <v>4.8512289780077621E-2</v>
      </c>
      <c r="K240" s="625">
        <f t="shared" si="60"/>
        <v>0</v>
      </c>
      <c r="L240" s="625">
        <f t="shared" si="60"/>
        <v>0.5311909262759924</v>
      </c>
      <c r="M240" s="625">
        <f t="shared" si="61"/>
        <v>0.24329692154915591</v>
      </c>
      <c r="N240" s="625">
        <f t="shared" si="61"/>
        <v>0.23780487804878048</v>
      </c>
      <c r="O240" s="626">
        <f t="shared" si="61"/>
        <v>0</v>
      </c>
      <c r="P240" s="653">
        <f t="shared" si="61"/>
        <v>0.33235294117647057</v>
      </c>
      <c r="Q240" s="625">
        <f t="shared" si="61"/>
        <v>0</v>
      </c>
      <c r="R240" s="625">
        <f t="shared" si="61"/>
        <v>0</v>
      </c>
      <c r="S240" s="626">
        <f t="shared" si="61"/>
        <v>0</v>
      </c>
      <c r="T240" s="624">
        <f t="shared" si="61"/>
        <v>0</v>
      </c>
      <c r="U240" s="274"/>
      <c r="V240" s="641">
        <v>150</v>
      </c>
      <c r="W240" s="642"/>
      <c r="X240" s="642"/>
      <c r="Y240" s="642"/>
      <c r="Z240" s="642"/>
      <c r="AA240" s="642"/>
      <c r="AB240" s="642"/>
      <c r="AC240" s="641">
        <v>150</v>
      </c>
      <c r="AD240" s="641"/>
      <c r="AE240" s="642">
        <v>281</v>
      </c>
      <c r="AF240" s="642">
        <v>245</v>
      </c>
      <c r="AG240" s="642">
        <v>39</v>
      </c>
      <c r="AH240" s="642"/>
      <c r="AI240" s="641">
        <v>565</v>
      </c>
      <c r="AJ240" s="641"/>
      <c r="AK240" s="642"/>
      <c r="AL240" s="642"/>
      <c r="AM240" s="641"/>
    </row>
    <row r="241" spans="1:39">
      <c r="A241" s="649"/>
      <c r="B241" s="650" t="s">
        <v>59</v>
      </c>
      <c r="C241" s="577">
        <f t="shared" ref="C241:T241" si="62">SUM(C236:C240)</f>
        <v>1</v>
      </c>
      <c r="D241" s="578">
        <f t="shared" si="62"/>
        <v>0</v>
      </c>
      <c r="E241" s="578">
        <f t="shared" si="62"/>
        <v>1</v>
      </c>
      <c r="F241" s="578">
        <f t="shared" si="62"/>
        <v>0</v>
      </c>
      <c r="G241" s="578">
        <f t="shared" si="62"/>
        <v>0</v>
      </c>
      <c r="H241" s="579">
        <f t="shared" si="62"/>
        <v>0</v>
      </c>
      <c r="I241" s="578">
        <f t="shared" si="62"/>
        <v>0</v>
      </c>
      <c r="J241" s="589">
        <f t="shared" si="62"/>
        <v>1</v>
      </c>
      <c r="K241" s="578">
        <f t="shared" si="62"/>
        <v>0</v>
      </c>
      <c r="L241" s="578">
        <f t="shared" si="62"/>
        <v>0.99999999999999989</v>
      </c>
      <c r="M241" s="578">
        <f t="shared" si="62"/>
        <v>1</v>
      </c>
      <c r="N241" s="578">
        <f t="shared" si="62"/>
        <v>1</v>
      </c>
      <c r="O241" s="579">
        <f t="shared" si="62"/>
        <v>0</v>
      </c>
      <c r="P241" s="654">
        <f t="shared" si="62"/>
        <v>1</v>
      </c>
      <c r="Q241" s="578">
        <f t="shared" si="62"/>
        <v>0</v>
      </c>
      <c r="R241" s="578">
        <f t="shared" si="62"/>
        <v>0</v>
      </c>
      <c r="S241" s="579">
        <f t="shared" si="62"/>
        <v>0</v>
      </c>
      <c r="T241" s="577">
        <f t="shared" si="62"/>
        <v>0</v>
      </c>
      <c r="U241" s="274"/>
      <c r="V241" s="641">
        <v>2528</v>
      </c>
      <c r="W241" s="642"/>
      <c r="X241" s="642">
        <v>564</v>
      </c>
      <c r="Y241" s="642"/>
      <c r="Z241" s="642"/>
      <c r="AA241" s="642"/>
      <c r="AB241" s="642"/>
      <c r="AC241" s="641">
        <v>3092</v>
      </c>
      <c r="AD241" s="641"/>
      <c r="AE241" s="642">
        <v>529</v>
      </c>
      <c r="AF241" s="642">
        <v>1007</v>
      </c>
      <c r="AG241" s="642">
        <v>164</v>
      </c>
      <c r="AH241" s="642"/>
      <c r="AI241" s="641">
        <v>1700</v>
      </c>
      <c r="AJ241" s="641"/>
      <c r="AK241" s="642"/>
      <c r="AL241" s="642"/>
      <c r="AM241" s="641"/>
    </row>
    <row r="242" spans="1:39">
      <c r="A242" s="646" t="s">
        <v>146</v>
      </c>
      <c r="B242" s="647" t="s">
        <v>53</v>
      </c>
      <c r="C242" s="613">
        <f t="shared" ref="C242:L246" si="63">IF(V$247&gt;0,(V242/V$247),0)</f>
        <v>0.36291600633914423</v>
      </c>
      <c r="D242" s="614">
        <f t="shared" si="63"/>
        <v>0.26595744680851063</v>
      </c>
      <c r="E242" s="614">
        <f t="shared" si="63"/>
        <v>0.2608695652173913</v>
      </c>
      <c r="F242" s="614">
        <f t="shared" si="63"/>
        <v>0.28404669260700388</v>
      </c>
      <c r="G242" s="614">
        <f t="shared" si="63"/>
        <v>0</v>
      </c>
      <c r="H242" s="615">
        <f t="shared" si="63"/>
        <v>0</v>
      </c>
      <c r="I242" s="614">
        <f t="shared" si="63"/>
        <v>0</v>
      </c>
      <c r="J242" s="660">
        <f t="shared" si="63"/>
        <v>0.3197080291970803</v>
      </c>
      <c r="K242" s="614">
        <f t="shared" si="63"/>
        <v>0</v>
      </c>
      <c r="L242" s="614">
        <f t="shared" si="63"/>
        <v>0.38914027149321267</v>
      </c>
      <c r="M242" s="614">
        <f t="shared" ref="M242:T246" si="64">IF(AF$247&gt;0,(AF242/AF$247),0)</f>
        <v>0.13988095238095238</v>
      </c>
      <c r="N242" s="614">
        <f t="shared" si="64"/>
        <v>2.9639175257731958E-2</v>
      </c>
      <c r="O242" s="615">
        <f t="shared" si="64"/>
        <v>0</v>
      </c>
      <c r="P242" s="652">
        <f t="shared" si="64"/>
        <v>0.15572715572715573</v>
      </c>
      <c r="Q242" s="614">
        <f t="shared" si="64"/>
        <v>0</v>
      </c>
      <c r="R242" s="614">
        <f t="shared" si="64"/>
        <v>0</v>
      </c>
      <c r="S242" s="615">
        <f t="shared" si="64"/>
        <v>0</v>
      </c>
      <c r="T242" s="613">
        <f t="shared" si="64"/>
        <v>0</v>
      </c>
      <c r="U242" s="274"/>
      <c r="V242" s="639">
        <v>687</v>
      </c>
      <c r="W242" s="640">
        <v>125</v>
      </c>
      <c r="X242" s="640">
        <v>210</v>
      </c>
      <c r="Y242" s="640">
        <v>73</v>
      </c>
      <c r="Z242" s="640"/>
      <c r="AA242" s="640"/>
      <c r="AB242" s="640"/>
      <c r="AC242" s="639">
        <v>1095</v>
      </c>
      <c r="AD242" s="639"/>
      <c r="AE242" s="640">
        <v>172</v>
      </c>
      <c r="AF242" s="640">
        <v>47</v>
      </c>
      <c r="AG242" s="640">
        <v>23</v>
      </c>
      <c r="AH242" s="640"/>
      <c r="AI242" s="639">
        <v>242</v>
      </c>
      <c r="AJ242" s="639"/>
      <c r="AK242" s="640"/>
      <c r="AL242" s="640"/>
      <c r="AM242" s="639"/>
    </row>
    <row r="243" spans="1:39">
      <c r="A243" s="648"/>
      <c r="B243" s="646" t="s">
        <v>76</v>
      </c>
      <c r="C243" s="624">
        <f t="shared" si="63"/>
        <v>0.30903328050713152</v>
      </c>
      <c r="D243" s="625">
        <f t="shared" si="63"/>
        <v>0.29574468085106381</v>
      </c>
      <c r="E243" s="625">
        <f t="shared" si="63"/>
        <v>0.27329192546583853</v>
      </c>
      <c r="F243" s="625">
        <f t="shared" si="63"/>
        <v>0.25680933852140075</v>
      </c>
      <c r="G243" s="625">
        <f t="shared" si="63"/>
        <v>0</v>
      </c>
      <c r="H243" s="626">
        <f t="shared" si="63"/>
        <v>0</v>
      </c>
      <c r="I243" s="625">
        <f t="shared" si="63"/>
        <v>0</v>
      </c>
      <c r="J243" s="661">
        <f t="shared" si="63"/>
        <v>0.29489051094890512</v>
      </c>
      <c r="K243" s="625">
        <f t="shared" si="63"/>
        <v>0</v>
      </c>
      <c r="L243" s="625">
        <f t="shared" si="63"/>
        <v>0.19230769230769232</v>
      </c>
      <c r="M243" s="625">
        <f t="shared" si="64"/>
        <v>0.10119047619047619</v>
      </c>
      <c r="N243" s="625">
        <f t="shared" si="64"/>
        <v>2.3195876288659795E-2</v>
      </c>
      <c r="O243" s="626">
        <f t="shared" si="64"/>
        <v>0</v>
      </c>
      <c r="P243" s="653">
        <f t="shared" si="64"/>
        <v>8.8159588159588159E-2</v>
      </c>
      <c r="Q243" s="625">
        <f t="shared" si="64"/>
        <v>0</v>
      </c>
      <c r="R243" s="625">
        <f t="shared" si="64"/>
        <v>0</v>
      </c>
      <c r="S243" s="626">
        <f t="shared" si="64"/>
        <v>0</v>
      </c>
      <c r="T243" s="624">
        <f t="shared" si="64"/>
        <v>0</v>
      </c>
      <c r="U243" s="274"/>
      <c r="V243" s="641">
        <v>585</v>
      </c>
      <c r="W243" s="642">
        <v>139</v>
      </c>
      <c r="X243" s="642">
        <v>220</v>
      </c>
      <c r="Y243" s="642">
        <v>66</v>
      </c>
      <c r="Z243" s="642"/>
      <c r="AA243" s="642"/>
      <c r="AB243" s="642"/>
      <c r="AC243" s="641">
        <v>1010</v>
      </c>
      <c r="AD243" s="641"/>
      <c r="AE243" s="642">
        <v>85</v>
      </c>
      <c r="AF243" s="642">
        <v>34</v>
      </c>
      <c r="AG243" s="642">
        <v>18</v>
      </c>
      <c r="AH243" s="642"/>
      <c r="AI243" s="641">
        <v>137</v>
      </c>
      <c r="AJ243" s="641"/>
      <c r="AK243" s="642"/>
      <c r="AL243" s="642"/>
      <c r="AM243" s="641"/>
    </row>
    <row r="244" spans="1:39">
      <c r="A244" s="648"/>
      <c r="B244" s="646" t="s">
        <v>77</v>
      </c>
      <c r="C244" s="624">
        <f t="shared" si="63"/>
        <v>0.24828314844162705</v>
      </c>
      <c r="D244" s="625">
        <f t="shared" si="63"/>
        <v>0.28936170212765955</v>
      </c>
      <c r="E244" s="625">
        <f t="shared" si="63"/>
        <v>0.27204968944099378</v>
      </c>
      <c r="F244" s="625">
        <f t="shared" si="63"/>
        <v>0.26459143968871596</v>
      </c>
      <c r="G244" s="625">
        <f t="shared" si="63"/>
        <v>0</v>
      </c>
      <c r="H244" s="626">
        <f t="shared" si="63"/>
        <v>0</v>
      </c>
      <c r="I244" s="625">
        <f t="shared" si="63"/>
        <v>0</v>
      </c>
      <c r="J244" s="661">
        <f t="shared" si="63"/>
        <v>0.26072992700729924</v>
      </c>
      <c r="K244" s="625">
        <f t="shared" si="63"/>
        <v>0</v>
      </c>
      <c r="L244" s="625">
        <f t="shared" si="63"/>
        <v>0.10180995475113122</v>
      </c>
      <c r="M244" s="625">
        <f t="shared" si="64"/>
        <v>6.8452380952380959E-2</v>
      </c>
      <c r="N244" s="625">
        <f t="shared" si="64"/>
        <v>1.0309278350515464E-2</v>
      </c>
      <c r="O244" s="626">
        <f t="shared" si="64"/>
        <v>0</v>
      </c>
      <c r="P244" s="653">
        <f t="shared" si="64"/>
        <v>4.8906048906048903E-2</v>
      </c>
      <c r="Q244" s="625">
        <f t="shared" si="64"/>
        <v>0</v>
      </c>
      <c r="R244" s="625">
        <f t="shared" si="64"/>
        <v>0</v>
      </c>
      <c r="S244" s="626">
        <f t="shared" si="64"/>
        <v>0</v>
      </c>
      <c r="T244" s="624">
        <f t="shared" si="64"/>
        <v>0</v>
      </c>
      <c r="U244" s="274"/>
      <c r="V244" s="641">
        <v>470</v>
      </c>
      <c r="W244" s="642">
        <v>136</v>
      </c>
      <c r="X244" s="642">
        <v>219</v>
      </c>
      <c r="Y244" s="642">
        <v>68</v>
      </c>
      <c r="Z244" s="642"/>
      <c r="AA244" s="642"/>
      <c r="AB244" s="642"/>
      <c r="AC244" s="641">
        <v>893</v>
      </c>
      <c r="AD244" s="641"/>
      <c r="AE244" s="642">
        <v>45</v>
      </c>
      <c r="AF244" s="642">
        <v>23</v>
      </c>
      <c r="AG244" s="642">
        <v>8</v>
      </c>
      <c r="AH244" s="642"/>
      <c r="AI244" s="641">
        <v>76</v>
      </c>
      <c r="AJ244" s="641"/>
      <c r="AK244" s="642"/>
      <c r="AL244" s="642"/>
      <c r="AM244" s="641"/>
    </row>
    <row r="245" spans="1:39">
      <c r="A245" s="648"/>
      <c r="B245" s="646" t="s">
        <v>78</v>
      </c>
      <c r="C245" s="624">
        <f t="shared" si="63"/>
        <v>6.8145800316957217E-2</v>
      </c>
      <c r="D245" s="625">
        <f t="shared" si="63"/>
        <v>7.2340425531914887E-2</v>
      </c>
      <c r="E245" s="625">
        <f t="shared" si="63"/>
        <v>0.18385093167701863</v>
      </c>
      <c r="F245" s="625">
        <f t="shared" si="63"/>
        <v>1.9455252918287938E-2</v>
      </c>
      <c r="G245" s="625">
        <f t="shared" si="63"/>
        <v>0</v>
      </c>
      <c r="H245" s="626">
        <f t="shared" si="63"/>
        <v>0</v>
      </c>
      <c r="I245" s="625">
        <f t="shared" si="63"/>
        <v>0</v>
      </c>
      <c r="J245" s="661">
        <f t="shared" si="63"/>
        <v>9.2262773722627742E-2</v>
      </c>
      <c r="K245" s="625">
        <f t="shared" si="63"/>
        <v>0</v>
      </c>
      <c r="L245" s="625">
        <f t="shared" si="63"/>
        <v>0.31674208144796379</v>
      </c>
      <c r="M245" s="625">
        <f t="shared" si="64"/>
        <v>0.48214285714285715</v>
      </c>
      <c r="N245" s="625">
        <f t="shared" si="64"/>
        <v>0.80670103092783507</v>
      </c>
      <c r="O245" s="626">
        <f t="shared" si="64"/>
        <v>0</v>
      </c>
      <c r="P245" s="653">
        <f t="shared" si="64"/>
        <v>0.59716859716859716</v>
      </c>
      <c r="Q245" s="625">
        <f t="shared" si="64"/>
        <v>0</v>
      </c>
      <c r="R245" s="625">
        <f t="shared" si="64"/>
        <v>0</v>
      </c>
      <c r="S245" s="626">
        <f t="shared" si="64"/>
        <v>0</v>
      </c>
      <c r="T245" s="624">
        <f t="shared" si="64"/>
        <v>0</v>
      </c>
      <c r="U245" s="274"/>
      <c r="V245" s="641">
        <v>129</v>
      </c>
      <c r="W245" s="642">
        <v>34</v>
      </c>
      <c r="X245" s="642">
        <v>148</v>
      </c>
      <c r="Y245" s="642">
        <v>5</v>
      </c>
      <c r="Z245" s="642"/>
      <c r="AA245" s="642"/>
      <c r="AB245" s="642"/>
      <c r="AC245" s="641">
        <v>316</v>
      </c>
      <c r="AD245" s="641"/>
      <c r="AE245" s="642">
        <v>140</v>
      </c>
      <c r="AF245" s="642">
        <v>162</v>
      </c>
      <c r="AG245" s="642">
        <v>626</v>
      </c>
      <c r="AH245" s="642"/>
      <c r="AI245" s="641">
        <v>928</v>
      </c>
      <c r="AJ245" s="641"/>
      <c r="AK245" s="642"/>
      <c r="AL245" s="642"/>
      <c r="AM245" s="641"/>
    </row>
    <row r="246" spans="1:39">
      <c r="A246" s="648"/>
      <c r="B246" s="646" t="s">
        <v>209</v>
      </c>
      <c r="C246" s="624">
        <f t="shared" si="63"/>
        <v>1.162176439513999E-2</v>
      </c>
      <c r="D246" s="625">
        <f t="shared" si="63"/>
        <v>7.6595744680851063E-2</v>
      </c>
      <c r="E246" s="625">
        <f t="shared" si="63"/>
        <v>9.9378881987577643E-3</v>
      </c>
      <c r="F246" s="625">
        <f t="shared" si="63"/>
        <v>0.17509727626459143</v>
      </c>
      <c r="G246" s="625">
        <f t="shared" si="63"/>
        <v>0</v>
      </c>
      <c r="H246" s="626">
        <f t="shared" si="63"/>
        <v>0</v>
      </c>
      <c r="I246" s="625">
        <f t="shared" si="63"/>
        <v>0</v>
      </c>
      <c r="J246" s="661">
        <f t="shared" si="63"/>
        <v>3.240875912408759E-2</v>
      </c>
      <c r="K246" s="625">
        <f t="shared" si="63"/>
        <v>0</v>
      </c>
      <c r="L246" s="625">
        <f t="shared" si="63"/>
        <v>0</v>
      </c>
      <c r="M246" s="625">
        <f t="shared" si="64"/>
        <v>0.20833333333333334</v>
      </c>
      <c r="N246" s="625">
        <f t="shared" si="64"/>
        <v>0.13015463917525774</v>
      </c>
      <c r="O246" s="626">
        <f t="shared" si="64"/>
        <v>0</v>
      </c>
      <c r="P246" s="653">
        <f t="shared" si="64"/>
        <v>0.11003861003861004</v>
      </c>
      <c r="Q246" s="625">
        <f t="shared" si="64"/>
        <v>0</v>
      </c>
      <c r="R246" s="625">
        <f t="shared" si="64"/>
        <v>0</v>
      </c>
      <c r="S246" s="626">
        <f t="shared" si="64"/>
        <v>0</v>
      </c>
      <c r="T246" s="624">
        <f t="shared" si="64"/>
        <v>0</v>
      </c>
      <c r="U246" s="274"/>
      <c r="V246" s="641">
        <v>22</v>
      </c>
      <c r="W246" s="642">
        <v>36</v>
      </c>
      <c r="X246" s="642">
        <v>8</v>
      </c>
      <c r="Y246" s="642">
        <v>45</v>
      </c>
      <c r="Z246" s="642"/>
      <c r="AA246" s="642"/>
      <c r="AB246" s="642"/>
      <c r="AC246" s="641">
        <v>111</v>
      </c>
      <c r="AD246" s="641"/>
      <c r="AE246" s="642"/>
      <c r="AF246" s="642">
        <v>70</v>
      </c>
      <c r="AG246" s="642">
        <v>101</v>
      </c>
      <c r="AH246" s="642"/>
      <c r="AI246" s="641">
        <v>171</v>
      </c>
      <c r="AJ246" s="641"/>
      <c r="AK246" s="642"/>
      <c r="AL246" s="642"/>
      <c r="AM246" s="641"/>
    </row>
    <row r="247" spans="1:39">
      <c r="A247" s="649"/>
      <c r="B247" s="650" t="s">
        <v>59</v>
      </c>
      <c r="C247" s="577">
        <f t="shared" ref="C247:T247" si="65">SUM(C242:C246)</f>
        <v>1</v>
      </c>
      <c r="D247" s="578">
        <f t="shared" si="65"/>
        <v>0.99999999999999989</v>
      </c>
      <c r="E247" s="578">
        <f t="shared" si="65"/>
        <v>0.99999999999999989</v>
      </c>
      <c r="F247" s="578">
        <f t="shared" si="65"/>
        <v>1</v>
      </c>
      <c r="G247" s="578">
        <f t="shared" si="65"/>
        <v>0</v>
      </c>
      <c r="H247" s="579">
        <f t="shared" si="65"/>
        <v>0</v>
      </c>
      <c r="I247" s="578">
        <f t="shared" si="65"/>
        <v>0</v>
      </c>
      <c r="J247" s="589">
        <f t="shared" si="65"/>
        <v>1</v>
      </c>
      <c r="K247" s="578">
        <f t="shared" si="65"/>
        <v>0</v>
      </c>
      <c r="L247" s="578">
        <f t="shared" si="65"/>
        <v>1</v>
      </c>
      <c r="M247" s="578">
        <f t="shared" si="65"/>
        <v>1</v>
      </c>
      <c r="N247" s="578">
        <f t="shared" si="65"/>
        <v>1</v>
      </c>
      <c r="O247" s="579">
        <f t="shared" si="65"/>
        <v>0</v>
      </c>
      <c r="P247" s="654">
        <f t="shared" si="65"/>
        <v>1</v>
      </c>
      <c r="Q247" s="578">
        <f t="shared" si="65"/>
        <v>0</v>
      </c>
      <c r="R247" s="578">
        <f t="shared" si="65"/>
        <v>0</v>
      </c>
      <c r="S247" s="579">
        <f t="shared" si="65"/>
        <v>0</v>
      </c>
      <c r="T247" s="577">
        <f t="shared" si="65"/>
        <v>0</v>
      </c>
      <c r="U247" s="274"/>
      <c r="V247" s="641">
        <v>1893</v>
      </c>
      <c r="W247" s="642">
        <v>470</v>
      </c>
      <c r="X247" s="642">
        <v>805</v>
      </c>
      <c r="Y247" s="642">
        <v>257</v>
      </c>
      <c r="Z247" s="642"/>
      <c r="AA247" s="642"/>
      <c r="AB247" s="642"/>
      <c r="AC247" s="641">
        <v>3425</v>
      </c>
      <c r="AD247" s="641"/>
      <c r="AE247" s="642">
        <v>442</v>
      </c>
      <c r="AF247" s="642">
        <v>336</v>
      </c>
      <c r="AG247" s="642">
        <v>776</v>
      </c>
      <c r="AH247" s="642"/>
      <c r="AI247" s="641">
        <v>1554</v>
      </c>
      <c r="AJ247" s="641"/>
      <c r="AK247" s="642"/>
      <c r="AL247" s="642"/>
      <c r="AM247" s="641"/>
    </row>
    <row r="248" spans="1:39">
      <c r="A248" s="646" t="s">
        <v>149</v>
      </c>
      <c r="B248" s="647" t="s">
        <v>53</v>
      </c>
      <c r="C248" s="613">
        <f t="shared" ref="C248:L252" si="66">IF(V$253&gt;0,(V248/V$253),0)</f>
        <v>0.38114325548971767</v>
      </c>
      <c r="D248" s="614">
        <f t="shared" si="66"/>
        <v>0.31398013750954928</v>
      </c>
      <c r="E248" s="614">
        <f t="shared" si="66"/>
        <v>0.28743882544861338</v>
      </c>
      <c r="F248" s="614">
        <f t="shared" si="66"/>
        <v>0.35338345864661652</v>
      </c>
      <c r="G248" s="614">
        <f t="shared" si="66"/>
        <v>0</v>
      </c>
      <c r="H248" s="615">
        <f t="shared" si="66"/>
        <v>0.21495327102803738</v>
      </c>
      <c r="I248" s="614">
        <f t="shared" si="66"/>
        <v>0</v>
      </c>
      <c r="J248" s="660">
        <f t="shared" si="66"/>
        <v>0.34381569726699368</v>
      </c>
      <c r="K248" s="614">
        <f t="shared" si="66"/>
        <v>0</v>
      </c>
      <c r="L248" s="614">
        <f t="shared" si="66"/>
        <v>2.5365853658536587E-2</v>
      </c>
      <c r="M248" s="614">
        <f t="shared" ref="M248:T252" si="67">IF(AF$253&gt;0,(AF248/AF$253),0)</f>
        <v>0.20302013422818793</v>
      </c>
      <c r="N248" s="614">
        <f t="shared" si="67"/>
        <v>0.22857142857142856</v>
      </c>
      <c r="O248" s="615">
        <f t="shared" si="67"/>
        <v>0</v>
      </c>
      <c r="P248" s="652">
        <f t="shared" si="67"/>
        <v>8.2742316784869971E-2</v>
      </c>
      <c r="Q248" s="614">
        <f t="shared" si="67"/>
        <v>0</v>
      </c>
      <c r="R248" s="614">
        <f t="shared" si="67"/>
        <v>0</v>
      </c>
      <c r="S248" s="615">
        <f t="shared" si="67"/>
        <v>0</v>
      </c>
      <c r="T248" s="613">
        <f t="shared" si="67"/>
        <v>0</v>
      </c>
      <c r="U248" s="274"/>
      <c r="V248" s="639">
        <v>2187</v>
      </c>
      <c r="W248" s="640">
        <v>411</v>
      </c>
      <c r="X248" s="640">
        <v>881</v>
      </c>
      <c r="Y248" s="640">
        <v>423</v>
      </c>
      <c r="Z248" s="640"/>
      <c r="AA248" s="640">
        <v>23</v>
      </c>
      <c r="AB248" s="640"/>
      <c r="AC248" s="639">
        <v>3925</v>
      </c>
      <c r="AD248" s="639"/>
      <c r="AE248" s="640">
        <v>52</v>
      </c>
      <c r="AF248" s="640">
        <v>121</v>
      </c>
      <c r="AG248" s="640">
        <v>72</v>
      </c>
      <c r="AH248" s="640"/>
      <c r="AI248" s="639">
        <v>245</v>
      </c>
      <c r="AJ248" s="639"/>
      <c r="AK248" s="640"/>
      <c r="AL248" s="640"/>
      <c r="AM248" s="639"/>
    </row>
    <row r="249" spans="1:39">
      <c r="A249" s="648"/>
      <c r="B249" s="646" t="s">
        <v>76</v>
      </c>
      <c r="C249" s="624">
        <f t="shared" si="66"/>
        <v>0.22342279539909377</v>
      </c>
      <c r="D249" s="625">
        <f t="shared" si="66"/>
        <v>0.33155080213903743</v>
      </c>
      <c r="E249" s="625">
        <f t="shared" si="66"/>
        <v>0.26525285481239802</v>
      </c>
      <c r="F249" s="625">
        <f t="shared" si="66"/>
        <v>0.28654970760233917</v>
      </c>
      <c r="G249" s="625">
        <f t="shared" si="66"/>
        <v>0</v>
      </c>
      <c r="H249" s="626">
        <f t="shared" si="66"/>
        <v>0.29906542056074764</v>
      </c>
      <c r="I249" s="625">
        <f t="shared" si="66"/>
        <v>0</v>
      </c>
      <c r="J249" s="661">
        <f t="shared" si="66"/>
        <v>0.25437981779957952</v>
      </c>
      <c r="K249" s="625">
        <f t="shared" si="66"/>
        <v>0</v>
      </c>
      <c r="L249" s="625">
        <f t="shared" si="66"/>
        <v>3.073170731707317E-2</v>
      </c>
      <c r="M249" s="625">
        <f t="shared" si="67"/>
        <v>7.0469798657718116E-2</v>
      </c>
      <c r="N249" s="625">
        <f t="shared" si="67"/>
        <v>9.5238095238095247E-3</v>
      </c>
      <c r="O249" s="626">
        <f t="shared" si="67"/>
        <v>0</v>
      </c>
      <c r="P249" s="653">
        <f t="shared" si="67"/>
        <v>3.64741641337386E-2</v>
      </c>
      <c r="Q249" s="625">
        <f t="shared" si="67"/>
        <v>0</v>
      </c>
      <c r="R249" s="625">
        <f t="shared" si="67"/>
        <v>0</v>
      </c>
      <c r="S249" s="626">
        <f t="shared" si="67"/>
        <v>0</v>
      </c>
      <c r="T249" s="624">
        <f t="shared" si="67"/>
        <v>0</v>
      </c>
      <c r="U249" s="274"/>
      <c r="V249" s="641">
        <v>1282</v>
      </c>
      <c r="W249" s="642">
        <v>434</v>
      </c>
      <c r="X249" s="642">
        <v>813</v>
      </c>
      <c r="Y249" s="642">
        <v>343</v>
      </c>
      <c r="Z249" s="642"/>
      <c r="AA249" s="642">
        <v>32</v>
      </c>
      <c r="AB249" s="642"/>
      <c r="AC249" s="641">
        <v>2904</v>
      </c>
      <c r="AD249" s="641"/>
      <c r="AE249" s="642">
        <v>63</v>
      </c>
      <c r="AF249" s="642">
        <v>42</v>
      </c>
      <c r="AG249" s="642">
        <v>3</v>
      </c>
      <c r="AH249" s="642"/>
      <c r="AI249" s="641">
        <v>108</v>
      </c>
      <c r="AJ249" s="641"/>
      <c r="AK249" s="642"/>
      <c r="AL249" s="642"/>
      <c r="AM249" s="641"/>
    </row>
    <row r="250" spans="1:39">
      <c r="A250" s="648"/>
      <c r="B250" s="646" t="s">
        <v>77</v>
      </c>
      <c r="C250" s="624">
        <f t="shared" si="66"/>
        <v>0.22760543743464623</v>
      </c>
      <c r="D250" s="625">
        <f t="shared" si="66"/>
        <v>0.27960275019098546</v>
      </c>
      <c r="E250" s="625">
        <f t="shared" si="66"/>
        <v>0.300163132137031</v>
      </c>
      <c r="F250" s="625">
        <f t="shared" si="66"/>
        <v>0.26315789473684209</v>
      </c>
      <c r="G250" s="625">
        <f t="shared" si="66"/>
        <v>0</v>
      </c>
      <c r="H250" s="626">
        <f t="shared" si="66"/>
        <v>0.45794392523364486</v>
      </c>
      <c r="I250" s="625">
        <f t="shared" si="66"/>
        <v>0</v>
      </c>
      <c r="J250" s="661">
        <f t="shared" si="66"/>
        <v>0.25893482831114223</v>
      </c>
      <c r="K250" s="625">
        <f t="shared" si="66"/>
        <v>0</v>
      </c>
      <c r="L250" s="625">
        <f t="shared" si="66"/>
        <v>1.9024390243902439E-2</v>
      </c>
      <c r="M250" s="625">
        <f t="shared" si="67"/>
        <v>8.0536912751677847E-2</v>
      </c>
      <c r="N250" s="625">
        <f t="shared" si="67"/>
        <v>0</v>
      </c>
      <c r="O250" s="626">
        <f t="shared" si="67"/>
        <v>0</v>
      </c>
      <c r="P250" s="653">
        <f t="shared" si="67"/>
        <v>2.9381965552178316E-2</v>
      </c>
      <c r="Q250" s="625">
        <f t="shared" si="67"/>
        <v>0</v>
      </c>
      <c r="R250" s="625">
        <f t="shared" si="67"/>
        <v>0</v>
      </c>
      <c r="S250" s="626">
        <f t="shared" si="67"/>
        <v>0</v>
      </c>
      <c r="T250" s="624">
        <f t="shared" si="67"/>
        <v>0</v>
      </c>
      <c r="U250" s="274"/>
      <c r="V250" s="641">
        <v>1306</v>
      </c>
      <c r="W250" s="642">
        <v>366</v>
      </c>
      <c r="X250" s="642">
        <v>920</v>
      </c>
      <c r="Y250" s="642">
        <v>315</v>
      </c>
      <c r="Z250" s="642"/>
      <c r="AA250" s="642">
        <v>49</v>
      </c>
      <c r="AB250" s="642"/>
      <c r="AC250" s="641">
        <v>2956</v>
      </c>
      <c r="AD250" s="641"/>
      <c r="AE250" s="642">
        <v>39</v>
      </c>
      <c r="AF250" s="642">
        <v>48</v>
      </c>
      <c r="AG250" s="642"/>
      <c r="AH250" s="642"/>
      <c r="AI250" s="641">
        <v>87</v>
      </c>
      <c r="AJ250" s="641"/>
      <c r="AK250" s="642"/>
      <c r="AL250" s="642"/>
      <c r="AM250" s="641"/>
    </row>
    <row r="251" spans="1:39">
      <c r="A251" s="648"/>
      <c r="B251" s="646" t="s">
        <v>78</v>
      </c>
      <c r="C251" s="624">
        <f t="shared" si="66"/>
        <v>2.5270128964796097E-2</v>
      </c>
      <c r="D251" s="625">
        <f t="shared" si="66"/>
        <v>5.1184110007639422E-2</v>
      </c>
      <c r="E251" s="625">
        <f t="shared" si="66"/>
        <v>6.6231647634584015E-2</v>
      </c>
      <c r="F251" s="625">
        <f t="shared" si="66"/>
        <v>3.7593984962406013E-2</v>
      </c>
      <c r="G251" s="625">
        <f t="shared" si="66"/>
        <v>0</v>
      </c>
      <c r="H251" s="626">
        <f t="shared" si="66"/>
        <v>2.8037383177570093E-2</v>
      </c>
      <c r="I251" s="625">
        <f t="shared" si="66"/>
        <v>0</v>
      </c>
      <c r="J251" s="661">
        <f t="shared" si="66"/>
        <v>4.0557112824106518E-2</v>
      </c>
      <c r="K251" s="625">
        <f t="shared" si="66"/>
        <v>0</v>
      </c>
      <c r="L251" s="625">
        <f t="shared" si="66"/>
        <v>0.34195121951219515</v>
      </c>
      <c r="M251" s="625">
        <f t="shared" si="67"/>
        <v>0.49664429530201343</v>
      </c>
      <c r="N251" s="625">
        <f t="shared" si="67"/>
        <v>0.36825396825396828</v>
      </c>
      <c r="O251" s="626">
        <f t="shared" si="67"/>
        <v>0</v>
      </c>
      <c r="P251" s="653">
        <f t="shared" si="67"/>
        <v>0.37588652482269502</v>
      </c>
      <c r="Q251" s="625">
        <f t="shared" si="67"/>
        <v>0</v>
      </c>
      <c r="R251" s="625">
        <f t="shared" si="67"/>
        <v>0</v>
      </c>
      <c r="S251" s="626">
        <f t="shared" si="67"/>
        <v>0</v>
      </c>
      <c r="T251" s="624">
        <f t="shared" si="67"/>
        <v>0</v>
      </c>
      <c r="U251" s="274"/>
      <c r="V251" s="641">
        <v>145</v>
      </c>
      <c r="W251" s="642">
        <v>67</v>
      </c>
      <c r="X251" s="642">
        <v>203</v>
      </c>
      <c r="Y251" s="642">
        <v>45</v>
      </c>
      <c r="Z251" s="642"/>
      <c r="AA251" s="642">
        <v>3</v>
      </c>
      <c r="AB251" s="642"/>
      <c r="AC251" s="641">
        <v>463</v>
      </c>
      <c r="AD251" s="641"/>
      <c r="AE251" s="642">
        <v>701</v>
      </c>
      <c r="AF251" s="642">
        <v>296</v>
      </c>
      <c r="AG251" s="642">
        <v>116</v>
      </c>
      <c r="AH251" s="642"/>
      <c r="AI251" s="641">
        <v>1113</v>
      </c>
      <c r="AJ251" s="641"/>
      <c r="AK251" s="642"/>
      <c r="AL251" s="642"/>
      <c r="AM251" s="641"/>
    </row>
    <row r="252" spans="1:39">
      <c r="A252" s="648"/>
      <c r="B252" s="646" t="s">
        <v>209</v>
      </c>
      <c r="C252" s="624">
        <f t="shared" si="66"/>
        <v>0.14255838271174626</v>
      </c>
      <c r="D252" s="625">
        <f t="shared" si="66"/>
        <v>2.3682200152788387E-2</v>
      </c>
      <c r="E252" s="625">
        <f t="shared" si="66"/>
        <v>8.0913539967373577E-2</v>
      </c>
      <c r="F252" s="625">
        <f t="shared" si="66"/>
        <v>5.9314954051796154E-2</v>
      </c>
      <c r="G252" s="625">
        <f t="shared" si="66"/>
        <v>0</v>
      </c>
      <c r="H252" s="626">
        <f t="shared" si="66"/>
        <v>0</v>
      </c>
      <c r="I252" s="625">
        <f t="shared" si="66"/>
        <v>0</v>
      </c>
      <c r="J252" s="661">
        <f t="shared" si="66"/>
        <v>0.102312543798178</v>
      </c>
      <c r="K252" s="625">
        <f t="shared" si="66"/>
        <v>0</v>
      </c>
      <c r="L252" s="625">
        <f t="shared" si="66"/>
        <v>0.58292682926829265</v>
      </c>
      <c r="M252" s="625">
        <f t="shared" si="67"/>
        <v>0.14932885906040269</v>
      </c>
      <c r="N252" s="625">
        <f t="shared" si="67"/>
        <v>0.39365079365079364</v>
      </c>
      <c r="O252" s="626">
        <f t="shared" si="67"/>
        <v>0</v>
      </c>
      <c r="P252" s="653">
        <f t="shared" si="67"/>
        <v>0.47551502870651807</v>
      </c>
      <c r="Q252" s="625">
        <f t="shared" si="67"/>
        <v>0</v>
      </c>
      <c r="R252" s="625">
        <f t="shared" si="67"/>
        <v>0</v>
      </c>
      <c r="S252" s="626">
        <f t="shared" si="67"/>
        <v>0</v>
      </c>
      <c r="T252" s="624">
        <f t="shared" si="67"/>
        <v>0</v>
      </c>
      <c r="U252" s="274"/>
      <c r="V252" s="641">
        <v>818</v>
      </c>
      <c r="W252" s="642">
        <v>31</v>
      </c>
      <c r="X252" s="642">
        <v>248</v>
      </c>
      <c r="Y252" s="642">
        <v>71</v>
      </c>
      <c r="Z252" s="642"/>
      <c r="AA252" s="642"/>
      <c r="AB252" s="642"/>
      <c r="AC252" s="641">
        <v>1168</v>
      </c>
      <c r="AD252" s="641"/>
      <c r="AE252" s="642">
        <v>1195</v>
      </c>
      <c r="AF252" s="642">
        <v>89</v>
      </c>
      <c r="AG252" s="642">
        <v>124</v>
      </c>
      <c r="AH252" s="642"/>
      <c r="AI252" s="641">
        <v>1408</v>
      </c>
      <c r="AJ252" s="641"/>
      <c r="AK252" s="642"/>
      <c r="AL252" s="642"/>
      <c r="AM252" s="641"/>
    </row>
    <row r="253" spans="1:39">
      <c r="A253" s="649"/>
      <c r="B253" s="650" t="s">
        <v>59</v>
      </c>
      <c r="C253" s="577">
        <f t="shared" ref="C253:T253" si="68">SUM(C248:C252)</f>
        <v>1</v>
      </c>
      <c r="D253" s="578">
        <f t="shared" si="68"/>
        <v>1</v>
      </c>
      <c r="E253" s="578">
        <f t="shared" si="68"/>
        <v>1</v>
      </c>
      <c r="F253" s="578">
        <f t="shared" si="68"/>
        <v>1</v>
      </c>
      <c r="G253" s="578">
        <f t="shared" si="68"/>
        <v>0</v>
      </c>
      <c r="H253" s="579">
        <f t="shared" si="68"/>
        <v>0.99999999999999989</v>
      </c>
      <c r="I253" s="578">
        <f t="shared" si="68"/>
        <v>0</v>
      </c>
      <c r="J253" s="589">
        <f t="shared" si="68"/>
        <v>1</v>
      </c>
      <c r="K253" s="578">
        <f t="shared" si="68"/>
        <v>0</v>
      </c>
      <c r="L253" s="578">
        <f t="shared" si="68"/>
        <v>1</v>
      </c>
      <c r="M253" s="578">
        <f t="shared" si="68"/>
        <v>1</v>
      </c>
      <c r="N253" s="578">
        <f t="shared" si="68"/>
        <v>1</v>
      </c>
      <c r="O253" s="579">
        <f t="shared" si="68"/>
        <v>0</v>
      </c>
      <c r="P253" s="654">
        <f t="shared" si="68"/>
        <v>1</v>
      </c>
      <c r="Q253" s="578">
        <f t="shared" si="68"/>
        <v>0</v>
      </c>
      <c r="R253" s="578">
        <f t="shared" si="68"/>
        <v>0</v>
      </c>
      <c r="S253" s="579">
        <f t="shared" si="68"/>
        <v>0</v>
      </c>
      <c r="T253" s="577">
        <f t="shared" si="68"/>
        <v>0</v>
      </c>
      <c r="U253" s="274"/>
      <c r="V253" s="641">
        <v>5738</v>
      </c>
      <c r="W253" s="642">
        <v>1309</v>
      </c>
      <c r="X253" s="642">
        <v>3065</v>
      </c>
      <c r="Y253" s="642">
        <v>1197</v>
      </c>
      <c r="Z253" s="642"/>
      <c r="AA253" s="642">
        <v>107</v>
      </c>
      <c r="AB253" s="642"/>
      <c r="AC253" s="641">
        <v>11416</v>
      </c>
      <c r="AD253" s="641"/>
      <c r="AE253" s="642">
        <v>2050</v>
      </c>
      <c r="AF253" s="642">
        <v>596</v>
      </c>
      <c r="AG253" s="642">
        <v>315</v>
      </c>
      <c r="AH253" s="642"/>
      <c r="AI253" s="641">
        <v>2961</v>
      </c>
      <c r="AJ253" s="641"/>
      <c r="AK253" s="642"/>
      <c r="AL253" s="642"/>
      <c r="AM253" s="641"/>
    </row>
    <row r="254" spans="1:39">
      <c r="A254" s="646" t="s">
        <v>150</v>
      </c>
      <c r="B254" s="647" t="s">
        <v>53</v>
      </c>
      <c r="C254" s="613">
        <f t="shared" ref="C254:L258" si="69">IF(V$259&gt;0,(V254/V$259),0)</f>
        <v>0.49191132414619532</v>
      </c>
      <c r="D254" s="614">
        <f t="shared" si="69"/>
        <v>0</v>
      </c>
      <c r="E254" s="614">
        <f t="shared" si="69"/>
        <v>0.3382768361581921</v>
      </c>
      <c r="F254" s="614">
        <f t="shared" si="69"/>
        <v>0.3783783783783784</v>
      </c>
      <c r="G254" s="614">
        <f t="shared" si="69"/>
        <v>0.392018779342723</v>
      </c>
      <c r="H254" s="615">
        <f t="shared" si="69"/>
        <v>0.14545454545454545</v>
      </c>
      <c r="I254" s="614">
        <f t="shared" si="69"/>
        <v>0</v>
      </c>
      <c r="J254" s="660">
        <f t="shared" si="69"/>
        <v>0.40203261640274168</v>
      </c>
      <c r="K254" s="614">
        <f t="shared" si="69"/>
        <v>0</v>
      </c>
      <c r="L254" s="614">
        <f t="shared" si="69"/>
        <v>0</v>
      </c>
      <c r="M254" s="614">
        <f t="shared" ref="M254:T258" si="70">IF(AF$259&gt;0,(AF254/AF$259),0)</f>
        <v>0</v>
      </c>
      <c r="N254" s="614">
        <f t="shared" si="70"/>
        <v>0</v>
      </c>
      <c r="O254" s="615">
        <f t="shared" si="70"/>
        <v>0</v>
      </c>
      <c r="P254" s="652">
        <f t="shared" si="70"/>
        <v>0</v>
      </c>
      <c r="Q254" s="614">
        <f t="shared" si="70"/>
        <v>0</v>
      </c>
      <c r="R254" s="614">
        <f t="shared" si="70"/>
        <v>0</v>
      </c>
      <c r="S254" s="615">
        <f t="shared" si="70"/>
        <v>0</v>
      </c>
      <c r="T254" s="613">
        <f t="shared" si="70"/>
        <v>0</v>
      </c>
      <c r="U254" s="274"/>
      <c r="V254" s="639">
        <v>821</v>
      </c>
      <c r="W254" s="640"/>
      <c r="X254" s="640">
        <v>479</v>
      </c>
      <c r="Y254" s="640">
        <v>210</v>
      </c>
      <c r="Z254" s="640">
        <v>167</v>
      </c>
      <c r="AA254" s="640">
        <v>24</v>
      </c>
      <c r="AB254" s="640"/>
      <c r="AC254" s="639">
        <v>1701</v>
      </c>
      <c r="AD254" s="639"/>
      <c r="AE254" s="640"/>
      <c r="AF254" s="640"/>
      <c r="AG254" s="640"/>
      <c r="AH254" s="640"/>
      <c r="AI254" s="639"/>
      <c r="AJ254" s="639"/>
      <c r="AK254" s="640"/>
      <c r="AL254" s="640"/>
      <c r="AM254" s="639"/>
    </row>
    <row r="255" spans="1:39">
      <c r="A255" s="648"/>
      <c r="B255" s="646" t="s">
        <v>76</v>
      </c>
      <c r="C255" s="624">
        <f t="shared" si="69"/>
        <v>0.27261833433193527</v>
      </c>
      <c r="D255" s="625">
        <f t="shared" si="69"/>
        <v>0</v>
      </c>
      <c r="E255" s="625">
        <f t="shared" si="69"/>
        <v>0.25282485875706212</v>
      </c>
      <c r="F255" s="625">
        <f t="shared" si="69"/>
        <v>0.24864864864864866</v>
      </c>
      <c r="G255" s="625">
        <f t="shared" si="69"/>
        <v>0.2981220657276995</v>
      </c>
      <c r="H255" s="626">
        <f t="shared" si="69"/>
        <v>0.3575757575757576</v>
      </c>
      <c r="I255" s="625">
        <f t="shared" si="69"/>
        <v>0</v>
      </c>
      <c r="J255" s="661">
        <f t="shared" si="69"/>
        <v>0.26873079650200898</v>
      </c>
      <c r="K255" s="625">
        <f t="shared" si="69"/>
        <v>0</v>
      </c>
      <c r="L255" s="625">
        <f t="shared" si="69"/>
        <v>0</v>
      </c>
      <c r="M255" s="625">
        <f t="shared" si="70"/>
        <v>0</v>
      </c>
      <c r="N255" s="625">
        <f t="shared" si="70"/>
        <v>0</v>
      </c>
      <c r="O255" s="626">
        <f t="shared" si="70"/>
        <v>0</v>
      </c>
      <c r="P255" s="653">
        <f t="shared" si="70"/>
        <v>0</v>
      </c>
      <c r="Q255" s="625">
        <f t="shared" si="70"/>
        <v>0</v>
      </c>
      <c r="R255" s="625">
        <f t="shared" si="70"/>
        <v>0</v>
      </c>
      <c r="S255" s="626">
        <f t="shared" si="70"/>
        <v>0</v>
      </c>
      <c r="T255" s="624">
        <f t="shared" si="70"/>
        <v>0</v>
      </c>
      <c r="U255" s="274"/>
      <c r="V255" s="641">
        <v>455</v>
      </c>
      <c r="W255" s="642"/>
      <c r="X255" s="642">
        <v>358</v>
      </c>
      <c r="Y255" s="642">
        <v>138</v>
      </c>
      <c r="Z255" s="642">
        <v>127</v>
      </c>
      <c r="AA255" s="642">
        <v>59</v>
      </c>
      <c r="AB255" s="642"/>
      <c r="AC255" s="641">
        <v>1137</v>
      </c>
      <c r="AD255" s="641"/>
      <c r="AE255" s="642"/>
      <c r="AF255" s="642"/>
      <c r="AG255" s="642"/>
      <c r="AH255" s="642"/>
      <c r="AI255" s="641"/>
      <c r="AJ255" s="641"/>
      <c r="AK255" s="642"/>
      <c r="AL255" s="642"/>
      <c r="AM255" s="641"/>
    </row>
    <row r="256" spans="1:39">
      <c r="A256" s="648"/>
      <c r="B256" s="646" t="s">
        <v>77</v>
      </c>
      <c r="C256" s="624">
        <f t="shared" si="69"/>
        <v>0.22947872977831035</v>
      </c>
      <c r="D256" s="625">
        <f t="shared" si="69"/>
        <v>0</v>
      </c>
      <c r="E256" s="625">
        <f t="shared" si="69"/>
        <v>0.3192090395480226</v>
      </c>
      <c r="F256" s="625">
        <f t="shared" si="69"/>
        <v>0.31891891891891894</v>
      </c>
      <c r="G256" s="625">
        <f t="shared" si="69"/>
        <v>0.22065727699530516</v>
      </c>
      <c r="H256" s="626">
        <f t="shared" si="69"/>
        <v>0.44848484848484849</v>
      </c>
      <c r="I256" s="625">
        <f t="shared" si="69"/>
        <v>0</v>
      </c>
      <c r="J256" s="661">
        <f t="shared" si="69"/>
        <v>0.27889387851571734</v>
      </c>
      <c r="K256" s="625">
        <f t="shared" si="69"/>
        <v>0</v>
      </c>
      <c r="L256" s="625">
        <f t="shared" si="69"/>
        <v>0</v>
      </c>
      <c r="M256" s="625">
        <f t="shared" si="70"/>
        <v>0</v>
      </c>
      <c r="N256" s="625">
        <f t="shared" si="70"/>
        <v>0</v>
      </c>
      <c r="O256" s="626">
        <f t="shared" si="70"/>
        <v>0</v>
      </c>
      <c r="P256" s="653">
        <f t="shared" si="70"/>
        <v>0</v>
      </c>
      <c r="Q256" s="625">
        <f t="shared" si="70"/>
        <v>0</v>
      </c>
      <c r="R256" s="625">
        <f t="shared" si="70"/>
        <v>0</v>
      </c>
      <c r="S256" s="626">
        <f t="shared" si="70"/>
        <v>0</v>
      </c>
      <c r="T256" s="624">
        <f t="shared" si="70"/>
        <v>0</v>
      </c>
      <c r="U256" s="274"/>
      <c r="V256" s="641">
        <v>383</v>
      </c>
      <c r="W256" s="642"/>
      <c r="X256" s="642">
        <v>452</v>
      </c>
      <c r="Y256" s="642">
        <v>177</v>
      </c>
      <c r="Z256" s="642">
        <v>94</v>
      </c>
      <c r="AA256" s="642">
        <v>74</v>
      </c>
      <c r="AB256" s="642"/>
      <c r="AC256" s="641">
        <v>1180</v>
      </c>
      <c r="AD256" s="641"/>
      <c r="AE256" s="642"/>
      <c r="AF256" s="642"/>
      <c r="AG256" s="642"/>
      <c r="AH256" s="642"/>
      <c r="AI256" s="641"/>
      <c r="AJ256" s="641"/>
      <c r="AK256" s="642"/>
      <c r="AL256" s="642"/>
      <c r="AM256" s="641"/>
    </row>
    <row r="257" spans="1:39">
      <c r="A257" s="648"/>
      <c r="B257" s="646" t="s">
        <v>78</v>
      </c>
      <c r="C257" s="624">
        <f t="shared" si="69"/>
        <v>5.9916117435590173E-3</v>
      </c>
      <c r="D257" s="625">
        <f t="shared" si="69"/>
        <v>0</v>
      </c>
      <c r="E257" s="625">
        <f t="shared" si="69"/>
        <v>8.968926553672317E-2</v>
      </c>
      <c r="F257" s="625">
        <f t="shared" si="69"/>
        <v>5.4054054054054057E-2</v>
      </c>
      <c r="G257" s="625">
        <f t="shared" si="69"/>
        <v>8.9201877934272297E-2</v>
      </c>
      <c r="H257" s="626">
        <f t="shared" si="69"/>
        <v>4.8484848484848485E-2</v>
      </c>
      <c r="I257" s="625">
        <f t="shared" si="69"/>
        <v>0</v>
      </c>
      <c r="J257" s="661">
        <f t="shared" si="69"/>
        <v>5.0342708579532026E-2</v>
      </c>
      <c r="K257" s="625">
        <f t="shared" si="69"/>
        <v>0</v>
      </c>
      <c r="L257" s="625">
        <f t="shared" si="69"/>
        <v>0</v>
      </c>
      <c r="M257" s="625">
        <f t="shared" si="70"/>
        <v>0</v>
      </c>
      <c r="N257" s="625">
        <f t="shared" si="70"/>
        <v>0</v>
      </c>
      <c r="O257" s="626">
        <f t="shared" si="70"/>
        <v>0</v>
      </c>
      <c r="P257" s="653">
        <f t="shared" si="70"/>
        <v>0</v>
      </c>
      <c r="Q257" s="625">
        <f t="shared" si="70"/>
        <v>0</v>
      </c>
      <c r="R257" s="625">
        <f t="shared" si="70"/>
        <v>0</v>
      </c>
      <c r="S257" s="626">
        <f t="shared" si="70"/>
        <v>0</v>
      </c>
      <c r="T257" s="624">
        <f t="shared" si="70"/>
        <v>0</v>
      </c>
      <c r="U257" s="274"/>
      <c r="V257" s="641">
        <v>10</v>
      </c>
      <c r="W257" s="642"/>
      <c r="X257" s="642">
        <v>127</v>
      </c>
      <c r="Y257" s="642">
        <v>30</v>
      </c>
      <c r="Z257" s="642">
        <v>38</v>
      </c>
      <c r="AA257" s="642">
        <v>8</v>
      </c>
      <c r="AB257" s="642"/>
      <c r="AC257" s="641">
        <v>213</v>
      </c>
      <c r="AD257" s="641"/>
      <c r="AE257" s="642"/>
      <c r="AF257" s="642"/>
      <c r="AG257" s="642"/>
      <c r="AH257" s="642"/>
      <c r="AI257" s="641"/>
      <c r="AJ257" s="641"/>
      <c r="AK257" s="642"/>
      <c r="AL257" s="642"/>
      <c r="AM257" s="641"/>
    </row>
    <row r="258" spans="1:39">
      <c r="A258" s="648"/>
      <c r="B258" s="646" t="s">
        <v>209</v>
      </c>
      <c r="C258" s="624">
        <f t="shared" si="69"/>
        <v>0</v>
      </c>
      <c r="D258" s="625">
        <f t="shared" si="69"/>
        <v>0</v>
      </c>
      <c r="E258" s="625">
        <f t="shared" si="69"/>
        <v>0</v>
      </c>
      <c r="F258" s="625">
        <f t="shared" si="69"/>
        <v>0</v>
      </c>
      <c r="G258" s="625">
        <f t="shared" si="69"/>
        <v>0</v>
      </c>
      <c r="H258" s="626">
        <f t="shared" si="69"/>
        <v>0</v>
      </c>
      <c r="I258" s="625">
        <f t="shared" si="69"/>
        <v>0</v>
      </c>
      <c r="J258" s="661">
        <f t="shared" si="69"/>
        <v>0</v>
      </c>
      <c r="K258" s="625">
        <f t="shared" si="69"/>
        <v>0</v>
      </c>
      <c r="L258" s="625">
        <f t="shared" si="69"/>
        <v>1</v>
      </c>
      <c r="M258" s="625">
        <f t="shared" si="70"/>
        <v>1</v>
      </c>
      <c r="N258" s="625">
        <f t="shared" si="70"/>
        <v>1</v>
      </c>
      <c r="O258" s="626">
        <f t="shared" si="70"/>
        <v>0</v>
      </c>
      <c r="P258" s="653">
        <f t="shared" si="70"/>
        <v>1</v>
      </c>
      <c r="Q258" s="625">
        <f t="shared" si="70"/>
        <v>0</v>
      </c>
      <c r="R258" s="625">
        <f t="shared" si="70"/>
        <v>0</v>
      </c>
      <c r="S258" s="626">
        <f t="shared" si="70"/>
        <v>0</v>
      </c>
      <c r="T258" s="624">
        <f t="shared" si="70"/>
        <v>0</v>
      </c>
      <c r="U258" s="274"/>
      <c r="V258" s="641"/>
      <c r="W258" s="642"/>
      <c r="X258" s="642"/>
      <c r="Y258" s="642"/>
      <c r="Z258" s="642"/>
      <c r="AA258" s="642"/>
      <c r="AB258" s="642"/>
      <c r="AC258" s="641"/>
      <c r="AD258" s="641"/>
      <c r="AE258" s="642">
        <v>344</v>
      </c>
      <c r="AF258" s="642">
        <v>1709</v>
      </c>
      <c r="AG258" s="642">
        <v>480</v>
      </c>
      <c r="AH258" s="642"/>
      <c r="AI258" s="641">
        <v>2533</v>
      </c>
      <c r="AJ258" s="641"/>
      <c r="AK258" s="642"/>
      <c r="AL258" s="642"/>
      <c r="AM258" s="641"/>
    </row>
    <row r="259" spans="1:39">
      <c r="A259" s="649"/>
      <c r="B259" s="650" t="s">
        <v>59</v>
      </c>
      <c r="C259" s="577">
        <f t="shared" ref="C259:T259" si="71">SUM(C254:C258)</f>
        <v>1</v>
      </c>
      <c r="D259" s="578">
        <f t="shared" si="71"/>
        <v>0</v>
      </c>
      <c r="E259" s="578">
        <f t="shared" si="71"/>
        <v>1</v>
      </c>
      <c r="F259" s="578">
        <f t="shared" si="71"/>
        <v>1</v>
      </c>
      <c r="G259" s="578">
        <f t="shared" si="71"/>
        <v>0.99999999999999989</v>
      </c>
      <c r="H259" s="579">
        <f t="shared" si="71"/>
        <v>1</v>
      </c>
      <c r="I259" s="578">
        <f t="shared" si="71"/>
        <v>0</v>
      </c>
      <c r="J259" s="589">
        <f t="shared" si="71"/>
        <v>1</v>
      </c>
      <c r="K259" s="578">
        <f t="shared" si="71"/>
        <v>0</v>
      </c>
      <c r="L259" s="578">
        <f t="shared" si="71"/>
        <v>1</v>
      </c>
      <c r="M259" s="578">
        <f t="shared" si="71"/>
        <v>1</v>
      </c>
      <c r="N259" s="578">
        <f t="shared" si="71"/>
        <v>1</v>
      </c>
      <c r="O259" s="579">
        <f t="shared" si="71"/>
        <v>0</v>
      </c>
      <c r="P259" s="654">
        <f t="shared" si="71"/>
        <v>1</v>
      </c>
      <c r="Q259" s="578">
        <f t="shared" si="71"/>
        <v>0</v>
      </c>
      <c r="R259" s="578">
        <f t="shared" si="71"/>
        <v>0</v>
      </c>
      <c r="S259" s="579">
        <f t="shared" si="71"/>
        <v>0</v>
      </c>
      <c r="T259" s="577">
        <f t="shared" si="71"/>
        <v>0</v>
      </c>
      <c r="U259" s="274"/>
      <c r="V259" s="641">
        <v>1669</v>
      </c>
      <c r="W259" s="642"/>
      <c r="X259" s="642">
        <v>1416</v>
      </c>
      <c r="Y259" s="642">
        <v>555</v>
      </c>
      <c r="Z259" s="642">
        <v>426</v>
      </c>
      <c r="AA259" s="642">
        <v>165</v>
      </c>
      <c r="AB259" s="642"/>
      <c r="AC259" s="641">
        <v>4231</v>
      </c>
      <c r="AD259" s="641"/>
      <c r="AE259" s="642">
        <v>344</v>
      </c>
      <c r="AF259" s="642">
        <v>1709</v>
      </c>
      <c r="AG259" s="642">
        <v>480</v>
      </c>
      <c r="AH259" s="642"/>
      <c r="AI259" s="641">
        <v>2533</v>
      </c>
      <c r="AJ259" s="641"/>
      <c r="AK259" s="642"/>
      <c r="AL259" s="642"/>
      <c r="AM259" s="641"/>
    </row>
    <row r="260" spans="1:39">
      <c r="A260" s="646" t="s">
        <v>151</v>
      </c>
      <c r="B260" s="647" t="s">
        <v>53</v>
      </c>
      <c r="C260" s="613">
        <f t="shared" ref="C260:L264" si="72">IF(V$265&gt;0,(V260/V$265),0)</f>
        <v>0.20401554404145078</v>
      </c>
      <c r="D260" s="614">
        <f t="shared" si="72"/>
        <v>0.23238095238095238</v>
      </c>
      <c r="E260" s="614">
        <f t="shared" si="72"/>
        <v>0.33737024221453288</v>
      </c>
      <c r="F260" s="614">
        <f t="shared" si="72"/>
        <v>0.29071537290715371</v>
      </c>
      <c r="G260" s="614">
        <f t="shared" si="72"/>
        <v>0.19658119658119658</v>
      </c>
      <c r="H260" s="615">
        <f t="shared" si="72"/>
        <v>0.24713958810068651</v>
      </c>
      <c r="I260" s="614">
        <f t="shared" si="72"/>
        <v>0</v>
      </c>
      <c r="J260" s="660">
        <f t="shared" si="72"/>
        <v>0.26023495906016375</v>
      </c>
      <c r="K260" s="614">
        <f t="shared" si="72"/>
        <v>0</v>
      </c>
      <c r="L260" s="614">
        <f t="shared" si="72"/>
        <v>0.20512820512820512</v>
      </c>
      <c r="M260" s="614">
        <f t="shared" ref="M260:T264" si="73">IF(AF$265&gt;0,(AF260/AF$265),0)</f>
        <v>0.1586433260393873</v>
      </c>
      <c r="N260" s="614">
        <f t="shared" si="73"/>
        <v>1.3392857142857142E-2</v>
      </c>
      <c r="O260" s="615">
        <f t="shared" si="73"/>
        <v>0</v>
      </c>
      <c r="P260" s="652">
        <f t="shared" si="73"/>
        <v>0.14620689655172414</v>
      </c>
      <c r="Q260" s="614">
        <f t="shared" si="73"/>
        <v>0</v>
      </c>
      <c r="R260" s="614">
        <f t="shared" si="73"/>
        <v>0</v>
      </c>
      <c r="S260" s="615">
        <f t="shared" si="73"/>
        <v>0</v>
      </c>
      <c r="T260" s="613">
        <f t="shared" si="73"/>
        <v>0</v>
      </c>
      <c r="U260" s="274"/>
      <c r="V260" s="639">
        <v>315</v>
      </c>
      <c r="W260" s="640">
        <v>244</v>
      </c>
      <c r="X260" s="640">
        <v>390</v>
      </c>
      <c r="Y260" s="640">
        <v>382</v>
      </c>
      <c r="Z260" s="640">
        <v>23</v>
      </c>
      <c r="AA260" s="640">
        <v>108</v>
      </c>
      <c r="AB260" s="640"/>
      <c r="AC260" s="639">
        <v>1462</v>
      </c>
      <c r="AD260" s="639"/>
      <c r="AE260" s="640">
        <v>64</v>
      </c>
      <c r="AF260" s="640">
        <v>145</v>
      </c>
      <c r="AG260" s="640">
        <v>3</v>
      </c>
      <c r="AH260" s="640"/>
      <c r="AI260" s="639">
        <v>212</v>
      </c>
      <c r="AJ260" s="639"/>
      <c r="AK260" s="640"/>
      <c r="AL260" s="640"/>
      <c r="AM260" s="639"/>
    </row>
    <row r="261" spans="1:39">
      <c r="A261" s="648"/>
      <c r="B261" s="646" t="s">
        <v>76</v>
      </c>
      <c r="C261" s="624">
        <f t="shared" si="72"/>
        <v>0.20984455958549222</v>
      </c>
      <c r="D261" s="625">
        <f t="shared" si="72"/>
        <v>0.27142857142857141</v>
      </c>
      <c r="E261" s="625">
        <f t="shared" si="72"/>
        <v>0.23183391003460208</v>
      </c>
      <c r="F261" s="625">
        <f t="shared" si="72"/>
        <v>0.26407914764079149</v>
      </c>
      <c r="G261" s="625">
        <f t="shared" si="72"/>
        <v>0.19658119658119658</v>
      </c>
      <c r="H261" s="626">
        <f t="shared" si="72"/>
        <v>0.2791762013729977</v>
      </c>
      <c r="I261" s="625">
        <f t="shared" si="72"/>
        <v>0</v>
      </c>
      <c r="J261" s="661">
        <f t="shared" si="72"/>
        <v>0.24368102527589888</v>
      </c>
      <c r="K261" s="625">
        <f t="shared" si="72"/>
        <v>0</v>
      </c>
      <c r="L261" s="625">
        <f t="shared" si="72"/>
        <v>0.14743589743589744</v>
      </c>
      <c r="M261" s="625">
        <f t="shared" si="73"/>
        <v>0.1586433260393873</v>
      </c>
      <c r="N261" s="625">
        <f t="shared" si="73"/>
        <v>8.9285714285714281E-3</v>
      </c>
      <c r="O261" s="626">
        <f t="shared" si="73"/>
        <v>0</v>
      </c>
      <c r="P261" s="653">
        <f t="shared" si="73"/>
        <v>0.13310344827586207</v>
      </c>
      <c r="Q261" s="625">
        <f t="shared" si="73"/>
        <v>0</v>
      </c>
      <c r="R261" s="625">
        <f t="shared" si="73"/>
        <v>0</v>
      </c>
      <c r="S261" s="626">
        <f t="shared" si="73"/>
        <v>0</v>
      </c>
      <c r="T261" s="624">
        <f t="shared" si="73"/>
        <v>0</v>
      </c>
      <c r="U261" s="274"/>
      <c r="V261" s="641">
        <v>324</v>
      </c>
      <c r="W261" s="642">
        <v>285</v>
      </c>
      <c r="X261" s="642">
        <v>268</v>
      </c>
      <c r="Y261" s="642">
        <v>347</v>
      </c>
      <c r="Z261" s="642">
        <v>23</v>
      </c>
      <c r="AA261" s="642">
        <v>122</v>
      </c>
      <c r="AB261" s="642"/>
      <c r="AC261" s="641">
        <v>1369</v>
      </c>
      <c r="AD261" s="641"/>
      <c r="AE261" s="642">
        <v>46</v>
      </c>
      <c r="AF261" s="642">
        <v>145</v>
      </c>
      <c r="AG261" s="642">
        <v>2</v>
      </c>
      <c r="AH261" s="642"/>
      <c r="AI261" s="641">
        <v>193</v>
      </c>
      <c r="AJ261" s="641"/>
      <c r="AK261" s="642"/>
      <c r="AL261" s="642"/>
      <c r="AM261" s="641"/>
    </row>
    <row r="262" spans="1:39">
      <c r="A262" s="648"/>
      <c r="B262" s="646" t="s">
        <v>77</v>
      </c>
      <c r="C262" s="624">
        <f t="shared" si="72"/>
        <v>0.23704663212435234</v>
      </c>
      <c r="D262" s="625">
        <f t="shared" si="72"/>
        <v>0.2857142857142857</v>
      </c>
      <c r="E262" s="625">
        <f t="shared" si="72"/>
        <v>0.25692041522491349</v>
      </c>
      <c r="F262" s="625">
        <f t="shared" si="72"/>
        <v>0.28158295281582951</v>
      </c>
      <c r="G262" s="625">
        <f t="shared" si="72"/>
        <v>0.5213675213675214</v>
      </c>
      <c r="H262" s="626">
        <f t="shared" si="72"/>
        <v>0.30663615560640733</v>
      </c>
      <c r="I262" s="625">
        <f t="shared" si="72"/>
        <v>0</v>
      </c>
      <c r="J262" s="661">
        <f t="shared" si="72"/>
        <v>0.27198291206835173</v>
      </c>
      <c r="K262" s="625">
        <f t="shared" si="72"/>
        <v>0</v>
      </c>
      <c r="L262" s="625">
        <f t="shared" si="72"/>
        <v>0.16025641025641027</v>
      </c>
      <c r="M262" s="625">
        <f t="shared" si="73"/>
        <v>0.14442013129102846</v>
      </c>
      <c r="N262" s="625">
        <f t="shared" si="73"/>
        <v>7.5892857142857137E-2</v>
      </c>
      <c r="O262" s="626">
        <f t="shared" si="73"/>
        <v>0</v>
      </c>
      <c r="P262" s="653">
        <f t="shared" si="73"/>
        <v>0.13724137931034483</v>
      </c>
      <c r="Q262" s="625">
        <f t="shared" si="73"/>
        <v>0</v>
      </c>
      <c r="R262" s="625">
        <f t="shared" si="73"/>
        <v>0</v>
      </c>
      <c r="S262" s="626">
        <f t="shared" si="73"/>
        <v>0</v>
      </c>
      <c r="T262" s="624">
        <f t="shared" si="73"/>
        <v>0</v>
      </c>
      <c r="U262" s="274"/>
      <c r="V262" s="641">
        <v>366</v>
      </c>
      <c r="W262" s="642">
        <v>300</v>
      </c>
      <c r="X262" s="642">
        <v>297</v>
      </c>
      <c r="Y262" s="642">
        <v>370</v>
      </c>
      <c r="Z262" s="642">
        <v>61</v>
      </c>
      <c r="AA262" s="642">
        <v>134</v>
      </c>
      <c r="AB262" s="642"/>
      <c r="AC262" s="641">
        <v>1528</v>
      </c>
      <c r="AD262" s="641"/>
      <c r="AE262" s="642">
        <v>50</v>
      </c>
      <c r="AF262" s="642">
        <v>132</v>
      </c>
      <c r="AG262" s="642">
        <v>17</v>
      </c>
      <c r="AH262" s="642"/>
      <c r="AI262" s="641">
        <v>199</v>
      </c>
      <c r="AJ262" s="641"/>
      <c r="AK262" s="642"/>
      <c r="AL262" s="642"/>
      <c r="AM262" s="641"/>
    </row>
    <row r="263" spans="1:39">
      <c r="A263" s="648"/>
      <c r="B263" s="646" t="s">
        <v>78</v>
      </c>
      <c r="C263" s="624">
        <f t="shared" si="72"/>
        <v>6.6062176165803108E-2</v>
      </c>
      <c r="D263" s="625">
        <f t="shared" si="72"/>
        <v>3.7142857142857144E-2</v>
      </c>
      <c r="E263" s="625">
        <f t="shared" si="72"/>
        <v>7.3529411764705885E-2</v>
      </c>
      <c r="F263" s="625">
        <f t="shared" si="72"/>
        <v>0.14155251141552511</v>
      </c>
      <c r="G263" s="625">
        <f t="shared" si="72"/>
        <v>8.5470085470085472E-2</v>
      </c>
      <c r="H263" s="626">
        <f t="shared" si="72"/>
        <v>0.16704805491990846</v>
      </c>
      <c r="I263" s="625">
        <f t="shared" si="72"/>
        <v>0</v>
      </c>
      <c r="J263" s="661">
        <f t="shared" si="72"/>
        <v>8.8109647561409751E-2</v>
      </c>
      <c r="K263" s="625">
        <f t="shared" si="72"/>
        <v>0</v>
      </c>
      <c r="L263" s="625">
        <f t="shared" si="72"/>
        <v>0.48717948717948717</v>
      </c>
      <c r="M263" s="625">
        <f t="shared" si="73"/>
        <v>0.24398249452954049</v>
      </c>
      <c r="N263" s="625">
        <f t="shared" si="73"/>
        <v>0.7633928571428571</v>
      </c>
      <c r="O263" s="626">
        <f t="shared" si="73"/>
        <v>0</v>
      </c>
      <c r="P263" s="653">
        <f t="shared" si="73"/>
        <v>0.37655172413793103</v>
      </c>
      <c r="Q263" s="625">
        <f t="shared" si="73"/>
        <v>0</v>
      </c>
      <c r="R263" s="625">
        <f t="shared" si="73"/>
        <v>0</v>
      </c>
      <c r="S263" s="626">
        <f t="shared" si="73"/>
        <v>0</v>
      </c>
      <c r="T263" s="624">
        <f t="shared" si="73"/>
        <v>0</v>
      </c>
      <c r="U263" s="274"/>
      <c r="V263" s="641">
        <v>102</v>
      </c>
      <c r="W263" s="642">
        <v>39</v>
      </c>
      <c r="X263" s="642">
        <v>85</v>
      </c>
      <c r="Y263" s="642">
        <v>186</v>
      </c>
      <c r="Z263" s="642">
        <v>10</v>
      </c>
      <c r="AA263" s="642">
        <v>73</v>
      </c>
      <c r="AB263" s="642"/>
      <c r="AC263" s="641">
        <v>495</v>
      </c>
      <c r="AD263" s="641"/>
      <c r="AE263" s="642">
        <v>152</v>
      </c>
      <c r="AF263" s="642">
        <v>223</v>
      </c>
      <c r="AG263" s="642">
        <v>171</v>
      </c>
      <c r="AH263" s="642"/>
      <c r="AI263" s="641">
        <v>546</v>
      </c>
      <c r="AJ263" s="641"/>
      <c r="AK263" s="642"/>
      <c r="AL263" s="642"/>
      <c r="AM263" s="641"/>
    </row>
    <row r="264" spans="1:39">
      <c r="A264" s="648"/>
      <c r="B264" s="646" t="s">
        <v>209</v>
      </c>
      <c r="C264" s="624">
        <f t="shared" si="72"/>
        <v>0.28303108808290156</v>
      </c>
      <c r="D264" s="625">
        <f t="shared" si="72"/>
        <v>0.17333333333333334</v>
      </c>
      <c r="E264" s="625">
        <f t="shared" si="72"/>
        <v>0.10034602076124567</v>
      </c>
      <c r="F264" s="625">
        <f t="shared" si="72"/>
        <v>2.2070015220700151E-2</v>
      </c>
      <c r="G264" s="625">
        <f t="shared" si="72"/>
        <v>0</v>
      </c>
      <c r="H264" s="626">
        <f t="shared" si="72"/>
        <v>0</v>
      </c>
      <c r="I264" s="625">
        <f t="shared" si="72"/>
        <v>0</v>
      </c>
      <c r="J264" s="661">
        <f t="shared" si="72"/>
        <v>0.13599145603417587</v>
      </c>
      <c r="K264" s="625">
        <f t="shared" si="72"/>
        <v>0</v>
      </c>
      <c r="L264" s="625">
        <f t="shared" si="72"/>
        <v>0</v>
      </c>
      <c r="M264" s="625">
        <f t="shared" si="73"/>
        <v>0.29431072210065645</v>
      </c>
      <c r="N264" s="625">
        <f t="shared" si="73"/>
        <v>0.13839285714285715</v>
      </c>
      <c r="O264" s="626">
        <f t="shared" si="73"/>
        <v>0</v>
      </c>
      <c r="P264" s="653">
        <f t="shared" si="73"/>
        <v>0.20689655172413793</v>
      </c>
      <c r="Q264" s="625">
        <f t="shared" si="73"/>
        <v>0</v>
      </c>
      <c r="R264" s="625">
        <f t="shared" si="73"/>
        <v>0</v>
      </c>
      <c r="S264" s="626">
        <f t="shared" si="73"/>
        <v>0</v>
      </c>
      <c r="T264" s="624">
        <f t="shared" si="73"/>
        <v>0</v>
      </c>
      <c r="U264" s="274"/>
      <c r="V264" s="641">
        <v>437</v>
      </c>
      <c r="W264" s="642">
        <v>182</v>
      </c>
      <c r="X264" s="642">
        <v>116</v>
      </c>
      <c r="Y264" s="642">
        <v>29</v>
      </c>
      <c r="Z264" s="642"/>
      <c r="AA264" s="642"/>
      <c r="AB264" s="642"/>
      <c r="AC264" s="641">
        <v>764</v>
      </c>
      <c r="AD264" s="641"/>
      <c r="AE264" s="642"/>
      <c r="AF264" s="642">
        <v>269</v>
      </c>
      <c r="AG264" s="642">
        <v>31</v>
      </c>
      <c r="AH264" s="642"/>
      <c r="AI264" s="641">
        <v>300</v>
      </c>
      <c r="AJ264" s="641"/>
      <c r="AK264" s="642"/>
      <c r="AL264" s="642"/>
      <c r="AM264" s="641"/>
    </row>
    <row r="265" spans="1:39">
      <c r="A265" s="649"/>
      <c r="B265" s="650" t="s">
        <v>59</v>
      </c>
      <c r="C265" s="577">
        <f t="shared" ref="C265:T265" si="74">SUM(C260:C264)</f>
        <v>1</v>
      </c>
      <c r="D265" s="578">
        <f t="shared" si="74"/>
        <v>1</v>
      </c>
      <c r="E265" s="578">
        <f t="shared" si="74"/>
        <v>0.99999999999999989</v>
      </c>
      <c r="F265" s="578">
        <f t="shared" si="74"/>
        <v>1</v>
      </c>
      <c r="G265" s="578">
        <f t="shared" si="74"/>
        <v>1</v>
      </c>
      <c r="H265" s="579">
        <f t="shared" si="74"/>
        <v>1</v>
      </c>
      <c r="I265" s="578">
        <f t="shared" si="74"/>
        <v>0</v>
      </c>
      <c r="J265" s="589">
        <f t="shared" si="74"/>
        <v>1</v>
      </c>
      <c r="K265" s="578">
        <f t="shared" si="74"/>
        <v>0</v>
      </c>
      <c r="L265" s="578">
        <f t="shared" si="74"/>
        <v>1</v>
      </c>
      <c r="M265" s="578">
        <f t="shared" si="74"/>
        <v>1</v>
      </c>
      <c r="N265" s="578">
        <f t="shared" si="74"/>
        <v>1</v>
      </c>
      <c r="O265" s="579">
        <f t="shared" si="74"/>
        <v>0</v>
      </c>
      <c r="P265" s="654">
        <f t="shared" si="74"/>
        <v>1</v>
      </c>
      <c r="Q265" s="578">
        <f t="shared" si="74"/>
        <v>0</v>
      </c>
      <c r="R265" s="578">
        <f t="shared" si="74"/>
        <v>0</v>
      </c>
      <c r="S265" s="579">
        <f t="shared" si="74"/>
        <v>0</v>
      </c>
      <c r="T265" s="577">
        <f t="shared" si="74"/>
        <v>0</v>
      </c>
      <c r="U265" s="274"/>
      <c r="V265" s="641">
        <v>1544</v>
      </c>
      <c r="W265" s="642">
        <v>1050</v>
      </c>
      <c r="X265" s="642">
        <v>1156</v>
      </c>
      <c r="Y265" s="642">
        <v>1314</v>
      </c>
      <c r="Z265" s="642">
        <v>117</v>
      </c>
      <c r="AA265" s="642">
        <v>437</v>
      </c>
      <c r="AB265" s="642"/>
      <c r="AC265" s="641">
        <v>5618</v>
      </c>
      <c r="AD265" s="641"/>
      <c r="AE265" s="642">
        <v>312</v>
      </c>
      <c r="AF265" s="642">
        <v>914</v>
      </c>
      <c r="AG265" s="642">
        <v>224</v>
      </c>
      <c r="AH265" s="642"/>
      <c r="AI265" s="641">
        <v>1450</v>
      </c>
      <c r="AJ265" s="641"/>
      <c r="AK265" s="642"/>
      <c r="AL265" s="642"/>
      <c r="AM265" s="641"/>
    </row>
    <row r="266" spans="1:39">
      <c r="A266" s="646" t="s">
        <v>154</v>
      </c>
      <c r="B266" s="647" t="s">
        <v>53</v>
      </c>
      <c r="C266" s="613">
        <f t="shared" ref="C266:L270" si="75">IF(V$271&gt;0,(V266/V$271),0)</f>
        <v>0.4344894026974952</v>
      </c>
      <c r="D266" s="614">
        <f t="shared" si="75"/>
        <v>0</v>
      </c>
      <c r="E266" s="614">
        <f t="shared" si="75"/>
        <v>0.31919642857142855</v>
      </c>
      <c r="F266" s="614">
        <f t="shared" si="75"/>
        <v>0.28463476070528965</v>
      </c>
      <c r="G266" s="614">
        <f t="shared" si="75"/>
        <v>0.41317365269461076</v>
      </c>
      <c r="H266" s="615">
        <f t="shared" si="75"/>
        <v>0</v>
      </c>
      <c r="I266" s="614">
        <f t="shared" si="75"/>
        <v>0</v>
      </c>
      <c r="J266" s="660">
        <f t="shared" si="75"/>
        <v>0.37853658536585366</v>
      </c>
      <c r="K266" s="614">
        <f t="shared" si="75"/>
        <v>0</v>
      </c>
      <c r="L266" s="614">
        <f t="shared" si="75"/>
        <v>0</v>
      </c>
      <c r="M266" s="614">
        <f t="shared" ref="M266:T270" si="76">IF(AF$271&gt;0,(AF266/AF$271),0)</f>
        <v>0</v>
      </c>
      <c r="N266" s="614">
        <f t="shared" si="76"/>
        <v>1.3698630136986301E-2</v>
      </c>
      <c r="O266" s="615">
        <f t="shared" si="76"/>
        <v>0</v>
      </c>
      <c r="P266" s="652">
        <f t="shared" si="76"/>
        <v>2.34192037470726E-3</v>
      </c>
      <c r="Q266" s="614">
        <f t="shared" si="76"/>
        <v>0</v>
      </c>
      <c r="R266" s="614">
        <f t="shared" si="76"/>
        <v>0</v>
      </c>
      <c r="S266" s="615">
        <f t="shared" si="76"/>
        <v>0</v>
      </c>
      <c r="T266" s="613">
        <f t="shared" si="76"/>
        <v>0</v>
      </c>
      <c r="U266" s="274"/>
      <c r="V266" s="639">
        <v>451</v>
      </c>
      <c r="W266" s="640"/>
      <c r="X266" s="640">
        <v>143</v>
      </c>
      <c r="Y266" s="640">
        <v>113</v>
      </c>
      <c r="Z266" s="640">
        <v>69</v>
      </c>
      <c r="AA266" s="640"/>
      <c r="AB266" s="640"/>
      <c r="AC266" s="639">
        <v>776</v>
      </c>
      <c r="AD266" s="639"/>
      <c r="AE266" s="640"/>
      <c r="AF266" s="640"/>
      <c r="AG266" s="640">
        <v>2</v>
      </c>
      <c r="AH266" s="640"/>
      <c r="AI266" s="639">
        <v>2</v>
      </c>
      <c r="AJ266" s="639"/>
      <c r="AK266" s="640"/>
      <c r="AL266" s="640"/>
      <c r="AM266" s="639"/>
    </row>
    <row r="267" spans="1:39">
      <c r="A267" s="648"/>
      <c r="B267" s="646" t="s">
        <v>76</v>
      </c>
      <c r="C267" s="624">
        <f t="shared" si="75"/>
        <v>0.29768786127167629</v>
      </c>
      <c r="D267" s="625">
        <f t="shared" si="75"/>
        <v>0</v>
      </c>
      <c r="E267" s="625">
        <f t="shared" si="75"/>
        <v>0.2857142857142857</v>
      </c>
      <c r="F267" s="625">
        <f t="shared" si="75"/>
        <v>0.29471032745591941</v>
      </c>
      <c r="G267" s="625">
        <f t="shared" si="75"/>
        <v>0.24550898203592814</v>
      </c>
      <c r="H267" s="626">
        <f t="shared" si="75"/>
        <v>0</v>
      </c>
      <c r="I267" s="625">
        <f t="shared" si="75"/>
        <v>0</v>
      </c>
      <c r="J267" s="661">
        <f t="shared" si="75"/>
        <v>0.29024390243902437</v>
      </c>
      <c r="K267" s="625">
        <f t="shared" si="75"/>
        <v>0</v>
      </c>
      <c r="L267" s="625">
        <f t="shared" si="75"/>
        <v>0</v>
      </c>
      <c r="M267" s="625">
        <f t="shared" si="76"/>
        <v>0</v>
      </c>
      <c r="N267" s="625">
        <f t="shared" si="76"/>
        <v>3.4246575342465752E-2</v>
      </c>
      <c r="O267" s="626">
        <f t="shared" si="76"/>
        <v>0</v>
      </c>
      <c r="P267" s="653">
        <f t="shared" si="76"/>
        <v>5.8548009367681503E-3</v>
      </c>
      <c r="Q267" s="625">
        <f t="shared" si="76"/>
        <v>0</v>
      </c>
      <c r="R267" s="625">
        <f t="shared" si="76"/>
        <v>0</v>
      </c>
      <c r="S267" s="626">
        <f t="shared" si="76"/>
        <v>0</v>
      </c>
      <c r="T267" s="624">
        <f t="shared" si="76"/>
        <v>0</v>
      </c>
      <c r="U267" s="274"/>
      <c r="V267" s="641">
        <v>309</v>
      </c>
      <c r="W267" s="642"/>
      <c r="X267" s="642">
        <v>128</v>
      </c>
      <c r="Y267" s="642">
        <v>117</v>
      </c>
      <c r="Z267" s="642">
        <v>41</v>
      </c>
      <c r="AA267" s="642"/>
      <c r="AB267" s="642"/>
      <c r="AC267" s="641">
        <v>595</v>
      </c>
      <c r="AD267" s="641"/>
      <c r="AE267" s="642"/>
      <c r="AF267" s="642"/>
      <c r="AG267" s="642">
        <v>5</v>
      </c>
      <c r="AH267" s="642"/>
      <c r="AI267" s="641">
        <v>5</v>
      </c>
      <c r="AJ267" s="641"/>
      <c r="AK267" s="642"/>
      <c r="AL267" s="642"/>
      <c r="AM267" s="641"/>
    </row>
    <row r="268" spans="1:39">
      <c r="A268" s="648"/>
      <c r="B268" s="646" t="s">
        <v>77</v>
      </c>
      <c r="C268" s="624">
        <f t="shared" si="75"/>
        <v>0.1724470134874759</v>
      </c>
      <c r="D268" s="625">
        <f t="shared" si="75"/>
        <v>0</v>
      </c>
      <c r="E268" s="625">
        <f t="shared" si="75"/>
        <v>0.27232142857142855</v>
      </c>
      <c r="F268" s="625">
        <f t="shared" si="75"/>
        <v>0.25188916876574308</v>
      </c>
      <c r="G268" s="625">
        <f t="shared" si="75"/>
        <v>0.20958083832335328</v>
      </c>
      <c r="H268" s="626">
        <f t="shared" si="75"/>
        <v>0</v>
      </c>
      <c r="I268" s="625">
        <f t="shared" si="75"/>
        <v>0</v>
      </c>
      <c r="J268" s="661">
        <f t="shared" si="75"/>
        <v>0.21268292682926829</v>
      </c>
      <c r="K268" s="625">
        <f t="shared" si="75"/>
        <v>0</v>
      </c>
      <c r="L268" s="625">
        <f t="shared" si="75"/>
        <v>0</v>
      </c>
      <c r="M268" s="625">
        <f t="shared" si="76"/>
        <v>0</v>
      </c>
      <c r="N268" s="625">
        <f t="shared" si="76"/>
        <v>3.4246575342465752E-2</v>
      </c>
      <c r="O268" s="626">
        <f t="shared" si="76"/>
        <v>0</v>
      </c>
      <c r="P268" s="653">
        <f t="shared" si="76"/>
        <v>5.8548009367681503E-3</v>
      </c>
      <c r="Q268" s="625">
        <f t="shared" si="76"/>
        <v>0</v>
      </c>
      <c r="R268" s="625">
        <f t="shared" si="76"/>
        <v>0</v>
      </c>
      <c r="S268" s="626">
        <f t="shared" si="76"/>
        <v>0</v>
      </c>
      <c r="T268" s="624">
        <f t="shared" si="76"/>
        <v>0</v>
      </c>
      <c r="U268" s="274"/>
      <c r="V268" s="641">
        <v>179</v>
      </c>
      <c r="W268" s="642"/>
      <c r="X268" s="642">
        <v>122</v>
      </c>
      <c r="Y268" s="642">
        <v>100</v>
      </c>
      <c r="Z268" s="642">
        <v>35</v>
      </c>
      <c r="AA268" s="642"/>
      <c r="AB268" s="642"/>
      <c r="AC268" s="641">
        <v>436</v>
      </c>
      <c r="AD268" s="641"/>
      <c r="AE268" s="642"/>
      <c r="AF268" s="642"/>
      <c r="AG268" s="642">
        <v>5</v>
      </c>
      <c r="AH268" s="642"/>
      <c r="AI268" s="641">
        <v>5</v>
      </c>
      <c r="AJ268" s="641"/>
      <c r="AK268" s="642"/>
      <c r="AL268" s="642"/>
      <c r="AM268" s="641"/>
    </row>
    <row r="269" spans="1:39">
      <c r="A269" s="648"/>
      <c r="B269" s="646" t="s">
        <v>78</v>
      </c>
      <c r="C269" s="624">
        <f t="shared" si="75"/>
        <v>0</v>
      </c>
      <c r="D269" s="625">
        <f t="shared" si="75"/>
        <v>0</v>
      </c>
      <c r="E269" s="625">
        <f t="shared" si="75"/>
        <v>8.2589285714285712E-2</v>
      </c>
      <c r="F269" s="625">
        <f t="shared" si="75"/>
        <v>5.0377833753148617E-2</v>
      </c>
      <c r="G269" s="625">
        <f t="shared" si="75"/>
        <v>0.12574850299401197</v>
      </c>
      <c r="H269" s="626">
        <f t="shared" si="75"/>
        <v>0</v>
      </c>
      <c r="I269" s="625">
        <f t="shared" si="75"/>
        <v>0</v>
      </c>
      <c r="J269" s="661">
        <f t="shared" si="75"/>
        <v>3.8048780487804877E-2</v>
      </c>
      <c r="K269" s="625">
        <f t="shared" si="75"/>
        <v>0</v>
      </c>
      <c r="L269" s="625">
        <f t="shared" si="75"/>
        <v>0</v>
      </c>
      <c r="M269" s="625">
        <f t="shared" si="76"/>
        <v>0.5901639344262295</v>
      </c>
      <c r="N269" s="625">
        <f t="shared" si="76"/>
        <v>0</v>
      </c>
      <c r="O269" s="626">
        <f t="shared" si="76"/>
        <v>0</v>
      </c>
      <c r="P269" s="653">
        <f t="shared" si="76"/>
        <v>0.16861826697892271</v>
      </c>
      <c r="Q269" s="625">
        <f t="shared" si="76"/>
        <v>0</v>
      </c>
      <c r="R269" s="625">
        <f t="shared" si="76"/>
        <v>0</v>
      </c>
      <c r="S269" s="626">
        <f t="shared" si="76"/>
        <v>0</v>
      </c>
      <c r="T269" s="624">
        <f t="shared" si="76"/>
        <v>0</v>
      </c>
      <c r="U269" s="274"/>
      <c r="V269" s="641"/>
      <c r="W269" s="642"/>
      <c r="X269" s="642">
        <v>37</v>
      </c>
      <c r="Y269" s="642">
        <v>20</v>
      </c>
      <c r="Z269" s="642">
        <v>21</v>
      </c>
      <c r="AA269" s="642"/>
      <c r="AB269" s="642"/>
      <c r="AC269" s="641">
        <v>78</v>
      </c>
      <c r="AD269" s="641"/>
      <c r="AE269" s="642"/>
      <c r="AF269" s="642">
        <v>144</v>
      </c>
      <c r="AG269" s="642"/>
      <c r="AH269" s="642"/>
      <c r="AI269" s="641">
        <v>144</v>
      </c>
      <c r="AJ269" s="641"/>
      <c r="AK269" s="642"/>
      <c r="AL269" s="642"/>
      <c r="AM269" s="641"/>
    </row>
    <row r="270" spans="1:39">
      <c r="A270" s="648"/>
      <c r="B270" s="646" t="s">
        <v>209</v>
      </c>
      <c r="C270" s="624">
        <f t="shared" si="75"/>
        <v>9.5375722543352595E-2</v>
      </c>
      <c r="D270" s="625">
        <f t="shared" si="75"/>
        <v>0</v>
      </c>
      <c r="E270" s="625">
        <f t="shared" si="75"/>
        <v>4.0178571428571432E-2</v>
      </c>
      <c r="F270" s="625">
        <f t="shared" si="75"/>
        <v>0.11838790931989925</v>
      </c>
      <c r="G270" s="625">
        <f t="shared" si="75"/>
        <v>5.9880239520958087E-3</v>
      </c>
      <c r="H270" s="626">
        <f t="shared" si="75"/>
        <v>0</v>
      </c>
      <c r="I270" s="625">
        <f t="shared" si="75"/>
        <v>0</v>
      </c>
      <c r="J270" s="661">
        <f t="shared" si="75"/>
        <v>8.0487804878048783E-2</v>
      </c>
      <c r="K270" s="625">
        <f t="shared" si="75"/>
        <v>0</v>
      </c>
      <c r="L270" s="625">
        <f t="shared" si="75"/>
        <v>1</v>
      </c>
      <c r="M270" s="625">
        <f t="shared" si="76"/>
        <v>0.4098360655737705</v>
      </c>
      <c r="N270" s="625">
        <f t="shared" si="76"/>
        <v>0.9178082191780822</v>
      </c>
      <c r="O270" s="626">
        <f t="shared" si="76"/>
        <v>0</v>
      </c>
      <c r="P270" s="653">
        <f t="shared" si="76"/>
        <v>0.81733021077283374</v>
      </c>
      <c r="Q270" s="625">
        <f t="shared" si="76"/>
        <v>0</v>
      </c>
      <c r="R270" s="625">
        <f t="shared" si="76"/>
        <v>0</v>
      </c>
      <c r="S270" s="626">
        <f t="shared" si="76"/>
        <v>0</v>
      </c>
      <c r="T270" s="624">
        <f t="shared" si="76"/>
        <v>0</v>
      </c>
      <c r="U270" s="274"/>
      <c r="V270" s="641">
        <v>99</v>
      </c>
      <c r="W270" s="642"/>
      <c r="X270" s="642">
        <v>18</v>
      </c>
      <c r="Y270" s="642">
        <v>47</v>
      </c>
      <c r="Z270" s="642">
        <v>1</v>
      </c>
      <c r="AA270" s="642"/>
      <c r="AB270" s="642"/>
      <c r="AC270" s="641">
        <v>165</v>
      </c>
      <c r="AD270" s="641"/>
      <c r="AE270" s="642">
        <v>464</v>
      </c>
      <c r="AF270" s="642">
        <v>100</v>
      </c>
      <c r="AG270" s="642">
        <v>134</v>
      </c>
      <c r="AH270" s="642"/>
      <c r="AI270" s="641">
        <v>698</v>
      </c>
      <c r="AJ270" s="641"/>
      <c r="AK270" s="642"/>
      <c r="AL270" s="642"/>
      <c r="AM270" s="641"/>
    </row>
    <row r="271" spans="1:39">
      <c r="A271" s="649"/>
      <c r="B271" s="650" t="s">
        <v>59</v>
      </c>
      <c r="C271" s="577">
        <f t="shared" ref="C271:T271" si="77">SUM(C266:C270)</f>
        <v>1</v>
      </c>
      <c r="D271" s="578">
        <f t="shared" si="77"/>
        <v>0</v>
      </c>
      <c r="E271" s="578">
        <f t="shared" si="77"/>
        <v>0.99999999999999989</v>
      </c>
      <c r="F271" s="578">
        <f t="shared" si="77"/>
        <v>1</v>
      </c>
      <c r="G271" s="578">
        <f t="shared" si="77"/>
        <v>1</v>
      </c>
      <c r="H271" s="579">
        <f t="shared" si="77"/>
        <v>0</v>
      </c>
      <c r="I271" s="578">
        <f t="shared" si="77"/>
        <v>0</v>
      </c>
      <c r="J271" s="589">
        <f t="shared" si="77"/>
        <v>0.99999999999999989</v>
      </c>
      <c r="K271" s="578">
        <f t="shared" si="77"/>
        <v>0</v>
      </c>
      <c r="L271" s="578">
        <f t="shared" si="77"/>
        <v>1</v>
      </c>
      <c r="M271" s="578">
        <f t="shared" si="77"/>
        <v>1</v>
      </c>
      <c r="N271" s="578">
        <f t="shared" si="77"/>
        <v>1</v>
      </c>
      <c r="O271" s="579">
        <f t="shared" si="77"/>
        <v>0</v>
      </c>
      <c r="P271" s="654">
        <f t="shared" si="77"/>
        <v>1</v>
      </c>
      <c r="Q271" s="578">
        <f t="shared" si="77"/>
        <v>0</v>
      </c>
      <c r="R271" s="578">
        <f t="shared" si="77"/>
        <v>0</v>
      </c>
      <c r="S271" s="579">
        <f t="shared" si="77"/>
        <v>0</v>
      </c>
      <c r="T271" s="577">
        <f t="shared" si="77"/>
        <v>0</v>
      </c>
      <c r="U271" s="274"/>
      <c r="V271" s="641">
        <v>1038</v>
      </c>
      <c r="W271" s="642"/>
      <c r="X271" s="642">
        <v>448</v>
      </c>
      <c r="Y271" s="642">
        <v>397</v>
      </c>
      <c r="Z271" s="642">
        <v>167</v>
      </c>
      <c r="AA271" s="642"/>
      <c r="AB271" s="642"/>
      <c r="AC271" s="641">
        <v>2050</v>
      </c>
      <c r="AD271" s="641"/>
      <c r="AE271" s="642">
        <v>464</v>
      </c>
      <c r="AF271" s="642">
        <v>244</v>
      </c>
      <c r="AG271" s="642">
        <v>146</v>
      </c>
      <c r="AH271" s="642"/>
      <c r="AI271" s="641">
        <v>854</v>
      </c>
      <c r="AJ271" s="641"/>
      <c r="AK271" s="642"/>
      <c r="AL271" s="642"/>
      <c r="AM271" s="641"/>
    </row>
    <row r="272" spans="1:39">
      <c r="A272" s="646" t="s">
        <v>153</v>
      </c>
      <c r="B272" s="647" t="s">
        <v>53</v>
      </c>
      <c r="C272" s="613">
        <f t="shared" ref="C272:L276" si="78">IF(V$277&gt;0,(V272/V$277),0)</f>
        <v>0</v>
      </c>
      <c r="D272" s="614">
        <f t="shared" si="78"/>
        <v>0.19011406844106463</v>
      </c>
      <c r="E272" s="614">
        <f t="shared" si="78"/>
        <v>0.25612052730696799</v>
      </c>
      <c r="F272" s="614">
        <f t="shared" si="78"/>
        <v>0.17613636363636365</v>
      </c>
      <c r="G272" s="614">
        <f t="shared" si="78"/>
        <v>0</v>
      </c>
      <c r="H272" s="615">
        <f t="shared" si="78"/>
        <v>0.18848167539267016</v>
      </c>
      <c r="I272" s="614">
        <f t="shared" si="78"/>
        <v>0</v>
      </c>
      <c r="J272" s="660">
        <f t="shared" si="78"/>
        <v>0.2127808988764045</v>
      </c>
      <c r="K272" s="614">
        <f t="shared" si="78"/>
        <v>0</v>
      </c>
      <c r="L272" s="614">
        <f t="shared" si="78"/>
        <v>0</v>
      </c>
      <c r="M272" s="614">
        <f t="shared" ref="M272:T276" si="79">IF(AF$277&gt;0,(AF272/AF$277),0)</f>
        <v>3.9130434782608699E-2</v>
      </c>
      <c r="N272" s="614">
        <f t="shared" si="79"/>
        <v>9.8214285714285712E-2</v>
      </c>
      <c r="O272" s="615">
        <f t="shared" si="79"/>
        <v>0</v>
      </c>
      <c r="P272" s="652">
        <f t="shared" si="79"/>
        <v>5.8479532163742687E-2</v>
      </c>
      <c r="Q272" s="614">
        <f t="shared" si="79"/>
        <v>0</v>
      </c>
      <c r="R272" s="614">
        <f t="shared" si="79"/>
        <v>0</v>
      </c>
      <c r="S272" s="615">
        <f t="shared" si="79"/>
        <v>0</v>
      </c>
      <c r="T272" s="613">
        <f t="shared" si="79"/>
        <v>0</v>
      </c>
      <c r="U272" s="274"/>
      <c r="V272" s="639"/>
      <c r="W272" s="640">
        <v>100</v>
      </c>
      <c r="X272" s="640">
        <v>136</v>
      </c>
      <c r="Y272" s="640">
        <v>31</v>
      </c>
      <c r="Z272" s="640"/>
      <c r="AA272" s="640">
        <v>36</v>
      </c>
      <c r="AB272" s="640"/>
      <c r="AC272" s="639">
        <v>303</v>
      </c>
      <c r="AD272" s="639"/>
      <c r="AE272" s="640"/>
      <c r="AF272" s="640">
        <v>9</v>
      </c>
      <c r="AG272" s="640">
        <v>11</v>
      </c>
      <c r="AH272" s="640"/>
      <c r="AI272" s="639">
        <v>20</v>
      </c>
      <c r="AJ272" s="639"/>
      <c r="AK272" s="640"/>
      <c r="AL272" s="640"/>
      <c r="AM272" s="639"/>
    </row>
    <row r="273" spans="1:39">
      <c r="A273" s="648"/>
      <c r="B273" s="646" t="s">
        <v>76</v>
      </c>
      <c r="C273" s="624">
        <f t="shared" si="78"/>
        <v>0</v>
      </c>
      <c r="D273" s="625">
        <f t="shared" si="78"/>
        <v>0.27186311787072243</v>
      </c>
      <c r="E273" s="625">
        <f t="shared" si="78"/>
        <v>0.25988700564971751</v>
      </c>
      <c r="F273" s="625">
        <f t="shared" si="78"/>
        <v>0.25568181818181818</v>
      </c>
      <c r="G273" s="625">
        <f t="shared" si="78"/>
        <v>0</v>
      </c>
      <c r="H273" s="626">
        <f t="shared" si="78"/>
        <v>0.18848167539267016</v>
      </c>
      <c r="I273" s="625">
        <f t="shared" si="78"/>
        <v>0</v>
      </c>
      <c r="J273" s="661">
        <f t="shared" si="78"/>
        <v>0.2542134831460674</v>
      </c>
      <c r="K273" s="625">
        <f t="shared" si="78"/>
        <v>0</v>
      </c>
      <c r="L273" s="625">
        <f t="shared" si="78"/>
        <v>0</v>
      </c>
      <c r="M273" s="625">
        <f t="shared" si="79"/>
        <v>0.45652173913043476</v>
      </c>
      <c r="N273" s="625">
        <f t="shared" si="79"/>
        <v>7.1428571428571425E-2</v>
      </c>
      <c r="O273" s="626">
        <f t="shared" si="79"/>
        <v>0</v>
      </c>
      <c r="P273" s="653">
        <f t="shared" si="79"/>
        <v>0.33040935672514621</v>
      </c>
      <c r="Q273" s="625">
        <f t="shared" si="79"/>
        <v>0</v>
      </c>
      <c r="R273" s="625">
        <f t="shared" si="79"/>
        <v>0</v>
      </c>
      <c r="S273" s="626">
        <f t="shared" si="79"/>
        <v>0</v>
      </c>
      <c r="T273" s="624">
        <f t="shared" si="79"/>
        <v>0</v>
      </c>
      <c r="U273" s="274"/>
      <c r="V273" s="641"/>
      <c r="W273" s="642">
        <v>143</v>
      </c>
      <c r="X273" s="642">
        <v>138</v>
      </c>
      <c r="Y273" s="642">
        <v>45</v>
      </c>
      <c r="Z273" s="642"/>
      <c r="AA273" s="642">
        <v>36</v>
      </c>
      <c r="AB273" s="642"/>
      <c r="AC273" s="641">
        <v>362</v>
      </c>
      <c r="AD273" s="641"/>
      <c r="AE273" s="642"/>
      <c r="AF273" s="642">
        <v>105</v>
      </c>
      <c r="AG273" s="642">
        <v>8</v>
      </c>
      <c r="AH273" s="642"/>
      <c r="AI273" s="641">
        <v>113</v>
      </c>
      <c r="AJ273" s="641"/>
      <c r="AK273" s="642"/>
      <c r="AL273" s="642"/>
      <c r="AM273" s="641"/>
    </row>
    <row r="274" spans="1:39">
      <c r="A274" s="648"/>
      <c r="B274" s="646" t="s">
        <v>77</v>
      </c>
      <c r="C274" s="624">
        <f t="shared" si="78"/>
        <v>0</v>
      </c>
      <c r="D274" s="625">
        <f t="shared" si="78"/>
        <v>0.41254752851711024</v>
      </c>
      <c r="E274" s="625">
        <f t="shared" si="78"/>
        <v>0.3408662900188324</v>
      </c>
      <c r="F274" s="625">
        <f t="shared" si="78"/>
        <v>0.375</v>
      </c>
      <c r="G274" s="625">
        <f t="shared" si="78"/>
        <v>0</v>
      </c>
      <c r="H274" s="626">
        <f t="shared" si="78"/>
        <v>0.37172774869109948</v>
      </c>
      <c r="I274" s="625">
        <f t="shared" si="78"/>
        <v>0</v>
      </c>
      <c r="J274" s="661">
        <f t="shared" si="78"/>
        <v>0.37570224719101125</v>
      </c>
      <c r="K274" s="625">
        <f t="shared" si="78"/>
        <v>0</v>
      </c>
      <c r="L274" s="625">
        <f t="shared" si="78"/>
        <v>0</v>
      </c>
      <c r="M274" s="625">
        <f t="shared" si="79"/>
        <v>0.29130434782608694</v>
      </c>
      <c r="N274" s="625">
        <f t="shared" si="79"/>
        <v>9.8214285714285712E-2</v>
      </c>
      <c r="O274" s="626">
        <f t="shared" si="79"/>
        <v>0</v>
      </c>
      <c r="P274" s="653">
        <f t="shared" si="79"/>
        <v>0.22807017543859648</v>
      </c>
      <c r="Q274" s="625">
        <f t="shared" si="79"/>
        <v>0</v>
      </c>
      <c r="R274" s="625">
        <f t="shared" si="79"/>
        <v>0</v>
      </c>
      <c r="S274" s="626">
        <f t="shared" si="79"/>
        <v>0</v>
      </c>
      <c r="T274" s="624">
        <f t="shared" si="79"/>
        <v>0</v>
      </c>
      <c r="U274" s="274"/>
      <c r="V274" s="641"/>
      <c r="W274" s="642">
        <v>217</v>
      </c>
      <c r="X274" s="642">
        <v>181</v>
      </c>
      <c r="Y274" s="642">
        <v>66</v>
      </c>
      <c r="Z274" s="642"/>
      <c r="AA274" s="642">
        <v>71</v>
      </c>
      <c r="AB274" s="642"/>
      <c r="AC274" s="641">
        <v>535</v>
      </c>
      <c r="AD274" s="641"/>
      <c r="AE274" s="642"/>
      <c r="AF274" s="642">
        <v>67</v>
      </c>
      <c r="AG274" s="642">
        <v>11</v>
      </c>
      <c r="AH274" s="642"/>
      <c r="AI274" s="641">
        <v>78</v>
      </c>
      <c r="AJ274" s="641"/>
      <c r="AK274" s="642"/>
      <c r="AL274" s="642"/>
      <c r="AM274" s="641"/>
    </row>
    <row r="275" spans="1:39">
      <c r="A275" s="648"/>
      <c r="B275" s="646" t="s">
        <v>78</v>
      </c>
      <c r="C275" s="624">
        <f t="shared" si="78"/>
        <v>0</v>
      </c>
      <c r="D275" s="625">
        <f t="shared" si="78"/>
        <v>5.3231939163498096E-2</v>
      </c>
      <c r="E275" s="625">
        <f t="shared" si="78"/>
        <v>1.8832391713747645E-2</v>
      </c>
      <c r="F275" s="625">
        <f t="shared" si="78"/>
        <v>0.11931818181818182</v>
      </c>
      <c r="G275" s="625">
        <f t="shared" si="78"/>
        <v>0</v>
      </c>
      <c r="H275" s="626">
        <f t="shared" si="78"/>
        <v>0.15183246073298429</v>
      </c>
      <c r="I275" s="625">
        <f t="shared" si="78"/>
        <v>0</v>
      </c>
      <c r="J275" s="661">
        <f t="shared" si="78"/>
        <v>6.1797752808988762E-2</v>
      </c>
      <c r="K275" s="625">
        <f t="shared" si="78"/>
        <v>0</v>
      </c>
      <c r="L275" s="625">
        <f t="shared" si="78"/>
        <v>0</v>
      </c>
      <c r="M275" s="625">
        <f t="shared" si="79"/>
        <v>0.19130434782608696</v>
      </c>
      <c r="N275" s="625">
        <f t="shared" si="79"/>
        <v>0.7232142857142857</v>
      </c>
      <c r="O275" s="626">
        <f t="shared" si="79"/>
        <v>0</v>
      </c>
      <c r="P275" s="653">
        <f t="shared" si="79"/>
        <v>0.36549707602339182</v>
      </c>
      <c r="Q275" s="625">
        <f t="shared" si="79"/>
        <v>0</v>
      </c>
      <c r="R275" s="625">
        <f t="shared" si="79"/>
        <v>0</v>
      </c>
      <c r="S275" s="626">
        <f t="shared" si="79"/>
        <v>0</v>
      </c>
      <c r="T275" s="624">
        <f t="shared" si="79"/>
        <v>0</v>
      </c>
      <c r="U275" s="274"/>
      <c r="V275" s="641"/>
      <c r="W275" s="642">
        <v>28</v>
      </c>
      <c r="X275" s="642">
        <v>10</v>
      </c>
      <c r="Y275" s="642">
        <v>21</v>
      </c>
      <c r="Z275" s="642"/>
      <c r="AA275" s="642">
        <v>29</v>
      </c>
      <c r="AB275" s="642"/>
      <c r="AC275" s="641">
        <v>88</v>
      </c>
      <c r="AD275" s="641"/>
      <c r="AE275" s="642"/>
      <c r="AF275" s="642">
        <v>44</v>
      </c>
      <c r="AG275" s="642">
        <v>81</v>
      </c>
      <c r="AH275" s="642"/>
      <c r="AI275" s="641">
        <v>125</v>
      </c>
      <c r="AJ275" s="641"/>
      <c r="AK275" s="642"/>
      <c r="AL275" s="642"/>
      <c r="AM275" s="641"/>
    </row>
    <row r="276" spans="1:39">
      <c r="A276" s="648"/>
      <c r="B276" s="646" t="s">
        <v>209</v>
      </c>
      <c r="C276" s="624">
        <f t="shared" si="78"/>
        <v>0</v>
      </c>
      <c r="D276" s="625">
        <f t="shared" si="78"/>
        <v>7.2243346007604556E-2</v>
      </c>
      <c r="E276" s="625">
        <f t="shared" si="78"/>
        <v>0.12429378531073447</v>
      </c>
      <c r="F276" s="625">
        <f t="shared" si="78"/>
        <v>7.3863636363636367E-2</v>
      </c>
      <c r="G276" s="625">
        <f t="shared" si="78"/>
        <v>0</v>
      </c>
      <c r="H276" s="626">
        <f t="shared" si="78"/>
        <v>9.947643979057591E-2</v>
      </c>
      <c r="I276" s="625">
        <f t="shared" si="78"/>
        <v>0</v>
      </c>
      <c r="J276" s="661">
        <f t="shared" si="78"/>
        <v>9.5505617977528087E-2</v>
      </c>
      <c r="K276" s="625">
        <f t="shared" si="78"/>
        <v>0</v>
      </c>
      <c r="L276" s="625">
        <f t="shared" si="78"/>
        <v>0</v>
      </c>
      <c r="M276" s="625">
        <f t="shared" si="79"/>
        <v>2.1739130434782608E-2</v>
      </c>
      <c r="N276" s="625">
        <f t="shared" si="79"/>
        <v>8.9285714285714281E-3</v>
      </c>
      <c r="O276" s="626">
        <f t="shared" si="79"/>
        <v>0</v>
      </c>
      <c r="P276" s="653">
        <f t="shared" si="79"/>
        <v>1.7543859649122806E-2</v>
      </c>
      <c r="Q276" s="625">
        <f t="shared" si="79"/>
        <v>0</v>
      </c>
      <c r="R276" s="625">
        <f t="shared" si="79"/>
        <v>0</v>
      </c>
      <c r="S276" s="626">
        <f t="shared" si="79"/>
        <v>0</v>
      </c>
      <c r="T276" s="624">
        <f t="shared" si="79"/>
        <v>0</v>
      </c>
      <c r="U276" s="274"/>
      <c r="V276" s="641"/>
      <c r="W276" s="642">
        <v>38</v>
      </c>
      <c r="X276" s="642">
        <v>66</v>
      </c>
      <c r="Y276" s="642">
        <v>13</v>
      </c>
      <c r="Z276" s="642"/>
      <c r="AA276" s="642">
        <v>19</v>
      </c>
      <c r="AB276" s="642"/>
      <c r="AC276" s="641">
        <v>136</v>
      </c>
      <c r="AD276" s="641"/>
      <c r="AE276" s="642"/>
      <c r="AF276" s="642">
        <v>5</v>
      </c>
      <c r="AG276" s="642">
        <v>1</v>
      </c>
      <c r="AH276" s="642"/>
      <c r="AI276" s="641">
        <v>6</v>
      </c>
      <c r="AJ276" s="641"/>
      <c r="AK276" s="642"/>
      <c r="AL276" s="642"/>
      <c r="AM276" s="641"/>
    </row>
    <row r="277" spans="1:39">
      <c r="A277" s="649"/>
      <c r="B277" s="650" t="s">
        <v>59</v>
      </c>
      <c r="C277" s="577">
        <f t="shared" ref="C277:T277" si="80">SUM(C272:C276)</f>
        <v>0</v>
      </c>
      <c r="D277" s="578">
        <f t="shared" si="80"/>
        <v>0.99999999999999989</v>
      </c>
      <c r="E277" s="578">
        <f t="shared" si="80"/>
        <v>1</v>
      </c>
      <c r="F277" s="578">
        <f t="shared" si="80"/>
        <v>1.0000000000000002</v>
      </c>
      <c r="G277" s="578">
        <f t="shared" si="80"/>
        <v>0</v>
      </c>
      <c r="H277" s="579">
        <f t="shared" si="80"/>
        <v>1</v>
      </c>
      <c r="I277" s="578">
        <f t="shared" si="80"/>
        <v>0</v>
      </c>
      <c r="J277" s="589">
        <f t="shared" si="80"/>
        <v>1</v>
      </c>
      <c r="K277" s="578">
        <f t="shared" si="80"/>
        <v>0</v>
      </c>
      <c r="L277" s="578">
        <f t="shared" si="80"/>
        <v>0</v>
      </c>
      <c r="M277" s="578">
        <f t="shared" si="80"/>
        <v>0.99999999999999989</v>
      </c>
      <c r="N277" s="578">
        <f t="shared" si="80"/>
        <v>1</v>
      </c>
      <c r="O277" s="579">
        <f t="shared" si="80"/>
        <v>0</v>
      </c>
      <c r="P277" s="654">
        <f t="shared" si="80"/>
        <v>1</v>
      </c>
      <c r="Q277" s="578">
        <f t="shared" si="80"/>
        <v>0</v>
      </c>
      <c r="R277" s="578">
        <f t="shared" si="80"/>
        <v>0</v>
      </c>
      <c r="S277" s="579">
        <f t="shared" si="80"/>
        <v>0</v>
      </c>
      <c r="T277" s="577">
        <f t="shared" si="80"/>
        <v>0</v>
      </c>
      <c r="U277" s="274"/>
      <c r="V277" s="641"/>
      <c r="W277" s="642">
        <v>526</v>
      </c>
      <c r="X277" s="642">
        <v>531</v>
      </c>
      <c r="Y277" s="642">
        <v>176</v>
      </c>
      <c r="Z277" s="642"/>
      <c r="AA277" s="642">
        <v>191</v>
      </c>
      <c r="AB277" s="642"/>
      <c r="AC277" s="641">
        <v>1424</v>
      </c>
      <c r="AD277" s="641"/>
      <c r="AE277" s="642"/>
      <c r="AF277" s="642">
        <v>230</v>
      </c>
      <c r="AG277" s="642">
        <v>112</v>
      </c>
      <c r="AH277" s="642"/>
      <c r="AI277" s="641">
        <v>342</v>
      </c>
      <c r="AJ277" s="641"/>
      <c r="AK277" s="642"/>
      <c r="AL277" s="642"/>
      <c r="AM277" s="641"/>
    </row>
    <row r="278" spans="1:39">
      <c r="A278" s="646" t="s">
        <v>160</v>
      </c>
      <c r="B278" s="647" t="s">
        <v>53</v>
      </c>
      <c r="C278" s="613">
        <f t="shared" ref="C278:L282" si="81">IF(V$283&gt;0,(V278/V$283),0)</f>
        <v>0.36836734693877549</v>
      </c>
      <c r="D278" s="614">
        <f t="shared" si="81"/>
        <v>0.29574350469872857</v>
      </c>
      <c r="E278" s="614">
        <f t="shared" si="81"/>
        <v>0.33923303834808261</v>
      </c>
      <c r="F278" s="614">
        <f t="shared" si="81"/>
        <v>0</v>
      </c>
      <c r="G278" s="614">
        <f t="shared" si="81"/>
        <v>0</v>
      </c>
      <c r="H278" s="615">
        <f t="shared" si="81"/>
        <v>0.19392523364485981</v>
      </c>
      <c r="I278" s="614">
        <f t="shared" si="81"/>
        <v>0.13970588235294118</v>
      </c>
      <c r="J278" s="660">
        <f t="shared" si="81"/>
        <v>0.32894345974848993</v>
      </c>
      <c r="K278" s="614">
        <f t="shared" si="81"/>
        <v>0.28099173553719009</v>
      </c>
      <c r="L278" s="614">
        <f t="shared" si="81"/>
        <v>0.24483204134366926</v>
      </c>
      <c r="M278" s="614">
        <f t="shared" ref="M278:T282" si="82">IF(AF$283&gt;0,(AF278/AF$283),0)</f>
        <v>0.2317262830482115</v>
      </c>
      <c r="N278" s="614">
        <f t="shared" si="82"/>
        <v>0.11530172413793104</v>
      </c>
      <c r="O278" s="615">
        <f t="shared" si="82"/>
        <v>0</v>
      </c>
      <c r="P278" s="652">
        <f t="shared" si="82"/>
        <v>0.20648148148148149</v>
      </c>
      <c r="Q278" s="614">
        <f t="shared" si="82"/>
        <v>0</v>
      </c>
      <c r="R278" s="614">
        <f t="shared" si="82"/>
        <v>0</v>
      </c>
      <c r="S278" s="615">
        <f t="shared" si="82"/>
        <v>0</v>
      </c>
      <c r="T278" s="613">
        <f t="shared" si="82"/>
        <v>0</v>
      </c>
      <c r="U278" s="274"/>
      <c r="V278" s="639">
        <v>1805</v>
      </c>
      <c r="W278" s="640">
        <v>1070</v>
      </c>
      <c r="X278" s="640">
        <v>345</v>
      </c>
      <c r="Y278" s="640"/>
      <c r="Z278" s="640"/>
      <c r="AA278" s="640">
        <v>83</v>
      </c>
      <c r="AB278" s="640">
        <v>19</v>
      </c>
      <c r="AC278" s="639">
        <v>3322</v>
      </c>
      <c r="AD278" s="639">
        <v>34</v>
      </c>
      <c r="AE278" s="640">
        <v>379</v>
      </c>
      <c r="AF278" s="640">
        <v>149</v>
      </c>
      <c r="AG278" s="640">
        <v>107</v>
      </c>
      <c r="AH278" s="640"/>
      <c r="AI278" s="639">
        <v>669</v>
      </c>
      <c r="AJ278" s="639"/>
      <c r="AK278" s="640"/>
      <c r="AL278" s="640"/>
      <c r="AM278" s="639"/>
    </row>
    <row r="279" spans="1:39">
      <c r="A279" s="648"/>
      <c r="B279" s="646" t="s">
        <v>76</v>
      </c>
      <c r="C279" s="624">
        <f t="shared" si="81"/>
        <v>0.33653061224489794</v>
      </c>
      <c r="D279" s="625">
        <f t="shared" si="81"/>
        <v>0.28938640132669985</v>
      </c>
      <c r="E279" s="625">
        <f t="shared" si="81"/>
        <v>0.2831858407079646</v>
      </c>
      <c r="F279" s="625">
        <f t="shared" si="81"/>
        <v>0</v>
      </c>
      <c r="G279" s="625">
        <f t="shared" si="81"/>
        <v>0</v>
      </c>
      <c r="H279" s="626">
        <f t="shared" si="81"/>
        <v>0.34813084112149534</v>
      </c>
      <c r="I279" s="625">
        <f t="shared" si="81"/>
        <v>0.30882352941176472</v>
      </c>
      <c r="J279" s="661">
        <f t="shared" si="81"/>
        <v>0.31438756312506189</v>
      </c>
      <c r="K279" s="625">
        <f t="shared" si="81"/>
        <v>0.33057851239669422</v>
      </c>
      <c r="L279" s="625">
        <f t="shared" si="81"/>
        <v>0.15180878552971577</v>
      </c>
      <c r="M279" s="625">
        <f t="shared" si="82"/>
        <v>0.25038880248833595</v>
      </c>
      <c r="N279" s="625">
        <f t="shared" si="82"/>
        <v>0.27262931034482757</v>
      </c>
      <c r="O279" s="626">
        <f t="shared" si="82"/>
        <v>0</v>
      </c>
      <c r="P279" s="653">
        <f t="shared" si="82"/>
        <v>0.21265432098765433</v>
      </c>
      <c r="Q279" s="625">
        <f t="shared" si="82"/>
        <v>0</v>
      </c>
      <c r="R279" s="625">
        <f t="shared" si="82"/>
        <v>0</v>
      </c>
      <c r="S279" s="626">
        <f t="shared" si="82"/>
        <v>0</v>
      </c>
      <c r="T279" s="624">
        <f t="shared" si="82"/>
        <v>0</v>
      </c>
      <c r="U279" s="274"/>
      <c r="V279" s="641">
        <v>1649</v>
      </c>
      <c r="W279" s="642">
        <v>1047</v>
      </c>
      <c r="X279" s="642">
        <v>288</v>
      </c>
      <c r="Y279" s="642"/>
      <c r="Z279" s="642"/>
      <c r="AA279" s="642">
        <v>149</v>
      </c>
      <c r="AB279" s="642">
        <v>42</v>
      </c>
      <c r="AC279" s="641">
        <v>3175</v>
      </c>
      <c r="AD279" s="641">
        <v>40</v>
      </c>
      <c r="AE279" s="642">
        <v>235</v>
      </c>
      <c r="AF279" s="642">
        <v>161</v>
      </c>
      <c r="AG279" s="642">
        <v>253</v>
      </c>
      <c r="AH279" s="642"/>
      <c r="AI279" s="641">
        <v>689</v>
      </c>
      <c r="AJ279" s="641"/>
      <c r="AK279" s="642"/>
      <c r="AL279" s="642"/>
      <c r="AM279" s="641"/>
    </row>
    <row r="280" spans="1:39">
      <c r="A280" s="648"/>
      <c r="B280" s="646" t="s">
        <v>77</v>
      </c>
      <c r="C280" s="624">
        <f t="shared" si="81"/>
        <v>0.25469387755102041</v>
      </c>
      <c r="D280" s="625">
        <f t="shared" si="81"/>
        <v>0.2537313432835821</v>
      </c>
      <c r="E280" s="625">
        <f t="shared" si="81"/>
        <v>0.23008849557522124</v>
      </c>
      <c r="F280" s="625">
        <f t="shared" si="81"/>
        <v>0</v>
      </c>
      <c r="G280" s="625">
        <f t="shared" si="81"/>
        <v>0</v>
      </c>
      <c r="H280" s="626">
        <f t="shared" si="81"/>
        <v>0.3574766355140187</v>
      </c>
      <c r="I280" s="625">
        <f t="shared" si="81"/>
        <v>0.38235294117647056</v>
      </c>
      <c r="J280" s="661">
        <f t="shared" si="81"/>
        <v>0.25794633131993266</v>
      </c>
      <c r="K280" s="625">
        <f t="shared" si="81"/>
        <v>0.34710743801652894</v>
      </c>
      <c r="L280" s="625">
        <f t="shared" si="81"/>
        <v>0.27390180878552972</v>
      </c>
      <c r="M280" s="625">
        <f t="shared" si="82"/>
        <v>0.2286158631415241</v>
      </c>
      <c r="N280" s="625">
        <f t="shared" si="82"/>
        <v>0.31681034482758619</v>
      </c>
      <c r="O280" s="626">
        <f t="shared" si="82"/>
        <v>0</v>
      </c>
      <c r="P280" s="653">
        <f t="shared" si="82"/>
        <v>0.27993827160493828</v>
      </c>
      <c r="Q280" s="625">
        <f t="shared" si="82"/>
        <v>0</v>
      </c>
      <c r="R280" s="625">
        <f t="shared" si="82"/>
        <v>0</v>
      </c>
      <c r="S280" s="626">
        <f t="shared" si="82"/>
        <v>0</v>
      </c>
      <c r="T280" s="624">
        <f t="shared" si="82"/>
        <v>0</v>
      </c>
      <c r="U280" s="274"/>
      <c r="V280" s="641">
        <v>1248</v>
      </c>
      <c r="W280" s="642">
        <v>918</v>
      </c>
      <c r="X280" s="642">
        <v>234</v>
      </c>
      <c r="Y280" s="642"/>
      <c r="Z280" s="642"/>
      <c r="AA280" s="642">
        <v>153</v>
      </c>
      <c r="AB280" s="642">
        <v>52</v>
      </c>
      <c r="AC280" s="641">
        <v>2605</v>
      </c>
      <c r="AD280" s="641">
        <v>42</v>
      </c>
      <c r="AE280" s="642">
        <v>424</v>
      </c>
      <c r="AF280" s="642">
        <v>147</v>
      </c>
      <c r="AG280" s="642">
        <v>294</v>
      </c>
      <c r="AH280" s="642"/>
      <c r="AI280" s="641">
        <v>907</v>
      </c>
      <c r="AJ280" s="641"/>
      <c r="AK280" s="642"/>
      <c r="AL280" s="642"/>
      <c r="AM280" s="641"/>
    </row>
    <row r="281" spans="1:39">
      <c r="A281" s="648"/>
      <c r="B281" s="646" t="s">
        <v>78</v>
      </c>
      <c r="C281" s="624">
        <f t="shared" si="81"/>
        <v>7.7551020408163267E-3</v>
      </c>
      <c r="D281" s="625">
        <f t="shared" si="81"/>
        <v>9.6185737976782759E-2</v>
      </c>
      <c r="E281" s="625">
        <f t="shared" si="81"/>
        <v>0.10226155358898721</v>
      </c>
      <c r="F281" s="625">
        <f t="shared" si="81"/>
        <v>0</v>
      </c>
      <c r="G281" s="625">
        <f t="shared" si="81"/>
        <v>0</v>
      </c>
      <c r="H281" s="626">
        <f t="shared" si="81"/>
        <v>7.0093457943925228E-2</v>
      </c>
      <c r="I281" s="625">
        <f t="shared" si="81"/>
        <v>0.16911764705882354</v>
      </c>
      <c r="J281" s="661">
        <f t="shared" si="81"/>
        <v>5.3767699772254679E-2</v>
      </c>
      <c r="K281" s="625">
        <f t="shared" si="81"/>
        <v>4.1322314049586778E-2</v>
      </c>
      <c r="L281" s="625">
        <f t="shared" si="81"/>
        <v>0.1434108527131783</v>
      </c>
      <c r="M281" s="625">
        <f t="shared" si="82"/>
        <v>0.21617418351477449</v>
      </c>
      <c r="N281" s="625">
        <f t="shared" si="82"/>
        <v>0.18857758620689655</v>
      </c>
      <c r="O281" s="626">
        <f t="shared" si="82"/>
        <v>0</v>
      </c>
      <c r="P281" s="653">
        <f t="shared" si="82"/>
        <v>0.1669753086419753</v>
      </c>
      <c r="Q281" s="625">
        <f t="shared" si="82"/>
        <v>0</v>
      </c>
      <c r="R281" s="625">
        <f t="shared" si="82"/>
        <v>0</v>
      </c>
      <c r="S281" s="626">
        <f t="shared" si="82"/>
        <v>0</v>
      </c>
      <c r="T281" s="624">
        <f t="shared" si="82"/>
        <v>0</v>
      </c>
      <c r="U281" s="274"/>
      <c r="V281" s="641">
        <v>38</v>
      </c>
      <c r="W281" s="642">
        <v>348</v>
      </c>
      <c r="X281" s="642">
        <v>104</v>
      </c>
      <c r="Y281" s="642"/>
      <c r="Z281" s="642"/>
      <c r="AA281" s="642">
        <v>30</v>
      </c>
      <c r="AB281" s="642">
        <v>23</v>
      </c>
      <c r="AC281" s="641">
        <v>543</v>
      </c>
      <c r="AD281" s="641">
        <v>5</v>
      </c>
      <c r="AE281" s="642">
        <v>222</v>
      </c>
      <c r="AF281" s="642">
        <v>139</v>
      </c>
      <c r="AG281" s="642">
        <v>175</v>
      </c>
      <c r="AH281" s="642"/>
      <c r="AI281" s="641">
        <v>541</v>
      </c>
      <c r="AJ281" s="641"/>
      <c r="AK281" s="642"/>
      <c r="AL281" s="642"/>
      <c r="AM281" s="641"/>
    </row>
    <row r="282" spans="1:39">
      <c r="A282" s="648"/>
      <c r="B282" s="646" t="s">
        <v>209</v>
      </c>
      <c r="C282" s="624">
        <f t="shared" si="81"/>
        <v>3.2653061224489799E-2</v>
      </c>
      <c r="D282" s="625">
        <f t="shared" si="81"/>
        <v>6.495301271420674E-2</v>
      </c>
      <c r="E282" s="625">
        <f t="shared" si="81"/>
        <v>4.5231071779744343E-2</v>
      </c>
      <c r="F282" s="625">
        <f t="shared" si="81"/>
        <v>0</v>
      </c>
      <c r="G282" s="625">
        <f t="shared" si="81"/>
        <v>0</v>
      </c>
      <c r="H282" s="626">
        <f t="shared" si="81"/>
        <v>3.0373831775700934E-2</v>
      </c>
      <c r="I282" s="625">
        <f t="shared" si="81"/>
        <v>0</v>
      </c>
      <c r="J282" s="661">
        <f t="shared" si="81"/>
        <v>4.4954946034260819E-2</v>
      </c>
      <c r="K282" s="625">
        <f t="shared" si="81"/>
        <v>0</v>
      </c>
      <c r="L282" s="625">
        <f t="shared" si="81"/>
        <v>0.18604651162790697</v>
      </c>
      <c r="M282" s="625">
        <f t="shared" si="82"/>
        <v>7.3094867807153963E-2</v>
      </c>
      <c r="N282" s="625">
        <f t="shared" si="82"/>
        <v>0.10668103448275862</v>
      </c>
      <c r="O282" s="626">
        <f t="shared" si="82"/>
        <v>0</v>
      </c>
      <c r="P282" s="653">
        <f t="shared" si="82"/>
        <v>0.13395061728395061</v>
      </c>
      <c r="Q282" s="625">
        <f t="shared" si="82"/>
        <v>0</v>
      </c>
      <c r="R282" s="625">
        <f t="shared" si="82"/>
        <v>0</v>
      </c>
      <c r="S282" s="626">
        <f t="shared" si="82"/>
        <v>0</v>
      </c>
      <c r="T282" s="624">
        <f t="shared" si="82"/>
        <v>0</v>
      </c>
      <c r="U282" s="274"/>
      <c r="V282" s="641">
        <v>160</v>
      </c>
      <c r="W282" s="642">
        <v>235</v>
      </c>
      <c r="X282" s="642">
        <v>46</v>
      </c>
      <c r="Y282" s="642"/>
      <c r="Z282" s="642"/>
      <c r="AA282" s="642">
        <v>13</v>
      </c>
      <c r="AB282" s="642"/>
      <c r="AC282" s="641">
        <v>454</v>
      </c>
      <c r="AD282" s="641"/>
      <c r="AE282" s="642">
        <v>288</v>
      </c>
      <c r="AF282" s="642">
        <v>47</v>
      </c>
      <c r="AG282" s="642">
        <v>99</v>
      </c>
      <c r="AH282" s="642"/>
      <c r="AI282" s="641">
        <v>434</v>
      </c>
      <c r="AJ282" s="641"/>
      <c r="AK282" s="642"/>
      <c r="AL282" s="642"/>
      <c r="AM282" s="641"/>
    </row>
    <row r="283" spans="1:39">
      <c r="A283" s="649"/>
      <c r="B283" s="650" t="s">
        <v>59</v>
      </c>
      <c r="C283" s="577">
        <f t="shared" ref="C283:T283" si="83">SUM(C278:C282)</f>
        <v>1</v>
      </c>
      <c r="D283" s="578">
        <f t="shared" si="83"/>
        <v>1.0000000000000002</v>
      </c>
      <c r="E283" s="578">
        <f t="shared" si="83"/>
        <v>1</v>
      </c>
      <c r="F283" s="578">
        <f t="shared" si="83"/>
        <v>0</v>
      </c>
      <c r="G283" s="578">
        <f t="shared" si="83"/>
        <v>0</v>
      </c>
      <c r="H283" s="579">
        <f t="shared" si="83"/>
        <v>1</v>
      </c>
      <c r="I283" s="578">
        <f t="shared" si="83"/>
        <v>1</v>
      </c>
      <c r="J283" s="589">
        <f t="shared" si="83"/>
        <v>1</v>
      </c>
      <c r="K283" s="578">
        <f t="shared" si="83"/>
        <v>0.99999999999999989</v>
      </c>
      <c r="L283" s="578">
        <f t="shared" si="83"/>
        <v>1</v>
      </c>
      <c r="M283" s="578">
        <f t="shared" si="83"/>
        <v>1</v>
      </c>
      <c r="N283" s="578">
        <f t="shared" si="83"/>
        <v>1</v>
      </c>
      <c r="O283" s="579">
        <f t="shared" si="83"/>
        <v>0</v>
      </c>
      <c r="P283" s="654">
        <f t="shared" si="83"/>
        <v>1</v>
      </c>
      <c r="Q283" s="578">
        <f t="shared" si="83"/>
        <v>0</v>
      </c>
      <c r="R283" s="578">
        <f t="shared" si="83"/>
        <v>0</v>
      </c>
      <c r="S283" s="579">
        <f t="shared" si="83"/>
        <v>0</v>
      </c>
      <c r="T283" s="577">
        <f t="shared" si="83"/>
        <v>0</v>
      </c>
      <c r="U283" s="274"/>
      <c r="V283" s="641">
        <v>4900</v>
      </c>
      <c r="W283" s="642">
        <v>3618</v>
      </c>
      <c r="X283" s="642">
        <v>1017</v>
      </c>
      <c r="Y283" s="642"/>
      <c r="Z283" s="642"/>
      <c r="AA283" s="642">
        <v>428</v>
      </c>
      <c r="AB283" s="642">
        <v>136</v>
      </c>
      <c r="AC283" s="641">
        <v>10099</v>
      </c>
      <c r="AD283" s="641">
        <v>121</v>
      </c>
      <c r="AE283" s="642">
        <v>1548</v>
      </c>
      <c r="AF283" s="642">
        <v>643</v>
      </c>
      <c r="AG283" s="642">
        <v>928</v>
      </c>
      <c r="AH283" s="642"/>
      <c r="AI283" s="641">
        <v>3240</v>
      </c>
      <c r="AJ283" s="641"/>
      <c r="AK283" s="642"/>
      <c r="AL283" s="642"/>
      <c r="AM283" s="641"/>
    </row>
    <row r="284" spans="1:39">
      <c r="A284" s="646" t="s">
        <v>164</v>
      </c>
      <c r="B284" s="647" t="s">
        <v>53</v>
      </c>
      <c r="C284" s="613">
        <f t="shared" ref="C284:L288" si="84">IF(V$289&gt;0,(V284/V$289),0)</f>
        <v>0</v>
      </c>
      <c r="D284" s="614">
        <f t="shared" si="84"/>
        <v>0</v>
      </c>
      <c r="E284" s="614">
        <f t="shared" si="84"/>
        <v>0.29301075268817206</v>
      </c>
      <c r="F284" s="614">
        <f t="shared" si="84"/>
        <v>0</v>
      </c>
      <c r="G284" s="614">
        <f t="shared" si="84"/>
        <v>0.18092105263157895</v>
      </c>
      <c r="H284" s="615">
        <f t="shared" si="84"/>
        <v>0</v>
      </c>
      <c r="I284" s="614">
        <f t="shared" si="84"/>
        <v>6.9767441860465115E-2</v>
      </c>
      <c r="J284" s="660">
        <f t="shared" si="84"/>
        <v>0.24041811846689895</v>
      </c>
      <c r="K284" s="614">
        <f t="shared" si="84"/>
        <v>0</v>
      </c>
      <c r="L284" s="614">
        <f t="shared" si="84"/>
        <v>0</v>
      </c>
      <c r="M284" s="614">
        <f t="shared" ref="M284:T288" si="85">IF(AF$289&gt;0,(AF284/AF$289),0)</f>
        <v>0</v>
      </c>
      <c r="N284" s="614">
        <f t="shared" si="85"/>
        <v>0</v>
      </c>
      <c r="O284" s="615">
        <f t="shared" si="85"/>
        <v>0</v>
      </c>
      <c r="P284" s="652">
        <f t="shared" si="85"/>
        <v>0</v>
      </c>
      <c r="Q284" s="614">
        <f t="shared" si="85"/>
        <v>0</v>
      </c>
      <c r="R284" s="614">
        <f t="shared" si="85"/>
        <v>0</v>
      </c>
      <c r="S284" s="615">
        <f t="shared" si="85"/>
        <v>0</v>
      </c>
      <c r="T284" s="613">
        <f t="shared" si="85"/>
        <v>0</v>
      </c>
      <c r="U284" s="274"/>
      <c r="V284" s="639"/>
      <c r="W284" s="640"/>
      <c r="X284" s="640">
        <v>218</v>
      </c>
      <c r="Y284" s="640"/>
      <c r="Z284" s="640">
        <v>55</v>
      </c>
      <c r="AA284" s="640"/>
      <c r="AB284" s="640">
        <v>3</v>
      </c>
      <c r="AC284" s="639">
        <v>276</v>
      </c>
      <c r="AD284" s="639"/>
      <c r="AE284" s="640"/>
      <c r="AF284" s="640"/>
      <c r="AG284" s="640"/>
      <c r="AH284" s="640"/>
      <c r="AI284" s="639"/>
      <c r="AJ284" s="639"/>
      <c r="AK284" s="640"/>
      <c r="AL284" s="640"/>
      <c r="AM284" s="639"/>
    </row>
    <row r="285" spans="1:39">
      <c r="A285" s="648"/>
      <c r="B285" s="646" t="s">
        <v>76</v>
      </c>
      <c r="C285" s="624">
        <f t="shared" si="84"/>
        <v>0</v>
      </c>
      <c r="D285" s="625">
        <f t="shared" si="84"/>
        <v>0</v>
      </c>
      <c r="E285" s="625">
        <f t="shared" si="84"/>
        <v>0.22311827956989247</v>
      </c>
      <c r="F285" s="625">
        <f t="shared" si="84"/>
        <v>0</v>
      </c>
      <c r="G285" s="625">
        <f t="shared" si="84"/>
        <v>0.25328947368421051</v>
      </c>
      <c r="H285" s="626">
        <f t="shared" si="84"/>
        <v>0</v>
      </c>
      <c r="I285" s="625">
        <f t="shared" si="84"/>
        <v>0.76744186046511631</v>
      </c>
      <c r="J285" s="661">
        <f t="shared" si="84"/>
        <v>0.24041811846689895</v>
      </c>
      <c r="K285" s="625">
        <f t="shared" si="84"/>
        <v>0</v>
      </c>
      <c r="L285" s="625">
        <f t="shared" si="84"/>
        <v>0</v>
      </c>
      <c r="M285" s="625">
        <f t="shared" si="85"/>
        <v>0</v>
      </c>
      <c r="N285" s="625">
        <f t="shared" si="85"/>
        <v>0</v>
      </c>
      <c r="O285" s="626">
        <f t="shared" si="85"/>
        <v>0</v>
      </c>
      <c r="P285" s="653">
        <f t="shared" si="85"/>
        <v>0</v>
      </c>
      <c r="Q285" s="625">
        <f t="shared" si="85"/>
        <v>0</v>
      </c>
      <c r="R285" s="625">
        <f t="shared" si="85"/>
        <v>0</v>
      </c>
      <c r="S285" s="626">
        <f t="shared" si="85"/>
        <v>0</v>
      </c>
      <c r="T285" s="624">
        <f t="shared" si="85"/>
        <v>0</v>
      </c>
      <c r="U285" s="274"/>
      <c r="V285" s="641"/>
      <c r="W285" s="642"/>
      <c r="X285" s="642">
        <v>166</v>
      </c>
      <c r="Y285" s="642"/>
      <c r="Z285" s="642">
        <v>77</v>
      </c>
      <c r="AA285" s="642"/>
      <c r="AB285" s="642">
        <v>33</v>
      </c>
      <c r="AC285" s="641">
        <v>276</v>
      </c>
      <c r="AD285" s="641"/>
      <c r="AE285" s="642"/>
      <c r="AF285" s="642"/>
      <c r="AG285" s="642"/>
      <c r="AH285" s="642"/>
      <c r="AI285" s="641"/>
      <c r="AJ285" s="641"/>
      <c r="AK285" s="642"/>
      <c r="AL285" s="642"/>
      <c r="AM285" s="641"/>
    </row>
    <row r="286" spans="1:39">
      <c r="A286" s="648"/>
      <c r="B286" s="646" t="s">
        <v>77</v>
      </c>
      <c r="C286" s="624">
        <f t="shared" si="84"/>
        <v>0</v>
      </c>
      <c r="D286" s="625">
        <f t="shared" si="84"/>
        <v>0</v>
      </c>
      <c r="E286" s="625">
        <f t="shared" si="84"/>
        <v>0.28494623655913981</v>
      </c>
      <c r="F286" s="625">
        <f t="shared" si="84"/>
        <v>0</v>
      </c>
      <c r="G286" s="625">
        <f t="shared" si="84"/>
        <v>0.37171052631578949</v>
      </c>
      <c r="H286" s="626">
        <f t="shared" si="84"/>
        <v>0</v>
      </c>
      <c r="I286" s="625">
        <f t="shared" si="84"/>
        <v>9.3023255813953487E-2</v>
      </c>
      <c r="J286" s="661">
        <f t="shared" si="84"/>
        <v>0.28658536585365851</v>
      </c>
      <c r="K286" s="625">
        <f t="shared" si="84"/>
        <v>0</v>
      </c>
      <c r="L286" s="625">
        <f t="shared" si="84"/>
        <v>0</v>
      </c>
      <c r="M286" s="625">
        <f t="shared" si="85"/>
        <v>0</v>
      </c>
      <c r="N286" s="625">
        <f t="shared" si="85"/>
        <v>0</v>
      </c>
      <c r="O286" s="626">
        <f t="shared" si="85"/>
        <v>0</v>
      </c>
      <c r="P286" s="653">
        <f t="shared" si="85"/>
        <v>0</v>
      </c>
      <c r="Q286" s="625">
        <f t="shared" si="85"/>
        <v>0</v>
      </c>
      <c r="R286" s="625">
        <f t="shared" si="85"/>
        <v>0</v>
      </c>
      <c r="S286" s="626">
        <f t="shared" si="85"/>
        <v>0</v>
      </c>
      <c r="T286" s="624">
        <f t="shared" si="85"/>
        <v>0</v>
      </c>
      <c r="U286" s="274"/>
      <c r="V286" s="641"/>
      <c r="W286" s="642"/>
      <c r="X286" s="642">
        <v>212</v>
      </c>
      <c r="Y286" s="642"/>
      <c r="Z286" s="642">
        <v>113</v>
      </c>
      <c r="AA286" s="642"/>
      <c r="AB286" s="642">
        <v>4</v>
      </c>
      <c r="AC286" s="641">
        <v>329</v>
      </c>
      <c r="AD286" s="641"/>
      <c r="AE286" s="642"/>
      <c r="AF286" s="642"/>
      <c r="AG286" s="642"/>
      <c r="AH286" s="642"/>
      <c r="AI286" s="641"/>
      <c r="AJ286" s="641"/>
      <c r="AK286" s="642"/>
      <c r="AL286" s="642"/>
      <c r="AM286" s="641"/>
    </row>
    <row r="287" spans="1:39">
      <c r="A287" s="648"/>
      <c r="B287" s="646" t="s">
        <v>78</v>
      </c>
      <c r="C287" s="624">
        <f t="shared" si="84"/>
        <v>0</v>
      </c>
      <c r="D287" s="625">
        <f t="shared" si="84"/>
        <v>0</v>
      </c>
      <c r="E287" s="625">
        <f t="shared" si="84"/>
        <v>0.19489247311827956</v>
      </c>
      <c r="F287" s="625">
        <f t="shared" si="84"/>
        <v>0</v>
      </c>
      <c r="G287" s="625">
        <f t="shared" si="84"/>
        <v>0.19407894736842105</v>
      </c>
      <c r="H287" s="626">
        <f t="shared" si="84"/>
        <v>1</v>
      </c>
      <c r="I287" s="625">
        <f t="shared" si="84"/>
        <v>6.9767441860465115E-2</v>
      </c>
      <c r="J287" s="661">
        <f t="shared" si="84"/>
        <v>0.22996515679442509</v>
      </c>
      <c r="K287" s="625">
        <f t="shared" si="84"/>
        <v>0</v>
      </c>
      <c r="L287" s="625">
        <f t="shared" si="84"/>
        <v>0</v>
      </c>
      <c r="M287" s="625">
        <f t="shared" si="85"/>
        <v>1</v>
      </c>
      <c r="N287" s="625">
        <f t="shared" si="85"/>
        <v>0.64210526315789473</v>
      </c>
      <c r="O287" s="626">
        <f t="shared" si="85"/>
        <v>0</v>
      </c>
      <c r="P287" s="653">
        <f t="shared" si="85"/>
        <v>0.74721189591078063</v>
      </c>
      <c r="Q287" s="625">
        <f t="shared" si="85"/>
        <v>0</v>
      </c>
      <c r="R287" s="625">
        <f t="shared" si="85"/>
        <v>0</v>
      </c>
      <c r="S287" s="626">
        <f t="shared" si="85"/>
        <v>0</v>
      </c>
      <c r="T287" s="624">
        <f t="shared" si="85"/>
        <v>0</v>
      </c>
      <c r="U287" s="274"/>
      <c r="V287" s="641"/>
      <c r="W287" s="642"/>
      <c r="X287" s="642">
        <v>145</v>
      </c>
      <c r="Y287" s="642"/>
      <c r="Z287" s="642">
        <v>59</v>
      </c>
      <c r="AA287" s="642">
        <v>57</v>
      </c>
      <c r="AB287" s="642">
        <v>3</v>
      </c>
      <c r="AC287" s="641">
        <v>264</v>
      </c>
      <c r="AD287" s="641"/>
      <c r="AE287" s="642"/>
      <c r="AF287" s="642">
        <v>79</v>
      </c>
      <c r="AG287" s="642">
        <v>122</v>
      </c>
      <c r="AH287" s="642"/>
      <c r="AI287" s="641">
        <v>201</v>
      </c>
      <c r="AJ287" s="641"/>
      <c r="AK287" s="642"/>
      <c r="AL287" s="642"/>
      <c r="AM287" s="641"/>
    </row>
    <row r="288" spans="1:39">
      <c r="A288" s="648"/>
      <c r="B288" s="646" t="s">
        <v>209</v>
      </c>
      <c r="C288" s="624">
        <f t="shared" si="84"/>
        <v>0</v>
      </c>
      <c r="D288" s="625">
        <f t="shared" si="84"/>
        <v>0</v>
      </c>
      <c r="E288" s="625">
        <f t="shared" si="84"/>
        <v>4.0322580645161289E-3</v>
      </c>
      <c r="F288" s="625">
        <f t="shared" si="84"/>
        <v>0</v>
      </c>
      <c r="G288" s="625">
        <f t="shared" si="84"/>
        <v>0</v>
      </c>
      <c r="H288" s="626">
        <f t="shared" si="84"/>
        <v>0</v>
      </c>
      <c r="I288" s="625">
        <f t="shared" si="84"/>
        <v>0</v>
      </c>
      <c r="J288" s="661">
        <f t="shared" si="84"/>
        <v>2.6132404181184671E-3</v>
      </c>
      <c r="K288" s="625">
        <f t="shared" si="84"/>
        <v>0</v>
      </c>
      <c r="L288" s="625">
        <f t="shared" si="84"/>
        <v>0</v>
      </c>
      <c r="M288" s="625">
        <f t="shared" si="85"/>
        <v>0</v>
      </c>
      <c r="N288" s="625">
        <f t="shared" si="85"/>
        <v>0.35789473684210527</v>
      </c>
      <c r="O288" s="626">
        <f t="shared" si="85"/>
        <v>0</v>
      </c>
      <c r="P288" s="653">
        <f t="shared" si="85"/>
        <v>0.25278810408921931</v>
      </c>
      <c r="Q288" s="625">
        <f t="shared" si="85"/>
        <v>0</v>
      </c>
      <c r="R288" s="625">
        <f t="shared" si="85"/>
        <v>0</v>
      </c>
      <c r="S288" s="626">
        <f t="shared" si="85"/>
        <v>0</v>
      </c>
      <c r="T288" s="624">
        <f t="shared" si="85"/>
        <v>0</v>
      </c>
      <c r="U288" s="274"/>
      <c r="V288" s="641"/>
      <c r="W288" s="642"/>
      <c r="X288" s="642">
        <v>3</v>
      </c>
      <c r="Y288" s="642"/>
      <c r="Z288" s="642"/>
      <c r="AA288" s="642"/>
      <c r="AB288" s="642"/>
      <c r="AC288" s="641">
        <v>3</v>
      </c>
      <c r="AD288" s="641"/>
      <c r="AE288" s="642"/>
      <c r="AF288" s="642"/>
      <c r="AG288" s="642">
        <v>68</v>
      </c>
      <c r="AH288" s="642"/>
      <c r="AI288" s="641">
        <v>68</v>
      </c>
      <c r="AJ288" s="641"/>
      <c r="AK288" s="642"/>
      <c r="AL288" s="642"/>
      <c r="AM288" s="641"/>
    </row>
    <row r="289" spans="1:41">
      <c r="A289" s="649"/>
      <c r="B289" s="650" t="s">
        <v>59</v>
      </c>
      <c r="C289" s="577">
        <f t="shared" ref="C289:T289" si="86">SUM(C284:C288)</f>
        <v>0</v>
      </c>
      <c r="D289" s="578">
        <f t="shared" si="86"/>
        <v>0</v>
      </c>
      <c r="E289" s="578">
        <f t="shared" si="86"/>
        <v>0.99999999999999989</v>
      </c>
      <c r="F289" s="578">
        <f t="shared" si="86"/>
        <v>0</v>
      </c>
      <c r="G289" s="578">
        <f t="shared" si="86"/>
        <v>1</v>
      </c>
      <c r="H289" s="579">
        <f t="shared" si="86"/>
        <v>1</v>
      </c>
      <c r="I289" s="578">
        <f t="shared" si="86"/>
        <v>1</v>
      </c>
      <c r="J289" s="589">
        <f t="shared" si="86"/>
        <v>1</v>
      </c>
      <c r="K289" s="578">
        <f t="shared" si="86"/>
        <v>0</v>
      </c>
      <c r="L289" s="578">
        <f t="shared" si="86"/>
        <v>0</v>
      </c>
      <c r="M289" s="578">
        <f t="shared" si="86"/>
        <v>1</v>
      </c>
      <c r="N289" s="578">
        <f t="shared" si="86"/>
        <v>1</v>
      </c>
      <c r="O289" s="579">
        <f t="shared" si="86"/>
        <v>0</v>
      </c>
      <c r="P289" s="654">
        <f t="shared" si="86"/>
        <v>1</v>
      </c>
      <c r="Q289" s="578">
        <f t="shared" si="86"/>
        <v>0</v>
      </c>
      <c r="R289" s="578">
        <f t="shared" si="86"/>
        <v>0</v>
      </c>
      <c r="S289" s="579">
        <f t="shared" si="86"/>
        <v>0</v>
      </c>
      <c r="T289" s="577">
        <f t="shared" si="86"/>
        <v>0</v>
      </c>
      <c r="U289" s="274"/>
      <c r="V289" s="641"/>
      <c r="W289" s="642"/>
      <c r="X289" s="642">
        <v>744</v>
      </c>
      <c r="Y289" s="642"/>
      <c r="Z289" s="642">
        <v>304</v>
      </c>
      <c r="AA289" s="642">
        <v>57</v>
      </c>
      <c r="AB289" s="642">
        <v>43</v>
      </c>
      <c r="AC289" s="641">
        <v>1148</v>
      </c>
      <c r="AD289" s="641"/>
      <c r="AE289" s="642"/>
      <c r="AF289" s="642">
        <v>79</v>
      </c>
      <c r="AG289" s="642">
        <v>190</v>
      </c>
      <c r="AH289" s="642"/>
      <c r="AI289" s="641">
        <v>269</v>
      </c>
      <c r="AJ289" s="641"/>
      <c r="AK289" s="642"/>
      <c r="AL289" s="642"/>
      <c r="AM289" s="641"/>
    </row>
    <row r="290" spans="1:41">
      <c r="A290" s="646" t="s">
        <v>168</v>
      </c>
      <c r="B290" s="647" t="s">
        <v>53</v>
      </c>
      <c r="C290" s="613">
        <f t="shared" ref="C290:L294" si="87">IF(V$295&gt;0,(V290/V$295),0)</f>
        <v>0.5237215033887862</v>
      </c>
      <c r="D290" s="614">
        <f t="shared" si="87"/>
        <v>0.2374331550802139</v>
      </c>
      <c r="E290" s="614">
        <f t="shared" si="87"/>
        <v>0</v>
      </c>
      <c r="F290" s="614">
        <f t="shared" si="87"/>
        <v>0.29320000000000002</v>
      </c>
      <c r="G290" s="614">
        <f t="shared" si="87"/>
        <v>0.33717579250720459</v>
      </c>
      <c r="H290" s="615">
        <f t="shared" si="87"/>
        <v>0</v>
      </c>
      <c r="I290" s="614">
        <f t="shared" si="87"/>
        <v>0</v>
      </c>
      <c r="J290" s="660">
        <f t="shared" si="87"/>
        <v>0.3544853963838665</v>
      </c>
      <c r="K290" s="614">
        <f t="shared" si="87"/>
        <v>0</v>
      </c>
      <c r="L290" s="614">
        <f t="shared" si="87"/>
        <v>4.9767750497677503E-2</v>
      </c>
      <c r="M290" s="614">
        <f t="shared" ref="M290:T294" si="88">IF(AF$295&gt;0,(AF290/AF$295),0)</f>
        <v>0</v>
      </c>
      <c r="N290" s="614">
        <f t="shared" si="88"/>
        <v>0</v>
      </c>
      <c r="O290" s="615">
        <f t="shared" si="88"/>
        <v>0</v>
      </c>
      <c r="P290" s="652">
        <f t="shared" si="88"/>
        <v>2.1210407239819005E-2</v>
      </c>
      <c r="Q290" s="614">
        <f t="shared" si="88"/>
        <v>0</v>
      </c>
      <c r="R290" s="614">
        <f t="shared" si="88"/>
        <v>0</v>
      </c>
      <c r="S290" s="615">
        <f t="shared" si="88"/>
        <v>0</v>
      </c>
      <c r="T290" s="613">
        <f t="shared" si="88"/>
        <v>0</v>
      </c>
      <c r="U290" s="274"/>
      <c r="V290" s="639">
        <v>850</v>
      </c>
      <c r="W290" s="640">
        <v>222</v>
      </c>
      <c r="X290" s="640"/>
      <c r="Y290" s="640">
        <v>733</v>
      </c>
      <c r="Z290" s="640">
        <v>234</v>
      </c>
      <c r="AA290" s="640"/>
      <c r="AB290" s="640"/>
      <c r="AC290" s="639">
        <v>2039</v>
      </c>
      <c r="AD290" s="639"/>
      <c r="AE290" s="640">
        <v>75</v>
      </c>
      <c r="AF290" s="640"/>
      <c r="AG290" s="640"/>
      <c r="AH290" s="640"/>
      <c r="AI290" s="639">
        <v>75</v>
      </c>
      <c r="AJ290" s="639"/>
      <c r="AK290" s="640"/>
      <c r="AL290" s="640"/>
      <c r="AM290" s="639"/>
    </row>
    <row r="291" spans="1:41">
      <c r="A291" s="648"/>
      <c r="B291" s="646" t="s">
        <v>76</v>
      </c>
      <c r="C291" s="624">
        <f t="shared" si="87"/>
        <v>0.17868145409735059</v>
      </c>
      <c r="D291" s="625">
        <f t="shared" si="87"/>
        <v>0.28877005347593582</v>
      </c>
      <c r="E291" s="625">
        <f t="shared" si="87"/>
        <v>0</v>
      </c>
      <c r="F291" s="625">
        <f t="shared" si="87"/>
        <v>0.27</v>
      </c>
      <c r="G291" s="625">
        <f t="shared" si="87"/>
        <v>0.26080691642651299</v>
      </c>
      <c r="H291" s="626">
        <f t="shared" si="87"/>
        <v>0</v>
      </c>
      <c r="I291" s="625">
        <f t="shared" si="87"/>
        <v>0</v>
      </c>
      <c r="J291" s="661">
        <f t="shared" si="87"/>
        <v>0.24617524339360222</v>
      </c>
      <c r="K291" s="625">
        <f t="shared" si="87"/>
        <v>0</v>
      </c>
      <c r="L291" s="625">
        <f t="shared" si="87"/>
        <v>6.1048440610484409E-2</v>
      </c>
      <c r="M291" s="625">
        <f t="shared" si="88"/>
        <v>0</v>
      </c>
      <c r="N291" s="625">
        <f t="shared" si="88"/>
        <v>0</v>
      </c>
      <c r="O291" s="626">
        <f t="shared" si="88"/>
        <v>0</v>
      </c>
      <c r="P291" s="653">
        <f t="shared" si="88"/>
        <v>2.6018099547511313E-2</v>
      </c>
      <c r="Q291" s="625">
        <f t="shared" si="88"/>
        <v>0</v>
      </c>
      <c r="R291" s="625">
        <f t="shared" si="88"/>
        <v>0</v>
      </c>
      <c r="S291" s="626">
        <f t="shared" si="88"/>
        <v>0</v>
      </c>
      <c r="T291" s="624">
        <f t="shared" si="88"/>
        <v>0</v>
      </c>
      <c r="U291" s="274"/>
      <c r="V291" s="641">
        <v>290</v>
      </c>
      <c r="W291" s="642">
        <v>270</v>
      </c>
      <c r="X291" s="642"/>
      <c r="Y291" s="642">
        <v>675</v>
      </c>
      <c r="Z291" s="642">
        <v>181</v>
      </c>
      <c r="AA291" s="642"/>
      <c r="AB291" s="642"/>
      <c r="AC291" s="641">
        <v>1416</v>
      </c>
      <c r="AD291" s="641"/>
      <c r="AE291" s="642">
        <v>92</v>
      </c>
      <c r="AF291" s="642"/>
      <c r="AG291" s="642"/>
      <c r="AH291" s="642"/>
      <c r="AI291" s="641">
        <v>92</v>
      </c>
      <c r="AJ291" s="641"/>
      <c r="AK291" s="642"/>
      <c r="AL291" s="642"/>
      <c r="AM291" s="641"/>
    </row>
    <row r="292" spans="1:41">
      <c r="A292" s="648"/>
      <c r="B292" s="646" t="s">
        <v>77</v>
      </c>
      <c r="C292" s="624">
        <f t="shared" si="87"/>
        <v>0.24276032039433149</v>
      </c>
      <c r="D292" s="625">
        <f t="shared" si="87"/>
        <v>0.31016042780748665</v>
      </c>
      <c r="E292" s="625">
        <f t="shared" si="87"/>
        <v>0</v>
      </c>
      <c r="F292" s="625">
        <f t="shared" si="87"/>
        <v>0.26840000000000003</v>
      </c>
      <c r="G292" s="625">
        <f t="shared" si="87"/>
        <v>0.24495677233429394</v>
      </c>
      <c r="H292" s="626">
        <f t="shared" si="87"/>
        <v>0</v>
      </c>
      <c r="I292" s="625">
        <f t="shared" si="87"/>
        <v>0</v>
      </c>
      <c r="J292" s="661">
        <f t="shared" si="87"/>
        <v>0.265125173852573</v>
      </c>
      <c r="K292" s="625">
        <f t="shared" si="87"/>
        <v>0</v>
      </c>
      <c r="L292" s="625">
        <f t="shared" si="87"/>
        <v>7.2992700729927001E-2</v>
      </c>
      <c r="M292" s="625">
        <f t="shared" si="88"/>
        <v>0</v>
      </c>
      <c r="N292" s="625">
        <f t="shared" si="88"/>
        <v>0</v>
      </c>
      <c r="O292" s="626">
        <f t="shared" si="88"/>
        <v>0</v>
      </c>
      <c r="P292" s="653">
        <f t="shared" si="88"/>
        <v>3.1108597285067874E-2</v>
      </c>
      <c r="Q292" s="625">
        <f t="shared" si="88"/>
        <v>0</v>
      </c>
      <c r="R292" s="625">
        <f t="shared" si="88"/>
        <v>0</v>
      </c>
      <c r="S292" s="626">
        <f t="shared" si="88"/>
        <v>0</v>
      </c>
      <c r="T292" s="624">
        <f t="shared" si="88"/>
        <v>0</v>
      </c>
      <c r="U292" s="274"/>
      <c r="V292" s="641">
        <v>394</v>
      </c>
      <c r="W292" s="642">
        <v>290</v>
      </c>
      <c r="X292" s="642"/>
      <c r="Y292" s="642">
        <v>671</v>
      </c>
      <c r="Z292" s="642">
        <v>170</v>
      </c>
      <c r="AA292" s="642"/>
      <c r="AB292" s="642"/>
      <c r="AC292" s="641">
        <v>1525</v>
      </c>
      <c r="AD292" s="641"/>
      <c r="AE292" s="642">
        <v>110</v>
      </c>
      <c r="AF292" s="642"/>
      <c r="AG292" s="642"/>
      <c r="AH292" s="642"/>
      <c r="AI292" s="641">
        <v>110</v>
      </c>
      <c r="AJ292" s="641"/>
      <c r="AK292" s="642"/>
      <c r="AL292" s="642"/>
      <c r="AM292" s="641"/>
    </row>
    <row r="293" spans="1:41">
      <c r="A293" s="648"/>
      <c r="B293" s="646" t="s">
        <v>78</v>
      </c>
      <c r="C293" s="624">
        <f t="shared" si="87"/>
        <v>1.4171287738755391E-2</v>
      </c>
      <c r="D293" s="625">
        <f t="shared" si="87"/>
        <v>1.06951871657754E-2</v>
      </c>
      <c r="E293" s="625">
        <f t="shared" si="87"/>
        <v>0</v>
      </c>
      <c r="F293" s="625">
        <f t="shared" si="87"/>
        <v>0.01</v>
      </c>
      <c r="G293" s="625">
        <f t="shared" si="87"/>
        <v>2.881844380403458E-3</v>
      </c>
      <c r="H293" s="626">
        <f t="shared" si="87"/>
        <v>0</v>
      </c>
      <c r="I293" s="625">
        <f t="shared" si="87"/>
        <v>0</v>
      </c>
      <c r="J293" s="661">
        <f t="shared" si="87"/>
        <v>1.0431154381084841E-2</v>
      </c>
      <c r="K293" s="625">
        <f t="shared" si="87"/>
        <v>0</v>
      </c>
      <c r="L293" s="625">
        <f t="shared" si="87"/>
        <v>0.65560716655607165</v>
      </c>
      <c r="M293" s="625">
        <f t="shared" si="88"/>
        <v>0.64036222509702456</v>
      </c>
      <c r="N293" s="625">
        <f t="shared" si="88"/>
        <v>0.79917184265010355</v>
      </c>
      <c r="O293" s="626">
        <f t="shared" si="88"/>
        <v>0</v>
      </c>
      <c r="P293" s="653">
        <f t="shared" si="88"/>
        <v>0.66855203619909498</v>
      </c>
      <c r="Q293" s="625">
        <f t="shared" si="88"/>
        <v>0</v>
      </c>
      <c r="R293" s="625">
        <f t="shared" si="88"/>
        <v>0</v>
      </c>
      <c r="S293" s="626">
        <f t="shared" si="88"/>
        <v>0</v>
      </c>
      <c r="T293" s="624">
        <f t="shared" si="88"/>
        <v>0</v>
      </c>
      <c r="U293" s="274"/>
      <c r="V293" s="641">
        <v>23</v>
      </c>
      <c r="W293" s="642">
        <v>10</v>
      </c>
      <c r="X293" s="642"/>
      <c r="Y293" s="642">
        <v>25</v>
      </c>
      <c r="Z293" s="642">
        <v>2</v>
      </c>
      <c r="AA293" s="642"/>
      <c r="AB293" s="642"/>
      <c r="AC293" s="641">
        <v>60</v>
      </c>
      <c r="AD293" s="641"/>
      <c r="AE293" s="642">
        <v>988</v>
      </c>
      <c r="AF293" s="642">
        <v>990</v>
      </c>
      <c r="AG293" s="642">
        <v>386</v>
      </c>
      <c r="AH293" s="642"/>
      <c r="AI293" s="641">
        <v>2364</v>
      </c>
      <c r="AJ293" s="641"/>
      <c r="AK293" s="642"/>
      <c r="AL293" s="642"/>
      <c r="AM293" s="641"/>
    </row>
    <row r="294" spans="1:41">
      <c r="A294" s="648"/>
      <c r="B294" s="646" t="s">
        <v>209</v>
      </c>
      <c r="C294" s="624">
        <f t="shared" si="87"/>
        <v>4.0665434380776341E-2</v>
      </c>
      <c r="D294" s="625">
        <f t="shared" si="87"/>
        <v>0.15294117647058825</v>
      </c>
      <c r="E294" s="625">
        <f t="shared" si="87"/>
        <v>0</v>
      </c>
      <c r="F294" s="625">
        <f t="shared" si="87"/>
        <v>0.15840000000000001</v>
      </c>
      <c r="G294" s="625">
        <f t="shared" si="87"/>
        <v>0.15417867435158503</v>
      </c>
      <c r="H294" s="626">
        <f t="shared" si="87"/>
        <v>0</v>
      </c>
      <c r="I294" s="625">
        <f t="shared" si="87"/>
        <v>0</v>
      </c>
      <c r="J294" s="661">
        <f t="shared" si="87"/>
        <v>0.12378303198887343</v>
      </c>
      <c r="K294" s="625">
        <f t="shared" si="87"/>
        <v>0</v>
      </c>
      <c r="L294" s="625">
        <f t="shared" si="87"/>
        <v>0.16058394160583941</v>
      </c>
      <c r="M294" s="625">
        <f t="shared" si="88"/>
        <v>0.35963777490297544</v>
      </c>
      <c r="N294" s="625">
        <f t="shared" si="88"/>
        <v>0.20082815734989648</v>
      </c>
      <c r="O294" s="626">
        <f t="shared" si="88"/>
        <v>0</v>
      </c>
      <c r="P294" s="653">
        <f t="shared" si="88"/>
        <v>0.25311085972850678</v>
      </c>
      <c r="Q294" s="625">
        <f t="shared" si="88"/>
        <v>0</v>
      </c>
      <c r="R294" s="625">
        <f t="shared" si="88"/>
        <v>0</v>
      </c>
      <c r="S294" s="626">
        <f t="shared" si="88"/>
        <v>0</v>
      </c>
      <c r="T294" s="624">
        <f t="shared" si="88"/>
        <v>0</v>
      </c>
      <c r="U294" s="274"/>
      <c r="V294" s="641">
        <v>66</v>
      </c>
      <c r="W294" s="642">
        <v>143</v>
      </c>
      <c r="X294" s="642"/>
      <c r="Y294" s="642">
        <v>396</v>
      </c>
      <c r="Z294" s="642">
        <v>107</v>
      </c>
      <c r="AA294" s="642"/>
      <c r="AB294" s="642"/>
      <c r="AC294" s="641">
        <v>712</v>
      </c>
      <c r="AD294" s="641"/>
      <c r="AE294" s="642">
        <v>242</v>
      </c>
      <c r="AF294" s="642">
        <v>556</v>
      </c>
      <c r="AG294" s="642">
        <v>97</v>
      </c>
      <c r="AH294" s="642"/>
      <c r="AI294" s="641">
        <v>895</v>
      </c>
      <c r="AJ294" s="641"/>
      <c r="AK294" s="642"/>
      <c r="AL294" s="642"/>
      <c r="AM294" s="641"/>
    </row>
    <row r="295" spans="1:41">
      <c r="A295" s="649"/>
      <c r="B295" s="650" t="s">
        <v>59</v>
      </c>
      <c r="C295" s="577">
        <f t="shared" ref="C295:T295" si="89">SUM(C290:C294)</f>
        <v>1</v>
      </c>
      <c r="D295" s="578">
        <f t="shared" si="89"/>
        <v>1</v>
      </c>
      <c r="E295" s="578">
        <f t="shared" si="89"/>
        <v>0</v>
      </c>
      <c r="F295" s="578">
        <f t="shared" si="89"/>
        <v>1.0000000000000002</v>
      </c>
      <c r="G295" s="578">
        <f t="shared" si="89"/>
        <v>1</v>
      </c>
      <c r="H295" s="579">
        <f t="shared" si="89"/>
        <v>0</v>
      </c>
      <c r="I295" s="578">
        <f t="shared" si="89"/>
        <v>0</v>
      </c>
      <c r="J295" s="589">
        <f t="shared" si="89"/>
        <v>1.0000000000000002</v>
      </c>
      <c r="K295" s="578">
        <f t="shared" si="89"/>
        <v>0</v>
      </c>
      <c r="L295" s="578">
        <f t="shared" si="89"/>
        <v>1</v>
      </c>
      <c r="M295" s="578">
        <f t="shared" si="89"/>
        <v>1</v>
      </c>
      <c r="N295" s="578">
        <f t="shared" si="89"/>
        <v>1</v>
      </c>
      <c r="O295" s="579">
        <f t="shared" si="89"/>
        <v>0</v>
      </c>
      <c r="P295" s="654">
        <f t="shared" si="89"/>
        <v>1</v>
      </c>
      <c r="Q295" s="578">
        <f t="shared" si="89"/>
        <v>0</v>
      </c>
      <c r="R295" s="578">
        <f t="shared" si="89"/>
        <v>0</v>
      </c>
      <c r="S295" s="579">
        <f t="shared" si="89"/>
        <v>0</v>
      </c>
      <c r="T295" s="577">
        <f t="shared" si="89"/>
        <v>0</v>
      </c>
      <c r="U295" s="274"/>
      <c r="V295" s="641">
        <v>1623</v>
      </c>
      <c r="W295" s="642">
        <v>935</v>
      </c>
      <c r="X295" s="642"/>
      <c r="Y295" s="642">
        <v>2500</v>
      </c>
      <c r="Z295" s="642">
        <v>694</v>
      </c>
      <c r="AA295" s="642"/>
      <c r="AB295" s="642"/>
      <c r="AC295" s="641">
        <v>5752</v>
      </c>
      <c r="AD295" s="641"/>
      <c r="AE295" s="642">
        <v>1507</v>
      </c>
      <c r="AF295" s="642">
        <v>1546</v>
      </c>
      <c r="AG295" s="642">
        <v>483</v>
      </c>
      <c r="AH295" s="642"/>
      <c r="AI295" s="641">
        <v>3536</v>
      </c>
      <c r="AJ295" s="641"/>
      <c r="AK295" s="642"/>
      <c r="AL295" s="642"/>
      <c r="AM295" s="641"/>
    </row>
    <row r="296" spans="1:41" s="9" customFormat="1" ht="15.75" customHeight="1">
      <c r="A296" s="646" t="s">
        <v>173</v>
      </c>
      <c r="B296" s="647" t="s">
        <v>53</v>
      </c>
      <c r="C296" s="613">
        <f t="shared" ref="C296:L300" si="90">IF(V$301&gt;0,(V296/V$301),0)</f>
        <v>0.37029382693862883</v>
      </c>
      <c r="D296" s="614">
        <f t="shared" si="90"/>
        <v>0.3607278544291142</v>
      </c>
      <c r="E296" s="614">
        <f t="shared" si="90"/>
        <v>0.3352941176470588</v>
      </c>
      <c r="F296" s="614">
        <f t="shared" si="90"/>
        <v>0.30413756045137025</v>
      </c>
      <c r="G296" s="614">
        <f t="shared" si="90"/>
        <v>0.28143712574850299</v>
      </c>
      <c r="H296" s="615">
        <f t="shared" si="90"/>
        <v>0.20175438596491227</v>
      </c>
      <c r="I296" s="614">
        <f t="shared" si="90"/>
        <v>0</v>
      </c>
      <c r="J296" s="660">
        <f t="shared" si="90"/>
        <v>0.32615547609588136</v>
      </c>
      <c r="K296" s="614">
        <f t="shared" si="90"/>
        <v>0</v>
      </c>
      <c r="L296" s="614">
        <f t="shared" si="90"/>
        <v>0.33256781972154442</v>
      </c>
      <c r="M296" s="614">
        <f t="shared" ref="M296:T300" si="91">IF(AF$301&gt;0,(AF296/AF$301),0)</f>
        <v>0.38479952124476363</v>
      </c>
      <c r="N296" s="614">
        <f t="shared" si="91"/>
        <v>0.30220264317180617</v>
      </c>
      <c r="O296" s="615">
        <f t="shared" si="91"/>
        <v>1.1494252873563218E-2</v>
      </c>
      <c r="P296" s="652">
        <f t="shared" si="91"/>
        <v>0.34767459475836993</v>
      </c>
      <c r="Q296" s="614">
        <f t="shared" si="91"/>
        <v>0</v>
      </c>
      <c r="R296" s="614">
        <f t="shared" si="91"/>
        <v>0</v>
      </c>
      <c r="S296" s="615">
        <f t="shared" si="91"/>
        <v>0</v>
      </c>
      <c r="T296" s="613">
        <f t="shared" si="91"/>
        <v>0</v>
      </c>
      <c r="U296" s="274"/>
      <c r="V296" s="617">
        <f t="shared" ref="V296:V301" si="92">+V302+V308+V314+V320+V326+V332+V338+V344+V350</f>
        <v>4121</v>
      </c>
      <c r="W296" s="617">
        <f t="shared" ref="W296:AM301" si="93">+W302+W308+W314+W320+W326+W332+W338+W344+W350</f>
        <v>1804</v>
      </c>
      <c r="X296" s="617">
        <f t="shared" si="93"/>
        <v>2850</v>
      </c>
      <c r="Y296" s="617">
        <f t="shared" si="93"/>
        <v>1698</v>
      </c>
      <c r="Z296" s="617">
        <f t="shared" si="93"/>
        <v>1128</v>
      </c>
      <c r="AA296" s="617">
        <f t="shared" si="93"/>
        <v>713</v>
      </c>
      <c r="AB296" s="614">
        <f t="shared" si="93"/>
        <v>0</v>
      </c>
      <c r="AC296" s="618">
        <f t="shared" si="93"/>
        <v>12314</v>
      </c>
      <c r="AD296" s="590">
        <f t="shared" si="93"/>
        <v>0</v>
      </c>
      <c r="AE296" s="591">
        <f t="shared" si="93"/>
        <v>2317</v>
      </c>
      <c r="AF296" s="591">
        <f t="shared" si="93"/>
        <v>1929</v>
      </c>
      <c r="AG296" s="591">
        <f t="shared" si="93"/>
        <v>343</v>
      </c>
      <c r="AH296" s="591">
        <f t="shared" si="93"/>
        <v>1</v>
      </c>
      <c r="AI296" s="592">
        <f t="shared" si="93"/>
        <v>4590</v>
      </c>
      <c r="AJ296" s="591">
        <f t="shared" si="93"/>
        <v>0</v>
      </c>
      <c r="AK296" s="591">
        <f t="shared" si="93"/>
        <v>0</v>
      </c>
      <c r="AL296" s="591">
        <f t="shared" si="93"/>
        <v>0</v>
      </c>
      <c r="AM296" s="590">
        <f t="shared" si="93"/>
        <v>0</v>
      </c>
      <c r="AN296" s="349"/>
      <c r="AO296" s="349"/>
    </row>
    <row r="297" spans="1:41" s="9" customFormat="1" ht="15.75" customHeight="1">
      <c r="A297" s="648"/>
      <c r="B297" s="646" t="s">
        <v>76</v>
      </c>
      <c r="C297" s="624">
        <f t="shared" si="90"/>
        <v>0.26740947075208915</v>
      </c>
      <c r="D297" s="625">
        <f t="shared" si="90"/>
        <v>0.27654469106178764</v>
      </c>
      <c r="E297" s="625">
        <f t="shared" si="90"/>
        <v>0.28988235294117648</v>
      </c>
      <c r="F297" s="625">
        <f t="shared" si="90"/>
        <v>0.27207594483252734</v>
      </c>
      <c r="G297" s="625">
        <f t="shared" si="90"/>
        <v>0.28892215568862273</v>
      </c>
      <c r="H297" s="626">
        <f t="shared" si="90"/>
        <v>0.26287492925863043</v>
      </c>
      <c r="I297" s="625">
        <f t="shared" si="90"/>
        <v>0</v>
      </c>
      <c r="J297" s="661">
        <f t="shared" si="90"/>
        <v>0.27622831413057874</v>
      </c>
      <c r="K297" s="625">
        <f t="shared" si="90"/>
        <v>0</v>
      </c>
      <c r="L297" s="625">
        <f t="shared" si="90"/>
        <v>0.20424860054542845</v>
      </c>
      <c r="M297" s="625">
        <f t="shared" si="91"/>
        <v>0.18731298623578696</v>
      </c>
      <c r="N297" s="625">
        <f t="shared" si="91"/>
        <v>0.15859030837004406</v>
      </c>
      <c r="O297" s="626">
        <f t="shared" si="91"/>
        <v>0.2413793103448276</v>
      </c>
      <c r="P297" s="653">
        <f t="shared" si="91"/>
        <v>0.19413725193152553</v>
      </c>
      <c r="Q297" s="625">
        <f t="shared" si="91"/>
        <v>0</v>
      </c>
      <c r="R297" s="625">
        <f t="shared" si="91"/>
        <v>0</v>
      </c>
      <c r="S297" s="626">
        <f t="shared" si="91"/>
        <v>0</v>
      </c>
      <c r="T297" s="624">
        <f t="shared" si="91"/>
        <v>0</v>
      </c>
      <c r="U297" s="274"/>
      <c r="V297" s="628">
        <f t="shared" si="92"/>
        <v>2976</v>
      </c>
      <c r="W297" s="628">
        <f t="shared" ref="W297:AK297" si="94">+W303+W309+W315+W321+W327+W333+W339+W345+W351</f>
        <v>1383</v>
      </c>
      <c r="X297" s="628">
        <f t="shared" si="94"/>
        <v>2464</v>
      </c>
      <c r="Y297" s="628">
        <f t="shared" si="94"/>
        <v>1519</v>
      </c>
      <c r="Z297" s="628">
        <f t="shared" si="94"/>
        <v>1158</v>
      </c>
      <c r="AA297" s="628">
        <f t="shared" si="94"/>
        <v>929</v>
      </c>
      <c r="AB297" s="625">
        <f t="shared" si="94"/>
        <v>0</v>
      </c>
      <c r="AC297" s="629">
        <f t="shared" si="94"/>
        <v>10429</v>
      </c>
      <c r="AD297" s="594">
        <f t="shared" si="94"/>
        <v>0</v>
      </c>
      <c r="AE297" s="595">
        <f t="shared" si="94"/>
        <v>1423</v>
      </c>
      <c r="AF297" s="595">
        <f t="shared" si="94"/>
        <v>939</v>
      </c>
      <c r="AG297" s="595">
        <f t="shared" si="94"/>
        <v>180</v>
      </c>
      <c r="AH297" s="595">
        <f t="shared" si="94"/>
        <v>21</v>
      </c>
      <c r="AI297" s="596">
        <f t="shared" si="94"/>
        <v>2563</v>
      </c>
      <c r="AJ297" s="595">
        <f t="shared" si="94"/>
        <v>0</v>
      </c>
      <c r="AK297" s="595">
        <f t="shared" si="94"/>
        <v>0</v>
      </c>
      <c r="AL297" s="595">
        <f t="shared" si="93"/>
        <v>0</v>
      </c>
      <c r="AM297" s="594">
        <f t="shared" si="93"/>
        <v>0</v>
      </c>
      <c r="AN297" s="349"/>
      <c r="AO297" s="349"/>
    </row>
    <row r="298" spans="1:41" s="9" customFormat="1" ht="15.75" customHeight="1">
      <c r="A298" s="648"/>
      <c r="B298" s="646" t="s">
        <v>77</v>
      </c>
      <c r="C298" s="624">
        <f t="shared" si="90"/>
        <v>0.22481804295084915</v>
      </c>
      <c r="D298" s="625">
        <f t="shared" si="90"/>
        <v>0.24155168966206758</v>
      </c>
      <c r="E298" s="625">
        <f t="shared" si="90"/>
        <v>0.29235294117647059</v>
      </c>
      <c r="F298" s="625">
        <f t="shared" si="90"/>
        <v>0.33619917607021316</v>
      </c>
      <c r="G298" s="625">
        <f t="shared" si="90"/>
        <v>0.32809381237524948</v>
      </c>
      <c r="H298" s="626">
        <f t="shared" si="90"/>
        <v>0.32229767968307865</v>
      </c>
      <c r="I298" s="625">
        <f t="shared" si="90"/>
        <v>0</v>
      </c>
      <c r="J298" s="661">
        <f t="shared" si="90"/>
        <v>0.27879751026354127</v>
      </c>
      <c r="K298" s="625">
        <f t="shared" si="90"/>
        <v>0</v>
      </c>
      <c r="L298" s="625">
        <f t="shared" si="90"/>
        <v>0.28678053681642024</v>
      </c>
      <c r="M298" s="625">
        <f t="shared" si="91"/>
        <v>0.25393975663275486</v>
      </c>
      <c r="N298" s="625">
        <f t="shared" si="91"/>
        <v>0.15330396475770924</v>
      </c>
      <c r="O298" s="626">
        <f t="shared" si="91"/>
        <v>0.28735632183908044</v>
      </c>
      <c r="P298" s="653">
        <f t="shared" si="91"/>
        <v>0.26283896379336463</v>
      </c>
      <c r="Q298" s="625">
        <f t="shared" si="91"/>
        <v>0</v>
      </c>
      <c r="R298" s="625">
        <f t="shared" si="91"/>
        <v>0</v>
      </c>
      <c r="S298" s="626">
        <f t="shared" si="91"/>
        <v>0</v>
      </c>
      <c r="T298" s="624">
        <f t="shared" si="91"/>
        <v>0</v>
      </c>
      <c r="U298" s="274"/>
      <c r="V298" s="628">
        <f t="shared" si="92"/>
        <v>2502</v>
      </c>
      <c r="W298" s="628">
        <f t="shared" si="93"/>
        <v>1208</v>
      </c>
      <c r="X298" s="628">
        <f t="shared" si="93"/>
        <v>2485</v>
      </c>
      <c r="Y298" s="628">
        <f t="shared" si="93"/>
        <v>1877</v>
      </c>
      <c r="Z298" s="628">
        <f t="shared" si="93"/>
        <v>1315</v>
      </c>
      <c r="AA298" s="628">
        <f t="shared" si="93"/>
        <v>1139</v>
      </c>
      <c r="AB298" s="625">
        <f t="shared" si="93"/>
        <v>0</v>
      </c>
      <c r="AC298" s="629">
        <f t="shared" si="93"/>
        <v>10526</v>
      </c>
      <c r="AD298" s="594">
        <f t="shared" si="93"/>
        <v>0</v>
      </c>
      <c r="AE298" s="595">
        <f t="shared" si="93"/>
        <v>1998</v>
      </c>
      <c r="AF298" s="595">
        <f t="shared" si="93"/>
        <v>1273</v>
      </c>
      <c r="AG298" s="595">
        <f t="shared" si="93"/>
        <v>174</v>
      </c>
      <c r="AH298" s="595">
        <f t="shared" si="93"/>
        <v>25</v>
      </c>
      <c r="AI298" s="596">
        <f t="shared" si="93"/>
        <v>3470</v>
      </c>
      <c r="AJ298" s="595">
        <f t="shared" si="93"/>
        <v>0</v>
      </c>
      <c r="AK298" s="595">
        <f t="shared" si="93"/>
        <v>0</v>
      </c>
      <c r="AL298" s="595">
        <f t="shared" si="93"/>
        <v>0</v>
      </c>
      <c r="AM298" s="594">
        <f t="shared" si="93"/>
        <v>0</v>
      </c>
      <c r="AN298" s="349"/>
      <c r="AO298" s="349"/>
    </row>
    <row r="299" spans="1:41" s="9" customFormat="1" ht="15.75" customHeight="1">
      <c r="A299" s="648"/>
      <c r="B299" s="646" t="s">
        <v>78</v>
      </c>
      <c r="C299" s="624">
        <f t="shared" si="90"/>
        <v>3.8278371821367597E-2</v>
      </c>
      <c r="D299" s="625">
        <f t="shared" si="90"/>
        <v>2.4195160967806439E-2</v>
      </c>
      <c r="E299" s="625">
        <f t="shared" si="90"/>
        <v>5.0235294117647059E-2</v>
      </c>
      <c r="F299" s="625">
        <f t="shared" si="90"/>
        <v>5.033136306645173E-2</v>
      </c>
      <c r="G299" s="625">
        <f t="shared" si="90"/>
        <v>3.7175648702594807E-2</v>
      </c>
      <c r="H299" s="626">
        <f t="shared" si="90"/>
        <v>0.16411997736276174</v>
      </c>
      <c r="I299" s="625">
        <f t="shared" si="90"/>
        <v>0</v>
      </c>
      <c r="J299" s="661">
        <f t="shared" si="90"/>
        <v>5.254933121440869E-2</v>
      </c>
      <c r="K299" s="625">
        <f t="shared" si="90"/>
        <v>0</v>
      </c>
      <c r="L299" s="625">
        <f t="shared" si="90"/>
        <v>0.13420410506674321</v>
      </c>
      <c r="M299" s="625">
        <f t="shared" si="91"/>
        <v>0.15380011968880911</v>
      </c>
      <c r="N299" s="625">
        <f t="shared" si="91"/>
        <v>0.35418502202643171</v>
      </c>
      <c r="O299" s="626">
        <f t="shared" si="91"/>
        <v>0.45977011494252873</v>
      </c>
      <c r="P299" s="653">
        <f t="shared" si="91"/>
        <v>0.16270262081502804</v>
      </c>
      <c r="Q299" s="625">
        <f t="shared" si="91"/>
        <v>0</v>
      </c>
      <c r="R299" s="625">
        <f t="shared" si="91"/>
        <v>0</v>
      </c>
      <c r="S299" s="626">
        <f t="shared" si="91"/>
        <v>0</v>
      </c>
      <c r="T299" s="624">
        <f t="shared" si="91"/>
        <v>0</v>
      </c>
      <c r="U299" s="274"/>
      <c r="V299" s="628">
        <f t="shared" si="92"/>
        <v>426</v>
      </c>
      <c r="W299" s="628">
        <f t="shared" si="93"/>
        <v>121</v>
      </c>
      <c r="X299" s="628">
        <f t="shared" si="93"/>
        <v>427</v>
      </c>
      <c r="Y299" s="628">
        <f t="shared" si="93"/>
        <v>281</v>
      </c>
      <c r="Z299" s="628">
        <f t="shared" si="93"/>
        <v>149</v>
      </c>
      <c r="AA299" s="628">
        <f t="shared" si="93"/>
        <v>580</v>
      </c>
      <c r="AB299" s="625">
        <f t="shared" si="93"/>
        <v>0</v>
      </c>
      <c r="AC299" s="629">
        <f t="shared" si="93"/>
        <v>1984</v>
      </c>
      <c r="AD299" s="594">
        <f t="shared" si="93"/>
        <v>0</v>
      </c>
      <c r="AE299" s="595">
        <f t="shared" si="93"/>
        <v>935</v>
      </c>
      <c r="AF299" s="595">
        <f t="shared" si="93"/>
        <v>771</v>
      </c>
      <c r="AG299" s="595">
        <f t="shared" si="93"/>
        <v>402</v>
      </c>
      <c r="AH299" s="595">
        <f t="shared" si="93"/>
        <v>40</v>
      </c>
      <c r="AI299" s="596">
        <f t="shared" si="93"/>
        <v>2148</v>
      </c>
      <c r="AJ299" s="595">
        <f t="shared" si="93"/>
        <v>0</v>
      </c>
      <c r="AK299" s="595">
        <f t="shared" si="93"/>
        <v>0</v>
      </c>
      <c r="AL299" s="595">
        <f t="shared" si="93"/>
        <v>0</v>
      </c>
      <c r="AM299" s="594">
        <f t="shared" si="93"/>
        <v>0</v>
      </c>
      <c r="AN299" s="349"/>
      <c r="AO299" s="349"/>
    </row>
    <row r="300" spans="1:41" s="9" customFormat="1" ht="15.75" customHeight="1">
      <c r="A300" s="648"/>
      <c r="B300" s="646" t="s">
        <v>131</v>
      </c>
      <c r="C300" s="624">
        <f t="shared" si="90"/>
        <v>9.9200287537065321E-2</v>
      </c>
      <c r="D300" s="625">
        <f t="shared" si="90"/>
        <v>9.698060387922415E-2</v>
      </c>
      <c r="E300" s="625">
        <f t="shared" si="90"/>
        <v>3.2235294117647056E-2</v>
      </c>
      <c r="F300" s="625">
        <f t="shared" si="90"/>
        <v>3.7255955579437582E-2</v>
      </c>
      <c r="G300" s="625">
        <f t="shared" si="90"/>
        <v>6.4371257485029934E-2</v>
      </c>
      <c r="H300" s="626">
        <f t="shared" si="90"/>
        <v>4.8953027730616862E-2</v>
      </c>
      <c r="I300" s="625">
        <f t="shared" si="90"/>
        <v>0</v>
      </c>
      <c r="J300" s="661">
        <f t="shared" si="90"/>
        <v>6.6269368295589992E-2</v>
      </c>
      <c r="K300" s="625">
        <f t="shared" si="90"/>
        <v>0</v>
      </c>
      <c r="L300" s="625">
        <f t="shared" si="90"/>
        <v>4.2198937849863644E-2</v>
      </c>
      <c r="M300" s="625">
        <f t="shared" si="91"/>
        <v>2.0147616197885496E-2</v>
      </c>
      <c r="N300" s="625">
        <f t="shared" si="91"/>
        <v>3.1718061674008813E-2</v>
      </c>
      <c r="O300" s="626">
        <f t="shared" si="91"/>
        <v>0</v>
      </c>
      <c r="P300" s="653">
        <f t="shared" si="91"/>
        <v>3.2646568701711863E-2</v>
      </c>
      <c r="Q300" s="625">
        <f t="shared" si="91"/>
        <v>0</v>
      </c>
      <c r="R300" s="625">
        <f t="shared" si="91"/>
        <v>0</v>
      </c>
      <c r="S300" s="626">
        <f t="shared" si="91"/>
        <v>0</v>
      </c>
      <c r="T300" s="624">
        <f t="shared" si="91"/>
        <v>0</v>
      </c>
      <c r="U300" s="274"/>
      <c r="V300" s="631">
        <f t="shared" si="92"/>
        <v>1104</v>
      </c>
      <c r="W300" s="632">
        <f t="shared" si="93"/>
        <v>485</v>
      </c>
      <c r="X300" s="632">
        <f t="shared" si="93"/>
        <v>274</v>
      </c>
      <c r="Y300" s="632">
        <f t="shared" si="93"/>
        <v>208</v>
      </c>
      <c r="Z300" s="632">
        <f t="shared" si="93"/>
        <v>258</v>
      </c>
      <c r="AA300" s="632">
        <f t="shared" si="93"/>
        <v>173</v>
      </c>
      <c r="AB300" s="625">
        <f t="shared" si="93"/>
        <v>0</v>
      </c>
      <c r="AC300" s="629">
        <f t="shared" si="93"/>
        <v>2502</v>
      </c>
      <c r="AD300" s="594">
        <f t="shared" si="93"/>
        <v>0</v>
      </c>
      <c r="AE300" s="595">
        <f t="shared" si="93"/>
        <v>294</v>
      </c>
      <c r="AF300" s="595">
        <f t="shared" si="93"/>
        <v>101</v>
      </c>
      <c r="AG300" s="595">
        <f t="shared" si="93"/>
        <v>36</v>
      </c>
      <c r="AH300" s="595">
        <f t="shared" si="93"/>
        <v>0</v>
      </c>
      <c r="AI300" s="596">
        <f t="shared" si="93"/>
        <v>431</v>
      </c>
      <c r="AJ300" s="595">
        <f t="shared" si="93"/>
        <v>0</v>
      </c>
      <c r="AK300" s="595">
        <f t="shared" si="93"/>
        <v>0</v>
      </c>
      <c r="AL300" s="595">
        <f t="shared" si="93"/>
        <v>0</v>
      </c>
      <c r="AM300" s="594">
        <f t="shared" si="93"/>
        <v>0</v>
      </c>
      <c r="AN300" s="349"/>
      <c r="AO300" s="349"/>
    </row>
    <row r="301" spans="1:41" s="9" customFormat="1" ht="15.75" customHeight="1">
      <c r="A301" s="649"/>
      <c r="B301" s="650" t="s">
        <v>59</v>
      </c>
      <c r="C301" s="577">
        <f t="shared" ref="C301:T301" si="95">SUM(C296:C300)</f>
        <v>1</v>
      </c>
      <c r="D301" s="578">
        <f t="shared" si="95"/>
        <v>0.99999999999999989</v>
      </c>
      <c r="E301" s="578">
        <f t="shared" si="95"/>
        <v>0.99999999999999989</v>
      </c>
      <c r="F301" s="578">
        <f t="shared" si="95"/>
        <v>1</v>
      </c>
      <c r="G301" s="578">
        <f t="shared" si="95"/>
        <v>0.99999999999999989</v>
      </c>
      <c r="H301" s="579">
        <f t="shared" si="95"/>
        <v>0.99999999999999989</v>
      </c>
      <c r="I301" s="578">
        <f t="shared" si="95"/>
        <v>0</v>
      </c>
      <c r="J301" s="589">
        <f t="shared" si="95"/>
        <v>1</v>
      </c>
      <c r="K301" s="578">
        <f t="shared" si="95"/>
        <v>0</v>
      </c>
      <c r="L301" s="578">
        <f t="shared" si="95"/>
        <v>0.99999999999999989</v>
      </c>
      <c r="M301" s="578">
        <f t="shared" si="95"/>
        <v>1</v>
      </c>
      <c r="N301" s="578">
        <f t="shared" si="95"/>
        <v>1</v>
      </c>
      <c r="O301" s="579">
        <f t="shared" si="95"/>
        <v>1</v>
      </c>
      <c r="P301" s="654">
        <f t="shared" si="95"/>
        <v>1</v>
      </c>
      <c r="Q301" s="578">
        <f t="shared" si="95"/>
        <v>0</v>
      </c>
      <c r="R301" s="578">
        <f t="shared" si="95"/>
        <v>0</v>
      </c>
      <c r="S301" s="579">
        <f t="shared" si="95"/>
        <v>0</v>
      </c>
      <c r="T301" s="577">
        <f t="shared" si="95"/>
        <v>0</v>
      </c>
      <c r="U301" s="274"/>
      <c r="V301" s="634">
        <f t="shared" si="92"/>
        <v>11129</v>
      </c>
      <c r="W301" s="635">
        <f t="shared" si="93"/>
        <v>5001</v>
      </c>
      <c r="X301" s="635">
        <f t="shared" si="93"/>
        <v>8500</v>
      </c>
      <c r="Y301" s="635">
        <f t="shared" si="93"/>
        <v>5583</v>
      </c>
      <c r="Z301" s="635">
        <f t="shared" si="93"/>
        <v>4008</v>
      </c>
      <c r="AA301" s="635">
        <f t="shared" si="93"/>
        <v>3534</v>
      </c>
      <c r="AB301" s="578">
        <f t="shared" si="93"/>
        <v>0</v>
      </c>
      <c r="AC301" s="651">
        <f t="shared" si="93"/>
        <v>37755</v>
      </c>
      <c r="AD301" s="598">
        <f t="shared" si="93"/>
        <v>0</v>
      </c>
      <c r="AE301" s="599">
        <f t="shared" si="93"/>
        <v>6967</v>
      </c>
      <c r="AF301" s="599">
        <f t="shared" si="93"/>
        <v>5013</v>
      </c>
      <c r="AG301" s="599">
        <f t="shared" si="93"/>
        <v>1135</v>
      </c>
      <c r="AH301" s="599">
        <f t="shared" si="93"/>
        <v>87</v>
      </c>
      <c r="AI301" s="600">
        <f t="shared" si="93"/>
        <v>13202</v>
      </c>
      <c r="AJ301" s="599">
        <f t="shared" si="93"/>
        <v>0</v>
      </c>
      <c r="AK301" s="599">
        <f t="shared" si="93"/>
        <v>0</v>
      </c>
      <c r="AL301" s="599">
        <f t="shared" si="93"/>
        <v>0</v>
      </c>
      <c r="AM301" s="598">
        <f t="shared" si="93"/>
        <v>0</v>
      </c>
      <c r="AN301" s="349"/>
      <c r="AO301" s="349"/>
    </row>
    <row r="302" spans="1:41">
      <c r="A302" s="646" t="s">
        <v>140</v>
      </c>
      <c r="B302" s="647" t="s">
        <v>53</v>
      </c>
      <c r="C302" s="613">
        <f t="shared" ref="C302:L306" si="96">IF(V$307&gt;0,(V302/V$307),0)</f>
        <v>0.37601442741208296</v>
      </c>
      <c r="D302" s="614">
        <f t="shared" si="96"/>
        <v>0</v>
      </c>
      <c r="E302" s="614">
        <f t="shared" si="96"/>
        <v>0.37068965517241381</v>
      </c>
      <c r="F302" s="614">
        <f t="shared" si="96"/>
        <v>0.43877551020408162</v>
      </c>
      <c r="G302" s="614">
        <f t="shared" si="96"/>
        <v>0.30054644808743169</v>
      </c>
      <c r="H302" s="615">
        <f t="shared" si="96"/>
        <v>0</v>
      </c>
      <c r="I302" s="614">
        <f t="shared" si="96"/>
        <v>0</v>
      </c>
      <c r="J302" s="660">
        <f t="shared" si="96"/>
        <v>0.3734782608695652</v>
      </c>
      <c r="K302" s="614">
        <f t="shared" si="96"/>
        <v>0</v>
      </c>
      <c r="L302" s="614">
        <f t="shared" si="96"/>
        <v>0</v>
      </c>
      <c r="M302" s="614">
        <f t="shared" ref="M302:T306" si="97">IF(AF$307&gt;0,(AF302/AF$307),0)</f>
        <v>0.36363636363636365</v>
      </c>
      <c r="N302" s="614">
        <f t="shared" si="97"/>
        <v>0.40340909090909088</v>
      </c>
      <c r="O302" s="615">
        <f t="shared" si="97"/>
        <v>0</v>
      </c>
      <c r="P302" s="652">
        <f t="shared" si="97"/>
        <v>0.37285902503293805</v>
      </c>
      <c r="Q302" s="614">
        <f t="shared" si="97"/>
        <v>0</v>
      </c>
      <c r="R302" s="614">
        <f t="shared" si="97"/>
        <v>0</v>
      </c>
      <c r="S302" s="615">
        <f t="shared" si="97"/>
        <v>0</v>
      </c>
      <c r="T302" s="613">
        <f t="shared" si="97"/>
        <v>0</v>
      </c>
      <c r="U302" s="274"/>
      <c r="V302" s="639">
        <v>417</v>
      </c>
      <c r="W302" s="640"/>
      <c r="X302" s="640">
        <v>301</v>
      </c>
      <c r="Y302" s="640">
        <v>86</v>
      </c>
      <c r="Z302" s="640">
        <v>55</v>
      </c>
      <c r="AA302" s="640"/>
      <c r="AB302" s="640"/>
      <c r="AC302" s="639">
        <v>859</v>
      </c>
      <c r="AD302" s="639"/>
      <c r="AE302" s="640"/>
      <c r="AF302" s="640">
        <v>212</v>
      </c>
      <c r="AG302" s="640">
        <v>71</v>
      </c>
      <c r="AH302" s="640"/>
      <c r="AI302" s="639">
        <v>283</v>
      </c>
      <c r="AJ302" s="639"/>
      <c r="AK302" s="640"/>
      <c r="AL302" s="640"/>
      <c r="AM302" s="639"/>
    </row>
    <row r="303" spans="1:41">
      <c r="A303" s="648"/>
      <c r="B303" s="646" t="s">
        <v>76</v>
      </c>
      <c r="C303" s="624">
        <f t="shared" si="96"/>
        <v>0.31109107303877365</v>
      </c>
      <c r="D303" s="625">
        <f t="shared" si="96"/>
        <v>0</v>
      </c>
      <c r="E303" s="625">
        <f t="shared" si="96"/>
        <v>0.34482758620689657</v>
      </c>
      <c r="F303" s="625">
        <f t="shared" si="96"/>
        <v>0.23469387755102042</v>
      </c>
      <c r="G303" s="625">
        <f t="shared" si="96"/>
        <v>0.24590163934426229</v>
      </c>
      <c r="H303" s="626">
        <f t="shared" si="96"/>
        <v>0</v>
      </c>
      <c r="I303" s="625">
        <f t="shared" si="96"/>
        <v>0</v>
      </c>
      <c r="J303" s="661">
        <f t="shared" si="96"/>
        <v>0.31130434782608696</v>
      </c>
      <c r="K303" s="625">
        <f t="shared" si="96"/>
        <v>0</v>
      </c>
      <c r="L303" s="625">
        <f t="shared" si="96"/>
        <v>0</v>
      </c>
      <c r="M303" s="625">
        <f t="shared" si="97"/>
        <v>0.18353344768439109</v>
      </c>
      <c r="N303" s="625">
        <f t="shared" si="97"/>
        <v>0.22159090909090909</v>
      </c>
      <c r="O303" s="626">
        <f t="shared" si="97"/>
        <v>0</v>
      </c>
      <c r="P303" s="653">
        <f t="shared" si="97"/>
        <v>0.19235836627140976</v>
      </c>
      <c r="Q303" s="625">
        <f t="shared" si="97"/>
        <v>0</v>
      </c>
      <c r="R303" s="625">
        <f t="shared" si="97"/>
        <v>0</v>
      </c>
      <c r="S303" s="626">
        <f t="shared" si="97"/>
        <v>0</v>
      </c>
      <c r="T303" s="624">
        <f t="shared" si="97"/>
        <v>0</v>
      </c>
      <c r="U303" s="274"/>
      <c r="V303" s="641">
        <v>345</v>
      </c>
      <c r="W303" s="642"/>
      <c r="X303" s="642">
        <v>280</v>
      </c>
      <c r="Y303" s="642">
        <v>46</v>
      </c>
      <c r="Z303" s="642">
        <v>45</v>
      </c>
      <c r="AA303" s="642"/>
      <c r="AB303" s="642"/>
      <c r="AC303" s="641">
        <v>716</v>
      </c>
      <c r="AD303" s="641"/>
      <c r="AE303" s="642"/>
      <c r="AF303" s="642">
        <v>107</v>
      </c>
      <c r="AG303" s="642">
        <v>39</v>
      </c>
      <c r="AH303" s="642"/>
      <c r="AI303" s="641">
        <v>146</v>
      </c>
      <c r="AJ303" s="641"/>
      <c r="AK303" s="642"/>
      <c r="AL303" s="642"/>
      <c r="AM303" s="641"/>
    </row>
    <row r="304" spans="1:41">
      <c r="A304" s="648"/>
      <c r="B304" s="646" t="s">
        <v>77</v>
      </c>
      <c r="C304" s="624">
        <f t="shared" si="96"/>
        <v>0.260595130748422</v>
      </c>
      <c r="D304" s="625">
        <f t="shared" si="96"/>
        <v>0</v>
      </c>
      <c r="E304" s="625">
        <f t="shared" si="96"/>
        <v>0.25615763546798032</v>
      </c>
      <c r="F304" s="625">
        <f t="shared" si="96"/>
        <v>0.32142857142857145</v>
      </c>
      <c r="G304" s="625">
        <f t="shared" si="96"/>
        <v>0.40437158469945356</v>
      </c>
      <c r="H304" s="626">
        <f t="shared" si="96"/>
        <v>0</v>
      </c>
      <c r="I304" s="625">
        <f t="shared" si="96"/>
        <v>0</v>
      </c>
      <c r="J304" s="661">
        <f t="shared" si="96"/>
        <v>0.27565217391304347</v>
      </c>
      <c r="K304" s="625">
        <f t="shared" si="96"/>
        <v>0</v>
      </c>
      <c r="L304" s="625">
        <f t="shared" si="96"/>
        <v>0</v>
      </c>
      <c r="M304" s="625">
        <f t="shared" si="97"/>
        <v>0.28130360205831906</v>
      </c>
      <c r="N304" s="625">
        <f t="shared" si="97"/>
        <v>0.1875</v>
      </c>
      <c r="O304" s="626">
        <f t="shared" si="97"/>
        <v>0</v>
      </c>
      <c r="P304" s="653">
        <f t="shared" si="97"/>
        <v>0.25955204216073779</v>
      </c>
      <c r="Q304" s="625">
        <f t="shared" si="97"/>
        <v>0</v>
      </c>
      <c r="R304" s="625">
        <f t="shared" si="97"/>
        <v>0</v>
      </c>
      <c r="S304" s="626">
        <f t="shared" si="97"/>
        <v>0</v>
      </c>
      <c r="T304" s="624">
        <f t="shared" si="97"/>
        <v>0</v>
      </c>
      <c r="U304" s="274"/>
      <c r="V304" s="641">
        <v>289</v>
      </c>
      <c r="W304" s="642"/>
      <c r="X304" s="642">
        <v>208</v>
      </c>
      <c r="Y304" s="642">
        <v>63</v>
      </c>
      <c r="Z304" s="642">
        <v>74</v>
      </c>
      <c r="AA304" s="642"/>
      <c r="AB304" s="642"/>
      <c r="AC304" s="641">
        <v>634</v>
      </c>
      <c r="AD304" s="641"/>
      <c r="AE304" s="642"/>
      <c r="AF304" s="642">
        <v>164</v>
      </c>
      <c r="AG304" s="642">
        <v>33</v>
      </c>
      <c r="AH304" s="642"/>
      <c r="AI304" s="641">
        <v>197</v>
      </c>
      <c r="AJ304" s="641"/>
      <c r="AK304" s="642"/>
      <c r="AL304" s="642"/>
      <c r="AM304" s="641"/>
    </row>
    <row r="305" spans="1:39">
      <c r="A305" s="648"/>
      <c r="B305" s="646" t="s">
        <v>78</v>
      </c>
      <c r="C305" s="624">
        <f t="shared" si="96"/>
        <v>2.1641118124436431E-2</v>
      </c>
      <c r="D305" s="625">
        <f t="shared" si="96"/>
        <v>0</v>
      </c>
      <c r="E305" s="625">
        <f t="shared" si="96"/>
        <v>2.832512315270936E-2</v>
      </c>
      <c r="F305" s="625">
        <f t="shared" si="96"/>
        <v>5.1020408163265302E-3</v>
      </c>
      <c r="G305" s="625">
        <f t="shared" si="96"/>
        <v>4.9180327868852458E-2</v>
      </c>
      <c r="H305" s="626">
        <f t="shared" si="96"/>
        <v>0</v>
      </c>
      <c r="I305" s="625">
        <f t="shared" si="96"/>
        <v>0</v>
      </c>
      <c r="J305" s="661">
        <f t="shared" si="96"/>
        <v>2.4782608695652172E-2</v>
      </c>
      <c r="K305" s="625">
        <f t="shared" si="96"/>
        <v>0</v>
      </c>
      <c r="L305" s="625">
        <f t="shared" si="96"/>
        <v>0</v>
      </c>
      <c r="M305" s="625">
        <f t="shared" si="97"/>
        <v>0.14408233276157806</v>
      </c>
      <c r="N305" s="625">
        <f t="shared" si="97"/>
        <v>0.16477272727272727</v>
      </c>
      <c r="O305" s="626">
        <f t="shared" si="97"/>
        <v>0</v>
      </c>
      <c r="P305" s="653">
        <f t="shared" si="97"/>
        <v>0.14888010540184454</v>
      </c>
      <c r="Q305" s="625">
        <f t="shared" si="97"/>
        <v>0</v>
      </c>
      <c r="R305" s="625">
        <f t="shared" si="97"/>
        <v>0</v>
      </c>
      <c r="S305" s="626">
        <f t="shared" si="97"/>
        <v>0</v>
      </c>
      <c r="T305" s="624">
        <f t="shared" si="97"/>
        <v>0</v>
      </c>
      <c r="U305" s="274"/>
      <c r="V305" s="641">
        <v>24</v>
      </c>
      <c r="W305" s="642"/>
      <c r="X305" s="642">
        <v>23</v>
      </c>
      <c r="Y305" s="642">
        <v>1</v>
      </c>
      <c r="Z305" s="642">
        <v>9</v>
      </c>
      <c r="AA305" s="642"/>
      <c r="AB305" s="642"/>
      <c r="AC305" s="641">
        <v>57</v>
      </c>
      <c r="AD305" s="641"/>
      <c r="AE305" s="642"/>
      <c r="AF305" s="642">
        <v>84</v>
      </c>
      <c r="AG305" s="642">
        <v>29</v>
      </c>
      <c r="AH305" s="642"/>
      <c r="AI305" s="641">
        <v>113</v>
      </c>
      <c r="AJ305" s="641"/>
      <c r="AK305" s="642"/>
      <c r="AL305" s="642"/>
      <c r="AM305" s="641"/>
    </row>
    <row r="306" spans="1:39">
      <c r="A306" s="648"/>
      <c r="B306" s="646" t="s">
        <v>209</v>
      </c>
      <c r="C306" s="624">
        <f t="shared" si="96"/>
        <v>3.0658250676284943E-2</v>
      </c>
      <c r="D306" s="625">
        <f t="shared" si="96"/>
        <v>0</v>
      </c>
      <c r="E306" s="625">
        <f t="shared" si="96"/>
        <v>0</v>
      </c>
      <c r="F306" s="625">
        <f t="shared" si="96"/>
        <v>0</v>
      </c>
      <c r="G306" s="625">
        <f t="shared" si="96"/>
        <v>0</v>
      </c>
      <c r="H306" s="626">
        <f t="shared" si="96"/>
        <v>0</v>
      </c>
      <c r="I306" s="625">
        <f t="shared" si="96"/>
        <v>0</v>
      </c>
      <c r="J306" s="661">
        <f t="shared" si="96"/>
        <v>1.4782608695652174E-2</v>
      </c>
      <c r="K306" s="625">
        <f t="shared" si="96"/>
        <v>0</v>
      </c>
      <c r="L306" s="625">
        <f t="shared" si="96"/>
        <v>0</v>
      </c>
      <c r="M306" s="625">
        <f t="shared" si="97"/>
        <v>2.7444253859348199E-2</v>
      </c>
      <c r="N306" s="625">
        <f t="shared" si="97"/>
        <v>2.2727272727272728E-2</v>
      </c>
      <c r="O306" s="626">
        <f t="shared" si="97"/>
        <v>0</v>
      </c>
      <c r="P306" s="653">
        <f t="shared" si="97"/>
        <v>2.6350461133069828E-2</v>
      </c>
      <c r="Q306" s="625">
        <f t="shared" si="97"/>
        <v>0</v>
      </c>
      <c r="R306" s="625">
        <f t="shared" si="97"/>
        <v>0</v>
      </c>
      <c r="S306" s="626">
        <f t="shared" si="97"/>
        <v>0</v>
      </c>
      <c r="T306" s="624">
        <f t="shared" si="97"/>
        <v>0</v>
      </c>
      <c r="U306" s="274"/>
      <c r="V306" s="641">
        <v>34</v>
      </c>
      <c r="W306" s="642"/>
      <c r="X306" s="642"/>
      <c r="Y306" s="642"/>
      <c r="Z306" s="642"/>
      <c r="AA306" s="642"/>
      <c r="AB306" s="642"/>
      <c r="AC306" s="641">
        <v>34</v>
      </c>
      <c r="AD306" s="641"/>
      <c r="AE306" s="642"/>
      <c r="AF306" s="642">
        <v>16</v>
      </c>
      <c r="AG306" s="642">
        <v>4</v>
      </c>
      <c r="AH306" s="642"/>
      <c r="AI306" s="641">
        <v>20</v>
      </c>
      <c r="AJ306" s="641"/>
      <c r="AK306" s="642"/>
      <c r="AL306" s="642"/>
      <c r="AM306" s="641"/>
    </row>
    <row r="307" spans="1:39">
      <c r="A307" s="649"/>
      <c r="B307" s="650" t="s">
        <v>59</v>
      </c>
      <c r="C307" s="577">
        <f t="shared" ref="C307:T307" si="98">SUM(C302:C306)</f>
        <v>1</v>
      </c>
      <c r="D307" s="578">
        <f t="shared" si="98"/>
        <v>0</v>
      </c>
      <c r="E307" s="578">
        <f t="shared" si="98"/>
        <v>1</v>
      </c>
      <c r="F307" s="578">
        <f t="shared" si="98"/>
        <v>1</v>
      </c>
      <c r="G307" s="578">
        <f t="shared" si="98"/>
        <v>1</v>
      </c>
      <c r="H307" s="579">
        <f t="shared" si="98"/>
        <v>0</v>
      </c>
      <c r="I307" s="578">
        <f t="shared" si="98"/>
        <v>0</v>
      </c>
      <c r="J307" s="589">
        <f t="shared" si="98"/>
        <v>1</v>
      </c>
      <c r="K307" s="578">
        <f t="shared" si="98"/>
        <v>0</v>
      </c>
      <c r="L307" s="578">
        <f t="shared" si="98"/>
        <v>0</v>
      </c>
      <c r="M307" s="578">
        <f t="shared" si="98"/>
        <v>1</v>
      </c>
      <c r="N307" s="578">
        <f t="shared" si="98"/>
        <v>1</v>
      </c>
      <c r="O307" s="579">
        <f t="shared" si="98"/>
        <v>0</v>
      </c>
      <c r="P307" s="654">
        <f t="shared" si="98"/>
        <v>1</v>
      </c>
      <c r="Q307" s="578">
        <f t="shared" si="98"/>
        <v>0</v>
      </c>
      <c r="R307" s="578">
        <f t="shared" si="98"/>
        <v>0</v>
      </c>
      <c r="S307" s="579">
        <f t="shared" si="98"/>
        <v>0</v>
      </c>
      <c r="T307" s="577">
        <f t="shared" si="98"/>
        <v>0</v>
      </c>
      <c r="U307" s="274"/>
      <c r="V307" s="641">
        <v>1109</v>
      </c>
      <c r="W307" s="642"/>
      <c r="X307" s="642">
        <v>812</v>
      </c>
      <c r="Y307" s="642">
        <v>196</v>
      </c>
      <c r="Z307" s="642">
        <v>183</v>
      </c>
      <c r="AA307" s="642"/>
      <c r="AB307" s="642"/>
      <c r="AC307" s="641">
        <v>2300</v>
      </c>
      <c r="AD307" s="641"/>
      <c r="AE307" s="642"/>
      <c r="AF307" s="642">
        <v>583</v>
      </c>
      <c r="AG307" s="642">
        <v>176</v>
      </c>
      <c r="AH307" s="642"/>
      <c r="AI307" s="641">
        <v>759</v>
      </c>
      <c r="AJ307" s="641"/>
      <c r="AK307" s="642"/>
      <c r="AL307" s="642"/>
      <c r="AM307" s="641"/>
    </row>
    <row r="308" spans="1:39">
      <c r="A308" s="646" t="s">
        <v>148</v>
      </c>
      <c r="B308" s="647" t="s">
        <v>53</v>
      </c>
      <c r="C308" s="613">
        <f t="shared" ref="C308:L312" si="99">IF(V$313&gt;0,(V308/V$313),0)</f>
        <v>0</v>
      </c>
      <c r="D308" s="614">
        <f t="shared" si="99"/>
        <v>0.29268292682926828</v>
      </c>
      <c r="E308" s="614">
        <f t="shared" si="99"/>
        <v>0.24850299401197604</v>
      </c>
      <c r="F308" s="614">
        <f t="shared" si="99"/>
        <v>0</v>
      </c>
      <c r="G308" s="614">
        <f t="shared" si="99"/>
        <v>0</v>
      </c>
      <c r="H308" s="615">
        <f t="shared" si="99"/>
        <v>0.32247557003257327</v>
      </c>
      <c r="I308" s="614">
        <f t="shared" si="99"/>
        <v>0</v>
      </c>
      <c r="J308" s="660">
        <f t="shared" si="99"/>
        <v>0.28712871287128711</v>
      </c>
      <c r="K308" s="614">
        <f t="shared" si="99"/>
        <v>0</v>
      </c>
      <c r="L308" s="614">
        <f t="shared" si="99"/>
        <v>0</v>
      </c>
      <c r="M308" s="614">
        <f t="shared" ref="M308:T312" si="100">IF(AF$313&gt;0,(AF308/AF$313),0)</f>
        <v>0.4606741573033708</v>
      </c>
      <c r="N308" s="614">
        <f t="shared" si="100"/>
        <v>0</v>
      </c>
      <c r="O308" s="615">
        <f t="shared" si="100"/>
        <v>0</v>
      </c>
      <c r="P308" s="652">
        <f t="shared" si="100"/>
        <v>0.12974683544303797</v>
      </c>
      <c r="Q308" s="614">
        <f t="shared" si="100"/>
        <v>0</v>
      </c>
      <c r="R308" s="614">
        <f t="shared" si="100"/>
        <v>0</v>
      </c>
      <c r="S308" s="615">
        <f t="shared" si="100"/>
        <v>0</v>
      </c>
      <c r="T308" s="613">
        <f t="shared" si="100"/>
        <v>0</v>
      </c>
      <c r="U308" s="274"/>
      <c r="V308" s="639"/>
      <c r="W308" s="640">
        <v>108</v>
      </c>
      <c r="X308" s="640">
        <v>83</v>
      </c>
      <c r="Y308" s="640"/>
      <c r="Z308" s="640"/>
      <c r="AA308" s="640">
        <v>99</v>
      </c>
      <c r="AB308" s="640"/>
      <c r="AC308" s="639">
        <v>290</v>
      </c>
      <c r="AD308" s="639"/>
      <c r="AE308" s="640"/>
      <c r="AF308" s="640">
        <v>41</v>
      </c>
      <c r="AG308" s="640"/>
      <c r="AH308" s="640"/>
      <c r="AI308" s="639">
        <v>41</v>
      </c>
      <c r="AJ308" s="639"/>
      <c r="AK308" s="640"/>
      <c r="AL308" s="640"/>
      <c r="AM308" s="639"/>
    </row>
    <row r="309" spans="1:39">
      <c r="A309" s="648"/>
      <c r="B309" s="646" t="s">
        <v>76</v>
      </c>
      <c r="C309" s="624">
        <f t="shared" si="99"/>
        <v>0</v>
      </c>
      <c r="D309" s="625">
        <f t="shared" si="99"/>
        <v>0.37940379403794039</v>
      </c>
      <c r="E309" s="625">
        <f t="shared" si="99"/>
        <v>0.47305389221556887</v>
      </c>
      <c r="F309" s="625">
        <f t="shared" si="99"/>
        <v>0</v>
      </c>
      <c r="G309" s="625">
        <f t="shared" si="99"/>
        <v>0</v>
      </c>
      <c r="H309" s="626">
        <f t="shared" si="99"/>
        <v>0.33876221498371334</v>
      </c>
      <c r="I309" s="625">
        <f t="shared" si="99"/>
        <v>0</v>
      </c>
      <c r="J309" s="661">
        <f t="shared" si="99"/>
        <v>0.39801980198019804</v>
      </c>
      <c r="K309" s="625">
        <f t="shared" si="99"/>
        <v>0</v>
      </c>
      <c r="L309" s="625">
        <f t="shared" si="99"/>
        <v>0</v>
      </c>
      <c r="M309" s="625">
        <f t="shared" si="100"/>
        <v>0.11235955056179775</v>
      </c>
      <c r="N309" s="625">
        <f t="shared" si="100"/>
        <v>0</v>
      </c>
      <c r="O309" s="626">
        <f t="shared" si="100"/>
        <v>0</v>
      </c>
      <c r="P309" s="653">
        <f t="shared" si="100"/>
        <v>3.1645569620253167E-2</v>
      </c>
      <c r="Q309" s="625">
        <f t="shared" si="100"/>
        <v>0</v>
      </c>
      <c r="R309" s="625">
        <f t="shared" si="100"/>
        <v>0</v>
      </c>
      <c r="S309" s="626">
        <f t="shared" si="100"/>
        <v>0</v>
      </c>
      <c r="T309" s="624">
        <f t="shared" si="100"/>
        <v>0</v>
      </c>
      <c r="U309" s="274"/>
      <c r="V309" s="641"/>
      <c r="W309" s="642">
        <v>140</v>
      </c>
      <c r="X309" s="642">
        <v>158</v>
      </c>
      <c r="Y309" s="642"/>
      <c r="Z309" s="642"/>
      <c r="AA309" s="642">
        <v>104</v>
      </c>
      <c r="AB309" s="642"/>
      <c r="AC309" s="641">
        <v>402</v>
      </c>
      <c r="AD309" s="641"/>
      <c r="AE309" s="642"/>
      <c r="AF309" s="642">
        <v>10</v>
      </c>
      <c r="AG309" s="642"/>
      <c r="AH309" s="642"/>
      <c r="AI309" s="641">
        <v>10</v>
      </c>
      <c r="AJ309" s="641"/>
      <c r="AK309" s="642"/>
      <c r="AL309" s="642"/>
      <c r="AM309" s="641"/>
    </row>
    <row r="310" spans="1:39">
      <c r="A310" s="648"/>
      <c r="B310" s="646" t="s">
        <v>77</v>
      </c>
      <c r="C310" s="624">
        <f t="shared" si="99"/>
        <v>0</v>
      </c>
      <c r="D310" s="625">
        <f t="shared" si="99"/>
        <v>0.21680216802168023</v>
      </c>
      <c r="E310" s="625">
        <f t="shared" si="99"/>
        <v>0.20958083832335328</v>
      </c>
      <c r="F310" s="625">
        <f t="shared" si="99"/>
        <v>0</v>
      </c>
      <c r="G310" s="625">
        <f t="shared" si="99"/>
        <v>0</v>
      </c>
      <c r="H310" s="626">
        <f t="shared" si="99"/>
        <v>0.26710097719869708</v>
      </c>
      <c r="I310" s="625">
        <f t="shared" si="99"/>
        <v>0</v>
      </c>
      <c r="J310" s="661">
        <f t="shared" si="99"/>
        <v>0.22970297029702971</v>
      </c>
      <c r="K310" s="625">
        <f t="shared" si="99"/>
        <v>0</v>
      </c>
      <c r="L310" s="625">
        <f t="shared" si="99"/>
        <v>0</v>
      </c>
      <c r="M310" s="625">
        <f t="shared" si="100"/>
        <v>0.1797752808988764</v>
      </c>
      <c r="N310" s="625">
        <f t="shared" si="100"/>
        <v>0</v>
      </c>
      <c r="O310" s="626">
        <f t="shared" si="100"/>
        <v>0</v>
      </c>
      <c r="P310" s="653">
        <f t="shared" si="100"/>
        <v>5.0632911392405063E-2</v>
      </c>
      <c r="Q310" s="625">
        <f t="shared" si="100"/>
        <v>0</v>
      </c>
      <c r="R310" s="625">
        <f t="shared" si="100"/>
        <v>0</v>
      </c>
      <c r="S310" s="626">
        <f t="shared" si="100"/>
        <v>0</v>
      </c>
      <c r="T310" s="624">
        <f t="shared" si="100"/>
        <v>0</v>
      </c>
      <c r="U310" s="274"/>
      <c r="V310" s="641"/>
      <c r="W310" s="642">
        <v>80</v>
      </c>
      <c r="X310" s="642">
        <v>70</v>
      </c>
      <c r="Y310" s="642"/>
      <c r="Z310" s="642"/>
      <c r="AA310" s="642">
        <v>82</v>
      </c>
      <c r="AB310" s="642"/>
      <c r="AC310" s="641">
        <v>232</v>
      </c>
      <c r="AD310" s="641"/>
      <c r="AE310" s="642"/>
      <c r="AF310" s="642">
        <v>16</v>
      </c>
      <c r="AG310" s="642"/>
      <c r="AH310" s="642"/>
      <c r="AI310" s="641">
        <v>16</v>
      </c>
      <c r="AJ310" s="641"/>
      <c r="AK310" s="642"/>
      <c r="AL310" s="642"/>
      <c r="AM310" s="641"/>
    </row>
    <row r="311" spans="1:39">
      <c r="A311" s="648"/>
      <c r="B311" s="646" t="s">
        <v>78</v>
      </c>
      <c r="C311" s="624">
        <f t="shared" si="99"/>
        <v>0</v>
      </c>
      <c r="D311" s="625">
        <f t="shared" si="99"/>
        <v>4.878048780487805E-2</v>
      </c>
      <c r="E311" s="625">
        <f t="shared" si="99"/>
        <v>1.4970059880239521E-2</v>
      </c>
      <c r="F311" s="625">
        <f t="shared" si="99"/>
        <v>0</v>
      </c>
      <c r="G311" s="625">
        <f t="shared" si="99"/>
        <v>0</v>
      </c>
      <c r="H311" s="626">
        <f t="shared" si="99"/>
        <v>3.2573289902280131E-2</v>
      </c>
      <c r="I311" s="625">
        <f t="shared" si="99"/>
        <v>0</v>
      </c>
      <c r="J311" s="661">
        <f t="shared" si="99"/>
        <v>3.2673267326732675E-2</v>
      </c>
      <c r="K311" s="625">
        <f t="shared" si="99"/>
        <v>0</v>
      </c>
      <c r="L311" s="625">
        <f t="shared" si="99"/>
        <v>0</v>
      </c>
      <c r="M311" s="625">
        <f t="shared" si="100"/>
        <v>0.24719101123595505</v>
      </c>
      <c r="N311" s="625">
        <f t="shared" si="100"/>
        <v>0.94273127753303965</v>
      </c>
      <c r="O311" s="626">
        <f t="shared" si="100"/>
        <v>0</v>
      </c>
      <c r="P311" s="653">
        <f t="shared" si="100"/>
        <v>0.74683544303797467</v>
      </c>
      <c r="Q311" s="625">
        <f t="shared" si="100"/>
        <v>0</v>
      </c>
      <c r="R311" s="625">
        <f t="shared" si="100"/>
        <v>0</v>
      </c>
      <c r="S311" s="626">
        <f t="shared" si="100"/>
        <v>0</v>
      </c>
      <c r="T311" s="624">
        <f t="shared" si="100"/>
        <v>0</v>
      </c>
      <c r="U311" s="274"/>
      <c r="V311" s="641"/>
      <c r="W311" s="642">
        <v>18</v>
      </c>
      <c r="X311" s="642">
        <v>5</v>
      </c>
      <c r="Y311" s="642"/>
      <c r="Z311" s="642"/>
      <c r="AA311" s="642">
        <v>10</v>
      </c>
      <c r="AB311" s="642"/>
      <c r="AC311" s="641">
        <v>33</v>
      </c>
      <c r="AD311" s="641"/>
      <c r="AE311" s="642"/>
      <c r="AF311" s="642">
        <v>22</v>
      </c>
      <c r="AG311" s="642">
        <v>214</v>
      </c>
      <c r="AH311" s="642"/>
      <c r="AI311" s="641">
        <v>236</v>
      </c>
      <c r="AJ311" s="641"/>
      <c r="AK311" s="642"/>
      <c r="AL311" s="642"/>
      <c r="AM311" s="641"/>
    </row>
    <row r="312" spans="1:39">
      <c r="A312" s="648"/>
      <c r="B312" s="646" t="s">
        <v>209</v>
      </c>
      <c r="C312" s="624">
        <f t="shared" si="99"/>
        <v>0</v>
      </c>
      <c r="D312" s="625">
        <f t="shared" si="99"/>
        <v>6.2330623306233061E-2</v>
      </c>
      <c r="E312" s="625">
        <f t="shared" si="99"/>
        <v>5.3892215568862277E-2</v>
      </c>
      <c r="F312" s="625">
        <f t="shared" si="99"/>
        <v>0</v>
      </c>
      <c r="G312" s="625">
        <f t="shared" si="99"/>
        <v>0</v>
      </c>
      <c r="H312" s="626">
        <f t="shared" si="99"/>
        <v>3.9087947882736153E-2</v>
      </c>
      <c r="I312" s="625">
        <f t="shared" si="99"/>
        <v>0</v>
      </c>
      <c r="J312" s="661">
        <f t="shared" si="99"/>
        <v>5.2475247524752473E-2</v>
      </c>
      <c r="K312" s="625">
        <f t="shared" si="99"/>
        <v>0</v>
      </c>
      <c r="L312" s="625">
        <f t="shared" si="99"/>
        <v>0</v>
      </c>
      <c r="M312" s="625">
        <f t="shared" si="100"/>
        <v>0</v>
      </c>
      <c r="N312" s="625">
        <f t="shared" si="100"/>
        <v>5.7268722466960353E-2</v>
      </c>
      <c r="O312" s="626">
        <f t="shared" si="100"/>
        <v>0</v>
      </c>
      <c r="P312" s="653">
        <f t="shared" si="100"/>
        <v>4.1139240506329111E-2</v>
      </c>
      <c r="Q312" s="625">
        <f t="shared" si="100"/>
        <v>0</v>
      </c>
      <c r="R312" s="625">
        <f t="shared" si="100"/>
        <v>0</v>
      </c>
      <c r="S312" s="626">
        <f t="shared" si="100"/>
        <v>0</v>
      </c>
      <c r="T312" s="624">
        <f t="shared" si="100"/>
        <v>0</v>
      </c>
      <c r="U312" s="274"/>
      <c r="V312" s="641"/>
      <c r="W312" s="642">
        <v>23</v>
      </c>
      <c r="X312" s="642">
        <v>18</v>
      </c>
      <c r="Y312" s="642"/>
      <c r="Z312" s="642"/>
      <c r="AA312" s="642">
        <v>12</v>
      </c>
      <c r="AB312" s="642"/>
      <c r="AC312" s="641">
        <v>53</v>
      </c>
      <c r="AD312" s="641"/>
      <c r="AE312" s="642"/>
      <c r="AF312" s="642"/>
      <c r="AG312" s="642">
        <v>13</v>
      </c>
      <c r="AH312" s="642"/>
      <c r="AI312" s="641">
        <v>13</v>
      </c>
      <c r="AJ312" s="641"/>
      <c r="AK312" s="642"/>
      <c r="AL312" s="642"/>
      <c r="AM312" s="641"/>
    </row>
    <row r="313" spans="1:39">
      <c r="A313" s="649"/>
      <c r="B313" s="650" t="s">
        <v>59</v>
      </c>
      <c r="C313" s="577">
        <f t="shared" ref="C313:T313" si="101">SUM(C308:C312)</f>
        <v>0</v>
      </c>
      <c r="D313" s="578">
        <f t="shared" si="101"/>
        <v>1</v>
      </c>
      <c r="E313" s="578">
        <f t="shared" si="101"/>
        <v>0.99999999999999989</v>
      </c>
      <c r="F313" s="578">
        <f t="shared" si="101"/>
        <v>0</v>
      </c>
      <c r="G313" s="578">
        <f t="shared" si="101"/>
        <v>0</v>
      </c>
      <c r="H313" s="579">
        <f t="shared" si="101"/>
        <v>1</v>
      </c>
      <c r="I313" s="578">
        <f t="shared" si="101"/>
        <v>0</v>
      </c>
      <c r="J313" s="589">
        <f t="shared" si="101"/>
        <v>1</v>
      </c>
      <c r="K313" s="578">
        <f t="shared" si="101"/>
        <v>0</v>
      </c>
      <c r="L313" s="578">
        <f t="shared" si="101"/>
        <v>0</v>
      </c>
      <c r="M313" s="578">
        <f t="shared" si="101"/>
        <v>1</v>
      </c>
      <c r="N313" s="578">
        <f t="shared" si="101"/>
        <v>1</v>
      </c>
      <c r="O313" s="579">
        <f t="shared" si="101"/>
        <v>0</v>
      </c>
      <c r="P313" s="654">
        <f t="shared" si="101"/>
        <v>1</v>
      </c>
      <c r="Q313" s="578">
        <f t="shared" si="101"/>
        <v>0</v>
      </c>
      <c r="R313" s="578">
        <f t="shared" si="101"/>
        <v>0</v>
      </c>
      <c r="S313" s="579">
        <f t="shared" si="101"/>
        <v>0</v>
      </c>
      <c r="T313" s="577">
        <f t="shared" si="101"/>
        <v>0</v>
      </c>
      <c r="U313" s="274"/>
      <c r="V313" s="641"/>
      <c r="W313" s="642">
        <v>369</v>
      </c>
      <c r="X313" s="642">
        <v>334</v>
      </c>
      <c r="Y313" s="642"/>
      <c r="Z313" s="642"/>
      <c r="AA313" s="642">
        <v>307</v>
      </c>
      <c r="AB313" s="642"/>
      <c r="AC313" s="641">
        <v>1010</v>
      </c>
      <c r="AD313" s="641"/>
      <c r="AE313" s="642"/>
      <c r="AF313" s="642">
        <v>89</v>
      </c>
      <c r="AG313" s="642">
        <v>227</v>
      </c>
      <c r="AH313" s="642"/>
      <c r="AI313" s="641">
        <v>316</v>
      </c>
      <c r="AJ313" s="641"/>
      <c r="AK313" s="642"/>
      <c r="AL313" s="642"/>
      <c r="AM313" s="641"/>
    </row>
    <row r="314" spans="1:39">
      <c r="A314" s="646" t="s">
        <v>147</v>
      </c>
      <c r="B314" s="647" t="s">
        <v>53</v>
      </c>
      <c r="C314" s="613">
        <f t="shared" ref="C314:L318" si="102">IF(V$319&gt;0,(V314/V$319),0)</f>
        <v>0.4172727272727273</v>
      </c>
      <c r="D314" s="614">
        <f t="shared" si="102"/>
        <v>0.39195979899497485</v>
      </c>
      <c r="E314" s="614">
        <f t="shared" si="102"/>
        <v>0.39117647058823529</v>
      </c>
      <c r="F314" s="614">
        <f t="shared" si="102"/>
        <v>0.3577981651376147</v>
      </c>
      <c r="G314" s="614">
        <f t="shared" si="102"/>
        <v>0.36009732360097324</v>
      </c>
      <c r="H314" s="615">
        <f t="shared" si="102"/>
        <v>1</v>
      </c>
      <c r="I314" s="614">
        <f t="shared" si="102"/>
        <v>0</v>
      </c>
      <c r="J314" s="660">
        <f t="shared" si="102"/>
        <v>0.39381153305203936</v>
      </c>
      <c r="K314" s="614">
        <f t="shared" si="102"/>
        <v>0</v>
      </c>
      <c r="L314" s="614">
        <f t="shared" si="102"/>
        <v>0</v>
      </c>
      <c r="M314" s="614">
        <f t="shared" ref="M314:T318" si="103">IF(AF$319&gt;0,(AF314/AF$319),0)</f>
        <v>0.56211656441717794</v>
      </c>
      <c r="N314" s="614">
        <f t="shared" si="103"/>
        <v>0.57516339869281041</v>
      </c>
      <c r="O314" s="615">
        <f t="shared" si="103"/>
        <v>0</v>
      </c>
      <c r="P314" s="652">
        <f t="shared" si="103"/>
        <v>0.5634866163349348</v>
      </c>
      <c r="Q314" s="614">
        <f t="shared" si="103"/>
        <v>0</v>
      </c>
      <c r="R314" s="614">
        <f t="shared" si="103"/>
        <v>0</v>
      </c>
      <c r="S314" s="615">
        <f t="shared" si="103"/>
        <v>0</v>
      </c>
      <c r="T314" s="613">
        <f t="shared" si="103"/>
        <v>0</v>
      </c>
      <c r="U314" s="274"/>
      <c r="V314" s="639">
        <v>459</v>
      </c>
      <c r="W314" s="640">
        <v>312</v>
      </c>
      <c r="X314" s="640">
        <v>133</v>
      </c>
      <c r="Y314" s="640">
        <v>312</v>
      </c>
      <c r="Z314" s="640">
        <v>148</v>
      </c>
      <c r="AA314" s="640">
        <v>36</v>
      </c>
      <c r="AB314" s="640"/>
      <c r="AC314" s="639">
        <v>1400</v>
      </c>
      <c r="AD314" s="639"/>
      <c r="AE314" s="640"/>
      <c r="AF314" s="640">
        <v>733</v>
      </c>
      <c r="AG314" s="640">
        <v>88</v>
      </c>
      <c r="AH314" s="640"/>
      <c r="AI314" s="639">
        <v>821</v>
      </c>
      <c r="AJ314" s="639"/>
      <c r="AK314" s="640"/>
      <c r="AL314" s="640"/>
      <c r="AM314" s="639"/>
    </row>
    <row r="315" spans="1:39">
      <c r="A315" s="648"/>
      <c r="B315" s="646" t="s">
        <v>76</v>
      </c>
      <c r="C315" s="624">
        <f t="shared" si="102"/>
        <v>0.25272727272727274</v>
      </c>
      <c r="D315" s="625">
        <f t="shared" si="102"/>
        <v>0.26381909547738691</v>
      </c>
      <c r="E315" s="625">
        <f t="shared" si="102"/>
        <v>0.23529411764705882</v>
      </c>
      <c r="F315" s="625">
        <f t="shared" si="102"/>
        <v>0.24311926605504589</v>
      </c>
      <c r="G315" s="625">
        <f t="shared" si="102"/>
        <v>0.27250608272506083</v>
      </c>
      <c r="H315" s="626">
        <f t="shared" si="102"/>
        <v>0</v>
      </c>
      <c r="I315" s="625">
        <f t="shared" si="102"/>
        <v>0</v>
      </c>
      <c r="J315" s="661">
        <f t="shared" si="102"/>
        <v>0.25091420534458508</v>
      </c>
      <c r="K315" s="625">
        <f t="shared" si="102"/>
        <v>0</v>
      </c>
      <c r="L315" s="625">
        <f t="shared" si="102"/>
        <v>0</v>
      </c>
      <c r="M315" s="625">
        <f t="shared" si="103"/>
        <v>0.14570552147239263</v>
      </c>
      <c r="N315" s="625">
        <f t="shared" si="103"/>
        <v>0.19607843137254902</v>
      </c>
      <c r="O315" s="626">
        <f t="shared" si="103"/>
        <v>0</v>
      </c>
      <c r="P315" s="653">
        <f t="shared" si="103"/>
        <v>0.15099519560741248</v>
      </c>
      <c r="Q315" s="625">
        <f t="shared" si="103"/>
        <v>0</v>
      </c>
      <c r="R315" s="625">
        <f t="shared" si="103"/>
        <v>0</v>
      </c>
      <c r="S315" s="626">
        <f t="shared" si="103"/>
        <v>0</v>
      </c>
      <c r="T315" s="624">
        <f t="shared" si="103"/>
        <v>0</v>
      </c>
      <c r="U315" s="274"/>
      <c r="V315" s="641">
        <v>278</v>
      </c>
      <c r="W315" s="642">
        <v>210</v>
      </c>
      <c r="X315" s="642">
        <v>80</v>
      </c>
      <c r="Y315" s="642">
        <v>212</v>
      </c>
      <c r="Z315" s="642">
        <v>112</v>
      </c>
      <c r="AA315" s="642"/>
      <c r="AB315" s="642"/>
      <c r="AC315" s="641">
        <v>892</v>
      </c>
      <c r="AD315" s="641"/>
      <c r="AE315" s="642"/>
      <c r="AF315" s="642">
        <v>190</v>
      </c>
      <c r="AG315" s="642">
        <v>30</v>
      </c>
      <c r="AH315" s="642"/>
      <c r="AI315" s="641">
        <v>220</v>
      </c>
      <c r="AJ315" s="641"/>
      <c r="AK315" s="642"/>
      <c r="AL315" s="642"/>
      <c r="AM315" s="641"/>
    </row>
    <row r="316" spans="1:39">
      <c r="A316" s="648"/>
      <c r="B316" s="646" t="s">
        <v>77</v>
      </c>
      <c r="C316" s="624">
        <f t="shared" si="102"/>
        <v>0.18363636363636363</v>
      </c>
      <c r="D316" s="625">
        <f t="shared" si="102"/>
        <v>0.22989949748743718</v>
      </c>
      <c r="E316" s="625">
        <f t="shared" si="102"/>
        <v>0.25</v>
      </c>
      <c r="F316" s="625">
        <f t="shared" si="102"/>
        <v>0.36811926605504586</v>
      </c>
      <c r="G316" s="625">
        <f t="shared" si="102"/>
        <v>0.34063260340632601</v>
      </c>
      <c r="H316" s="626">
        <f t="shared" si="102"/>
        <v>0</v>
      </c>
      <c r="I316" s="625">
        <f t="shared" si="102"/>
        <v>0</v>
      </c>
      <c r="J316" s="661">
        <f t="shared" si="102"/>
        <v>0.2618846694796062</v>
      </c>
      <c r="K316" s="625">
        <f t="shared" si="102"/>
        <v>0</v>
      </c>
      <c r="L316" s="625">
        <f t="shared" si="102"/>
        <v>0</v>
      </c>
      <c r="M316" s="625">
        <f t="shared" si="103"/>
        <v>0.16411042944785276</v>
      </c>
      <c r="N316" s="625">
        <f t="shared" si="103"/>
        <v>0.1437908496732026</v>
      </c>
      <c r="O316" s="626">
        <f t="shared" si="103"/>
        <v>0</v>
      </c>
      <c r="P316" s="653">
        <f t="shared" si="103"/>
        <v>0.16197666437886069</v>
      </c>
      <c r="Q316" s="625">
        <f t="shared" si="103"/>
        <v>0</v>
      </c>
      <c r="R316" s="625">
        <f t="shared" si="103"/>
        <v>0</v>
      </c>
      <c r="S316" s="626">
        <f t="shared" si="103"/>
        <v>0</v>
      </c>
      <c r="T316" s="624">
        <f t="shared" si="103"/>
        <v>0</v>
      </c>
      <c r="U316" s="274"/>
      <c r="V316" s="641">
        <v>202</v>
      </c>
      <c r="W316" s="642">
        <v>183</v>
      </c>
      <c r="X316" s="642">
        <v>85</v>
      </c>
      <c r="Y316" s="642">
        <v>321</v>
      </c>
      <c r="Z316" s="642">
        <v>140</v>
      </c>
      <c r="AA316" s="642"/>
      <c r="AB316" s="642"/>
      <c r="AC316" s="641">
        <v>931</v>
      </c>
      <c r="AD316" s="641"/>
      <c r="AE316" s="642"/>
      <c r="AF316" s="642">
        <v>214</v>
      </c>
      <c r="AG316" s="642">
        <v>22</v>
      </c>
      <c r="AH316" s="642"/>
      <c r="AI316" s="641">
        <v>236</v>
      </c>
      <c r="AJ316" s="641"/>
      <c r="AK316" s="642"/>
      <c r="AL316" s="642"/>
      <c r="AM316" s="641"/>
    </row>
    <row r="317" spans="1:39">
      <c r="A317" s="648"/>
      <c r="B317" s="646" t="s">
        <v>78</v>
      </c>
      <c r="C317" s="624">
        <f t="shared" si="102"/>
        <v>1.8181818181818182E-3</v>
      </c>
      <c r="D317" s="625">
        <f t="shared" si="102"/>
        <v>7.537688442211055E-3</v>
      </c>
      <c r="E317" s="625">
        <f t="shared" si="102"/>
        <v>0</v>
      </c>
      <c r="F317" s="625">
        <f t="shared" si="102"/>
        <v>3.096330275229358E-2</v>
      </c>
      <c r="G317" s="625">
        <f t="shared" si="102"/>
        <v>2.6763990267639901E-2</v>
      </c>
      <c r="H317" s="626">
        <f t="shared" si="102"/>
        <v>0</v>
      </c>
      <c r="I317" s="625">
        <f t="shared" si="102"/>
        <v>0</v>
      </c>
      <c r="J317" s="661">
        <f t="shared" si="102"/>
        <v>1.2939521800281293E-2</v>
      </c>
      <c r="K317" s="625">
        <f t="shared" si="102"/>
        <v>0</v>
      </c>
      <c r="L317" s="625">
        <f t="shared" si="102"/>
        <v>0</v>
      </c>
      <c r="M317" s="625">
        <f t="shared" si="103"/>
        <v>0.12116564417177914</v>
      </c>
      <c r="N317" s="625">
        <f t="shared" si="103"/>
        <v>8.4967320261437912E-2</v>
      </c>
      <c r="O317" s="626">
        <f t="shared" si="103"/>
        <v>0</v>
      </c>
      <c r="P317" s="653">
        <f t="shared" si="103"/>
        <v>0.11736444749485243</v>
      </c>
      <c r="Q317" s="625">
        <f t="shared" si="103"/>
        <v>0</v>
      </c>
      <c r="R317" s="625">
        <f t="shared" si="103"/>
        <v>0</v>
      </c>
      <c r="S317" s="626">
        <f t="shared" si="103"/>
        <v>0</v>
      </c>
      <c r="T317" s="624">
        <f t="shared" si="103"/>
        <v>0</v>
      </c>
      <c r="U317" s="274"/>
      <c r="V317" s="641">
        <v>2</v>
      </c>
      <c r="W317" s="642">
        <v>6</v>
      </c>
      <c r="X317" s="642"/>
      <c r="Y317" s="642">
        <v>27</v>
      </c>
      <c r="Z317" s="642">
        <v>11</v>
      </c>
      <c r="AA317" s="642"/>
      <c r="AB317" s="642"/>
      <c r="AC317" s="641">
        <v>46</v>
      </c>
      <c r="AD317" s="641"/>
      <c r="AE317" s="642"/>
      <c r="AF317" s="642">
        <v>158</v>
      </c>
      <c r="AG317" s="642">
        <v>13</v>
      </c>
      <c r="AH317" s="642"/>
      <c r="AI317" s="641">
        <v>171</v>
      </c>
      <c r="AJ317" s="641"/>
      <c r="AK317" s="642"/>
      <c r="AL317" s="642"/>
      <c r="AM317" s="641"/>
    </row>
    <row r="318" spans="1:39">
      <c r="A318" s="648"/>
      <c r="B318" s="646" t="s">
        <v>209</v>
      </c>
      <c r="C318" s="624">
        <f t="shared" si="102"/>
        <v>0.14454545454545453</v>
      </c>
      <c r="D318" s="625">
        <f t="shared" si="102"/>
        <v>0.10678391959798995</v>
      </c>
      <c r="E318" s="625">
        <f t="shared" si="102"/>
        <v>0.12352941176470589</v>
      </c>
      <c r="F318" s="625">
        <f t="shared" si="102"/>
        <v>0</v>
      </c>
      <c r="G318" s="625">
        <f t="shared" si="102"/>
        <v>0</v>
      </c>
      <c r="H318" s="626">
        <f t="shared" si="102"/>
        <v>0</v>
      </c>
      <c r="I318" s="625">
        <f t="shared" si="102"/>
        <v>0</v>
      </c>
      <c r="J318" s="661">
        <f t="shared" si="102"/>
        <v>8.045007032348804E-2</v>
      </c>
      <c r="K318" s="625">
        <f t="shared" si="102"/>
        <v>0</v>
      </c>
      <c r="L318" s="625">
        <f t="shared" si="102"/>
        <v>0</v>
      </c>
      <c r="M318" s="625">
        <f t="shared" si="103"/>
        <v>6.9018404907975461E-3</v>
      </c>
      <c r="N318" s="625">
        <f t="shared" si="103"/>
        <v>0</v>
      </c>
      <c r="O318" s="626">
        <f t="shared" si="103"/>
        <v>0</v>
      </c>
      <c r="P318" s="653">
        <f t="shared" si="103"/>
        <v>6.1770761839396015E-3</v>
      </c>
      <c r="Q318" s="625">
        <f t="shared" si="103"/>
        <v>0</v>
      </c>
      <c r="R318" s="625">
        <f t="shared" si="103"/>
        <v>0</v>
      </c>
      <c r="S318" s="626">
        <f t="shared" si="103"/>
        <v>0</v>
      </c>
      <c r="T318" s="624">
        <f t="shared" si="103"/>
        <v>0</v>
      </c>
      <c r="U318" s="274"/>
      <c r="V318" s="641">
        <v>159</v>
      </c>
      <c r="W318" s="642">
        <v>85</v>
      </c>
      <c r="X318" s="642">
        <v>42</v>
      </c>
      <c r="Y318" s="642"/>
      <c r="Z318" s="642"/>
      <c r="AA318" s="642"/>
      <c r="AB318" s="642"/>
      <c r="AC318" s="641">
        <v>286</v>
      </c>
      <c r="AD318" s="641"/>
      <c r="AE318" s="642"/>
      <c r="AF318" s="642">
        <v>9</v>
      </c>
      <c r="AG318" s="642"/>
      <c r="AH318" s="642"/>
      <c r="AI318" s="641">
        <v>9</v>
      </c>
      <c r="AJ318" s="641"/>
      <c r="AK318" s="642"/>
      <c r="AL318" s="642"/>
      <c r="AM318" s="641"/>
    </row>
    <row r="319" spans="1:39">
      <c r="A319" s="649"/>
      <c r="B319" s="650" t="s">
        <v>59</v>
      </c>
      <c r="C319" s="577">
        <f t="shared" ref="C319:T319" si="104">SUM(C314:C318)</f>
        <v>1</v>
      </c>
      <c r="D319" s="578">
        <f t="shared" si="104"/>
        <v>0.99999999999999989</v>
      </c>
      <c r="E319" s="578">
        <f t="shared" si="104"/>
        <v>1</v>
      </c>
      <c r="F319" s="578">
        <f t="shared" si="104"/>
        <v>1</v>
      </c>
      <c r="G319" s="578">
        <f t="shared" si="104"/>
        <v>0.99999999999999989</v>
      </c>
      <c r="H319" s="579">
        <f t="shared" si="104"/>
        <v>1</v>
      </c>
      <c r="I319" s="578">
        <f t="shared" si="104"/>
        <v>0</v>
      </c>
      <c r="J319" s="589">
        <f t="shared" si="104"/>
        <v>1</v>
      </c>
      <c r="K319" s="578">
        <f t="shared" si="104"/>
        <v>0</v>
      </c>
      <c r="L319" s="578">
        <f t="shared" si="104"/>
        <v>0</v>
      </c>
      <c r="M319" s="578">
        <f t="shared" si="104"/>
        <v>1</v>
      </c>
      <c r="N319" s="578">
        <f t="shared" si="104"/>
        <v>0.99999999999999989</v>
      </c>
      <c r="O319" s="579">
        <f t="shared" si="104"/>
        <v>0</v>
      </c>
      <c r="P319" s="654">
        <f t="shared" si="104"/>
        <v>1</v>
      </c>
      <c r="Q319" s="578">
        <f t="shared" si="104"/>
        <v>0</v>
      </c>
      <c r="R319" s="578">
        <f t="shared" si="104"/>
        <v>0</v>
      </c>
      <c r="S319" s="579">
        <f t="shared" si="104"/>
        <v>0</v>
      </c>
      <c r="T319" s="577">
        <f t="shared" si="104"/>
        <v>0</v>
      </c>
      <c r="U319" s="274"/>
      <c r="V319" s="641">
        <v>1100</v>
      </c>
      <c r="W319" s="642">
        <v>796</v>
      </c>
      <c r="X319" s="642">
        <v>340</v>
      </c>
      <c r="Y319" s="642">
        <v>872</v>
      </c>
      <c r="Z319" s="642">
        <v>411</v>
      </c>
      <c r="AA319" s="642">
        <v>36</v>
      </c>
      <c r="AB319" s="642"/>
      <c r="AC319" s="641">
        <v>3555</v>
      </c>
      <c r="AD319" s="641"/>
      <c r="AE319" s="642"/>
      <c r="AF319" s="642">
        <v>1304</v>
      </c>
      <c r="AG319" s="642">
        <v>153</v>
      </c>
      <c r="AH319" s="642"/>
      <c r="AI319" s="641">
        <v>1457</v>
      </c>
      <c r="AJ319" s="641"/>
      <c r="AK319" s="642"/>
      <c r="AL319" s="642"/>
      <c r="AM319" s="641"/>
    </row>
    <row r="320" spans="1:39">
      <c r="A320" s="646" t="s">
        <v>155</v>
      </c>
      <c r="B320" s="647" t="s">
        <v>53</v>
      </c>
      <c r="C320" s="613">
        <f t="shared" ref="C320:L324" si="105">IF(V$325&gt;0,(V320/V$325),0)</f>
        <v>0</v>
      </c>
      <c r="D320" s="614">
        <f t="shared" si="105"/>
        <v>0.37142857142857144</v>
      </c>
      <c r="E320" s="614">
        <f t="shared" si="105"/>
        <v>0</v>
      </c>
      <c r="F320" s="614">
        <f t="shared" si="105"/>
        <v>0</v>
      </c>
      <c r="G320" s="614">
        <f t="shared" si="105"/>
        <v>0.38251366120218577</v>
      </c>
      <c r="H320" s="615">
        <f t="shared" si="105"/>
        <v>0.13333333333333333</v>
      </c>
      <c r="I320" s="614">
        <f t="shared" si="105"/>
        <v>0</v>
      </c>
      <c r="J320" s="660">
        <f t="shared" si="105"/>
        <v>0.36852026390197928</v>
      </c>
      <c r="K320" s="614">
        <f t="shared" si="105"/>
        <v>0</v>
      </c>
      <c r="L320" s="614">
        <f t="shared" si="105"/>
        <v>0</v>
      </c>
      <c r="M320" s="614">
        <f t="shared" ref="M320:T324" si="106">IF(AF$325&gt;0,(AF320/AF$325),0)</f>
        <v>0.72631578947368425</v>
      </c>
      <c r="N320" s="614">
        <f t="shared" si="106"/>
        <v>0.6827586206896552</v>
      </c>
      <c r="O320" s="615">
        <f t="shared" si="106"/>
        <v>0</v>
      </c>
      <c r="P320" s="652">
        <f t="shared" si="106"/>
        <v>0.70746268656716416</v>
      </c>
      <c r="Q320" s="614">
        <f t="shared" si="106"/>
        <v>0</v>
      </c>
      <c r="R320" s="614">
        <f t="shared" si="106"/>
        <v>0</v>
      </c>
      <c r="S320" s="615">
        <f t="shared" si="106"/>
        <v>0</v>
      </c>
      <c r="T320" s="613">
        <f t="shared" si="106"/>
        <v>0</v>
      </c>
      <c r="U320" s="274"/>
      <c r="V320" s="639"/>
      <c r="W320" s="640">
        <v>247</v>
      </c>
      <c r="X320" s="640"/>
      <c r="Y320" s="640"/>
      <c r="Z320" s="640">
        <v>140</v>
      </c>
      <c r="AA320" s="640">
        <v>4</v>
      </c>
      <c r="AB320" s="640"/>
      <c r="AC320" s="639">
        <v>391</v>
      </c>
      <c r="AD320" s="639"/>
      <c r="AE320" s="640"/>
      <c r="AF320" s="640">
        <v>138</v>
      </c>
      <c r="AG320" s="640">
        <v>99</v>
      </c>
      <c r="AH320" s="640"/>
      <c r="AI320" s="639">
        <v>237</v>
      </c>
      <c r="AJ320" s="639"/>
      <c r="AK320" s="640"/>
      <c r="AL320" s="640"/>
      <c r="AM320" s="639"/>
    </row>
    <row r="321" spans="1:39">
      <c r="A321" s="648"/>
      <c r="B321" s="646" t="s">
        <v>76</v>
      </c>
      <c r="C321" s="624">
        <f t="shared" si="105"/>
        <v>0</v>
      </c>
      <c r="D321" s="625">
        <f t="shared" si="105"/>
        <v>0.35488721804511281</v>
      </c>
      <c r="E321" s="625">
        <f t="shared" si="105"/>
        <v>0</v>
      </c>
      <c r="F321" s="625">
        <f t="shared" si="105"/>
        <v>0</v>
      </c>
      <c r="G321" s="625">
        <f t="shared" si="105"/>
        <v>0.27868852459016391</v>
      </c>
      <c r="H321" s="626">
        <f t="shared" si="105"/>
        <v>0.53333333333333333</v>
      </c>
      <c r="I321" s="625">
        <f t="shared" si="105"/>
        <v>0</v>
      </c>
      <c r="J321" s="661">
        <f t="shared" si="105"/>
        <v>0.33364750235626767</v>
      </c>
      <c r="K321" s="625">
        <f t="shared" si="105"/>
        <v>0</v>
      </c>
      <c r="L321" s="625">
        <f t="shared" si="105"/>
        <v>0</v>
      </c>
      <c r="M321" s="625">
        <f t="shared" si="106"/>
        <v>0.16315789473684211</v>
      </c>
      <c r="N321" s="625">
        <f t="shared" si="106"/>
        <v>0.2</v>
      </c>
      <c r="O321" s="626">
        <f t="shared" si="106"/>
        <v>0</v>
      </c>
      <c r="P321" s="653">
        <f t="shared" si="106"/>
        <v>0.17910447761194029</v>
      </c>
      <c r="Q321" s="625">
        <f t="shared" si="106"/>
        <v>0</v>
      </c>
      <c r="R321" s="625">
        <f t="shared" si="106"/>
        <v>0</v>
      </c>
      <c r="S321" s="626">
        <f t="shared" si="106"/>
        <v>0</v>
      </c>
      <c r="T321" s="624">
        <f t="shared" si="106"/>
        <v>0</v>
      </c>
      <c r="U321" s="274"/>
      <c r="V321" s="641"/>
      <c r="W321" s="642">
        <v>236</v>
      </c>
      <c r="X321" s="642"/>
      <c r="Y321" s="642"/>
      <c r="Z321" s="642">
        <v>102</v>
      </c>
      <c r="AA321" s="642">
        <v>16</v>
      </c>
      <c r="AB321" s="642"/>
      <c r="AC321" s="641">
        <v>354</v>
      </c>
      <c r="AD321" s="641"/>
      <c r="AE321" s="642"/>
      <c r="AF321" s="642">
        <v>31</v>
      </c>
      <c r="AG321" s="642">
        <v>29</v>
      </c>
      <c r="AH321" s="642"/>
      <c r="AI321" s="641">
        <v>60</v>
      </c>
      <c r="AJ321" s="641"/>
      <c r="AK321" s="642"/>
      <c r="AL321" s="642"/>
      <c r="AM321" s="641"/>
    </row>
    <row r="322" spans="1:39">
      <c r="A322" s="648"/>
      <c r="B322" s="646" t="s">
        <v>77</v>
      </c>
      <c r="C322" s="624">
        <f t="shared" si="105"/>
        <v>0</v>
      </c>
      <c r="D322" s="625">
        <f t="shared" si="105"/>
        <v>0.23308270676691728</v>
      </c>
      <c r="E322" s="625">
        <f t="shared" si="105"/>
        <v>0</v>
      </c>
      <c r="F322" s="625">
        <f t="shared" si="105"/>
        <v>0</v>
      </c>
      <c r="G322" s="625">
        <f t="shared" si="105"/>
        <v>0.21311475409836064</v>
      </c>
      <c r="H322" s="626">
        <f t="shared" si="105"/>
        <v>0.23333333333333334</v>
      </c>
      <c r="I322" s="625">
        <f t="shared" si="105"/>
        <v>0</v>
      </c>
      <c r="J322" s="661">
        <f t="shared" si="105"/>
        <v>0.22620169651272384</v>
      </c>
      <c r="K322" s="625">
        <f t="shared" si="105"/>
        <v>0</v>
      </c>
      <c r="L322" s="625">
        <f t="shared" si="105"/>
        <v>0</v>
      </c>
      <c r="M322" s="625">
        <f t="shared" si="106"/>
        <v>0.1</v>
      </c>
      <c r="N322" s="625">
        <f t="shared" si="106"/>
        <v>4.8275862068965517E-2</v>
      </c>
      <c r="O322" s="626">
        <f t="shared" si="106"/>
        <v>0</v>
      </c>
      <c r="P322" s="653">
        <f t="shared" si="106"/>
        <v>7.7611940298507459E-2</v>
      </c>
      <c r="Q322" s="625">
        <f t="shared" si="106"/>
        <v>0</v>
      </c>
      <c r="R322" s="625">
        <f t="shared" si="106"/>
        <v>0</v>
      </c>
      <c r="S322" s="626">
        <f t="shared" si="106"/>
        <v>0</v>
      </c>
      <c r="T322" s="624">
        <f t="shared" si="106"/>
        <v>0</v>
      </c>
      <c r="U322" s="274"/>
      <c r="V322" s="641"/>
      <c r="W322" s="642">
        <v>155</v>
      </c>
      <c r="X322" s="642"/>
      <c r="Y322" s="642"/>
      <c r="Z322" s="642">
        <v>78</v>
      </c>
      <c r="AA322" s="642">
        <v>7</v>
      </c>
      <c r="AB322" s="642"/>
      <c r="AC322" s="641">
        <v>240</v>
      </c>
      <c r="AD322" s="641"/>
      <c r="AE322" s="642"/>
      <c r="AF322" s="642">
        <v>19</v>
      </c>
      <c r="AG322" s="642">
        <v>7</v>
      </c>
      <c r="AH322" s="642"/>
      <c r="AI322" s="641">
        <v>26</v>
      </c>
      <c r="AJ322" s="641"/>
      <c r="AK322" s="642"/>
      <c r="AL322" s="642"/>
      <c r="AM322" s="641"/>
    </row>
    <row r="323" spans="1:39">
      <c r="A323" s="648"/>
      <c r="B323" s="646" t="s">
        <v>78</v>
      </c>
      <c r="C323" s="624">
        <f t="shared" si="105"/>
        <v>0</v>
      </c>
      <c r="D323" s="625">
        <f t="shared" si="105"/>
        <v>0</v>
      </c>
      <c r="E323" s="625">
        <f t="shared" si="105"/>
        <v>0</v>
      </c>
      <c r="F323" s="625">
        <f t="shared" si="105"/>
        <v>0</v>
      </c>
      <c r="G323" s="625">
        <f t="shared" si="105"/>
        <v>2.7322404371584699E-2</v>
      </c>
      <c r="H323" s="626">
        <f t="shared" si="105"/>
        <v>6.6666666666666666E-2</v>
      </c>
      <c r="I323" s="625">
        <f t="shared" si="105"/>
        <v>0</v>
      </c>
      <c r="J323" s="661">
        <f t="shared" si="105"/>
        <v>1.1310084825636193E-2</v>
      </c>
      <c r="K323" s="625">
        <f t="shared" si="105"/>
        <v>0</v>
      </c>
      <c r="L323" s="625">
        <f t="shared" si="105"/>
        <v>0</v>
      </c>
      <c r="M323" s="625">
        <f t="shared" si="106"/>
        <v>1.0526315789473684E-2</v>
      </c>
      <c r="N323" s="625">
        <f t="shared" si="106"/>
        <v>6.8965517241379309E-2</v>
      </c>
      <c r="O323" s="626">
        <f t="shared" si="106"/>
        <v>0</v>
      </c>
      <c r="P323" s="653">
        <f t="shared" si="106"/>
        <v>3.5820895522388062E-2</v>
      </c>
      <c r="Q323" s="625">
        <f t="shared" si="106"/>
        <v>0</v>
      </c>
      <c r="R323" s="625">
        <f t="shared" si="106"/>
        <v>0</v>
      </c>
      <c r="S323" s="626">
        <f t="shared" si="106"/>
        <v>0</v>
      </c>
      <c r="T323" s="624">
        <f t="shared" si="106"/>
        <v>0</v>
      </c>
      <c r="U323" s="274"/>
      <c r="V323" s="641"/>
      <c r="W323" s="642"/>
      <c r="X323" s="642"/>
      <c r="Y323" s="642"/>
      <c r="Z323" s="642">
        <v>10</v>
      </c>
      <c r="AA323" s="642">
        <v>2</v>
      </c>
      <c r="AB323" s="642"/>
      <c r="AC323" s="641">
        <v>12</v>
      </c>
      <c r="AD323" s="641"/>
      <c r="AE323" s="642"/>
      <c r="AF323" s="642">
        <v>2</v>
      </c>
      <c r="AG323" s="642">
        <v>10</v>
      </c>
      <c r="AH323" s="642"/>
      <c r="AI323" s="641">
        <v>12</v>
      </c>
      <c r="AJ323" s="641"/>
      <c r="AK323" s="642"/>
      <c r="AL323" s="642"/>
      <c r="AM323" s="641"/>
    </row>
    <row r="324" spans="1:39">
      <c r="A324" s="648"/>
      <c r="B324" s="646" t="s">
        <v>209</v>
      </c>
      <c r="C324" s="624">
        <f t="shared" si="105"/>
        <v>0</v>
      </c>
      <c r="D324" s="625">
        <f t="shared" si="105"/>
        <v>4.06015037593985E-2</v>
      </c>
      <c r="E324" s="625">
        <f t="shared" si="105"/>
        <v>0</v>
      </c>
      <c r="F324" s="625">
        <f t="shared" si="105"/>
        <v>0</v>
      </c>
      <c r="G324" s="625">
        <f t="shared" si="105"/>
        <v>9.8360655737704916E-2</v>
      </c>
      <c r="H324" s="626">
        <f t="shared" si="105"/>
        <v>3.3333333333333333E-2</v>
      </c>
      <c r="I324" s="625">
        <f t="shared" si="105"/>
        <v>0</v>
      </c>
      <c r="J324" s="661">
        <f t="shared" si="105"/>
        <v>6.0320452403393024E-2</v>
      </c>
      <c r="K324" s="625">
        <f t="shared" si="105"/>
        <v>0</v>
      </c>
      <c r="L324" s="625">
        <f t="shared" si="105"/>
        <v>0</v>
      </c>
      <c r="M324" s="625">
        <f t="shared" si="106"/>
        <v>0</v>
      </c>
      <c r="N324" s="625">
        <f t="shared" si="106"/>
        <v>0</v>
      </c>
      <c r="O324" s="626">
        <f t="shared" si="106"/>
        <v>0</v>
      </c>
      <c r="P324" s="653">
        <f t="shared" si="106"/>
        <v>0</v>
      </c>
      <c r="Q324" s="625">
        <f t="shared" si="106"/>
        <v>0</v>
      </c>
      <c r="R324" s="625">
        <f t="shared" si="106"/>
        <v>0</v>
      </c>
      <c r="S324" s="626">
        <f t="shared" si="106"/>
        <v>0</v>
      </c>
      <c r="T324" s="624">
        <f t="shared" si="106"/>
        <v>0</v>
      </c>
      <c r="U324" s="274"/>
      <c r="V324" s="641"/>
      <c r="W324" s="642">
        <v>27</v>
      </c>
      <c r="X324" s="642"/>
      <c r="Y324" s="642"/>
      <c r="Z324" s="642">
        <v>36</v>
      </c>
      <c r="AA324" s="642">
        <v>1</v>
      </c>
      <c r="AB324" s="642"/>
      <c r="AC324" s="641">
        <v>64</v>
      </c>
      <c r="AD324" s="641"/>
      <c r="AE324" s="642"/>
      <c r="AF324" s="642"/>
      <c r="AG324" s="642"/>
      <c r="AH324" s="642"/>
      <c r="AI324" s="641"/>
      <c r="AJ324" s="641"/>
      <c r="AK324" s="642"/>
      <c r="AL324" s="642"/>
      <c r="AM324" s="641"/>
    </row>
    <row r="325" spans="1:39">
      <c r="A325" s="649"/>
      <c r="B325" s="650" t="s">
        <v>59</v>
      </c>
      <c r="C325" s="577">
        <f t="shared" ref="C325:T325" si="107">SUM(C320:C324)</f>
        <v>0</v>
      </c>
      <c r="D325" s="578">
        <f t="shared" si="107"/>
        <v>1</v>
      </c>
      <c r="E325" s="578">
        <f t="shared" si="107"/>
        <v>0</v>
      </c>
      <c r="F325" s="578">
        <f t="shared" si="107"/>
        <v>0</v>
      </c>
      <c r="G325" s="578">
        <f t="shared" si="107"/>
        <v>1</v>
      </c>
      <c r="H325" s="579">
        <f t="shared" si="107"/>
        <v>0.99999999999999989</v>
      </c>
      <c r="I325" s="578">
        <f t="shared" si="107"/>
        <v>0</v>
      </c>
      <c r="J325" s="589">
        <f t="shared" si="107"/>
        <v>1</v>
      </c>
      <c r="K325" s="578">
        <f t="shared" si="107"/>
        <v>0</v>
      </c>
      <c r="L325" s="578">
        <f t="shared" si="107"/>
        <v>0</v>
      </c>
      <c r="M325" s="578">
        <f t="shared" si="107"/>
        <v>1</v>
      </c>
      <c r="N325" s="578">
        <f t="shared" si="107"/>
        <v>1</v>
      </c>
      <c r="O325" s="579">
        <f t="shared" si="107"/>
        <v>0</v>
      </c>
      <c r="P325" s="654">
        <f t="shared" si="107"/>
        <v>1</v>
      </c>
      <c r="Q325" s="578">
        <f t="shared" si="107"/>
        <v>0</v>
      </c>
      <c r="R325" s="578">
        <f t="shared" si="107"/>
        <v>0</v>
      </c>
      <c r="S325" s="579">
        <f t="shared" si="107"/>
        <v>0</v>
      </c>
      <c r="T325" s="577">
        <f t="shared" si="107"/>
        <v>0</v>
      </c>
      <c r="U325" s="274"/>
      <c r="V325" s="641"/>
      <c r="W325" s="642">
        <v>665</v>
      </c>
      <c r="X325" s="642"/>
      <c r="Y325" s="642"/>
      <c r="Z325" s="642">
        <v>366</v>
      </c>
      <c r="AA325" s="642">
        <v>30</v>
      </c>
      <c r="AB325" s="642"/>
      <c r="AC325" s="641">
        <v>1061</v>
      </c>
      <c r="AD325" s="641"/>
      <c r="AE325" s="642"/>
      <c r="AF325" s="642">
        <v>190</v>
      </c>
      <c r="AG325" s="642">
        <v>145</v>
      </c>
      <c r="AH325" s="642"/>
      <c r="AI325" s="641">
        <v>335</v>
      </c>
      <c r="AJ325" s="641"/>
      <c r="AK325" s="642"/>
      <c r="AL325" s="642"/>
      <c r="AM325" s="641"/>
    </row>
    <row r="326" spans="1:39">
      <c r="A326" s="646" t="s">
        <v>156</v>
      </c>
      <c r="B326" s="647" t="s">
        <v>53</v>
      </c>
      <c r="C326" s="613">
        <f t="shared" ref="C326:L330" si="108">IF(V$331&gt;0,(V326/V$331),0)</f>
        <v>0.47271531886916501</v>
      </c>
      <c r="D326" s="614">
        <f t="shared" si="108"/>
        <v>0.36063569682151592</v>
      </c>
      <c r="E326" s="614">
        <f t="shared" si="108"/>
        <v>0.36566643405443128</v>
      </c>
      <c r="F326" s="614">
        <f t="shared" si="108"/>
        <v>0.27259259259259261</v>
      </c>
      <c r="G326" s="614">
        <f t="shared" si="108"/>
        <v>0.28146143437077131</v>
      </c>
      <c r="H326" s="615">
        <f t="shared" si="108"/>
        <v>0</v>
      </c>
      <c r="I326" s="614">
        <f t="shared" si="108"/>
        <v>0</v>
      </c>
      <c r="J326" s="660">
        <f t="shared" si="108"/>
        <v>0.37215580408792903</v>
      </c>
      <c r="K326" s="614">
        <f t="shared" si="108"/>
        <v>0</v>
      </c>
      <c r="L326" s="614">
        <f t="shared" si="108"/>
        <v>0.30609597924773024</v>
      </c>
      <c r="M326" s="614">
        <f t="shared" ref="M326:T330" si="109">IF(AF$331&gt;0,(AF326/AF$331),0)</f>
        <v>0.16168717047451669</v>
      </c>
      <c r="N326" s="614">
        <f t="shared" si="109"/>
        <v>2.3809523809523808E-2</v>
      </c>
      <c r="O326" s="615">
        <f t="shared" si="109"/>
        <v>0</v>
      </c>
      <c r="P326" s="652">
        <f t="shared" si="109"/>
        <v>0.26242452392011145</v>
      </c>
      <c r="Q326" s="614">
        <f t="shared" si="109"/>
        <v>0</v>
      </c>
      <c r="R326" s="614">
        <f t="shared" si="109"/>
        <v>0</v>
      </c>
      <c r="S326" s="615">
        <f t="shared" si="109"/>
        <v>0</v>
      </c>
      <c r="T326" s="613">
        <f t="shared" si="109"/>
        <v>0</v>
      </c>
      <c r="U326" s="274"/>
      <c r="V326" s="639">
        <v>719</v>
      </c>
      <c r="W326" s="640">
        <v>295</v>
      </c>
      <c r="X326" s="640">
        <v>524</v>
      </c>
      <c r="Y326" s="640">
        <v>184</v>
      </c>
      <c r="Z326" s="640">
        <v>208</v>
      </c>
      <c r="AA326" s="640"/>
      <c r="AB326" s="640"/>
      <c r="AC326" s="639">
        <v>1930</v>
      </c>
      <c r="AD326" s="639"/>
      <c r="AE326" s="640">
        <v>472</v>
      </c>
      <c r="AF326" s="640">
        <v>92</v>
      </c>
      <c r="AG326" s="640">
        <v>1</v>
      </c>
      <c r="AH326" s="640"/>
      <c r="AI326" s="639">
        <v>565</v>
      </c>
      <c r="AJ326" s="639"/>
      <c r="AK326" s="640"/>
      <c r="AL326" s="640"/>
      <c r="AM326" s="639"/>
    </row>
    <row r="327" spans="1:39">
      <c r="A327" s="648"/>
      <c r="B327" s="646" t="s">
        <v>76</v>
      </c>
      <c r="C327" s="624">
        <f t="shared" si="108"/>
        <v>0.26232741617357003</v>
      </c>
      <c r="D327" s="625">
        <f t="shared" si="108"/>
        <v>0.2506112469437653</v>
      </c>
      <c r="E327" s="625">
        <f t="shared" si="108"/>
        <v>0.27704117236566644</v>
      </c>
      <c r="F327" s="625">
        <f t="shared" si="108"/>
        <v>0.29481481481481481</v>
      </c>
      <c r="G327" s="625">
        <f t="shared" si="108"/>
        <v>0.33558863328822736</v>
      </c>
      <c r="H327" s="626">
        <f t="shared" si="108"/>
        <v>0</v>
      </c>
      <c r="I327" s="625">
        <f t="shared" si="108"/>
        <v>0</v>
      </c>
      <c r="J327" s="661">
        <f t="shared" si="108"/>
        <v>0.27921326648669492</v>
      </c>
      <c r="K327" s="625">
        <f t="shared" si="108"/>
        <v>0</v>
      </c>
      <c r="L327" s="625">
        <f t="shared" si="108"/>
        <v>0.26070038910505838</v>
      </c>
      <c r="M327" s="625">
        <f t="shared" si="109"/>
        <v>0.18980667838312829</v>
      </c>
      <c r="N327" s="625">
        <f t="shared" si="109"/>
        <v>9.5238095238095233E-2</v>
      </c>
      <c r="O327" s="626">
        <f t="shared" si="109"/>
        <v>0</v>
      </c>
      <c r="P327" s="653">
        <f t="shared" si="109"/>
        <v>0.23873664653971202</v>
      </c>
      <c r="Q327" s="625">
        <f t="shared" si="109"/>
        <v>0</v>
      </c>
      <c r="R327" s="625">
        <f t="shared" si="109"/>
        <v>0</v>
      </c>
      <c r="S327" s="626">
        <f t="shared" si="109"/>
        <v>0</v>
      </c>
      <c r="T327" s="624">
        <f t="shared" si="109"/>
        <v>0</v>
      </c>
      <c r="U327" s="274"/>
      <c r="V327" s="641">
        <v>399</v>
      </c>
      <c r="W327" s="642">
        <v>205</v>
      </c>
      <c r="X327" s="642">
        <v>397</v>
      </c>
      <c r="Y327" s="642">
        <v>199</v>
      </c>
      <c r="Z327" s="642">
        <v>248</v>
      </c>
      <c r="AA327" s="642"/>
      <c r="AB327" s="642"/>
      <c r="AC327" s="641">
        <v>1448</v>
      </c>
      <c r="AD327" s="641"/>
      <c r="AE327" s="642">
        <v>402</v>
      </c>
      <c r="AF327" s="642">
        <v>108</v>
      </c>
      <c r="AG327" s="642">
        <v>4</v>
      </c>
      <c r="AH327" s="642"/>
      <c r="AI327" s="641">
        <v>514</v>
      </c>
      <c r="AJ327" s="641"/>
      <c r="AK327" s="642"/>
      <c r="AL327" s="642"/>
      <c r="AM327" s="641"/>
    </row>
    <row r="328" spans="1:39">
      <c r="A328" s="648"/>
      <c r="B328" s="646" t="s">
        <v>77</v>
      </c>
      <c r="C328" s="624">
        <f t="shared" si="108"/>
        <v>0.19000657462195925</v>
      </c>
      <c r="D328" s="625">
        <f t="shared" si="108"/>
        <v>0.18826405867970661</v>
      </c>
      <c r="E328" s="625">
        <f t="shared" si="108"/>
        <v>0.32798325191905092</v>
      </c>
      <c r="F328" s="625">
        <f t="shared" si="108"/>
        <v>0.38666666666666666</v>
      </c>
      <c r="G328" s="625">
        <f t="shared" si="108"/>
        <v>0.36535859269282817</v>
      </c>
      <c r="H328" s="626">
        <f t="shared" si="108"/>
        <v>0</v>
      </c>
      <c r="I328" s="625">
        <f t="shared" si="108"/>
        <v>0</v>
      </c>
      <c r="J328" s="661">
        <f t="shared" si="108"/>
        <v>0.27844195912070963</v>
      </c>
      <c r="K328" s="625">
        <f t="shared" si="108"/>
        <v>0</v>
      </c>
      <c r="L328" s="625">
        <f t="shared" si="108"/>
        <v>0.28858625162127105</v>
      </c>
      <c r="M328" s="625">
        <f t="shared" si="109"/>
        <v>0.35325131810193322</v>
      </c>
      <c r="N328" s="625">
        <f t="shared" si="109"/>
        <v>0.5</v>
      </c>
      <c r="O328" s="626">
        <f t="shared" si="109"/>
        <v>0</v>
      </c>
      <c r="P328" s="653">
        <f t="shared" si="109"/>
        <v>0.30980027868091037</v>
      </c>
      <c r="Q328" s="625">
        <f t="shared" si="109"/>
        <v>0</v>
      </c>
      <c r="R328" s="625">
        <f t="shared" si="109"/>
        <v>0</v>
      </c>
      <c r="S328" s="626">
        <f t="shared" si="109"/>
        <v>0</v>
      </c>
      <c r="T328" s="624">
        <f t="shared" si="109"/>
        <v>0</v>
      </c>
      <c r="U328" s="274"/>
      <c r="V328" s="641">
        <v>289</v>
      </c>
      <c r="W328" s="642">
        <v>154</v>
      </c>
      <c r="X328" s="642">
        <v>470</v>
      </c>
      <c r="Y328" s="642">
        <v>261</v>
      </c>
      <c r="Z328" s="642">
        <v>270</v>
      </c>
      <c r="AA328" s="642"/>
      <c r="AB328" s="642"/>
      <c r="AC328" s="641">
        <v>1444</v>
      </c>
      <c r="AD328" s="641"/>
      <c r="AE328" s="642">
        <v>445</v>
      </c>
      <c r="AF328" s="642">
        <v>201</v>
      </c>
      <c r="AG328" s="642">
        <v>21</v>
      </c>
      <c r="AH328" s="642"/>
      <c r="AI328" s="641">
        <v>667</v>
      </c>
      <c r="AJ328" s="641"/>
      <c r="AK328" s="642"/>
      <c r="AL328" s="642"/>
      <c r="AM328" s="641"/>
    </row>
    <row r="329" spans="1:39">
      <c r="A329" s="648"/>
      <c r="B329" s="646" t="s">
        <v>78</v>
      </c>
      <c r="C329" s="624">
        <f t="shared" si="108"/>
        <v>5.9829059829059832E-2</v>
      </c>
      <c r="D329" s="625">
        <f t="shared" si="108"/>
        <v>5.1344743276283619E-2</v>
      </c>
      <c r="E329" s="625">
        <f t="shared" si="108"/>
        <v>2.8611304954640614E-2</v>
      </c>
      <c r="F329" s="625">
        <f t="shared" si="108"/>
        <v>4.5925925925925926E-2</v>
      </c>
      <c r="G329" s="625">
        <f t="shared" si="108"/>
        <v>1.3531799729364006E-2</v>
      </c>
      <c r="H329" s="626">
        <f t="shared" si="108"/>
        <v>0</v>
      </c>
      <c r="I329" s="625">
        <f t="shared" si="108"/>
        <v>0</v>
      </c>
      <c r="J329" s="661">
        <f t="shared" si="108"/>
        <v>4.1457770921712302E-2</v>
      </c>
      <c r="K329" s="625">
        <f t="shared" si="108"/>
        <v>0</v>
      </c>
      <c r="L329" s="625">
        <f t="shared" si="108"/>
        <v>0.13035019455252919</v>
      </c>
      <c r="M329" s="625">
        <f t="shared" si="109"/>
        <v>0.23198594024604569</v>
      </c>
      <c r="N329" s="625">
        <f t="shared" si="109"/>
        <v>0.33333333333333331</v>
      </c>
      <c r="O329" s="626">
        <f t="shared" si="109"/>
        <v>0</v>
      </c>
      <c r="P329" s="653">
        <f t="shared" si="109"/>
        <v>0.16117045982350209</v>
      </c>
      <c r="Q329" s="625">
        <f t="shared" si="109"/>
        <v>0</v>
      </c>
      <c r="R329" s="625">
        <f t="shared" si="109"/>
        <v>0</v>
      </c>
      <c r="S329" s="626">
        <f t="shared" si="109"/>
        <v>0</v>
      </c>
      <c r="T329" s="624">
        <f t="shared" si="109"/>
        <v>0</v>
      </c>
      <c r="U329" s="274"/>
      <c r="V329" s="641">
        <v>91</v>
      </c>
      <c r="W329" s="642">
        <v>42</v>
      </c>
      <c r="X329" s="642">
        <v>41</v>
      </c>
      <c r="Y329" s="642">
        <v>31</v>
      </c>
      <c r="Z329" s="642">
        <v>10</v>
      </c>
      <c r="AA329" s="642"/>
      <c r="AB329" s="642"/>
      <c r="AC329" s="641">
        <v>215</v>
      </c>
      <c r="AD329" s="641"/>
      <c r="AE329" s="642">
        <v>201</v>
      </c>
      <c r="AF329" s="642">
        <v>132</v>
      </c>
      <c r="AG329" s="642">
        <v>14</v>
      </c>
      <c r="AH329" s="642"/>
      <c r="AI329" s="641">
        <v>347</v>
      </c>
      <c r="AJ329" s="641"/>
      <c r="AK329" s="642"/>
      <c r="AL329" s="642"/>
      <c r="AM329" s="641"/>
    </row>
    <row r="330" spans="1:39">
      <c r="A330" s="648"/>
      <c r="B330" s="646" t="s">
        <v>209</v>
      </c>
      <c r="C330" s="624">
        <f t="shared" si="108"/>
        <v>1.5121630506245891E-2</v>
      </c>
      <c r="D330" s="625">
        <f t="shared" si="108"/>
        <v>0.1491442542787286</v>
      </c>
      <c r="E330" s="625">
        <f t="shared" si="108"/>
        <v>6.9783670621074664E-4</v>
      </c>
      <c r="F330" s="625">
        <f t="shared" si="108"/>
        <v>0</v>
      </c>
      <c r="G330" s="625">
        <f t="shared" si="108"/>
        <v>4.0595399188092015E-3</v>
      </c>
      <c r="H330" s="626">
        <f t="shared" si="108"/>
        <v>0</v>
      </c>
      <c r="I330" s="625">
        <f t="shared" si="108"/>
        <v>0</v>
      </c>
      <c r="J330" s="661">
        <f t="shared" si="108"/>
        <v>2.8731199382954108E-2</v>
      </c>
      <c r="K330" s="625">
        <f t="shared" si="108"/>
        <v>0</v>
      </c>
      <c r="L330" s="625">
        <f t="shared" si="108"/>
        <v>1.4267185473411154E-2</v>
      </c>
      <c r="M330" s="625">
        <f t="shared" si="109"/>
        <v>6.32688927943761E-2</v>
      </c>
      <c r="N330" s="625">
        <f t="shared" si="109"/>
        <v>4.7619047619047616E-2</v>
      </c>
      <c r="O330" s="626">
        <f t="shared" si="109"/>
        <v>0</v>
      </c>
      <c r="P330" s="653">
        <f t="shared" si="109"/>
        <v>2.7868091035764049E-2</v>
      </c>
      <c r="Q330" s="625">
        <f t="shared" si="109"/>
        <v>0</v>
      </c>
      <c r="R330" s="625">
        <f t="shared" si="109"/>
        <v>0</v>
      </c>
      <c r="S330" s="626">
        <f t="shared" si="109"/>
        <v>0</v>
      </c>
      <c r="T330" s="624">
        <f t="shared" si="109"/>
        <v>0</v>
      </c>
      <c r="U330" s="274"/>
      <c r="V330" s="641">
        <v>23</v>
      </c>
      <c r="W330" s="642">
        <v>122</v>
      </c>
      <c r="X330" s="642">
        <v>1</v>
      </c>
      <c r="Y330" s="642"/>
      <c r="Z330" s="642">
        <v>3</v>
      </c>
      <c r="AA330" s="642"/>
      <c r="AB330" s="642"/>
      <c r="AC330" s="641">
        <v>149</v>
      </c>
      <c r="AD330" s="641"/>
      <c r="AE330" s="642">
        <v>22</v>
      </c>
      <c r="AF330" s="642">
        <v>36</v>
      </c>
      <c r="AG330" s="642">
        <v>2</v>
      </c>
      <c r="AH330" s="642"/>
      <c r="AI330" s="641">
        <v>60</v>
      </c>
      <c r="AJ330" s="641"/>
      <c r="AK330" s="642"/>
      <c r="AL330" s="642"/>
      <c r="AM330" s="641"/>
    </row>
    <row r="331" spans="1:39">
      <c r="A331" s="649"/>
      <c r="B331" s="650" t="s">
        <v>59</v>
      </c>
      <c r="C331" s="577">
        <f t="shared" ref="C331:T331" si="110">SUM(C326:C330)</f>
        <v>1</v>
      </c>
      <c r="D331" s="578">
        <f t="shared" si="110"/>
        <v>1</v>
      </c>
      <c r="E331" s="578">
        <f t="shared" si="110"/>
        <v>1</v>
      </c>
      <c r="F331" s="578">
        <f t="shared" si="110"/>
        <v>1</v>
      </c>
      <c r="G331" s="578">
        <f t="shared" si="110"/>
        <v>1.0000000000000002</v>
      </c>
      <c r="H331" s="579">
        <f t="shared" si="110"/>
        <v>0</v>
      </c>
      <c r="I331" s="578">
        <f t="shared" si="110"/>
        <v>0</v>
      </c>
      <c r="J331" s="589">
        <f t="shared" si="110"/>
        <v>1.0000000000000002</v>
      </c>
      <c r="K331" s="578">
        <f t="shared" si="110"/>
        <v>0</v>
      </c>
      <c r="L331" s="578">
        <f t="shared" si="110"/>
        <v>0.99999999999999989</v>
      </c>
      <c r="M331" s="578">
        <f t="shared" si="110"/>
        <v>1</v>
      </c>
      <c r="N331" s="578">
        <f t="shared" si="110"/>
        <v>1</v>
      </c>
      <c r="O331" s="579">
        <f t="shared" si="110"/>
        <v>0</v>
      </c>
      <c r="P331" s="654">
        <f t="shared" si="110"/>
        <v>0.99999999999999989</v>
      </c>
      <c r="Q331" s="578">
        <f t="shared" si="110"/>
        <v>0</v>
      </c>
      <c r="R331" s="578">
        <f t="shared" si="110"/>
        <v>0</v>
      </c>
      <c r="S331" s="579">
        <f t="shared" si="110"/>
        <v>0</v>
      </c>
      <c r="T331" s="577">
        <f t="shared" si="110"/>
        <v>0</v>
      </c>
      <c r="U331" s="274"/>
      <c r="V331" s="641">
        <v>1521</v>
      </c>
      <c r="W331" s="642">
        <v>818</v>
      </c>
      <c r="X331" s="642">
        <v>1433</v>
      </c>
      <c r="Y331" s="642">
        <v>675</v>
      </c>
      <c r="Z331" s="642">
        <v>739</v>
      </c>
      <c r="AA331" s="642"/>
      <c r="AB331" s="642"/>
      <c r="AC331" s="641">
        <v>5186</v>
      </c>
      <c r="AD331" s="641"/>
      <c r="AE331" s="642">
        <v>1542</v>
      </c>
      <c r="AF331" s="642">
        <v>569</v>
      </c>
      <c r="AG331" s="642">
        <v>42</v>
      </c>
      <c r="AH331" s="642"/>
      <c r="AI331" s="641">
        <v>2153</v>
      </c>
      <c r="AJ331" s="641"/>
      <c r="AK331" s="642"/>
      <c r="AL331" s="642"/>
      <c r="AM331" s="641"/>
    </row>
    <row r="332" spans="1:39">
      <c r="A332" s="646" t="s">
        <v>159</v>
      </c>
      <c r="B332" s="647" t="s">
        <v>53</v>
      </c>
      <c r="C332" s="613">
        <f t="shared" ref="C332:L336" si="111">IF(V$337&gt;0,(V332/V$337),0)</f>
        <v>0.36635284486287351</v>
      </c>
      <c r="D332" s="614">
        <f t="shared" si="111"/>
        <v>0.3247011952191235</v>
      </c>
      <c r="E332" s="614">
        <f t="shared" si="111"/>
        <v>0.35058823529411764</v>
      </c>
      <c r="F332" s="614">
        <f t="shared" si="111"/>
        <v>0.28527370855821127</v>
      </c>
      <c r="G332" s="614">
        <f t="shared" si="111"/>
        <v>0.25589970501474929</v>
      </c>
      <c r="H332" s="615">
        <f t="shared" si="111"/>
        <v>0.26454668470906628</v>
      </c>
      <c r="I332" s="614">
        <f t="shared" si="111"/>
        <v>0</v>
      </c>
      <c r="J332" s="660">
        <f t="shared" si="111"/>
        <v>0.3153859710962284</v>
      </c>
      <c r="K332" s="614">
        <f t="shared" si="111"/>
        <v>0</v>
      </c>
      <c r="L332" s="614">
        <f t="shared" si="111"/>
        <v>0.31195260175167439</v>
      </c>
      <c r="M332" s="614">
        <f t="shared" ref="M332:T336" si="112">IF(AF$337&gt;0,(AF332/AF$337),0)</f>
        <v>0.32540603248259858</v>
      </c>
      <c r="N332" s="614">
        <f t="shared" si="112"/>
        <v>0.24279835390946503</v>
      </c>
      <c r="O332" s="615">
        <f t="shared" si="112"/>
        <v>0</v>
      </c>
      <c r="P332" s="652">
        <f t="shared" si="112"/>
        <v>0.31304496495127371</v>
      </c>
      <c r="Q332" s="614">
        <f t="shared" si="112"/>
        <v>0</v>
      </c>
      <c r="R332" s="614">
        <f t="shared" si="112"/>
        <v>0</v>
      </c>
      <c r="S332" s="615">
        <f t="shared" si="112"/>
        <v>0</v>
      </c>
      <c r="T332" s="613">
        <f t="shared" si="112"/>
        <v>0</v>
      </c>
      <c r="U332" s="274"/>
      <c r="V332" s="639">
        <v>895</v>
      </c>
      <c r="W332" s="640">
        <v>163</v>
      </c>
      <c r="X332" s="640">
        <v>1043</v>
      </c>
      <c r="Y332" s="640">
        <v>740</v>
      </c>
      <c r="Z332" s="640">
        <v>347</v>
      </c>
      <c r="AA332" s="640">
        <v>391</v>
      </c>
      <c r="AB332" s="640"/>
      <c r="AC332" s="639">
        <v>3579</v>
      </c>
      <c r="AD332" s="639"/>
      <c r="AE332" s="640">
        <v>1211</v>
      </c>
      <c r="AF332" s="640">
        <v>561</v>
      </c>
      <c r="AG332" s="640">
        <v>59</v>
      </c>
      <c r="AH332" s="640"/>
      <c r="AI332" s="639">
        <v>1831</v>
      </c>
      <c r="AJ332" s="639"/>
      <c r="AK332" s="640"/>
      <c r="AL332" s="640"/>
      <c r="AM332" s="639"/>
    </row>
    <row r="333" spans="1:39">
      <c r="A333" s="648"/>
      <c r="B333" s="646" t="s">
        <v>76</v>
      </c>
      <c r="C333" s="624">
        <f t="shared" si="111"/>
        <v>0.283258288988948</v>
      </c>
      <c r="D333" s="625">
        <f t="shared" si="111"/>
        <v>0.29482071713147412</v>
      </c>
      <c r="E333" s="625">
        <f t="shared" si="111"/>
        <v>0.27831932773109241</v>
      </c>
      <c r="F333" s="625">
        <f t="shared" si="111"/>
        <v>0.28681572860447185</v>
      </c>
      <c r="G333" s="625">
        <f t="shared" si="111"/>
        <v>0.30457227138643067</v>
      </c>
      <c r="H333" s="626">
        <f t="shared" si="111"/>
        <v>0.25439783491204332</v>
      </c>
      <c r="I333" s="625">
        <f t="shared" si="111"/>
        <v>0</v>
      </c>
      <c r="J333" s="661">
        <f t="shared" si="111"/>
        <v>0.28207613676418752</v>
      </c>
      <c r="K333" s="625">
        <f t="shared" si="111"/>
        <v>0</v>
      </c>
      <c r="L333" s="625">
        <f t="shared" si="111"/>
        <v>0.17619783616692428</v>
      </c>
      <c r="M333" s="625">
        <f t="shared" si="112"/>
        <v>0.21519721577726217</v>
      </c>
      <c r="N333" s="625">
        <f t="shared" si="112"/>
        <v>0.23868312757201646</v>
      </c>
      <c r="O333" s="626">
        <f t="shared" si="112"/>
        <v>0</v>
      </c>
      <c r="P333" s="653">
        <f t="shared" si="112"/>
        <v>0.19028893828004786</v>
      </c>
      <c r="Q333" s="625">
        <f t="shared" si="112"/>
        <v>0</v>
      </c>
      <c r="R333" s="625">
        <f t="shared" si="112"/>
        <v>0</v>
      </c>
      <c r="S333" s="626">
        <f t="shared" si="112"/>
        <v>0</v>
      </c>
      <c r="T333" s="624">
        <f t="shared" si="112"/>
        <v>0</v>
      </c>
      <c r="U333" s="274"/>
      <c r="V333" s="641">
        <v>692</v>
      </c>
      <c r="W333" s="642">
        <v>148</v>
      </c>
      <c r="X333" s="642">
        <v>828</v>
      </c>
      <c r="Y333" s="642">
        <v>744</v>
      </c>
      <c r="Z333" s="642">
        <v>413</v>
      </c>
      <c r="AA333" s="642">
        <v>376</v>
      </c>
      <c r="AB333" s="642"/>
      <c r="AC333" s="641">
        <v>3201</v>
      </c>
      <c r="AD333" s="641"/>
      <c r="AE333" s="642">
        <v>684</v>
      </c>
      <c r="AF333" s="642">
        <v>371</v>
      </c>
      <c r="AG333" s="642">
        <v>58</v>
      </c>
      <c r="AH333" s="642"/>
      <c r="AI333" s="641">
        <v>1113</v>
      </c>
      <c r="AJ333" s="641"/>
      <c r="AK333" s="642"/>
      <c r="AL333" s="642"/>
      <c r="AM333" s="641"/>
    </row>
    <row r="334" spans="1:39">
      <c r="A334" s="648"/>
      <c r="B334" s="646" t="s">
        <v>77</v>
      </c>
      <c r="C334" s="624">
        <f t="shared" si="111"/>
        <v>0.2762996316004912</v>
      </c>
      <c r="D334" s="625">
        <f t="shared" si="111"/>
        <v>0.28486055776892433</v>
      </c>
      <c r="E334" s="625">
        <f t="shared" si="111"/>
        <v>0.27932773109243697</v>
      </c>
      <c r="F334" s="625">
        <f t="shared" si="111"/>
        <v>0.3245952197378566</v>
      </c>
      <c r="G334" s="625">
        <f t="shared" si="111"/>
        <v>0.3303834808259587</v>
      </c>
      <c r="H334" s="626">
        <f t="shared" si="111"/>
        <v>0.34032476319350474</v>
      </c>
      <c r="I334" s="625">
        <f t="shared" si="111"/>
        <v>0</v>
      </c>
      <c r="J334" s="661">
        <f t="shared" si="111"/>
        <v>0.30331335918223473</v>
      </c>
      <c r="K334" s="625">
        <f t="shared" si="111"/>
        <v>0</v>
      </c>
      <c r="L334" s="625">
        <f t="shared" si="111"/>
        <v>0.28593508500772796</v>
      </c>
      <c r="M334" s="625">
        <f t="shared" si="112"/>
        <v>0.28538283062645009</v>
      </c>
      <c r="N334" s="625">
        <f t="shared" si="112"/>
        <v>0.27983539094650206</v>
      </c>
      <c r="O334" s="626">
        <f t="shared" si="112"/>
        <v>0</v>
      </c>
      <c r="P334" s="653">
        <f t="shared" si="112"/>
        <v>0.28551889211831083</v>
      </c>
      <c r="Q334" s="625">
        <f t="shared" si="112"/>
        <v>0</v>
      </c>
      <c r="R334" s="625">
        <f t="shared" si="112"/>
        <v>0</v>
      </c>
      <c r="S334" s="626">
        <f t="shared" si="112"/>
        <v>0</v>
      </c>
      <c r="T334" s="624">
        <f t="shared" si="112"/>
        <v>0</v>
      </c>
      <c r="U334" s="274"/>
      <c r="V334" s="641">
        <v>675</v>
      </c>
      <c r="W334" s="642">
        <v>143</v>
      </c>
      <c r="X334" s="642">
        <v>831</v>
      </c>
      <c r="Y334" s="642">
        <v>842</v>
      </c>
      <c r="Z334" s="642">
        <v>448</v>
      </c>
      <c r="AA334" s="642">
        <v>503</v>
      </c>
      <c r="AB334" s="642"/>
      <c r="AC334" s="641">
        <v>3442</v>
      </c>
      <c r="AD334" s="641"/>
      <c r="AE334" s="642">
        <v>1110</v>
      </c>
      <c r="AF334" s="642">
        <v>492</v>
      </c>
      <c r="AG334" s="642">
        <v>68</v>
      </c>
      <c r="AH334" s="642"/>
      <c r="AI334" s="641">
        <v>1670</v>
      </c>
      <c r="AJ334" s="641"/>
      <c r="AK334" s="642"/>
      <c r="AL334" s="642"/>
      <c r="AM334" s="641"/>
    </row>
    <row r="335" spans="1:39">
      <c r="A335" s="648"/>
      <c r="B335" s="646" t="s">
        <v>78</v>
      </c>
      <c r="C335" s="624">
        <f t="shared" si="111"/>
        <v>6.5493246009005321E-3</v>
      </c>
      <c r="D335" s="625">
        <f t="shared" si="111"/>
        <v>1.3944223107569721E-2</v>
      </c>
      <c r="E335" s="625">
        <f t="shared" si="111"/>
        <v>2.0504201680672268E-2</v>
      </c>
      <c r="F335" s="625">
        <f t="shared" si="111"/>
        <v>2.313030069390902E-2</v>
      </c>
      <c r="G335" s="625">
        <f t="shared" si="111"/>
        <v>1.9174041297935103E-2</v>
      </c>
      <c r="H335" s="626">
        <f t="shared" si="111"/>
        <v>8.7956698240866035E-2</v>
      </c>
      <c r="I335" s="625">
        <f t="shared" si="111"/>
        <v>0</v>
      </c>
      <c r="J335" s="661">
        <f t="shared" si="111"/>
        <v>2.6436376454000706E-2</v>
      </c>
      <c r="K335" s="625">
        <f t="shared" si="111"/>
        <v>0</v>
      </c>
      <c r="L335" s="625">
        <f t="shared" si="111"/>
        <v>0.15687789799072643</v>
      </c>
      <c r="M335" s="625">
        <f t="shared" si="112"/>
        <v>0.1531322505800464</v>
      </c>
      <c r="N335" s="625">
        <f t="shared" si="112"/>
        <v>0.23868312757201646</v>
      </c>
      <c r="O335" s="626">
        <f t="shared" si="112"/>
        <v>0</v>
      </c>
      <c r="P335" s="653">
        <f t="shared" si="112"/>
        <v>0.15917250812104633</v>
      </c>
      <c r="Q335" s="625">
        <f t="shared" si="112"/>
        <v>0</v>
      </c>
      <c r="R335" s="625">
        <f t="shared" si="112"/>
        <v>0</v>
      </c>
      <c r="S335" s="626">
        <f t="shared" si="112"/>
        <v>0</v>
      </c>
      <c r="T335" s="624">
        <f t="shared" si="112"/>
        <v>0</v>
      </c>
      <c r="U335" s="274"/>
      <c r="V335" s="641">
        <v>16</v>
      </c>
      <c r="W335" s="642">
        <v>7</v>
      </c>
      <c r="X335" s="642">
        <v>61</v>
      </c>
      <c r="Y335" s="642">
        <v>60</v>
      </c>
      <c r="Z335" s="642">
        <v>26</v>
      </c>
      <c r="AA335" s="642">
        <v>130</v>
      </c>
      <c r="AB335" s="642"/>
      <c r="AC335" s="641">
        <v>300</v>
      </c>
      <c r="AD335" s="641"/>
      <c r="AE335" s="642">
        <v>609</v>
      </c>
      <c r="AF335" s="642">
        <v>264</v>
      </c>
      <c r="AG335" s="642">
        <v>58</v>
      </c>
      <c r="AH335" s="642"/>
      <c r="AI335" s="641">
        <v>931</v>
      </c>
      <c r="AJ335" s="641"/>
      <c r="AK335" s="642"/>
      <c r="AL335" s="642"/>
      <c r="AM335" s="641"/>
    </row>
    <row r="336" spans="1:39">
      <c r="A336" s="648"/>
      <c r="B336" s="646" t="s">
        <v>209</v>
      </c>
      <c r="C336" s="624">
        <f t="shared" si="111"/>
        <v>6.7539909946786741E-2</v>
      </c>
      <c r="D336" s="625">
        <f t="shared" si="111"/>
        <v>8.1673306772908363E-2</v>
      </c>
      <c r="E336" s="625">
        <f t="shared" si="111"/>
        <v>7.1260504201680674E-2</v>
      </c>
      <c r="F336" s="625">
        <f t="shared" si="111"/>
        <v>8.0185042405551271E-2</v>
      </c>
      <c r="G336" s="625">
        <f t="shared" si="111"/>
        <v>8.9970501474926259E-2</v>
      </c>
      <c r="H336" s="626">
        <f t="shared" si="111"/>
        <v>5.2774018944519621E-2</v>
      </c>
      <c r="I336" s="625">
        <f t="shared" si="111"/>
        <v>0</v>
      </c>
      <c r="J336" s="661">
        <f t="shared" si="111"/>
        <v>7.2788156503348606E-2</v>
      </c>
      <c r="K336" s="625">
        <f t="shared" si="111"/>
        <v>0</v>
      </c>
      <c r="L336" s="625">
        <f t="shared" si="111"/>
        <v>6.9036579082946928E-2</v>
      </c>
      <c r="M336" s="625">
        <f t="shared" si="112"/>
        <v>2.0881670533642691E-2</v>
      </c>
      <c r="N336" s="625">
        <f t="shared" si="112"/>
        <v>0</v>
      </c>
      <c r="O336" s="626">
        <f t="shared" si="112"/>
        <v>0</v>
      </c>
      <c r="P336" s="653">
        <f t="shared" si="112"/>
        <v>5.1974696529321254E-2</v>
      </c>
      <c r="Q336" s="625">
        <f t="shared" si="112"/>
        <v>0</v>
      </c>
      <c r="R336" s="625">
        <f t="shared" si="112"/>
        <v>0</v>
      </c>
      <c r="S336" s="626">
        <f t="shared" si="112"/>
        <v>0</v>
      </c>
      <c r="T336" s="624">
        <f t="shared" si="112"/>
        <v>0</v>
      </c>
      <c r="U336" s="274"/>
      <c r="V336" s="641">
        <v>165</v>
      </c>
      <c r="W336" s="642">
        <v>41</v>
      </c>
      <c r="X336" s="642">
        <v>212</v>
      </c>
      <c r="Y336" s="642">
        <v>208</v>
      </c>
      <c r="Z336" s="642">
        <v>122</v>
      </c>
      <c r="AA336" s="642">
        <v>78</v>
      </c>
      <c r="AB336" s="642"/>
      <c r="AC336" s="641">
        <v>826</v>
      </c>
      <c r="AD336" s="641"/>
      <c r="AE336" s="642">
        <v>268</v>
      </c>
      <c r="AF336" s="642">
        <v>36</v>
      </c>
      <c r="AG336" s="642"/>
      <c r="AH336" s="642"/>
      <c r="AI336" s="641">
        <v>304</v>
      </c>
      <c r="AJ336" s="641"/>
      <c r="AK336" s="642"/>
      <c r="AL336" s="642"/>
      <c r="AM336" s="641"/>
    </row>
    <row r="337" spans="1:39">
      <c r="A337" s="649"/>
      <c r="B337" s="650" t="s">
        <v>59</v>
      </c>
      <c r="C337" s="577">
        <f t="shared" ref="C337:T337" si="113">SUM(C332:C336)</f>
        <v>1</v>
      </c>
      <c r="D337" s="578">
        <f t="shared" si="113"/>
        <v>1</v>
      </c>
      <c r="E337" s="578">
        <f t="shared" si="113"/>
        <v>1</v>
      </c>
      <c r="F337" s="578">
        <f t="shared" si="113"/>
        <v>1</v>
      </c>
      <c r="G337" s="578">
        <f t="shared" si="113"/>
        <v>1</v>
      </c>
      <c r="H337" s="579">
        <f t="shared" si="113"/>
        <v>0.99999999999999989</v>
      </c>
      <c r="I337" s="578">
        <f t="shared" si="113"/>
        <v>0</v>
      </c>
      <c r="J337" s="589">
        <f t="shared" si="113"/>
        <v>0.99999999999999989</v>
      </c>
      <c r="K337" s="578">
        <f t="shared" si="113"/>
        <v>0</v>
      </c>
      <c r="L337" s="578">
        <f t="shared" si="113"/>
        <v>0.99999999999999989</v>
      </c>
      <c r="M337" s="578">
        <f t="shared" si="113"/>
        <v>0.99999999999999989</v>
      </c>
      <c r="N337" s="578">
        <f t="shared" si="113"/>
        <v>1</v>
      </c>
      <c r="O337" s="579">
        <f t="shared" si="113"/>
        <v>0</v>
      </c>
      <c r="P337" s="654">
        <f t="shared" si="113"/>
        <v>1</v>
      </c>
      <c r="Q337" s="578">
        <f t="shared" si="113"/>
        <v>0</v>
      </c>
      <c r="R337" s="578">
        <f t="shared" si="113"/>
        <v>0</v>
      </c>
      <c r="S337" s="579">
        <f t="shared" si="113"/>
        <v>0</v>
      </c>
      <c r="T337" s="577">
        <f t="shared" si="113"/>
        <v>0</v>
      </c>
      <c r="U337" s="274"/>
      <c r="V337" s="641">
        <v>2443</v>
      </c>
      <c r="W337" s="642">
        <v>502</v>
      </c>
      <c r="X337" s="642">
        <v>2975</v>
      </c>
      <c r="Y337" s="642">
        <v>2594</v>
      </c>
      <c r="Z337" s="642">
        <v>1356</v>
      </c>
      <c r="AA337" s="642">
        <v>1478</v>
      </c>
      <c r="AB337" s="642"/>
      <c r="AC337" s="641">
        <v>11348</v>
      </c>
      <c r="AD337" s="641"/>
      <c r="AE337" s="642">
        <v>3882</v>
      </c>
      <c r="AF337" s="642">
        <v>1724</v>
      </c>
      <c r="AG337" s="642">
        <v>243</v>
      </c>
      <c r="AH337" s="642"/>
      <c r="AI337" s="641">
        <v>5849</v>
      </c>
      <c r="AJ337" s="641"/>
      <c r="AK337" s="642"/>
      <c r="AL337" s="642"/>
      <c r="AM337" s="641"/>
    </row>
    <row r="338" spans="1:39">
      <c r="A338" s="646" t="s">
        <v>162</v>
      </c>
      <c r="B338" s="647" t="s">
        <v>53</v>
      </c>
      <c r="C338" s="613">
        <f t="shared" ref="C338:L342" si="114">IF(V$343&gt;0,(V338/V$343),0)</f>
        <v>0.32909604519774011</v>
      </c>
      <c r="D338" s="614">
        <f t="shared" si="114"/>
        <v>0.32961783439490444</v>
      </c>
      <c r="E338" s="614">
        <f t="shared" si="114"/>
        <v>0.27620704654197475</v>
      </c>
      <c r="F338" s="614">
        <f t="shared" si="114"/>
        <v>0.3017656500802568</v>
      </c>
      <c r="G338" s="614">
        <f t="shared" si="114"/>
        <v>0.18965517241379309</v>
      </c>
      <c r="H338" s="615">
        <f t="shared" si="114"/>
        <v>8.2527401676337847E-2</v>
      </c>
      <c r="I338" s="614">
        <f t="shared" si="114"/>
        <v>0</v>
      </c>
      <c r="J338" s="660">
        <f t="shared" si="114"/>
        <v>0.27245040027845457</v>
      </c>
      <c r="K338" s="614">
        <f t="shared" si="114"/>
        <v>0</v>
      </c>
      <c r="L338" s="614">
        <f t="shared" si="114"/>
        <v>0.38804780876494022</v>
      </c>
      <c r="M338" s="614">
        <f t="shared" ref="M338:T342" si="115">IF(AF$343&gt;0,(AF338/AF$343),0)</f>
        <v>0.27436823104693142</v>
      </c>
      <c r="N338" s="614">
        <f t="shared" si="115"/>
        <v>0.16778523489932887</v>
      </c>
      <c r="O338" s="615">
        <f t="shared" si="115"/>
        <v>1.1494252873563218E-2</v>
      </c>
      <c r="P338" s="652">
        <f t="shared" si="115"/>
        <v>0.32518337408312958</v>
      </c>
      <c r="Q338" s="614">
        <f t="shared" si="115"/>
        <v>0</v>
      </c>
      <c r="R338" s="614">
        <f t="shared" si="115"/>
        <v>0</v>
      </c>
      <c r="S338" s="615">
        <f t="shared" si="115"/>
        <v>0</v>
      </c>
      <c r="T338" s="613">
        <f t="shared" si="115"/>
        <v>0</v>
      </c>
      <c r="U338" s="274"/>
      <c r="V338" s="639">
        <v>1631</v>
      </c>
      <c r="W338" s="640">
        <v>207</v>
      </c>
      <c r="X338" s="640">
        <v>635</v>
      </c>
      <c r="Y338" s="640">
        <v>376</v>
      </c>
      <c r="Z338" s="640">
        <v>154</v>
      </c>
      <c r="AA338" s="640">
        <v>128</v>
      </c>
      <c r="AB338" s="640"/>
      <c r="AC338" s="639">
        <v>3131</v>
      </c>
      <c r="AD338" s="639"/>
      <c r="AE338" s="640">
        <v>487</v>
      </c>
      <c r="AF338" s="640">
        <v>152</v>
      </c>
      <c r="AG338" s="640">
        <v>25</v>
      </c>
      <c r="AH338" s="640">
        <v>1</v>
      </c>
      <c r="AI338" s="639">
        <v>665</v>
      </c>
      <c r="AJ338" s="639"/>
      <c r="AK338" s="640"/>
      <c r="AL338" s="640"/>
      <c r="AM338" s="639"/>
    </row>
    <row r="339" spans="1:39">
      <c r="A339" s="648"/>
      <c r="B339" s="646" t="s">
        <v>76</v>
      </c>
      <c r="C339" s="624">
        <f t="shared" si="114"/>
        <v>0.25464083938660209</v>
      </c>
      <c r="D339" s="625">
        <f t="shared" si="114"/>
        <v>0.28503184713375795</v>
      </c>
      <c r="E339" s="625">
        <f t="shared" si="114"/>
        <v>0.27229230100043494</v>
      </c>
      <c r="F339" s="625">
        <f t="shared" si="114"/>
        <v>0.2552166934189406</v>
      </c>
      <c r="G339" s="625">
        <f t="shared" si="114"/>
        <v>0.26108374384236455</v>
      </c>
      <c r="H339" s="626">
        <f t="shared" si="114"/>
        <v>0.26112185686653772</v>
      </c>
      <c r="I339" s="625">
        <f t="shared" si="114"/>
        <v>0</v>
      </c>
      <c r="J339" s="661">
        <f t="shared" si="114"/>
        <v>0.26122520013922729</v>
      </c>
      <c r="K339" s="625">
        <f t="shared" si="114"/>
        <v>0</v>
      </c>
      <c r="L339" s="625">
        <f t="shared" si="114"/>
        <v>0.23266932270916335</v>
      </c>
      <c r="M339" s="625">
        <f t="shared" si="115"/>
        <v>0.22021660649819494</v>
      </c>
      <c r="N339" s="625">
        <f t="shared" si="115"/>
        <v>0.13422818791946309</v>
      </c>
      <c r="O339" s="626">
        <f t="shared" si="115"/>
        <v>0.2413793103448276</v>
      </c>
      <c r="P339" s="653">
        <f t="shared" si="115"/>
        <v>0.22249388753056235</v>
      </c>
      <c r="Q339" s="625">
        <f t="shared" si="115"/>
        <v>0</v>
      </c>
      <c r="R339" s="625">
        <f t="shared" si="115"/>
        <v>0</v>
      </c>
      <c r="S339" s="626">
        <f t="shared" si="115"/>
        <v>0</v>
      </c>
      <c r="T339" s="624">
        <f t="shared" si="115"/>
        <v>0</v>
      </c>
      <c r="U339" s="274"/>
      <c r="V339" s="641">
        <v>1262</v>
      </c>
      <c r="W339" s="642">
        <v>179</v>
      </c>
      <c r="X339" s="642">
        <v>626</v>
      </c>
      <c r="Y339" s="642">
        <v>318</v>
      </c>
      <c r="Z339" s="642">
        <v>212</v>
      </c>
      <c r="AA339" s="642">
        <v>405</v>
      </c>
      <c r="AB339" s="642"/>
      <c r="AC339" s="641">
        <v>3002</v>
      </c>
      <c r="AD339" s="641"/>
      <c r="AE339" s="642">
        <v>292</v>
      </c>
      <c r="AF339" s="642">
        <v>122</v>
      </c>
      <c r="AG339" s="642">
        <v>20</v>
      </c>
      <c r="AH339" s="642">
        <v>21</v>
      </c>
      <c r="AI339" s="641">
        <v>455</v>
      </c>
      <c r="AJ339" s="641"/>
      <c r="AK339" s="642"/>
      <c r="AL339" s="642"/>
      <c r="AM339" s="641"/>
    </row>
    <row r="340" spans="1:39">
      <c r="A340" s="648"/>
      <c r="B340" s="646" t="s">
        <v>77</v>
      </c>
      <c r="C340" s="624">
        <f t="shared" si="114"/>
        <v>0.21125907990314771</v>
      </c>
      <c r="D340" s="625">
        <f t="shared" si="114"/>
        <v>0.30891719745222929</v>
      </c>
      <c r="E340" s="625">
        <f t="shared" si="114"/>
        <v>0.32187907785993908</v>
      </c>
      <c r="F340" s="625">
        <f t="shared" si="114"/>
        <v>0.3130016051364366</v>
      </c>
      <c r="G340" s="625">
        <f t="shared" si="114"/>
        <v>0.32758620689655171</v>
      </c>
      <c r="H340" s="626">
        <f t="shared" si="114"/>
        <v>0.32430689877498386</v>
      </c>
      <c r="I340" s="625">
        <f t="shared" si="114"/>
        <v>0</v>
      </c>
      <c r="J340" s="661">
        <f t="shared" si="114"/>
        <v>0.27323355377654018</v>
      </c>
      <c r="K340" s="625">
        <f t="shared" si="114"/>
        <v>0</v>
      </c>
      <c r="L340" s="625">
        <f t="shared" si="114"/>
        <v>0.27649402390438249</v>
      </c>
      <c r="M340" s="625">
        <f t="shared" si="115"/>
        <v>0.30144404332129965</v>
      </c>
      <c r="N340" s="625">
        <f t="shared" si="115"/>
        <v>0.15436241610738255</v>
      </c>
      <c r="O340" s="626">
        <f t="shared" si="115"/>
        <v>0.28735632183908044</v>
      </c>
      <c r="P340" s="653">
        <f t="shared" si="115"/>
        <v>0.27481662591687039</v>
      </c>
      <c r="Q340" s="625">
        <f t="shared" si="115"/>
        <v>0</v>
      </c>
      <c r="R340" s="625">
        <f t="shared" si="115"/>
        <v>0</v>
      </c>
      <c r="S340" s="626">
        <f t="shared" si="115"/>
        <v>0</v>
      </c>
      <c r="T340" s="624">
        <f t="shared" si="115"/>
        <v>0</v>
      </c>
      <c r="U340" s="274"/>
      <c r="V340" s="641">
        <v>1047</v>
      </c>
      <c r="W340" s="642">
        <v>194</v>
      </c>
      <c r="X340" s="642">
        <v>740</v>
      </c>
      <c r="Y340" s="642">
        <v>390</v>
      </c>
      <c r="Z340" s="642">
        <v>266</v>
      </c>
      <c r="AA340" s="642">
        <v>503</v>
      </c>
      <c r="AB340" s="642"/>
      <c r="AC340" s="641">
        <v>3140</v>
      </c>
      <c r="AD340" s="641"/>
      <c r="AE340" s="642">
        <v>347</v>
      </c>
      <c r="AF340" s="642">
        <v>167</v>
      </c>
      <c r="AG340" s="642">
        <v>23</v>
      </c>
      <c r="AH340" s="642">
        <v>25</v>
      </c>
      <c r="AI340" s="641">
        <v>562</v>
      </c>
      <c r="AJ340" s="641"/>
      <c r="AK340" s="642"/>
      <c r="AL340" s="642"/>
      <c r="AM340" s="641"/>
    </row>
    <row r="341" spans="1:39">
      <c r="A341" s="648"/>
      <c r="B341" s="646" t="s">
        <v>78</v>
      </c>
      <c r="C341" s="624">
        <f t="shared" si="114"/>
        <v>5.9120258272800645E-2</v>
      </c>
      <c r="D341" s="625">
        <f t="shared" si="114"/>
        <v>7.6433121019108277E-2</v>
      </c>
      <c r="E341" s="625">
        <f t="shared" si="114"/>
        <v>0.12918660287081341</v>
      </c>
      <c r="F341" s="625">
        <f t="shared" si="114"/>
        <v>0.13001605136436598</v>
      </c>
      <c r="G341" s="625">
        <f t="shared" si="114"/>
        <v>0.10221674876847291</v>
      </c>
      <c r="H341" s="626">
        <f t="shared" si="114"/>
        <v>0.27917472598323662</v>
      </c>
      <c r="I341" s="625">
        <f t="shared" si="114"/>
        <v>0</v>
      </c>
      <c r="J341" s="661">
        <f t="shared" si="114"/>
        <v>0.11451444483118692</v>
      </c>
      <c r="K341" s="625">
        <f t="shared" si="114"/>
        <v>0</v>
      </c>
      <c r="L341" s="625">
        <f t="shared" si="114"/>
        <v>9.9601593625498003E-2</v>
      </c>
      <c r="M341" s="625">
        <f t="shared" si="115"/>
        <v>0.1967509025270758</v>
      </c>
      <c r="N341" s="625">
        <f t="shared" si="115"/>
        <v>0.42953020134228187</v>
      </c>
      <c r="O341" s="626">
        <f t="shared" si="115"/>
        <v>0.45977011494252873</v>
      </c>
      <c r="P341" s="653">
        <f t="shared" si="115"/>
        <v>0.16528117359413202</v>
      </c>
      <c r="Q341" s="625">
        <f t="shared" si="115"/>
        <v>0</v>
      </c>
      <c r="R341" s="625">
        <f t="shared" si="115"/>
        <v>0</v>
      </c>
      <c r="S341" s="626">
        <f t="shared" si="115"/>
        <v>0</v>
      </c>
      <c r="T341" s="624">
        <f t="shared" si="115"/>
        <v>0</v>
      </c>
      <c r="U341" s="274"/>
      <c r="V341" s="641">
        <v>293</v>
      </c>
      <c r="W341" s="642">
        <v>48</v>
      </c>
      <c r="X341" s="642">
        <v>297</v>
      </c>
      <c r="Y341" s="642">
        <v>162</v>
      </c>
      <c r="Z341" s="642">
        <v>83</v>
      </c>
      <c r="AA341" s="642">
        <v>433</v>
      </c>
      <c r="AB341" s="642"/>
      <c r="AC341" s="641">
        <v>1316</v>
      </c>
      <c r="AD341" s="641"/>
      <c r="AE341" s="642">
        <v>125</v>
      </c>
      <c r="AF341" s="642">
        <v>109</v>
      </c>
      <c r="AG341" s="642">
        <v>64</v>
      </c>
      <c r="AH341" s="642">
        <v>40</v>
      </c>
      <c r="AI341" s="641">
        <v>338</v>
      </c>
      <c r="AJ341" s="641"/>
      <c r="AK341" s="642"/>
      <c r="AL341" s="642"/>
      <c r="AM341" s="641"/>
    </row>
    <row r="342" spans="1:39">
      <c r="A342" s="648"/>
      <c r="B342" s="646" t="s">
        <v>209</v>
      </c>
      <c r="C342" s="624">
        <f t="shared" si="114"/>
        <v>0.14588377723970944</v>
      </c>
      <c r="D342" s="625">
        <f t="shared" si="114"/>
        <v>0</v>
      </c>
      <c r="E342" s="625">
        <f t="shared" si="114"/>
        <v>4.3497172683775554E-4</v>
      </c>
      <c r="F342" s="625">
        <f t="shared" si="114"/>
        <v>0</v>
      </c>
      <c r="G342" s="625">
        <f t="shared" si="114"/>
        <v>0.11945812807881774</v>
      </c>
      <c r="H342" s="626">
        <f t="shared" si="114"/>
        <v>5.2869116698903935E-2</v>
      </c>
      <c r="I342" s="625">
        <f t="shared" si="114"/>
        <v>0</v>
      </c>
      <c r="J342" s="661">
        <f t="shared" si="114"/>
        <v>7.8576400974591024E-2</v>
      </c>
      <c r="K342" s="625">
        <f t="shared" si="114"/>
        <v>0</v>
      </c>
      <c r="L342" s="625">
        <f t="shared" si="114"/>
        <v>3.1872509960159364E-3</v>
      </c>
      <c r="M342" s="625">
        <f t="shared" si="115"/>
        <v>7.2202166064981952E-3</v>
      </c>
      <c r="N342" s="625">
        <f t="shared" si="115"/>
        <v>0.11409395973154363</v>
      </c>
      <c r="O342" s="626">
        <f t="shared" si="115"/>
        <v>0</v>
      </c>
      <c r="P342" s="653">
        <f t="shared" si="115"/>
        <v>1.2224938875305624E-2</v>
      </c>
      <c r="Q342" s="625">
        <f t="shared" si="115"/>
        <v>0</v>
      </c>
      <c r="R342" s="625">
        <f t="shared" si="115"/>
        <v>0</v>
      </c>
      <c r="S342" s="626">
        <f t="shared" si="115"/>
        <v>0</v>
      </c>
      <c r="T342" s="624">
        <f t="shared" si="115"/>
        <v>0</v>
      </c>
      <c r="U342" s="274"/>
      <c r="V342" s="641">
        <v>723</v>
      </c>
      <c r="W342" s="642"/>
      <c r="X342" s="642">
        <v>1</v>
      </c>
      <c r="Y342" s="642"/>
      <c r="Z342" s="642">
        <v>97</v>
      </c>
      <c r="AA342" s="642">
        <v>82</v>
      </c>
      <c r="AB342" s="642"/>
      <c r="AC342" s="641">
        <v>903</v>
      </c>
      <c r="AD342" s="641"/>
      <c r="AE342" s="642">
        <v>4</v>
      </c>
      <c r="AF342" s="642">
        <v>4</v>
      </c>
      <c r="AG342" s="642">
        <v>17</v>
      </c>
      <c r="AH342" s="642"/>
      <c r="AI342" s="641">
        <v>25</v>
      </c>
      <c r="AJ342" s="641"/>
      <c r="AK342" s="642"/>
      <c r="AL342" s="642"/>
      <c r="AM342" s="641"/>
    </row>
    <row r="343" spans="1:39">
      <c r="A343" s="649"/>
      <c r="B343" s="650" t="s">
        <v>59</v>
      </c>
      <c r="C343" s="577">
        <f t="shared" ref="C343:T343" si="116">SUM(C338:C342)</f>
        <v>1</v>
      </c>
      <c r="D343" s="578">
        <f t="shared" si="116"/>
        <v>1</v>
      </c>
      <c r="E343" s="578">
        <f t="shared" si="116"/>
        <v>0.99999999999999989</v>
      </c>
      <c r="F343" s="578">
        <f t="shared" si="116"/>
        <v>1</v>
      </c>
      <c r="G343" s="578">
        <f t="shared" si="116"/>
        <v>0.99999999999999989</v>
      </c>
      <c r="H343" s="579">
        <f t="shared" si="116"/>
        <v>1</v>
      </c>
      <c r="I343" s="578">
        <f t="shared" si="116"/>
        <v>0</v>
      </c>
      <c r="J343" s="589">
        <f t="shared" si="116"/>
        <v>1</v>
      </c>
      <c r="K343" s="578">
        <f t="shared" si="116"/>
        <v>0</v>
      </c>
      <c r="L343" s="578">
        <f t="shared" si="116"/>
        <v>1</v>
      </c>
      <c r="M343" s="578">
        <f t="shared" si="116"/>
        <v>1</v>
      </c>
      <c r="N343" s="578">
        <f t="shared" si="116"/>
        <v>1</v>
      </c>
      <c r="O343" s="579">
        <f t="shared" si="116"/>
        <v>1</v>
      </c>
      <c r="P343" s="654">
        <f t="shared" si="116"/>
        <v>0.99999999999999989</v>
      </c>
      <c r="Q343" s="578">
        <f t="shared" si="116"/>
        <v>0</v>
      </c>
      <c r="R343" s="578">
        <f t="shared" si="116"/>
        <v>0</v>
      </c>
      <c r="S343" s="579">
        <f t="shared" si="116"/>
        <v>0</v>
      </c>
      <c r="T343" s="577">
        <f t="shared" si="116"/>
        <v>0</v>
      </c>
      <c r="U343" s="274"/>
      <c r="V343" s="641">
        <v>4956</v>
      </c>
      <c r="W343" s="642">
        <v>628</v>
      </c>
      <c r="X343" s="642">
        <v>2299</v>
      </c>
      <c r="Y343" s="642">
        <v>1246</v>
      </c>
      <c r="Z343" s="642">
        <v>812</v>
      </c>
      <c r="AA343" s="642">
        <v>1551</v>
      </c>
      <c r="AB343" s="642"/>
      <c r="AC343" s="641">
        <v>11492</v>
      </c>
      <c r="AD343" s="641"/>
      <c r="AE343" s="642">
        <v>1255</v>
      </c>
      <c r="AF343" s="642">
        <v>554</v>
      </c>
      <c r="AG343" s="642">
        <v>149</v>
      </c>
      <c r="AH343" s="642">
        <v>87</v>
      </c>
      <c r="AI343" s="641">
        <v>2045</v>
      </c>
      <c r="AJ343" s="641"/>
      <c r="AK343" s="642"/>
      <c r="AL343" s="642"/>
      <c r="AM343" s="641"/>
    </row>
    <row r="344" spans="1:39">
      <c r="A344" s="646" t="s">
        <v>163</v>
      </c>
      <c r="B344" s="647" t="s">
        <v>53</v>
      </c>
      <c r="C344" s="613">
        <f t="shared" ref="C344:L348" si="117">IF(V$349&gt;0,(V344/V$349),0)</f>
        <v>0</v>
      </c>
      <c r="D344" s="614">
        <f t="shared" si="117"/>
        <v>0.50595238095238093</v>
      </c>
      <c r="E344" s="614">
        <f t="shared" si="117"/>
        <v>0.42671009771986973</v>
      </c>
      <c r="F344" s="614">
        <f t="shared" si="117"/>
        <v>0</v>
      </c>
      <c r="G344" s="614">
        <f t="shared" si="117"/>
        <v>0</v>
      </c>
      <c r="H344" s="615">
        <f t="shared" si="117"/>
        <v>0</v>
      </c>
      <c r="I344" s="614">
        <f t="shared" si="117"/>
        <v>0</v>
      </c>
      <c r="J344" s="660">
        <f t="shared" si="117"/>
        <v>0.48110316649642493</v>
      </c>
      <c r="K344" s="614">
        <f t="shared" si="117"/>
        <v>0</v>
      </c>
      <c r="L344" s="614">
        <f t="shared" si="117"/>
        <v>0.51041666666666663</v>
      </c>
      <c r="M344" s="614">
        <f t="shared" ref="M344:T348" si="118">IF(AF$349&gt;0,(AF344/AF$349),0)</f>
        <v>0</v>
      </c>
      <c r="N344" s="614">
        <f t="shared" si="118"/>
        <v>0</v>
      </c>
      <c r="O344" s="615">
        <f t="shared" si="118"/>
        <v>0</v>
      </c>
      <c r="P344" s="652">
        <f t="shared" si="118"/>
        <v>0.51041666666666663</v>
      </c>
      <c r="Q344" s="614">
        <f t="shared" si="118"/>
        <v>0</v>
      </c>
      <c r="R344" s="614">
        <f t="shared" si="118"/>
        <v>0</v>
      </c>
      <c r="S344" s="615">
        <f t="shared" si="118"/>
        <v>0</v>
      </c>
      <c r="T344" s="613">
        <f t="shared" si="118"/>
        <v>0</v>
      </c>
      <c r="U344" s="274"/>
      <c r="V344" s="639"/>
      <c r="W344" s="640">
        <v>340</v>
      </c>
      <c r="X344" s="640">
        <v>131</v>
      </c>
      <c r="Y344" s="640"/>
      <c r="Z344" s="640"/>
      <c r="AA344" s="640"/>
      <c r="AB344" s="640"/>
      <c r="AC344" s="639">
        <v>471</v>
      </c>
      <c r="AD344" s="639"/>
      <c r="AE344" s="640">
        <v>147</v>
      </c>
      <c r="AF344" s="640"/>
      <c r="AG344" s="640"/>
      <c r="AH344" s="640"/>
      <c r="AI344" s="639">
        <v>147</v>
      </c>
      <c r="AJ344" s="639"/>
      <c r="AK344" s="640"/>
      <c r="AL344" s="640"/>
      <c r="AM344" s="639"/>
    </row>
    <row r="345" spans="1:39">
      <c r="A345" s="648"/>
      <c r="B345" s="646" t="s">
        <v>76</v>
      </c>
      <c r="C345" s="624">
        <f t="shared" si="117"/>
        <v>0</v>
      </c>
      <c r="D345" s="625">
        <f t="shared" si="117"/>
        <v>0.16666666666666666</v>
      </c>
      <c r="E345" s="625">
        <f t="shared" si="117"/>
        <v>0.30944625407166126</v>
      </c>
      <c r="F345" s="625">
        <f t="shared" si="117"/>
        <v>0</v>
      </c>
      <c r="G345" s="625">
        <f t="shared" si="117"/>
        <v>0</v>
      </c>
      <c r="H345" s="626">
        <f t="shared" si="117"/>
        <v>0</v>
      </c>
      <c r="I345" s="625">
        <f t="shared" si="117"/>
        <v>0</v>
      </c>
      <c r="J345" s="661">
        <f t="shared" si="117"/>
        <v>0.21144024514811033</v>
      </c>
      <c r="K345" s="625">
        <f t="shared" si="117"/>
        <v>0</v>
      </c>
      <c r="L345" s="625">
        <f t="shared" si="117"/>
        <v>0.15625</v>
      </c>
      <c r="M345" s="625">
        <f t="shared" si="118"/>
        <v>0</v>
      </c>
      <c r="N345" s="625">
        <f t="shared" si="118"/>
        <v>0</v>
      </c>
      <c r="O345" s="626">
        <f t="shared" si="118"/>
        <v>0</v>
      </c>
      <c r="P345" s="653">
        <f t="shared" si="118"/>
        <v>0.15625</v>
      </c>
      <c r="Q345" s="625">
        <f t="shared" si="118"/>
        <v>0</v>
      </c>
      <c r="R345" s="625">
        <f t="shared" si="118"/>
        <v>0</v>
      </c>
      <c r="S345" s="626">
        <f t="shared" si="118"/>
        <v>0</v>
      </c>
      <c r="T345" s="624">
        <f t="shared" si="118"/>
        <v>0</v>
      </c>
      <c r="U345" s="274"/>
      <c r="V345" s="641"/>
      <c r="W345" s="642">
        <v>112</v>
      </c>
      <c r="X345" s="642">
        <v>95</v>
      </c>
      <c r="Y345" s="642"/>
      <c r="Z345" s="642"/>
      <c r="AA345" s="642"/>
      <c r="AB345" s="642"/>
      <c r="AC345" s="641">
        <v>207</v>
      </c>
      <c r="AD345" s="641"/>
      <c r="AE345" s="642">
        <v>45</v>
      </c>
      <c r="AF345" s="642"/>
      <c r="AG345" s="642"/>
      <c r="AH345" s="642"/>
      <c r="AI345" s="641">
        <v>45</v>
      </c>
      <c r="AJ345" s="641"/>
      <c r="AK345" s="642"/>
      <c r="AL345" s="642"/>
      <c r="AM345" s="641"/>
    </row>
    <row r="346" spans="1:39">
      <c r="A346" s="648"/>
      <c r="B346" s="646" t="s">
        <v>77</v>
      </c>
      <c r="C346" s="624">
        <f t="shared" si="117"/>
        <v>0</v>
      </c>
      <c r="D346" s="625">
        <f t="shared" si="117"/>
        <v>0.21875</v>
      </c>
      <c r="E346" s="625">
        <f t="shared" si="117"/>
        <v>0.26384364820846906</v>
      </c>
      <c r="F346" s="625">
        <f t="shared" si="117"/>
        <v>0</v>
      </c>
      <c r="G346" s="625">
        <f t="shared" si="117"/>
        <v>0</v>
      </c>
      <c r="H346" s="626">
        <f t="shared" si="117"/>
        <v>0</v>
      </c>
      <c r="I346" s="625">
        <f t="shared" si="117"/>
        <v>0</v>
      </c>
      <c r="J346" s="661">
        <f t="shared" si="117"/>
        <v>0.23289070480081717</v>
      </c>
      <c r="K346" s="625">
        <f t="shared" si="117"/>
        <v>0</v>
      </c>
      <c r="L346" s="625">
        <f t="shared" si="117"/>
        <v>0.33333333333333331</v>
      </c>
      <c r="M346" s="625">
        <f t="shared" si="118"/>
        <v>0</v>
      </c>
      <c r="N346" s="625">
        <f t="shared" si="118"/>
        <v>0</v>
      </c>
      <c r="O346" s="626">
        <f t="shared" si="118"/>
        <v>0</v>
      </c>
      <c r="P346" s="653">
        <f t="shared" si="118"/>
        <v>0.33333333333333331</v>
      </c>
      <c r="Q346" s="625">
        <f t="shared" si="118"/>
        <v>0</v>
      </c>
      <c r="R346" s="625">
        <f t="shared" si="118"/>
        <v>0</v>
      </c>
      <c r="S346" s="626">
        <f t="shared" si="118"/>
        <v>0</v>
      </c>
      <c r="T346" s="624">
        <f t="shared" si="118"/>
        <v>0</v>
      </c>
      <c r="U346" s="274"/>
      <c r="V346" s="641"/>
      <c r="W346" s="642">
        <v>147</v>
      </c>
      <c r="X346" s="642">
        <v>81</v>
      </c>
      <c r="Y346" s="642"/>
      <c r="Z346" s="642"/>
      <c r="AA346" s="642"/>
      <c r="AB346" s="642"/>
      <c r="AC346" s="641">
        <v>228</v>
      </c>
      <c r="AD346" s="641"/>
      <c r="AE346" s="642">
        <v>96</v>
      </c>
      <c r="AF346" s="642"/>
      <c r="AG346" s="642"/>
      <c r="AH346" s="642"/>
      <c r="AI346" s="641">
        <v>96</v>
      </c>
      <c r="AJ346" s="641"/>
      <c r="AK346" s="642"/>
      <c r="AL346" s="642"/>
      <c r="AM346" s="641"/>
    </row>
    <row r="347" spans="1:39">
      <c r="A347" s="648"/>
      <c r="B347" s="646" t="s">
        <v>78</v>
      </c>
      <c r="C347" s="624">
        <f t="shared" si="117"/>
        <v>0</v>
      </c>
      <c r="D347" s="625">
        <f t="shared" si="117"/>
        <v>0</v>
      </c>
      <c r="E347" s="625">
        <f t="shared" si="117"/>
        <v>0</v>
      </c>
      <c r="F347" s="625">
        <f t="shared" si="117"/>
        <v>0</v>
      </c>
      <c r="G347" s="625">
        <f t="shared" si="117"/>
        <v>0</v>
      </c>
      <c r="H347" s="626">
        <f t="shared" si="117"/>
        <v>0</v>
      </c>
      <c r="I347" s="625">
        <f t="shared" si="117"/>
        <v>0</v>
      </c>
      <c r="J347" s="661">
        <f t="shared" si="117"/>
        <v>0</v>
      </c>
      <c r="K347" s="625">
        <f t="shared" si="117"/>
        <v>0</v>
      </c>
      <c r="L347" s="625">
        <f t="shared" si="117"/>
        <v>0</v>
      </c>
      <c r="M347" s="625">
        <f t="shared" si="118"/>
        <v>0</v>
      </c>
      <c r="N347" s="625">
        <f t="shared" si="118"/>
        <v>0</v>
      </c>
      <c r="O347" s="626">
        <f t="shared" si="118"/>
        <v>0</v>
      </c>
      <c r="P347" s="653">
        <f t="shared" si="118"/>
        <v>0</v>
      </c>
      <c r="Q347" s="625">
        <f t="shared" si="118"/>
        <v>0</v>
      </c>
      <c r="R347" s="625">
        <f t="shared" si="118"/>
        <v>0</v>
      </c>
      <c r="S347" s="626">
        <f t="shared" si="118"/>
        <v>0</v>
      </c>
      <c r="T347" s="624">
        <f t="shared" si="118"/>
        <v>0</v>
      </c>
      <c r="U347" s="274"/>
      <c r="V347" s="641"/>
      <c r="W347" s="642"/>
      <c r="X347" s="642"/>
      <c r="Y347" s="642"/>
      <c r="Z347" s="642"/>
      <c r="AA347" s="642"/>
      <c r="AB347" s="642"/>
      <c r="AC347" s="641"/>
      <c r="AD347" s="641"/>
      <c r="AE347" s="642"/>
      <c r="AF347" s="642"/>
      <c r="AG347" s="642"/>
      <c r="AH347" s="642"/>
      <c r="AI347" s="641"/>
      <c r="AJ347" s="641"/>
      <c r="AK347" s="642"/>
      <c r="AL347" s="642"/>
      <c r="AM347" s="641"/>
    </row>
    <row r="348" spans="1:39">
      <c r="A348" s="648"/>
      <c r="B348" s="646" t="s">
        <v>209</v>
      </c>
      <c r="C348" s="624">
        <f t="shared" si="117"/>
        <v>0</v>
      </c>
      <c r="D348" s="625">
        <f t="shared" si="117"/>
        <v>0.10863095238095238</v>
      </c>
      <c r="E348" s="625">
        <f t="shared" si="117"/>
        <v>0</v>
      </c>
      <c r="F348" s="625">
        <f t="shared" si="117"/>
        <v>0</v>
      </c>
      <c r="G348" s="625">
        <f t="shared" si="117"/>
        <v>0</v>
      </c>
      <c r="H348" s="626">
        <f t="shared" si="117"/>
        <v>0</v>
      </c>
      <c r="I348" s="625">
        <f t="shared" si="117"/>
        <v>0</v>
      </c>
      <c r="J348" s="661">
        <f t="shared" si="117"/>
        <v>7.4565883554647605E-2</v>
      </c>
      <c r="K348" s="625">
        <f t="shared" si="117"/>
        <v>0</v>
      </c>
      <c r="L348" s="625">
        <f t="shared" si="117"/>
        <v>0</v>
      </c>
      <c r="M348" s="625">
        <f t="shared" si="118"/>
        <v>0</v>
      </c>
      <c r="N348" s="625">
        <f t="shared" si="118"/>
        <v>0</v>
      </c>
      <c r="O348" s="626">
        <f t="shared" si="118"/>
        <v>0</v>
      </c>
      <c r="P348" s="653">
        <f t="shared" si="118"/>
        <v>0</v>
      </c>
      <c r="Q348" s="625">
        <f t="shared" si="118"/>
        <v>0</v>
      </c>
      <c r="R348" s="625">
        <f t="shared" si="118"/>
        <v>0</v>
      </c>
      <c r="S348" s="626">
        <f t="shared" si="118"/>
        <v>0</v>
      </c>
      <c r="T348" s="624">
        <f t="shared" si="118"/>
        <v>0</v>
      </c>
      <c r="U348" s="274"/>
      <c r="V348" s="641"/>
      <c r="W348" s="642">
        <v>73</v>
      </c>
      <c r="X348" s="642"/>
      <c r="Y348" s="642"/>
      <c r="Z348" s="642"/>
      <c r="AA348" s="642"/>
      <c r="AB348" s="642"/>
      <c r="AC348" s="641">
        <v>73</v>
      </c>
      <c r="AD348" s="641"/>
      <c r="AE348" s="642"/>
      <c r="AF348" s="642"/>
      <c r="AG348" s="642"/>
      <c r="AH348" s="642"/>
      <c r="AI348" s="641"/>
      <c r="AJ348" s="641"/>
      <c r="AK348" s="642"/>
      <c r="AL348" s="642"/>
      <c r="AM348" s="641"/>
    </row>
    <row r="349" spans="1:39">
      <c r="A349" s="649"/>
      <c r="B349" s="650" t="s">
        <v>59</v>
      </c>
      <c r="C349" s="577">
        <f t="shared" ref="C349:T349" si="119">SUM(C344:C348)</f>
        <v>0</v>
      </c>
      <c r="D349" s="578">
        <f t="shared" si="119"/>
        <v>1</v>
      </c>
      <c r="E349" s="578">
        <f t="shared" si="119"/>
        <v>1</v>
      </c>
      <c r="F349" s="578">
        <f t="shared" si="119"/>
        <v>0</v>
      </c>
      <c r="G349" s="578">
        <f t="shared" si="119"/>
        <v>0</v>
      </c>
      <c r="H349" s="579">
        <f t="shared" si="119"/>
        <v>0</v>
      </c>
      <c r="I349" s="578">
        <f t="shared" si="119"/>
        <v>0</v>
      </c>
      <c r="J349" s="589">
        <f t="shared" si="119"/>
        <v>1</v>
      </c>
      <c r="K349" s="578">
        <f t="shared" si="119"/>
        <v>0</v>
      </c>
      <c r="L349" s="578">
        <f t="shared" si="119"/>
        <v>1</v>
      </c>
      <c r="M349" s="578">
        <f t="shared" si="119"/>
        <v>0</v>
      </c>
      <c r="N349" s="578">
        <f t="shared" si="119"/>
        <v>0</v>
      </c>
      <c r="O349" s="579">
        <f t="shared" si="119"/>
        <v>0</v>
      </c>
      <c r="P349" s="654">
        <f t="shared" si="119"/>
        <v>1</v>
      </c>
      <c r="Q349" s="578">
        <f t="shared" si="119"/>
        <v>0</v>
      </c>
      <c r="R349" s="578">
        <f t="shared" si="119"/>
        <v>0</v>
      </c>
      <c r="S349" s="579">
        <f t="shared" si="119"/>
        <v>0</v>
      </c>
      <c r="T349" s="577">
        <f t="shared" si="119"/>
        <v>0</v>
      </c>
      <c r="U349" s="274"/>
      <c r="V349" s="641"/>
      <c r="W349" s="642">
        <v>672</v>
      </c>
      <c r="X349" s="642">
        <v>307</v>
      </c>
      <c r="Y349" s="642"/>
      <c r="Z349" s="642"/>
      <c r="AA349" s="642"/>
      <c r="AB349" s="642"/>
      <c r="AC349" s="641">
        <v>979</v>
      </c>
      <c r="AD349" s="641"/>
      <c r="AE349" s="642">
        <v>288</v>
      </c>
      <c r="AF349" s="642"/>
      <c r="AG349" s="642"/>
      <c r="AH349" s="642"/>
      <c r="AI349" s="641">
        <v>288</v>
      </c>
      <c r="AJ349" s="641"/>
      <c r="AK349" s="642"/>
      <c r="AL349" s="642"/>
      <c r="AM349" s="641"/>
    </row>
    <row r="350" spans="1:39">
      <c r="A350" s="646" t="s">
        <v>166</v>
      </c>
      <c r="B350" s="647" t="s">
        <v>53</v>
      </c>
      <c r="C350" s="613">
        <f t="shared" ref="C350:L354" si="120">IF(V$355&gt;0,(V350/V$355),0)</f>
        <v>0</v>
      </c>
      <c r="D350" s="614">
        <f t="shared" si="120"/>
        <v>0.23956442831215971</v>
      </c>
      <c r="E350" s="614">
        <f t="shared" si="120"/>
        <v>0</v>
      </c>
      <c r="F350" s="614">
        <f t="shared" si="120"/>
        <v>0</v>
      </c>
      <c r="G350" s="614">
        <f t="shared" si="120"/>
        <v>0.53900709219858156</v>
      </c>
      <c r="H350" s="615">
        <f t="shared" si="120"/>
        <v>0.41666666666666669</v>
      </c>
      <c r="I350" s="614">
        <f t="shared" si="120"/>
        <v>0</v>
      </c>
      <c r="J350" s="660">
        <f t="shared" si="120"/>
        <v>0.31917475728155342</v>
      </c>
      <c r="K350" s="614">
        <f t="shared" si="120"/>
        <v>0</v>
      </c>
      <c r="L350" s="614">
        <f t="shared" si="120"/>
        <v>0</v>
      </c>
      <c r="M350" s="614">
        <f t="shared" ref="M350:T354" si="121">IF(AF$355&gt;0,(AF350/AF$355),0)</f>
        <v>0</v>
      </c>
      <c r="N350" s="614">
        <f t="shared" si="121"/>
        <v>0</v>
      </c>
      <c r="O350" s="615">
        <f t="shared" si="121"/>
        <v>0</v>
      </c>
      <c r="P350" s="652">
        <f t="shared" si="121"/>
        <v>0</v>
      </c>
      <c r="Q350" s="614">
        <f t="shared" si="121"/>
        <v>0</v>
      </c>
      <c r="R350" s="614">
        <f t="shared" si="121"/>
        <v>0</v>
      </c>
      <c r="S350" s="615">
        <f t="shared" si="121"/>
        <v>0</v>
      </c>
      <c r="T350" s="613">
        <f t="shared" si="121"/>
        <v>0</v>
      </c>
      <c r="U350" s="274"/>
      <c r="V350" s="639"/>
      <c r="W350" s="640">
        <v>132</v>
      </c>
      <c r="X350" s="640"/>
      <c r="Y350" s="640"/>
      <c r="Z350" s="640">
        <v>76</v>
      </c>
      <c r="AA350" s="640">
        <v>55</v>
      </c>
      <c r="AB350" s="640"/>
      <c r="AC350" s="639">
        <v>263</v>
      </c>
      <c r="AD350" s="639"/>
      <c r="AE350" s="640"/>
      <c r="AF350" s="640"/>
      <c r="AG350" s="640"/>
      <c r="AH350" s="640"/>
      <c r="AI350" s="639"/>
      <c r="AJ350" s="639"/>
      <c r="AK350" s="640"/>
      <c r="AL350" s="640"/>
      <c r="AM350" s="639"/>
    </row>
    <row r="351" spans="1:39">
      <c r="A351" s="648"/>
      <c r="B351" s="646" t="s">
        <v>76</v>
      </c>
      <c r="C351" s="624">
        <f t="shared" si="120"/>
        <v>0</v>
      </c>
      <c r="D351" s="625">
        <f t="shared" si="120"/>
        <v>0.27767695099818512</v>
      </c>
      <c r="E351" s="625">
        <f t="shared" si="120"/>
        <v>0</v>
      </c>
      <c r="F351" s="625">
        <f t="shared" si="120"/>
        <v>0</v>
      </c>
      <c r="G351" s="625">
        <f t="shared" si="120"/>
        <v>0.18439716312056736</v>
      </c>
      <c r="H351" s="626">
        <f t="shared" si="120"/>
        <v>0.21212121212121213</v>
      </c>
      <c r="I351" s="625">
        <f t="shared" si="120"/>
        <v>0</v>
      </c>
      <c r="J351" s="661">
        <f t="shared" si="120"/>
        <v>0.25121359223300971</v>
      </c>
      <c r="K351" s="625">
        <f t="shared" si="120"/>
        <v>0</v>
      </c>
      <c r="L351" s="625">
        <f t="shared" si="120"/>
        <v>0</v>
      </c>
      <c r="M351" s="625">
        <f t="shared" si="121"/>
        <v>0</v>
      </c>
      <c r="N351" s="625">
        <f t="shared" si="121"/>
        <v>0</v>
      </c>
      <c r="O351" s="626">
        <f t="shared" si="121"/>
        <v>0</v>
      </c>
      <c r="P351" s="653">
        <f t="shared" si="121"/>
        <v>0</v>
      </c>
      <c r="Q351" s="625">
        <f t="shared" si="121"/>
        <v>0</v>
      </c>
      <c r="R351" s="625">
        <f t="shared" si="121"/>
        <v>0</v>
      </c>
      <c r="S351" s="626">
        <f t="shared" si="121"/>
        <v>0</v>
      </c>
      <c r="T351" s="624">
        <f t="shared" si="121"/>
        <v>0</v>
      </c>
      <c r="U351" s="274"/>
      <c r="V351" s="641"/>
      <c r="W351" s="643">
        <v>153</v>
      </c>
      <c r="X351" s="643"/>
      <c r="Y351" s="643"/>
      <c r="Z351" s="643">
        <v>26</v>
      </c>
      <c r="AA351" s="643">
        <v>28</v>
      </c>
      <c r="AB351" s="643"/>
      <c r="AC351" s="641">
        <v>207</v>
      </c>
      <c r="AD351" s="641"/>
      <c r="AE351" s="643"/>
      <c r="AF351" s="643"/>
      <c r="AG351" s="643"/>
      <c r="AH351" s="643"/>
      <c r="AI351" s="641"/>
      <c r="AJ351" s="641"/>
      <c r="AK351" s="643"/>
      <c r="AL351" s="643"/>
      <c r="AM351" s="641"/>
    </row>
    <row r="352" spans="1:39">
      <c r="A352" s="648"/>
      <c r="B352" s="646" t="s">
        <v>77</v>
      </c>
      <c r="C352" s="624">
        <f t="shared" si="120"/>
        <v>0</v>
      </c>
      <c r="D352" s="625">
        <f t="shared" si="120"/>
        <v>0.27586206896551724</v>
      </c>
      <c r="E352" s="625">
        <f t="shared" si="120"/>
        <v>0</v>
      </c>
      <c r="F352" s="625">
        <f t="shared" si="120"/>
        <v>0</v>
      </c>
      <c r="G352" s="625">
        <f t="shared" si="120"/>
        <v>0.27659574468085107</v>
      </c>
      <c r="H352" s="626">
        <f t="shared" si="120"/>
        <v>0.33333333333333331</v>
      </c>
      <c r="I352" s="625">
        <f t="shared" si="120"/>
        <v>0</v>
      </c>
      <c r="J352" s="661">
        <f t="shared" si="120"/>
        <v>0.28519417475728154</v>
      </c>
      <c r="K352" s="625">
        <f t="shared" si="120"/>
        <v>0</v>
      </c>
      <c r="L352" s="625">
        <f t="shared" si="120"/>
        <v>0</v>
      </c>
      <c r="M352" s="625">
        <f t="shared" si="121"/>
        <v>0</v>
      </c>
      <c r="N352" s="625">
        <f t="shared" si="121"/>
        <v>0</v>
      </c>
      <c r="O352" s="626">
        <f t="shared" si="121"/>
        <v>0</v>
      </c>
      <c r="P352" s="653">
        <f t="shared" si="121"/>
        <v>0</v>
      </c>
      <c r="Q352" s="625">
        <f t="shared" si="121"/>
        <v>0</v>
      </c>
      <c r="R352" s="625">
        <f t="shared" si="121"/>
        <v>0</v>
      </c>
      <c r="S352" s="626">
        <f t="shared" si="121"/>
        <v>0</v>
      </c>
      <c r="T352" s="624">
        <f t="shared" si="121"/>
        <v>0</v>
      </c>
      <c r="U352" s="274"/>
      <c r="V352" s="641"/>
      <c r="W352" s="643">
        <v>152</v>
      </c>
      <c r="X352" s="643"/>
      <c r="Y352" s="643"/>
      <c r="Z352" s="643">
        <v>39</v>
      </c>
      <c r="AA352" s="643">
        <v>44</v>
      </c>
      <c r="AB352" s="643"/>
      <c r="AC352" s="641">
        <v>235</v>
      </c>
      <c r="AD352" s="641"/>
      <c r="AE352" s="643"/>
      <c r="AF352" s="643"/>
      <c r="AG352" s="643"/>
      <c r="AH352" s="643"/>
      <c r="AI352" s="641"/>
      <c r="AJ352" s="641"/>
      <c r="AK352" s="643"/>
      <c r="AL352" s="643"/>
      <c r="AM352" s="641"/>
    </row>
    <row r="353" spans="1:39">
      <c r="A353" s="648"/>
      <c r="B353" s="646" t="s">
        <v>78</v>
      </c>
      <c r="C353" s="624">
        <f t="shared" si="120"/>
        <v>0</v>
      </c>
      <c r="D353" s="625">
        <f t="shared" si="120"/>
        <v>0</v>
      </c>
      <c r="E353" s="625">
        <f t="shared" si="120"/>
        <v>0</v>
      </c>
      <c r="F353" s="625">
        <f t="shared" si="120"/>
        <v>0</v>
      </c>
      <c r="G353" s="625">
        <f t="shared" si="120"/>
        <v>0</v>
      </c>
      <c r="H353" s="626">
        <f t="shared" si="120"/>
        <v>3.787878787878788E-2</v>
      </c>
      <c r="I353" s="625">
        <f t="shared" si="120"/>
        <v>0</v>
      </c>
      <c r="J353" s="661">
        <f t="shared" si="120"/>
        <v>6.0679611650485436E-3</v>
      </c>
      <c r="K353" s="625">
        <f t="shared" si="120"/>
        <v>0</v>
      </c>
      <c r="L353" s="625">
        <f t="shared" si="120"/>
        <v>0</v>
      </c>
      <c r="M353" s="625">
        <f t="shared" si="121"/>
        <v>0</v>
      </c>
      <c r="N353" s="625">
        <f t="shared" si="121"/>
        <v>0</v>
      </c>
      <c r="O353" s="626">
        <f t="shared" si="121"/>
        <v>0</v>
      </c>
      <c r="P353" s="653">
        <f t="shared" si="121"/>
        <v>0</v>
      </c>
      <c r="Q353" s="625">
        <f t="shared" si="121"/>
        <v>0</v>
      </c>
      <c r="R353" s="625">
        <f t="shared" si="121"/>
        <v>0</v>
      </c>
      <c r="S353" s="626">
        <f t="shared" si="121"/>
        <v>0</v>
      </c>
      <c r="T353" s="624">
        <f t="shared" si="121"/>
        <v>0</v>
      </c>
      <c r="U353" s="274"/>
      <c r="V353" s="641"/>
      <c r="W353" s="643"/>
      <c r="X353" s="643"/>
      <c r="Y353" s="643"/>
      <c r="Z353" s="643"/>
      <c r="AA353" s="643">
        <v>5</v>
      </c>
      <c r="AB353" s="643"/>
      <c r="AC353" s="641">
        <v>5</v>
      </c>
      <c r="AD353" s="641"/>
      <c r="AE353" s="643"/>
      <c r="AF353" s="643"/>
      <c r="AG353" s="643"/>
      <c r="AH353" s="643"/>
      <c r="AI353" s="641"/>
      <c r="AJ353" s="641"/>
      <c r="AK353" s="643"/>
      <c r="AL353" s="643"/>
      <c r="AM353" s="641"/>
    </row>
    <row r="354" spans="1:39">
      <c r="A354" s="648"/>
      <c r="B354" s="646" t="s">
        <v>209</v>
      </c>
      <c r="C354" s="624">
        <f t="shared" si="120"/>
        <v>0</v>
      </c>
      <c r="D354" s="625">
        <f t="shared" si="120"/>
        <v>0.20689655172413793</v>
      </c>
      <c r="E354" s="625">
        <f t="shared" si="120"/>
        <v>0</v>
      </c>
      <c r="F354" s="625">
        <f t="shared" si="120"/>
        <v>0</v>
      </c>
      <c r="G354" s="625">
        <f t="shared" si="120"/>
        <v>0</v>
      </c>
      <c r="H354" s="626">
        <f t="shared" si="120"/>
        <v>0</v>
      </c>
      <c r="I354" s="625">
        <f t="shared" si="120"/>
        <v>0</v>
      </c>
      <c r="J354" s="661">
        <f t="shared" si="120"/>
        <v>0.13834951456310679</v>
      </c>
      <c r="K354" s="625">
        <f t="shared" si="120"/>
        <v>0</v>
      </c>
      <c r="L354" s="625">
        <f t="shared" si="120"/>
        <v>0</v>
      </c>
      <c r="M354" s="625">
        <f t="shared" si="121"/>
        <v>0</v>
      </c>
      <c r="N354" s="625">
        <f t="shared" si="121"/>
        <v>0</v>
      </c>
      <c r="O354" s="626">
        <f t="shared" si="121"/>
        <v>0</v>
      </c>
      <c r="P354" s="653">
        <f t="shared" si="121"/>
        <v>0</v>
      </c>
      <c r="Q354" s="625">
        <f t="shared" si="121"/>
        <v>0</v>
      </c>
      <c r="R354" s="625">
        <f t="shared" si="121"/>
        <v>0</v>
      </c>
      <c r="S354" s="626">
        <f t="shared" si="121"/>
        <v>0</v>
      </c>
      <c r="T354" s="624">
        <f t="shared" si="121"/>
        <v>0</v>
      </c>
      <c r="U354" s="274"/>
      <c r="V354" s="641"/>
      <c r="W354" s="643">
        <v>114</v>
      </c>
      <c r="X354" s="643"/>
      <c r="Y354" s="643"/>
      <c r="Z354" s="643"/>
      <c r="AA354" s="643"/>
      <c r="AB354" s="643"/>
      <c r="AC354" s="641">
        <v>114</v>
      </c>
      <c r="AD354" s="641"/>
      <c r="AE354" s="643"/>
      <c r="AF354" s="643"/>
      <c r="AG354" s="643"/>
      <c r="AH354" s="643"/>
      <c r="AI354" s="641"/>
      <c r="AJ354" s="641"/>
      <c r="AK354" s="643"/>
      <c r="AL354" s="643"/>
      <c r="AM354" s="641"/>
    </row>
    <row r="355" spans="1:39">
      <c r="A355" s="649"/>
      <c r="B355" s="650" t="s">
        <v>59</v>
      </c>
      <c r="C355" s="577">
        <f t="shared" ref="C355:T355" si="122">SUM(C350:C354)</f>
        <v>0</v>
      </c>
      <c r="D355" s="578">
        <f t="shared" si="122"/>
        <v>1</v>
      </c>
      <c r="E355" s="578">
        <f t="shared" si="122"/>
        <v>0</v>
      </c>
      <c r="F355" s="578">
        <f t="shared" si="122"/>
        <v>0</v>
      </c>
      <c r="G355" s="578">
        <f t="shared" si="122"/>
        <v>1</v>
      </c>
      <c r="H355" s="579">
        <f t="shared" si="122"/>
        <v>1</v>
      </c>
      <c r="I355" s="578">
        <f t="shared" si="122"/>
        <v>0</v>
      </c>
      <c r="J355" s="589">
        <f t="shared" si="122"/>
        <v>1</v>
      </c>
      <c r="K355" s="578">
        <f t="shared" si="122"/>
        <v>0</v>
      </c>
      <c r="L355" s="578">
        <f t="shared" si="122"/>
        <v>0</v>
      </c>
      <c r="M355" s="578">
        <f t="shared" si="122"/>
        <v>0</v>
      </c>
      <c r="N355" s="578">
        <f t="shared" si="122"/>
        <v>0</v>
      </c>
      <c r="O355" s="579">
        <f t="shared" si="122"/>
        <v>0</v>
      </c>
      <c r="P355" s="654">
        <f t="shared" si="122"/>
        <v>0</v>
      </c>
      <c r="Q355" s="578">
        <f t="shared" si="122"/>
        <v>0</v>
      </c>
      <c r="R355" s="578">
        <f t="shared" si="122"/>
        <v>0</v>
      </c>
      <c r="S355" s="579">
        <f t="shared" si="122"/>
        <v>0</v>
      </c>
      <c r="T355" s="577">
        <f t="shared" si="122"/>
        <v>0</v>
      </c>
      <c r="U355" s="274"/>
      <c r="V355" s="644"/>
      <c r="W355" s="645">
        <v>551</v>
      </c>
      <c r="X355" s="645"/>
      <c r="Y355" s="645"/>
      <c r="Z355" s="645">
        <v>141</v>
      </c>
      <c r="AA355" s="645">
        <v>132</v>
      </c>
      <c r="AB355" s="645"/>
      <c r="AC355" s="644">
        <v>824</v>
      </c>
      <c r="AD355" s="644"/>
      <c r="AE355" s="645"/>
      <c r="AF355" s="645"/>
      <c r="AG355" s="645"/>
      <c r="AH355" s="645"/>
      <c r="AI355" s="644"/>
      <c r="AJ355" s="644"/>
      <c r="AK355" s="645"/>
      <c r="AL355" s="645"/>
      <c r="AM355" s="644"/>
    </row>
    <row r="356" spans="1:39">
      <c r="A356" s="646" t="s">
        <v>170</v>
      </c>
      <c r="B356" s="646" t="s">
        <v>53</v>
      </c>
      <c r="C356" s="613">
        <f t="shared" ref="C356:L360" si="123">IF(V$361&gt;0,(V356/V$361),0)</f>
        <v>0</v>
      </c>
      <c r="D356" s="614">
        <f t="shared" si="123"/>
        <v>0</v>
      </c>
      <c r="E356" s="614">
        <f t="shared" si="123"/>
        <v>0</v>
      </c>
      <c r="F356" s="614">
        <f t="shared" si="123"/>
        <v>0.46956521739130436</v>
      </c>
      <c r="G356" s="614">
        <f t="shared" si="123"/>
        <v>0</v>
      </c>
      <c r="H356" s="615">
        <f t="shared" si="123"/>
        <v>0</v>
      </c>
      <c r="I356" s="614">
        <f t="shared" si="123"/>
        <v>0</v>
      </c>
      <c r="J356" s="660">
        <f t="shared" si="123"/>
        <v>0.46956521739130436</v>
      </c>
      <c r="K356" s="614">
        <f t="shared" si="123"/>
        <v>0</v>
      </c>
      <c r="L356" s="614">
        <f t="shared" si="123"/>
        <v>0</v>
      </c>
      <c r="M356" s="614">
        <f t="shared" ref="M356:T360" si="124">IF(AF$361&gt;0,(AF356/AF$361),0)</f>
        <v>0</v>
      </c>
      <c r="N356" s="614">
        <f t="shared" si="124"/>
        <v>0</v>
      </c>
      <c r="O356" s="615">
        <f t="shared" si="124"/>
        <v>0</v>
      </c>
      <c r="P356" s="652">
        <f t="shared" si="124"/>
        <v>0</v>
      </c>
      <c r="Q356" s="614">
        <f t="shared" si="124"/>
        <v>0</v>
      </c>
      <c r="R356" s="614">
        <f t="shared" si="124"/>
        <v>0</v>
      </c>
      <c r="S356" s="615">
        <f t="shared" si="124"/>
        <v>0</v>
      </c>
      <c r="T356" s="613">
        <f t="shared" si="124"/>
        <v>0</v>
      </c>
      <c r="U356" s="274"/>
      <c r="V356" s="639"/>
      <c r="W356" s="640"/>
      <c r="X356" s="640"/>
      <c r="Y356" s="640">
        <v>108</v>
      </c>
      <c r="Z356" s="640"/>
      <c r="AA356" s="640"/>
      <c r="AB356" s="640"/>
      <c r="AC356" s="639">
        <v>108</v>
      </c>
      <c r="AD356" s="639"/>
      <c r="AE356" s="640"/>
      <c r="AF356" s="640"/>
      <c r="AG356" s="640"/>
      <c r="AH356" s="640"/>
      <c r="AI356" s="639"/>
      <c r="AJ356" s="639"/>
      <c r="AK356" s="640"/>
      <c r="AL356" s="640"/>
      <c r="AM356" s="639"/>
    </row>
    <row r="357" spans="1:39">
      <c r="A357" s="648"/>
      <c r="B357" s="646" t="s">
        <v>76</v>
      </c>
      <c r="C357" s="624">
        <f t="shared" si="123"/>
        <v>0</v>
      </c>
      <c r="D357" s="625">
        <f t="shared" si="123"/>
        <v>0</v>
      </c>
      <c r="E357" s="625">
        <f t="shared" si="123"/>
        <v>0</v>
      </c>
      <c r="F357" s="625">
        <f t="shared" si="123"/>
        <v>0.29565217391304349</v>
      </c>
      <c r="G357" s="625">
        <f t="shared" si="123"/>
        <v>0</v>
      </c>
      <c r="H357" s="626">
        <f t="shared" si="123"/>
        <v>0</v>
      </c>
      <c r="I357" s="625">
        <f t="shared" si="123"/>
        <v>0</v>
      </c>
      <c r="J357" s="661">
        <f t="shared" si="123"/>
        <v>0.29565217391304349</v>
      </c>
      <c r="K357" s="625">
        <f t="shared" si="123"/>
        <v>0</v>
      </c>
      <c r="L357" s="625">
        <f t="shared" si="123"/>
        <v>0</v>
      </c>
      <c r="M357" s="625">
        <f t="shared" si="124"/>
        <v>0</v>
      </c>
      <c r="N357" s="625">
        <f t="shared" si="124"/>
        <v>0</v>
      </c>
      <c r="O357" s="626">
        <f t="shared" si="124"/>
        <v>0</v>
      </c>
      <c r="P357" s="653">
        <f t="shared" si="124"/>
        <v>0</v>
      </c>
      <c r="Q357" s="625">
        <f t="shared" si="124"/>
        <v>0</v>
      </c>
      <c r="R357" s="625">
        <f t="shared" si="124"/>
        <v>0</v>
      </c>
      <c r="S357" s="626">
        <f t="shared" si="124"/>
        <v>0</v>
      </c>
      <c r="T357" s="624">
        <f t="shared" si="124"/>
        <v>0</v>
      </c>
      <c r="U357" s="274"/>
      <c r="V357" s="641"/>
      <c r="W357" s="642"/>
      <c r="X357" s="642"/>
      <c r="Y357" s="642">
        <v>68</v>
      </c>
      <c r="Z357" s="642"/>
      <c r="AA357" s="642"/>
      <c r="AB357" s="642"/>
      <c r="AC357" s="641">
        <v>68</v>
      </c>
      <c r="AD357" s="641"/>
      <c r="AE357" s="642"/>
      <c r="AF357" s="642"/>
      <c r="AG357" s="642"/>
      <c r="AH357" s="642"/>
      <c r="AI357" s="641"/>
      <c r="AJ357" s="641"/>
      <c r="AK357" s="642"/>
      <c r="AL357" s="642"/>
      <c r="AM357" s="641"/>
    </row>
    <row r="358" spans="1:39">
      <c r="A358" s="648"/>
      <c r="B358" s="646" t="s">
        <v>77</v>
      </c>
      <c r="C358" s="624">
        <f t="shared" si="123"/>
        <v>0</v>
      </c>
      <c r="D358" s="625">
        <f t="shared" si="123"/>
        <v>0</v>
      </c>
      <c r="E358" s="625">
        <f t="shared" si="123"/>
        <v>0</v>
      </c>
      <c r="F358" s="625">
        <f t="shared" si="123"/>
        <v>0.20869565217391303</v>
      </c>
      <c r="G358" s="625">
        <f t="shared" si="123"/>
        <v>0</v>
      </c>
      <c r="H358" s="626">
        <f t="shared" si="123"/>
        <v>0</v>
      </c>
      <c r="I358" s="625">
        <f t="shared" si="123"/>
        <v>0</v>
      </c>
      <c r="J358" s="661">
        <f t="shared" si="123"/>
        <v>0.20869565217391303</v>
      </c>
      <c r="K358" s="625">
        <f t="shared" si="123"/>
        <v>0</v>
      </c>
      <c r="L358" s="625">
        <f t="shared" si="123"/>
        <v>0</v>
      </c>
      <c r="M358" s="625">
        <f t="shared" si="124"/>
        <v>0</v>
      </c>
      <c r="N358" s="625">
        <f t="shared" si="124"/>
        <v>0</v>
      </c>
      <c r="O358" s="626">
        <f t="shared" si="124"/>
        <v>0</v>
      </c>
      <c r="P358" s="653">
        <f t="shared" si="124"/>
        <v>0</v>
      </c>
      <c r="Q358" s="625">
        <f t="shared" si="124"/>
        <v>0</v>
      </c>
      <c r="R358" s="625">
        <f t="shared" si="124"/>
        <v>0</v>
      </c>
      <c r="S358" s="626">
        <f t="shared" si="124"/>
        <v>0</v>
      </c>
      <c r="T358" s="624">
        <f t="shared" si="124"/>
        <v>0</v>
      </c>
      <c r="U358" s="274"/>
      <c r="V358" s="641"/>
      <c r="W358" s="642"/>
      <c r="X358" s="642"/>
      <c r="Y358" s="642">
        <v>48</v>
      </c>
      <c r="Z358" s="642"/>
      <c r="AA358" s="642"/>
      <c r="AB358" s="642"/>
      <c r="AC358" s="641">
        <v>48</v>
      </c>
      <c r="AD358" s="641"/>
      <c r="AE358" s="642"/>
      <c r="AF358" s="642"/>
      <c r="AG358" s="642"/>
      <c r="AH358" s="642"/>
      <c r="AI358" s="641"/>
      <c r="AJ358" s="641"/>
      <c r="AK358" s="642"/>
      <c r="AL358" s="642"/>
      <c r="AM358" s="641"/>
    </row>
    <row r="359" spans="1:39">
      <c r="A359" s="648"/>
      <c r="B359" s="646" t="s">
        <v>78</v>
      </c>
      <c r="C359" s="624">
        <f t="shared" si="123"/>
        <v>0</v>
      </c>
      <c r="D359" s="625">
        <f t="shared" si="123"/>
        <v>0</v>
      </c>
      <c r="E359" s="625">
        <f t="shared" si="123"/>
        <v>0</v>
      </c>
      <c r="F359" s="625">
        <f t="shared" si="123"/>
        <v>1.7391304347826087E-2</v>
      </c>
      <c r="G359" s="625">
        <f t="shared" si="123"/>
        <v>0</v>
      </c>
      <c r="H359" s="626">
        <f t="shared" si="123"/>
        <v>0</v>
      </c>
      <c r="I359" s="625">
        <f t="shared" si="123"/>
        <v>0</v>
      </c>
      <c r="J359" s="661">
        <f t="shared" si="123"/>
        <v>1.7391304347826087E-2</v>
      </c>
      <c r="K359" s="625">
        <f t="shared" si="123"/>
        <v>0</v>
      </c>
      <c r="L359" s="625">
        <f t="shared" si="123"/>
        <v>0</v>
      </c>
      <c r="M359" s="625">
        <f t="shared" si="124"/>
        <v>0</v>
      </c>
      <c r="N359" s="625">
        <f t="shared" si="124"/>
        <v>0</v>
      </c>
      <c r="O359" s="626">
        <f t="shared" si="124"/>
        <v>0</v>
      </c>
      <c r="P359" s="653">
        <f t="shared" si="124"/>
        <v>0</v>
      </c>
      <c r="Q359" s="625">
        <f t="shared" si="124"/>
        <v>0</v>
      </c>
      <c r="R359" s="625">
        <f t="shared" si="124"/>
        <v>0</v>
      </c>
      <c r="S359" s="626">
        <f t="shared" si="124"/>
        <v>0</v>
      </c>
      <c r="T359" s="624">
        <f t="shared" si="124"/>
        <v>0</v>
      </c>
      <c r="U359" s="274"/>
      <c r="V359" s="641"/>
      <c r="W359" s="642"/>
      <c r="X359" s="642"/>
      <c r="Y359" s="642">
        <v>4</v>
      </c>
      <c r="Z359" s="642"/>
      <c r="AA359" s="642"/>
      <c r="AB359" s="642"/>
      <c r="AC359" s="641">
        <v>4</v>
      </c>
      <c r="AD359" s="641"/>
      <c r="AE359" s="642"/>
      <c r="AF359" s="642"/>
      <c r="AG359" s="642"/>
      <c r="AH359" s="642"/>
      <c r="AI359" s="641"/>
      <c r="AJ359" s="641"/>
      <c r="AK359" s="642"/>
      <c r="AL359" s="642"/>
      <c r="AM359" s="641"/>
    </row>
    <row r="360" spans="1:39">
      <c r="A360" s="648"/>
      <c r="B360" s="646" t="s">
        <v>209</v>
      </c>
      <c r="C360" s="624">
        <f t="shared" si="123"/>
        <v>0</v>
      </c>
      <c r="D360" s="625">
        <f t="shared" si="123"/>
        <v>0</v>
      </c>
      <c r="E360" s="625">
        <f t="shared" si="123"/>
        <v>0</v>
      </c>
      <c r="F360" s="625">
        <f t="shared" si="123"/>
        <v>8.6956521739130436E-3</v>
      </c>
      <c r="G360" s="625">
        <f t="shared" si="123"/>
        <v>0</v>
      </c>
      <c r="H360" s="626">
        <f t="shared" si="123"/>
        <v>0</v>
      </c>
      <c r="I360" s="625">
        <f t="shared" si="123"/>
        <v>0</v>
      </c>
      <c r="J360" s="661">
        <f t="shared" si="123"/>
        <v>8.6956521739130436E-3</v>
      </c>
      <c r="K360" s="625">
        <f t="shared" si="123"/>
        <v>0</v>
      </c>
      <c r="L360" s="625">
        <f t="shared" si="123"/>
        <v>0</v>
      </c>
      <c r="M360" s="625">
        <f t="shared" si="124"/>
        <v>0</v>
      </c>
      <c r="N360" s="625">
        <f t="shared" si="124"/>
        <v>0</v>
      </c>
      <c r="O360" s="626">
        <f t="shared" si="124"/>
        <v>0</v>
      </c>
      <c r="P360" s="653">
        <f t="shared" si="124"/>
        <v>0</v>
      </c>
      <c r="Q360" s="625">
        <f t="shared" si="124"/>
        <v>0</v>
      </c>
      <c r="R360" s="625">
        <f t="shared" si="124"/>
        <v>0</v>
      </c>
      <c r="S360" s="626">
        <f t="shared" si="124"/>
        <v>0</v>
      </c>
      <c r="T360" s="624">
        <f t="shared" si="124"/>
        <v>0</v>
      </c>
      <c r="U360" s="274"/>
      <c r="V360" s="641"/>
      <c r="W360" s="642"/>
      <c r="X360" s="642"/>
      <c r="Y360" s="642">
        <v>2</v>
      </c>
      <c r="Z360" s="642"/>
      <c r="AA360" s="642"/>
      <c r="AB360" s="642"/>
      <c r="AC360" s="641">
        <v>2</v>
      </c>
      <c r="AD360" s="641"/>
      <c r="AE360" s="642"/>
      <c r="AF360" s="642"/>
      <c r="AG360" s="642"/>
      <c r="AH360" s="642"/>
      <c r="AI360" s="641"/>
      <c r="AJ360" s="641"/>
      <c r="AK360" s="642"/>
      <c r="AL360" s="642"/>
      <c r="AM360" s="641"/>
    </row>
    <row r="361" spans="1:39">
      <c r="A361" s="649"/>
      <c r="B361" s="650" t="s">
        <v>59</v>
      </c>
      <c r="C361" s="577">
        <f t="shared" ref="C361:T361" si="125">SUM(C356:C360)</f>
        <v>0</v>
      </c>
      <c r="D361" s="578">
        <f t="shared" si="125"/>
        <v>0</v>
      </c>
      <c r="E361" s="578">
        <f t="shared" si="125"/>
        <v>0</v>
      </c>
      <c r="F361" s="578">
        <f t="shared" si="125"/>
        <v>1</v>
      </c>
      <c r="G361" s="578">
        <f t="shared" si="125"/>
        <v>0</v>
      </c>
      <c r="H361" s="579">
        <f t="shared" si="125"/>
        <v>0</v>
      </c>
      <c r="I361" s="578">
        <f t="shared" si="125"/>
        <v>0</v>
      </c>
      <c r="J361" s="589">
        <f t="shared" si="125"/>
        <v>1</v>
      </c>
      <c r="K361" s="578">
        <f t="shared" si="125"/>
        <v>0</v>
      </c>
      <c r="L361" s="578">
        <f t="shared" si="125"/>
        <v>0</v>
      </c>
      <c r="M361" s="578">
        <f t="shared" si="125"/>
        <v>0</v>
      </c>
      <c r="N361" s="578">
        <f t="shared" si="125"/>
        <v>0</v>
      </c>
      <c r="O361" s="579">
        <f t="shared" si="125"/>
        <v>0</v>
      </c>
      <c r="P361" s="654">
        <f t="shared" si="125"/>
        <v>0</v>
      </c>
      <c r="Q361" s="578">
        <f t="shared" si="125"/>
        <v>0</v>
      </c>
      <c r="R361" s="578">
        <f t="shared" si="125"/>
        <v>0</v>
      </c>
      <c r="S361" s="579">
        <f t="shared" si="125"/>
        <v>0</v>
      </c>
      <c r="T361" s="577">
        <f t="shared" si="125"/>
        <v>0</v>
      </c>
      <c r="U361" s="274"/>
      <c r="V361" s="644"/>
      <c r="W361" s="645"/>
      <c r="X361" s="645"/>
      <c r="Y361" s="645">
        <v>230</v>
      </c>
      <c r="Z361" s="645"/>
      <c r="AA361" s="645"/>
      <c r="AB361" s="645"/>
      <c r="AC361" s="644">
        <v>230</v>
      </c>
      <c r="AD361" s="644"/>
      <c r="AE361" s="645"/>
      <c r="AF361" s="645"/>
      <c r="AG361" s="645"/>
      <c r="AH361" s="645"/>
      <c r="AI361" s="644"/>
      <c r="AJ361" s="644"/>
      <c r="AK361" s="645"/>
      <c r="AL361" s="645"/>
      <c r="AM361" s="644"/>
    </row>
    <row r="362" spans="1:39">
      <c r="U362" s="274"/>
    </row>
  </sheetData>
  <phoneticPr fontId="44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P134"/>
  <sheetViews>
    <sheetView workbookViewId="0"/>
  </sheetViews>
  <sheetFormatPr defaultColWidth="7.88671875" defaultRowHeight="15"/>
  <cols>
    <col min="1" max="1" width="5" style="80" customWidth="1"/>
    <col min="2" max="2" width="13.88671875" style="84" customWidth="1"/>
    <col min="3" max="3" width="5.5546875" style="80" bestFit="1" customWidth="1"/>
    <col min="4" max="4" width="5.21875" style="80" customWidth="1"/>
    <col min="5" max="5" width="5.109375" style="80" customWidth="1"/>
    <col min="6" max="6" width="4.6640625" style="80" customWidth="1"/>
    <col min="7" max="7" width="5.109375" style="80" customWidth="1"/>
    <col min="8" max="8" width="4.88671875" style="80" customWidth="1"/>
    <col min="9" max="9" width="4.6640625" style="80" customWidth="1"/>
    <col min="10" max="10" width="5.21875" style="80" customWidth="1"/>
    <col min="11" max="13" width="4.33203125" style="80" customWidth="1"/>
    <col min="14" max="15" width="5.109375" style="80" customWidth="1"/>
    <col min="16" max="17" width="4.33203125" style="80" customWidth="1"/>
    <col min="18" max="18" width="5" style="80" customWidth="1"/>
    <col min="19" max="19" width="4.6640625" style="84" customWidth="1"/>
    <col min="20" max="20" width="3.21875" style="213" customWidth="1"/>
    <col min="21" max="21" width="6.77734375" style="209" customWidth="1"/>
    <col min="22" max="22" width="6.5546875" style="209" customWidth="1"/>
    <col min="23" max="23" width="7" style="209" customWidth="1"/>
    <col min="24" max="24" width="6.44140625" style="209" customWidth="1"/>
    <col min="25" max="25" width="6.109375" style="209" customWidth="1"/>
    <col min="26" max="26" width="6.21875" style="209" customWidth="1"/>
    <col min="27" max="27" width="6.44140625" style="209" customWidth="1"/>
    <col min="28" max="28" width="4.77734375" style="209" customWidth="1"/>
    <col min="29" max="29" width="5.77734375" style="209" customWidth="1"/>
    <col min="30" max="30" width="6.109375" style="209" customWidth="1"/>
    <col min="31" max="31" width="5.77734375" style="209" customWidth="1"/>
    <col min="32" max="32" width="4.77734375" style="209" customWidth="1"/>
    <col min="33" max="33" width="6.88671875" style="209" customWidth="1"/>
    <col min="34" max="34" width="6" style="209" customWidth="1"/>
    <col min="35" max="35" width="5" style="209" customWidth="1"/>
    <col min="36" max="36" width="4.77734375" style="209" customWidth="1"/>
    <col min="37" max="37" width="5.6640625" style="214" customWidth="1"/>
    <col min="38" max="38" width="4.77734375" style="209" customWidth="1"/>
    <col min="39" max="39" width="7.88671875" style="209" customWidth="1"/>
    <col min="40" max="16384" width="7.88671875" style="80"/>
  </cols>
  <sheetData>
    <row r="1" spans="1:39" ht="18">
      <c r="A1" s="203" t="s">
        <v>49</v>
      </c>
      <c r="B1" s="204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4"/>
      <c r="T1" s="206" t="s">
        <v>86</v>
      </c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8"/>
    </row>
    <row r="2" spans="1:39" ht="18">
      <c r="A2" s="203" t="s">
        <v>118</v>
      </c>
      <c r="B2" s="204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4"/>
      <c r="T2" s="206" t="s">
        <v>86</v>
      </c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  <c r="AK2" s="208"/>
    </row>
    <row r="3" spans="1:39" s="55" customFormat="1" ht="18.75" customHeight="1">
      <c r="A3" s="143" t="s">
        <v>129</v>
      </c>
      <c r="B3" s="82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2"/>
      <c r="T3" s="210" t="s">
        <v>86</v>
      </c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2"/>
      <c r="AL3" s="64"/>
      <c r="AM3" s="64"/>
    </row>
    <row r="4" spans="1:39" s="55" customFormat="1" ht="15.75" customHeight="1">
      <c r="A4" s="81"/>
      <c r="B4" s="82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2"/>
      <c r="T4" s="210" t="s">
        <v>86</v>
      </c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2"/>
      <c r="AL4" s="64"/>
      <c r="AM4" s="64"/>
    </row>
    <row r="5" spans="1:39" ht="15.75" customHeight="1">
      <c r="A5" s="57"/>
      <c r="T5" s="213" t="s">
        <v>86</v>
      </c>
    </row>
    <row r="6" spans="1:39">
      <c r="A6" s="215"/>
      <c r="B6" s="60"/>
      <c r="C6" s="87" t="s">
        <v>95</v>
      </c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216"/>
      <c r="U6" s="87" t="s">
        <v>52</v>
      </c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</row>
    <row r="7" spans="1:39">
      <c r="A7" s="218"/>
      <c r="B7" s="219"/>
      <c r="C7" s="90" t="s">
        <v>96</v>
      </c>
      <c r="D7" s="91"/>
      <c r="E7" s="91"/>
      <c r="F7" s="91"/>
      <c r="G7" s="91"/>
      <c r="H7" s="91"/>
      <c r="I7" s="91"/>
      <c r="J7" s="92" t="s">
        <v>97</v>
      </c>
      <c r="K7" s="220"/>
      <c r="L7" s="220"/>
      <c r="M7" s="220"/>
      <c r="N7" s="221"/>
      <c r="O7" s="222"/>
      <c r="P7" s="92" t="s">
        <v>110</v>
      </c>
      <c r="Q7" s="220"/>
      <c r="R7" s="220"/>
      <c r="S7" s="91"/>
      <c r="U7" s="90" t="s">
        <v>96</v>
      </c>
      <c r="V7" s="223"/>
      <c r="W7" s="223"/>
      <c r="X7" s="223"/>
      <c r="Y7" s="223"/>
      <c r="Z7" s="223"/>
      <c r="AA7" s="223"/>
      <c r="AB7" s="224" t="s">
        <v>97</v>
      </c>
      <c r="AC7" s="225"/>
      <c r="AD7" s="225"/>
      <c r="AE7" s="225"/>
      <c r="AF7" s="226"/>
      <c r="AG7" s="227"/>
      <c r="AH7" s="224" t="s">
        <v>110</v>
      </c>
      <c r="AI7" s="225"/>
      <c r="AJ7" s="225"/>
      <c r="AK7" s="223"/>
    </row>
    <row r="8" spans="1:39" ht="54" customHeight="1">
      <c r="A8" s="228"/>
      <c r="B8" s="229"/>
      <c r="C8" s="230">
        <v>1</v>
      </c>
      <c r="D8" s="93">
        <v>2</v>
      </c>
      <c r="E8" s="93">
        <v>3</v>
      </c>
      <c r="F8" s="93">
        <v>4</v>
      </c>
      <c r="G8" s="93">
        <v>5</v>
      </c>
      <c r="H8" s="93">
        <v>6</v>
      </c>
      <c r="I8" s="231" t="s">
        <v>119</v>
      </c>
      <c r="J8" s="232" t="s">
        <v>111</v>
      </c>
      <c r="K8" s="93">
        <v>1</v>
      </c>
      <c r="L8" s="93">
        <v>2</v>
      </c>
      <c r="M8" s="93">
        <v>3</v>
      </c>
      <c r="N8" s="232" t="s">
        <v>120</v>
      </c>
      <c r="O8" s="231" t="s">
        <v>121</v>
      </c>
      <c r="P8" s="232">
        <v>1</v>
      </c>
      <c r="Q8" s="232">
        <v>2</v>
      </c>
      <c r="R8" s="232" t="s">
        <v>120</v>
      </c>
      <c r="S8" s="233" t="s">
        <v>113</v>
      </c>
      <c r="T8" s="234"/>
      <c r="U8" s="235">
        <v>1</v>
      </c>
      <c r="V8" s="236">
        <v>2</v>
      </c>
      <c r="W8" s="236">
        <v>3</v>
      </c>
      <c r="X8" s="236">
        <v>4</v>
      </c>
      <c r="Y8" s="236">
        <v>5</v>
      </c>
      <c r="Z8" s="236">
        <v>6</v>
      </c>
      <c r="AA8" s="341" t="s">
        <v>98</v>
      </c>
      <c r="AB8" s="237" t="s">
        <v>111</v>
      </c>
      <c r="AC8" s="236">
        <v>1</v>
      </c>
      <c r="AD8" s="236">
        <v>2</v>
      </c>
      <c r="AE8" s="236">
        <v>3</v>
      </c>
      <c r="AF8" s="237" t="s">
        <v>114</v>
      </c>
      <c r="AG8" s="341" t="s">
        <v>113</v>
      </c>
      <c r="AH8" s="237">
        <v>1</v>
      </c>
      <c r="AI8" s="237">
        <v>2</v>
      </c>
      <c r="AJ8" s="237" t="s">
        <v>114</v>
      </c>
      <c r="AK8" s="238" t="s">
        <v>113</v>
      </c>
    </row>
    <row r="9" spans="1:39" s="9" customFormat="1" ht="15.75" customHeight="1">
      <c r="A9" s="239" t="s">
        <v>2</v>
      </c>
      <c r="B9" s="240" t="s">
        <v>53</v>
      </c>
      <c r="C9" s="241">
        <f t="shared" ref="C9:I15" si="0">IF(U$15&gt;0,(U9/U$15),0)</f>
        <v>0.40943576736528281</v>
      </c>
      <c r="D9" s="242">
        <f t="shared" si="0"/>
        <v>0.31968822340082631</v>
      </c>
      <c r="E9" s="242">
        <f t="shared" si="0"/>
        <v>0.32075828587041044</v>
      </c>
      <c r="F9" s="242">
        <f t="shared" si="0"/>
        <v>0.30418978381480771</v>
      </c>
      <c r="G9" s="242">
        <f t="shared" si="0"/>
        <v>0.28487425366383212</v>
      </c>
      <c r="H9" s="243">
        <f t="shared" si="0"/>
        <v>0.25730367193781828</v>
      </c>
      <c r="I9" s="241">
        <f t="shared" si="0"/>
        <v>0.35142496450883465</v>
      </c>
      <c r="J9" s="282"/>
      <c r="K9" s="282"/>
      <c r="L9" s="282"/>
      <c r="M9" s="282"/>
      <c r="N9" s="282"/>
      <c r="O9" s="241">
        <f t="shared" ref="O9:O15" si="1">IF(AG$15&gt;0,(AG9/AG$15),0)</f>
        <v>0.18948524897405242</v>
      </c>
      <c r="P9" s="282"/>
      <c r="Q9" s="282"/>
      <c r="R9" s="282"/>
      <c r="S9" s="241">
        <f t="shared" ref="S9:S15" si="2">IF(AK$15&gt;0,(AK9/AK$15),0)</f>
        <v>0</v>
      </c>
      <c r="T9" s="391"/>
      <c r="U9" s="407">
        <v>36805</v>
      </c>
      <c r="V9" s="407">
        <v>10910</v>
      </c>
      <c r="W9" s="407">
        <v>15262</v>
      </c>
      <c r="X9" s="407">
        <v>7950</v>
      </c>
      <c r="Y9" s="407">
        <v>3149</v>
      </c>
      <c r="Z9" s="407">
        <v>1920</v>
      </c>
      <c r="AA9" s="392">
        <v>75996</v>
      </c>
      <c r="AB9" s="393"/>
      <c r="AC9" s="394"/>
      <c r="AD9" s="394"/>
      <c r="AE9" s="394"/>
      <c r="AF9" s="395"/>
      <c r="AG9" s="396">
        <v>5864</v>
      </c>
      <c r="AH9" s="393"/>
      <c r="AI9" s="393"/>
      <c r="AJ9" s="393"/>
      <c r="AK9" s="397"/>
      <c r="AL9" s="349"/>
      <c r="AM9" s="349"/>
    </row>
    <row r="10" spans="1:39" s="9" customFormat="1" ht="15.75" customHeight="1">
      <c r="A10" s="249"/>
      <c r="B10" s="239" t="s">
        <v>93</v>
      </c>
      <c r="C10" s="250">
        <f t="shared" si="0"/>
        <v>0.26091309571485782</v>
      </c>
      <c r="D10" s="251">
        <f t="shared" si="0"/>
        <v>0.28244498490930936</v>
      </c>
      <c r="E10" s="251">
        <f t="shared" si="0"/>
        <v>0.24465648052794184</v>
      </c>
      <c r="F10" s="251">
        <f t="shared" si="0"/>
        <v>0.25743256169887124</v>
      </c>
      <c r="G10" s="251">
        <f t="shared" si="0"/>
        <v>0.28062239913153608</v>
      </c>
      <c r="H10" s="252">
        <f t="shared" si="0"/>
        <v>0.27097292950951485</v>
      </c>
      <c r="I10" s="250">
        <f t="shared" si="0"/>
        <v>0.26166815413570343</v>
      </c>
      <c r="J10" s="283"/>
      <c r="K10" s="283"/>
      <c r="L10" s="283"/>
      <c r="M10" s="283"/>
      <c r="N10" s="283"/>
      <c r="O10" s="250">
        <f t="shared" si="1"/>
        <v>0.15329434193944486</v>
      </c>
      <c r="P10" s="283"/>
      <c r="Q10" s="283"/>
      <c r="R10" s="283"/>
      <c r="S10" s="250">
        <f t="shared" si="2"/>
        <v>0</v>
      </c>
      <c r="T10" s="391"/>
      <c r="U10" s="398">
        <v>23454</v>
      </c>
      <c r="V10" s="399">
        <v>9639</v>
      </c>
      <c r="W10" s="399">
        <v>11641</v>
      </c>
      <c r="X10" s="399">
        <v>6728</v>
      </c>
      <c r="Y10" s="399">
        <v>3102</v>
      </c>
      <c r="Z10" s="399">
        <v>2022</v>
      </c>
      <c r="AA10" s="392">
        <v>56586</v>
      </c>
      <c r="AB10" s="393"/>
      <c r="AC10" s="394"/>
      <c r="AD10" s="394"/>
      <c r="AE10" s="394"/>
      <c r="AF10" s="395"/>
      <c r="AG10" s="396">
        <v>4744</v>
      </c>
      <c r="AH10" s="393"/>
      <c r="AI10" s="393"/>
      <c r="AJ10" s="393"/>
      <c r="AK10" s="397"/>
      <c r="AL10" s="349"/>
      <c r="AM10" s="349"/>
    </row>
    <row r="11" spans="1:39" s="9" customFormat="1" ht="15.75" customHeight="1">
      <c r="A11" s="249"/>
      <c r="B11" s="239" t="s">
        <v>55</v>
      </c>
      <c r="C11" s="250">
        <f t="shared" si="0"/>
        <v>0.22735059849597294</v>
      </c>
      <c r="D11" s="251">
        <f t="shared" si="0"/>
        <v>0.26706127113429251</v>
      </c>
      <c r="E11" s="251">
        <f t="shared" si="0"/>
        <v>0.28595447762762449</v>
      </c>
      <c r="F11" s="251">
        <f t="shared" si="0"/>
        <v>0.30323321216759136</v>
      </c>
      <c r="G11" s="251">
        <f t="shared" si="0"/>
        <v>0.31337072552922018</v>
      </c>
      <c r="H11" s="252">
        <f t="shared" si="0"/>
        <v>0.30541409809702491</v>
      </c>
      <c r="I11" s="250">
        <f t="shared" si="0"/>
        <v>0.26277335133710367</v>
      </c>
      <c r="J11" s="283"/>
      <c r="K11" s="283"/>
      <c r="L11" s="283"/>
      <c r="M11" s="283"/>
      <c r="N11" s="283"/>
      <c r="O11" s="250">
        <f t="shared" si="1"/>
        <v>0.15639641968526835</v>
      </c>
      <c r="P11" s="283"/>
      <c r="Q11" s="283"/>
      <c r="R11" s="283"/>
      <c r="S11" s="250">
        <f t="shared" si="2"/>
        <v>0</v>
      </c>
      <c r="T11" s="391"/>
      <c r="U11" s="398">
        <v>20437</v>
      </c>
      <c r="V11" s="399">
        <v>9114</v>
      </c>
      <c r="W11" s="399">
        <v>13606</v>
      </c>
      <c r="X11" s="399">
        <v>7925</v>
      </c>
      <c r="Y11" s="399">
        <v>3464</v>
      </c>
      <c r="Z11" s="399">
        <v>2279</v>
      </c>
      <c r="AA11" s="392">
        <v>56825</v>
      </c>
      <c r="AB11" s="393"/>
      <c r="AC11" s="394"/>
      <c r="AD11" s="394"/>
      <c r="AE11" s="394"/>
      <c r="AF11" s="395"/>
      <c r="AG11" s="396">
        <v>4840</v>
      </c>
      <c r="AH11" s="393"/>
      <c r="AI11" s="393"/>
      <c r="AJ11" s="393"/>
      <c r="AK11" s="397"/>
      <c r="AL11" s="349"/>
      <c r="AM11" s="349"/>
    </row>
    <row r="12" spans="1:39" s="9" customFormat="1" ht="15.75" customHeight="1">
      <c r="A12" s="249"/>
      <c r="B12" s="239" t="s">
        <v>78</v>
      </c>
      <c r="C12" s="250">
        <f t="shared" si="0"/>
        <v>3.3362256930538868E-2</v>
      </c>
      <c r="D12" s="251">
        <f t="shared" si="0"/>
        <v>6.8420898408884462E-2</v>
      </c>
      <c r="E12" s="251">
        <f t="shared" si="0"/>
        <v>7.5891637418297214E-2</v>
      </c>
      <c r="F12" s="251">
        <f t="shared" si="0"/>
        <v>6.8069638415917358E-2</v>
      </c>
      <c r="G12" s="251">
        <f t="shared" si="0"/>
        <v>7.0562692238103852E-2</v>
      </c>
      <c r="H12" s="252">
        <f t="shared" si="0"/>
        <v>8.415974269632806E-2</v>
      </c>
      <c r="I12" s="250">
        <f t="shared" si="0"/>
        <v>5.6101474675261616E-2</v>
      </c>
      <c r="J12" s="283"/>
      <c r="K12" s="283"/>
      <c r="L12" s="283"/>
      <c r="M12" s="283"/>
      <c r="N12" s="283"/>
      <c r="O12" s="250">
        <f t="shared" si="1"/>
        <v>0.10249781885158497</v>
      </c>
      <c r="P12" s="283"/>
      <c r="Q12" s="283"/>
      <c r="R12" s="283"/>
      <c r="S12" s="250">
        <f t="shared" si="2"/>
        <v>0</v>
      </c>
      <c r="T12" s="391"/>
      <c r="U12" s="398">
        <v>2999</v>
      </c>
      <c r="V12" s="399">
        <v>2335</v>
      </c>
      <c r="W12" s="399">
        <v>3611</v>
      </c>
      <c r="X12" s="399">
        <v>1779</v>
      </c>
      <c r="Y12" s="399">
        <v>780</v>
      </c>
      <c r="Z12" s="399">
        <v>628</v>
      </c>
      <c r="AA12" s="392">
        <v>12132</v>
      </c>
      <c r="AB12" s="393"/>
      <c r="AC12" s="394"/>
      <c r="AD12" s="394"/>
      <c r="AE12" s="394"/>
      <c r="AF12" s="395"/>
      <c r="AG12" s="396">
        <v>3172</v>
      </c>
      <c r="AH12" s="393"/>
      <c r="AI12" s="393"/>
      <c r="AJ12" s="393"/>
      <c r="AK12" s="397"/>
      <c r="AL12" s="349"/>
      <c r="AM12" s="349"/>
    </row>
    <row r="13" spans="1:39" s="9" customFormat="1" ht="15.75" customHeight="1">
      <c r="A13" s="249"/>
      <c r="B13" s="239" t="s">
        <v>32</v>
      </c>
      <c r="C13" s="250">
        <f t="shared" si="0"/>
        <v>6.8938281493347575E-2</v>
      </c>
      <c r="D13" s="251">
        <f t="shared" si="0"/>
        <v>6.2384622146687371E-2</v>
      </c>
      <c r="E13" s="251">
        <f t="shared" si="0"/>
        <v>7.2739118555726026E-2</v>
      </c>
      <c r="F13" s="251">
        <f t="shared" si="0"/>
        <v>6.7074803902812327E-2</v>
      </c>
      <c r="G13" s="251">
        <f t="shared" si="0"/>
        <v>5.0569929437307759E-2</v>
      </c>
      <c r="H13" s="252">
        <f t="shared" si="0"/>
        <v>8.214955775931386E-2</v>
      </c>
      <c r="I13" s="250">
        <f t="shared" si="0"/>
        <v>6.8032055343096684E-2</v>
      </c>
      <c r="J13" s="283"/>
      <c r="K13" s="283"/>
      <c r="L13" s="283"/>
      <c r="M13" s="283"/>
      <c r="N13" s="285"/>
      <c r="O13" s="250">
        <f t="shared" si="1"/>
        <v>1.4702555982809319E-2</v>
      </c>
      <c r="P13" s="283"/>
      <c r="Q13" s="283"/>
      <c r="R13" s="283"/>
      <c r="S13" s="250">
        <f t="shared" si="2"/>
        <v>0</v>
      </c>
      <c r="T13" s="391"/>
      <c r="U13" s="398">
        <v>6197</v>
      </c>
      <c r="V13" s="399">
        <v>2129</v>
      </c>
      <c r="W13" s="399">
        <v>3461</v>
      </c>
      <c r="X13" s="399">
        <v>1753</v>
      </c>
      <c r="Y13" s="399">
        <v>559</v>
      </c>
      <c r="Z13" s="399">
        <v>613</v>
      </c>
      <c r="AA13" s="392">
        <v>14712</v>
      </c>
      <c r="AB13" s="393"/>
      <c r="AC13" s="394"/>
      <c r="AD13" s="394"/>
      <c r="AE13" s="394"/>
      <c r="AF13" s="395"/>
      <c r="AG13" s="396">
        <v>455</v>
      </c>
      <c r="AH13" s="393"/>
      <c r="AI13" s="393"/>
      <c r="AJ13" s="393"/>
      <c r="AK13" s="397"/>
      <c r="AL13" s="349"/>
      <c r="AM13" s="349"/>
    </row>
    <row r="14" spans="1:39" s="9" customFormat="1" ht="15.75" customHeight="1">
      <c r="A14" s="249"/>
      <c r="B14" s="239" t="s">
        <v>58</v>
      </c>
      <c r="C14" s="250">
        <f t="shared" si="0"/>
        <v>0</v>
      </c>
      <c r="D14" s="251">
        <f t="shared" si="0"/>
        <v>0</v>
      </c>
      <c r="E14" s="251">
        <f t="shared" si="0"/>
        <v>0</v>
      </c>
      <c r="F14" s="251">
        <f t="shared" si="0"/>
        <v>0</v>
      </c>
      <c r="G14" s="251">
        <f t="shared" si="0"/>
        <v>0</v>
      </c>
      <c r="H14" s="251">
        <f t="shared" si="0"/>
        <v>0</v>
      </c>
      <c r="I14" s="250">
        <f t="shared" si="0"/>
        <v>0</v>
      </c>
      <c r="J14" s="283"/>
      <c r="K14" s="283"/>
      <c r="L14" s="283"/>
      <c r="M14" s="283"/>
      <c r="N14" s="283"/>
      <c r="O14" s="250">
        <f t="shared" si="1"/>
        <v>0.38362361456684008</v>
      </c>
      <c r="P14" s="283"/>
      <c r="Q14" s="283"/>
      <c r="R14" s="283"/>
      <c r="S14" s="250">
        <f t="shared" si="2"/>
        <v>0</v>
      </c>
      <c r="T14" s="391"/>
      <c r="U14" s="398"/>
      <c r="V14" s="399"/>
      <c r="W14" s="399"/>
      <c r="X14" s="399"/>
      <c r="Y14" s="399"/>
      <c r="Z14" s="399"/>
      <c r="AA14" s="392"/>
      <c r="AB14" s="393"/>
      <c r="AC14" s="394"/>
      <c r="AD14" s="394"/>
      <c r="AE14" s="394"/>
      <c r="AF14" s="395"/>
      <c r="AG14" s="407">
        <v>11872</v>
      </c>
      <c r="AH14" s="393"/>
      <c r="AI14" s="393"/>
      <c r="AJ14" s="393"/>
      <c r="AK14" s="397"/>
      <c r="AL14" s="349"/>
      <c r="AM14" s="349"/>
    </row>
    <row r="15" spans="1:39" s="9" customFormat="1" ht="15.75" customHeight="1">
      <c r="A15" s="259"/>
      <c r="B15" s="260" t="s">
        <v>59</v>
      </c>
      <c r="C15" s="261">
        <f t="shared" si="0"/>
        <v>1</v>
      </c>
      <c r="D15" s="262">
        <f t="shared" si="0"/>
        <v>1</v>
      </c>
      <c r="E15" s="262">
        <f t="shared" si="0"/>
        <v>1</v>
      </c>
      <c r="F15" s="262">
        <f t="shared" si="0"/>
        <v>1</v>
      </c>
      <c r="G15" s="262">
        <f t="shared" si="0"/>
        <v>1</v>
      </c>
      <c r="H15" s="263">
        <f t="shared" si="0"/>
        <v>1</v>
      </c>
      <c r="I15" s="261">
        <f t="shared" si="0"/>
        <v>1</v>
      </c>
      <c r="J15" s="284"/>
      <c r="K15" s="284"/>
      <c r="L15" s="284"/>
      <c r="M15" s="284"/>
      <c r="N15" s="284"/>
      <c r="O15" s="261">
        <f t="shared" si="1"/>
        <v>1</v>
      </c>
      <c r="P15" s="284"/>
      <c r="Q15" s="284"/>
      <c r="R15" s="284"/>
      <c r="S15" s="261">
        <f t="shared" si="2"/>
        <v>0</v>
      </c>
      <c r="T15" s="391"/>
      <c r="U15" s="398">
        <v>89892</v>
      </c>
      <c r="V15" s="399">
        <v>34127</v>
      </c>
      <c r="W15" s="399">
        <v>47581</v>
      </c>
      <c r="X15" s="399">
        <v>26135</v>
      </c>
      <c r="Y15" s="399">
        <v>11054</v>
      </c>
      <c r="Z15" s="399">
        <v>7462</v>
      </c>
      <c r="AA15" s="392">
        <v>216251</v>
      </c>
      <c r="AB15" s="400"/>
      <c r="AC15" s="401"/>
      <c r="AD15" s="401"/>
      <c r="AE15" s="401"/>
      <c r="AF15" s="402"/>
      <c r="AG15" s="396">
        <v>30947</v>
      </c>
      <c r="AH15" s="400"/>
      <c r="AI15" s="400"/>
      <c r="AJ15" s="400"/>
      <c r="AK15" s="397"/>
      <c r="AL15" s="349"/>
      <c r="AM15" s="349"/>
    </row>
    <row r="16" spans="1:39" ht="13.9" customHeight="1">
      <c r="A16" s="239" t="s">
        <v>3</v>
      </c>
      <c r="B16" s="240" t="s">
        <v>53</v>
      </c>
      <c r="C16" s="241">
        <v>0.38291283359140177</v>
      </c>
      <c r="D16" s="242">
        <v>0.30286074001538782</v>
      </c>
      <c r="E16" s="242">
        <v>0.26420939211636885</v>
      </c>
      <c r="F16" s="242">
        <v>0.24202326325899051</v>
      </c>
      <c r="G16" s="242">
        <v>0.23810544363480496</v>
      </c>
      <c r="H16" s="243">
        <v>0.23834924199887703</v>
      </c>
      <c r="I16" s="241">
        <v>0.31059501532597839</v>
      </c>
      <c r="J16" s="241">
        <v>0.16014234875444841</v>
      </c>
      <c r="K16" s="242">
        <v>0.11367629489071615</v>
      </c>
      <c r="L16" s="242">
        <v>8.0275501721885759E-2</v>
      </c>
      <c r="M16" s="242">
        <v>0.10383784681840838</v>
      </c>
      <c r="N16" s="243">
        <v>0.22631293990254467</v>
      </c>
      <c r="O16" s="241">
        <v>0.10720007971825889</v>
      </c>
      <c r="P16" s="241">
        <v>1.8106995884773661E-2</v>
      </c>
      <c r="Q16" s="242">
        <v>4.1860465116279069E-2</v>
      </c>
      <c r="R16" s="243">
        <v>0</v>
      </c>
      <c r="S16" s="241">
        <v>2.0135917442738484E-2</v>
      </c>
      <c r="T16" s="244"/>
      <c r="U16" s="245">
        <v>12612</v>
      </c>
      <c r="V16" s="246">
        <v>4330</v>
      </c>
      <c r="W16" s="246">
        <v>5885</v>
      </c>
      <c r="X16" s="246">
        <v>2268</v>
      </c>
      <c r="Y16" s="246">
        <v>1111</v>
      </c>
      <c r="Z16" s="246">
        <v>849</v>
      </c>
      <c r="AA16" s="247">
        <v>27055</v>
      </c>
      <c r="AB16" s="245">
        <v>90</v>
      </c>
      <c r="AC16" s="246">
        <v>1941</v>
      </c>
      <c r="AD16" s="246">
        <v>1014</v>
      </c>
      <c r="AE16" s="246">
        <v>625</v>
      </c>
      <c r="AF16" s="248">
        <v>418</v>
      </c>
      <c r="AG16" s="248">
        <v>4088</v>
      </c>
      <c r="AH16" s="245">
        <v>44</v>
      </c>
      <c r="AI16" s="246">
        <v>36</v>
      </c>
      <c r="AJ16" s="248">
        <v>0</v>
      </c>
      <c r="AK16" s="245">
        <v>80</v>
      </c>
    </row>
    <row r="17" spans="1:39" ht="13.9" customHeight="1">
      <c r="A17" s="249"/>
      <c r="B17" s="239" t="s">
        <v>93</v>
      </c>
      <c r="C17" s="250">
        <v>0.27012174757871088</v>
      </c>
      <c r="D17" s="251">
        <v>0.28047842204658319</v>
      </c>
      <c r="E17" s="251">
        <v>0.24975307533447069</v>
      </c>
      <c r="F17" s="251">
        <v>0.25642940988154944</v>
      </c>
      <c r="G17" s="251">
        <v>0.26039434204886414</v>
      </c>
      <c r="H17" s="252">
        <v>0.24985962942167322</v>
      </c>
      <c r="I17" s="250">
        <v>0.26379051052154245</v>
      </c>
      <c r="J17" s="250">
        <v>0.21708185053380782</v>
      </c>
      <c r="K17" s="251">
        <v>0.10049898095438893</v>
      </c>
      <c r="L17" s="251">
        <v>8.2254680758421406E-2</v>
      </c>
      <c r="M17" s="251">
        <v>0.10367170626349892</v>
      </c>
      <c r="N17" s="252">
        <v>0.29723876556578233</v>
      </c>
      <c r="O17" s="250">
        <v>0.10620360148213025</v>
      </c>
      <c r="P17" s="250">
        <v>3.580246913580247E-2</v>
      </c>
      <c r="Q17" s="251">
        <v>8.6046511627906982E-2</v>
      </c>
      <c r="R17" s="252">
        <v>0</v>
      </c>
      <c r="S17" s="250">
        <v>4.05235338535112E-2</v>
      </c>
      <c r="T17" s="253"/>
      <c r="U17" s="254">
        <v>8897</v>
      </c>
      <c r="V17" s="255">
        <v>4010</v>
      </c>
      <c r="W17" s="255">
        <v>5563</v>
      </c>
      <c r="X17" s="255">
        <v>2403</v>
      </c>
      <c r="Y17" s="255">
        <v>1215</v>
      </c>
      <c r="Z17" s="255">
        <v>890</v>
      </c>
      <c r="AA17" s="256">
        <v>22978</v>
      </c>
      <c r="AB17" s="254">
        <v>122</v>
      </c>
      <c r="AC17" s="255">
        <v>1716</v>
      </c>
      <c r="AD17" s="255">
        <v>1039</v>
      </c>
      <c r="AE17" s="255">
        <v>624</v>
      </c>
      <c r="AF17" s="257">
        <v>549</v>
      </c>
      <c r="AG17" s="257">
        <v>4050</v>
      </c>
      <c r="AH17" s="254">
        <v>87</v>
      </c>
      <c r="AI17" s="255">
        <v>74</v>
      </c>
      <c r="AJ17" s="257">
        <v>0</v>
      </c>
      <c r="AK17" s="254">
        <v>161</v>
      </c>
    </row>
    <row r="18" spans="1:39" ht="13.9" customHeight="1">
      <c r="A18" s="249"/>
      <c r="B18" s="239" t="s">
        <v>55</v>
      </c>
      <c r="C18" s="250">
        <v>0.23147220451164344</v>
      </c>
      <c r="D18" s="251">
        <v>0.25711687766664337</v>
      </c>
      <c r="E18" s="251">
        <v>0.30385202478225731</v>
      </c>
      <c r="F18" s="251">
        <v>0.32600576245864904</v>
      </c>
      <c r="G18" s="251">
        <v>0.34419202743249033</v>
      </c>
      <c r="H18" s="252">
        <v>0.30544637843907918</v>
      </c>
      <c r="I18" s="250">
        <v>0.27342234263606829</v>
      </c>
      <c r="J18" s="250">
        <v>0.42170818505338076</v>
      </c>
      <c r="K18" s="251">
        <v>7.3851523883149445E-2</v>
      </c>
      <c r="L18" s="251">
        <v>6.6975418596366229E-2</v>
      </c>
      <c r="M18" s="251">
        <v>8.921747798637647E-2</v>
      </c>
      <c r="N18" s="252">
        <v>0.31239848402815379</v>
      </c>
      <c r="O18" s="250">
        <v>9.0679519487705293E-2</v>
      </c>
      <c r="P18" s="250">
        <v>2.8395061728395062E-2</v>
      </c>
      <c r="Q18" s="251">
        <v>9.5348837209302331E-2</v>
      </c>
      <c r="R18" s="252">
        <v>0</v>
      </c>
      <c r="S18" s="250">
        <v>3.8006544173168892E-2</v>
      </c>
      <c r="T18" s="253"/>
      <c r="U18" s="254">
        <v>7624</v>
      </c>
      <c r="V18" s="255">
        <v>3676</v>
      </c>
      <c r="W18" s="255">
        <v>6768</v>
      </c>
      <c r="X18" s="255">
        <v>3055</v>
      </c>
      <c r="Y18" s="255">
        <v>1606</v>
      </c>
      <c r="Z18" s="255">
        <v>1088</v>
      </c>
      <c r="AA18" s="256">
        <v>23817</v>
      </c>
      <c r="AB18" s="254">
        <v>237</v>
      </c>
      <c r="AC18" s="255">
        <v>1261</v>
      </c>
      <c r="AD18" s="255">
        <v>846</v>
      </c>
      <c r="AE18" s="255">
        <v>537</v>
      </c>
      <c r="AF18" s="257">
        <v>577</v>
      </c>
      <c r="AG18" s="257">
        <v>3458</v>
      </c>
      <c r="AH18" s="254">
        <v>69</v>
      </c>
      <c r="AI18" s="255">
        <v>82</v>
      </c>
      <c r="AJ18" s="257">
        <v>0</v>
      </c>
      <c r="AK18" s="254">
        <v>151</v>
      </c>
    </row>
    <row r="19" spans="1:39" ht="13.9" customHeight="1">
      <c r="A19" s="249"/>
      <c r="B19" s="239" t="s">
        <v>78</v>
      </c>
      <c r="C19" s="250">
        <v>5.2403072532410361E-2</v>
      </c>
      <c r="D19" s="251">
        <v>9.5614464572987334E-2</v>
      </c>
      <c r="E19" s="251">
        <v>9.2933465026488277E-2</v>
      </c>
      <c r="F19" s="251">
        <v>0.11482232419165511</v>
      </c>
      <c r="G19" s="251">
        <v>0.13137591084440634</v>
      </c>
      <c r="H19" s="252">
        <v>0.12380685008422235</v>
      </c>
      <c r="I19" s="250">
        <v>8.372461455451341E-2</v>
      </c>
      <c r="J19" s="250">
        <v>0.1512455516014235</v>
      </c>
      <c r="K19" s="251">
        <v>0.1912174666760372</v>
      </c>
      <c r="L19" s="251">
        <v>0.1166132288326802</v>
      </c>
      <c r="M19" s="251">
        <v>0.12576840006645623</v>
      </c>
      <c r="N19" s="252">
        <v>0.16242555495397942</v>
      </c>
      <c r="O19" s="250">
        <v>0.15419189548516687</v>
      </c>
      <c r="P19" s="250">
        <v>5.3497942386831275E-2</v>
      </c>
      <c r="Q19" s="251">
        <v>0.14883720930232558</v>
      </c>
      <c r="R19" s="252">
        <v>0</v>
      </c>
      <c r="S19" s="250">
        <v>6.4938333752831617E-2</v>
      </c>
      <c r="T19" s="253"/>
      <c r="U19" s="254">
        <v>1726</v>
      </c>
      <c r="V19" s="255">
        <v>1367</v>
      </c>
      <c r="W19" s="255">
        <v>2070</v>
      </c>
      <c r="X19" s="255">
        <v>1076</v>
      </c>
      <c r="Y19" s="255">
        <v>613</v>
      </c>
      <c r="Z19" s="255">
        <v>441</v>
      </c>
      <c r="AA19" s="256">
        <v>7293</v>
      </c>
      <c r="AB19" s="254">
        <v>85</v>
      </c>
      <c r="AC19" s="255">
        <v>3265</v>
      </c>
      <c r="AD19" s="255">
        <v>1473</v>
      </c>
      <c r="AE19" s="255">
        <v>757</v>
      </c>
      <c r="AF19" s="257">
        <v>300</v>
      </c>
      <c r="AG19" s="257">
        <v>5880</v>
      </c>
      <c r="AH19" s="254">
        <v>130</v>
      </c>
      <c r="AI19" s="255">
        <v>128</v>
      </c>
      <c r="AJ19" s="257">
        <v>0</v>
      </c>
      <c r="AK19" s="254">
        <v>258</v>
      </c>
    </row>
    <row r="20" spans="1:39" ht="13.9" customHeight="1">
      <c r="A20" s="249"/>
      <c r="B20" s="239" t="s">
        <v>32</v>
      </c>
      <c r="C20" s="250">
        <v>6.3090141785833567E-2</v>
      </c>
      <c r="D20" s="251">
        <v>6.3929495698398259E-2</v>
      </c>
      <c r="E20" s="251">
        <v>8.925204274041483E-2</v>
      </c>
      <c r="F20" s="251">
        <v>6.0719240209155909E-2</v>
      </c>
      <c r="G20" s="251">
        <v>2.5932276039434207E-2</v>
      </c>
      <c r="H20" s="252">
        <v>8.2537900056148236E-2</v>
      </c>
      <c r="I20" s="250">
        <v>6.8467516961897443E-2</v>
      </c>
      <c r="J20" s="250">
        <v>4.9822064056939501E-2</v>
      </c>
      <c r="K20" s="251">
        <v>4.8843910323986224E-2</v>
      </c>
      <c r="L20" s="251">
        <v>6.111704864822072E-2</v>
      </c>
      <c r="M20" s="251">
        <v>4.2199700947001165E-2</v>
      </c>
      <c r="N20" s="258">
        <v>1.6242555495397943E-3</v>
      </c>
      <c r="O20" s="250">
        <v>4.9587903803137851E-2</v>
      </c>
      <c r="P20" s="250">
        <v>0</v>
      </c>
      <c r="Q20" s="251">
        <v>0</v>
      </c>
      <c r="R20" s="252">
        <v>0</v>
      </c>
      <c r="S20" s="250">
        <v>0</v>
      </c>
      <c r="T20" s="253"/>
      <c r="U20" s="254">
        <v>2078</v>
      </c>
      <c r="V20" s="255">
        <v>914</v>
      </c>
      <c r="W20" s="255">
        <v>1988</v>
      </c>
      <c r="X20" s="255">
        <v>569</v>
      </c>
      <c r="Y20" s="255">
        <v>121</v>
      </c>
      <c r="Z20" s="255">
        <v>294</v>
      </c>
      <c r="AA20" s="256">
        <v>5964</v>
      </c>
      <c r="AB20" s="254">
        <v>28</v>
      </c>
      <c r="AC20" s="255">
        <v>834</v>
      </c>
      <c r="AD20" s="255">
        <v>772</v>
      </c>
      <c r="AE20" s="255">
        <v>254</v>
      </c>
      <c r="AF20" s="257">
        <v>3</v>
      </c>
      <c r="AG20" s="257">
        <v>1891</v>
      </c>
      <c r="AH20" s="254">
        <v>0</v>
      </c>
      <c r="AI20" s="255">
        <v>0</v>
      </c>
      <c r="AJ20" s="257">
        <v>0</v>
      </c>
      <c r="AK20" s="254">
        <v>0</v>
      </c>
    </row>
    <row r="21" spans="1:39" ht="13.9" customHeight="1">
      <c r="A21" s="249"/>
      <c r="B21" s="239" t="s">
        <v>58</v>
      </c>
      <c r="C21" s="250">
        <v>0</v>
      </c>
      <c r="D21" s="251">
        <v>0</v>
      </c>
      <c r="E21" s="251">
        <v>0</v>
      </c>
      <c r="F21" s="251">
        <v>0</v>
      </c>
      <c r="G21" s="251">
        <v>0</v>
      </c>
      <c r="H21" s="252">
        <v>0</v>
      </c>
      <c r="I21" s="250">
        <v>0</v>
      </c>
      <c r="J21" s="250">
        <v>0</v>
      </c>
      <c r="K21" s="251">
        <v>0.4719118232717221</v>
      </c>
      <c r="L21" s="251">
        <v>0.59276412144242563</v>
      </c>
      <c r="M21" s="251">
        <v>0.53530486791825882</v>
      </c>
      <c r="N21" s="252">
        <v>0</v>
      </c>
      <c r="O21" s="250">
        <v>0.49213700002360072</v>
      </c>
      <c r="P21" s="250">
        <v>0.86419753086419748</v>
      </c>
      <c r="Q21" s="251">
        <v>0.62790697674418605</v>
      </c>
      <c r="R21" s="252">
        <v>1</v>
      </c>
      <c r="S21" s="250">
        <v>0.83639567077774979</v>
      </c>
      <c r="T21" s="253"/>
      <c r="U21" s="254">
        <v>0</v>
      </c>
      <c r="V21" s="255">
        <v>0</v>
      </c>
      <c r="W21" s="255">
        <v>0</v>
      </c>
      <c r="X21" s="255">
        <v>0</v>
      </c>
      <c r="Y21" s="255">
        <v>0</v>
      </c>
      <c r="Z21" s="255">
        <v>0</v>
      </c>
      <c r="AA21" s="256">
        <v>0</v>
      </c>
      <c r="AB21" s="254">
        <v>0</v>
      </c>
      <c r="AC21" s="255">
        <v>8057.8</v>
      </c>
      <c r="AD21" s="255">
        <v>7487.5</v>
      </c>
      <c r="AE21" s="255">
        <v>3222</v>
      </c>
      <c r="AF21" s="257">
        <v>0</v>
      </c>
      <c r="AG21" s="257">
        <v>18767.3</v>
      </c>
      <c r="AH21" s="254">
        <v>2100</v>
      </c>
      <c r="AI21" s="255">
        <v>540</v>
      </c>
      <c r="AJ21" s="257">
        <v>683</v>
      </c>
      <c r="AK21" s="254">
        <v>3323</v>
      </c>
    </row>
    <row r="22" spans="1:39" s="271" customFormat="1" ht="23.45" customHeight="1">
      <c r="A22" s="259"/>
      <c r="B22" s="260" t="s">
        <v>59</v>
      </c>
      <c r="C22" s="261">
        <v>1</v>
      </c>
      <c r="D22" s="262">
        <v>1</v>
      </c>
      <c r="E22" s="262">
        <v>1</v>
      </c>
      <c r="F22" s="262">
        <v>1</v>
      </c>
      <c r="G22" s="262">
        <v>1</v>
      </c>
      <c r="H22" s="263">
        <v>1</v>
      </c>
      <c r="I22" s="261">
        <v>1</v>
      </c>
      <c r="J22" s="261">
        <v>1</v>
      </c>
      <c r="K22" s="262">
        <v>1</v>
      </c>
      <c r="L22" s="262">
        <v>1</v>
      </c>
      <c r="M22" s="262">
        <v>1</v>
      </c>
      <c r="N22" s="263">
        <v>1</v>
      </c>
      <c r="O22" s="261">
        <v>1</v>
      </c>
      <c r="P22" s="261">
        <v>1</v>
      </c>
      <c r="Q22" s="262">
        <v>1</v>
      </c>
      <c r="R22" s="263">
        <v>1</v>
      </c>
      <c r="S22" s="261">
        <v>1</v>
      </c>
      <c r="T22" s="264"/>
      <c r="U22" s="265">
        <v>32937</v>
      </c>
      <c r="V22" s="266">
        <v>14297</v>
      </c>
      <c r="W22" s="266">
        <v>22274</v>
      </c>
      <c r="X22" s="266">
        <v>9371</v>
      </c>
      <c r="Y22" s="266">
        <v>4666</v>
      </c>
      <c r="Z22" s="266">
        <v>3562</v>
      </c>
      <c r="AA22" s="267">
        <v>87107</v>
      </c>
      <c r="AB22" s="265">
        <v>562</v>
      </c>
      <c r="AC22" s="266">
        <v>17074.8</v>
      </c>
      <c r="AD22" s="266">
        <v>12631.5</v>
      </c>
      <c r="AE22" s="266">
        <v>6019</v>
      </c>
      <c r="AF22" s="268">
        <v>1847</v>
      </c>
      <c r="AG22" s="268">
        <v>38134.300000000003</v>
      </c>
      <c r="AH22" s="265">
        <v>2430</v>
      </c>
      <c r="AI22" s="266">
        <v>860</v>
      </c>
      <c r="AJ22" s="268">
        <v>683</v>
      </c>
      <c r="AK22" s="265">
        <v>3973</v>
      </c>
      <c r="AL22" s="270"/>
      <c r="AM22" s="270"/>
    </row>
    <row r="23" spans="1:39" ht="13.5" customHeight="1">
      <c r="A23" s="249" t="s">
        <v>4</v>
      </c>
      <c r="B23" s="239" t="s">
        <v>53</v>
      </c>
      <c r="C23" s="241">
        <v>0.36208125445473982</v>
      </c>
      <c r="D23" s="242">
        <v>0.28158844765342961</v>
      </c>
      <c r="E23" s="242">
        <v>0.22389463781749766</v>
      </c>
      <c r="F23" s="242">
        <v>0.22727272727272727</v>
      </c>
      <c r="G23" s="242">
        <v>0.25136612021857924</v>
      </c>
      <c r="H23" s="243">
        <v>0.35384615384615387</v>
      </c>
      <c r="I23" s="241">
        <v>0.30231256993659084</v>
      </c>
      <c r="J23" s="241">
        <v>0</v>
      </c>
      <c r="K23" s="242">
        <v>0</v>
      </c>
      <c r="L23" s="242">
        <v>0</v>
      </c>
      <c r="M23" s="242">
        <v>0</v>
      </c>
      <c r="N23" s="243">
        <v>0</v>
      </c>
      <c r="O23" s="241">
        <v>0</v>
      </c>
      <c r="P23" s="241">
        <v>0</v>
      </c>
      <c r="Q23" s="242">
        <v>0</v>
      </c>
      <c r="R23" s="243">
        <v>0</v>
      </c>
      <c r="S23" s="241">
        <v>0</v>
      </c>
      <c r="T23" s="253"/>
      <c r="U23" s="245">
        <v>1016</v>
      </c>
      <c r="V23" s="246">
        <v>78</v>
      </c>
      <c r="W23" s="246">
        <v>238</v>
      </c>
      <c r="X23" s="246">
        <v>220</v>
      </c>
      <c r="Y23" s="246">
        <v>46</v>
      </c>
      <c r="Z23" s="246">
        <v>23</v>
      </c>
      <c r="AA23" s="247">
        <v>1621</v>
      </c>
      <c r="AB23" s="245">
        <v>0</v>
      </c>
      <c r="AC23" s="246">
        <v>0</v>
      </c>
      <c r="AD23" s="246">
        <v>0</v>
      </c>
      <c r="AE23" s="246">
        <v>0</v>
      </c>
      <c r="AF23" s="248">
        <v>0</v>
      </c>
      <c r="AG23" s="248">
        <v>0</v>
      </c>
      <c r="AH23" s="245">
        <v>0</v>
      </c>
      <c r="AI23" s="246">
        <v>0</v>
      </c>
      <c r="AJ23" s="248">
        <v>0</v>
      </c>
      <c r="AK23" s="245">
        <v>0</v>
      </c>
    </row>
    <row r="24" spans="1:39" ht="13.9" customHeight="1">
      <c r="A24" s="249"/>
      <c r="B24" s="239" t="s">
        <v>93</v>
      </c>
      <c r="C24" s="250">
        <v>0.29330007127583752</v>
      </c>
      <c r="D24" s="251">
        <v>0.29241877256317689</v>
      </c>
      <c r="E24" s="251">
        <v>0.22107243650047037</v>
      </c>
      <c r="F24" s="251">
        <v>0.28099173553719009</v>
      </c>
      <c r="G24" s="251">
        <v>0.32240437158469948</v>
      </c>
      <c r="H24" s="252">
        <v>0.24615384615384617</v>
      </c>
      <c r="I24" s="250">
        <v>0.27713539723983588</v>
      </c>
      <c r="J24" s="250">
        <v>0</v>
      </c>
      <c r="K24" s="251">
        <v>0</v>
      </c>
      <c r="L24" s="251">
        <v>0</v>
      </c>
      <c r="M24" s="251">
        <v>0</v>
      </c>
      <c r="N24" s="252">
        <v>0</v>
      </c>
      <c r="O24" s="250">
        <v>0</v>
      </c>
      <c r="P24" s="250">
        <v>0</v>
      </c>
      <c r="Q24" s="251">
        <v>0</v>
      </c>
      <c r="R24" s="252">
        <v>0</v>
      </c>
      <c r="S24" s="250">
        <v>0</v>
      </c>
      <c r="T24" s="253"/>
      <c r="U24" s="254">
        <v>823</v>
      </c>
      <c r="V24" s="255">
        <v>81</v>
      </c>
      <c r="W24" s="255">
        <v>235</v>
      </c>
      <c r="X24" s="255">
        <v>272</v>
      </c>
      <c r="Y24" s="255">
        <v>59</v>
      </c>
      <c r="Z24" s="255">
        <v>16</v>
      </c>
      <c r="AA24" s="256">
        <v>1486</v>
      </c>
      <c r="AB24" s="254">
        <v>0</v>
      </c>
      <c r="AC24" s="255">
        <v>0</v>
      </c>
      <c r="AD24" s="255">
        <v>0</v>
      </c>
      <c r="AE24" s="255">
        <v>0</v>
      </c>
      <c r="AF24" s="257">
        <v>0</v>
      </c>
      <c r="AG24" s="257">
        <v>0</v>
      </c>
      <c r="AH24" s="254">
        <v>0</v>
      </c>
      <c r="AI24" s="255">
        <v>0</v>
      </c>
      <c r="AJ24" s="257">
        <v>0</v>
      </c>
      <c r="AK24" s="254">
        <v>0</v>
      </c>
    </row>
    <row r="25" spans="1:39" ht="13.9" customHeight="1">
      <c r="A25" s="249"/>
      <c r="B25" s="239" t="s">
        <v>55</v>
      </c>
      <c r="C25" s="250">
        <v>0.24946543121881681</v>
      </c>
      <c r="D25" s="251">
        <v>0.31046931407942241</v>
      </c>
      <c r="E25" s="251">
        <v>0.35559736594543745</v>
      </c>
      <c r="F25" s="251">
        <v>0.35640495867768596</v>
      </c>
      <c r="G25" s="251">
        <v>0.31147540983606559</v>
      </c>
      <c r="H25" s="252">
        <v>0.4</v>
      </c>
      <c r="I25" s="250">
        <v>0.29690414024617678</v>
      </c>
      <c r="J25" s="250">
        <v>0</v>
      </c>
      <c r="K25" s="251">
        <v>0</v>
      </c>
      <c r="L25" s="251">
        <v>0</v>
      </c>
      <c r="M25" s="251">
        <v>0</v>
      </c>
      <c r="N25" s="252">
        <v>0</v>
      </c>
      <c r="O25" s="250">
        <v>0</v>
      </c>
      <c r="P25" s="250">
        <v>0</v>
      </c>
      <c r="Q25" s="251">
        <v>0</v>
      </c>
      <c r="R25" s="252">
        <v>0</v>
      </c>
      <c r="S25" s="250">
        <v>0</v>
      </c>
      <c r="T25" s="253"/>
      <c r="U25" s="254">
        <v>700</v>
      </c>
      <c r="V25" s="255">
        <v>86</v>
      </c>
      <c r="W25" s="255">
        <v>378</v>
      </c>
      <c r="X25" s="255">
        <v>345</v>
      </c>
      <c r="Y25" s="255">
        <v>57</v>
      </c>
      <c r="Z25" s="255">
        <v>26</v>
      </c>
      <c r="AA25" s="256">
        <v>1592</v>
      </c>
      <c r="AB25" s="254">
        <v>0</v>
      </c>
      <c r="AC25" s="255">
        <v>0</v>
      </c>
      <c r="AD25" s="255">
        <v>0</v>
      </c>
      <c r="AE25" s="255">
        <v>0</v>
      </c>
      <c r="AF25" s="257">
        <v>0</v>
      </c>
      <c r="AG25" s="257">
        <v>0</v>
      </c>
      <c r="AH25" s="254">
        <v>0</v>
      </c>
      <c r="AI25" s="255">
        <v>0</v>
      </c>
      <c r="AJ25" s="257">
        <v>0</v>
      </c>
      <c r="AK25" s="254">
        <v>0</v>
      </c>
    </row>
    <row r="26" spans="1:39" ht="13.9" customHeight="1">
      <c r="A26" s="249"/>
      <c r="B26" s="239" t="s">
        <v>78</v>
      </c>
      <c r="C26" s="250">
        <v>8.125445473984319E-2</v>
      </c>
      <c r="D26" s="251">
        <v>1.444043321299639E-2</v>
      </c>
      <c r="E26" s="251">
        <v>0.19849482596425211</v>
      </c>
      <c r="F26" s="251">
        <v>0.12913223140495866</v>
      </c>
      <c r="G26" s="251">
        <v>7.650273224043716E-2</v>
      </c>
      <c r="H26" s="252">
        <v>0</v>
      </c>
      <c r="I26" s="250">
        <v>0.10854158895934353</v>
      </c>
      <c r="J26" s="250">
        <v>0</v>
      </c>
      <c r="K26" s="251">
        <v>0</v>
      </c>
      <c r="L26" s="251">
        <v>0</v>
      </c>
      <c r="M26" s="251">
        <v>0</v>
      </c>
      <c r="N26" s="252">
        <v>0</v>
      </c>
      <c r="O26" s="250">
        <v>0</v>
      </c>
      <c r="P26" s="250">
        <v>0</v>
      </c>
      <c r="Q26" s="251">
        <v>0</v>
      </c>
      <c r="R26" s="252">
        <v>0</v>
      </c>
      <c r="S26" s="250">
        <v>0</v>
      </c>
      <c r="T26" s="253"/>
      <c r="U26" s="254">
        <v>228</v>
      </c>
      <c r="V26" s="255">
        <v>4</v>
      </c>
      <c r="W26" s="255">
        <v>211</v>
      </c>
      <c r="X26" s="255">
        <v>125</v>
      </c>
      <c r="Y26" s="255">
        <v>14</v>
      </c>
      <c r="Z26" s="255">
        <v>0</v>
      </c>
      <c r="AA26" s="256">
        <v>582</v>
      </c>
      <c r="AB26" s="254">
        <v>0</v>
      </c>
      <c r="AC26" s="255">
        <v>0</v>
      </c>
      <c r="AD26" s="255">
        <v>0</v>
      </c>
      <c r="AE26" s="255">
        <v>0</v>
      </c>
      <c r="AF26" s="257">
        <v>0</v>
      </c>
      <c r="AG26" s="257">
        <v>0</v>
      </c>
      <c r="AH26" s="254">
        <v>0</v>
      </c>
      <c r="AI26" s="255">
        <v>0</v>
      </c>
      <c r="AJ26" s="257">
        <v>0</v>
      </c>
      <c r="AK26" s="254">
        <v>0</v>
      </c>
    </row>
    <row r="27" spans="1:39" ht="13.9" customHeight="1">
      <c r="A27" s="249"/>
      <c r="B27" s="239" t="s">
        <v>32</v>
      </c>
      <c r="C27" s="250">
        <v>1.3898788310762652E-2</v>
      </c>
      <c r="D27" s="251">
        <v>0.10108303249097472</v>
      </c>
      <c r="E27" s="273">
        <v>9.4073377234242712E-4</v>
      </c>
      <c r="F27" s="273">
        <v>6.1983471074380167E-3</v>
      </c>
      <c r="G27" s="251">
        <v>3.825136612021858E-2</v>
      </c>
      <c r="H27" s="252">
        <v>0</v>
      </c>
      <c r="I27" s="250">
        <v>1.5106303618052964E-2</v>
      </c>
      <c r="J27" s="250">
        <v>0</v>
      </c>
      <c r="K27" s="251">
        <v>0</v>
      </c>
      <c r="L27" s="251">
        <v>0</v>
      </c>
      <c r="M27" s="251">
        <v>0</v>
      </c>
      <c r="N27" s="252">
        <v>0</v>
      </c>
      <c r="O27" s="250">
        <v>0</v>
      </c>
      <c r="P27" s="250">
        <v>0</v>
      </c>
      <c r="Q27" s="251">
        <v>0</v>
      </c>
      <c r="R27" s="252">
        <v>0</v>
      </c>
      <c r="S27" s="250">
        <v>0</v>
      </c>
      <c r="T27" s="253"/>
      <c r="U27" s="254">
        <v>39</v>
      </c>
      <c r="V27" s="255">
        <v>28</v>
      </c>
      <c r="W27" s="255">
        <v>1</v>
      </c>
      <c r="X27" s="255">
        <v>6</v>
      </c>
      <c r="Y27" s="255">
        <v>7</v>
      </c>
      <c r="Z27" s="255">
        <v>0</v>
      </c>
      <c r="AA27" s="256">
        <v>81</v>
      </c>
      <c r="AB27" s="254">
        <v>0</v>
      </c>
      <c r="AC27" s="255">
        <v>0</v>
      </c>
      <c r="AD27" s="255">
        <v>0</v>
      </c>
      <c r="AE27" s="255">
        <v>0</v>
      </c>
      <c r="AF27" s="257">
        <v>0</v>
      </c>
      <c r="AG27" s="257">
        <v>0</v>
      </c>
      <c r="AH27" s="254">
        <v>0</v>
      </c>
      <c r="AI27" s="255">
        <v>0</v>
      </c>
      <c r="AJ27" s="257">
        <v>0</v>
      </c>
      <c r="AK27" s="254">
        <v>0</v>
      </c>
    </row>
    <row r="28" spans="1:39" ht="13.9" customHeight="1">
      <c r="A28" s="249"/>
      <c r="B28" s="239" t="s">
        <v>58</v>
      </c>
      <c r="C28" s="250">
        <v>0</v>
      </c>
      <c r="D28" s="251">
        <v>0</v>
      </c>
      <c r="E28" s="251">
        <v>0</v>
      </c>
      <c r="F28" s="251">
        <v>0</v>
      </c>
      <c r="G28" s="251">
        <v>0</v>
      </c>
      <c r="H28" s="252">
        <v>0</v>
      </c>
      <c r="I28" s="250">
        <v>0</v>
      </c>
      <c r="J28" s="250">
        <v>0</v>
      </c>
      <c r="K28" s="251">
        <v>1</v>
      </c>
      <c r="L28" s="251">
        <v>1</v>
      </c>
      <c r="M28" s="251">
        <v>1</v>
      </c>
      <c r="N28" s="252">
        <v>0</v>
      </c>
      <c r="O28" s="250">
        <v>1</v>
      </c>
      <c r="P28" s="250">
        <v>1</v>
      </c>
      <c r="Q28" s="251">
        <v>1</v>
      </c>
      <c r="R28" s="252">
        <v>0</v>
      </c>
      <c r="S28" s="250">
        <v>1</v>
      </c>
      <c r="T28" s="253"/>
      <c r="U28" s="254">
        <v>0</v>
      </c>
      <c r="V28" s="255">
        <v>0</v>
      </c>
      <c r="W28" s="255">
        <v>0</v>
      </c>
      <c r="X28" s="255">
        <v>0</v>
      </c>
      <c r="Y28" s="255">
        <v>0</v>
      </c>
      <c r="Z28" s="255">
        <v>0</v>
      </c>
      <c r="AA28" s="256">
        <v>0</v>
      </c>
      <c r="AB28" s="254">
        <v>0</v>
      </c>
      <c r="AC28" s="255">
        <v>127</v>
      </c>
      <c r="AD28" s="255">
        <v>1022</v>
      </c>
      <c r="AE28" s="255">
        <v>446</v>
      </c>
      <c r="AF28" s="257">
        <v>0</v>
      </c>
      <c r="AG28" s="257">
        <v>1595</v>
      </c>
      <c r="AH28" s="254">
        <v>44</v>
      </c>
      <c r="AI28" s="255">
        <v>157</v>
      </c>
      <c r="AJ28" s="257">
        <v>0</v>
      </c>
      <c r="AK28" s="254">
        <v>201</v>
      </c>
    </row>
    <row r="29" spans="1:39" s="271" customFormat="1" ht="23.45" customHeight="1">
      <c r="A29" s="259"/>
      <c r="B29" s="260" t="s">
        <v>59</v>
      </c>
      <c r="C29" s="261">
        <v>1</v>
      </c>
      <c r="D29" s="262">
        <v>1</v>
      </c>
      <c r="E29" s="262">
        <v>1</v>
      </c>
      <c r="F29" s="262">
        <v>1</v>
      </c>
      <c r="G29" s="262">
        <v>1</v>
      </c>
      <c r="H29" s="263">
        <v>1</v>
      </c>
      <c r="I29" s="261">
        <v>1</v>
      </c>
      <c r="J29" s="261">
        <v>0</v>
      </c>
      <c r="K29" s="262">
        <v>1</v>
      </c>
      <c r="L29" s="262">
        <v>1</v>
      </c>
      <c r="M29" s="262">
        <v>1</v>
      </c>
      <c r="N29" s="263">
        <v>0</v>
      </c>
      <c r="O29" s="261">
        <v>1</v>
      </c>
      <c r="P29" s="261">
        <v>1</v>
      </c>
      <c r="Q29" s="262">
        <v>1</v>
      </c>
      <c r="R29" s="263">
        <v>0</v>
      </c>
      <c r="S29" s="261">
        <v>1</v>
      </c>
      <c r="T29" s="264"/>
      <c r="U29" s="265">
        <v>2806</v>
      </c>
      <c r="V29" s="266">
        <v>277</v>
      </c>
      <c r="W29" s="266">
        <v>1063</v>
      </c>
      <c r="X29" s="266">
        <v>968</v>
      </c>
      <c r="Y29" s="266">
        <v>183</v>
      </c>
      <c r="Z29" s="266">
        <v>65</v>
      </c>
      <c r="AA29" s="267">
        <v>5362</v>
      </c>
      <c r="AB29" s="265">
        <v>0</v>
      </c>
      <c r="AC29" s="266">
        <v>127</v>
      </c>
      <c r="AD29" s="266">
        <v>1022</v>
      </c>
      <c r="AE29" s="266">
        <v>446</v>
      </c>
      <c r="AF29" s="268">
        <v>0</v>
      </c>
      <c r="AG29" s="268">
        <v>1595</v>
      </c>
      <c r="AH29" s="265">
        <v>44</v>
      </c>
      <c r="AI29" s="266">
        <v>157</v>
      </c>
      <c r="AJ29" s="268">
        <v>0</v>
      </c>
      <c r="AK29" s="265">
        <v>201</v>
      </c>
      <c r="AL29" s="270"/>
      <c r="AM29" s="270"/>
    </row>
    <row r="30" spans="1:39" ht="13.5" customHeight="1">
      <c r="A30" s="239" t="s">
        <v>5</v>
      </c>
      <c r="B30" s="239" t="s">
        <v>53</v>
      </c>
      <c r="C30" s="241">
        <v>0</v>
      </c>
      <c r="D30" s="242">
        <v>0.39015151515151514</v>
      </c>
      <c r="E30" s="242">
        <v>0.23638968481375358</v>
      </c>
      <c r="F30" s="242">
        <v>0</v>
      </c>
      <c r="G30" s="242">
        <v>0.26285714285714284</v>
      </c>
      <c r="H30" s="243">
        <v>0.21003134796238246</v>
      </c>
      <c r="I30" s="241">
        <v>0.27836411609498679</v>
      </c>
      <c r="J30" s="241">
        <v>5.9523809523809521E-2</v>
      </c>
      <c r="K30" s="242">
        <v>0</v>
      </c>
      <c r="L30" s="242">
        <v>0</v>
      </c>
      <c r="M30" s="242">
        <v>0</v>
      </c>
      <c r="N30" s="243">
        <v>0</v>
      </c>
      <c r="O30" s="342">
        <v>7.5471698113207548E-3</v>
      </c>
      <c r="P30" s="241">
        <v>0</v>
      </c>
      <c r="Q30" s="242">
        <v>0</v>
      </c>
      <c r="R30" s="243">
        <v>0</v>
      </c>
      <c r="S30" s="241">
        <v>0</v>
      </c>
      <c r="T30" s="253"/>
      <c r="U30" s="245">
        <v>0</v>
      </c>
      <c r="V30" s="246">
        <v>309</v>
      </c>
      <c r="W30" s="246">
        <v>330</v>
      </c>
      <c r="X30" s="246">
        <v>0</v>
      </c>
      <c r="Y30" s="246">
        <v>138</v>
      </c>
      <c r="Z30" s="246">
        <v>67</v>
      </c>
      <c r="AA30" s="247">
        <v>844</v>
      </c>
      <c r="AB30" s="245">
        <v>10</v>
      </c>
      <c r="AC30" s="246">
        <v>0</v>
      </c>
      <c r="AD30" s="246">
        <v>0</v>
      </c>
      <c r="AE30" s="246">
        <v>0</v>
      </c>
      <c r="AF30" s="246">
        <v>0</v>
      </c>
      <c r="AG30" s="247">
        <v>10</v>
      </c>
      <c r="AH30" s="246">
        <v>0</v>
      </c>
      <c r="AI30" s="246">
        <v>0</v>
      </c>
      <c r="AJ30" s="246">
        <v>0</v>
      </c>
      <c r="AK30" s="245">
        <v>0</v>
      </c>
    </row>
    <row r="31" spans="1:39" ht="13.5" customHeight="1">
      <c r="A31" s="249"/>
      <c r="B31" s="239" t="s">
        <v>93</v>
      </c>
      <c r="C31" s="250">
        <v>0</v>
      </c>
      <c r="D31" s="251">
        <v>0.27777777777777779</v>
      </c>
      <c r="E31" s="251">
        <v>0.21131805157593123</v>
      </c>
      <c r="F31" s="251">
        <v>0</v>
      </c>
      <c r="G31" s="251">
        <v>0.23428571428571429</v>
      </c>
      <c r="H31" s="252">
        <v>0.16300940438871472</v>
      </c>
      <c r="I31" s="250">
        <v>0.22757255936675461</v>
      </c>
      <c r="J31" s="250">
        <v>0.21428571428571427</v>
      </c>
      <c r="K31" s="251">
        <v>0</v>
      </c>
      <c r="L31" s="251">
        <v>0</v>
      </c>
      <c r="M31" s="251">
        <v>0</v>
      </c>
      <c r="N31" s="252">
        <v>0</v>
      </c>
      <c r="O31" s="250">
        <v>2.7169811320754716E-2</v>
      </c>
      <c r="P31" s="250">
        <v>0</v>
      </c>
      <c r="Q31" s="251">
        <v>0</v>
      </c>
      <c r="R31" s="252">
        <v>0</v>
      </c>
      <c r="S31" s="250">
        <v>0</v>
      </c>
      <c r="T31" s="253"/>
      <c r="U31" s="254">
        <v>0</v>
      </c>
      <c r="V31" s="255">
        <v>220</v>
      </c>
      <c r="W31" s="255">
        <v>295</v>
      </c>
      <c r="X31" s="255">
        <v>0</v>
      </c>
      <c r="Y31" s="255">
        <v>123</v>
      </c>
      <c r="Z31" s="255">
        <v>52</v>
      </c>
      <c r="AA31" s="256">
        <v>690</v>
      </c>
      <c r="AB31" s="254">
        <v>36</v>
      </c>
      <c r="AC31" s="255">
        <v>0</v>
      </c>
      <c r="AD31" s="255">
        <v>0</v>
      </c>
      <c r="AE31" s="255">
        <v>0</v>
      </c>
      <c r="AF31" s="255">
        <v>0</v>
      </c>
      <c r="AG31" s="256">
        <v>36</v>
      </c>
      <c r="AH31" s="255">
        <v>0</v>
      </c>
      <c r="AI31" s="255">
        <v>0</v>
      </c>
      <c r="AJ31" s="255">
        <v>0</v>
      </c>
      <c r="AK31" s="254">
        <v>0</v>
      </c>
    </row>
    <row r="32" spans="1:39" ht="13.9" customHeight="1">
      <c r="A32" s="249"/>
      <c r="B32" s="239" t="s">
        <v>55</v>
      </c>
      <c r="C32" s="250">
        <v>0</v>
      </c>
      <c r="D32" s="251">
        <v>0.18560606060606061</v>
      </c>
      <c r="E32" s="251">
        <v>0.28653295128939826</v>
      </c>
      <c r="F32" s="251">
        <v>0</v>
      </c>
      <c r="G32" s="251">
        <v>0.30476190476190479</v>
      </c>
      <c r="H32" s="252">
        <v>0.27272727272727271</v>
      </c>
      <c r="I32" s="250">
        <v>0.26187335092348285</v>
      </c>
      <c r="J32" s="250">
        <v>0.39880952380952384</v>
      </c>
      <c r="K32" s="251">
        <v>0</v>
      </c>
      <c r="L32" s="251">
        <v>0</v>
      </c>
      <c r="M32" s="251">
        <v>0</v>
      </c>
      <c r="N32" s="252">
        <v>0</v>
      </c>
      <c r="O32" s="250">
        <v>5.0566037735849056E-2</v>
      </c>
      <c r="P32" s="250">
        <v>0</v>
      </c>
      <c r="Q32" s="251">
        <v>0</v>
      </c>
      <c r="R32" s="252">
        <v>0</v>
      </c>
      <c r="S32" s="250">
        <v>0</v>
      </c>
      <c r="T32" s="253"/>
      <c r="U32" s="254">
        <v>0</v>
      </c>
      <c r="V32" s="255">
        <v>147</v>
      </c>
      <c r="W32" s="255">
        <v>400</v>
      </c>
      <c r="X32" s="255">
        <v>0</v>
      </c>
      <c r="Y32" s="255">
        <v>160</v>
      </c>
      <c r="Z32" s="255">
        <v>87</v>
      </c>
      <c r="AA32" s="256">
        <v>794</v>
      </c>
      <c r="AB32" s="254">
        <v>67</v>
      </c>
      <c r="AC32" s="255">
        <v>0</v>
      </c>
      <c r="AD32" s="255">
        <v>0</v>
      </c>
      <c r="AE32" s="255">
        <v>0</v>
      </c>
      <c r="AF32" s="255">
        <v>0</v>
      </c>
      <c r="AG32" s="256">
        <v>67</v>
      </c>
      <c r="AH32" s="255">
        <v>0</v>
      </c>
      <c r="AI32" s="255">
        <v>0</v>
      </c>
      <c r="AJ32" s="255">
        <v>0</v>
      </c>
      <c r="AK32" s="254">
        <v>0</v>
      </c>
    </row>
    <row r="33" spans="1:42" ht="13.9" customHeight="1">
      <c r="A33" s="249"/>
      <c r="B33" s="239" t="s">
        <v>78</v>
      </c>
      <c r="C33" s="250">
        <v>0</v>
      </c>
      <c r="D33" s="251">
        <v>0.12752525252525251</v>
      </c>
      <c r="E33" s="251">
        <v>0.23280802292263611</v>
      </c>
      <c r="F33" s="251">
        <v>0</v>
      </c>
      <c r="G33" s="251">
        <v>0.16380952380952382</v>
      </c>
      <c r="H33" s="252">
        <v>0.26959247648902823</v>
      </c>
      <c r="I33" s="250">
        <v>0.19722955145118734</v>
      </c>
      <c r="J33" s="250">
        <v>0.22023809523809523</v>
      </c>
      <c r="K33" s="251">
        <v>0</v>
      </c>
      <c r="L33" s="251">
        <v>0</v>
      </c>
      <c r="M33" s="251">
        <v>0</v>
      </c>
      <c r="N33" s="252">
        <v>0</v>
      </c>
      <c r="O33" s="250">
        <v>2.7924528301886794E-2</v>
      </c>
      <c r="P33" s="250">
        <v>0</v>
      </c>
      <c r="Q33" s="251">
        <v>0</v>
      </c>
      <c r="R33" s="252">
        <v>0</v>
      </c>
      <c r="S33" s="250">
        <v>0</v>
      </c>
      <c r="T33" s="253"/>
      <c r="U33" s="254">
        <v>0</v>
      </c>
      <c r="V33" s="255">
        <v>101</v>
      </c>
      <c r="W33" s="255">
        <v>325</v>
      </c>
      <c r="X33" s="255">
        <v>0</v>
      </c>
      <c r="Y33" s="255">
        <v>86</v>
      </c>
      <c r="Z33" s="255">
        <v>86</v>
      </c>
      <c r="AA33" s="256">
        <v>598</v>
      </c>
      <c r="AB33" s="254">
        <v>37</v>
      </c>
      <c r="AC33" s="255">
        <v>0</v>
      </c>
      <c r="AD33" s="255">
        <v>0</v>
      </c>
      <c r="AE33" s="255">
        <v>0</v>
      </c>
      <c r="AF33" s="255">
        <v>0</v>
      </c>
      <c r="AG33" s="256">
        <v>37</v>
      </c>
      <c r="AH33" s="255">
        <v>0</v>
      </c>
      <c r="AI33" s="255">
        <v>0</v>
      </c>
      <c r="AJ33" s="255">
        <v>0</v>
      </c>
      <c r="AK33" s="254">
        <v>0</v>
      </c>
    </row>
    <row r="34" spans="1:42" ht="13.9" customHeight="1">
      <c r="A34" s="249"/>
      <c r="B34" s="239" t="s">
        <v>32</v>
      </c>
      <c r="C34" s="250">
        <v>0</v>
      </c>
      <c r="D34" s="251">
        <v>1.893939393939394E-2</v>
      </c>
      <c r="E34" s="251">
        <v>3.2951289398280799E-2</v>
      </c>
      <c r="F34" s="251">
        <v>0</v>
      </c>
      <c r="G34" s="251">
        <v>3.4285714285714287E-2</v>
      </c>
      <c r="H34" s="252">
        <v>8.4639498432601878E-2</v>
      </c>
      <c r="I34" s="250">
        <v>3.4960422163588391E-2</v>
      </c>
      <c r="J34" s="250">
        <v>0.10714285714285714</v>
      </c>
      <c r="K34" s="251">
        <v>0</v>
      </c>
      <c r="L34" s="251">
        <v>0</v>
      </c>
      <c r="M34" s="251">
        <v>0</v>
      </c>
      <c r="N34" s="252">
        <v>0</v>
      </c>
      <c r="O34" s="250">
        <v>1.3584905660377358E-2</v>
      </c>
      <c r="P34" s="250">
        <v>0</v>
      </c>
      <c r="Q34" s="251">
        <v>0</v>
      </c>
      <c r="R34" s="252">
        <v>0</v>
      </c>
      <c r="S34" s="250">
        <v>0</v>
      </c>
      <c r="T34" s="253"/>
      <c r="U34" s="254">
        <v>0</v>
      </c>
      <c r="V34" s="255">
        <v>15</v>
      </c>
      <c r="W34" s="255">
        <v>46</v>
      </c>
      <c r="X34" s="255">
        <v>0</v>
      </c>
      <c r="Y34" s="255">
        <v>18</v>
      </c>
      <c r="Z34" s="255">
        <v>27</v>
      </c>
      <c r="AA34" s="256">
        <v>106</v>
      </c>
      <c r="AB34" s="254">
        <v>18</v>
      </c>
      <c r="AC34" s="255">
        <v>0</v>
      </c>
      <c r="AD34" s="255">
        <v>0</v>
      </c>
      <c r="AE34" s="255">
        <v>0</v>
      </c>
      <c r="AF34" s="255">
        <v>0</v>
      </c>
      <c r="AG34" s="256">
        <v>18</v>
      </c>
      <c r="AH34" s="255">
        <v>0</v>
      </c>
      <c r="AI34" s="255">
        <v>0</v>
      </c>
      <c r="AJ34" s="255">
        <v>0</v>
      </c>
      <c r="AK34" s="254">
        <v>0</v>
      </c>
    </row>
    <row r="35" spans="1:42" ht="13.9" customHeight="1">
      <c r="A35" s="249"/>
      <c r="B35" s="239" t="s">
        <v>58</v>
      </c>
      <c r="C35" s="250">
        <v>0</v>
      </c>
      <c r="D35" s="251">
        <v>0</v>
      </c>
      <c r="E35" s="251">
        <v>0</v>
      </c>
      <c r="F35" s="251">
        <v>0</v>
      </c>
      <c r="G35" s="251">
        <v>0</v>
      </c>
      <c r="H35" s="252">
        <v>0</v>
      </c>
      <c r="I35" s="250">
        <v>0</v>
      </c>
      <c r="J35" s="250">
        <v>0</v>
      </c>
      <c r="K35" s="251">
        <v>0</v>
      </c>
      <c r="L35" s="251">
        <v>1</v>
      </c>
      <c r="M35" s="251">
        <v>1</v>
      </c>
      <c r="N35" s="252">
        <v>0</v>
      </c>
      <c r="O35" s="250">
        <v>0.8732075471698113</v>
      </c>
      <c r="P35" s="250">
        <v>0</v>
      </c>
      <c r="Q35" s="251">
        <v>0</v>
      </c>
      <c r="R35" s="252">
        <v>0</v>
      </c>
      <c r="S35" s="250">
        <v>0</v>
      </c>
      <c r="T35" s="253"/>
      <c r="U35" s="254">
        <v>0</v>
      </c>
      <c r="V35" s="255">
        <v>0</v>
      </c>
      <c r="W35" s="255">
        <v>0</v>
      </c>
      <c r="X35" s="255">
        <v>0</v>
      </c>
      <c r="Y35" s="255">
        <v>0</v>
      </c>
      <c r="Z35" s="255">
        <v>0</v>
      </c>
      <c r="AA35" s="256">
        <v>0</v>
      </c>
      <c r="AB35" s="254">
        <v>0</v>
      </c>
      <c r="AC35" s="255">
        <v>0</v>
      </c>
      <c r="AD35" s="255">
        <v>281</v>
      </c>
      <c r="AE35" s="255">
        <v>876</v>
      </c>
      <c r="AF35" s="255">
        <v>0</v>
      </c>
      <c r="AG35" s="256">
        <v>1157</v>
      </c>
      <c r="AH35" s="255">
        <v>0</v>
      </c>
      <c r="AI35" s="255">
        <v>0</v>
      </c>
      <c r="AJ35" s="255">
        <v>0</v>
      </c>
      <c r="AK35" s="254">
        <v>0</v>
      </c>
    </row>
    <row r="36" spans="1:42" s="271" customFormat="1" ht="23.45" customHeight="1">
      <c r="A36" s="259"/>
      <c r="B36" s="260" t="s">
        <v>59</v>
      </c>
      <c r="C36" s="261">
        <v>0</v>
      </c>
      <c r="D36" s="262">
        <v>1</v>
      </c>
      <c r="E36" s="262">
        <v>1</v>
      </c>
      <c r="F36" s="262">
        <v>0</v>
      </c>
      <c r="G36" s="262">
        <v>1</v>
      </c>
      <c r="H36" s="263">
        <v>1</v>
      </c>
      <c r="I36" s="261">
        <v>1</v>
      </c>
      <c r="J36" s="261">
        <v>1</v>
      </c>
      <c r="K36" s="262">
        <v>0</v>
      </c>
      <c r="L36" s="262">
        <v>1</v>
      </c>
      <c r="M36" s="262">
        <v>1</v>
      </c>
      <c r="N36" s="263">
        <v>0</v>
      </c>
      <c r="O36" s="261">
        <v>1</v>
      </c>
      <c r="P36" s="261">
        <v>0</v>
      </c>
      <c r="Q36" s="262">
        <v>0</v>
      </c>
      <c r="R36" s="263">
        <v>0</v>
      </c>
      <c r="S36" s="261">
        <v>0</v>
      </c>
      <c r="T36" s="264"/>
      <c r="U36" s="265">
        <v>0</v>
      </c>
      <c r="V36" s="266">
        <v>792</v>
      </c>
      <c r="W36" s="266">
        <v>1396</v>
      </c>
      <c r="X36" s="266">
        <v>0</v>
      </c>
      <c r="Y36" s="266">
        <v>525</v>
      </c>
      <c r="Z36" s="266">
        <v>319</v>
      </c>
      <c r="AA36" s="267">
        <v>3032</v>
      </c>
      <c r="AB36" s="265">
        <v>168</v>
      </c>
      <c r="AC36" s="266">
        <v>0</v>
      </c>
      <c r="AD36" s="266">
        <v>281</v>
      </c>
      <c r="AE36" s="266">
        <v>876</v>
      </c>
      <c r="AF36" s="268">
        <v>0</v>
      </c>
      <c r="AG36" s="268">
        <v>1325</v>
      </c>
      <c r="AH36" s="265">
        <v>0</v>
      </c>
      <c r="AI36" s="266">
        <v>0</v>
      </c>
      <c r="AJ36" s="268">
        <v>0</v>
      </c>
      <c r="AK36" s="265">
        <v>0</v>
      </c>
      <c r="AL36" s="270"/>
      <c r="AM36" s="270"/>
    </row>
    <row r="37" spans="1:42" s="271" customFormat="1" ht="13.5" customHeight="1">
      <c r="A37" s="239" t="s">
        <v>82</v>
      </c>
      <c r="B37" s="239" t="s">
        <v>53</v>
      </c>
      <c r="C37" s="241">
        <v>0.37007168458781364</v>
      </c>
      <c r="D37" s="242">
        <v>0</v>
      </c>
      <c r="E37" s="242">
        <v>0</v>
      </c>
      <c r="F37" s="242">
        <v>0.24338624338624337</v>
      </c>
      <c r="G37" s="242">
        <v>0</v>
      </c>
      <c r="H37" s="243">
        <v>0</v>
      </c>
      <c r="I37" s="241">
        <v>0.35172413793103446</v>
      </c>
      <c r="J37" s="241">
        <v>0</v>
      </c>
      <c r="K37" s="242">
        <v>0</v>
      </c>
      <c r="L37" s="242">
        <v>0</v>
      </c>
      <c r="M37" s="242">
        <v>0</v>
      </c>
      <c r="N37" s="243">
        <v>0</v>
      </c>
      <c r="O37" s="241">
        <v>0</v>
      </c>
      <c r="P37" s="241">
        <v>0</v>
      </c>
      <c r="Q37" s="242">
        <v>0</v>
      </c>
      <c r="R37" s="243">
        <v>0</v>
      </c>
      <c r="S37" s="241">
        <v>0</v>
      </c>
      <c r="T37" s="253"/>
      <c r="U37" s="254">
        <v>413</v>
      </c>
      <c r="V37" s="255">
        <v>0</v>
      </c>
      <c r="W37" s="255">
        <v>0</v>
      </c>
      <c r="X37" s="255">
        <v>46</v>
      </c>
      <c r="Y37" s="255">
        <v>0</v>
      </c>
      <c r="Z37" s="255">
        <v>0</v>
      </c>
      <c r="AA37" s="256">
        <v>459</v>
      </c>
      <c r="AB37" s="254">
        <v>0</v>
      </c>
      <c r="AC37" s="255">
        <v>0</v>
      </c>
      <c r="AD37" s="255">
        <v>0</v>
      </c>
      <c r="AE37" s="255">
        <v>0</v>
      </c>
      <c r="AF37" s="255">
        <v>0</v>
      </c>
      <c r="AG37" s="256">
        <v>0</v>
      </c>
      <c r="AH37" s="255">
        <v>0</v>
      </c>
      <c r="AI37" s="255">
        <v>0</v>
      </c>
      <c r="AJ37" s="255">
        <v>0</v>
      </c>
      <c r="AK37" s="254">
        <v>0</v>
      </c>
      <c r="AL37" s="209"/>
      <c r="AM37" s="209"/>
      <c r="AN37" s="80"/>
      <c r="AO37" s="80"/>
      <c r="AP37" s="80"/>
    </row>
    <row r="38" spans="1:42" s="271" customFormat="1" ht="13.5" customHeight="1">
      <c r="A38" s="249"/>
      <c r="B38" s="239" t="s">
        <v>93</v>
      </c>
      <c r="C38" s="250">
        <v>0.28315412186379929</v>
      </c>
      <c r="D38" s="251">
        <v>0</v>
      </c>
      <c r="E38" s="251">
        <v>0</v>
      </c>
      <c r="F38" s="251">
        <v>0.35449735449735448</v>
      </c>
      <c r="G38" s="251">
        <v>0</v>
      </c>
      <c r="H38" s="252">
        <v>0</v>
      </c>
      <c r="I38" s="250">
        <v>0.29348659003831418</v>
      </c>
      <c r="J38" s="250">
        <v>0</v>
      </c>
      <c r="K38" s="251">
        <v>0</v>
      </c>
      <c r="L38" s="251">
        <v>0</v>
      </c>
      <c r="M38" s="251">
        <v>0</v>
      </c>
      <c r="N38" s="252">
        <v>0</v>
      </c>
      <c r="O38" s="250">
        <v>0</v>
      </c>
      <c r="P38" s="250">
        <v>0</v>
      </c>
      <c r="Q38" s="251">
        <v>0</v>
      </c>
      <c r="R38" s="252">
        <v>0</v>
      </c>
      <c r="S38" s="250">
        <v>0</v>
      </c>
      <c r="T38" s="253"/>
      <c r="U38" s="254">
        <v>316</v>
      </c>
      <c r="V38" s="255">
        <v>0</v>
      </c>
      <c r="W38" s="255">
        <v>0</v>
      </c>
      <c r="X38" s="255">
        <v>67</v>
      </c>
      <c r="Y38" s="255">
        <v>0</v>
      </c>
      <c r="Z38" s="255">
        <v>0</v>
      </c>
      <c r="AA38" s="256">
        <v>383</v>
      </c>
      <c r="AB38" s="254">
        <v>0</v>
      </c>
      <c r="AC38" s="255">
        <v>0</v>
      </c>
      <c r="AD38" s="255">
        <v>0</v>
      </c>
      <c r="AE38" s="255">
        <v>0</v>
      </c>
      <c r="AF38" s="255">
        <v>0</v>
      </c>
      <c r="AG38" s="256">
        <v>0</v>
      </c>
      <c r="AH38" s="255">
        <v>0</v>
      </c>
      <c r="AI38" s="255">
        <v>0</v>
      </c>
      <c r="AJ38" s="255">
        <v>0</v>
      </c>
      <c r="AK38" s="254">
        <v>0</v>
      </c>
      <c r="AL38" s="209"/>
      <c r="AM38" s="209"/>
      <c r="AN38" s="80"/>
      <c r="AO38" s="80"/>
      <c r="AP38" s="80"/>
    </row>
    <row r="39" spans="1:42" s="271" customFormat="1" ht="13.5" customHeight="1">
      <c r="A39" s="249"/>
      <c r="B39" s="239" t="s">
        <v>55</v>
      </c>
      <c r="C39" s="250">
        <v>0.24193548387096775</v>
      </c>
      <c r="D39" s="251">
        <v>0</v>
      </c>
      <c r="E39" s="251">
        <v>0</v>
      </c>
      <c r="F39" s="251">
        <v>0.31746031746031744</v>
      </c>
      <c r="G39" s="251">
        <v>0</v>
      </c>
      <c r="H39" s="252">
        <v>0</v>
      </c>
      <c r="I39" s="250">
        <v>0.25287356321839083</v>
      </c>
      <c r="J39" s="250">
        <v>0</v>
      </c>
      <c r="K39" s="251">
        <v>0</v>
      </c>
      <c r="L39" s="251">
        <v>0</v>
      </c>
      <c r="M39" s="251">
        <v>0</v>
      </c>
      <c r="N39" s="252">
        <v>0</v>
      </c>
      <c r="O39" s="250">
        <v>0</v>
      </c>
      <c r="P39" s="250">
        <v>0</v>
      </c>
      <c r="Q39" s="251">
        <v>0</v>
      </c>
      <c r="R39" s="252">
        <v>0</v>
      </c>
      <c r="S39" s="250">
        <v>0</v>
      </c>
      <c r="T39" s="253"/>
      <c r="U39" s="254">
        <v>270</v>
      </c>
      <c r="V39" s="255">
        <v>0</v>
      </c>
      <c r="W39" s="255">
        <v>0</v>
      </c>
      <c r="X39" s="255">
        <v>60</v>
      </c>
      <c r="Y39" s="255">
        <v>0</v>
      </c>
      <c r="Z39" s="255">
        <v>0</v>
      </c>
      <c r="AA39" s="256">
        <v>330</v>
      </c>
      <c r="AB39" s="254">
        <v>0</v>
      </c>
      <c r="AC39" s="255">
        <v>0</v>
      </c>
      <c r="AD39" s="255">
        <v>0</v>
      </c>
      <c r="AE39" s="255">
        <v>0</v>
      </c>
      <c r="AF39" s="255">
        <v>0</v>
      </c>
      <c r="AG39" s="256">
        <v>0</v>
      </c>
      <c r="AH39" s="255">
        <v>0</v>
      </c>
      <c r="AI39" s="255">
        <v>0</v>
      </c>
      <c r="AJ39" s="255">
        <v>0</v>
      </c>
      <c r="AK39" s="254">
        <v>0</v>
      </c>
      <c r="AL39" s="209"/>
      <c r="AM39" s="209"/>
      <c r="AN39" s="80"/>
      <c r="AO39" s="80"/>
      <c r="AP39" s="80"/>
    </row>
    <row r="40" spans="1:42" s="271" customFormat="1" ht="13.5" customHeight="1">
      <c r="A40" s="249"/>
      <c r="B40" s="239" t="s">
        <v>78</v>
      </c>
      <c r="C40" s="250">
        <v>0.10215053763440861</v>
      </c>
      <c r="D40" s="251">
        <v>0</v>
      </c>
      <c r="E40" s="251">
        <v>0</v>
      </c>
      <c r="F40" s="251">
        <v>5.8201058201058198E-2</v>
      </c>
      <c r="G40" s="251">
        <v>0</v>
      </c>
      <c r="H40" s="252">
        <v>0</v>
      </c>
      <c r="I40" s="250">
        <v>9.5785440613026823E-2</v>
      </c>
      <c r="J40" s="250">
        <v>0</v>
      </c>
      <c r="K40" s="251">
        <v>0</v>
      </c>
      <c r="L40" s="251">
        <v>0</v>
      </c>
      <c r="M40" s="251">
        <v>0</v>
      </c>
      <c r="N40" s="252">
        <v>0</v>
      </c>
      <c r="O40" s="250">
        <v>0</v>
      </c>
      <c r="P40" s="250">
        <v>0</v>
      </c>
      <c r="Q40" s="251">
        <v>0</v>
      </c>
      <c r="R40" s="252">
        <v>0</v>
      </c>
      <c r="S40" s="250">
        <v>0</v>
      </c>
      <c r="T40" s="253"/>
      <c r="U40" s="254">
        <v>114</v>
      </c>
      <c r="V40" s="255">
        <v>0</v>
      </c>
      <c r="W40" s="255">
        <v>0</v>
      </c>
      <c r="X40" s="255">
        <v>11</v>
      </c>
      <c r="Y40" s="255">
        <v>0</v>
      </c>
      <c r="Z40" s="255">
        <v>0</v>
      </c>
      <c r="AA40" s="256">
        <v>125</v>
      </c>
      <c r="AB40" s="254">
        <v>0</v>
      </c>
      <c r="AC40" s="255">
        <v>0</v>
      </c>
      <c r="AD40" s="255">
        <v>0</v>
      </c>
      <c r="AE40" s="255">
        <v>0</v>
      </c>
      <c r="AF40" s="255">
        <v>0</v>
      </c>
      <c r="AG40" s="256">
        <v>0</v>
      </c>
      <c r="AH40" s="255">
        <v>0</v>
      </c>
      <c r="AI40" s="255">
        <v>0</v>
      </c>
      <c r="AJ40" s="255">
        <v>0</v>
      </c>
      <c r="AK40" s="254">
        <v>0</v>
      </c>
      <c r="AL40" s="209"/>
      <c r="AM40" s="209"/>
      <c r="AN40" s="80"/>
      <c r="AO40" s="80"/>
      <c r="AP40" s="80"/>
    </row>
    <row r="41" spans="1:42" s="271" customFormat="1" ht="13.5" customHeight="1">
      <c r="A41" s="249"/>
      <c r="B41" s="239" t="s">
        <v>32</v>
      </c>
      <c r="C41" s="272">
        <v>2.6881720430107529E-3</v>
      </c>
      <c r="D41" s="251">
        <v>0</v>
      </c>
      <c r="E41" s="251">
        <v>0</v>
      </c>
      <c r="F41" s="251">
        <v>2.6455026455026454E-2</v>
      </c>
      <c r="G41" s="251">
        <v>0</v>
      </c>
      <c r="H41" s="252">
        <v>0</v>
      </c>
      <c r="I41" s="272">
        <v>6.1302681992337167E-3</v>
      </c>
      <c r="J41" s="250">
        <v>0</v>
      </c>
      <c r="K41" s="251">
        <v>0</v>
      </c>
      <c r="L41" s="251">
        <v>0</v>
      </c>
      <c r="M41" s="251">
        <v>0</v>
      </c>
      <c r="N41" s="252">
        <v>0</v>
      </c>
      <c r="O41" s="250">
        <v>0</v>
      </c>
      <c r="P41" s="250">
        <v>0</v>
      </c>
      <c r="Q41" s="251">
        <v>0</v>
      </c>
      <c r="R41" s="252">
        <v>0</v>
      </c>
      <c r="S41" s="250">
        <v>0</v>
      </c>
      <c r="T41" s="253"/>
      <c r="U41" s="254">
        <v>3</v>
      </c>
      <c r="V41" s="255">
        <v>0</v>
      </c>
      <c r="W41" s="255">
        <v>0</v>
      </c>
      <c r="X41" s="255">
        <v>5</v>
      </c>
      <c r="Y41" s="255">
        <v>0</v>
      </c>
      <c r="Z41" s="255">
        <v>0</v>
      </c>
      <c r="AA41" s="256">
        <v>8</v>
      </c>
      <c r="AB41" s="254">
        <v>0</v>
      </c>
      <c r="AC41" s="255">
        <v>0</v>
      </c>
      <c r="AD41" s="255">
        <v>0</v>
      </c>
      <c r="AE41" s="255">
        <v>0</v>
      </c>
      <c r="AF41" s="255">
        <v>0</v>
      </c>
      <c r="AG41" s="256">
        <v>0</v>
      </c>
      <c r="AH41" s="255">
        <v>0</v>
      </c>
      <c r="AI41" s="255">
        <v>0</v>
      </c>
      <c r="AJ41" s="255">
        <v>0</v>
      </c>
      <c r="AK41" s="254">
        <v>0</v>
      </c>
      <c r="AL41" s="209"/>
      <c r="AM41" s="209"/>
      <c r="AN41" s="80"/>
      <c r="AO41" s="80"/>
      <c r="AP41" s="80"/>
    </row>
    <row r="42" spans="1:42" s="271" customFormat="1" ht="13.5" customHeight="1">
      <c r="A42" s="249"/>
      <c r="B42" s="239" t="s">
        <v>58</v>
      </c>
      <c r="C42" s="250">
        <v>0</v>
      </c>
      <c r="D42" s="251">
        <v>0</v>
      </c>
      <c r="E42" s="251">
        <v>0</v>
      </c>
      <c r="F42" s="251">
        <v>0</v>
      </c>
      <c r="G42" s="251">
        <v>0</v>
      </c>
      <c r="H42" s="252">
        <v>0</v>
      </c>
      <c r="I42" s="250">
        <v>0</v>
      </c>
      <c r="J42" s="250">
        <v>0</v>
      </c>
      <c r="K42" s="251">
        <v>0</v>
      </c>
      <c r="L42" s="251">
        <v>1</v>
      </c>
      <c r="M42" s="251">
        <v>1</v>
      </c>
      <c r="N42" s="252">
        <v>0</v>
      </c>
      <c r="O42" s="250">
        <v>1</v>
      </c>
      <c r="P42" s="250">
        <v>0</v>
      </c>
      <c r="Q42" s="251">
        <v>0</v>
      </c>
      <c r="R42" s="252">
        <v>0</v>
      </c>
      <c r="S42" s="250">
        <v>0</v>
      </c>
      <c r="T42" s="253"/>
      <c r="U42" s="254">
        <v>0</v>
      </c>
      <c r="V42" s="255">
        <v>0</v>
      </c>
      <c r="W42" s="255">
        <v>0</v>
      </c>
      <c r="X42" s="255">
        <v>0</v>
      </c>
      <c r="Y42" s="255">
        <v>0</v>
      </c>
      <c r="Z42" s="255">
        <v>0</v>
      </c>
      <c r="AA42" s="256">
        <v>0</v>
      </c>
      <c r="AB42" s="254">
        <v>0</v>
      </c>
      <c r="AC42" s="255">
        <v>0</v>
      </c>
      <c r="AD42" s="255">
        <v>257</v>
      </c>
      <c r="AE42" s="255">
        <v>57</v>
      </c>
      <c r="AF42" s="255">
        <v>0</v>
      </c>
      <c r="AG42" s="256">
        <v>314</v>
      </c>
      <c r="AH42" s="255">
        <v>0</v>
      </c>
      <c r="AI42" s="255">
        <v>0</v>
      </c>
      <c r="AJ42" s="255">
        <v>0</v>
      </c>
      <c r="AK42" s="254">
        <v>0</v>
      </c>
      <c r="AL42" s="209"/>
      <c r="AM42" s="209"/>
      <c r="AN42" s="80"/>
      <c r="AO42" s="80"/>
      <c r="AP42" s="80"/>
    </row>
    <row r="43" spans="1:42" s="271" customFormat="1" ht="23.45" customHeight="1">
      <c r="A43" s="259"/>
      <c r="B43" s="260" t="s">
        <v>59</v>
      </c>
      <c r="C43" s="261">
        <v>1</v>
      </c>
      <c r="D43" s="262">
        <v>0</v>
      </c>
      <c r="E43" s="262">
        <v>0</v>
      </c>
      <c r="F43" s="262">
        <v>1</v>
      </c>
      <c r="G43" s="262">
        <v>0</v>
      </c>
      <c r="H43" s="263">
        <v>0</v>
      </c>
      <c r="I43" s="261">
        <v>1</v>
      </c>
      <c r="J43" s="261">
        <v>0</v>
      </c>
      <c r="K43" s="262">
        <v>0</v>
      </c>
      <c r="L43" s="262">
        <v>1</v>
      </c>
      <c r="M43" s="262">
        <v>1</v>
      </c>
      <c r="N43" s="263">
        <v>0</v>
      </c>
      <c r="O43" s="261">
        <v>1</v>
      </c>
      <c r="P43" s="261">
        <v>0</v>
      </c>
      <c r="Q43" s="262">
        <v>0</v>
      </c>
      <c r="R43" s="263">
        <v>0</v>
      </c>
      <c r="S43" s="261">
        <v>0</v>
      </c>
      <c r="T43" s="264"/>
      <c r="U43" s="265">
        <v>1116</v>
      </c>
      <c r="V43" s="266">
        <v>0</v>
      </c>
      <c r="W43" s="266">
        <v>0</v>
      </c>
      <c r="X43" s="266">
        <v>189</v>
      </c>
      <c r="Y43" s="266">
        <v>0</v>
      </c>
      <c r="Z43" s="266">
        <v>0</v>
      </c>
      <c r="AA43" s="267">
        <v>1305</v>
      </c>
      <c r="AB43" s="265">
        <v>0</v>
      </c>
      <c r="AC43" s="266">
        <v>0</v>
      </c>
      <c r="AD43" s="266">
        <v>257</v>
      </c>
      <c r="AE43" s="266">
        <v>57</v>
      </c>
      <c r="AF43" s="268">
        <v>0</v>
      </c>
      <c r="AG43" s="268">
        <v>314</v>
      </c>
      <c r="AH43" s="265">
        <v>0</v>
      </c>
      <c r="AI43" s="266">
        <v>0</v>
      </c>
      <c r="AJ43" s="268">
        <v>0</v>
      </c>
      <c r="AK43" s="265">
        <v>0</v>
      </c>
      <c r="AL43" s="270"/>
      <c r="AM43" s="270"/>
    </row>
    <row r="44" spans="1:42" ht="13.5" customHeight="1">
      <c r="A44" s="239" t="s">
        <v>6</v>
      </c>
      <c r="B44" s="239" t="s">
        <v>53</v>
      </c>
      <c r="C44" s="241">
        <v>0.37904711766254279</v>
      </c>
      <c r="D44" s="242">
        <v>0.23781446540880502</v>
      </c>
      <c r="E44" s="242">
        <v>0.22061328790459966</v>
      </c>
      <c r="F44" s="242">
        <v>0</v>
      </c>
      <c r="G44" s="242">
        <v>0.17708333333333334</v>
      </c>
      <c r="H44" s="243">
        <v>0.29032258064516131</v>
      </c>
      <c r="I44" s="241">
        <v>0.30317848410757947</v>
      </c>
      <c r="J44" s="241">
        <v>0</v>
      </c>
      <c r="K44" s="242">
        <v>0</v>
      </c>
      <c r="L44" s="242">
        <v>0</v>
      </c>
      <c r="M44" s="242">
        <v>0</v>
      </c>
      <c r="N44" s="243">
        <v>0</v>
      </c>
      <c r="O44" s="241">
        <v>0</v>
      </c>
      <c r="P44" s="241">
        <v>0</v>
      </c>
      <c r="Q44" s="242">
        <v>0</v>
      </c>
      <c r="R44" s="243">
        <v>0</v>
      </c>
      <c r="S44" s="241">
        <v>0</v>
      </c>
      <c r="T44" s="253"/>
      <c r="U44" s="245">
        <v>1440</v>
      </c>
      <c r="V44" s="246">
        <v>605</v>
      </c>
      <c r="W44" s="246">
        <v>259</v>
      </c>
      <c r="X44" s="246">
        <v>0</v>
      </c>
      <c r="Y44" s="246">
        <v>34</v>
      </c>
      <c r="Z44" s="246">
        <v>18</v>
      </c>
      <c r="AA44" s="247">
        <v>2356</v>
      </c>
      <c r="AB44" s="245">
        <v>0</v>
      </c>
      <c r="AC44" s="246">
        <v>0</v>
      </c>
      <c r="AD44" s="246">
        <v>0</v>
      </c>
      <c r="AE44" s="246">
        <v>0</v>
      </c>
      <c r="AF44" s="246">
        <v>0</v>
      </c>
      <c r="AG44" s="247">
        <v>0</v>
      </c>
      <c r="AH44" s="246">
        <v>0</v>
      </c>
      <c r="AI44" s="246">
        <v>0</v>
      </c>
      <c r="AJ44" s="246">
        <v>0</v>
      </c>
      <c r="AK44" s="245">
        <v>0</v>
      </c>
    </row>
    <row r="45" spans="1:42" ht="13.5" customHeight="1">
      <c r="A45" s="249"/>
      <c r="B45" s="239" t="s">
        <v>93</v>
      </c>
      <c r="C45" s="250">
        <v>0.28402211108186365</v>
      </c>
      <c r="D45" s="251">
        <v>0.30227987421383645</v>
      </c>
      <c r="E45" s="251">
        <v>0.28109028960817717</v>
      </c>
      <c r="F45" s="251">
        <v>0</v>
      </c>
      <c r="G45" s="251">
        <v>0.31770833333333331</v>
      </c>
      <c r="H45" s="252">
        <v>0.35483870967741937</v>
      </c>
      <c r="I45" s="250">
        <v>0.29095354523227385</v>
      </c>
      <c r="J45" s="250">
        <v>0</v>
      </c>
      <c r="K45" s="251">
        <v>0</v>
      </c>
      <c r="L45" s="251">
        <v>0</v>
      </c>
      <c r="M45" s="251">
        <v>0</v>
      </c>
      <c r="N45" s="252">
        <v>0</v>
      </c>
      <c r="O45" s="250">
        <v>0</v>
      </c>
      <c r="P45" s="250">
        <v>0</v>
      </c>
      <c r="Q45" s="251">
        <v>0</v>
      </c>
      <c r="R45" s="252">
        <v>0</v>
      </c>
      <c r="S45" s="250">
        <v>0</v>
      </c>
      <c r="T45" s="253"/>
      <c r="U45" s="254">
        <v>1079</v>
      </c>
      <c r="V45" s="255">
        <v>769</v>
      </c>
      <c r="W45" s="255">
        <v>330</v>
      </c>
      <c r="X45" s="255">
        <v>0</v>
      </c>
      <c r="Y45" s="255">
        <v>61</v>
      </c>
      <c r="Z45" s="255">
        <v>22</v>
      </c>
      <c r="AA45" s="256">
        <v>2261</v>
      </c>
      <c r="AB45" s="254">
        <v>0</v>
      </c>
      <c r="AC45" s="255">
        <v>0</v>
      </c>
      <c r="AD45" s="255">
        <v>0</v>
      </c>
      <c r="AE45" s="255">
        <v>0</v>
      </c>
      <c r="AF45" s="255">
        <v>0</v>
      </c>
      <c r="AG45" s="256">
        <v>0</v>
      </c>
      <c r="AH45" s="255">
        <v>0</v>
      </c>
      <c r="AI45" s="255">
        <v>0</v>
      </c>
      <c r="AJ45" s="255">
        <v>0</v>
      </c>
      <c r="AK45" s="254">
        <v>0</v>
      </c>
    </row>
    <row r="46" spans="1:42" ht="13.5" customHeight="1">
      <c r="A46" s="249"/>
      <c r="B46" s="239" t="s">
        <v>55</v>
      </c>
      <c r="C46" s="250">
        <v>0.27717820479073441</v>
      </c>
      <c r="D46" s="251">
        <v>0.27319182389937108</v>
      </c>
      <c r="E46" s="251">
        <v>0.34582623509369675</v>
      </c>
      <c r="F46" s="251">
        <v>0</v>
      </c>
      <c r="G46" s="251">
        <v>0.328125</v>
      </c>
      <c r="H46" s="252">
        <v>0.35483870967741937</v>
      </c>
      <c r="I46" s="250">
        <v>0.2881225067558873</v>
      </c>
      <c r="J46" s="250">
        <v>0</v>
      </c>
      <c r="K46" s="251">
        <v>0</v>
      </c>
      <c r="L46" s="251">
        <v>0</v>
      </c>
      <c r="M46" s="251">
        <v>0</v>
      </c>
      <c r="N46" s="252">
        <v>0</v>
      </c>
      <c r="O46" s="250">
        <v>0</v>
      </c>
      <c r="P46" s="250">
        <v>0</v>
      </c>
      <c r="Q46" s="251">
        <v>0</v>
      </c>
      <c r="R46" s="252">
        <v>0</v>
      </c>
      <c r="S46" s="250">
        <v>0</v>
      </c>
      <c r="T46" s="253"/>
      <c r="U46" s="254">
        <v>1053</v>
      </c>
      <c r="V46" s="255">
        <v>695</v>
      </c>
      <c r="W46" s="255">
        <v>406</v>
      </c>
      <c r="X46" s="255">
        <v>0</v>
      </c>
      <c r="Y46" s="255">
        <v>63</v>
      </c>
      <c r="Z46" s="255">
        <v>22</v>
      </c>
      <c r="AA46" s="256">
        <v>2239</v>
      </c>
      <c r="AB46" s="254">
        <v>0</v>
      </c>
      <c r="AC46" s="255">
        <v>0</v>
      </c>
      <c r="AD46" s="255">
        <v>0</v>
      </c>
      <c r="AE46" s="255">
        <v>0</v>
      </c>
      <c r="AF46" s="255">
        <v>0</v>
      </c>
      <c r="AG46" s="256">
        <v>0</v>
      </c>
      <c r="AH46" s="255">
        <v>0</v>
      </c>
      <c r="AI46" s="255">
        <v>0</v>
      </c>
      <c r="AJ46" s="255">
        <v>0</v>
      </c>
      <c r="AK46" s="254">
        <v>0</v>
      </c>
    </row>
    <row r="47" spans="1:42" ht="13.5" customHeight="1">
      <c r="A47" s="249"/>
      <c r="B47" s="239" t="s">
        <v>78</v>
      </c>
      <c r="C47" s="250">
        <v>4.4222163727296655E-2</v>
      </c>
      <c r="D47" s="251">
        <v>0.17256289308176101</v>
      </c>
      <c r="E47" s="251">
        <v>0.11925042589437819</v>
      </c>
      <c r="F47" s="251">
        <v>0</v>
      </c>
      <c r="G47" s="251">
        <v>0.17708333333333334</v>
      </c>
      <c r="H47" s="252">
        <v>0</v>
      </c>
      <c r="I47" s="250">
        <v>0.10050186591172307</v>
      </c>
      <c r="J47" s="250">
        <v>0</v>
      </c>
      <c r="K47" s="251">
        <v>0</v>
      </c>
      <c r="L47" s="251">
        <v>0</v>
      </c>
      <c r="M47" s="251">
        <v>0</v>
      </c>
      <c r="N47" s="252">
        <v>0</v>
      </c>
      <c r="O47" s="250">
        <v>0</v>
      </c>
      <c r="P47" s="250">
        <v>0</v>
      </c>
      <c r="Q47" s="251">
        <v>0</v>
      </c>
      <c r="R47" s="252">
        <v>0</v>
      </c>
      <c r="S47" s="250">
        <v>0</v>
      </c>
      <c r="T47" s="253"/>
      <c r="U47" s="254">
        <v>168</v>
      </c>
      <c r="V47" s="255">
        <v>439</v>
      </c>
      <c r="W47" s="255">
        <v>140</v>
      </c>
      <c r="X47" s="255">
        <v>0</v>
      </c>
      <c r="Y47" s="255">
        <v>34</v>
      </c>
      <c r="Z47" s="255">
        <v>0</v>
      </c>
      <c r="AA47" s="256">
        <v>781</v>
      </c>
      <c r="AB47" s="254">
        <v>0</v>
      </c>
      <c r="AC47" s="255">
        <v>0</v>
      </c>
      <c r="AD47" s="255">
        <v>0</v>
      </c>
      <c r="AE47" s="255">
        <v>0</v>
      </c>
      <c r="AF47" s="255">
        <v>0</v>
      </c>
      <c r="AG47" s="256">
        <v>0</v>
      </c>
      <c r="AH47" s="255">
        <v>0</v>
      </c>
      <c r="AI47" s="255">
        <v>0</v>
      </c>
      <c r="AJ47" s="255">
        <v>0</v>
      </c>
      <c r="AK47" s="254">
        <v>0</v>
      </c>
    </row>
    <row r="48" spans="1:42" ht="13.5" customHeight="1">
      <c r="A48" s="249"/>
      <c r="B48" s="239" t="s">
        <v>32</v>
      </c>
      <c r="C48" s="250">
        <v>1.5530402737562517E-2</v>
      </c>
      <c r="D48" s="251">
        <v>1.4150943396226415E-2</v>
      </c>
      <c r="E48" s="251">
        <v>3.3219761499148209E-2</v>
      </c>
      <c r="F48" s="251">
        <v>0</v>
      </c>
      <c r="G48" s="251">
        <v>0</v>
      </c>
      <c r="H48" s="252">
        <v>0</v>
      </c>
      <c r="I48" s="250">
        <v>1.7243597992536355E-2</v>
      </c>
      <c r="J48" s="250">
        <v>0</v>
      </c>
      <c r="K48" s="251">
        <v>0</v>
      </c>
      <c r="L48" s="251">
        <v>0</v>
      </c>
      <c r="M48" s="251">
        <v>0</v>
      </c>
      <c r="N48" s="252">
        <v>0</v>
      </c>
      <c r="O48" s="250">
        <v>0</v>
      </c>
      <c r="P48" s="250">
        <v>0</v>
      </c>
      <c r="Q48" s="251">
        <v>0</v>
      </c>
      <c r="R48" s="252">
        <v>0</v>
      </c>
      <c r="S48" s="250">
        <v>0</v>
      </c>
      <c r="T48" s="253"/>
      <c r="U48" s="254">
        <v>59</v>
      </c>
      <c r="V48" s="255">
        <v>36</v>
      </c>
      <c r="W48" s="255">
        <v>39</v>
      </c>
      <c r="X48" s="255">
        <v>0</v>
      </c>
      <c r="Y48" s="255">
        <v>0</v>
      </c>
      <c r="Z48" s="255">
        <v>0</v>
      </c>
      <c r="AA48" s="256">
        <v>134</v>
      </c>
      <c r="AB48" s="254">
        <v>0</v>
      </c>
      <c r="AC48" s="255">
        <v>0</v>
      </c>
      <c r="AD48" s="255">
        <v>0</v>
      </c>
      <c r="AE48" s="255">
        <v>0</v>
      </c>
      <c r="AF48" s="255">
        <v>0</v>
      </c>
      <c r="AG48" s="256">
        <v>0</v>
      </c>
      <c r="AH48" s="255">
        <v>0</v>
      </c>
      <c r="AI48" s="255">
        <v>0</v>
      </c>
      <c r="AJ48" s="255">
        <v>0</v>
      </c>
      <c r="AK48" s="254">
        <v>0</v>
      </c>
    </row>
    <row r="49" spans="1:39" ht="13.5" customHeight="1">
      <c r="A49" s="249"/>
      <c r="B49" s="239" t="s">
        <v>58</v>
      </c>
      <c r="C49" s="250">
        <v>0</v>
      </c>
      <c r="D49" s="251">
        <v>0</v>
      </c>
      <c r="E49" s="251">
        <v>0</v>
      </c>
      <c r="F49" s="251">
        <v>0</v>
      </c>
      <c r="G49" s="251">
        <v>0</v>
      </c>
      <c r="H49" s="252">
        <v>0</v>
      </c>
      <c r="I49" s="250">
        <v>0</v>
      </c>
      <c r="J49" s="250">
        <v>0</v>
      </c>
      <c r="K49" s="251">
        <v>1</v>
      </c>
      <c r="L49" s="251">
        <v>1</v>
      </c>
      <c r="M49" s="251">
        <v>1</v>
      </c>
      <c r="N49" s="252">
        <v>0</v>
      </c>
      <c r="O49" s="250">
        <v>1</v>
      </c>
      <c r="P49" s="250">
        <v>0</v>
      </c>
      <c r="Q49" s="251">
        <v>0</v>
      </c>
      <c r="R49" s="252">
        <v>0</v>
      </c>
      <c r="S49" s="250">
        <v>0</v>
      </c>
      <c r="T49" s="253"/>
      <c r="U49" s="254">
        <v>0</v>
      </c>
      <c r="V49" s="255">
        <v>0</v>
      </c>
      <c r="W49" s="255">
        <v>0</v>
      </c>
      <c r="X49" s="255">
        <v>0</v>
      </c>
      <c r="Y49" s="255">
        <v>0</v>
      </c>
      <c r="Z49" s="255">
        <v>0</v>
      </c>
      <c r="AA49" s="256">
        <v>0</v>
      </c>
      <c r="AB49" s="254">
        <v>0</v>
      </c>
      <c r="AC49" s="255">
        <v>4067</v>
      </c>
      <c r="AD49" s="255">
        <v>641</v>
      </c>
      <c r="AE49" s="255">
        <v>216</v>
      </c>
      <c r="AF49" s="255">
        <v>0</v>
      </c>
      <c r="AG49" s="256">
        <v>4924</v>
      </c>
      <c r="AH49" s="255">
        <v>0</v>
      </c>
      <c r="AI49" s="255">
        <v>0</v>
      </c>
      <c r="AJ49" s="255">
        <v>0</v>
      </c>
      <c r="AK49" s="254">
        <v>0</v>
      </c>
    </row>
    <row r="50" spans="1:39" s="271" customFormat="1" ht="23.45" customHeight="1">
      <c r="A50" s="259"/>
      <c r="B50" s="260" t="s">
        <v>59</v>
      </c>
      <c r="C50" s="261">
        <v>1</v>
      </c>
      <c r="D50" s="262">
        <v>1</v>
      </c>
      <c r="E50" s="262">
        <v>1</v>
      </c>
      <c r="F50" s="262">
        <v>0</v>
      </c>
      <c r="G50" s="262">
        <v>1</v>
      </c>
      <c r="H50" s="263">
        <v>1</v>
      </c>
      <c r="I50" s="261">
        <v>1</v>
      </c>
      <c r="J50" s="261">
        <v>0</v>
      </c>
      <c r="K50" s="262">
        <v>1</v>
      </c>
      <c r="L50" s="262">
        <v>1</v>
      </c>
      <c r="M50" s="262">
        <v>1</v>
      </c>
      <c r="N50" s="263">
        <v>0</v>
      </c>
      <c r="O50" s="261">
        <v>1</v>
      </c>
      <c r="P50" s="261">
        <v>0</v>
      </c>
      <c r="Q50" s="262">
        <v>0</v>
      </c>
      <c r="R50" s="263">
        <v>0</v>
      </c>
      <c r="S50" s="261">
        <v>0</v>
      </c>
      <c r="T50" s="264"/>
      <c r="U50" s="265">
        <v>3799</v>
      </c>
      <c r="V50" s="266">
        <v>2544</v>
      </c>
      <c r="W50" s="266">
        <v>1174</v>
      </c>
      <c r="X50" s="266">
        <v>0</v>
      </c>
      <c r="Y50" s="266">
        <v>192</v>
      </c>
      <c r="Z50" s="266">
        <v>62</v>
      </c>
      <c r="AA50" s="267">
        <v>7771</v>
      </c>
      <c r="AB50" s="265">
        <v>0</v>
      </c>
      <c r="AC50" s="266">
        <v>4067</v>
      </c>
      <c r="AD50" s="266">
        <v>641</v>
      </c>
      <c r="AE50" s="266">
        <v>216</v>
      </c>
      <c r="AF50" s="268">
        <v>0</v>
      </c>
      <c r="AG50" s="268">
        <v>4924</v>
      </c>
      <c r="AH50" s="265">
        <v>0</v>
      </c>
      <c r="AI50" s="266">
        <v>0</v>
      </c>
      <c r="AJ50" s="268">
        <v>0</v>
      </c>
      <c r="AK50" s="265">
        <v>0</v>
      </c>
      <c r="AL50" s="270"/>
      <c r="AM50" s="270"/>
    </row>
    <row r="51" spans="1:39" ht="13.9" customHeight="1">
      <c r="A51" s="239" t="s">
        <v>7</v>
      </c>
      <c r="B51" s="239" t="s">
        <v>53</v>
      </c>
      <c r="C51" s="241">
        <v>0.36661466458658348</v>
      </c>
      <c r="D51" s="242">
        <v>0.46650426309378806</v>
      </c>
      <c r="E51" s="242">
        <v>0.2645631067961165</v>
      </c>
      <c r="F51" s="242">
        <v>0.2929936305732484</v>
      </c>
      <c r="G51" s="242">
        <v>0.25667828106852497</v>
      </c>
      <c r="H51" s="243">
        <v>0.17241379310344829</v>
      </c>
      <c r="I51" s="241">
        <v>0.33277769358993786</v>
      </c>
      <c r="J51" s="241">
        <v>0.14782608695652175</v>
      </c>
      <c r="K51" s="242">
        <v>8.9230769230769225E-2</v>
      </c>
      <c r="L51" s="242">
        <v>0.15606936416184972</v>
      </c>
      <c r="M51" s="242">
        <v>0.16184971098265896</v>
      </c>
      <c r="N51" s="243">
        <v>0</v>
      </c>
      <c r="O51" s="241">
        <v>0.13873295910184444</v>
      </c>
      <c r="P51" s="241">
        <v>0</v>
      </c>
      <c r="Q51" s="242">
        <v>0</v>
      </c>
      <c r="R51" s="243">
        <v>0</v>
      </c>
      <c r="S51" s="241">
        <v>0</v>
      </c>
      <c r="T51" s="253"/>
      <c r="U51" s="245">
        <v>940</v>
      </c>
      <c r="V51" s="246">
        <v>383</v>
      </c>
      <c r="W51" s="246">
        <v>218</v>
      </c>
      <c r="X51" s="246">
        <v>414</v>
      </c>
      <c r="Y51" s="246">
        <v>221</v>
      </c>
      <c r="Z51" s="246">
        <v>20</v>
      </c>
      <c r="AA51" s="247">
        <v>2196</v>
      </c>
      <c r="AB51" s="245">
        <v>34</v>
      </c>
      <c r="AC51" s="246">
        <v>29</v>
      </c>
      <c r="AD51" s="246">
        <v>54</v>
      </c>
      <c r="AE51" s="246">
        <v>56</v>
      </c>
      <c r="AF51" s="246">
        <v>0</v>
      </c>
      <c r="AG51" s="247">
        <v>173</v>
      </c>
      <c r="AH51" s="246">
        <v>0</v>
      </c>
      <c r="AI51" s="246">
        <v>0</v>
      </c>
      <c r="AJ51" s="246">
        <v>0</v>
      </c>
      <c r="AK51" s="245">
        <v>0</v>
      </c>
    </row>
    <row r="52" spans="1:39" ht="13.9" customHeight="1">
      <c r="A52" s="249"/>
      <c r="B52" s="239" t="s">
        <v>93</v>
      </c>
      <c r="C52" s="250">
        <v>0.31084243369734788</v>
      </c>
      <c r="D52" s="251">
        <v>0.2971985383678441</v>
      </c>
      <c r="E52" s="251">
        <v>0.28883495145631066</v>
      </c>
      <c r="F52" s="251">
        <v>0.27530077848549184</v>
      </c>
      <c r="G52" s="251">
        <v>0.34030197444831589</v>
      </c>
      <c r="H52" s="252">
        <v>0.22413793103448276</v>
      </c>
      <c r="I52" s="250">
        <v>0.30110622821639643</v>
      </c>
      <c r="J52" s="250">
        <v>0.29565217391304349</v>
      </c>
      <c r="K52" s="251">
        <v>0.44615384615384618</v>
      </c>
      <c r="L52" s="251">
        <v>0.25433526011560692</v>
      </c>
      <c r="M52" s="251">
        <v>0.32369942196531792</v>
      </c>
      <c r="N52" s="252">
        <v>0</v>
      </c>
      <c r="O52" s="250">
        <v>0.33119486768243783</v>
      </c>
      <c r="P52" s="250">
        <v>0</v>
      </c>
      <c r="Q52" s="251">
        <v>0</v>
      </c>
      <c r="R52" s="252">
        <v>0</v>
      </c>
      <c r="S52" s="250">
        <v>0</v>
      </c>
      <c r="T52" s="253"/>
      <c r="U52" s="254">
        <v>797</v>
      </c>
      <c r="V52" s="255">
        <v>244</v>
      </c>
      <c r="W52" s="255">
        <v>238</v>
      </c>
      <c r="X52" s="255">
        <v>389</v>
      </c>
      <c r="Y52" s="255">
        <v>293</v>
      </c>
      <c r="Z52" s="255">
        <v>26</v>
      </c>
      <c r="AA52" s="256">
        <v>1987</v>
      </c>
      <c r="AB52" s="254">
        <v>68</v>
      </c>
      <c r="AC52" s="255">
        <v>145</v>
      </c>
      <c r="AD52" s="255">
        <v>88</v>
      </c>
      <c r="AE52" s="255">
        <v>112</v>
      </c>
      <c r="AF52" s="255">
        <v>0</v>
      </c>
      <c r="AG52" s="256">
        <v>413</v>
      </c>
      <c r="AH52" s="255">
        <v>0</v>
      </c>
      <c r="AI52" s="255">
        <v>0</v>
      </c>
      <c r="AJ52" s="255">
        <v>0</v>
      </c>
      <c r="AK52" s="254">
        <v>0</v>
      </c>
    </row>
    <row r="53" spans="1:39" ht="13.9" customHeight="1">
      <c r="A53" s="249"/>
      <c r="B53" s="239" t="s">
        <v>55</v>
      </c>
      <c r="C53" s="250">
        <v>0.24687987519500781</v>
      </c>
      <c r="D53" s="251">
        <v>0.2289890377588307</v>
      </c>
      <c r="E53" s="251">
        <v>0.41140776699029125</v>
      </c>
      <c r="F53" s="251">
        <v>0.3602264685067233</v>
      </c>
      <c r="G53" s="251">
        <v>0.36120789779326362</v>
      </c>
      <c r="H53" s="252">
        <v>0.51724137931034486</v>
      </c>
      <c r="I53" s="250">
        <v>0.30913774814365813</v>
      </c>
      <c r="J53" s="250">
        <v>0.47391304347826085</v>
      </c>
      <c r="K53" s="251">
        <v>0.25230769230769229</v>
      </c>
      <c r="L53" s="251">
        <v>0.42196531791907516</v>
      </c>
      <c r="M53" s="251">
        <v>0.37572254335260113</v>
      </c>
      <c r="N53" s="252">
        <v>0</v>
      </c>
      <c r="O53" s="250">
        <v>0.37449879711307138</v>
      </c>
      <c r="P53" s="250">
        <v>0</v>
      </c>
      <c r="Q53" s="251">
        <v>0</v>
      </c>
      <c r="R53" s="252">
        <v>0</v>
      </c>
      <c r="S53" s="250">
        <v>0</v>
      </c>
      <c r="T53" s="253"/>
      <c r="U53" s="254">
        <v>633</v>
      </c>
      <c r="V53" s="255">
        <v>188</v>
      </c>
      <c r="W53" s="255">
        <v>339</v>
      </c>
      <c r="X53" s="255">
        <v>509</v>
      </c>
      <c r="Y53" s="255">
        <v>311</v>
      </c>
      <c r="Z53" s="255">
        <v>60</v>
      </c>
      <c r="AA53" s="256">
        <v>2040</v>
      </c>
      <c r="AB53" s="254">
        <v>109</v>
      </c>
      <c r="AC53" s="255">
        <v>82</v>
      </c>
      <c r="AD53" s="255">
        <v>146</v>
      </c>
      <c r="AE53" s="255">
        <v>130</v>
      </c>
      <c r="AF53" s="255">
        <v>0</v>
      </c>
      <c r="AG53" s="256">
        <v>467</v>
      </c>
      <c r="AH53" s="255">
        <v>0</v>
      </c>
      <c r="AI53" s="255">
        <v>0</v>
      </c>
      <c r="AJ53" s="255">
        <v>0</v>
      </c>
      <c r="AK53" s="254">
        <v>0</v>
      </c>
    </row>
    <row r="54" spans="1:39" ht="13.9" customHeight="1">
      <c r="A54" s="249"/>
      <c r="B54" s="239" t="s">
        <v>78</v>
      </c>
      <c r="C54" s="250">
        <v>5.2652106084243366E-2</v>
      </c>
      <c r="D54" s="251">
        <v>3.6540803897685747E-3</v>
      </c>
      <c r="E54" s="251">
        <v>3.2766990291262135E-2</v>
      </c>
      <c r="F54" s="251">
        <v>7.0063694267515922E-2</v>
      </c>
      <c r="G54" s="251">
        <v>4.1811846689895474E-2</v>
      </c>
      <c r="H54" s="252">
        <v>7.7586206896551727E-2</v>
      </c>
      <c r="I54" s="250">
        <v>4.6825276557054096E-2</v>
      </c>
      <c r="J54" s="250">
        <v>8.2608695652173908E-2</v>
      </c>
      <c r="K54" s="251">
        <v>0.21230769230769231</v>
      </c>
      <c r="L54" s="251">
        <v>0.16763005780346821</v>
      </c>
      <c r="M54" s="251">
        <v>0.13872832369942195</v>
      </c>
      <c r="N54" s="252">
        <v>0</v>
      </c>
      <c r="O54" s="250">
        <v>0.15557337610264635</v>
      </c>
      <c r="P54" s="250">
        <v>0</v>
      </c>
      <c r="Q54" s="251">
        <v>0</v>
      </c>
      <c r="R54" s="252">
        <v>0</v>
      </c>
      <c r="S54" s="250">
        <v>0</v>
      </c>
      <c r="T54" s="253"/>
      <c r="U54" s="254">
        <v>135</v>
      </c>
      <c r="V54" s="255">
        <v>3</v>
      </c>
      <c r="W54" s="255">
        <v>27</v>
      </c>
      <c r="X54" s="255">
        <v>99</v>
      </c>
      <c r="Y54" s="255">
        <v>36</v>
      </c>
      <c r="Z54" s="255">
        <v>9</v>
      </c>
      <c r="AA54" s="256">
        <v>309</v>
      </c>
      <c r="AB54" s="254">
        <v>19</v>
      </c>
      <c r="AC54" s="255">
        <v>69</v>
      </c>
      <c r="AD54" s="255">
        <v>58</v>
      </c>
      <c r="AE54" s="255">
        <v>48</v>
      </c>
      <c r="AF54" s="255">
        <v>0</v>
      </c>
      <c r="AG54" s="256">
        <v>194</v>
      </c>
      <c r="AH54" s="255">
        <v>0</v>
      </c>
      <c r="AI54" s="255">
        <v>0</v>
      </c>
      <c r="AJ54" s="255">
        <v>0</v>
      </c>
      <c r="AK54" s="254">
        <v>0</v>
      </c>
    </row>
    <row r="55" spans="1:39" ht="13.9" customHeight="1">
      <c r="A55" s="249"/>
      <c r="B55" s="239" t="s">
        <v>32</v>
      </c>
      <c r="C55" s="250">
        <v>2.3010920436817472E-2</v>
      </c>
      <c r="D55" s="273">
        <v>3.6540803897685747E-3</v>
      </c>
      <c r="E55" s="273">
        <v>2.4271844660194173E-3</v>
      </c>
      <c r="F55" s="251">
        <v>1.4154281670205238E-3</v>
      </c>
      <c r="G55" s="251">
        <v>0</v>
      </c>
      <c r="H55" s="252">
        <v>8.6206896551724137E-3</v>
      </c>
      <c r="I55" s="250">
        <v>1.0153053492953477E-2</v>
      </c>
      <c r="J55" s="250">
        <v>0</v>
      </c>
      <c r="K55" s="251">
        <v>0</v>
      </c>
      <c r="L55" s="251">
        <v>0</v>
      </c>
      <c r="M55" s="251">
        <v>0</v>
      </c>
      <c r="N55" s="252">
        <v>0</v>
      </c>
      <c r="O55" s="250">
        <v>0</v>
      </c>
      <c r="P55" s="250">
        <v>0</v>
      </c>
      <c r="Q55" s="251">
        <v>0</v>
      </c>
      <c r="R55" s="252">
        <v>0</v>
      </c>
      <c r="S55" s="250">
        <v>0</v>
      </c>
      <c r="T55" s="253"/>
      <c r="U55" s="254">
        <v>59</v>
      </c>
      <c r="V55" s="255">
        <v>3</v>
      </c>
      <c r="W55" s="255">
        <v>2</v>
      </c>
      <c r="X55" s="255">
        <v>2</v>
      </c>
      <c r="Y55" s="255">
        <v>0</v>
      </c>
      <c r="Z55" s="255">
        <v>1</v>
      </c>
      <c r="AA55" s="256">
        <v>67</v>
      </c>
      <c r="AB55" s="254">
        <v>0</v>
      </c>
      <c r="AC55" s="255">
        <v>0</v>
      </c>
      <c r="AD55" s="255">
        <v>0</v>
      </c>
      <c r="AE55" s="255">
        <v>0</v>
      </c>
      <c r="AF55" s="255">
        <v>0</v>
      </c>
      <c r="AG55" s="256">
        <v>0</v>
      </c>
      <c r="AH55" s="255">
        <v>0</v>
      </c>
      <c r="AI55" s="255">
        <v>0</v>
      </c>
      <c r="AJ55" s="255">
        <v>0</v>
      </c>
      <c r="AK55" s="254">
        <v>0</v>
      </c>
    </row>
    <row r="56" spans="1:39" ht="13.9" customHeight="1">
      <c r="A56" s="249"/>
      <c r="B56" s="239" t="s">
        <v>58</v>
      </c>
      <c r="C56" s="250">
        <v>0</v>
      </c>
      <c r="D56" s="251">
        <v>0</v>
      </c>
      <c r="E56" s="251">
        <v>0</v>
      </c>
      <c r="F56" s="251">
        <v>0</v>
      </c>
      <c r="G56" s="251">
        <v>0</v>
      </c>
      <c r="H56" s="252">
        <v>0</v>
      </c>
      <c r="I56" s="250">
        <v>0</v>
      </c>
      <c r="J56" s="250">
        <v>0</v>
      </c>
      <c r="K56" s="251">
        <v>0</v>
      </c>
      <c r="L56" s="251">
        <v>0</v>
      </c>
      <c r="M56" s="251">
        <v>0</v>
      </c>
      <c r="N56" s="252">
        <v>0</v>
      </c>
      <c r="O56" s="250">
        <v>0</v>
      </c>
      <c r="P56" s="250">
        <v>1</v>
      </c>
      <c r="Q56" s="251">
        <v>1</v>
      </c>
      <c r="R56" s="252">
        <v>0</v>
      </c>
      <c r="S56" s="250">
        <v>1</v>
      </c>
      <c r="T56" s="253"/>
      <c r="U56" s="254">
        <v>0</v>
      </c>
      <c r="V56" s="255">
        <v>0</v>
      </c>
      <c r="W56" s="255">
        <v>0</v>
      </c>
      <c r="X56" s="255">
        <v>0</v>
      </c>
      <c r="Y56" s="255">
        <v>0</v>
      </c>
      <c r="Z56" s="255">
        <v>0</v>
      </c>
      <c r="AA56" s="256">
        <v>0</v>
      </c>
      <c r="AB56" s="254">
        <v>0</v>
      </c>
      <c r="AC56" s="255">
        <v>0</v>
      </c>
      <c r="AD56" s="255">
        <v>0</v>
      </c>
      <c r="AE56" s="255">
        <v>0</v>
      </c>
      <c r="AF56" s="255">
        <v>0</v>
      </c>
      <c r="AG56" s="256">
        <v>0</v>
      </c>
      <c r="AH56" s="255">
        <v>1982</v>
      </c>
      <c r="AI56" s="255">
        <v>97</v>
      </c>
      <c r="AJ56" s="255">
        <v>0</v>
      </c>
      <c r="AK56" s="254">
        <v>2079</v>
      </c>
    </row>
    <row r="57" spans="1:39" s="271" customFormat="1" ht="23.45" customHeight="1">
      <c r="A57" s="259"/>
      <c r="B57" s="260" t="s">
        <v>59</v>
      </c>
      <c r="C57" s="261">
        <v>1</v>
      </c>
      <c r="D57" s="262">
        <v>1</v>
      </c>
      <c r="E57" s="262">
        <v>1</v>
      </c>
      <c r="F57" s="262">
        <v>1</v>
      </c>
      <c r="G57" s="262">
        <v>1</v>
      </c>
      <c r="H57" s="263">
        <v>1</v>
      </c>
      <c r="I57" s="261">
        <v>1</v>
      </c>
      <c r="J57" s="261">
        <v>1</v>
      </c>
      <c r="K57" s="262">
        <v>1</v>
      </c>
      <c r="L57" s="262">
        <v>1</v>
      </c>
      <c r="M57" s="262">
        <v>1</v>
      </c>
      <c r="N57" s="263">
        <v>0</v>
      </c>
      <c r="O57" s="261">
        <v>1</v>
      </c>
      <c r="P57" s="261">
        <v>1</v>
      </c>
      <c r="Q57" s="262">
        <v>1</v>
      </c>
      <c r="R57" s="263">
        <v>0</v>
      </c>
      <c r="S57" s="261">
        <v>1</v>
      </c>
      <c r="T57" s="264"/>
      <c r="U57" s="265">
        <v>2564</v>
      </c>
      <c r="V57" s="266">
        <v>821</v>
      </c>
      <c r="W57" s="266">
        <v>824</v>
      </c>
      <c r="X57" s="266">
        <v>1413</v>
      </c>
      <c r="Y57" s="266">
        <v>861</v>
      </c>
      <c r="Z57" s="266">
        <v>116</v>
      </c>
      <c r="AA57" s="267">
        <v>6599</v>
      </c>
      <c r="AB57" s="265">
        <v>230</v>
      </c>
      <c r="AC57" s="266">
        <v>325</v>
      </c>
      <c r="AD57" s="266">
        <v>346</v>
      </c>
      <c r="AE57" s="266">
        <v>346</v>
      </c>
      <c r="AF57" s="268">
        <v>0</v>
      </c>
      <c r="AG57" s="268">
        <v>1247</v>
      </c>
      <c r="AH57" s="265">
        <v>1982</v>
      </c>
      <c r="AI57" s="266">
        <v>97</v>
      </c>
      <c r="AJ57" s="268">
        <v>0</v>
      </c>
      <c r="AK57" s="265">
        <v>2079</v>
      </c>
      <c r="AL57" s="270"/>
      <c r="AM57" s="270"/>
    </row>
    <row r="58" spans="1:39" ht="13.9" customHeight="1">
      <c r="A58" s="239" t="s">
        <v>8</v>
      </c>
      <c r="B58" s="239" t="s">
        <v>53</v>
      </c>
      <c r="C58" s="241">
        <v>0.37799834574028124</v>
      </c>
      <c r="D58" s="242">
        <v>0.41025641025641024</v>
      </c>
      <c r="E58" s="242">
        <v>0.25409836065573771</v>
      </c>
      <c r="F58" s="242">
        <v>0.18859138533178113</v>
      </c>
      <c r="G58" s="242">
        <v>0</v>
      </c>
      <c r="H58" s="243">
        <v>0.1891891891891892</v>
      </c>
      <c r="I58" s="241">
        <v>0.29899607158446095</v>
      </c>
      <c r="J58" s="241">
        <v>0</v>
      </c>
      <c r="K58" s="242">
        <v>0.28358208955223879</v>
      </c>
      <c r="L58" s="242">
        <v>0.2932098765432099</v>
      </c>
      <c r="M58" s="242">
        <v>0.38317757009345793</v>
      </c>
      <c r="N58" s="243">
        <v>0</v>
      </c>
      <c r="O58" s="241">
        <v>0.33260233918128657</v>
      </c>
      <c r="P58" s="241">
        <v>0.13333333333333333</v>
      </c>
      <c r="Q58" s="242">
        <v>0.1125</v>
      </c>
      <c r="R58" s="243">
        <v>0</v>
      </c>
      <c r="S58" s="241">
        <v>0.12307692307692308</v>
      </c>
      <c r="T58" s="253"/>
      <c r="U58" s="245">
        <v>457</v>
      </c>
      <c r="V58" s="246">
        <v>320</v>
      </c>
      <c r="W58" s="246">
        <v>403</v>
      </c>
      <c r="X58" s="246">
        <v>162</v>
      </c>
      <c r="Y58" s="246">
        <v>0</v>
      </c>
      <c r="Z58" s="246">
        <v>28</v>
      </c>
      <c r="AA58" s="247">
        <v>1370</v>
      </c>
      <c r="AB58" s="245">
        <v>0</v>
      </c>
      <c r="AC58" s="246">
        <v>114</v>
      </c>
      <c r="AD58" s="246">
        <v>95</v>
      </c>
      <c r="AE58" s="246">
        <v>246</v>
      </c>
      <c r="AF58" s="246">
        <v>0</v>
      </c>
      <c r="AG58" s="247">
        <v>455</v>
      </c>
      <c r="AH58" s="246">
        <v>44</v>
      </c>
      <c r="AI58" s="246">
        <v>36</v>
      </c>
      <c r="AJ58" s="246">
        <v>0</v>
      </c>
      <c r="AK58" s="245">
        <v>80</v>
      </c>
    </row>
    <row r="59" spans="1:39" ht="13.9" customHeight="1">
      <c r="A59" s="249"/>
      <c r="B59" s="239" t="s">
        <v>93</v>
      </c>
      <c r="C59" s="250">
        <v>0.36311000827129858</v>
      </c>
      <c r="D59" s="251">
        <v>0.2705128205128205</v>
      </c>
      <c r="E59" s="251">
        <v>0.2610340479192938</v>
      </c>
      <c r="F59" s="251">
        <v>0.24447031431897556</v>
      </c>
      <c r="G59" s="251">
        <v>0</v>
      </c>
      <c r="H59" s="252">
        <v>0.3108108108108108</v>
      </c>
      <c r="I59" s="250">
        <v>0.28808380619816676</v>
      </c>
      <c r="J59" s="250">
        <v>0</v>
      </c>
      <c r="K59" s="251">
        <v>0.37810945273631841</v>
      </c>
      <c r="L59" s="251">
        <v>0.36728395061728397</v>
      </c>
      <c r="M59" s="251">
        <v>0.28971962616822428</v>
      </c>
      <c r="N59" s="252">
        <v>0</v>
      </c>
      <c r="O59" s="250">
        <v>0.33406432748538012</v>
      </c>
      <c r="P59" s="250">
        <v>0.26363636363636361</v>
      </c>
      <c r="Q59" s="251">
        <v>0.23125000000000001</v>
      </c>
      <c r="R59" s="252">
        <v>0</v>
      </c>
      <c r="S59" s="250">
        <v>0.24769230769230768</v>
      </c>
      <c r="T59" s="253"/>
      <c r="U59" s="254">
        <v>439</v>
      </c>
      <c r="V59" s="255">
        <v>211</v>
      </c>
      <c r="W59" s="255">
        <v>414</v>
      </c>
      <c r="X59" s="255">
        <v>210</v>
      </c>
      <c r="Y59" s="255">
        <v>0</v>
      </c>
      <c r="Z59" s="255">
        <v>46</v>
      </c>
      <c r="AA59" s="256">
        <v>1320</v>
      </c>
      <c r="AB59" s="254">
        <v>0</v>
      </c>
      <c r="AC59" s="255">
        <v>152</v>
      </c>
      <c r="AD59" s="255">
        <v>119</v>
      </c>
      <c r="AE59" s="255">
        <v>186</v>
      </c>
      <c r="AF59" s="255">
        <v>0</v>
      </c>
      <c r="AG59" s="256">
        <v>457</v>
      </c>
      <c r="AH59" s="255">
        <v>87</v>
      </c>
      <c r="AI59" s="255">
        <v>74</v>
      </c>
      <c r="AJ59" s="255">
        <v>0</v>
      </c>
      <c r="AK59" s="254">
        <v>161</v>
      </c>
    </row>
    <row r="60" spans="1:39" ht="13.9" customHeight="1">
      <c r="A60" s="249"/>
      <c r="B60" s="239" t="s">
        <v>55</v>
      </c>
      <c r="C60" s="250">
        <v>0.20016542597187759</v>
      </c>
      <c r="D60" s="251">
        <v>0.23461538461538461</v>
      </c>
      <c r="E60" s="251">
        <v>0.31336696090794453</v>
      </c>
      <c r="F60" s="251">
        <v>0.29220023282887075</v>
      </c>
      <c r="G60" s="251">
        <v>0</v>
      </c>
      <c r="H60" s="252">
        <v>0.35810810810810811</v>
      </c>
      <c r="I60" s="250">
        <v>0.26756874727193364</v>
      </c>
      <c r="J60" s="250">
        <v>0</v>
      </c>
      <c r="K60" s="251">
        <v>0.17661691542288557</v>
      </c>
      <c r="L60" s="251">
        <v>0.17592592592592593</v>
      </c>
      <c r="M60" s="251">
        <v>0.15732087227414329</v>
      </c>
      <c r="N60" s="252">
        <v>0</v>
      </c>
      <c r="O60" s="250">
        <v>0.16739766081871346</v>
      </c>
      <c r="P60" s="250">
        <v>0.20909090909090908</v>
      </c>
      <c r="Q60" s="251">
        <v>0.25624999999999998</v>
      </c>
      <c r="R60" s="252">
        <v>0</v>
      </c>
      <c r="S60" s="250">
        <v>0.2323076923076923</v>
      </c>
      <c r="T60" s="253"/>
      <c r="U60" s="254">
        <v>242</v>
      </c>
      <c r="V60" s="255">
        <v>183</v>
      </c>
      <c r="W60" s="255">
        <v>497</v>
      </c>
      <c r="X60" s="255">
        <v>251</v>
      </c>
      <c r="Y60" s="255">
        <v>0</v>
      </c>
      <c r="Z60" s="255">
        <v>53</v>
      </c>
      <c r="AA60" s="256">
        <v>1226</v>
      </c>
      <c r="AB60" s="254">
        <v>0</v>
      </c>
      <c r="AC60" s="255">
        <v>71</v>
      </c>
      <c r="AD60" s="255">
        <v>57</v>
      </c>
      <c r="AE60" s="255">
        <v>101</v>
      </c>
      <c r="AF60" s="255">
        <v>0</v>
      </c>
      <c r="AG60" s="256">
        <v>229</v>
      </c>
      <c r="AH60" s="255">
        <v>69</v>
      </c>
      <c r="AI60" s="255">
        <v>82</v>
      </c>
      <c r="AJ60" s="255">
        <v>0</v>
      </c>
      <c r="AK60" s="254">
        <v>151</v>
      </c>
    </row>
    <row r="61" spans="1:39" ht="13.9" customHeight="1">
      <c r="A61" s="249"/>
      <c r="B61" s="239" t="s">
        <v>78</v>
      </c>
      <c r="C61" s="272">
        <v>1.6542597187758478E-3</v>
      </c>
      <c r="D61" s="251">
        <v>5.5128205128205127E-2</v>
      </c>
      <c r="E61" s="251">
        <v>9.2686002522068101E-2</v>
      </c>
      <c r="F61" s="251">
        <v>7.5669383003492435E-2</v>
      </c>
      <c r="G61" s="251">
        <v>0</v>
      </c>
      <c r="H61" s="252">
        <v>0.10810810810810811</v>
      </c>
      <c r="I61" s="250">
        <v>5.9580969009166304E-2</v>
      </c>
      <c r="J61" s="250">
        <v>0</v>
      </c>
      <c r="K61" s="251">
        <v>0.16169154228855723</v>
      </c>
      <c r="L61" s="251">
        <v>0.16358024691358025</v>
      </c>
      <c r="M61" s="251">
        <v>0.16978193146417445</v>
      </c>
      <c r="N61" s="252">
        <v>0</v>
      </c>
      <c r="O61" s="250">
        <v>0.16593567251461988</v>
      </c>
      <c r="P61" s="250">
        <v>0.39393939393939392</v>
      </c>
      <c r="Q61" s="251">
        <v>0.4</v>
      </c>
      <c r="R61" s="252">
        <v>0</v>
      </c>
      <c r="S61" s="250">
        <v>0.39692307692307693</v>
      </c>
      <c r="T61" s="253"/>
      <c r="U61" s="254">
        <v>2</v>
      </c>
      <c r="V61" s="255">
        <v>43</v>
      </c>
      <c r="W61" s="255">
        <v>147</v>
      </c>
      <c r="X61" s="255">
        <v>65</v>
      </c>
      <c r="Y61" s="255">
        <v>0</v>
      </c>
      <c r="Z61" s="255">
        <v>16</v>
      </c>
      <c r="AA61" s="256">
        <v>273</v>
      </c>
      <c r="AB61" s="254">
        <v>0</v>
      </c>
      <c r="AC61" s="255">
        <v>65</v>
      </c>
      <c r="AD61" s="255">
        <v>53</v>
      </c>
      <c r="AE61" s="255">
        <v>109</v>
      </c>
      <c r="AF61" s="255">
        <v>0</v>
      </c>
      <c r="AG61" s="256">
        <v>227</v>
      </c>
      <c r="AH61" s="255">
        <v>130</v>
      </c>
      <c r="AI61" s="255">
        <v>128</v>
      </c>
      <c r="AJ61" s="255">
        <v>0</v>
      </c>
      <c r="AK61" s="254">
        <v>258</v>
      </c>
    </row>
    <row r="62" spans="1:39" ht="13.9" customHeight="1">
      <c r="A62" s="249"/>
      <c r="B62" s="239" t="s">
        <v>32</v>
      </c>
      <c r="C62" s="250">
        <v>5.7071960297766747E-2</v>
      </c>
      <c r="D62" s="251">
        <v>2.9487179487179487E-2</v>
      </c>
      <c r="E62" s="251">
        <v>7.8814627994955866E-2</v>
      </c>
      <c r="F62" s="251">
        <v>0.19906868451688009</v>
      </c>
      <c r="G62" s="251">
        <v>0</v>
      </c>
      <c r="H62" s="252">
        <v>3.3783783783783786E-2</v>
      </c>
      <c r="I62" s="250">
        <v>8.5770405936272373E-2</v>
      </c>
      <c r="J62" s="250">
        <v>0</v>
      </c>
      <c r="K62" s="251">
        <v>0</v>
      </c>
      <c r="L62" s="251">
        <v>0</v>
      </c>
      <c r="M62" s="251">
        <v>0</v>
      </c>
      <c r="N62" s="252">
        <v>0</v>
      </c>
      <c r="O62" s="250">
        <v>0</v>
      </c>
      <c r="P62" s="250">
        <v>0</v>
      </c>
      <c r="Q62" s="251">
        <v>0</v>
      </c>
      <c r="R62" s="252">
        <v>0</v>
      </c>
      <c r="S62" s="250">
        <v>0</v>
      </c>
      <c r="T62" s="253"/>
      <c r="U62" s="254">
        <v>69</v>
      </c>
      <c r="V62" s="255">
        <v>23</v>
      </c>
      <c r="W62" s="255">
        <v>125</v>
      </c>
      <c r="X62" s="255">
        <v>171</v>
      </c>
      <c r="Y62" s="255">
        <v>0</v>
      </c>
      <c r="Z62" s="255">
        <v>5</v>
      </c>
      <c r="AA62" s="256">
        <v>393</v>
      </c>
      <c r="AB62" s="254">
        <v>0</v>
      </c>
      <c r="AC62" s="255">
        <v>0</v>
      </c>
      <c r="AD62" s="255">
        <v>0</v>
      </c>
      <c r="AE62" s="255">
        <v>0</v>
      </c>
      <c r="AF62" s="255">
        <v>0</v>
      </c>
      <c r="AG62" s="256">
        <v>0</v>
      </c>
      <c r="AH62" s="255">
        <v>0</v>
      </c>
      <c r="AI62" s="255">
        <v>0</v>
      </c>
      <c r="AJ62" s="255">
        <v>0</v>
      </c>
      <c r="AK62" s="254">
        <v>0</v>
      </c>
    </row>
    <row r="63" spans="1:39" ht="13.9" customHeight="1">
      <c r="A63" s="249"/>
      <c r="B63" s="239" t="s">
        <v>58</v>
      </c>
      <c r="C63" s="250">
        <v>0</v>
      </c>
      <c r="D63" s="251">
        <v>0</v>
      </c>
      <c r="E63" s="251">
        <v>0</v>
      </c>
      <c r="F63" s="251">
        <v>0</v>
      </c>
      <c r="G63" s="251">
        <v>0</v>
      </c>
      <c r="H63" s="252">
        <v>0</v>
      </c>
      <c r="I63" s="250">
        <v>0</v>
      </c>
      <c r="J63" s="250">
        <v>0</v>
      </c>
      <c r="K63" s="251">
        <v>0</v>
      </c>
      <c r="L63" s="251">
        <v>0</v>
      </c>
      <c r="M63" s="251">
        <v>0</v>
      </c>
      <c r="N63" s="252">
        <v>0</v>
      </c>
      <c r="O63" s="250">
        <v>0</v>
      </c>
      <c r="P63" s="250">
        <v>0</v>
      </c>
      <c r="Q63" s="251">
        <v>0</v>
      </c>
      <c r="R63" s="252">
        <v>0</v>
      </c>
      <c r="S63" s="250">
        <v>0</v>
      </c>
      <c r="T63" s="253"/>
      <c r="U63" s="254">
        <v>0</v>
      </c>
      <c r="V63" s="255">
        <v>0</v>
      </c>
      <c r="W63" s="255">
        <v>0</v>
      </c>
      <c r="X63" s="255">
        <v>0</v>
      </c>
      <c r="Y63" s="255">
        <v>0</v>
      </c>
      <c r="Z63" s="255">
        <v>0</v>
      </c>
      <c r="AA63" s="256">
        <v>0</v>
      </c>
      <c r="AB63" s="254">
        <v>0</v>
      </c>
      <c r="AC63" s="255">
        <v>0</v>
      </c>
      <c r="AD63" s="255">
        <v>0</v>
      </c>
      <c r="AE63" s="255">
        <v>0</v>
      </c>
      <c r="AF63" s="255">
        <v>0</v>
      </c>
      <c r="AG63" s="256">
        <v>0</v>
      </c>
      <c r="AH63" s="255">
        <v>0</v>
      </c>
      <c r="AI63" s="255">
        <v>0</v>
      </c>
      <c r="AJ63" s="255">
        <v>0</v>
      </c>
      <c r="AK63" s="254">
        <v>0</v>
      </c>
    </row>
    <row r="64" spans="1:39" s="271" customFormat="1" ht="23.45" customHeight="1">
      <c r="A64" s="259"/>
      <c r="B64" s="260" t="s">
        <v>59</v>
      </c>
      <c r="C64" s="261">
        <v>1</v>
      </c>
      <c r="D64" s="262">
        <v>1</v>
      </c>
      <c r="E64" s="262">
        <v>1</v>
      </c>
      <c r="F64" s="262">
        <v>1</v>
      </c>
      <c r="G64" s="262">
        <v>0</v>
      </c>
      <c r="H64" s="263">
        <v>1</v>
      </c>
      <c r="I64" s="261">
        <v>1</v>
      </c>
      <c r="J64" s="261">
        <v>0</v>
      </c>
      <c r="K64" s="262">
        <v>1</v>
      </c>
      <c r="L64" s="262">
        <v>1</v>
      </c>
      <c r="M64" s="262">
        <v>1</v>
      </c>
      <c r="N64" s="263">
        <v>0</v>
      </c>
      <c r="O64" s="261">
        <v>1</v>
      </c>
      <c r="P64" s="261">
        <v>1</v>
      </c>
      <c r="Q64" s="262">
        <v>1</v>
      </c>
      <c r="R64" s="263">
        <v>0</v>
      </c>
      <c r="S64" s="261">
        <v>1</v>
      </c>
      <c r="T64" s="264"/>
      <c r="U64" s="265">
        <v>1209</v>
      </c>
      <c r="V64" s="266">
        <v>780</v>
      </c>
      <c r="W64" s="266">
        <v>1586</v>
      </c>
      <c r="X64" s="266">
        <v>859</v>
      </c>
      <c r="Y64" s="266">
        <v>0</v>
      </c>
      <c r="Z64" s="266">
        <v>148</v>
      </c>
      <c r="AA64" s="267">
        <v>4582</v>
      </c>
      <c r="AB64" s="265">
        <v>0</v>
      </c>
      <c r="AC64" s="266">
        <v>402</v>
      </c>
      <c r="AD64" s="266">
        <v>324</v>
      </c>
      <c r="AE64" s="266">
        <v>642</v>
      </c>
      <c r="AF64" s="268">
        <v>0</v>
      </c>
      <c r="AG64" s="268">
        <v>1368</v>
      </c>
      <c r="AH64" s="265">
        <v>330</v>
      </c>
      <c r="AI64" s="266">
        <v>320</v>
      </c>
      <c r="AJ64" s="268">
        <v>0</v>
      </c>
      <c r="AK64" s="265">
        <v>650</v>
      </c>
      <c r="AL64" s="270"/>
      <c r="AM64" s="270"/>
    </row>
    <row r="65" spans="1:39" ht="13.9" customHeight="1">
      <c r="A65" s="239" t="s">
        <v>9</v>
      </c>
      <c r="B65" s="239" t="s">
        <v>53</v>
      </c>
      <c r="C65" s="241">
        <v>0.34792806880375293</v>
      </c>
      <c r="D65" s="242">
        <v>0.31840796019900497</v>
      </c>
      <c r="E65" s="242">
        <v>0.24345757335448057</v>
      </c>
      <c r="F65" s="242">
        <v>0.21121883656509696</v>
      </c>
      <c r="G65" s="242">
        <v>0.16326530612244897</v>
      </c>
      <c r="H65" s="243">
        <v>0</v>
      </c>
      <c r="I65" s="241">
        <v>0.26685082872928179</v>
      </c>
      <c r="J65" s="241">
        <v>0</v>
      </c>
      <c r="K65" s="242">
        <v>0.11275964391691394</v>
      </c>
      <c r="L65" s="242">
        <v>9.6234309623430964E-2</v>
      </c>
      <c r="M65" s="242">
        <v>9.3495934959349589E-2</v>
      </c>
      <c r="N65" s="243">
        <v>0</v>
      </c>
      <c r="O65" s="241">
        <v>0.10218978102189781</v>
      </c>
      <c r="P65" s="241">
        <v>0</v>
      </c>
      <c r="Q65" s="242">
        <v>0</v>
      </c>
      <c r="R65" s="243">
        <v>0</v>
      </c>
      <c r="S65" s="241">
        <v>0</v>
      </c>
      <c r="T65" s="253"/>
      <c r="U65" s="245">
        <v>445</v>
      </c>
      <c r="V65" s="246">
        <v>320</v>
      </c>
      <c r="W65" s="246">
        <v>307</v>
      </c>
      <c r="X65" s="246">
        <v>305</v>
      </c>
      <c r="Y65" s="246">
        <v>72</v>
      </c>
      <c r="Z65" s="246">
        <v>0</v>
      </c>
      <c r="AA65" s="247">
        <v>1449</v>
      </c>
      <c r="AB65" s="245">
        <v>0</v>
      </c>
      <c r="AC65" s="246">
        <v>38</v>
      </c>
      <c r="AD65" s="246">
        <v>23</v>
      </c>
      <c r="AE65" s="246">
        <v>23</v>
      </c>
      <c r="AF65" s="246">
        <v>0</v>
      </c>
      <c r="AG65" s="247">
        <v>84</v>
      </c>
      <c r="AH65" s="246">
        <v>0</v>
      </c>
      <c r="AI65" s="246">
        <v>0</v>
      </c>
      <c r="AJ65" s="246">
        <v>0</v>
      </c>
      <c r="AK65" s="245">
        <v>0</v>
      </c>
    </row>
    <row r="66" spans="1:39" ht="13.9" customHeight="1">
      <c r="A66" s="249"/>
      <c r="B66" s="239" t="s">
        <v>93</v>
      </c>
      <c r="C66" s="250">
        <v>0.19859265050820954</v>
      </c>
      <c r="D66" s="251">
        <v>0.22089552238805971</v>
      </c>
      <c r="E66" s="251">
        <v>0.24662965900079303</v>
      </c>
      <c r="F66" s="251">
        <v>0.20706371191135733</v>
      </c>
      <c r="G66" s="251">
        <v>0.25623582766439912</v>
      </c>
      <c r="H66" s="252">
        <v>0</v>
      </c>
      <c r="I66" s="250">
        <v>0.22081031307550644</v>
      </c>
      <c r="J66" s="250">
        <v>0</v>
      </c>
      <c r="K66" s="251">
        <v>0.3086053412462908</v>
      </c>
      <c r="L66" s="251">
        <v>0.19246861924686193</v>
      </c>
      <c r="M66" s="251">
        <v>0.17886178861788618</v>
      </c>
      <c r="N66" s="252">
        <v>0</v>
      </c>
      <c r="O66" s="250">
        <v>0.23600973236009731</v>
      </c>
      <c r="P66" s="250">
        <v>0</v>
      </c>
      <c r="Q66" s="251">
        <v>0</v>
      </c>
      <c r="R66" s="252">
        <v>0</v>
      </c>
      <c r="S66" s="250">
        <v>0</v>
      </c>
      <c r="T66" s="253"/>
      <c r="U66" s="254">
        <v>254</v>
      </c>
      <c r="V66" s="255">
        <v>222</v>
      </c>
      <c r="W66" s="255">
        <v>311</v>
      </c>
      <c r="X66" s="255">
        <v>299</v>
      </c>
      <c r="Y66" s="255">
        <v>113</v>
      </c>
      <c r="Z66" s="255">
        <v>0</v>
      </c>
      <c r="AA66" s="256">
        <v>1199</v>
      </c>
      <c r="AB66" s="254">
        <v>0</v>
      </c>
      <c r="AC66" s="255">
        <v>104</v>
      </c>
      <c r="AD66" s="255">
        <v>46</v>
      </c>
      <c r="AE66" s="255">
        <v>44</v>
      </c>
      <c r="AF66" s="255">
        <v>0</v>
      </c>
      <c r="AG66" s="256">
        <v>194</v>
      </c>
      <c r="AH66" s="255">
        <v>0</v>
      </c>
      <c r="AI66" s="255">
        <v>0</v>
      </c>
      <c r="AJ66" s="255">
        <v>0</v>
      </c>
      <c r="AK66" s="254">
        <v>0</v>
      </c>
    </row>
    <row r="67" spans="1:39" ht="13.9" customHeight="1">
      <c r="A67" s="249"/>
      <c r="B67" s="239" t="s">
        <v>55</v>
      </c>
      <c r="C67" s="250">
        <v>0.20875684128225175</v>
      </c>
      <c r="D67" s="251">
        <v>0.25572139303482588</v>
      </c>
      <c r="E67" s="251">
        <v>0.34417129262490087</v>
      </c>
      <c r="F67" s="251">
        <v>0.3587257617728532</v>
      </c>
      <c r="G67" s="251">
        <v>0.40362811791383219</v>
      </c>
      <c r="H67" s="252">
        <v>0</v>
      </c>
      <c r="I67" s="250">
        <v>0.30460405156537751</v>
      </c>
      <c r="J67" s="250">
        <v>0</v>
      </c>
      <c r="K67" s="251">
        <v>0.18694362017804153</v>
      </c>
      <c r="L67" s="251">
        <v>0.31380753138075312</v>
      </c>
      <c r="M67" s="251">
        <v>0.34146341463414637</v>
      </c>
      <c r="N67" s="252">
        <v>0</v>
      </c>
      <c r="O67" s="250">
        <v>0.27007299270072993</v>
      </c>
      <c r="P67" s="250">
        <v>0</v>
      </c>
      <c r="Q67" s="251">
        <v>0</v>
      </c>
      <c r="R67" s="252">
        <v>0</v>
      </c>
      <c r="S67" s="250">
        <v>0</v>
      </c>
      <c r="T67" s="253"/>
      <c r="U67" s="254">
        <v>267</v>
      </c>
      <c r="V67" s="255">
        <v>257</v>
      </c>
      <c r="W67" s="255">
        <v>434</v>
      </c>
      <c r="X67" s="255">
        <v>518</v>
      </c>
      <c r="Y67" s="255">
        <v>178</v>
      </c>
      <c r="Z67" s="255">
        <v>0</v>
      </c>
      <c r="AA67" s="256">
        <v>1654</v>
      </c>
      <c r="AB67" s="254">
        <v>0</v>
      </c>
      <c r="AC67" s="255">
        <v>63</v>
      </c>
      <c r="AD67" s="255">
        <v>75</v>
      </c>
      <c r="AE67" s="255">
        <v>84</v>
      </c>
      <c r="AF67" s="255">
        <v>0</v>
      </c>
      <c r="AG67" s="256">
        <v>222</v>
      </c>
      <c r="AH67" s="255">
        <v>0</v>
      </c>
      <c r="AI67" s="255">
        <v>0</v>
      </c>
      <c r="AJ67" s="255">
        <v>0</v>
      </c>
      <c r="AK67" s="254">
        <v>0</v>
      </c>
    </row>
    <row r="68" spans="1:39" ht="13.9" customHeight="1">
      <c r="A68" s="249"/>
      <c r="B68" s="239" t="s">
        <v>78</v>
      </c>
      <c r="C68" s="250">
        <v>0.24472243940578578</v>
      </c>
      <c r="D68" s="251">
        <v>0.20497512437810944</v>
      </c>
      <c r="E68" s="251">
        <v>0.16574147501982553</v>
      </c>
      <c r="F68" s="251">
        <v>0.22299168975069253</v>
      </c>
      <c r="G68" s="251">
        <v>0.17687074829931973</v>
      </c>
      <c r="H68" s="252">
        <v>0</v>
      </c>
      <c r="I68" s="250">
        <v>0.20773480662983426</v>
      </c>
      <c r="J68" s="250">
        <v>0</v>
      </c>
      <c r="K68" s="251">
        <v>0.34124629080118696</v>
      </c>
      <c r="L68" s="251">
        <v>0.39748953974895396</v>
      </c>
      <c r="M68" s="251">
        <v>0.38617886178861788</v>
      </c>
      <c r="N68" s="252">
        <v>0</v>
      </c>
      <c r="O68" s="250">
        <v>0.37104622871046228</v>
      </c>
      <c r="P68" s="250">
        <v>0</v>
      </c>
      <c r="Q68" s="251">
        <v>0</v>
      </c>
      <c r="R68" s="252">
        <v>0</v>
      </c>
      <c r="S68" s="250">
        <v>0</v>
      </c>
      <c r="T68" s="253"/>
      <c r="U68" s="254">
        <v>313</v>
      </c>
      <c r="V68" s="255">
        <v>206</v>
      </c>
      <c r="W68" s="255">
        <v>209</v>
      </c>
      <c r="X68" s="255">
        <v>322</v>
      </c>
      <c r="Y68" s="255">
        <v>78</v>
      </c>
      <c r="Z68" s="255">
        <v>0</v>
      </c>
      <c r="AA68" s="256">
        <v>1128</v>
      </c>
      <c r="AB68" s="254">
        <v>0</v>
      </c>
      <c r="AC68" s="255">
        <v>115</v>
      </c>
      <c r="AD68" s="255">
        <v>95</v>
      </c>
      <c r="AE68" s="255">
        <v>95</v>
      </c>
      <c r="AF68" s="255">
        <v>0</v>
      </c>
      <c r="AG68" s="256">
        <v>305</v>
      </c>
      <c r="AH68" s="255">
        <v>0</v>
      </c>
      <c r="AI68" s="255">
        <v>0</v>
      </c>
      <c r="AJ68" s="255">
        <v>0</v>
      </c>
      <c r="AK68" s="254">
        <v>0</v>
      </c>
    </row>
    <row r="69" spans="1:39" ht="13.9" customHeight="1">
      <c r="A69" s="249"/>
      <c r="B69" s="239" t="s">
        <v>32</v>
      </c>
      <c r="C69" s="250">
        <v>0</v>
      </c>
      <c r="D69" s="273">
        <v>0</v>
      </c>
      <c r="E69" s="251">
        <v>0</v>
      </c>
      <c r="F69" s="251">
        <v>0</v>
      </c>
      <c r="G69" s="251">
        <v>0</v>
      </c>
      <c r="H69" s="252">
        <v>0</v>
      </c>
      <c r="I69" s="272">
        <v>0</v>
      </c>
      <c r="J69" s="250">
        <v>0</v>
      </c>
      <c r="K69" s="251">
        <v>5.0445103857566766E-2</v>
      </c>
      <c r="L69" s="251">
        <v>0</v>
      </c>
      <c r="M69" s="251">
        <v>0</v>
      </c>
      <c r="N69" s="252">
        <v>0</v>
      </c>
      <c r="O69" s="250">
        <v>2.0681265206812651E-2</v>
      </c>
      <c r="P69" s="250">
        <v>0</v>
      </c>
      <c r="Q69" s="251">
        <v>0</v>
      </c>
      <c r="R69" s="252">
        <v>0</v>
      </c>
      <c r="S69" s="250">
        <v>0</v>
      </c>
      <c r="T69" s="253"/>
      <c r="U69" s="254">
        <v>0</v>
      </c>
      <c r="V69" s="255">
        <v>0</v>
      </c>
      <c r="W69" s="255">
        <v>0</v>
      </c>
      <c r="X69" s="255">
        <v>0</v>
      </c>
      <c r="Y69" s="255">
        <v>0</v>
      </c>
      <c r="Z69" s="255">
        <v>0</v>
      </c>
      <c r="AA69" s="256">
        <v>0</v>
      </c>
      <c r="AB69" s="254">
        <v>0</v>
      </c>
      <c r="AC69" s="255">
        <v>17</v>
      </c>
      <c r="AD69" s="255">
        <v>0</v>
      </c>
      <c r="AE69" s="255">
        <v>0</v>
      </c>
      <c r="AF69" s="255">
        <v>0</v>
      </c>
      <c r="AG69" s="256">
        <v>17</v>
      </c>
      <c r="AH69" s="255">
        <v>0</v>
      </c>
      <c r="AI69" s="255">
        <v>0</v>
      </c>
      <c r="AJ69" s="255">
        <v>0</v>
      </c>
      <c r="AK69" s="254">
        <v>0</v>
      </c>
    </row>
    <row r="70" spans="1:39" ht="13.9" customHeight="1">
      <c r="A70" s="249"/>
      <c r="B70" s="239" t="s">
        <v>58</v>
      </c>
      <c r="C70" s="250">
        <v>0</v>
      </c>
      <c r="D70" s="251">
        <v>0</v>
      </c>
      <c r="E70" s="251">
        <v>0</v>
      </c>
      <c r="F70" s="251">
        <v>0</v>
      </c>
      <c r="G70" s="251">
        <v>0</v>
      </c>
      <c r="H70" s="252">
        <v>0</v>
      </c>
      <c r="I70" s="250">
        <v>0</v>
      </c>
      <c r="J70" s="250">
        <v>0</v>
      </c>
      <c r="K70" s="251">
        <v>0</v>
      </c>
      <c r="L70" s="251">
        <v>0</v>
      </c>
      <c r="M70" s="251">
        <v>0</v>
      </c>
      <c r="N70" s="252">
        <v>0</v>
      </c>
      <c r="O70" s="250">
        <v>0</v>
      </c>
      <c r="P70" s="250">
        <v>1</v>
      </c>
      <c r="Q70" s="251">
        <v>1</v>
      </c>
      <c r="R70" s="252">
        <v>1</v>
      </c>
      <c r="S70" s="250">
        <v>1</v>
      </c>
      <c r="T70" s="253"/>
      <c r="U70" s="254">
        <v>0</v>
      </c>
      <c r="V70" s="255">
        <v>0</v>
      </c>
      <c r="W70" s="255">
        <v>0</v>
      </c>
      <c r="X70" s="255">
        <v>0</v>
      </c>
      <c r="Y70" s="255">
        <v>0</v>
      </c>
      <c r="Z70" s="255">
        <v>0</v>
      </c>
      <c r="AA70" s="256">
        <v>0</v>
      </c>
      <c r="AB70" s="254">
        <v>0</v>
      </c>
      <c r="AC70" s="255">
        <v>0</v>
      </c>
      <c r="AD70" s="255">
        <v>0</v>
      </c>
      <c r="AE70" s="255">
        <v>0</v>
      </c>
      <c r="AF70" s="255">
        <v>0</v>
      </c>
      <c r="AG70" s="256">
        <v>0</v>
      </c>
      <c r="AH70" s="255">
        <v>56</v>
      </c>
      <c r="AI70" s="255">
        <v>24</v>
      </c>
      <c r="AJ70" s="255">
        <v>683</v>
      </c>
      <c r="AK70" s="254">
        <v>763</v>
      </c>
    </row>
    <row r="71" spans="1:39" s="271" customFormat="1" ht="23.45" customHeight="1">
      <c r="A71" s="259"/>
      <c r="B71" s="260" t="s">
        <v>59</v>
      </c>
      <c r="C71" s="261">
        <v>1</v>
      </c>
      <c r="D71" s="262">
        <v>1</v>
      </c>
      <c r="E71" s="262">
        <v>1</v>
      </c>
      <c r="F71" s="262">
        <v>1</v>
      </c>
      <c r="G71" s="262">
        <v>1</v>
      </c>
      <c r="H71" s="263">
        <v>0</v>
      </c>
      <c r="I71" s="261">
        <v>1</v>
      </c>
      <c r="J71" s="261">
        <v>0</v>
      </c>
      <c r="K71" s="262">
        <v>1</v>
      </c>
      <c r="L71" s="262">
        <v>1</v>
      </c>
      <c r="M71" s="262">
        <v>1</v>
      </c>
      <c r="N71" s="263">
        <v>0</v>
      </c>
      <c r="O71" s="261">
        <v>1</v>
      </c>
      <c r="P71" s="261">
        <v>1</v>
      </c>
      <c r="Q71" s="262">
        <v>1</v>
      </c>
      <c r="R71" s="263">
        <v>1</v>
      </c>
      <c r="S71" s="261">
        <v>1</v>
      </c>
      <c r="T71" s="264"/>
      <c r="U71" s="265">
        <v>1279</v>
      </c>
      <c r="V71" s="266">
        <v>1005</v>
      </c>
      <c r="W71" s="266">
        <v>1261</v>
      </c>
      <c r="X71" s="266">
        <v>1444</v>
      </c>
      <c r="Y71" s="266">
        <v>441</v>
      </c>
      <c r="Z71" s="266">
        <v>0</v>
      </c>
      <c r="AA71" s="267">
        <v>5430</v>
      </c>
      <c r="AB71" s="265">
        <v>0</v>
      </c>
      <c r="AC71" s="266">
        <v>337</v>
      </c>
      <c r="AD71" s="266">
        <v>239</v>
      </c>
      <c r="AE71" s="266">
        <v>246</v>
      </c>
      <c r="AF71" s="268">
        <v>0</v>
      </c>
      <c r="AG71" s="268">
        <v>822</v>
      </c>
      <c r="AH71" s="265">
        <v>56</v>
      </c>
      <c r="AI71" s="266">
        <v>24</v>
      </c>
      <c r="AJ71" s="268">
        <v>683</v>
      </c>
      <c r="AK71" s="265">
        <v>763</v>
      </c>
      <c r="AL71" s="270"/>
      <c r="AM71" s="270"/>
    </row>
    <row r="72" spans="1:39" ht="13.9" customHeight="1">
      <c r="A72" s="239" t="s">
        <v>10</v>
      </c>
      <c r="B72" s="239" t="s">
        <v>53</v>
      </c>
      <c r="C72" s="241">
        <v>0.43339831059129302</v>
      </c>
      <c r="D72" s="242">
        <v>0.28017241379310343</v>
      </c>
      <c r="E72" s="242">
        <v>0.27823240589198034</v>
      </c>
      <c r="F72" s="242">
        <v>0.21417682926829268</v>
      </c>
      <c r="G72" s="242">
        <v>0.17599999999999999</v>
      </c>
      <c r="H72" s="243">
        <v>0.29365079365079366</v>
      </c>
      <c r="I72" s="241">
        <v>0.31290399808474983</v>
      </c>
      <c r="J72" s="241">
        <v>0</v>
      </c>
      <c r="K72" s="242">
        <v>0.38154808444096949</v>
      </c>
      <c r="L72" s="242">
        <v>0.34387351778656128</v>
      </c>
      <c r="M72" s="242">
        <v>0.28759894459102903</v>
      </c>
      <c r="N72" s="243">
        <v>0</v>
      </c>
      <c r="O72" s="241">
        <v>0.35628465804066545</v>
      </c>
      <c r="P72" s="241">
        <v>0</v>
      </c>
      <c r="Q72" s="242">
        <v>0</v>
      </c>
      <c r="R72" s="243">
        <v>0</v>
      </c>
      <c r="S72" s="241">
        <v>0</v>
      </c>
      <c r="T72" s="253"/>
      <c r="U72" s="245">
        <v>667</v>
      </c>
      <c r="V72" s="246">
        <v>130</v>
      </c>
      <c r="W72" s="246">
        <v>170</v>
      </c>
      <c r="X72" s="246">
        <v>281</v>
      </c>
      <c r="Y72" s="246">
        <v>22</v>
      </c>
      <c r="Z72" s="246">
        <v>37</v>
      </c>
      <c r="AA72" s="247">
        <v>1307</v>
      </c>
      <c r="AB72" s="245">
        <v>0</v>
      </c>
      <c r="AC72" s="246">
        <v>488</v>
      </c>
      <c r="AD72" s="246">
        <v>174</v>
      </c>
      <c r="AE72" s="246">
        <v>109</v>
      </c>
      <c r="AF72" s="246">
        <v>0</v>
      </c>
      <c r="AG72" s="247">
        <v>771</v>
      </c>
      <c r="AH72" s="246">
        <v>0</v>
      </c>
      <c r="AI72" s="246">
        <v>0</v>
      </c>
      <c r="AJ72" s="246">
        <v>0</v>
      </c>
      <c r="AK72" s="245">
        <v>0</v>
      </c>
    </row>
    <row r="73" spans="1:39" ht="13.9" customHeight="1">
      <c r="A73" s="249"/>
      <c r="B73" s="239" t="s">
        <v>93</v>
      </c>
      <c r="C73" s="250">
        <v>0.26055880441845353</v>
      </c>
      <c r="D73" s="251">
        <v>0.29310344827586204</v>
      </c>
      <c r="E73" s="251">
        <v>0.23404255319148937</v>
      </c>
      <c r="F73" s="251">
        <v>0.24695121951219512</v>
      </c>
      <c r="G73" s="251">
        <v>0.24</v>
      </c>
      <c r="H73" s="252">
        <v>0.29365079365079366</v>
      </c>
      <c r="I73" s="250">
        <v>0.25640411778788602</v>
      </c>
      <c r="J73" s="250">
        <v>0</v>
      </c>
      <c r="K73" s="251">
        <v>0.29788897576231432</v>
      </c>
      <c r="L73" s="251">
        <v>0.24110671936758893</v>
      </c>
      <c r="M73" s="251">
        <v>0.29815303430079154</v>
      </c>
      <c r="N73" s="252">
        <v>0</v>
      </c>
      <c r="O73" s="250">
        <v>0.28465804066543438</v>
      </c>
      <c r="P73" s="250">
        <v>0</v>
      </c>
      <c r="Q73" s="251">
        <v>0</v>
      </c>
      <c r="R73" s="252">
        <v>0</v>
      </c>
      <c r="S73" s="250">
        <v>0</v>
      </c>
      <c r="T73" s="253"/>
      <c r="U73" s="254">
        <v>401</v>
      </c>
      <c r="V73" s="255">
        <v>136</v>
      </c>
      <c r="W73" s="255">
        <v>143</v>
      </c>
      <c r="X73" s="255">
        <v>324</v>
      </c>
      <c r="Y73" s="255">
        <v>30</v>
      </c>
      <c r="Z73" s="255">
        <v>37</v>
      </c>
      <c r="AA73" s="256">
        <v>1071</v>
      </c>
      <c r="AB73" s="254">
        <v>0</v>
      </c>
      <c r="AC73" s="255">
        <v>381</v>
      </c>
      <c r="AD73" s="255">
        <v>122</v>
      </c>
      <c r="AE73" s="255">
        <v>113</v>
      </c>
      <c r="AF73" s="255">
        <v>0</v>
      </c>
      <c r="AG73" s="256">
        <v>616</v>
      </c>
      <c r="AH73" s="255">
        <v>0</v>
      </c>
      <c r="AI73" s="255">
        <v>0</v>
      </c>
      <c r="AJ73" s="255">
        <v>0</v>
      </c>
      <c r="AK73" s="254">
        <v>0</v>
      </c>
    </row>
    <row r="74" spans="1:39" ht="13.9" customHeight="1">
      <c r="A74" s="249"/>
      <c r="B74" s="239" t="s">
        <v>55</v>
      </c>
      <c r="C74" s="250">
        <v>0.17738791423001948</v>
      </c>
      <c r="D74" s="251">
        <v>0.26293103448275862</v>
      </c>
      <c r="E74" s="251">
        <v>0.3158756137479542</v>
      </c>
      <c r="F74" s="251">
        <v>0.31402439024390244</v>
      </c>
      <c r="G74" s="251">
        <v>0.40799999999999997</v>
      </c>
      <c r="H74" s="252">
        <v>0.35714285714285715</v>
      </c>
      <c r="I74" s="250">
        <v>0.26238927459899447</v>
      </c>
      <c r="J74" s="250">
        <v>0</v>
      </c>
      <c r="K74" s="251">
        <v>0.27052384675527757</v>
      </c>
      <c r="L74" s="251">
        <v>0.28853754940711462</v>
      </c>
      <c r="M74" s="251">
        <v>0.24802110817941952</v>
      </c>
      <c r="N74" s="252">
        <v>0</v>
      </c>
      <c r="O74" s="250">
        <v>0.27079482439926061</v>
      </c>
      <c r="P74" s="250">
        <v>0</v>
      </c>
      <c r="Q74" s="251">
        <v>0</v>
      </c>
      <c r="R74" s="252">
        <v>0</v>
      </c>
      <c r="S74" s="250">
        <v>0</v>
      </c>
      <c r="T74" s="253"/>
      <c r="U74" s="254">
        <v>273</v>
      </c>
      <c r="V74" s="255">
        <v>122</v>
      </c>
      <c r="W74" s="255">
        <v>193</v>
      </c>
      <c r="X74" s="255">
        <v>412</v>
      </c>
      <c r="Y74" s="255">
        <v>51</v>
      </c>
      <c r="Z74" s="255">
        <v>45</v>
      </c>
      <c r="AA74" s="256">
        <v>1096</v>
      </c>
      <c r="AB74" s="254">
        <v>0</v>
      </c>
      <c r="AC74" s="255">
        <v>346</v>
      </c>
      <c r="AD74" s="255">
        <v>146</v>
      </c>
      <c r="AE74" s="255">
        <v>94</v>
      </c>
      <c r="AF74" s="255">
        <v>0</v>
      </c>
      <c r="AG74" s="256">
        <v>586</v>
      </c>
      <c r="AH74" s="255">
        <v>0</v>
      </c>
      <c r="AI74" s="255">
        <v>0</v>
      </c>
      <c r="AJ74" s="255">
        <v>0</v>
      </c>
      <c r="AK74" s="254">
        <v>0</v>
      </c>
    </row>
    <row r="75" spans="1:39" ht="13.9" customHeight="1">
      <c r="A75" s="249"/>
      <c r="B75" s="239" t="s">
        <v>78</v>
      </c>
      <c r="C75" s="250">
        <v>2.0792722547108511E-2</v>
      </c>
      <c r="D75" s="251">
        <v>4.5258620689655173E-2</v>
      </c>
      <c r="E75" s="251">
        <v>2.9459901800327332E-2</v>
      </c>
      <c r="F75" s="251">
        <v>3.8109756097560975E-2</v>
      </c>
      <c r="G75" s="251">
        <v>2.4E-2</v>
      </c>
      <c r="H75" s="252">
        <v>5.5555555555555552E-2</v>
      </c>
      <c r="I75" s="250">
        <v>3.1362221690208282E-2</v>
      </c>
      <c r="J75" s="250">
        <v>0</v>
      </c>
      <c r="K75" s="251">
        <v>4.7693510555121187E-2</v>
      </c>
      <c r="L75" s="251">
        <v>4.9407114624505928E-2</v>
      </c>
      <c r="M75" s="251">
        <v>0.16358839050131926</v>
      </c>
      <c r="N75" s="252">
        <v>0</v>
      </c>
      <c r="O75" s="250">
        <v>6.839186691312385E-2</v>
      </c>
      <c r="P75" s="250">
        <v>0</v>
      </c>
      <c r="Q75" s="251">
        <v>0</v>
      </c>
      <c r="R75" s="252">
        <v>0</v>
      </c>
      <c r="S75" s="250">
        <v>0</v>
      </c>
      <c r="T75" s="253"/>
      <c r="U75" s="254">
        <v>32</v>
      </c>
      <c r="V75" s="255">
        <v>21</v>
      </c>
      <c r="W75" s="255">
        <v>18</v>
      </c>
      <c r="X75" s="255">
        <v>50</v>
      </c>
      <c r="Y75" s="255">
        <v>3</v>
      </c>
      <c r="Z75" s="255">
        <v>7</v>
      </c>
      <c r="AA75" s="256">
        <v>131</v>
      </c>
      <c r="AB75" s="254">
        <v>0</v>
      </c>
      <c r="AC75" s="255">
        <v>61</v>
      </c>
      <c r="AD75" s="255">
        <v>25</v>
      </c>
      <c r="AE75" s="255">
        <v>62</v>
      </c>
      <c r="AF75" s="255">
        <v>0</v>
      </c>
      <c r="AG75" s="256">
        <v>148</v>
      </c>
      <c r="AH75" s="255">
        <v>0</v>
      </c>
      <c r="AI75" s="255">
        <v>0</v>
      </c>
      <c r="AJ75" s="255">
        <v>0</v>
      </c>
      <c r="AK75" s="254">
        <v>0</v>
      </c>
    </row>
    <row r="76" spans="1:39" ht="13.9" customHeight="1">
      <c r="A76" s="249"/>
      <c r="B76" s="239" t="s">
        <v>32</v>
      </c>
      <c r="C76" s="250">
        <v>0.1078622482131254</v>
      </c>
      <c r="D76" s="251">
        <v>0.11853448275862069</v>
      </c>
      <c r="E76" s="251">
        <v>0.14238952536824878</v>
      </c>
      <c r="F76" s="251">
        <v>0.18673780487804878</v>
      </c>
      <c r="G76" s="251">
        <v>0.152</v>
      </c>
      <c r="H76" s="252">
        <v>0</v>
      </c>
      <c r="I76" s="250">
        <v>0.13694038783816137</v>
      </c>
      <c r="J76" s="250">
        <v>0</v>
      </c>
      <c r="K76" s="251">
        <v>2.3455824863174357E-3</v>
      </c>
      <c r="L76" s="251">
        <v>7.7075098814229248E-2</v>
      </c>
      <c r="M76" s="251">
        <v>2.6385224274406332E-3</v>
      </c>
      <c r="N76" s="252">
        <v>0</v>
      </c>
      <c r="O76" s="272">
        <v>1.9870609981515713E-2</v>
      </c>
      <c r="P76" s="250">
        <v>0</v>
      </c>
      <c r="Q76" s="251">
        <v>0</v>
      </c>
      <c r="R76" s="252">
        <v>0</v>
      </c>
      <c r="S76" s="250">
        <v>0</v>
      </c>
      <c r="T76" s="253"/>
      <c r="U76" s="254">
        <v>166</v>
      </c>
      <c r="V76" s="255">
        <v>55</v>
      </c>
      <c r="W76" s="255">
        <v>87</v>
      </c>
      <c r="X76" s="255">
        <v>245</v>
      </c>
      <c r="Y76" s="255">
        <v>19</v>
      </c>
      <c r="Z76" s="255">
        <v>0</v>
      </c>
      <c r="AA76" s="256">
        <v>572</v>
      </c>
      <c r="AB76" s="254">
        <v>0</v>
      </c>
      <c r="AC76" s="255">
        <v>3</v>
      </c>
      <c r="AD76" s="255">
        <v>39</v>
      </c>
      <c r="AE76" s="255">
        <v>1</v>
      </c>
      <c r="AF76" s="255">
        <v>0</v>
      </c>
      <c r="AG76" s="256">
        <v>43</v>
      </c>
      <c r="AH76" s="255">
        <v>0</v>
      </c>
      <c r="AI76" s="255">
        <v>0</v>
      </c>
      <c r="AJ76" s="255">
        <v>0</v>
      </c>
      <c r="AK76" s="254">
        <v>0</v>
      </c>
    </row>
    <row r="77" spans="1:39" ht="13.9" customHeight="1">
      <c r="A77" s="249"/>
      <c r="B77" s="239" t="s">
        <v>58</v>
      </c>
      <c r="C77" s="250">
        <v>0</v>
      </c>
      <c r="D77" s="251">
        <v>0</v>
      </c>
      <c r="E77" s="251">
        <v>0</v>
      </c>
      <c r="F77" s="251">
        <v>0</v>
      </c>
      <c r="G77" s="251">
        <v>0</v>
      </c>
      <c r="H77" s="252">
        <v>0</v>
      </c>
      <c r="I77" s="250">
        <v>0</v>
      </c>
      <c r="J77" s="250">
        <v>0</v>
      </c>
      <c r="K77" s="251">
        <v>0</v>
      </c>
      <c r="L77" s="251">
        <v>0</v>
      </c>
      <c r="M77" s="251">
        <v>0</v>
      </c>
      <c r="N77" s="252">
        <v>0</v>
      </c>
      <c r="O77" s="250">
        <v>0</v>
      </c>
      <c r="P77" s="250">
        <v>0</v>
      </c>
      <c r="Q77" s="251">
        <v>0</v>
      </c>
      <c r="R77" s="252">
        <v>0</v>
      </c>
      <c r="S77" s="250">
        <v>0</v>
      </c>
      <c r="T77" s="253"/>
      <c r="U77" s="254">
        <v>0</v>
      </c>
      <c r="V77" s="255">
        <v>0</v>
      </c>
      <c r="W77" s="255">
        <v>0</v>
      </c>
      <c r="X77" s="255">
        <v>0</v>
      </c>
      <c r="Y77" s="255">
        <v>0</v>
      </c>
      <c r="Z77" s="255">
        <v>0</v>
      </c>
      <c r="AA77" s="256">
        <v>0</v>
      </c>
      <c r="AB77" s="254">
        <v>0</v>
      </c>
      <c r="AC77" s="255">
        <v>0</v>
      </c>
      <c r="AD77" s="255">
        <v>0</v>
      </c>
      <c r="AE77" s="255">
        <v>0</v>
      </c>
      <c r="AF77" s="255">
        <v>0</v>
      </c>
      <c r="AG77" s="256">
        <v>0</v>
      </c>
      <c r="AH77" s="255">
        <v>0</v>
      </c>
      <c r="AI77" s="255">
        <v>0</v>
      </c>
      <c r="AJ77" s="255">
        <v>0</v>
      </c>
      <c r="AK77" s="254">
        <v>0</v>
      </c>
    </row>
    <row r="78" spans="1:39" s="271" customFormat="1" ht="23.45" customHeight="1">
      <c r="A78" s="259"/>
      <c r="B78" s="260" t="s">
        <v>59</v>
      </c>
      <c r="C78" s="261">
        <v>1</v>
      </c>
      <c r="D78" s="262">
        <v>1</v>
      </c>
      <c r="E78" s="262">
        <v>1</v>
      </c>
      <c r="F78" s="262">
        <v>1</v>
      </c>
      <c r="G78" s="262">
        <v>1</v>
      </c>
      <c r="H78" s="263">
        <v>1</v>
      </c>
      <c r="I78" s="261">
        <v>1</v>
      </c>
      <c r="J78" s="261">
        <v>0</v>
      </c>
      <c r="K78" s="262">
        <v>1</v>
      </c>
      <c r="L78" s="262">
        <v>1</v>
      </c>
      <c r="M78" s="262">
        <v>1</v>
      </c>
      <c r="N78" s="263">
        <v>0</v>
      </c>
      <c r="O78" s="261">
        <v>1</v>
      </c>
      <c r="P78" s="261">
        <v>0</v>
      </c>
      <c r="Q78" s="262">
        <v>0</v>
      </c>
      <c r="R78" s="263">
        <v>0</v>
      </c>
      <c r="S78" s="261">
        <v>0</v>
      </c>
      <c r="T78" s="264"/>
      <c r="U78" s="265">
        <v>1539</v>
      </c>
      <c r="V78" s="266">
        <v>464</v>
      </c>
      <c r="W78" s="266">
        <v>611</v>
      </c>
      <c r="X78" s="266">
        <v>1312</v>
      </c>
      <c r="Y78" s="266">
        <v>125</v>
      </c>
      <c r="Z78" s="266">
        <v>126</v>
      </c>
      <c r="AA78" s="267">
        <v>4177</v>
      </c>
      <c r="AB78" s="265">
        <v>0</v>
      </c>
      <c r="AC78" s="266">
        <v>1279</v>
      </c>
      <c r="AD78" s="266">
        <v>506</v>
      </c>
      <c r="AE78" s="266">
        <v>379</v>
      </c>
      <c r="AF78" s="268">
        <v>0</v>
      </c>
      <c r="AG78" s="268">
        <v>2164</v>
      </c>
      <c r="AH78" s="265">
        <v>0</v>
      </c>
      <c r="AI78" s="266">
        <v>0</v>
      </c>
      <c r="AJ78" s="268">
        <v>0</v>
      </c>
      <c r="AK78" s="265">
        <v>0</v>
      </c>
      <c r="AL78" s="270"/>
      <c r="AM78" s="270"/>
    </row>
    <row r="79" spans="1:39" ht="13.9" customHeight="1">
      <c r="A79" s="239" t="s">
        <v>11</v>
      </c>
      <c r="B79" s="239" t="s">
        <v>53</v>
      </c>
      <c r="C79" s="241">
        <v>0.31868131868131866</v>
      </c>
      <c r="D79" s="242">
        <v>0.30797546012269938</v>
      </c>
      <c r="E79" s="242">
        <v>0.18258426966292135</v>
      </c>
      <c r="F79" s="242">
        <v>0.24277456647398843</v>
      </c>
      <c r="G79" s="242">
        <v>0.20491803278688525</v>
      </c>
      <c r="H79" s="243">
        <v>0</v>
      </c>
      <c r="I79" s="241">
        <v>0.28135698723934016</v>
      </c>
      <c r="J79" s="241">
        <v>0</v>
      </c>
      <c r="K79" s="242">
        <v>0</v>
      </c>
      <c r="L79" s="242">
        <v>0</v>
      </c>
      <c r="M79" s="242">
        <v>0</v>
      </c>
      <c r="N79" s="243">
        <v>0</v>
      </c>
      <c r="O79" s="241">
        <v>0</v>
      </c>
      <c r="P79" s="241">
        <v>0</v>
      </c>
      <c r="Q79" s="242">
        <v>0</v>
      </c>
      <c r="R79" s="243">
        <v>0</v>
      </c>
      <c r="S79" s="241">
        <v>0</v>
      </c>
      <c r="T79" s="253"/>
      <c r="U79" s="245">
        <v>203</v>
      </c>
      <c r="V79" s="246">
        <v>502</v>
      </c>
      <c r="W79" s="246">
        <v>65</v>
      </c>
      <c r="X79" s="246">
        <v>84</v>
      </c>
      <c r="Y79" s="246">
        <v>50</v>
      </c>
      <c r="Z79" s="246">
        <v>0</v>
      </c>
      <c r="AA79" s="247">
        <v>904</v>
      </c>
      <c r="AB79" s="245">
        <v>0</v>
      </c>
      <c r="AC79" s="246">
        <v>0</v>
      </c>
      <c r="AD79" s="246">
        <v>0</v>
      </c>
      <c r="AE79" s="246">
        <v>0</v>
      </c>
      <c r="AF79" s="246">
        <v>0</v>
      </c>
      <c r="AG79" s="247">
        <v>0</v>
      </c>
      <c r="AH79" s="246">
        <v>0</v>
      </c>
      <c r="AI79" s="246">
        <v>0</v>
      </c>
      <c r="AJ79" s="246">
        <v>0</v>
      </c>
      <c r="AK79" s="245">
        <v>0</v>
      </c>
    </row>
    <row r="80" spans="1:39" ht="13.9" customHeight="1">
      <c r="A80" s="249"/>
      <c r="B80" s="239" t="s">
        <v>93</v>
      </c>
      <c r="C80" s="250">
        <v>0.22605965463108321</v>
      </c>
      <c r="D80" s="251">
        <v>0.24233128834355827</v>
      </c>
      <c r="E80" s="251">
        <v>0.23314606741573032</v>
      </c>
      <c r="F80" s="251">
        <v>0.16184971098265896</v>
      </c>
      <c r="G80" s="251">
        <v>0.18032786885245902</v>
      </c>
      <c r="H80" s="252">
        <v>0</v>
      </c>
      <c r="I80" s="250">
        <v>0.22471210706504824</v>
      </c>
      <c r="J80" s="250">
        <v>0</v>
      </c>
      <c r="K80" s="251">
        <v>0</v>
      </c>
      <c r="L80" s="251">
        <v>0</v>
      </c>
      <c r="M80" s="251">
        <v>0</v>
      </c>
      <c r="N80" s="252">
        <v>0</v>
      </c>
      <c r="O80" s="250">
        <v>0</v>
      </c>
      <c r="P80" s="250">
        <v>0</v>
      </c>
      <c r="Q80" s="251">
        <v>0</v>
      </c>
      <c r="R80" s="252">
        <v>0</v>
      </c>
      <c r="S80" s="250">
        <v>0</v>
      </c>
      <c r="T80" s="253"/>
      <c r="U80" s="254">
        <v>144</v>
      </c>
      <c r="V80" s="255">
        <v>395</v>
      </c>
      <c r="W80" s="255">
        <v>83</v>
      </c>
      <c r="X80" s="255">
        <v>56</v>
      </c>
      <c r="Y80" s="255">
        <v>44</v>
      </c>
      <c r="Z80" s="255">
        <v>0</v>
      </c>
      <c r="AA80" s="256">
        <v>722</v>
      </c>
      <c r="AB80" s="254">
        <v>0</v>
      </c>
      <c r="AC80" s="255">
        <v>0</v>
      </c>
      <c r="AD80" s="255">
        <v>0</v>
      </c>
      <c r="AE80" s="255">
        <v>0</v>
      </c>
      <c r="AF80" s="255">
        <v>0</v>
      </c>
      <c r="AG80" s="256">
        <v>0</v>
      </c>
      <c r="AH80" s="255">
        <v>0</v>
      </c>
      <c r="AI80" s="255">
        <v>0</v>
      </c>
      <c r="AJ80" s="255">
        <v>0</v>
      </c>
      <c r="AK80" s="254">
        <v>0</v>
      </c>
    </row>
    <row r="81" spans="1:39" ht="13.9" customHeight="1">
      <c r="A81" s="249"/>
      <c r="B81" s="239" t="s">
        <v>55</v>
      </c>
      <c r="C81" s="250">
        <v>0.28414442700156983</v>
      </c>
      <c r="D81" s="251">
        <v>0.31349693251533745</v>
      </c>
      <c r="E81" s="251">
        <v>0.398876404494382</v>
      </c>
      <c r="F81" s="251">
        <v>0.29768786127167629</v>
      </c>
      <c r="G81" s="251">
        <v>0.37295081967213117</v>
      </c>
      <c r="H81" s="252">
        <v>0</v>
      </c>
      <c r="I81" s="250">
        <v>0.31995020230314347</v>
      </c>
      <c r="J81" s="250">
        <v>0</v>
      </c>
      <c r="K81" s="251">
        <v>0</v>
      </c>
      <c r="L81" s="251">
        <v>0</v>
      </c>
      <c r="M81" s="251">
        <v>0</v>
      </c>
      <c r="N81" s="252">
        <v>0</v>
      </c>
      <c r="O81" s="250">
        <v>0</v>
      </c>
      <c r="P81" s="250">
        <v>0</v>
      </c>
      <c r="Q81" s="251">
        <v>0</v>
      </c>
      <c r="R81" s="252">
        <v>0</v>
      </c>
      <c r="S81" s="250">
        <v>0</v>
      </c>
      <c r="T81" s="253"/>
      <c r="U81" s="254">
        <v>181</v>
      </c>
      <c r="V81" s="255">
        <v>511</v>
      </c>
      <c r="W81" s="255">
        <v>142</v>
      </c>
      <c r="X81" s="255">
        <v>103</v>
      </c>
      <c r="Y81" s="255">
        <v>91</v>
      </c>
      <c r="Z81" s="255">
        <v>0</v>
      </c>
      <c r="AA81" s="256">
        <v>1028</v>
      </c>
      <c r="AB81" s="254">
        <v>0</v>
      </c>
      <c r="AC81" s="255">
        <v>0</v>
      </c>
      <c r="AD81" s="255">
        <v>0</v>
      </c>
      <c r="AE81" s="255">
        <v>0</v>
      </c>
      <c r="AF81" s="255">
        <v>0</v>
      </c>
      <c r="AG81" s="256">
        <v>0</v>
      </c>
      <c r="AH81" s="255">
        <v>0</v>
      </c>
      <c r="AI81" s="255">
        <v>0</v>
      </c>
      <c r="AJ81" s="255">
        <v>0</v>
      </c>
      <c r="AK81" s="254">
        <v>0</v>
      </c>
    </row>
    <row r="82" spans="1:39" ht="13.9" customHeight="1">
      <c r="A82" s="249"/>
      <c r="B82" s="239" t="s">
        <v>78</v>
      </c>
      <c r="C82" s="250">
        <v>0.16797488226059654</v>
      </c>
      <c r="D82" s="251">
        <v>0.11226993865030675</v>
      </c>
      <c r="E82" s="251">
        <v>0.1853932584269663</v>
      </c>
      <c r="F82" s="251">
        <v>0.29768786127167629</v>
      </c>
      <c r="G82" s="251">
        <v>0.24180327868852458</v>
      </c>
      <c r="H82" s="252">
        <v>0</v>
      </c>
      <c r="I82" s="250">
        <v>0.16122004357298475</v>
      </c>
      <c r="J82" s="250">
        <v>0</v>
      </c>
      <c r="K82" s="251">
        <v>0</v>
      </c>
      <c r="L82" s="251">
        <v>0</v>
      </c>
      <c r="M82" s="251">
        <v>0</v>
      </c>
      <c r="N82" s="252">
        <v>0</v>
      </c>
      <c r="O82" s="250">
        <v>0</v>
      </c>
      <c r="P82" s="250">
        <v>0</v>
      </c>
      <c r="Q82" s="251">
        <v>0</v>
      </c>
      <c r="R82" s="252">
        <v>0</v>
      </c>
      <c r="S82" s="250">
        <v>0</v>
      </c>
      <c r="T82" s="253"/>
      <c r="U82" s="254">
        <v>107</v>
      </c>
      <c r="V82" s="255">
        <v>183</v>
      </c>
      <c r="W82" s="255">
        <v>66</v>
      </c>
      <c r="X82" s="255">
        <v>103</v>
      </c>
      <c r="Y82" s="255">
        <v>59</v>
      </c>
      <c r="Z82" s="255">
        <v>0</v>
      </c>
      <c r="AA82" s="256">
        <v>518</v>
      </c>
      <c r="AB82" s="254">
        <v>0</v>
      </c>
      <c r="AC82" s="255">
        <v>0</v>
      </c>
      <c r="AD82" s="255">
        <v>0</v>
      </c>
      <c r="AE82" s="255">
        <v>0</v>
      </c>
      <c r="AF82" s="255">
        <v>0</v>
      </c>
      <c r="AG82" s="256">
        <v>0</v>
      </c>
      <c r="AH82" s="255">
        <v>0</v>
      </c>
      <c r="AI82" s="255">
        <v>0</v>
      </c>
      <c r="AJ82" s="255">
        <v>0</v>
      </c>
      <c r="AK82" s="254">
        <v>0</v>
      </c>
    </row>
    <row r="83" spans="1:39" ht="13.9" customHeight="1">
      <c r="A83" s="249"/>
      <c r="B83" s="239" t="s">
        <v>32</v>
      </c>
      <c r="C83" s="250">
        <v>3.1397174254317113E-3</v>
      </c>
      <c r="D83" s="251">
        <v>2.392638036809816E-2</v>
      </c>
      <c r="E83" s="251">
        <v>0</v>
      </c>
      <c r="F83" s="251">
        <v>0</v>
      </c>
      <c r="G83" s="251">
        <v>0</v>
      </c>
      <c r="H83" s="252">
        <v>0</v>
      </c>
      <c r="I83" s="250">
        <v>1.2760659819483348E-2</v>
      </c>
      <c r="J83" s="250">
        <v>0</v>
      </c>
      <c r="K83" s="251">
        <v>0</v>
      </c>
      <c r="L83" s="251">
        <v>0</v>
      </c>
      <c r="M83" s="251">
        <v>0</v>
      </c>
      <c r="N83" s="252">
        <v>0</v>
      </c>
      <c r="O83" s="250">
        <v>0</v>
      </c>
      <c r="P83" s="250">
        <v>0</v>
      </c>
      <c r="Q83" s="251">
        <v>0</v>
      </c>
      <c r="R83" s="252">
        <v>0</v>
      </c>
      <c r="S83" s="250">
        <v>0</v>
      </c>
      <c r="T83" s="253"/>
      <c r="U83" s="254">
        <v>2</v>
      </c>
      <c r="V83" s="255">
        <v>39</v>
      </c>
      <c r="W83" s="255">
        <v>0</v>
      </c>
      <c r="X83" s="255">
        <v>0</v>
      </c>
      <c r="Y83" s="255">
        <v>0</v>
      </c>
      <c r="Z83" s="255">
        <v>0</v>
      </c>
      <c r="AA83" s="256">
        <v>41</v>
      </c>
      <c r="AB83" s="254">
        <v>0</v>
      </c>
      <c r="AC83" s="255">
        <v>0</v>
      </c>
      <c r="AD83" s="255">
        <v>0</v>
      </c>
      <c r="AE83" s="255">
        <v>0</v>
      </c>
      <c r="AF83" s="255">
        <v>0</v>
      </c>
      <c r="AG83" s="256">
        <v>0</v>
      </c>
      <c r="AH83" s="255">
        <v>0</v>
      </c>
      <c r="AI83" s="255">
        <v>0</v>
      </c>
      <c r="AJ83" s="255">
        <v>0</v>
      </c>
      <c r="AK83" s="254">
        <v>0</v>
      </c>
    </row>
    <row r="84" spans="1:39" ht="13.9" customHeight="1">
      <c r="A84" s="249"/>
      <c r="B84" s="239" t="s">
        <v>58</v>
      </c>
      <c r="C84" s="250">
        <v>0</v>
      </c>
      <c r="D84" s="251">
        <v>0</v>
      </c>
      <c r="E84" s="251">
        <v>0</v>
      </c>
      <c r="F84" s="251">
        <v>0</v>
      </c>
      <c r="G84" s="251">
        <v>0</v>
      </c>
      <c r="H84" s="252">
        <v>0</v>
      </c>
      <c r="I84" s="250">
        <v>0</v>
      </c>
      <c r="J84" s="250">
        <v>0</v>
      </c>
      <c r="K84" s="251">
        <v>1</v>
      </c>
      <c r="L84" s="251">
        <v>1</v>
      </c>
      <c r="M84" s="251">
        <v>1</v>
      </c>
      <c r="N84" s="252">
        <v>0</v>
      </c>
      <c r="O84" s="250">
        <v>1</v>
      </c>
      <c r="P84" s="250">
        <v>0</v>
      </c>
      <c r="Q84" s="251">
        <v>0</v>
      </c>
      <c r="R84" s="252">
        <v>0</v>
      </c>
      <c r="S84" s="250">
        <v>0</v>
      </c>
      <c r="T84" s="253"/>
      <c r="U84" s="254">
        <v>0</v>
      </c>
      <c r="V84" s="255">
        <v>0</v>
      </c>
      <c r="W84" s="255">
        <v>0</v>
      </c>
      <c r="X84" s="255">
        <v>0</v>
      </c>
      <c r="Y84" s="255">
        <v>0</v>
      </c>
      <c r="Z84" s="255">
        <v>0</v>
      </c>
      <c r="AA84" s="256">
        <v>0</v>
      </c>
      <c r="AB84" s="254">
        <v>0</v>
      </c>
      <c r="AC84" s="255">
        <v>774.8</v>
      </c>
      <c r="AD84" s="255">
        <v>1359.5</v>
      </c>
      <c r="AE84" s="255">
        <v>223</v>
      </c>
      <c r="AF84" s="255">
        <v>0</v>
      </c>
      <c r="AG84" s="256">
        <v>2357.3000000000002</v>
      </c>
      <c r="AH84" s="255">
        <v>0</v>
      </c>
      <c r="AI84" s="255">
        <v>0</v>
      </c>
      <c r="AJ84" s="255">
        <v>0</v>
      </c>
      <c r="AK84" s="254">
        <v>0</v>
      </c>
    </row>
    <row r="85" spans="1:39" s="271" customFormat="1" ht="23.45" customHeight="1">
      <c r="A85" s="259"/>
      <c r="B85" s="260" t="s">
        <v>59</v>
      </c>
      <c r="C85" s="261">
        <v>1</v>
      </c>
      <c r="D85" s="262">
        <v>1</v>
      </c>
      <c r="E85" s="262">
        <v>1</v>
      </c>
      <c r="F85" s="262">
        <v>1</v>
      </c>
      <c r="G85" s="262">
        <v>1</v>
      </c>
      <c r="H85" s="263">
        <v>0</v>
      </c>
      <c r="I85" s="261">
        <v>1</v>
      </c>
      <c r="J85" s="261">
        <v>0</v>
      </c>
      <c r="K85" s="262">
        <v>1</v>
      </c>
      <c r="L85" s="262">
        <v>1</v>
      </c>
      <c r="M85" s="262">
        <v>1</v>
      </c>
      <c r="N85" s="263">
        <v>0</v>
      </c>
      <c r="O85" s="261">
        <v>1</v>
      </c>
      <c r="P85" s="261">
        <v>0</v>
      </c>
      <c r="Q85" s="262">
        <v>0</v>
      </c>
      <c r="R85" s="263">
        <v>0</v>
      </c>
      <c r="S85" s="261">
        <v>0</v>
      </c>
      <c r="T85" s="264"/>
      <c r="U85" s="265">
        <v>637</v>
      </c>
      <c r="V85" s="266">
        <v>1630</v>
      </c>
      <c r="W85" s="266">
        <v>356</v>
      </c>
      <c r="X85" s="266">
        <v>346</v>
      </c>
      <c r="Y85" s="266">
        <v>244</v>
      </c>
      <c r="Z85" s="266">
        <v>0</v>
      </c>
      <c r="AA85" s="267">
        <v>3213</v>
      </c>
      <c r="AB85" s="265">
        <v>0</v>
      </c>
      <c r="AC85" s="266">
        <v>774.8</v>
      </c>
      <c r="AD85" s="266">
        <v>1359.5</v>
      </c>
      <c r="AE85" s="266">
        <v>223</v>
      </c>
      <c r="AF85" s="268">
        <v>0</v>
      </c>
      <c r="AG85" s="268">
        <v>2357.3000000000002</v>
      </c>
      <c r="AH85" s="265">
        <v>0</v>
      </c>
      <c r="AI85" s="266">
        <v>0</v>
      </c>
      <c r="AJ85" s="268">
        <v>0</v>
      </c>
      <c r="AK85" s="265">
        <v>0</v>
      </c>
      <c r="AL85" s="270"/>
      <c r="AM85" s="270"/>
    </row>
    <row r="86" spans="1:39" ht="13.9" customHeight="1">
      <c r="A86" s="239" t="s">
        <v>12</v>
      </c>
      <c r="B86" s="239" t="s">
        <v>53</v>
      </c>
      <c r="C86" s="241">
        <v>0.40638803941556234</v>
      </c>
      <c r="D86" s="242">
        <v>0.22448979591836735</v>
      </c>
      <c r="E86" s="242">
        <v>0.25654307524536535</v>
      </c>
      <c r="F86" s="242">
        <v>0.20276497695852536</v>
      </c>
      <c r="G86" s="242">
        <v>0.19801980198019803</v>
      </c>
      <c r="H86" s="243">
        <v>0.27500000000000002</v>
      </c>
      <c r="I86" s="241">
        <v>0.30588091752074181</v>
      </c>
      <c r="J86" s="241">
        <v>0</v>
      </c>
      <c r="K86" s="242">
        <v>0</v>
      </c>
      <c r="L86" s="242">
        <v>0</v>
      </c>
      <c r="M86" s="242">
        <v>0</v>
      </c>
      <c r="N86" s="243">
        <v>0</v>
      </c>
      <c r="O86" s="241">
        <v>0</v>
      </c>
      <c r="P86" s="241">
        <v>0</v>
      </c>
      <c r="Q86" s="242">
        <v>0</v>
      </c>
      <c r="R86" s="243">
        <v>0</v>
      </c>
      <c r="S86" s="241">
        <v>0</v>
      </c>
      <c r="T86" s="253"/>
      <c r="U86" s="245">
        <v>1196</v>
      </c>
      <c r="V86" s="246">
        <v>154</v>
      </c>
      <c r="W86" s="246">
        <v>941</v>
      </c>
      <c r="X86" s="246">
        <v>44</v>
      </c>
      <c r="Y86" s="246">
        <v>40</v>
      </c>
      <c r="Z86" s="246">
        <v>132</v>
      </c>
      <c r="AA86" s="247">
        <v>2507</v>
      </c>
      <c r="AB86" s="245">
        <v>0</v>
      </c>
      <c r="AC86" s="246">
        <v>0</v>
      </c>
      <c r="AD86" s="246">
        <v>0</v>
      </c>
      <c r="AE86" s="246">
        <v>0</v>
      </c>
      <c r="AF86" s="246">
        <v>0</v>
      </c>
      <c r="AG86" s="247">
        <v>0</v>
      </c>
      <c r="AH86" s="246">
        <v>0</v>
      </c>
      <c r="AI86" s="246">
        <v>0</v>
      </c>
      <c r="AJ86" s="246">
        <v>0</v>
      </c>
      <c r="AK86" s="245">
        <v>0</v>
      </c>
    </row>
    <row r="87" spans="1:39" ht="13.9" customHeight="1">
      <c r="A87" s="249"/>
      <c r="B87" s="239" t="s">
        <v>93</v>
      </c>
      <c r="C87" s="250">
        <v>0.23989126741420319</v>
      </c>
      <c r="D87" s="251">
        <v>0.23615160349854228</v>
      </c>
      <c r="E87" s="251">
        <v>0.28380588876772084</v>
      </c>
      <c r="F87" s="251">
        <v>0.22119815668202766</v>
      </c>
      <c r="G87" s="251">
        <v>0.27722772277227725</v>
      </c>
      <c r="H87" s="252">
        <v>0.25416666666666665</v>
      </c>
      <c r="I87" s="250">
        <v>0.26049292337725721</v>
      </c>
      <c r="J87" s="250">
        <v>0</v>
      </c>
      <c r="K87" s="251">
        <v>0</v>
      </c>
      <c r="L87" s="251">
        <v>0</v>
      </c>
      <c r="M87" s="251">
        <v>0</v>
      </c>
      <c r="N87" s="252">
        <v>0</v>
      </c>
      <c r="O87" s="250">
        <v>0</v>
      </c>
      <c r="P87" s="250">
        <v>0</v>
      </c>
      <c r="Q87" s="251">
        <v>0</v>
      </c>
      <c r="R87" s="252">
        <v>0</v>
      </c>
      <c r="S87" s="250">
        <v>0</v>
      </c>
      <c r="T87" s="253"/>
      <c r="U87" s="254">
        <v>706</v>
      </c>
      <c r="V87" s="255">
        <v>162</v>
      </c>
      <c r="W87" s="255">
        <v>1041</v>
      </c>
      <c r="X87" s="255">
        <v>48</v>
      </c>
      <c r="Y87" s="255">
        <v>56</v>
      </c>
      <c r="Z87" s="255">
        <v>122</v>
      </c>
      <c r="AA87" s="256">
        <v>2135</v>
      </c>
      <c r="AB87" s="254">
        <v>0</v>
      </c>
      <c r="AC87" s="255">
        <v>0</v>
      </c>
      <c r="AD87" s="255">
        <v>0</v>
      </c>
      <c r="AE87" s="255">
        <v>0</v>
      </c>
      <c r="AF87" s="255">
        <v>0</v>
      </c>
      <c r="AG87" s="256">
        <v>0</v>
      </c>
      <c r="AH87" s="255">
        <v>0</v>
      </c>
      <c r="AI87" s="255">
        <v>0</v>
      </c>
      <c r="AJ87" s="255">
        <v>0</v>
      </c>
      <c r="AK87" s="254">
        <v>0</v>
      </c>
    </row>
    <row r="88" spans="1:39" ht="13.9" customHeight="1">
      <c r="A88" s="249"/>
      <c r="B88" s="239" t="s">
        <v>55</v>
      </c>
      <c r="C88" s="250">
        <v>0.18994223581379543</v>
      </c>
      <c r="D88" s="251">
        <v>0.24635568513119532</v>
      </c>
      <c r="E88" s="251">
        <v>0.25954198473282442</v>
      </c>
      <c r="F88" s="251">
        <v>0.29953917050691242</v>
      </c>
      <c r="G88" s="251">
        <v>0.25742574257425743</v>
      </c>
      <c r="H88" s="252">
        <v>0.26250000000000001</v>
      </c>
      <c r="I88" s="250">
        <v>0.23462664714494877</v>
      </c>
      <c r="J88" s="250">
        <v>0</v>
      </c>
      <c r="K88" s="251">
        <v>0</v>
      </c>
      <c r="L88" s="251">
        <v>0</v>
      </c>
      <c r="M88" s="251">
        <v>0</v>
      </c>
      <c r="N88" s="252">
        <v>0</v>
      </c>
      <c r="O88" s="250">
        <v>0</v>
      </c>
      <c r="P88" s="250">
        <v>0</v>
      </c>
      <c r="Q88" s="251">
        <v>0</v>
      </c>
      <c r="R88" s="252">
        <v>0</v>
      </c>
      <c r="S88" s="250">
        <v>0</v>
      </c>
      <c r="T88" s="253"/>
      <c r="U88" s="254">
        <v>559</v>
      </c>
      <c r="V88" s="255">
        <v>169</v>
      </c>
      <c r="W88" s="255">
        <v>952</v>
      </c>
      <c r="X88" s="255">
        <v>65</v>
      </c>
      <c r="Y88" s="255">
        <v>52</v>
      </c>
      <c r="Z88" s="255">
        <v>126</v>
      </c>
      <c r="AA88" s="256">
        <v>1923</v>
      </c>
      <c r="AB88" s="254">
        <v>0</v>
      </c>
      <c r="AC88" s="255">
        <v>0</v>
      </c>
      <c r="AD88" s="255">
        <v>0</v>
      </c>
      <c r="AE88" s="255">
        <v>0</v>
      </c>
      <c r="AF88" s="255">
        <v>0</v>
      </c>
      <c r="AG88" s="256">
        <v>0</v>
      </c>
      <c r="AH88" s="255">
        <v>0</v>
      </c>
      <c r="AI88" s="255">
        <v>0</v>
      </c>
      <c r="AJ88" s="255">
        <v>0</v>
      </c>
      <c r="AK88" s="254">
        <v>0</v>
      </c>
    </row>
    <row r="89" spans="1:39" ht="13.9" customHeight="1">
      <c r="A89" s="249"/>
      <c r="B89" s="239" t="s">
        <v>78</v>
      </c>
      <c r="C89" s="250">
        <v>6.7957866123003734E-3</v>
      </c>
      <c r="D89" s="251">
        <v>1.3119533527696793E-2</v>
      </c>
      <c r="E89" s="251">
        <v>9.2693565976008727E-3</v>
      </c>
      <c r="F89" s="251">
        <v>4.608294930875576E-3</v>
      </c>
      <c r="G89" s="251">
        <v>4.9504950495049507E-2</v>
      </c>
      <c r="H89" s="252">
        <v>5.4166666666666669E-2</v>
      </c>
      <c r="I89" s="250">
        <v>1.2201073694485115E-2</v>
      </c>
      <c r="J89" s="250">
        <v>0</v>
      </c>
      <c r="K89" s="251">
        <v>0</v>
      </c>
      <c r="L89" s="251">
        <v>0</v>
      </c>
      <c r="M89" s="251">
        <v>0</v>
      </c>
      <c r="N89" s="252">
        <v>0</v>
      </c>
      <c r="O89" s="250">
        <v>0</v>
      </c>
      <c r="P89" s="250">
        <v>0</v>
      </c>
      <c r="Q89" s="251">
        <v>0</v>
      </c>
      <c r="R89" s="252">
        <v>0</v>
      </c>
      <c r="S89" s="250">
        <v>0</v>
      </c>
      <c r="T89" s="253"/>
      <c r="U89" s="254">
        <v>20</v>
      </c>
      <c r="V89" s="255">
        <v>9</v>
      </c>
      <c r="W89" s="255">
        <v>34</v>
      </c>
      <c r="X89" s="255">
        <v>1</v>
      </c>
      <c r="Y89" s="255">
        <v>10</v>
      </c>
      <c r="Z89" s="255">
        <v>26</v>
      </c>
      <c r="AA89" s="256">
        <v>100</v>
      </c>
      <c r="AB89" s="254">
        <v>0</v>
      </c>
      <c r="AC89" s="255">
        <v>0</v>
      </c>
      <c r="AD89" s="255">
        <v>0</v>
      </c>
      <c r="AE89" s="255">
        <v>0</v>
      </c>
      <c r="AF89" s="255">
        <v>0</v>
      </c>
      <c r="AG89" s="256">
        <v>0</v>
      </c>
      <c r="AH89" s="255">
        <v>0</v>
      </c>
      <c r="AI89" s="255">
        <v>0</v>
      </c>
      <c r="AJ89" s="255">
        <v>0</v>
      </c>
      <c r="AK89" s="254">
        <v>0</v>
      </c>
    </row>
    <row r="90" spans="1:39" ht="13.9" customHeight="1">
      <c r="A90" s="249"/>
      <c r="B90" s="239" t="s">
        <v>32</v>
      </c>
      <c r="C90" s="250">
        <v>0.15698267074413863</v>
      </c>
      <c r="D90" s="251">
        <v>0.27988338192419826</v>
      </c>
      <c r="E90" s="251">
        <v>0.19083969465648856</v>
      </c>
      <c r="F90" s="251">
        <v>0.27188940092165897</v>
      </c>
      <c r="G90" s="251">
        <v>0.21782178217821782</v>
      </c>
      <c r="H90" s="252">
        <v>0.15416666666666667</v>
      </c>
      <c r="I90" s="250">
        <v>0.18679843826256712</v>
      </c>
      <c r="J90" s="250">
        <v>0</v>
      </c>
      <c r="K90" s="251">
        <v>0</v>
      </c>
      <c r="L90" s="251">
        <v>0</v>
      </c>
      <c r="M90" s="251">
        <v>0</v>
      </c>
      <c r="N90" s="252">
        <v>0</v>
      </c>
      <c r="O90" s="250">
        <v>0</v>
      </c>
      <c r="P90" s="250">
        <v>0</v>
      </c>
      <c r="Q90" s="251">
        <v>0</v>
      </c>
      <c r="R90" s="252">
        <v>0</v>
      </c>
      <c r="S90" s="250">
        <v>0</v>
      </c>
      <c r="T90" s="253"/>
      <c r="U90" s="254">
        <v>462</v>
      </c>
      <c r="V90" s="255">
        <v>192</v>
      </c>
      <c r="W90" s="255">
        <v>700</v>
      </c>
      <c r="X90" s="255">
        <v>59</v>
      </c>
      <c r="Y90" s="255">
        <v>44</v>
      </c>
      <c r="Z90" s="255">
        <v>74</v>
      </c>
      <c r="AA90" s="256">
        <v>1531</v>
      </c>
      <c r="AB90" s="254">
        <v>0</v>
      </c>
      <c r="AC90" s="255">
        <v>0</v>
      </c>
      <c r="AD90" s="255">
        <v>0</v>
      </c>
      <c r="AE90" s="255">
        <v>0</v>
      </c>
      <c r="AF90" s="255">
        <v>0</v>
      </c>
      <c r="AG90" s="256">
        <v>0</v>
      </c>
      <c r="AH90" s="255">
        <v>0</v>
      </c>
      <c r="AI90" s="255">
        <v>0</v>
      </c>
      <c r="AJ90" s="255">
        <v>0</v>
      </c>
      <c r="AK90" s="254">
        <v>0</v>
      </c>
    </row>
    <row r="91" spans="1:39" ht="13.9" customHeight="1">
      <c r="A91" s="249"/>
      <c r="B91" s="239" t="s">
        <v>58</v>
      </c>
      <c r="C91" s="250">
        <v>0</v>
      </c>
      <c r="D91" s="251">
        <v>0</v>
      </c>
      <c r="E91" s="251">
        <v>0</v>
      </c>
      <c r="F91" s="251">
        <v>0</v>
      </c>
      <c r="G91" s="251">
        <v>0</v>
      </c>
      <c r="H91" s="252">
        <v>0</v>
      </c>
      <c r="I91" s="250">
        <v>0</v>
      </c>
      <c r="J91" s="250">
        <v>0</v>
      </c>
      <c r="K91" s="251">
        <v>1</v>
      </c>
      <c r="L91" s="251">
        <v>1</v>
      </c>
      <c r="M91" s="251">
        <v>1</v>
      </c>
      <c r="N91" s="252">
        <v>0</v>
      </c>
      <c r="O91" s="250">
        <v>1</v>
      </c>
      <c r="P91" s="250">
        <v>0</v>
      </c>
      <c r="Q91" s="251">
        <v>0</v>
      </c>
      <c r="R91" s="252">
        <v>0</v>
      </c>
      <c r="S91" s="250">
        <v>0</v>
      </c>
      <c r="T91" s="253"/>
      <c r="U91" s="254">
        <v>0</v>
      </c>
      <c r="V91" s="255">
        <v>0</v>
      </c>
      <c r="W91" s="255">
        <v>0</v>
      </c>
      <c r="X91" s="255">
        <v>0</v>
      </c>
      <c r="Y91" s="255">
        <v>0</v>
      </c>
      <c r="Z91" s="255">
        <v>0</v>
      </c>
      <c r="AA91" s="256">
        <v>0</v>
      </c>
      <c r="AB91" s="254">
        <v>0</v>
      </c>
      <c r="AC91" s="255">
        <v>1799</v>
      </c>
      <c r="AD91" s="255">
        <v>2388</v>
      </c>
      <c r="AE91" s="255">
        <v>915</v>
      </c>
      <c r="AF91" s="255">
        <v>0</v>
      </c>
      <c r="AG91" s="256">
        <v>5102</v>
      </c>
      <c r="AH91" s="255">
        <v>0</v>
      </c>
      <c r="AI91" s="255">
        <v>0</v>
      </c>
      <c r="AJ91" s="255">
        <v>0</v>
      </c>
      <c r="AK91" s="254">
        <v>0</v>
      </c>
    </row>
    <row r="92" spans="1:39" s="271" customFormat="1" ht="23.45" customHeight="1">
      <c r="A92" s="259"/>
      <c r="B92" s="260" t="s">
        <v>59</v>
      </c>
      <c r="C92" s="261">
        <v>1</v>
      </c>
      <c r="D92" s="262">
        <v>1</v>
      </c>
      <c r="E92" s="262">
        <v>1</v>
      </c>
      <c r="F92" s="262">
        <v>1</v>
      </c>
      <c r="G92" s="262">
        <v>1</v>
      </c>
      <c r="H92" s="263">
        <v>1</v>
      </c>
      <c r="I92" s="261">
        <v>1</v>
      </c>
      <c r="J92" s="261">
        <v>0</v>
      </c>
      <c r="K92" s="262">
        <v>1</v>
      </c>
      <c r="L92" s="262">
        <v>1</v>
      </c>
      <c r="M92" s="262">
        <v>1</v>
      </c>
      <c r="N92" s="263">
        <v>0</v>
      </c>
      <c r="O92" s="261">
        <v>1</v>
      </c>
      <c r="P92" s="261">
        <v>0</v>
      </c>
      <c r="Q92" s="262">
        <v>0</v>
      </c>
      <c r="R92" s="263">
        <v>0</v>
      </c>
      <c r="S92" s="261">
        <v>0</v>
      </c>
      <c r="T92" s="264"/>
      <c r="U92" s="265">
        <v>2943</v>
      </c>
      <c r="V92" s="266">
        <v>686</v>
      </c>
      <c r="W92" s="266">
        <v>3668</v>
      </c>
      <c r="X92" s="266">
        <v>217</v>
      </c>
      <c r="Y92" s="266">
        <v>202</v>
      </c>
      <c r="Z92" s="266">
        <v>480</v>
      </c>
      <c r="AA92" s="267">
        <v>8196</v>
      </c>
      <c r="AB92" s="265">
        <v>0</v>
      </c>
      <c r="AC92" s="266">
        <v>1799</v>
      </c>
      <c r="AD92" s="266">
        <v>2388</v>
      </c>
      <c r="AE92" s="266">
        <v>915</v>
      </c>
      <c r="AF92" s="268">
        <v>0</v>
      </c>
      <c r="AG92" s="268">
        <v>5102</v>
      </c>
      <c r="AH92" s="265">
        <v>0</v>
      </c>
      <c r="AI92" s="266">
        <v>0</v>
      </c>
      <c r="AJ92" s="268">
        <v>0</v>
      </c>
      <c r="AK92" s="265">
        <v>0</v>
      </c>
      <c r="AL92" s="270"/>
      <c r="AM92" s="270"/>
    </row>
    <row r="93" spans="1:39" ht="13.9" customHeight="1">
      <c r="A93" s="239" t="s">
        <v>13</v>
      </c>
      <c r="B93" s="239" t="s">
        <v>53</v>
      </c>
      <c r="C93" s="241">
        <v>0.36249999999999999</v>
      </c>
      <c r="D93" s="242">
        <v>0</v>
      </c>
      <c r="E93" s="242">
        <v>0.4225721784776903</v>
      </c>
      <c r="F93" s="242">
        <v>0.22448979591836735</v>
      </c>
      <c r="G93" s="242">
        <v>0.23645970937912814</v>
      </c>
      <c r="H93" s="243">
        <v>0.15062761506276151</v>
      </c>
      <c r="I93" s="241">
        <v>0.31477703293500436</v>
      </c>
      <c r="J93" s="241">
        <v>0.10526315789473684</v>
      </c>
      <c r="K93" s="242">
        <v>0</v>
      </c>
      <c r="L93" s="242">
        <v>0</v>
      </c>
      <c r="M93" s="242">
        <v>0</v>
      </c>
      <c r="N93" s="243">
        <v>0</v>
      </c>
      <c r="O93" s="241">
        <v>6.7340067340067337E-3</v>
      </c>
      <c r="P93" s="241">
        <v>0</v>
      </c>
      <c r="Q93" s="242">
        <v>0</v>
      </c>
      <c r="R93" s="243">
        <v>0</v>
      </c>
      <c r="S93" s="241">
        <v>0</v>
      </c>
      <c r="T93" s="253"/>
      <c r="U93" s="245">
        <v>638</v>
      </c>
      <c r="V93" s="246">
        <v>0</v>
      </c>
      <c r="W93" s="246">
        <v>161</v>
      </c>
      <c r="X93" s="246">
        <v>66</v>
      </c>
      <c r="Y93" s="246">
        <v>179</v>
      </c>
      <c r="Z93" s="246">
        <v>36</v>
      </c>
      <c r="AA93" s="247">
        <v>1080</v>
      </c>
      <c r="AB93" s="245">
        <v>8</v>
      </c>
      <c r="AC93" s="246">
        <v>0</v>
      </c>
      <c r="AD93" s="246">
        <v>0</v>
      </c>
      <c r="AE93" s="246">
        <v>0</v>
      </c>
      <c r="AF93" s="246">
        <v>0</v>
      </c>
      <c r="AG93" s="247">
        <v>8</v>
      </c>
      <c r="AH93" s="246">
        <v>0</v>
      </c>
      <c r="AI93" s="246">
        <v>0</v>
      </c>
      <c r="AJ93" s="246">
        <v>0</v>
      </c>
      <c r="AK93" s="245">
        <v>0</v>
      </c>
    </row>
    <row r="94" spans="1:39" ht="13.9" customHeight="1">
      <c r="A94" s="249"/>
      <c r="B94" s="239" t="s">
        <v>93</v>
      </c>
      <c r="C94" s="250">
        <v>0.26647727272727273</v>
      </c>
      <c r="D94" s="251">
        <v>0</v>
      </c>
      <c r="E94" s="251">
        <v>0.14698162729658792</v>
      </c>
      <c r="F94" s="251">
        <v>0.21428571428571427</v>
      </c>
      <c r="G94" s="251">
        <v>0.2285336856010568</v>
      </c>
      <c r="H94" s="252">
        <v>0.18410041841004185</v>
      </c>
      <c r="I94" s="250">
        <v>0.23462547362285049</v>
      </c>
      <c r="J94" s="250">
        <v>7.8947368421052627E-2</v>
      </c>
      <c r="K94" s="251">
        <v>0</v>
      </c>
      <c r="L94" s="251">
        <v>0</v>
      </c>
      <c r="M94" s="251">
        <v>0</v>
      </c>
      <c r="N94" s="252">
        <v>0</v>
      </c>
      <c r="O94" s="272">
        <v>5.0505050505050509E-3</v>
      </c>
      <c r="P94" s="250">
        <v>0</v>
      </c>
      <c r="Q94" s="251">
        <v>0</v>
      </c>
      <c r="R94" s="252">
        <v>0</v>
      </c>
      <c r="S94" s="250">
        <v>0</v>
      </c>
      <c r="T94" s="253"/>
      <c r="U94" s="254">
        <v>469</v>
      </c>
      <c r="V94" s="255">
        <v>0</v>
      </c>
      <c r="W94" s="255">
        <v>56</v>
      </c>
      <c r="X94" s="255">
        <v>63</v>
      </c>
      <c r="Y94" s="255">
        <v>173</v>
      </c>
      <c r="Z94" s="255">
        <v>44</v>
      </c>
      <c r="AA94" s="256">
        <v>805</v>
      </c>
      <c r="AB94" s="254">
        <v>6</v>
      </c>
      <c r="AC94" s="255">
        <v>0</v>
      </c>
      <c r="AD94" s="255">
        <v>0</v>
      </c>
      <c r="AE94" s="255">
        <v>0</v>
      </c>
      <c r="AF94" s="255">
        <v>0</v>
      </c>
      <c r="AG94" s="256">
        <v>6</v>
      </c>
      <c r="AH94" s="255">
        <v>0</v>
      </c>
      <c r="AI94" s="255">
        <v>0</v>
      </c>
      <c r="AJ94" s="255">
        <v>0</v>
      </c>
      <c r="AK94" s="254">
        <v>0</v>
      </c>
    </row>
    <row r="95" spans="1:39" ht="13.9" customHeight="1">
      <c r="A95" s="249"/>
      <c r="B95" s="239" t="s">
        <v>55</v>
      </c>
      <c r="C95" s="250">
        <v>0.24374999999999999</v>
      </c>
      <c r="D95" s="251">
        <v>0</v>
      </c>
      <c r="E95" s="251">
        <v>0.24409448818897639</v>
      </c>
      <c r="F95" s="251">
        <v>0.33333333333333331</v>
      </c>
      <c r="G95" s="251">
        <v>0.30250990752972257</v>
      </c>
      <c r="H95" s="252">
        <v>0.35564853556485354</v>
      </c>
      <c r="I95" s="250">
        <v>0.27222384144564266</v>
      </c>
      <c r="J95" s="250">
        <v>0.55263157894736847</v>
      </c>
      <c r="K95" s="251">
        <v>0</v>
      </c>
      <c r="L95" s="251">
        <v>0</v>
      </c>
      <c r="M95" s="251">
        <v>0</v>
      </c>
      <c r="N95" s="252">
        <v>0</v>
      </c>
      <c r="O95" s="250">
        <v>3.5353535353535352E-2</v>
      </c>
      <c r="P95" s="250">
        <v>0</v>
      </c>
      <c r="Q95" s="251">
        <v>0</v>
      </c>
      <c r="R95" s="252">
        <v>0</v>
      </c>
      <c r="S95" s="250">
        <v>0</v>
      </c>
      <c r="T95" s="253"/>
      <c r="U95" s="254">
        <v>429</v>
      </c>
      <c r="V95" s="255">
        <v>0</v>
      </c>
      <c r="W95" s="255">
        <v>93</v>
      </c>
      <c r="X95" s="255">
        <v>98</v>
      </c>
      <c r="Y95" s="255">
        <v>229</v>
      </c>
      <c r="Z95" s="255">
        <v>85</v>
      </c>
      <c r="AA95" s="256">
        <v>934</v>
      </c>
      <c r="AB95" s="254">
        <v>42</v>
      </c>
      <c r="AC95" s="255">
        <v>0</v>
      </c>
      <c r="AD95" s="255">
        <v>0</v>
      </c>
      <c r="AE95" s="255">
        <v>0</v>
      </c>
      <c r="AF95" s="255">
        <v>0</v>
      </c>
      <c r="AG95" s="256">
        <v>42</v>
      </c>
      <c r="AH95" s="255">
        <v>0</v>
      </c>
      <c r="AI95" s="255">
        <v>0</v>
      </c>
      <c r="AJ95" s="255">
        <v>0</v>
      </c>
      <c r="AK95" s="254">
        <v>0</v>
      </c>
    </row>
    <row r="96" spans="1:39" ht="13.9" customHeight="1">
      <c r="A96" s="249"/>
      <c r="B96" s="239" t="s">
        <v>78</v>
      </c>
      <c r="C96" s="250">
        <v>0.12727272727272726</v>
      </c>
      <c r="D96" s="251">
        <v>0</v>
      </c>
      <c r="E96" s="251">
        <v>0.18635170603674542</v>
      </c>
      <c r="F96" s="251">
        <v>0.22789115646258504</v>
      </c>
      <c r="G96" s="251">
        <v>0.23249669749009247</v>
      </c>
      <c r="H96" s="252">
        <v>0.30962343096234307</v>
      </c>
      <c r="I96" s="250">
        <v>0.17837365199650249</v>
      </c>
      <c r="J96" s="250">
        <v>0.26315789473684209</v>
      </c>
      <c r="K96" s="251">
        <v>0</v>
      </c>
      <c r="L96" s="251">
        <v>0</v>
      </c>
      <c r="M96" s="251">
        <v>0</v>
      </c>
      <c r="N96" s="252">
        <v>0</v>
      </c>
      <c r="O96" s="250">
        <v>1.6835016835016835E-2</v>
      </c>
      <c r="P96" s="250">
        <v>0</v>
      </c>
      <c r="Q96" s="251">
        <v>0</v>
      </c>
      <c r="R96" s="252">
        <v>0</v>
      </c>
      <c r="S96" s="250">
        <v>0</v>
      </c>
      <c r="T96" s="253"/>
      <c r="U96" s="254">
        <v>224</v>
      </c>
      <c r="V96" s="255">
        <v>0</v>
      </c>
      <c r="W96" s="255">
        <v>71</v>
      </c>
      <c r="X96" s="255">
        <v>67</v>
      </c>
      <c r="Y96" s="255">
        <v>176</v>
      </c>
      <c r="Z96" s="255">
        <v>74</v>
      </c>
      <c r="AA96" s="256">
        <v>612</v>
      </c>
      <c r="AB96" s="254">
        <v>20</v>
      </c>
      <c r="AC96" s="255">
        <v>0</v>
      </c>
      <c r="AD96" s="255">
        <v>0</v>
      </c>
      <c r="AE96" s="255">
        <v>0</v>
      </c>
      <c r="AF96" s="255">
        <v>0</v>
      </c>
      <c r="AG96" s="256">
        <v>20</v>
      </c>
      <c r="AH96" s="255">
        <v>0</v>
      </c>
      <c r="AI96" s="255">
        <v>0</v>
      </c>
      <c r="AJ96" s="255">
        <v>0</v>
      </c>
      <c r="AK96" s="254">
        <v>0</v>
      </c>
    </row>
    <row r="97" spans="1:39" ht="13.9" customHeight="1">
      <c r="A97" s="249"/>
      <c r="B97" s="239" t="s">
        <v>32</v>
      </c>
      <c r="C97" s="250">
        <v>0</v>
      </c>
      <c r="D97" s="251">
        <v>0</v>
      </c>
      <c r="E97" s="251">
        <v>0</v>
      </c>
      <c r="F97" s="251">
        <v>0</v>
      </c>
      <c r="G97" s="251">
        <v>0</v>
      </c>
      <c r="H97" s="252">
        <v>0</v>
      </c>
      <c r="I97" s="250">
        <v>0</v>
      </c>
      <c r="J97" s="250">
        <v>0</v>
      </c>
      <c r="K97" s="251">
        <v>0</v>
      </c>
      <c r="L97" s="251">
        <v>0</v>
      </c>
      <c r="M97" s="251">
        <v>0</v>
      </c>
      <c r="N97" s="252">
        <v>0</v>
      </c>
      <c r="O97" s="250">
        <v>0</v>
      </c>
      <c r="P97" s="250">
        <v>0</v>
      </c>
      <c r="Q97" s="251">
        <v>0</v>
      </c>
      <c r="R97" s="252">
        <v>0</v>
      </c>
      <c r="S97" s="250">
        <v>0</v>
      </c>
      <c r="T97" s="253"/>
      <c r="U97" s="254">
        <v>0</v>
      </c>
      <c r="V97" s="255">
        <v>0</v>
      </c>
      <c r="W97" s="255">
        <v>0</v>
      </c>
      <c r="X97" s="255">
        <v>0</v>
      </c>
      <c r="Y97" s="255">
        <v>0</v>
      </c>
      <c r="Z97" s="255">
        <v>0</v>
      </c>
      <c r="AA97" s="256">
        <v>0</v>
      </c>
      <c r="AB97" s="254">
        <v>0</v>
      </c>
      <c r="AC97" s="255">
        <v>0</v>
      </c>
      <c r="AD97" s="255">
        <v>0</v>
      </c>
      <c r="AE97" s="255">
        <v>0</v>
      </c>
      <c r="AF97" s="255">
        <v>0</v>
      </c>
      <c r="AG97" s="256">
        <v>0</v>
      </c>
      <c r="AH97" s="255">
        <v>0</v>
      </c>
      <c r="AI97" s="255">
        <v>0</v>
      </c>
      <c r="AJ97" s="255">
        <v>0</v>
      </c>
      <c r="AK97" s="254">
        <v>0</v>
      </c>
    </row>
    <row r="98" spans="1:39" ht="13.9" customHeight="1">
      <c r="A98" s="249"/>
      <c r="B98" s="239" t="s">
        <v>58</v>
      </c>
      <c r="C98" s="250">
        <v>0</v>
      </c>
      <c r="D98" s="251">
        <v>0</v>
      </c>
      <c r="E98" s="251">
        <v>0</v>
      </c>
      <c r="F98" s="251">
        <v>0</v>
      </c>
      <c r="G98" s="251">
        <v>0</v>
      </c>
      <c r="H98" s="252">
        <v>0</v>
      </c>
      <c r="I98" s="250">
        <v>0</v>
      </c>
      <c r="J98" s="250">
        <v>0</v>
      </c>
      <c r="K98" s="251">
        <v>1</v>
      </c>
      <c r="L98" s="251">
        <v>1</v>
      </c>
      <c r="M98" s="251">
        <v>1</v>
      </c>
      <c r="N98" s="252">
        <v>0</v>
      </c>
      <c r="O98" s="250">
        <v>0.93602693602693599</v>
      </c>
      <c r="P98" s="250">
        <v>0</v>
      </c>
      <c r="Q98" s="251">
        <v>0</v>
      </c>
      <c r="R98" s="252">
        <v>0</v>
      </c>
      <c r="S98" s="250">
        <v>0</v>
      </c>
      <c r="T98" s="253"/>
      <c r="U98" s="254">
        <v>0</v>
      </c>
      <c r="V98" s="255">
        <v>0</v>
      </c>
      <c r="W98" s="255">
        <v>0</v>
      </c>
      <c r="X98" s="255">
        <v>0</v>
      </c>
      <c r="Y98" s="255">
        <v>0</v>
      </c>
      <c r="Z98" s="255">
        <v>0</v>
      </c>
      <c r="AA98" s="256">
        <v>0</v>
      </c>
      <c r="AB98" s="254">
        <v>0</v>
      </c>
      <c r="AC98" s="255">
        <v>392</v>
      </c>
      <c r="AD98" s="255">
        <v>351</v>
      </c>
      <c r="AE98" s="255">
        <v>369</v>
      </c>
      <c r="AF98" s="255">
        <v>0</v>
      </c>
      <c r="AG98" s="256">
        <v>1112</v>
      </c>
      <c r="AH98" s="255">
        <v>0</v>
      </c>
      <c r="AI98" s="255">
        <v>0</v>
      </c>
      <c r="AJ98" s="255">
        <v>0</v>
      </c>
      <c r="AK98" s="254">
        <v>0</v>
      </c>
    </row>
    <row r="99" spans="1:39" s="271" customFormat="1" ht="23.45" customHeight="1">
      <c r="A99" s="259"/>
      <c r="B99" s="260" t="s">
        <v>59</v>
      </c>
      <c r="C99" s="261">
        <v>1</v>
      </c>
      <c r="D99" s="262">
        <v>0</v>
      </c>
      <c r="E99" s="262">
        <v>1</v>
      </c>
      <c r="F99" s="262">
        <v>1</v>
      </c>
      <c r="G99" s="262">
        <v>1</v>
      </c>
      <c r="H99" s="263">
        <v>1</v>
      </c>
      <c r="I99" s="261">
        <v>1</v>
      </c>
      <c r="J99" s="261">
        <v>1</v>
      </c>
      <c r="K99" s="262">
        <v>1</v>
      </c>
      <c r="L99" s="262">
        <v>1</v>
      </c>
      <c r="M99" s="262">
        <v>1</v>
      </c>
      <c r="N99" s="263">
        <v>0</v>
      </c>
      <c r="O99" s="261">
        <v>1</v>
      </c>
      <c r="P99" s="261">
        <v>0</v>
      </c>
      <c r="Q99" s="262">
        <v>0</v>
      </c>
      <c r="R99" s="263">
        <v>0</v>
      </c>
      <c r="S99" s="261">
        <v>0</v>
      </c>
      <c r="T99" s="264"/>
      <c r="U99" s="265">
        <v>1760</v>
      </c>
      <c r="V99" s="266">
        <v>0</v>
      </c>
      <c r="W99" s="266">
        <v>381</v>
      </c>
      <c r="X99" s="266">
        <v>294</v>
      </c>
      <c r="Y99" s="266">
        <v>757</v>
      </c>
      <c r="Z99" s="266">
        <v>239</v>
      </c>
      <c r="AA99" s="267">
        <v>3431</v>
      </c>
      <c r="AB99" s="265">
        <v>76</v>
      </c>
      <c r="AC99" s="266">
        <v>392</v>
      </c>
      <c r="AD99" s="266">
        <v>351</v>
      </c>
      <c r="AE99" s="266">
        <v>369</v>
      </c>
      <c r="AF99" s="268">
        <v>0</v>
      </c>
      <c r="AG99" s="268">
        <v>1188</v>
      </c>
      <c r="AH99" s="265">
        <v>0</v>
      </c>
      <c r="AI99" s="266">
        <v>0</v>
      </c>
      <c r="AJ99" s="268">
        <v>0</v>
      </c>
      <c r="AK99" s="265">
        <v>0</v>
      </c>
      <c r="AL99" s="270"/>
      <c r="AM99" s="270"/>
    </row>
    <row r="100" spans="1:39" ht="13.9" customHeight="1">
      <c r="A100" s="239" t="s">
        <v>14</v>
      </c>
      <c r="B100" s="239" t="s">
        <v>53</v>
      </c>
      <c r="C100" s="241">
        <v>0.41054921152800433</v>
      </c>
      <c r="D100" s="242">
        <v>0</v>
      </c>
      <c r="E100" s="242">
        <v>0.26296296296296295</v>
      </c>
      <c r="F100" s="242">
        <v>0.27669902912621358</v>
      </c>
      <c r="G100" s="242">
        <v>0.30271398747390399</v>
      </c>
      <c r="H100" s="243">
        <v>0.23818525519848771</v>
      </c>
      <c r="I100" s="241">
        <v>0.33949129852744309</v>
      </c>
      <c r="J100" s="241">
        <v>0</v>
      </c>
      <c r="K100" s="242">
        <v>0</v>
      </c>
      <c r="L100" s="242">
        <v>0</v>
      </c>
      <c r="M100" s="242">
        <v>0.10554089709762533</v>
      </c>
      <c r="N100" s="243">
        <v>0</v>
      </c>
      <c r="O100" s="241">
        <v>2.2050716648291068E-2</v>
      </c>
      <c r="P100" s="241">
        <v>0</v>
      </c>
      <c r="Q100" s="242">
        <v>0</v>
      </c>
      <c r="R100" s="243">
        <v>0</v>
      </c>
      <c r="S100" s="241">
        <v>0</v>
      </c>
      <c r="T100" s="253"/>
      <c r="U100" s="245">
        <v>755</v>
      </c>
      <c r="V100" s="246">
        <v>0</v>
      </c>
      <c r="W100" s="246">
        <v>71</v>
      </c>
      <c r="X100" s="246">
        <v>171</v>
      </c>
      <c r="Y100" s="246">
        <v>145</v>
      </c>
      <c r="Z100" s="246">
        <v>126</v>
      </c>
      <c r="AA100" s="247">
        <v>1268</v>
      </c>
      <c r="AB100" s="245">
        <v>0</v>
      </c>
      <c r="AC100" s="246">
        <v>0</v>
      </c>
      <c r="AD100" s="246">
        <v>0</v>
      </c>
      <c r="AE100" s="246">
        <v>40</v>
      </c>
      <c r="AF100" s="246">
        <v>0</v>
      </c>
      <c r="AG100" s="247">
        <v>40</v>
      </c>
      <c r="AH100" s="246">
        <v>0</v>
      </c>
      <c r="AI100" s="246">
        <v>0</v>
      </c>
      <c r="AJ100" s="246">
        <v>0</v>
      </c>
      <c r="AK100" s="245">
        <v>0</v>
      </c>
    </row>
    <row r="101" spans="1:39" ht="13.9" customHeight="1">
      <c r="A101" s="249"/>
      <c r="B101" s="239" t="s">
        <v>93</v>
      </c>
      <c r="C101" s="250">
        <v>0.27949972811310497</v>
      </c>
      <c r="D101" s="251">
        <v>0</v>
      </c>
      <c r="E101" s="251">
        <v>0.3037037037037037</v>
      </c>
      <c r="F101" s="251">
        <v>0.32524271844660196</v>
      </c>
      <c r="G101" s="251">
        <v>0.21503131524008351</v>
      </c>
      <c r="H101" s="252">
        <v>0.2495274102079395</v>
      </c>
      <c r="I101" s="250">
        <v>0.27630522088353415</v>
      </c>
      <c r="J101" s="250">
        <v>0</v>
      </c>
      <c r="K101" s="251">
        <v>0</v>
      </c>
      <c r="L101" s="251">
        <v>0</v>
      </c>
      <c r="M101" s="251">
        <v>8.4432717678100261E-2</v>
      </c>
      <c r="N101" s="252">
        <v>0</v>
      </c>
      <c r="O101" s="250">
        <v>1.7640573318632856E-2</v>
      </c>
      <c r="P101" s="250">
        <v>0</v>
      </c>
      <c r="Q101" s="251">
        <v>0</v>
      </c>
      <c r="R101" s="252">
        <v>0</v>
      </c>
      <c r="S101" s="250">
        <v>0</v>
      </c>
      <c r="T101" s="253"/>
      <c r="U101" s="254">
        <v>514</v>
      </c>
      <c r="V101" s="255">
        <v>0</v>
      </c>
      <c r="W101" s="255">
        <v>82</v>
      </c>
      <c r="X101" s="255">
        <v>201</v>
      </c>
      <c r="Y101" s="255">
        <v>103</v>
      </c>
      <c r="Z101" s="255">
        <v>132</v>
      </c>
      <c r="AA101" s="256">
        <v>1032</v>
      </c>
      <c r="AB101" s="254">
        <v>0</v>
      </c>
      <c r="AC101" s="255">
        <v>0</v>
      </c>
      <c r="AD101" s="255">
        <v>0</v>
      </c>
      <c r="AE101" s="255">
        <v>32</v>
      </c>
      <c r="AF101" s="255">
        <v>0</v>
      </c>
      <c r="AG101" s="256">
        <v>32</v>
      </c>
      <c r="AH101" s="255">
        <v>0</v>
      </c>
      <c r="AI101" s="255">
        <v>0</v>
      </c>
      <c r="AJ101" s="255">
        <v>0</v>
      </c>
      <c r="AK101" s="254">
        <v>0</v>
      </c>
    </row>
    <row r="102" spans="1:39" ht="13.9" customHeight="1">
      <c r="A102" s="249"/>
      <c r="B102" s="239" t="s">
        <v>55</v>
      </c>
      <c r="C102" s="250">
        <v>0.24959216965742251</v>
      </c>
      <c r="D102" s="251">
        <v>0</v>
      </c>
      <c r="E102" s="251">
        <v>0.30740740740740741</v>
      </c>
      <c r="F102" s="251">
        <v>0.29288025889967639</v>
      </c>
      <c r="G102" s="251">
        <v>0.36743215031315241</v>
      </c>
      <c r="H102" s="252">
        <v>0.28733459357277885</v>
      </c>
      <c r="I102" s="250">
        <v>0.28139223560910309</v>
      </c>
      <c r="J102" s="250">
        <v>0</v>
      </c>
      <c r="K102" s="251">
        <v>0</v>
      </c>
      <c r="L102" s="251">
        <v>0</v>
      </c>
      <c r="M102" s="251">
        <v>7.6517150395778361E-2</v>
      </c>
      <c r="N102" s="252">
        <v>0</v>
      </c>
      <c r="O102" s="250">
        <v>1.5986769570011026E-2</v>
      </c>
      <c r="P102" s="250">
        <v>0</v>
      </c>
      <c r="Q102" s="251">
        <v>0</v>
      </c>
      <c r="R102" s="252">
        <v>0</v>
      </c>
      <c r="S102" s="250">
        <v>0</v>
      </c>
      <c r="T102" s="253"/>
      <c r="U102" s="254">
        <v>459</v>
      </c>
      <c r="V102" s="255">
        <v>0</v>
      </c>
      <c r="W102" s="255">
        <v>83</v>
      </c>
      <c r="X102" s="255">
        <v>181</v>
      </c>
      <c r="Y102" s="255">
        <v>176</v>
      </c>
      <c r="Z102" s="255">
        <v>152</v>
      </c>
      <c r="AA102" s="256">
        <v>1051</v>
      </c>
      <c r="AB102" s="254">
        <v>0</v>
      </c>
      <c r="AC102" s="255">
        <v>0</v>
      </c>
      <c r="AD102" s="255">
        <v>0</v>
      </c>
      <c r="AE102" s="255">
        <v>29</v>
      </c>
      <c r="AF102" s="255">
        <v>0</v>
      </c>
      <c r="AG102" s="256">
        <v>29</v>
      </c>
      <c r="AH102" s="255">
        <v>0</v>
      </c>
      <c r="AI102" s="255">
        <v>0</v>
      </c>
      <c r="AJ102" s="255">
        <v>0</v>
      </c>
      <c r="AK102" s="254">
        <v>0</v>
      </c>
    </row>
    <row r="103" spans="1:39" ht="13.9" customHeight="1">
      <c r="A103" s="249"/>
      <c r="B103" s="239" t="s">
        <v>78</v>
      </c>
      <c r="C103" s="250">
        <v>3.8607939097335509E-2</v>
      </c>
      <c r="D103" s="251">
        <v>0</v>
      </c>
      <c r="E103" s="251">
        <v>9.6296296296296297E-2</v>
      </c>
      <c r="F103" s="251">
        <v>9.8705501618122971E-2</v>
      </c>
      <c r="G103" s="251">
        <v>0.10647181628392484</v>
      </c>
      <c r="H103" s="252">
        <v>0.20604914933837429</v>
      </c>
      <c r="I103" s="250">
        <v>8.514056224899598E-2</v>
      </c>
      <c r="J103" s="250">
        <v>0</v>
      </c>
      <c r="K103" s="251">
        <v>0</v>
      </c>
      <c r="L103" s="251">
        <v>0</v>
      </c>
      <c r="M103" s="251">
        <v>6.860158311345646E-2</v>
      </c>
      <c r="N103" s="252">
        <v>0</v>
      </c>
      <c r="O103" s="250">
        <v>1.4332965821389196E-2</v>
      </c>
      <c r="P103" s="250">
        <v>0</v>
      </c>
      <c r="Q103" s="251">
        <v>0</v>
      </c>
      <c r="R103" s="252">
        <v>0</v>
      </c>
      <c r="S103" s="250">
        <v>0</v>
      </c>
      <c r="T103" s="253"/>
      <c r="U103" s="254">
        <v>71</v>
      </c>
      <c r="V103" s="255">
        <v>0</v>
      </c>
      <c r="W103" s="255">
        <v>26</v>
      </c>
      <c r="X103" s="255">
        <v>61</v>
      </c>
      <c r="Y103" s="255">
        <v>51</v>
      </c>
      <c r="Z103" s="255">
        <v>109</v>
      </c>
      <c r="AA103" s="256">
        <v>318</v>
      </c>
      <c r="AB103" s="254">
        <v>0</v>
      </c>
      <c r="AC103" s="255">
        <v>0</v>
      </c>
      <c r="AD103" s="255">
        <v>0</v>
      </c>
      <c r="AE103" s="255">
        <v>26</v>
      </c>
      <c r="AF103" s="255">
        <v>0</v>
      </c>
      <c r="AG103" s="256">
        <v>26</v>
      </c>
      <c r="AH103" s="255">
        <v>0</v>
      </c>
      <c r="AI103" s="255">
        <v>0</v>
      </c>
      <c r="AJ103" s="255">
        <v>0</v>
      </c>
      <c r="AK103" s="254">
        <v>0</v>
      </c>
    </row>
    <row r="104" spans="1:39" ht="13.9" customHeight="1">
      <c r="A104" s="249"/>
      <c r="B104" s="239" t="s">
        <v>32</v>
      </c>
      <c r="C104" s="250">
        <v>2.1750951604132682E-2</v>
      </c>
      <c r="D104" s="251">
        <v>0</v>
      </c>
      <c r="E104" s="251">
        <v>2.9629629629629631E-2</v>
      </c>
      <c r="F104" s="251">
        <v>6.4724919093851136E-3</v>
      </c>
      <c r="G104" s="273">
        <v>8.350730688935281E-3</v>
      </c>
      <c r="H104" s="258">
        <v>1.890359168241966E-2</v>
      </c>
      <c r="I104" s="250">
        <v>1.7670682730923693E-2</v>
      </c>
      <c r="J104" s="250">
        <v>0</v>
      </c>
      <c r="K104" s="251">
        <v>1</v>
      </c>
      <c r="L104" s="251">
        <v>1</v>
      </c>
      <c r="M104" s="251">
        <v>0.66490765171503963</v>
      </c>
      <c r="N104" s="252">
        <v>0</v>
      </c>
      <c r="O104" s="250">
        <v>0.92998897464167585</v>
      </c>
      <c r="P104" s="250">
        <v>0</v>
      </c>
      <c r="Q104" s="251">
        <v>0</v>
      </c>
      <c r="R104" s="252">
        <v>0</v>
      </c>
      <c r="S104" s="250">
        <v>0</v>
      </c>
      <c r="T104" s="253"/>
      <c r="U104" s="254">
        <v>40</v>
      </c>
      <c r="V104" s="255">
        <v>0</v>
      </c>
      <c r="W104" s="255">
        <v>8</v>
      </c>
      <c r="X104" s="255">
        <v>4</v>
      </c>
      <c r="Y104" s="255">
        <v>4</v>
      </c>
      <c r="Z104" s="255">
        <v>10</v>
      </c>
      <c r="AA104" s="256">
        <v>66</v>
      </c>
      <c r="AB104" s="254">
        <v>0</v>
      </c>
      <c r="AC104" s="255">
        <v>735</v>
      </c>
      <c r="AD104" s="255">
        <v>700</v>
      </c>
      <c r="AE104" s="255">
        <v>252</v>
      </c>
      <c r="AF104" s="255">
        <v>0</v>
      </c>
      <c r="AG104" s="256">
        <v>1687</v>
      </c>
      <c r="AH104" s="255">
        <v>0</v>
      </c>
      <c r="AI104" s="255">
        <v>0</v>
      </c>
      <c r="AJ104" s="255">
        <v>0</v>
      </c>
      <c r="AK104" s="254">
        <v>0</v>
      </c>
    </row>
    <row r="105" spans="1:39" ht="13.9" customHeight="1">
      <c r="A105" s="249"/>
      <c r="B105" s="239" t="s">
        <v>58</v>
      </c>
      <c r="C105" s="250">
        <v>0</v>
      </c>
      <c r="D105" s="251">
        <v>0</v>
      </c>
      <c r="E105" s="251">
        <v>0</v>
      </c>
      <c r="F105" s="251">
        <v>0</v>
      </c>
      <c r="G105" s="251">
        <v>0</v>
      </c>
      <c r="H105" s="252">
        <v>0</v>
      </c>
      <c r="I105" s="250">
        <v>0</v>
      </c>
      <c r="J105" s="250">
        <v>0</v>
      </c>
      <c r="K105" s="251">
        <v>0</v>
      </c>
      <c r="L105" s="251">
        <v>0</v>
      </c>
      <c r="M105" s="251">
        <v>0</v>
      </c>
      <c r="N105" s="252">
        <v>0</v>
      </c>
      <c r="O105" s="250">
        <v>0</v>
      </c>
      <c r="P105" s="250">
        <v>0</v>
      </c>
      <c r="Q105" s="251">
        <v>0</v>
      </c>
      <c r="R105" s="252">
        <v>0</v>
      </c>
      <c r="S105" s="250">
        <v>0</v>
      </c>
      <c r="T105" s="253"/>
      <c r="U105" s="254">
        <v>0</v>
      </c>
      <c r="V105" s="255">
        <v>0</v>
      </c>
      <c r="W105" s="255">
        <v>0</v>
      </c>
      <c r="X105" s="255">
        <v>0</v>
      </c>
      <c r="Y105" s="255">
        <v>0</v>
      </c>
      <c r="Z105" s="255">
        <v>0</v>
      </c>
      <c r="AA105" s="256">
        <v>0</v>
      </c>
      <c r="AB105" s="254">
        <v>0</v>
      </c>
      <c r="AC105" s="255">
        <v>0</v>
      </c>
      <c r="AD105" s="255">
        <v>0</v>
      </c>
      <c r="AE105" s="255">
        <v>0</v>
      </c>
      <c r="AF105" s="255">
        <v>0</v>
      </c>
      <c r="AG105" s="256">
        <v>0</v>
      </c>
      <c r="AH105" s="255">
        <v>0</v>
      </c>
      <c r="AI105" s="255">
        <v>0</v>
      </c>
      <c r="AJ105" s="255">
        <v>0</v>
      </c>
      <c r="AK105" s="254">
        <v>0</v>
      </c>
    </row>
    <row r="106" spans="1:39" s="271" customFormat="1" ht="23.45" customHeight="1">
      <c r="A106" s="259"/>
      <c r="B106" s="260" t="s">
        <v>59</v>
      </c>
      <c r="C106" s="261">
        <v>1</v>
      </c>
      <c r="D106" s="262">
        <v>0</v>
      </c>
      <c r="E106" s="262">
        <v>1</v>
      </c>
      <c r="F106" s="262">
        <v>1</v>
      </c>
      <c r="G106" s="262">
        <v>1</v>
      </c>
      <c r="H106" s="263">
        <v>1</v>
      </c>
      <c r="I106" s="261">
        <v>1</v>
      </c>
      <c r="J106" s="261">
        <v>0</v>
      </c>
      <c r="K106" s="262">
        <v>1</v>
      </c>
      <c r="L106" s="262">
        <v>1</v>
      </c>
      <c r="M106" s="262">
        <v>1</v>
      </c>
      <c r="N106" s="263">
        <v>0</v>
      </c>
      <c r="O106" s="261">
        <v>1</v>
      </c>
      <c r="P106" s="261">
        <v>0</v>
      </c>
      <c r="Q106" s="262">
        <v>0</v>
      </c>
      <c r="R106" s="263">
        <v>0</v>
      </c>
      <c r="S106" s="261">
        <v>0</v>
      </c>
      <c r="T106" s="264"/>
      <c r="U106" s="265">
        <v>1839</v>
      </c>
      <c r="V106" s="266">
        <v>0</v>
      </c>
      <c r="W106" s="266">
        <v>270</v>
      </c>
      <c r="X106" s="266">
        <v>618</v>
      </c>
      <c r="Y106" s="266">
        <v>479</v>
      </c>
      <c r="Z106" s="266">
        <v>529</v>
      </c>
      <c r="AA106" s="267">
        <v>3735</v>
      </c>
      <c r="AB106" s="265">
        <v>0</v>
      </c>
      <c r="AC106" s="266">
        <v>735</v>
      </c>
      <c r="AD106" s="266">
        <v>700</v>
      </c>
      <c r="AE106" s="266">
        <v>379</v>
      </c>
      <c r="AF106" s="268">
        <v>0</v>
      </c>
      <c r="AG106" s="268">
        <v>1814</v>
      </c>
      <c r="AH106" s="265">
        <v>0</v>
      </c>
      <c r="AI106" s="266">
        <v>0</v>
      </c>
      <c r="AJ106" s="268">
        <v>0</v>
      </c>
      <c r="AK106" s="265">
        <v>0</v>
      </c>
      <c r="AL106" s="270"/>
      <c r="AM106" s="270"/>
    </row>
    <row r="107" spans="1:39" ht="13.9" customHeight="1">
      <c r="A107" s="239" t="s">
        <v>15</v>
      </c>
      <c r="B107" s="239" t="s">
        <v>53</v>
      </c>
      <c r="C107" s="241">
        <v>0.39880557398805572</v>
      </c>
      <c r="D107" s="242">
        <v>0.28705882352941176</v>
      </c>
      <c r="E107" s="242">
        <v>0.30544147843942504</v>
      </c>
      <c r="F107" s="242">
        <v>0.41091492776886035</v>
      </c>
      <c r="G107" s="242">
        <v>0.32083333333333336</v>
      </c>
      <c r="H107" s="243">
        <v>0</v>
      </c>
      <c r="I107" s="241">
        <v>0.34307275541795668</v>
      </c>
      <c r="J107" s="241">
        <v>0</v>
      </c>
      <c r="K107" s="242">
        <v>0.11746522411128284</v>
      </c>
      <c r="L107" s="242">
        <v>0.11018711018711019</v>
      </c>
      <c r="M107" s="242">
        <v>0.18518518518518517</v>
      </c>
      <c r="N107" s="243">
        <v>0</v>
      </c>
      <c r="O107" s="241">
        <v>0.11545399879735418</v>
      </c>
      <c r="P107" s="241">
        <v>0</v>
      </c>
      <c r="Q107" s="242">
        <v>0</v>
      </c>
      <c r="R107" s="243">
        <v>0</v>
      </c>
      <c r="S107" s="241">
        <v>0</v>
      </c>
      <c r="T107" s="253"/>
      <c r="U107" s="245">
        <v>601</v>
      </c>
      <c r="V107" s="246">
        <v>244</v>
      </c>
      <c r="W107" s="246">
        <v>595</v>
      </c>
      <c r="X107" s="246">
        <v>256</v>
      </c>
      <c r="Y107" s="246">
        <v>77</v>
      </c>
      <c r="Z107" s="246">
        <v>0</v>
      </c>
      <c r="AA107" s="247">
        <v>1773</v>
      </c>
      <c r="AB107" s="245">
        <v>0</v>
      </c>
      <c r="AC107" s="246">
        <v>76</v>
      </c>
      <c r="AD107" s="246">
        <v>106</v>
      </c>
      <c r="AE107" s="246">
        <v>10</v>
      </c>
      <c r="AF107" s="246">
        <v>0</v>
      </c>
      <c r="AG107" s="247">
        <v>192</v>
      </c>
      <c r="AH107" s="246">
        <v>0</v>
      </c>
      <c r="AI107" s="246">
        <v>0</v>
      </c>
      <c r="AJ107" s="246">
        <v>0</v>
      </c>
      <c r="AK107" s="245">
        <v>0</v>
      </c>
    </row>
    <row r="108" spans="1:39" ht="13.9" customHeight="1">
      <c r="A108" s="249"/>
      <c r="B108" s="239" t="s">
        <v>93</v>
      </c>
      <c r="C108" s="250">
        <v>0.25547445255474455</v>
      </c>
      <c r="D108" s="251">
        <v>0.25058823529411767</v>
      </c>
      <c r="E108" s="251">
        <v>0.26796714579055442</v>
      </c>
      <c r="F108" s="251">
        <v>0.2664526484751204</v>
      </c>
      <c r="G108" s="251">
        <v>0.16250000000000001</v>
      </c>
      <c r="H108" s="252">
        <v>0</v>
      </c>
      <c r="I108" s="250">
        <v>0.25638544891640869</v>
      </c>
      <c r="J108" s="250">
        <v>0</v>
      </c>
      <c r="K108" s="251">
        <v>0.48068006182380218</v>
      </c>
      <c r="L108" s="251">
        <v>0.44386694386694386</v>
      </c>
      <c r="M108" s="251">
        <v>0.48148148148148145</v>
      </c>
      <c r="N108" s="252">
        <v>0</v>
      </c>
      <c r="O108" s="250">
        <v>0.45941070354780517</v>
      </c>
      <c r="P108" s="250">
        <v>0</v>
      </c>
      <c r="Q108" s="251">
        <v>0</v>
      </c>
      <c r="R108" s="252">
        <v>0</v>
      </c>
      <c r="S108" s="250">
        <v>0</v>
      </c>
      <c r="T108" s="253"/>
      <c r="U108" s="254">
        <v>385</v>
      </c>
      <c r="V108" s="255">
        <v>213</v>
      </c>
      <c r="W108" s="255">
        <v>522</v>
      </c>
      <c r="X108" s="255">
        <v>166</v>
      </c>
      <c r="Y108" s="255">
        <v>39</v>
      </c>
      <c r="Z108" s="255">
        <v>0</v>
      </c>
      <c r="AA108" s="256">
        <v>1325</v>
      </c>
      <c r="AB108" s="254">
        <v>0</v>
      </c>
      <c r="AC108" s="255">
        <v>311</v>
      </c>
      <c r="AD108" s="255">
        <v>427</v>
      </c>
      <c r="AE108" s="255">
        <v>26</v>
      </c>
      <c r="AF108" s="255">
        <v>0</v>
      </c>
      <c r="AG108" s="256">
        <v>764</v>
      </c>
      <c r="AH108" s="255">
        <v>0</v>
      </c>
      <c r="AI108" s="255">
        <v>0</v>
      </c>
      <c r="AJ108" s="255">
        <v>0</v>
      </c>
      <c r="AK108" s="254">
        <v>0</v>
      </c>
    </row>
    <row r="109" spans="1:39" ht="13.9" customHeight="1">
      <c r="A109" s="249"/>
      <c r="B109" s="239" t="s">
        <v>55</v>
      </c>
      <c r="C109" s="250">
        <v>0.22030524220305242</v>
      </c>
      <c r="D109" s="251">
        <v>0.3023529411764706</v>
      </c>
      <c r="E109" s="251">
        <v>0.29979466119096509</v>
      </c>
      <c r="F109" s="251">
        <v>0.2712680577849117</v>
      </c>
      <c r="G109" s="251">
        <v>0.33333333333333331</v>
      </c>
      <c r="H109" s="252">
        <v>0</v>
      </c>
      <c r="I109" s="250">
        <v>0.27515479876160992</v>
      </c>
      <c r="J109" s="250">
        <v>0</v>
      </c>
      <c r="K109" s="251">
        <v>0.21483771251931993</v>
      </c>
      <c r="L109" s="251">
        <v>0.24116424116424118</v>
      </c>
      <c r="M109" s="251">
        <v>5.5555555555555552E-2</v>
      </c>
      <c r="N109" s="252">
        <v>0</v>
      </c>
      <c r="O109" s="250">
        <v>0.22489476849067949</v>
      </c>
      <c r="P109" s="250">
        <v>0</v>
      </c>
      <c r="Q109" s="251">
        <v>0</v>
      </c>
      <c r="R109" s="252">
        <v>0</v>
      </c>
      <c r="S109" s="250">
        <v>0</v>
      </c>
      <c r="T109" s="253"/>
      <c r="U109" s="254">
        <v>332</v>
      </c>
      <c r="V109" s="255">
        <v>257</v>
      </c>
      <c r="W109" s="255">
        <v>584</v>
      </c>
      <c r="X109" s="255">
        <v>169</v>
      </c>
      <c r="Y109" s="255">
        <v>80</v>
      </c>
      <c r="Z109" s="255">
        <v>0</v>
      </c>
      <c r="AA109" s="256">
        <v>1422</v>
      </c>
      <c r="AB109" s="254">
        <v>0</v>
      </c>
      <c r="AC109" s="255">
        <v>139</v>
      </c>
      <c r="AD109" s="255">
        <v>232</v>
      </c>
      <c r="AE109" s="255">
        <v>3</v>
      </c>
      <c r="AF109" s="255">
        <v>0</v>
      </c>
      <c r="AG109" s="256">
        <v>374</v>
      </c>
      <c r="AH109" s="255">
        <v>0</v>
      </c>
      <c r="AI109" s="255">
        <v>0</v>
      </c>
      <c r="AJ109" s="255">
        <v>0</v>
      </c>
      <c r="AK109" s="254">
        <v>0</v>
      </c>
    </row>
    <row r="110" spans="1:39" ht="13.9" customHeight="1">
      <c r="A110" s="249"/>
      <c r="B110" s="239" t="s">
        <v>78</v>
      </c>
      <c r="C110" s="250">
        <v>2.5215660252156602E-2</v>
      </c>
      <c r="D110" s="251">
        <v>0.10352941176470588</v>
      </c>
      <c r="E110" s="251">
        <v>0.11601642710472279</v>
      </c>
      <c r="F110" s="251">
        <v>5.1364365971107544E-2</v>
      </c>
      <c r="G110" s="251">
        <v>0.17083333333333334</v>
      </c>
      <c r="H110" s="252">
        <v>0</v>
      </c>
      <c r="I110" s="250">
        <v>8.2236842105263164E-2</v>
      </c>
      <c r="J110" s="250">
        <v>0</v>
      </c>
      <c r="K110" s="251">
        <v>0.16228748068006182</v>
      </c>
      <c r="L110" s="251">
        <v>0.20478170478170479</v>
      </c>
      <c r="M110" s="251">
        <v>0.27777777777777779</v>
      </c>
      <c r="N110" s="252">
        <v>0</v>
      </c>
      <c r="O110" s="250">
        <v>0.19061936259771498</v>
      </c>
      <c r="P110" s="250">
        <v>0</v>
      </c>
      <c r="Q110" s="251">
        <v>0</v>
      </c>
      <c r="R110" s="252">
        <v>0</v>
      </c>
      <c r="S110" s="250">
        <v>0</v>
      </c>
      <c r="T110" s="253"/>
      <c r="U110" s="254">
        <v>38</v>
      </c>
      <c r="V110" s="255">
        <v>88</v>
      </c>
      <c r="W110" s="255">
        <v>226</v>
      </c>
      <c r="X110" s="255">
        <v>32</v>
      </c>
      <c r="Y110" s="255">
        <v>41</v>
      </c>
      <c r="Z110" s="255">
        <v>0</v>
      </c>
      <c r="AA110" s="256">
        <v>425</v>
      </c>
      <c r="AB110" s="254">
        <v>0</v>
      </c>
      <c r="AC110" s="255">
        <v>105</v>
      </c>
      <c r="AD110" s="255">
        <v>197</v>
      </c>
      <c r="AE110" s="255">
        <v>15</v>
      </c>
      <c r="AF110" s="255">
        <v>0</v>
      </c>
      <c r="AG110" s="256">
        <v>317</v>
      </c>
      <c r="AH110" s="255">
        <v>0</v>
      </c>
      <c r="AI110" s="255">
        <v>0</v>
      </c>
      <c r="AJ110" s="255">
        <v>0</v>
      </c>
      <c r="AK110" s="254">
        <v>0</v>
      </c>
    </row>
    <row r="111" spans="1:39" ht="13.9" customHeight="1">
      <c r="A111" s="249"/>
      <c r="B111" s="239" t="s">
        <v>32</v>
      </c>
      <c r="C111" s="250">
        <v>0.10019907100199071</v>
      </c>
      <c r="D111" s="251">
        <v>5.647058823529412E-2</v>
      </c>
      <c r="E111" s="273">
        <v>1.0780287474332649E-2</v>
      </c>
      <c r="F111" s="251">
        <v>0</v>
      </c>
      <c r="G111" s="251">
        <v>1.2500000000000001E-2</v>
      </c>
      <c r="H111" s="252">
        <v>0</v>
      </c>
      <c r="I111" s="250">
        <v>4.3150154798761609E-2</v>
      </c>
      <c r="J111" s="250">
        <v>0</v>
      </c>
      <c r="K111" s="251">
        <v>2.472952086553323E-2</v>
      </c>
      <c r="L111" s="273">
        <v>0</v>
      </c>
      <c r="M111" s="251">
        <v>0</v>
      </c>
      <c r="N111" s="252">
        <v>0</v>
      </c>
      <c r="O111" s="250">
        <v>9.6211665664461821E-3</v>
      </c>
      <c r="P111" s="250">
        <v>0</v>
      </c>
      <c r="Q111" s="251">
        <v>0</v>
      </c>
      <c r="R111" s="252">
        <v>0</v>
      </c>
      <c r="S111" s="250">
        <v>0</v>
      </c>
      <c r="T111" s="253"/>
      <c r="U111" s="254">
        <v>151</v>
      </c>
      <c r="V111" s="255">
        <v>48</v>
      </c>
      <c r="W111" s="255">
        <v>21</v>
      </c>
      <c r="X111" s="255">
        <v>0</v>
      </c>
      <c r="Y111" s="255">
        <v>3</v>
      </c>
      <c r="Z111" s="255">
        <v>0</v>
      </c>
      <c r="AA111" s="256">
        <v>223</v>
      </c>
      <c r="AB111" s="254">
        <v>0</v>
      </c>
      <c r="AC111" s="255">
        <v>16</v>
      </c>
      <c r="AD111" s="255">
        <v>0</v>
      </c>
      <c r="AE111" s="255">
        <v>0</v>
      </c>
      <c r="AF111" s="255">
        <v>0</v>
      </c>
      <c r="AG111" s="256">
        <v>16</v>
      </c>
      <c r="AH111" s="255">
        <v>0</v>
      </c>
      <c r="AI111" s="255">
        <v>0</v>
      </c>
      <c r="AJ111" s="255">
        <v>0</v>
      </c>
      <c r="AK111" s="254">
        <v>0</v>
      </c>
    </row>
    <row r="112" spans="1:39" ht="13.9" customHeight="1">
      <c r="A112" s="249"/>
      <c r="B112" s="239" t="s">
        <v>58</v>
      </c>
      <c r="C112" s="250">
        <v>0</v>
      </c>
      <c r="D112" s="251">
        <v>0</v>
      </c>
      <c r="E112" s="251">
        <v>0</v>
      </c>
      <c r="F112" s="251">
        <v>0</v>
      </c>
      <c r="G112" s="251">
        <v>0</v>
      </c>
      <c r="H112" s="252">
        <v>0</v>
      </c>
      <c r="I112" s="250">
        <v>0</v>
      </c>
      <c r="J112" s="250">
        <v>0</v>
      </c>
      <c r="K112" s="251">
        <v>0</v>
      </c>
      <c r="L112" s="251">
        <v>0</v>
      </c>
      <c r="M112" s="251">
        <v>0</v>
      </c>
      <c r="N112" s="252">
        <v>0</v>
      </c>
      <c r="O112" s="250">
        <v>0</v>
      </c>
      <c r="P112" s="250">
        <v>1</v>
      </c>
      <c r="Q112" s="251">
        <v>1</v>
      </c>
      <c r="R112" s="252">
        <v>0</v>
      </c>
      <c r="S112" s="250">
        <v>1</v>
      </c>
      <c r="T112" s="253"/>
      <c r="U112" s="254">
        <v>0</v>
      </c>
      <c r="V112" s="255">
        <v>0</v>
      </c>
      <c r="W112" s="255">
        <v>0</v>
      </c>
      <c r="X112" s="255">
        <v>0</v>
      </c>
      <c r="Y112" s="255">
        <v>0</v>
      </c>
      <c r="Z112" s="255">
        <v>0</v>
      </c>
      <c r="AA112" s="256">
        <v>0</v>
      </c>
      <c r="AB112" s="254">
        <v>0</v>
      </c>
      <c r="AC112" s="255">
        <v>0</v>
      </c>
      <c r="AD112" s="255">
        <v>0</v>
      </c>
      <c r="AE112" s="255">
        <v>0</v>
      </c>
      <c r="AF112" s="255">
        <v>0</v>
      </c>
      <c r="AG112" s="256">
        <v>0</v>
      </c>
      <c r="AH112" s="255">
        <v>18</v>
      </c>
      <c r="AI112" s="255">
        <v>262</v>
      </c>
      <c r="AJ112" s="255">
        <v>0</v>
      </c>
      <c r="AK112" s="254">
        <v>280</v>
      </c>
    </row>
    <row r="113" spans="1:39" s="271" customFormat="1" ht="23.45" customHeight="1">
      <c r="A113" s="259"/>
      <c r="B113" s="260" t="s">
        <v>59</v>
      </c>
      <c r="C113" s="261">
        <v>1</v>
      </c>
      <c r="D113" s="262">
        <v>1</v>
      </c>
      <c r="E113" s="262">
        <v>1</v>
      </c>
      <c r="F113" s="262">
        <v>1</v>
      </c>
      <c r="G113" s="262">
        <v>1</v>
      </c>
      <c r="H113" s="263">
        <v>0</v>
      </c>
      <c r="I113" s="261">
        <v>1</v>
      </c>
      <c r="J113" s="261">
        <v>0</v>
      </c>
      <c r="K113" s="262">
        <v>1</v>
      </c>
      <c r="L113" s="262">
        <v>1</v>
      </c>
      <c r="M113" s="262">
        <v>1</v>
      </c>
      <c r="N113" s="263">
        <v>0</v>
      </c>
      <c r="O113" s="261">
        <v>1</v>
      </c>
      <c r="P113" s="261">
        <v>1</v>
      </c>
      <c r="Q113" s="262">
        <v>1</v>
      </c>
      <c r="R113" s="263">
        <v>0</v>
      </c>
      <c r="S113" s="261">
        <v>1</v>
      </c>
      <c r="T113" s="264"/>
      <c r="U113" s="265">
        <v>1507</v>
      </c>
      <c r="V113" s="266">
        <v>850</v>
      </c>
      <c r="W113" s="266">
        <v>1948</v>
      </c>
      <c r="X113" s="266">
        <v>623</v>
      </c>
      <c r="Y113" s="266">
        <v>240</v>
      </c>
      <c r="Z113" s="266">
        <v>0</v>
      </c>
      <c r="AA113" s="267">
        <v>5168</v>
      </c>
      <c r="AB113" s="265">
        <v>0</v>
      </c>
      <c r="AC113" s="266">
        <v>647</v>
      </c>
      <c r="AD113" s="266">
        <v>962</v>
      </c>
      <c r="AE113" s="266">
        <v>54</v>
      </c>
      <c r="AF113" s="268">
        <v>0</v>
      </c>
      <c r="AG113" s="268">
        <v>1663</v>
      </c>
      <c r="AH113" s="265">
        <v>18</v>
      </c>
      <c r="AI113" s="266">
        <v>262</v>
      </c>
      <c r="AJ113" s="268">
        <v>0</v>
      </c>
      <c r="AK113" s="265">
        <v>280</v>
      </c>
      <c r="AL113" s="270"/>
      <c r="AM113" s="270"/>
    </row>
    <row r="114" spans="1:39" ht="13.9" customHeight="1">
      <c r="A114" s="239" t="s">
        <v>16</v>
      </c>
      <c r="B114" s="239" t="s">
        <v>53</v>
      </c>
      <c r="C114" s="241">
        <v>0.37514637002341922</v>
      </c>
      <c r="D114" s="242">
        <v>0.2645939086294416</v>
      </c>
      <c r="E114" s="242">
        <v>0.25257234726688105</v>
      </c>
      <c r="F114" s="242">
        <v>0.14604810996563575</v>
      </c>
      <c r="G114" s="242">
        <v>0.17647058823529413</v>
      </c>
      <c r="H114" s="243">
        <v>0.17665615141955837</v>
      </c>
      <c r="I114" s="241">
        <v>0.30163513946777815</v>
      </c>
      <c r="J114" s="241">
        <v>0</v>
      </c>
      <c r="K114" s="242">
        <v>0.19321486268174476</v>
      </c>
      <c r="L114" s="242">
        <v>0.17277812305779988</v>
      </c>
      <c r="M114" s="242">
        <v>9.9369085173501584E-2</v>
      </c>
      <c r="N114" s="243">
        <v>0</v>
      </c>
      <c r="O114" s="241">
        <v>0.18074088826926907</v>
      </c>
      <c r="P114" s="241">
        <v>0</v>
      </c>
      <c r="Q114" s="242">
        <v>0</v>
      </c>
      <c r="R114" s="243">
        <v>0</v>
      </c>
      <c r="S114" s="241">
        <v>0</v>
      </c>
      <c r="T114" s="253"/>
      <c r="U114" s="245">
        <v>2563</v>
      </c>
      <c r="V114" s="246">
        <v>417</v>
      </c>
      <c r="W114" s="246">
        <v>1571</v>
      </c>
      <c r="X114" s="246">
        <v>85</v>
      </c>
      <c r="Y114" s="246">
        <v>12</v>
      </c>
      <c r="Z114" s="246">
        <v>56</v>
      </c>
      <c r="AA114" s="247">
        <v>4704</v>
      </c>
      <c r="AB114" s="245">
        <v>0</v>
      </c>
      <c r="AC114" s="246">
        <v>1196</v>
      </c>
      <c r="AD114" s="246">
        <v>556</v>
      </c>
      <c r="AE114" s="246">
        <v>63</v>
      </c>
      <c r="AF114" s="246">
        <v>0</v>
      </c>
      <c r="AG114" s="247">
        <v>1815</v>
      </c>
      <c r="AH114" s="246">
        <v>0</v>
      </c>
      <c r="AI114" s="246">
        <v>0</v>
      </c>
      <c r="AJ114" s="246">
        <v>0</v>
      </c>
      <c r="AK114" s="245">
        <v>0</v>
      </c>
    </row>
    <row r="115" spans="1:39" ht="13.9" customHeight="1">
      <c r="A115" s="249"/>
      <c r="B115" s="239" t="s">
        <v>93</v>
      </c>
      <c r="C115" s="250">
        <v>0.24312060889929743</v>
      </c>
      <c r="D115" s="251">
        <v>0.233502538071066</v>
      </c>
      <c r="E115" s="251">
        <v>0.22829581993569131</v>
      </c>
      <c r="F115" s="251">
        <v>0.28694158075601373</v>
      </c>
      <c r="G115" s="251">
        <v>0.26470588235294118</v>
      </c>
      <c r="H115" s="252">
        <v>0.19873817034700317</v>
      </c>
      <c r="I115" s="250">
        <v>0.2370631612696377</v>
      </c>
      <c r="J115" s="250">
        <v>0</v>
      </c>
      <c r="K115" s="251">
        <v>0.10064620355411955</v>
      </c>
      <c r="L115" s="251">
        <v>7.1162212554381599E-2</v>
      </c>
      <c r="M115" s="251">
        <v>8.3596214511041003E-2</v>
      </c>
      <c r="N115" s="252">
        <v>0</v>
      </c>
      <c r="O115" s="250">
        <v>9.012148974307907E-2</v>
      </c>
      <c r="P115" s="250">
        <v>0</v>
      </c>
      <c r="Q115" s="251">
        <v>0</v>
      </c>
      <c r="R115" s="252">
        <v>0</v>
      </c>
      <c r="S115" s="250">
        <v>0</v>
      </c>
      <c r="T115" s="253"/>
      <c r="U115" s="254">
        <v>1661</v>
      </c>
      <c r="V115" s="255">
        <v>368</v>
      </c>
      <c r="W115" s="255">
        <v>1420</v>
      </c>
      <c r="X115" s="255">
        <v>167</v>
      </c>
      <c r="Y115" s="255">
        <v>18</v>
      </c>
      <c r="Z115" s="255">
        <v>63</v>
      </c>
      <c r="AA115" s="256">
        <v>3697</v>
      </c>
      <c r="AB115" s="254">
        <v>0</v>
      </c>
      <c r="AC115" s="255">
        <v>623</v>
      </c>
      <c r="AD115" s="255">
        <v>229</v>
      </c>
      <c r="AE115" s="255">
        <v>53</v>
      </c>
      <c r="AF115" s="255">
        <v>0</v>
      </c>
      <c r="AG115" s="256">
        <v>905</v>
      </c>
      <c r="AH115" s="255">
        <v>0</v>
      </c>
      <c r="AI115" s="255">
        <v>0</v>
      </c>
      <c r="AJ115" s="255">
        <v>0</v>
      </c>
      <c r="AK115" s="254">
        <v>0</v>
      </c>
    </row>
    <row r="116" spans="1:39" ht="13.9" customHeight="1">
      <c r="A116" s="249"/>
      <c r="B116" s="239" t="s">
        <v>55</v>
      </c>
      <c r="C116" s="250">
        <v>0.22819086651053863</v>
      </c>
      <c r="D116" s="251">
        <v>0.2366751269035533</v>
      </c>
      <c r="E116" s="251">
        <v>0.295016077170418</v>
      </c>
      <c r="F116" s="251">
        <v>0.3127147766323024</v>
      </c>
      <c r="G116" s="251">
        <v>0.54411764705882348</v>
      </c>
      <c r="H116" s="252">
        <v>0.21766561514195584</v>
      </c>
      <c r="I116" s="250">
        <v>0.26001923693491502</v>
      </c>
      <c r="J116" s="250">
        <v>0</v>
      </c>
      <c r="K116" s="251">
        <v>9.0468497576736667E-2</v>
      </c>
      <c r="L116" s="251">
        <v>5.5003107520198879E-2</v>
      </c>
      <c r="M116" s="251">
        <v>7.2555205047318619E-2</v>
      </c>
      <c r="N116" s="252">
        <v>0</v>
      </c>
      <c r="O116" s="250">
        <v>7.7972515435172279E-2</v>
      </c>
      <c r="P116" s="250">
        <v>0</v>
      </c>
      <c r="Q116" s="251">
        <v>0</v>
      </c>
      <c r="R116" s="252">
        <v>0</v>
      </c>
      <c r="S116" s="250">
        <v>0</v>
      </c>
      <c r="T116" s="253"/>
      <c r="U116" s="254">
        <v>1559</v>
      </c>
      <c r="V116" s="255">
        <v>373</v>
      </c>
      <c r="W116" s="255">
        <v>1835</v>
      </c>
      <c r="X116" s="255">
        <v>182</v>
      </c>
      <c r="Y116" s="255">
        <v>37</v>
      </c>
      <c r="Z116" s="255">
        <v>69</v>
      </c>
      <c r="AA116" s="256">
        <v>4055</v>
      </c>
      <c r="AB116" s="254">
        <v>0</v>
      </c>
      <c r="AC116" s="255">
        <v>560</v>
      </c>
      <c r="AD116" s="255">
        <v>177</v>
      </c>
      <c r="AE116" s="255">
        <v>46</v>
      </c>
      <c r="AF116" s="255">
        <v>0</v>
      </c>
      <c r="AG116" s="256">
        <v>783</v>
      </c>
      <c r="AH116" s="255">
        <v>0</v>
      </c>
      <c r="AI116" s="255">
        <v>0</v>
      </c>
      <c r="AJ116" s="255">
        <v>0</v>
      </c>
      <c r="AK116" s="254">
        <v>0</v>
      </c>
    </row>
    <row r="117" spans="1:39" ht="13.9" customHeight="1">
      <c r="A117" s="249"/>
      <c r="B117" s="239" t="s">
        <v>78</v>
      </c>
      <c r="C117" s="250">
        <v>1.7564402810304448E-2</v>
      </c>
      <c r="D117" s="251">
        <v>1.2055837563451776E-2</v>
      </c>
      <c r="E117" s="251">
        <v>6.9935691318327969E-2</v>
      </c>
      <c r="F117" s="251">
        <v>0.12199312714776632</v>
      </c>
      <c r="G117" s="251">
        <v>1.4705882352941176E-2</v>
      </c>
      <c r="H117" s="252">
        <v>1.5772870662460567E-2</v>
      </c>
      <c r="I117" s="250">
        <v>4.1744148765630013E-2</v>
      </c>
      <c r="J117" s="250">
        <v>0</v>
      </c>
      <c r="K117" s="251">
        <v>0.4604200323101777</v>
      </c>
      <c r="L117" s="251">
        <v>0.3216283405842138</v>
      </c>
      <c r="M117" s="251">
        <v>0.55362776025236593</v>
      </c>
      <c r="N117" s="252">
        <v>0</v>
      </c>
      <c r="O117" s="250">
        <v>0.42182832105158335</v>
      </c>
      <c r="P117" s="250">
        <v>0</v>
      </c>
      <c r="Q117" s="251">
        <v>0</v>
      </c>
      <c r="R117" s="252">
        <v>0</v>
      </c>
      <c r="S117" s="250">
        <v>0</v>
      </c>
      <c r="T117" s="253"/>
      <c r="U117" s="254">
        <v>120</v>
      </c>
      <c r="V117" s="255">
        <v>19</v>
      </c>
      <c r="W117" s="255">
        <v>435</v>
      </c>
      <c r="X117" s="255">
        <v>71</v>
      </c>
      <c r="Y117" s="255">
        <v>1</v>
      </c>
      <c r="Z117" s="255">
        <v>5</v>
      </c>
      <c r="AA117" s="256">
        <v>651</v>
      </c>
      <c r="AB117" s="254">
        <v>0</v>
      </c>
      <c r="AC117" s="255">
        <v>2850</v>
      </c>
      <c r="AD117" s="255">
        <v>1035</v>
      </c>
      <c r="AE117" s="255">
        <v>351</v>
      </c>
      <c r="AF117" s="255">
        <v>0</v>
      </c>
      <c r="AG117" s="256">
        <v>4236</v>
      </c>
      <c r="AH117" s="255">
        <v>0</v>
      </c>
      <c r="AI117" s="255">
        <v>0</v>
      </c>
      <c r="AJ117" s="255">
        <v>0</v>
      </c>
      <c r="AK117" s="254">
        <v>0</v>
      </c>
    </row>
    <row r="118" spans="1:39" ht="13.9" customHeight="1">
      <c r="A118" s="249"/>
      <c r="B118" s="239" t="s">
        <v>32</v>
      </c>
      <c r="C118" s="250">
        <v>0.13597775175644028</v>
      </c>
      <c r="D118" s="251">
        <v>0.25317258883248733</v>
      </c>
      <c r="E118" s="251">
        <v>0.15418006430868167</v>
      </c>
      <c r="F118" s="251">
        <v>0.13230240549828179</v>
      </c>
      <c r="G118" s="251">
        <v>0</v>
      </c>
      <c r="H118" s="252">
        <v>0.39116719242902209</v>
      </c>
      <c r="I118" s="250">
        <v>0.15953831356203912</v>
      </c>
      <c r="J118" s="250">
        <v>0</v>
      </c>
      <c r="K118" s="251">
        <v>1.0177705977382876E-2</v>
      </c>
      <c r="L118" s="273">
        <v>1.0254816656308266E-2</v>
      </c>
      <c r="M118" s="273">
        <v>1.5772870662460567E-3</v>
      </c>
      <c r="N118" s="252">
        <v>0</v>
      </c>
      <c r="O118" s="250">
        <v>9.6594303923521214E-3</v>
      </c>
      <c r="P118" s="250">
        <v>0</v>
      </c>
      <c r="Q118" s="251">
        <v>0</v>
      </c>
      <c r="R118" s="252">
        <v>0</v>
      </c>
      <c r="S118" s="250">
        <v>0</v>
      </c>
      <c r="T118" s="253"/>
      <c r="U118" s="254">
        <v>929</v>
      </c>
      <c r="V118" s="255">
        <v>399</v>
      </c>
      <c r="W118" s="255">
        <v>959</v>
      </c>
      <c r="X118" s="255">
        <v>77</v>
      </c>
      <c r="Y118" s="255">
        <v>0</v>
      </c>
      <c r="Z118" s="255">
        <v>124</v>
      </c>
      <c r="AA118" s="256">
        <v>2488</v>
      </c>
      <c r="AB118" s="254">
        <v>0</v>
      </c>
      <c r="AC118" s="255">
        <v>63</v>
      </c>
      <c r="AD118" s="255">
        <v>33</v>
      </c>
      <c r="AE118" s="255">
        <v>1</v>
      </c>
      <c r="AF118" s="255">
        <v>0</v>
      </c>
      <c r="AG118" s="256">
        <v>97</v>
      </c>
      <c r="AH118" s="255">
        <v>0</v>
      </c>
      <c r="AI118" s="255">
        <v>0</v>
      </c>
      <c r="AJ118" s="255">
        <v>0</v>
      </c>
      <c r="AK118" s="254">
        <v>0</v>
      </c>
    </row>
    <row r="119" spans="1:39" ht="13.9" customHeight="1">
      <c r="A119" s="249"/>
      <c r="B119" s="239" t="s">
        <v>58</v>
      </c>
      <c r="C119" s="250">
        <v>0</v>
      </c>
      <c r="D119" s="251">
        <v>0</v>
      </c>
      <c r="E119" s="251">
        <v>0</v>
      </c>
      <c r="F119" s="251">
        <v>0</v>
      </c>
      <c r="G119" s="251">
        <v>0</v>
      </c>
      <c r="H119" s="252">
        <v>0</v>
      </c>
      <c r="I119" s="250">
        <v>0</v>
      </c>
      <c r="J119" s="250">
        <v>0</v>
      </c>
      <c r="K119" s="251">
        <v>0.14507269789983845</v>
      </c>
      <c r="L119" s="251">
        <v>0.36917339962709755</v>
      </c>
      <c r="M119" s="251">
        <v>0.1892744479495268</v>
      </c>
      <c r="N119" s="252">
        <v>0</v>
      </c>
      <c r="O119" s="250">
        <v>0.21967735510854411</v>
      </c>
      <c r="P119" s="250">
        <v>0</v>
      </c>
      <c r="Q119" s="251">
        <v>0</v>
      </c>
      <c r="R119" s="252">
        <v>0</v>
      </c>
      <c r="S119" s="250">
        <v>0</v>
      </c>
      <c r="T119" s="253"/>
      <c r="U119" s="254">
        <v>0</v>
      </c>
      <c r="V119" s="255">
        <v>0</v>
      </c>
      <c r="W119" s="255">
        <v>0</v>
      </c>
      <c r="X119" s="255">
        <v>0</v>
      </c>
      <c r="Y119" s="255">
        <v>0</v>
      </c>
      <c r="Z119" s="255">
        <v>0</v>
      </c>
      <c r="AA119" s="256">
        <v>0</v>
      </c>
      <c r="AB119" s="254">
        <v>0</v>
      </c>
      <c r="AC119" s="255">
        <v>898</v>
      </c>
      <c r="AD119" s="255">
        <v>1188</v>
      </c>
      <c r="AE119" s="255">
        <v>120</v>
      </c>
      <c r="AF119" s="255">
        <v>0</v>
      </c>
      <c r="AG119" s="256">
        <v>2206</v>
      </c>
      <c r="AH119" s="255">
        <v>0</v>
      </c>
      <c r="AI119" s="255">
        <v>0</v>
      </c>
      <c r="AJ119" s="255">
        <v>0</v>
      </c>
      <c r="AK119" s="254">
        <v>0</v>
      </c>
    </row>
    <row r="120" spans="1:39" s="271" customFormat="1" ht="23.45" customHeight="1">
      <c r="A120" s="259"/>
      <c r="B120" s="260" t="s">
        <v>59</v>
      </c>
      <c r="C120" s="261">
        <v>1</v>
      </c>
      <c r="D120" s="262">
        <v>1</v>
      </c>
      <c r="E120" s="262">
        <v>1</v>
      </c>
      <c r="F120" s="262">
        <v>1</v>
      </c>
      <c r="G120" s="262">
        <v>1</v>
      </c>
      <c r="H120" s="263">
        <v>1</v>
      </c>
      <c r="I120" s="261">
        <v>1</v>
      </c>
      <c r="J120" s="261">
        <v>0</v>
      </c>
      <c r="K120" s="262">
        <v>1</v>
      </c>
      <c r="L120" s="262">
        <v>1</v>
      </c>
      <c r="M120" s="262">
        <v>1</v>
      </c>
      <c r="N120" s="263">
        <v>0</v>
      </c>
      <c r="O120" s="261">
        <v>1</v>
      </c>
      <c r="P120" s="261">
        <v>0</v>
      </c>
      <c r="Q120" s="262">
        <v>0</v>
      </c>
      <c r="R120" s="263">
        <v>0</v>
      </c>
      <c r="S120" s="261">
        <v>0</v>
      </c>
      <c r="T120" s="264"/>
      <c r="U120" s="265">
        <v>6832</v>
      </c>
      <c r="V120" s="266">
        <v>1576</v>
      </c>
      <c r="W120" s="266">
        <v>6220</v>
      </c>
      <c r="X120" s="266">
        <v>582</v>
      </c>
      <c r="Y120" s="266">
        <v>68</v>
      </c>
      <c r="Z120" s="266">
        <v>317</v>
      </c>
      <c r="AA120" s="267">
        <v>15595</v>
      </c>
      <c r="AB120" s="265">
        <v>0</v>
      </c>
      <c r="AC120" s="266">
        <v>6190</v>
      </c>
      <c r="AD120" s="266">
        <v>3218</v>
      </c>
      <c r="AE120" s="266">
        <v>634</v>
      </c>
      <c r="AF120" s="268">
        <v>0</v>
      </c>
      <c r="AG120" s="268">
        <v>10042</v>
      </c>
      <c r="AH120" s="265">
        <v>0</v>
      </c>
      <c r="AI120" s="266">
        <v>0</v>
      </c>
      <c r="AJ120" s="268">
        <v>0</v>
      </c>
      <c r="AK120" s="265">
        <v>0</v>
      </c>
      <c r="AL120" s="270"/>
      <c r="AM120" s="270"/>
    </row>
    <row r="121" spans="1:39" ht="13.9" customHeight="1">
      <c r="A121" s="239" t="s">
        <v>17</v>
      </c>
      <c r="B121" s="239" t="s">
        <v>53</v>
      </c>
      <c r="C121" s="241">
        <v>0.41219096334185851</v>
      </c>
      <c r="D121" s="242">
        <v>0.3022284122562674</v>
      </c>
      <c r="E121" s="242">
        <v>0.34088762983947118</v>
      </c>
      <c r="F121" s="242">
        <v>0.2648221343873518</v>
      </c>
      <c r="G121" s="242">
        <v>0.2148997134670487</v>
      </c>
      <c r="H121" s="243">
        <v>0.256140350877193</v>
      </c>
      <c r="I121" s="241">
        <v>0.33409734393959822</v>
      </c>
      <c r="J121" s="241">
        <v>0</v>
      </c>
      <c r="K121" s="242">
        <v>0</v>
      </c>
      <c r="L121" s="242">
        <v>0</v>
      </c>
      <c r="M121" s="242">
        <v>0.27272727272727271</v>
      </c>
      <c r="N121" s="243">
        <v>0.22631293990254467</v>
      </c>
      <c r="O121" s="241">
        <v>0.22712765957446809</v>
      </c>
      <c r="P121" s="241">
        <v>0</v>
      </c>
      <c r="Q121" s="242">
        <v>0</v>
      </c>
      <c r="R121" s="243">
        <v>0</v>
      </c>
      <c r="S121" s="241">
        <v>0</v>
      </c>
      <c r="T121" s="253"/>
      <c r="U121" s="245">
        <v>967</v>
      </c>
      <c r="V121" s="246">
        <v>868</v>
      </c>
      <c r="W121" s="246">
        <v>361</v>
      </c>
      <c r="X121" s="246">
        <v>134</v>
      </c>
      <c r="Y121" s="246">
        <v>75</v>
      </c>
      <c r="Z121" s="246">
        <v>73</v>
      </c>
      <c r="AA121" s="247">
        <v>2478</v>
      </c>
      <c r="AB121" s="245">
        <v>0</v>
      </c>
      <c r="AC121" s="246">
        <v>0</v>
      </c>
      <c r="AD121" s="246">
        <v>0</v>
      </c>
      <c r="AE121" s="246">
        <v>9</v>
      </c>
      <c r="AF121" s="246">
        <v>418</v>
      </c>
      <c r="AG121" s="247">
        <v>427</v>
      </c>
      <c r="AH121" s="246">
        <v>0</v>
      </c>
      <c r="AI121" s="246">
        <v>0</v>
      </c>
      <c r="AJ121" s="246">
        <v>0</v>
      </c>
      <c r="AK121" s="245">
        <v>0</v>
      </c>
    </row>
    <row r="122" spans="1:39" ht="13.9" customHeight="1">
      <c r="A122" s="249"/>
      <c r="B122" s="239" t="s">
        <v>93</v>
      </c>
      <c r="C122" s="250">
        <v>0.29283887468030689</v>
      </c>
      <c r="D122" s="251">
        <v>0.34435933147632314</v>
      </c>
      <c r="E122" s="251">
        <v>0.25401322001888577</v>
      </c>
      <c r="F122" s="251">
        <v>0.27865612648221344</v>
      </c>
      <c r="G122" s="251">
        <v>0.29512893982808025</v>
      </c>
      <c r="H122" s="252">
        <v>0.2982456140350877</v>
      </c>
      <c r="I122" s="250">
        <v>0.30659296211406228</v>
      </c>
      <c r="J122" s="250">
        <v>0</v>
      </c>
      <c r="K122" s="251">
        <v>0</v>
      </c>
      <c r="L122" s="251">
        <v>0</v>
      </c>
      <c r="M122" s="251">
        <v>0.42424242424242425</v>
      </c>
      <c r="N122" s="252">
        <v>0.29723876556578233</v>
      </c>
      <c r="O122" s="250">
        <v>0.29946808510638295</v>
      </c>
      <c r="P122" s="250">
        <v>0</v>
      </c>
      <c r="Q122" s="251">
        <v>0</v>
      </c>
      <c r="R122" s="252">
        <v>0</v>
      </c>
      <c r="S122" s="250">
        <v>0</v>
      </c>
      <c r="T122" s="253"/>
      <c r="U122" s="254">
        <v>687</v>
      </c>
      <c r="V122" s="255">
        <v>989</v>
      </c>
      <c r="W122" s="255">
        <v>269</v>
      </c>
      <c r="X122" s="255">
        <v>141</v>
      </c>
      <c r="Y122" s="255">
        <v>103</v>
      </c>
      <c r="Z122" s="255">
        <v>85</v>
      </c>
      <c r="AA122" s="256">
        <v>2274</v>
      </c>
      <c r="AB122" s="254">
        <v>0</v>
      </c>
      <c r="AC122" s="255">
        <v>0</v>
      </c>
      <c r="AD122" s="255">
        <v>0</v>
      </c>
      <c r="AE122" s="255">
        <v>14</v>
      </c>
      <c r="AF122" s="255">
        <v>549</v>
      </c>
      <c r="AG122" s="256">
        <v>563</v>
      </c>
      <c r="AH122" s="255">
        <v>0</v>
      </c>
      <c r="AI122" s="255">
        <v>0</v>
      </c>
      <c r="AJ122" s="255">
        <v>0</v>
      </c>
      <c r="AK122" s="254">
        <v>0</v>
      </c>
    </row>
    <row r="123" spans="1:39" ht="13.9" customHeight="1">
      <c r="A123" s="249"/>
      <c r="B123" s="239" t="s">
        <v>55</v>
      </c>
      <c r="C123" s="250">
        <v>0.19565217391304349</v>
      </c>
      <c r="D123" s="251">
        <v>0.23955431754874651</v>
      </c>
      <c r="E123" s="251">
        <v>0.30594900849858359</v>
      </c>
      <c r="F123" s="251">
        <v>0.3201581027667984</v>
      </c>
      <c r="G123" s="251">
        <v>0.34670487106017189</v>
      </c>
      <c r="H123" s="252">
        <v>0.30175438596491228</v>
      </c>
      <c r="I123" s="250">
        <v>0.24807873803424565</v>
      </c>
      <c r="J123" s="250">
        <v>0</v>
      </c>
      <c r="K123" s="251">
        <v>0</v>
      </c>
      <c r="L123" s="251">
        <v>0</v>
      </c>
      <c r="M123" s="251">
        <v>0.27272727272727271</v>
      </c>
      <c r="N123" s="252">
        <v>0.31239848402815379</v>
      </c>
      <c r="O123" s="250">
        <v>0.31170212765957445</v>
      </c>
      <c r="P123" s="250">
        <v>0</v>
      </c>
      <c r="Q123" s="251">
        <v>0</v>
      </c>
      <c r="R123" s="252">
        <v>0</v>
      </c>
      <c r="S123" s="250">
        <v>0</v>
      </c>
      <c r="T123" s="253"/>
      <c r="U123" s="254">
        <v>459</v>
      </c>
      <c r="V123" s="255">
        <v>688</v>
      </c>
      <c r="W123" s="255">
        <v>324</v>
      </c>
      <c r="X123" s="255">
        <v>162</v>
      </c>
      <c r="Y123" s="255">
        <v>121</v>
      </c>
      <c r="Z123" s="255">
        <v>86</v>
      </c>
      <c r="AA123" s="256">
        <v>1840</v>
      </c>
      <c r="AB123" s="254">
        <v>0</v>
      </c>
      <c r="AC123" s="255">
        <v>0</v>
      </c>
      <c r="AD123" s="255">
        <v>0</v>
      </c>
      <c r="AE123" s="255">
        <v>9</v>
      </c>
      <c r="AF123" s="255">
        <v>577</v>
      </c>
      <c r="AG123" s="256">
        <v>586</v>
      </c>
      <c r="AH123" s="255">
        <v>0</v>
      </c>
      <c r="AI123" s="255">
        <v>0</v>
      </c>
      <c r="AJ123" s="255">
        <v>0</v>
      </c>
      <c r="AK123" s="254">
        <v>0</v>
      </c>
    </row>
    <row r="124" spans="1:39" ht="13.9" customHeight="1">
      <c r="A124" s="249"/>
      <c r="B124" s="239" t="s">
        <v>78</v>
      </c>
      <c r="C124" s="250">
        <v>6.0954816709292411E-2</v>
      </c>
      <c r="D124" s="251">
        <v>8.7395543175487464E-2</v>
      </c>
      <c r="E124" s="251">
        <v>9.9150141643059492E-2</v>
      </c>
      <c r="F124" s="251">
        <v>0.13636363636363635</v>
      </c>
      <c r="G124" s="251">
        <v>6.8767908309455589E-2</v>
      </c>
      <c r="H124" s="252">
        <v>3.8596491228070177E-2</v>
      </c>
      <c r="I124" s="250">
        <v>8.1299716866657684E-2</v>
      </c>
      <c r="J124" s="250">
        <v>0</v>
      </c>
      <c r="K124" s="251">
        <v>0</v>
      </c>
      <c r="L124" s="251">
        <v>0</v>
      </c>
      <c r="M124" s="251">
        <v>3.0303030303030304E-2</v>
      </c>
      <c r="N124" s="252">
        <v>0.16242555495397942</v>
      </c>
      <c r="O124" s="250">
        <v>0.1601063829787234</v>
      </c>
      <c r="P124" s="250">
        <v>0</v>
      </c>
      <c r="Q124" s="251">
        <v>0</v>
      </c>
      <c r="R124" s="252">
        <v>0</v>
      </c>
      <c r="S124" s="250">
        <v>0</v>
      </c>
      <c r="T124" s="253"/>
      <c r="U124" s="254">
        <v>143</v>
      </c>
      <c r="V124" s="255">
        <v>251</v>
      </c>
      <c r="W124" s="255">
        <v>105</v>
      </c>
      <c r="X124" s="255">
        <v>69</v>
      </c>
      <c r="Y124" s="255">
        <v>24</v>
      </c>
      <c r="Z124" s="255">
        <v>11</v>
      </c>
      <c r="AA124" s="256">
        <v>603</v>
      </c>
      <c r="AB124" s="254">
        <v>0</v>
      </c>
      <c r="AC124" s="255">
        <v>0</v>
      </c>
      <c r="AD124" s="255">
        <v>0</v>
      </c>
      <c r="AE124" s="255">
        <v>1</v>
      </c>
      <c r="AF124" s="255">
        <v>300</v>
      </c>
      <c r="AG124" s="256">
        <v>301</v>
      </c>
      <c r="AH124" s="255">
        <v>0</v>
      </c>
      <c r="AI124" s="255">
        <v>0</v>
      </c>
      <c r="AJ124" s="255">
        <v>0</v>
      </c>
      <c r="AK124" s="254">
        <v>0</v>
      </c>
    </row>
    <row r="125" spans="1:39" ht="13.9" customHeight="1">
      <c r="A125" s="249"/>
      <c r="B125" s="239" t="s">
        <v>32</v>
      </c>
      <c r="C125" s="250">
        <v>3.8363171355498722E-2</v>
      </c>
      <c r="D125" s="251">
        <v>2.6462395543175487E-2</v>
      </c>
      <c r="E125" s="273">
        <v>0</v>
      </c>
      <c r="F125" s="251">
        <v>0</v>
      </c>
      <c r="G125" s="251">
        <v>7.4498567335243557E-2</v>
      </c>
      <c r="H125" s="252">
        <v>0.10526315789473684</v>
      </c>
      <c r="I125" s="250">
        <v>2.993123904543616E-2</v>
      </c>
      <c r="J125" s="250">
        <v>0</v>
      </c>
      <c r="K125" s="251">
        <v>0</v>
      </c>
      <c r="L125" s="251">
        <v>0</v>
      </c>
      <c r="M125" s="251">
        <v>0</v>
      </c>
      <c r="N125" s="258">
        <v>1.6242555495397943E-3</v>
      </c>
      <c r="O125" s="272">
        <v>1.5957446808510637E-3</v>
      </c>
      <c r="P125" s="250">
        <v>0</v>
      </c>
      <c r="Q125" s="251">
        <v>0</v>
      </c>
      <c r="R125" s="252">
        <v>0</v>
      </c>
      <c r="S125" s="250">
        <v>0</v>
      </c>
      <c r="T125" s="253"/>
      <c r="U125" s="254">
        <v>90</v>
      </c>
      <c r="V125" s="255">
        <v>76</v>
      </c>
      <c r="W125" s="255">
        <v>0</v>
      </c>
      <c r="X125" s="255">
        <v>0</v>
      </c>
      <c r="Y125" s="255">
        <v>26</v>
      </c>
      <c r="Z125" s="255">
        <v>30</v>
      </c>
      <c r="AA125" s="256">
        <v>222</v>
      </c>
      <c r="AB125" s="254">
        <v>0</v>
      </c>
      <c r="AC125" s="255">
        <v>0</v>
      </c>
      <c r="AD125" s="255">
        <v>0</v>
      </c>
      <c r="AE125" s="255">
        <v>0</v>
      </c>
      <c r="AF125" s="255">
        <v>3</v>
      </c>
      <c r="AG125" s="256">
        <v>3</v>
      </c>
      <c r="AH125" s="255">
        <v>0</v>
      </c>
      <c r="AI125" s="255">
        <v>0</v>
      </c>
      <c r="AJ125" s="255">
        <v>0</v>
      </c>
      <c r="AK125" s="254">
        <v>0</v>
      </c>
    </row>
    <row r="126" spans="1:39" ht="13.9" customHeight="1">
      <c r="A126" s="249"/>
      <c r="B126" s="239" t="s">
        <v>58</v>
      </c>
      <c r="C126" s="250">
        <v>0</v>
      </c>
      <c r="D126" s="251">
        <v>0</v>
      </c>
      <c r="E126" s="251">
        <v>0</v>
      </c>
      <c r="F126" s="251">
        <v>0</v>
      </c>
      <c r="G126" s="251">
        <v>0</v>
      </c>
      <c r="H126" s="252">
        <v>0</v>
      </c>
      <c r="I126" s="250">
        <v>0</v>
      </c>
      <c r="J126" s="250">
        <v>0</v>
      </c>
      <c r="K126" s="251">
        <v>0</v>
      </c>
      <c r="L126" s="251">
        <v>0</v>
      </c>
      <c r="M126" s="251">
        <v>0</v>
      </c>
      <c r="N126" s="252">
        <v>0</v>
      </c>
      <c r="O126" s="250">
        <v>0</v>
      </c>
      <c r="P126" s="250">
        <v>0</v>
      </c>
      <c r="Q126" s="251">
        <v>0</v>
      </c>
      <c r="R126" s="252">
        <v>0</v>
      </c>
      <c r="S126" s="250">
        <v>0</v>
      </c>
      <c r="T126" s="253"/>
      <c r="U126" s="254">
        <v>0</v>
      </c>
      <c r="V126" s="255">
        <v>0</v>
      </c>
      <c r="W126" s="255">
        <v>0</v>
      </c>
      <c r="X126" s="255">
        <v>0</v>
      </c>
      <c r="Y126" s="255">
        <v>0</v>
      </c>
      <c r="Z126" s="255">
        <v>0</v>
      </c>
      <c r="AA126" s="256">
        <v>0</v>
      </c>
      <c r="AB126" s="254">
        <v>0</v>
      </c>
      <c r="AC126" s="255">
        <v>0</v>
      </c>
      <c r="AD126" s="255">
        <v>0</v>
      </c>
      <c r="AE126" s="255">
        <v>0</v>
      </c>
      <c r="AF126" s="255">
        <v>0</v>
      </c>
      <c r="AG126" s="256">
        <v>0</v>
      </c>
      <c r="AH126" s="255">
        <v>0</v>
      </c>
      <c r="AI126" s="255">
        <v>0</v>
      </c>
      <c r="AJ126" s="255">
        <v>0</v>
      </c>
      <c r="AK126" s="254">
        <v>0</v>
      </c>
    </row>
    <row r="127" spans="1:39" s="271" customFormat="1" ht="23.45" customHeight="1">
      <c r="A127" s="259"/>
      <c r="B127" s="260" t="s">
        <v>59</v>
      </c>
      <c r="C127" s="261">
        <v>1</v>
      </c>
      <c r="D127" s="262">
        <v>1</v>
      </c>
      <c r="E127" s="262">
        <v>1</v>
      </c>
      <c r="F127" s="262">
        <v>1</v>
      </c>
      <c r="G127" s="262">
        <v>1</v>
      </c>
      <c r="H127" s="263">
        <v>1</v>
      </c>
      <c r="I127" s="261">
        <v>1</v>
      </c>
      <c r="J127" s="261">
        <v>0</v>
      </c>
      <c r="K127" s="262">
        <v>0</v>
      </c>
      <c r="L127" s="262">
        <v>0</v>
      </c>
      <c r="M127" s="262">
        <v>1</v>
      </c>
      <c r="N127" s="263">
        <v>1</v>
      </c>
      <c r="O127" s="261">
        <v>1</v>
      </c>
      <c r="P127" s="261">
        <v>0</v>
      </c>
      <c r="Q127" s="262">
        <v>0</v>
      </c>
      <c r="R127" s="263">
        <v>0</v>
      </c>
      <c r="S127" s="261">
        <v>0</v>
      </c>
      <c r="T127" s="264"/>
      <c r="U127" s="265">
        <v>2346</v>
      </c>
      <c r="V127" s="266">
        <v>2872</v>
      </c>
      <c r="W127" s="266">
        <v>1059</v>
      </c>
      <c r="X127" s="266">
        <v>506</v>
      </c>
      <c r="Y127" s="266">
        <v>349</v>
      </c>
      <c r="Z127" s="266">
        <v>285</v>
      </c>
      <c r="AA127" s="267">
        <v>7417</v>
      </c>
      <c r="AB127" s="265">
        <v>0</v>
      </c>
      <c r="AC127" s="266">
        <v>0</v>
      </c>
      <c r="AD127" s="266">
        <v>0</v>
      </c>
      <c r="AE127" s="266">
        <v>33</v>
      </c>
      <c r="AF127" s="268">
        <v>1847</v>
      </c>
      <c r="AG127" s="268">
        <v>1880</v>
      </c>
      <c r="AH127" s="265">
        <v>0</v>
      </c>
      <c r="AI127" s="266">
        <v>0</v>
      </c>
      <c r="AJ127" s="268">
        <v>0</v>
      </c>
      <c r="AK127" s="265">
        <v>0</v>
      </c>
      <c r="AL127" s="270"/>
      <c r="AM127" s="270"/>
    </row>
    <row r="128" spans="1:39" ht="13.9" customHeight="1">
      <c r="A128" s="239" t="s">
        <v>18</v>
      </c>
      <c r="B128" s="239" t="s">
        <v>53</v>
      </c>
      <c r="C128" s="241">
        <v>0.40867279894875164</v>
      </c>
      <c r="D128" s="242">
        <v>0</v>
      </c>
      <c r="E128" s="242">
        <v>0.42669584245076586</v>
      </c>
      <c r="F128" s="242">
        <v>0</v>
      </c>
      <c r="G128" s="242">
        <v>0</v>
      </c>
      <c r="H128" s="243">
        <v>0.26598173515981738</v>
      </c>
      <c r="I128" s="241">
        <v>0.35291308500477553</v>
      </c>
      <c r="J128" s="241">
        <v>0.43181818181818182</v>
      </c>
      <c r="K128" s="242">
        <v>0</v>
      </c>
      <c r="L128" s="242">
        <v>0.16216216216216217</v>
      </c>
      <c r="M128" s="242">
        <v>0.33823529411764708</v>
      </c>
      <c r="N128" s="243">
        <v>0</v>
      </c>
      <c r="O128" s="241">
        <v>0.34346504559270519</v>
      </c>
      <c r="P128" s="241">
        <v>0</v>
      </c>
      <c r="Q128" s="242">
        <v>0</v>
      </c>
      <c r="R128" s="243">
        <v>0</v>
      </c>
      <c r="S128" s="241">
        <v>0</v>
      </c>
      <c r="T128" s="253"/>
      <c r="U128" s="245">
        <v>311</v>
      </c>
      <c r="V128" s="246">
        <v>0</v>
      </c>
      <c r="W128" s="246">
        <v>195</v>
      </c>
      <c r="X128" s="246">
        <v>0</v>
      </c>
      <c r="Y128" s="246">
        <v>0</v>
      </c>
      <c r="Z128" s="246">
        <v>233</v>
      </c>
      <c r="AA128" s="247">
        <v>739</v>
      </c>
      <c r="AB128" s="245">
        <v>38</v>
      </c>
      <c r="AC128" s="246">
        <v>0</v>
      </c>
      <c r="AD128" s="246">
        <v>6</v>
      </c>
      <c r="AE128" s="246">
        <v>69</v>
      </c>
      <c r="AF128" s="246">
        <v>0</v>
      </c>
      <c r="AG128" s="247">
        <v>113</v>
      </c>
      <c r="AH128" s="246">
        <v>0</v>
      </c>
      <c r="AI128" s="246">
        <v>0</v>
      </c>
      <c r="AJ128" s="246">
        <v>0</v>
      </c>
      <c r="AK128" s="245">
        <v>0</v>
      </c>
    </row>
    <row r="129" spans="1:39" ht="13.9" customHeight="1">
      <c r="A129" s="249"/>
      <c r="B129" s="239" t="s">
        <v>93</v>
      </c>
      <c r="C129" s="250">
        <v>0.29172141918528255</v>
      </c>
      <c r="D129" s="251">
        <v>0</v>
      </c>
      <c r="E129" s="251">
        <v>0.2713347921225383</v>
      </c>
      <c r="F129" s="251">
        <v>0</v>
      </c>
      <c r="G129" s="251">
        <v>0</v>
      </c>
      <c r="H129" s="252">
        <v>0.27968036529680368</v>
      </c>
      <c r="I129" s="250">
        <v>0.2822349570200573</v>
      </c>
      <c r="J129" s="250">
        <v>0.13636363636363635</v>
      </c>
      <c r="K129" s="251">
        <v>0</v>
      </c>
      <c r="L129" s="251">
        <v>0.21621621621621623</v>
      </c>
      <c r="M129" s="251">
        <v>0.21568627450980393</v>
      </c>
      <c r="N129" s="252">
        <v>0</v>
      </c>
      <c r="O129" s="250">
        <v>0.19452887537993921</v>
      </c>
      <c r="P129" s="250">
        <v>0</v>
      </c>
      <c r="Q129" s="251">
        <v>0</v>
      </c>
      <c r="R129" s="252">
        <v>0</v>
      </c>
      <c r="S129" s="250">
        <v>0</v>
      </c>
      <c r="T129" s="253"/>
      <c r="U129" s="254">
        <v>222</v>
      </c>
      <c r="V129" s="255">
        <v>0</v>
      </c>
      <c r="W129" s="255">
        <v>124</v>
      </c>
      <c r="X129" s="255">
        <v>0</v>
      </c>
      <c r="Y129" s="255">
        <v>0</v>
      </c>
      <c r="Z129" s="255">
        <v>245</v>
      </c>
      <c r="AA129" s="256">
        <v>591</v>
      </c>
      <c r="AB129" s="254">
        <v>12</v>
      </c>
      <c r="AC129" s="255">
        <v>0</v>
      </c>
      <c r="AD129" s="255">
        <v>8</v>
      </c>
      <c r="AE129" s="255">
        <v>44</v>
      </c>
      <c r="AF129" s="255">
        <v>0</v>
      </c>
      <c r="AG129" s="256">
        <v>64</v>
      </c>
      <c r="AH129" s="255">
        <v>0</v>
      </c>
      <c r="AI129" s="255">
        <v>0</v>
      </c>
      <c r="AJ129" s="255">
        <v>0</v>
      </c>
      <c r="AK129" s="254">
        <v>0</v>
      </c>
    </row>
    <row r="130" spans="1:39" ht="13.9" customHeight="1">
      <c r="A130" s="249"/>
      <c r="B130" s="239" t="s">
        <v>55</v>
      </c>
      <c r="C130" s="250">
        <v>0.27332457293035478</v>
      </c>
      <c r="D130" s="251">
        <v>0</v>
      </c>
      <c r="E130" s="251">
        <v>0.23632385120350111</v>
      </c>
      <c r="F130" s="251">
        <v>0</v>
      </c>
      <c r="G130" s="251">
        <v>0</v>
      </c>
      <c r="H130" s="252">
        <v>0.31621004566210048</v>
      </c>
      <c r="I130" s="250">
        <v>0.28319006685768866</v>
      </c>
      <c r="J130" s="250">
        <v>0.21590909090909091</v>
      </c>
      <c r="K130" s="251">
        <v>0</v>
      </c>
      <c r="L130" s="251">
        <v>0.35135135135135137</v>
      </c>
      <c r="M130" s="251">
        <v>0.20098039215686275</v>
      </c>
      <c r="N130" s="252">
        <v>0</v>
      </c>
      <c r="O130" s="250">
        <v>0.22188449848024316</v>
      </c>
      <c r="P130" s="250">
        <v>0</v>
      </c>
      <c r="Q130" s="251">
        <v>0</v>
      </c>
      <c r="R130" s="252">
        <v>0</v>
      </c>
      <c r="S130" s="250">
        <v>0</v>
      </c>
      <c r="T130" s="253"/>
      <c r="U130" s="254">
        <v>208</v>
      </c>
      <c r="V130" s="255">
        <v>0</v>
      </c>
      <c r="W130" s="255">
        <v>108</v>
      </c>
      <c r="X130" s="255">
        <v>0</v>
      </c>
      <c r="Y130" s="255">
        <v>0</v>
      </c>
      <c r="Z130" s="255">
        <v>277</v>
      </c>
      <c r="AA130" s="256">
        <v>593</v>
      </c>
      <c r="AB130" s="254">
        <v>19</v>
      </c>
      <c r="AC130" s="255">
        <v>0</v>
      </c>
      <c r="AD130" s="255">
        <v>13</v>
      </c>
      <c r="AE130" s="255">
        <v>41</v>
      </c>
      <c r="AF130" s="255">
        <v>0</v>
      </c>
      <c r="AG130" s="256">
        <v>73</v>
      </c>
      <c r="AH130" s="255">
        <v>0</v>
      </c>
      <c r="AI130" s="255">
        <v>0</v>
      </c>
      <c r="AJ130" s="255">
        <v>0</v>
      </c>
      <c r="AK130" s="254">
        <v>0</v>
      </c>
    </row>
    <row r="131" spans="1:39" ht="13.9" customHeight="1">
      <c r="A131" s="249"/>
      <c r="B131" s="239" t="s">
        <v>78</v>
      </c>
      <c r="C131" s="250">
        <v>1.4454664914586071E-2</v>
      </c>
      <c r="D131" s="251">
        <v>0</v>
      </c>
      <c r="E131" s="251">
        <v>6.5645514223194742E-2</v>
      </c>
      <c r="F131" s="251">
        <v>0</v>
      </c>
      <c r="G131" s="251">
        <v>0</v>
      </c>
      <c r="H131" s="252">
        <v>0.11187214611872145</v>
      </c>
      <c r="I131" s="250">
        <v>6.6380133715377265E-2</v>
      </c>
      <c r="J131" s="250">
        <v>0.10227272727272728</v>
      </c>
      <c r="K131" s="251">
        <v>0</v>
      </c>
      <c r="L131" s="251">
        <v>0.27027027027027029</v>
      </c>
      <c r="M131" s="251">
        <v>0.24509803921568626</v>
      </c>
      <c r="N131" s="252">
        <v>0</v>
      </c>
      <c r="O131" s="250">
        <v>0.20972644376899696</v>
      </c>
      <c r="P131" s="250">
        <v>0</v>
      </c>
      <c r="Q131" s="251">
        <v>0</v>
      </c>
      <c r="R131" s="252">
        <v>0</v>
      </c>
      <c r="S131" s="250">
        <v>0</v>
      </c>
      <c r="T131" s="253"/>
      <c r="U131" s="254">
        <v>11</v>
      </c>
      <c r="V131" s="255">
        <v>0</v>
      </c>
      <c r="W131" s="255">
        <v>30</v>
      </c>
      <c r="X131" s="255">
        <v>0</v>
      </c>
      <c r="Y131" s="255">
        <v>0</v>
      </c>
      <c r="Z131" s="255">
        <v>98</v>
      </c>
      <c r="AA131" s="256">
        <v>139</v>
      </c>
      <c r="AB131" s="254">
        <v>9</v>
      </c>
      <c r="AC131" s="255">
        <v>0</v>
      </c>
      <c r="AD131" s="255">
        <v>10</v>
      </c>
      <c r="AE131" s="255">
        <v>50</v>
      </c>
      <c r="AF131" s="255">
        <v>0</v>
      </c>
      <c r="AG131" s="256">
        <v>69</v>
      </c>
      <c r="AH131" s="255">
        <v>0</v>
      </c>
      <c r="AI131" s="255">
        <v>0</v>
      </c>
      <c r="AJ131" s="255">
        <v>0</v>
      </c>
      <c r="AK131" s="254">
        <v>0</v>
      </c>
    </row>
    <row r="132" spans="1:39" ht="13.9" customHeight="1">
      <c r="A132" s="249"/>
      <c r="B132" s="239" t="s">
        <v>32</v>
      </c>
      <c r="C132" s="250">
        <v>1.1826544021024968E-2</v>
      </c>
      <c r="D132" s="251">
        <v>0</v>
      </c>
      <c r="E132" s="251">
        <v>0</v>
      </c>
      <c r="F132" s="251">
        <v>0</v>
      </c>
      <c r="G132" s="251">
        <v>0</v>
      </c>
      <c r="H132" s="252">
        <v>2.6255707762557076E-2</v>
      </c>
      <c r="I132" s="250">
        <v>1.5281757402101241E-2</v>
      </c>
      <c r="J132" s="250">
        <v>0.11363636363636363</v>
      </c>
      <c r="K132" s="251">
        <v>0</v>
      </c>
      <c r="L132" s="251">
        <v>0</v>
      </c>
      <c r="M132" s="251">
        <v>0</v>
      </c>
      <c r="N132" s="252">
        <v>0</v>
      </c>
      <c r="O132" s="250">
        <v>3.0395136778115502E-2</v>
      </c>
      <c r="P132" s="250">
        <v>0</v>
      </c>
      <c r="Q132" s="251">
        <v>0</v>
      </c>
      <c r="R132" s="252">
        <v>0</v>
      </c>
      <c r="S132" s="250">
        <v>0</v>
      </c>
      <c r="T132" s="253"/>
      <c r="U132" s="254">
        <v>9</v>
      </c>
      <c r="V132" s="255">
        <v>0</v>
      </c>
      <c r="W132" s="255">
        <v>0</v>
      </c>
      <c r="X132" s="255">
        <v>0</v>
      </c>
      <c r="Y132" s="255">
        <v>0</v>
      </c>
      <c r="Z132" s="255">
        <v>23</v>
      </c>
      <c r="AA132" s="256">
        <v>32</v>
      </c>
      <c r="AB132" s="254">
        <v>10</v>
      </c>
      <c r="AC132" s="255">
        <v>0</v>
      </c>
      <c r="AD132" s="255">
        <v>0</v>
      </c>
      <c r="AE132" s="255">
        <v>0</v>
      </c>
      <c r="AF132" s="255">
        <v>0</v>
      </c>
      <c r="AG132" s="256">
        <v>10</v>
      </c>
      <c r="AH132" s="255">
        <v>0</v>
      </c>
      <c r="AI132" s="255">
        <v>0</v>
      </c>
      <c r="AJ132" s="255">
        <v>0</v>
      </c>
      <c r="AK132" s="254">
        <v>0</v>
      </c>
    </row>
    <row r="133" spans="1:39" ht="13.9" customHeight="1">
      <c r="A133" s="249"/>
      <c r="B133" s="239" t="s">
        <v>58</v>
      </c>
      <c r="C133" s="250">
        <v>0</v>
      </c>
      <c r="D133" s="251">
        <v>0</v>
      </c>
      <c r="E133" s="251">
        <v>0</v>
      </c>
      <c r="F133" s="251">
        <v>0</v>
      </c>
      <c r="G133" s="251">
        <v>0</v>
      </c>
      <c r="H133" s="252">
        <v>0</v>
      </c>
      <c r="I133" s="250">
        <v>0</v>
      </c>
      <c r="J133" s="250">
        <v>0</v>
      </c>
      <c r="K133" s="251">
        <v>0</v>
      </c>
      <c r="L133" s="251">
        <v>0</v>
      </c>
      <c r="M133" s="251">
        <v>0</v>
      </c>
      <c r="N133" s="252">
        <v>0</v>
      </c>
      <c r="O133" s="250">
        <v>0</v>
      </c>
      <c r="P133" s="250">
        <v>0</v>
      </c>
      <c r="Q133" s="251">
        <v>0</v>
      </c>
      <c r="R133" s="252">
        <v>0</v>
      </c>
      <c r="S133" s="250">
        <v>0</v>
      </c>
      <c r="T133" s="253"/>
      <c r="U133" s="254">
        <v>0</v>
      </c>
      <c r="V133" s="255">
        <v>0</v>
      </c>
      <c r="W133" s="255">
        <v>0</v>
      </c>
      <c r="X133" s="255">
        <v>0</v>
      </c>
      <c r="Y133" s="255">
        <v>0</v>
      </c>
      <c r="Z133" s="255">
        <v>0</v>
      </c>
      <c r="AA133" s="256">
        <v>0</v>
      </c>
      <c r="AB133" s="254">
        <v>0</v>
      </c>
      <c r="AC133" s="255">
        <v>0</v>
      </c>
      <c r="AD133" s="255">
        <v>0</v>
      </c>
      <c r="AE133" s="255">
        <v>0</v>
      </c>
      <c r="AF133" s="255">
        <v>0</v>
      </c>
      <c r="AG133" s="256">
        <v>0</v>
      </c>
      <c r="AH133" s="255">
        <v>0</v>
      </c>
      <c r="AI133" s="255">
        <v>0</v>
      </c>
      <c r="AJ133" s="255">
        <v>0</v>
      </c>
      <c r="AK133" s="254">
        <v>0</v>
      </c>
    </row>
    <row r="134" spans="1:39" s="271" customFormat="1" ht="23.45" customHeight="1">
      <c r="A134" s="259"/>
      <c r="B134" s="260" t="s">
        <v>59</v>
      </c>
      <c r="C134" s="261">
        <v>1</v>
      </c>
      <c r="D134" s="262">
        <v>0</v>
      </c>
      <c r="E134" s="262">
        <v>1</v>
      </c>
      <c r="F134" s="262">
        <v>0</v>
      </c>
      <c r="G134" s="262">
        <v>0</v>
      </c>
      <c r="H134" s="263">
        <v>1</v>
      </c>
      <c r="I134" s="261">
        <v>1</v>
      </c>
      <c r="J134" s="261">
        <v>1</v>
      </c>
      <c r="K134" s="262">
        <v>0</v>
      </c>
      <c r="L134" s="262">
        <v>1</v>
      </c>
      <c r="M134" s="262">
        <v>1</v>
      </c>
      <c r="N134" s="263">
        <v>0</v>
      </c>
      <c r="O134" s="261">
        <v>1</v>
      </c>
      <c r="P134" s="261">
        <v>0</v>
      </c>
      <c r="Q134" s="262">
        <v>0</v>
      </c>
      <c r="R134" s="263">
        <v>0</v>
      </c>
      <c r="S134" s="261">
        <v>0</v>
      </c>
      <c r="T134" s="264"/>
      <c r="U134" s="265">
        <v>761</v>
      </c>
      <c r="V134" s="266">
        <v>0</v>
      </c>
      <c r="W134" s="266">
        <v>457</v>
      </c>
      <c r="X134" s="266">
        <v>0</v>
      </c>
      <c r="Y134" s="266">
        <v>0</v>
      </c>
      <c r="Z134" s="266">
        <v>876</v>
      </c>
      <c r="AA134" s="267">
        <v>2094</v>
      </c>
      <c r="AB134" s="265">
        <v>88</v>
      </c>
      <c r="AC134" s="266">
        <v>0</v>
      </c>
      <c r="AD134" s="266">
        <v>37</v>
      </c>
      <c r="AE134" s="266">
        <v>204</v>
      </c>
      <c r="AF134" s="268">
        <v>0</v>
      </c>
      <c r="AG134" s="268">
        <v>329</v>
      </c>
      <c r="AH134" s="265">
        <v>0</v>
      </c>
      <c r="AI134" s="266">
        <v>0</v>
      </c>
      <c r="AJ134" s="268">
        <v>0</v>
      </c>
      <c r="AK134" s="265">
        <v>0</v>
      </c>
      <c r="AL134" s="270"/>
      <c r="AM134" s="270"/>
    </row>
  </sheetData>
  <phoneticPr fontId="44" type="noConversion"/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P134"/>
  <sheetViews>
    <sheetView workbookViewId="0"/>
  </sheetViews>
  <sheetFormatPr defaultColWidth="7.88671875" defaultRowHeight="12.75"/>
  <cols>
    <col min="1" max="1" width="5" style="9" customWidth="1"/>
    <col min="2" max="2" width="13.88671875" style="340" customWidth="1"/>
    <col min="3" max="3" width="5.5546875" style="9" bestFit="1" customWidth="1"/>
    <col min="4" max="4" width="5.21875" style="9" customWidth="1"/>
    <col min="5" max="5" width="5.109375" style="9" customWidth="1"/>
    <col min="6" max="6" width="4.6640625" style="9" customWidth="1"/>
    <col min="7" max="7" width="5.109375" style="9" customWidth="1"/>
    <col min="8" max="8" width="4.88671875" style="9" customWidth="1"/>
    <col min="9" max="9" width="4.6640625" style="9" customWidth="1"/>
    <col min="10" max="10" width="6.21875" style="9" customWidth="1"/>
    <col min="11" max="13" width="4.6640625" style="9" customWidth="1"/>
    <col min="14" max="14" width="5.109375" style="9" customWidth="1"/>
    <col min="15" max="16" width="5.21875" style="9" customWidth="1"/>
    <col min="17" max="17" width="4.77734375" style="9" customWidth="1"/>
    <col min="18" max="18" width="5.21875" style="9" customWidth="1"/>
    <col min="19" max="19" width="4.6640625" style="340" customWidth="1"/>
    <col min="20" max="20" width="3.21875" style="357" customWidth="1"/>
    <col min="21" max="21" width="6.44140625" style="349" customWidth="1"/>
    <col min="22" max="22" width="6.88671875" style="349" customWidth="1"/>
    <col min="23" max="23" width="6.77734375" style="349" customWidth="1"/>
    <col min="24" max="24" width="6.44140625" style="349" customWidth="1"/>
    <col min="25" max="25" width="6.33203125" style="349" customWidth="1"/>
    <col min="26" max="26" width="6.21875" style="349" customWidth="1"/>
    <col min="27" max="27" width="7.109375" style="349" customWidth="1"/>
    <col min="28" max="28" width="4.77734375" style="349" customWidth="1"/>
    <col min="29" max="29" width="5.77734375" style="349" customWidth="1"/>
    <col min="30" max="30" width="6.109375" style="349" customWidth="1"/>
    <col min="31" max="31" width="5.77734375" style="349" customWidth="1"/>
    <col min="32" max="32" width="4.77734375" style="349" customWidth="1"/>
    <col min="33" max="33" width="6.77734375" style="349" customWidth="1"/>
    <col min="34" max="34" width="6" style="349" customWidth="1"/>
    <col min="35" max="35" width="5" style="349" customWidth="1"/>
    <col min="36" max="36" width="4.77734375" style="349" customWidth="1"/>
    <col min="37" max="37" width="5.6640625" style="358" customWidth="1"/>
    <col min="38" max="38" width="4.77734375" style="349" customWidth="1"/>
    <col min="39" max="39" width="7.88671875" style="349" customWidth="1"/>
    <col min="40" max="16384" width="7.88671875" style="9"/>
  </cols>
  <sheetData>
    <row r="1" spans="1:37">
      <c r="A1" s="343" t="s">
        <v>49</v>
      </c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4"/>
      <c r="T1" s="346" t="s">
        <v>86</v>
      </c>
      <c r="U1" s="347"/>
      <c r="V1" s="347"/>
      <c r="W1" s="347"/>
      <c r="X1" s="347"/>
      <c r="Y1" s="347"/>
      <c r="Z1" s="347"/>
      <c r="AA1" s="347"/>
      <c r="AB1" s="347"/>
      <c r="AC1" s="347"/>
      <c r="AD1" s="347"/>
      <c r="AE1" s="347"/>
      <c r="AF1" s="347"/>
      <c r="AG1" s="347"/>
      <c r="AH1" s="347"/>
      <c r="AI1" s="347"/>
      <c r="AJ1" s="347"/>
      <c r="AK1" s="348"/>
    </row>
    <row r="2" spans="1:37">
      <c r="A2" s="343" t="s">
        <v>117</v>
      </c>
      <c r="B2" s="344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4"/>
      <c r="T2" s="346" t="s">
        <v>86</v>
      </c>
      <c r="U2" s="347"/>
      <c r="V2" s="347"/>
      <c r="W2" s="347"/>
      <c r="X2" s="347"/>
      <c r="Y2" s="347"/>
      <c r="Z2" s="347"/>
      <c r="AA2" s="347"/>
      <c r="AB2" s="347"/>
      <c r="AC2" s="347"/>
      <c r="AD2" s="347"/>
      <c r="AE2" s="347"/>
      <c r="AF2" s="347"/>
      <c r="AG2" s="347"/>
      <c r="AH2" s="347"/>
      <c r="AI2" s="347"/>
      <c r="AJ2" s="347"/>
      <c r="AK2" s="348"/>
    </row>
    <row r="3" spans="1:37" ht="18.75" customHeight="1">
      <c r="A3" s="143" t="s">
        <v>129</v>
      </c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1"/>
      <c r="T3" s="353" t="s">
        <v>86</v>
      </c>
      <c r="U3" s="354"/>
      <c r="V3" s="354"/>
      <c r="W3" s="354"/>
      <c r="X3" s="354"/>
      <c r="Y3" s="354"/>
      <c r="Z3" s="354"/>
      <c r="AA3" s="354"/>
      <c r="AB3" s="354"/>
      <c r="AC3" s="354"/>
      <c r="AD3" s="354"/>
      <c r="AE3" s="354"/>
      <c r="AF3" s="354"/>
      <c r="AG3" s="354"/>
      <c r="AH3" s="354"/>
      <c r="AI3" s="354"/>
      <c r="AJ3" s="354"/>
      <c r="AK3" s="355"/>
    </row>
    <row r="4" spans="1:37" ht="15.75" customHeight="1">
      <c r="A4" s="350"/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1"/>
      <c r="T4" s="353" t="s">
        <v>86</v>
      </c>
      <c r="U4" s="354"/>
      <c r="V4" s="354"/>
      <c r="W4" s="354"/>
      <c r="X4" s="354"/>
      <c r="Y4" s="354"/>
      <c r="Z4" s="354"/>
      <c r="AA4" s="354"/>
      <c r="AB4" s="354"/>
      <c r="AC4" s="354"/>
      <c r="AD4" s="354"/>
      <c r="AE4" s="354"/>
      <c r="AF4" s="354"/>
      <c r="AG4" s="354"/>
      <c r="AH4" s="354"/>
      <c r="AI4" s="354"/>
      <c r="AJ4" s="354"/>
      <c r="AK4" s="355"/>
    </row>
    <row r="5" spans="1:37" ht="15.75" customHeight="1">
      <c r="A5" s="356"/>
      <c r="T5" s="357" t="s">
        <v>86</v>
      </c>
    </row>
    <row r="6" spans="1:37">
      <c r="A6" s="359"/>
      <c r="B6" s="360"/>
      <c r="C6" s="361" t="s">
        <v>95</v>
      </c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  <c r="P6" s="362"/>
      <c r="Q6" s="362"/>
      <c r="R6" s="362"/>
      <c r="S6" s="362"/>
      <c r="T6" s="363"/>
      <c r="U6" s="361" t="s">
        <v>52</v>
      </c>
      <c r="V6" s="364"/>
      <c r="W6" s="364"/>
      <c r="X6" s="364"/>
      <c r="Y6" s="364"/>
      <c r="Z6" s="364"/>
      <c r="AA6" s="364"/>
      <c r="AB6" s="364"/>
      <c r="AC6" s="364"/>
      <c r="AD6" s="364"/>
      <c r="AE6" s="364"/>
      <c r="AF6" s="364"/>
      <c r="AG6" s="364"/>
      <c r="AH6" s="364"/>
      <c r="AI6" s="364"/>
      <c r="AJ6" s="364"/>
      <c r="AK6" s="364"/>
    </row>
    <row r="7" spans="1:37">
      <c r="A7" s="365"/>
      <c r="B7" s="366"/>
      <c r="C7" s="367" t="s">
        <v>96</v>
      </c>
      <c r="D7" s="368"/>
      <c r="E7" s="368"/>
      <c r="F7" s="368"/>
      <c r="G7" s="368"/>
      <c r="H7" s="368"/>
      <c r="I7" s="368"/>
      <c r="J7" s="369" t="s">
        <v>97</v>
      </c>
      <c r="K7" s="370"/>
      <c r="L7" s="370"/>
      <c r="M7" s="370"/>
      <c r="N7" s="371"/>
      <c r="O7" s="372"/>
      <c r="P7" s="369" t="s">
        <v>110</v>
      </c>
      <c r="Q7" s="370"/>
      <c r="R7" s="370"/>
      <c r="S7" s="368"/>
      <c r="U7" s="367" t="s">
        <v>96</v>
      </c>
      <c r="V7" s="373"/>
      <c r="W7" s="373"/>
      <c r="X7" s="373"/>
      <c r="Y7" s="373"/>
      <c r="Z7" s="373"/>
      <c r="AA7" s="373"/>
      <c r="AB7" s="374" t="s">
        <v>97</v>
      </c>
      <c r="AC7" s="375"/>
      <c r="AD7" s="375"/>
      <c r="AE7" s="375"/>
      <c r="AF7" s="376"/>
      <c r="AG7" s="377"/>
      <c r="AH7" s="374" t="s">
        <v>110</v>
      </c>
      <c r="AI7" s="375"/>
      <c r="AJ7" s="375"/>
      <c r="AK7" s="373"/>
    </row>
    <row r="8" spans="1:37" ht="54" customHeight="1">
      <c r="A8" s="378"/>
      <c r="B8" s="379"/>
      <c r="C8" s="380">
        <v>1</v>
      </c>
      <c r="D8" s="381">
        <v>2</v>
      </c>
      <c r="E8" s="381">
        <v>3</v>
      </c>
      <c r="F8" s="381">
        <v>4</v>
      </c>
      <c r="G8" s="381">
        <v>5</v>
      </c>
      <c r="H8" s="381">
        <v>6</v>
      </c>
      <c r="I8" s="382" t="s">
        <v>98</v>
      </c>
      <c r="J8" s="383" t="s">
        <v>111</v>
      </c>
      <c r="K8" s="381">
        <v>1</v>
      </c>
      <c r="L8" s="381">
        <v>2</v>
      </c>
      <c r="M8" s="381">
        <v>3</v>
      </c>
      <c r="N8" s="383" t="s">
        <v>112</v>
      </c>
      <c r="O8" s="382" t="s">
        <v>113</v>
      </c>
      <c r="P8" s="383">
        <v>1</v>
      </c>
      <c r="Q8" s="383">
        <v>2</v>
      </c>
      <c r="R8" s="383" t="s">
        <v>112</v>
      </c>
      <c r="S8" s="384" t="s">
        <v>113</v>
      </c>
      <c r="T8" s="385"/>
      <c r="U8" s="386">
        <v>1</v>
      </c>
      <c r="V8" s="387">
        <v>2</v>
      </c>
      <c r="W8" s="387">
        <v>3</v>
      </c>
      <c r="X8" s="387">
        <v>4</v>
      </c>
      <c r="Y8" s="387">
        <v>5</v>
      </c>
      <c r="Z8" s="387">
        <v>6</v>
      </c>
      <c r="AA8" s="388" t="s">
        <v>98</v>
      </c>
      <c r="AB8" s="389" t="s">
        <v>111</v>
      </c>
      <c r="AC8" s="387">
        <v>1</v>
      </c>
      <c r="AD8" s="387">
        <v>2</v>
      </c>
      <c r="AE8" s="387">
        <v>3</v>
      </c>
      <c r="AF8" s="389" t="s">
        <v>114</v>
      </c>
      <c r="AG8" s="388" t="s">
        <v>113</v>
      </c>
      <c r="AH8" s="389">
        <v>1</v>
      </c>
      <c r="AI8" s="389">
        <v>2</v>
      </c>
      <c r="AJ8" s="389" t="s">
        <v>114</v>
      </c>
      <c r="AK8" s="390" t="s">
        <v>113</v>
      </c>
    </row>
    <row r="9" spans="1:37" ht="15.75" customHeight="1">
      <c r="A9" s="239" t="s">
        <v>2</v>
      </c>
      <c r="B9" s="240" t="s">
        <v>53</v>
      </c>
      <c r="C9" s="241">
        <f t="shared" ref="C9:I15" si="0">IF(U$15&gt;0,(U9/U$15),0)</f>
        <v>0.40956056679715497</v>
      </c>
      <c r="D9" s="242">
        <f t="shared" si="0"/>
        <v>0.32289657666345228</v>
      </c>
      <c r="E9" s="242">
        <f t="shared" si="0"/>
        <v>0.32618654938610958</v>
      </c>
      <c r="F9" s="242">
        <f t="shared" si="0"/>
        <v>0.31271653112577952</v>
      </c>
      <c r="G9" s="242">
        <f t="shared" si="0"/>
        <v>0.29202733485193622</v>
      </c>
      <c r="H9" s="243">
        <f t="shared" si="0"/>
        <v>0.2627251843791561</v>
      </c>
      <c r="I9" s="241">
        <f t="shared" si="0"/>
        <v>0.35433350481905224</v>
      </c>
      <c r="J9" s="282"/>
      <c r="K9" s="282"/>
      <c r="L9" s="282"/>
      <c r="M9" s="282"/>
      <c r="N9" s="282"/>
      <c r="O9" s="241">
        <f t="shared" ref="O9:O15" si="1">IF(AG$15&gt;0,(AG9/AG$15),0)</f>
        <v>0.18769965573923023</v>
      </c>
      <c r="P9" s="282"/>
      <c r="Q9" s="282"/>
      <c r="R9" s="282"/>
      <c r="S9" s="241">
        <f t="shared" ref="S9:S15" si="2">IF(AK$15&gt;0,(AK9/AK$15),0)</f>
        <v>0</v>
      </c>
      <c r="T9" s="391"/>
      <c r="U9" s="407">
        <v>37141</v>
      </c>
      <c r="V9" s="407">
        <v>10715</v>
      </c>
      <c r="W9" s="407">
        <v>16020</v>
      </c>
      <c r="X9" s="407">
        <v>8575</v>
      </c>
      <c r="Y9" s="407">
        <v>3205</v>
      </c>
      <c r="Z9" s="407">
        <v>2173</v>
      </c>
      <c r="AA9" s="392">
        <v>77829</v>
      </c>
      <c r="AB9" s="393"/>
      <c r="AC9" s="394"/>
      <c r="AD9" s="394"/>
      <c r="AE9" s="394"/>
      <c r="AF9" s="395"/>
      <c r="AG9" s="396">
        <v>6052</v>
      </c>
      <c r="AH9" s="393"/>
      <c r="AI9" s="393"/>
      <c r="AJ9" s="393"/>
      <c r="AK9" s="397"/>
    </row>
    <row r="10" spans="1:37" ht="15.75" customHeight="1">
      <c r="A10" s="249"/>
      <c r="B10" s="239" t="s">
        <v>93</v>
      </c>
      <c r="C10" s="250">
        <f t="shared" si="0"/>
        <v>0.25964602745768317</v>
      </c>
      <c r="D10" s="251">
        <f t="shared" si="0"/>
        <v>0.2860716007714561</v>
      </c>
      <c r="E10" s="251">
        <f t="shared" si="0"/>
        <v>0.24203367743774562</v>
      </c>
      <c r="F10" s="251">
        <f t="shared" si="0"/>
        <v>0.25826920972976913</v>
      </c>
      <c r="G10" s="251">
        <f t="shared" si="0"/>
        <v>0.27535307517084284</v>
      </c>
      <c r="H10" s="252">
        <f t="shared" si="0"/>
        <v>0.26212066255591826</v>
      </c>
      <c r="I10" s="250">
        <f t="shared" si="0"/>
        <v>0.26040637562656782</v>
      </c>
      <c r="J10" s="283"/>
      <c r="K10" s="283"/>
      <c r="L10" s="283"/>
      <c r="M10" s="283"/>
      <c r="N10" s="283"/>
      <c r="O10" s="250">
        <f t="shared" si="1"/>
        <v>0.15426604224172688</v>
      </c>
      <c r="P10" s="283"/>
      <c r="Q10" s="283"/>
      <c r="R10" s="283"/>
      <c r="S10" s="250">
        <f t="shared" si="2"/>
        <v>0</v>
      </c>
      <c r="T10" s="391"/>
      <c r="U10" s="398">
        <v>23546</v>
      </c>
      <c r="V10" s="399">
        <v>9493</v>
      </c>
      <c r="W10" s="399">
        <v>11887</v>
      </c>
      <c r="X10" s="399">
        <v>7082</v>
      </c>
      <c r="Y10" s="399">
        <v>3022</v>
      </c>
      <c r="Z10" s="399">
        <v>2168</v>
      </c>
      <c r="AA10" s="392">
        <v>57198</v>
      </c>
      <c r="AB10" s="393"/>
      <c r="AC10" s="394"/>
      <c r="AD10" s="394"/>
      <c r="AE10" s="394"/>
      <c r="AF10" s="395"/>
      <c r="AG10" s="396">
        <v>4974</v>
      </c>
      <c r="AH10" s="393"/>
      <c r="AI10" s="393"/>
      <c r="AJ10" s="393"/>
      <c r="AK10" s="397"/>
    </row>
    <row r="11" spans="1:37" ht="15.75" customHeight="1">
      <c r="A11" s="249"/>
      <c r="B11" s="239" t="s">
        <v>55</v>
      </c>
      <c r="C11" s="250">
        <f t="shared" si="0"/>
        <v>0.22686221536086454</v>
      </c>
      <c r="D11" s="251">
        <f t="shared" si="0"/>
        <v>0.26081846673095466</v>
      </c>
      <c r="E11" s="251">
        <f t="shared" si="0"/>
        <v>0.27734001180950052</v>
      </c>
      <c r="F11" s="251">
        <f t="shared" si="0"/>
        <v>0.29977024907917288</v>
      </c>
      <c r="G11" s="251">
        <f t="shared" si="0"/>
        <v>0.314624145785877</v>
      </c>
      <c r="H11" s="252">
        <f t="shared" si="0"/>
        <v>0.30310724217144241</v>
      </c>
      <c r="I11" s="250">
        <f t="shared" si="0"/>
        <v>0.25963696625069999</v>
      </c>
      <c r="J11" s="283"/>
      <c r="K11" s="283"/>
      <c r="L11" s="283"/>
      <c r="M11" s="283"/>
      <c r="N11" s="283"/>
      <c r="O11" s="250">
        <f t="shared" si="1"/>
        <v>0.14719473994355364</v>
      </c>
      <c r="P11" s="283"/>
      <c r="Q11" s="283"/>
      <c r="R11" s="283"/>
      <c r="S11" s="250">
        <f t="shared" si="2"/>
        <v>0</v>
      </c>
      <c r="T11" s="391"/>
      <c r="U11" s="398">
        <v>20573</v>
      </c>
      <c r="V11" s="399">
        <v>8655</v>
      </c>
      <c r="W11" s="399">
        <v>13621</v>
      </c>
      <c r="X11" s="399">
        <v>8220</v>
      </c>
      <c r="Y11" s="399">
        <v>3453</v>
      </c>
      <c r="Z11" s="399">
        <v>2507</v>
      </c>
      <c r="AA11" s="392">
        <v>57029</v>
      </c>
      <c r="AB11" s="393"/>
      <c r="AC11" s="394"/>
      <c r="AD11" s="394"/>
      <c r="AE11" s="394"/>
      <c r="AF11" s="395"/>
      <c r="AG11" s="396">
        <v>4746</v>
      </c>
      <c r="AH11" s="393"/>
      <c r="AI11" s="393"/>
      <c r="AJ11" s="393"/>
      <c r="AK11" s="397"/>
    </row>
    <row r="12" spans="1:37" ht="15.75" customHeight="1">
      <c r="A12" s="249"/>
      <c r="B12" s="239" t="s">
        <v>78</v>
      </c>
      <c r="C12" s="250">
        <f t="shared" si="0"/>
        <v>3.7558581904394331E-2</v>
      </c>
      <c r="D12" s="251">
        <f t="shared" si="0"/>
        <v>6.879821600771456E-2</v>
      </c>
      <c r="E12" s="251">
        <f t="shared" si="0"/>
        <v>7.3463237839268627E-2</v>
      </c>
      <c r="F12" s="251">
        <f t="shared" si="0"/>
        <v>6.5023157434083365E-2</v>
      </c>
      <c r="G12" s="251">
        <f t="shared" si="0"/>
        <v>6.7517084282460144E-2</v>
      </c>
      <c r="H12" s="252">
        <f t="shared" si="0"/>
        <v>7.9313263208801832E-2</v>
      </c>
      <c r="I12" s="250">
        <f t="shared" si="0"/>
        <v>5.6804264986410134E-2</v>
      </c>
      <c r="J12" s="283"/>
      <c r="K12" s="283"/>
      <c r="L12" s="283"/>
      <c r="M12" s="283"/>
      <c r="N12" s="283"/>
      <c r="O12" s="250">
        <f t="shared" si="1"/>
        <v>9.3663740967031603E-2</v>
      </c>
      <c r="P12" s="283"/>
      <c r="Q12" s="283"/>
      <c r="R12" s="283"/>
      <c r="S12" s="250">
        <f t="shared" si="2"/>
        <v>0</v>
      </c>
      <c r="T12" s="391"/>
      <c r="U12" s="398">
        <v>3406</v>
      </c>
      <c r="V12" s="399">
        <v>2283</v>
      </c>
      <c r="W12" s="399">
        <v>3608</v>
      </c>
      <c r="X12" s="399">
        <v>1783</v>
      </c>
      <c r="Y12" s="399">
        <v>741</v>
      </c>
      <c r="Z12" s="399">
        <v>656</v>
      </c>
      <c r="AA12" s="392">
        <v>12477</v>
      </c>
      <c r="AB12" s="393"/>
      <c r="AC12" s="394"/>
      <c r="AD12" s="394"/>
      <c r="AE12" s="394"/>
      <c r="AF12" s="395"/>
      <c r="AG12" s="396">
        <v>3020</v>
      </c>
      <c r="AH12" s="393"/>
      <c r="AI12" s="393"/>
      <c r="AJ12" s="393"/>
      <c r="AK12" s="397"/>
    </row>
    <row r="13" spans="1:37" ht="15.75" customHeight="1">
      <c r="A13" s="249"/>
      <c r="B13" s="239" t="s">
        <v>32</v>
      </c>
      <c r="C13" s="250">
        <f t="shared" si="0"/>
        <v>6.6372608479902964E-2</v>
      </c>
      <c r="D13" s="251">
        <f t="shared" si="0"/>
        <v>6.1415139826422376E-2</v>
      </c>
      <c r="E13" s="251">
        <f t="shared" si="0"/>
        <v>8.0976523527375638E-2</v>
      </c>
      <c r="F13" s="251">
        <f t="shared" si="0"/>
        <v>6.4220852631195063E-2</v>
      </c>
      <c r="G13" s="251">
        <f t="shared" si="0"/>
        <v>5.047835990888383E-2</v>
      </c>
      <c r="H13" s="252">
        <f t="shared" si="0"/>
        <v>9.2733647684681411E-2</v>
      </c>
      <c r="I13" s="250">
        <f t="shared" si="0"/>
        <v>6.881888831726983E-2</v>
      </c>
      <c r="J13" s="283"/>
      <c r="K13" s="283"/>
      <c r="L13" s="283"/>
      <c r="M13" s="283"/>
      <c r="N13" s="285"/>
      <c r="O13" s="250">
        <f t="shared" si="1"/>
        <v>1.1134199671246472E-2</v>
      </c>
      <c r="P13" s="283"/>
      <c r="Q13" s="283"/>
      <c r="R13" s="283"/>
      <c r="S13" s="250">
        <f t="shared" si="2"/>
        <v>0</v>
      </c>
      <c r="T13" s="391"/>
      <c r="U13" s="398">
        <v>6019</v>
      </c>
      <c r="V13" s="399">
        <v>2038</v>
      </c>
      <c r="W13" s="399">
        <v>3977</v>
      </c>
      <c r="X13" s="399">
        <v>1761</v>
      </c>
      <c r="Y13" s="399">
        <v>554</v>
      </c>
      <c r="Z13" s="399">
        <v>767</v>
      </c>
      <c r="AA13" s="392">
        <v>15116</v>
      </c>
      <c r="AB13" s="393"/>
      <c r="AC13" s="394"/>
      <c r="AD13" s="394"/>
      <c r="AE13" s="394"/>
      <c r="AF13" s="395"/>
      <c r="AG13" s="396">
        <v>359</v>
      </c>
      <c r="AH13" s="393"/>
      <c r="AI13" s="393"/>
      <c r="AJ13" s="393"/>
      <c r="AK13" s="397"/>
    </row>
    <row r="14" spans="1:37" ht="15.75" customHeight="1">
      <c r="A14" s="249"/>
      <c r="B14" s="239" t="s">
        <v>58</v>
      </c>
      <c r="C14" s="250">
        <f t="shared" si="0"/>
        <v>0</v>
      </c>
      <c r="D14" s="251">
        <f t="shared" si="0"/>
        <v>0</v>
      </c>
      <c r="E14" s="251">
        <f t="shared" si="0"/>
        <v>0</v>
      </c>
      <c r="F14" s="251">
        <f t="shared" si="0"/>
        <v>0</v>
      </c>
      <c r="G14" s="251">
        <f t="shared" si="0"/>
        <v>0</v>
      </c>
      <c r="H14" s="251">
        <f t="shared" si="0"/>
        <v>0</v>
      </c>
      <c r="I14" s="250">
        <f t="shared" si="0"/>
        <v>0</v>
      </c>
      <c r="J14" s="283"/>
      <c r="K14" s="283"/>
      <c r="L14" s="283"/>
      <c r="M14" s="283"/>
      <c r="N14" s="283"/>
      <c r="O14" s="250">
        <f t="shared" si="1"/>
        <v>0.40604162143721118</v>
      </c>
      <c r="P14" s="283"/>
      <c r="Q14" s="283"/>
      <c r="R14" s="283"/>
      <c r="S14" s="250">
        <f t="shared" si="2"/>
        <v>0</v>
      </c>
      <c r="T14" s="391"/>
      <c r="U14" s="398"/>
      <c r="V14" s="399"/>
      <c r="W14" s="399"/>
      <c r="X14" s="399"/>
      <c r="Y14" s="399"/>
      <c r="Z14" s="399"/>
      <c r="AA14" s="392"/>
      <c r="AB14" s="393"/>
      <c r="AC14" s="394"/>
      <c r="AD14" s="394"/>
      <c r="AE14" s="394"/>
      <c r="AF14" s="395"/>
      <c r="AG14" s="407">
        <v>13092</v>
      </c>
      <c r="AH14" s="393"/>
      <c r="AI14" s="393"/>
      <c r="AJ14" s="393"/>
      <c r="AK14" s="397"/>
    </row>
    <row r="15" spans="1:37" ht="15.75" customHeight="1">
      <c r="A15" s="259"/>
      <c r="B15" s="260" t="s">
        <v>59</v>
      </c>
      <c r="C15" s="261">
        <f t="shared" si="0"/>
        <v>1</v>
      </c>
      <c r="D15" s="262">
        <f t="shared" si="0"/>
        <v>1</v>
      </c>
      <c r="E15" s="262">
        <f t="shared" si="0"/>
        <v>1</v>
      </c>
      <c r="F15" s="262">
        <f t="shared" si="0"/>
        <v>1</v>
      </c>
      <c r="G15" s="262">
        <f t="shared" si="0"/>
        <v>1</v>
      </c>
      <c r="H15" s="263">
        <f t="shared" si="0"/>
        <v>1</v>
      </c>
      <c r="I15" s="261">
        <f t="shared" si="0"/>
        <v>1</v>
      </c>
      <c r="J15" s="284"/>
      <c r="K15" s="284"/>
      <c r="L15" s="284"/>
      <c r="M15" s="284"/>
      <c r="N15" s="284"/>
      <c r="O15" s="261">
        <f t="shared" si="1"/>
        <v>1</v>
      </c>
      <c r="P15" s="284"/>
      <c r="Q15" s="284"/>
      <c r="R15" s="284"/>
      <c r="S15" s="261">
        <f t="shared" si="2"/>
        <v>0</v>
      </c>
      <c r="T15" s="391"/>
      <c r="U15" s="398">
        <v>90685</v>
      </c>
      <c r="V15" s="399">
        <v>33184</v>
      </c>
      <c r="W15" s="399">
        <v>49113</v>
      </c>
      <c r="X15" s="399">
        <v>27421</v>
      </c>
      <c r="Y15" s="399">
        <v>10975</v>
      </c>
      <c r="Z15" s="399">
        <v>8271</v>
      </c>
      <c r="AA15" s="392">
        <v>219649</v>
      </c>
      <c r="AB15" s="400"/>
      <c r="AC15" s="401"/>
      <c r="AD15" s="401"/>
      <c r="AE15" s="401"/>
      <c r="AF15" s="402"/>
      <c r="AG15" s="396">
        <v>32243</v>
      </c>
      <c r="AH15" s="400"/>
      <c r="AI15" s="400"/>
      <c r="AJ15" s="400"/>
      <c r="AK15" s="397"/>
    </row>
    <row r="16" spans="1:37" ht="13.9" customHeight="1">
      <c r="A16" s="239" t="s">
        <v>3</v>
      </c>
      <c r="B16" s="240" t="s">
        <v>53</v>
      </c>
      <c r="C16" s="241">
        <v>0.38095101030453055</v>
      </c>
      <c r="D16" s="242">
        <v>0.31659780151243472</v>
      </c>
      <c r="E16" s="242">
        <v>0.26686642633082075</v>
      </c>
      <c r="F16" s="242">
        <v>0.24394082467736858</v>
      </c>
      <c r="G16" s="242">
        <v>0.24535722088704393</v>
      </c>
      <c r="H16" s="243">
        <v>0.24202626641651032</v>
      </c>
      <c r="I16" s="241">
        <v>0.31517742920695657</v>
      </c>
      <c r="J16" s="241">
        <v>0.19523809523809524</v>
      </c>
      <c r="K16" s="242">
        <v>0.12356160919124953</v>
      </c>
      <c r="L16" s="242">
        <v>6.7648356939373266E-2</v>
      </c>
      <c r="M16" s="242">
        <v>0.1009030913511636</v>
      </c>
      <c r="N16" s="243">
        <v>0.23240589198036007</v>
      </c>
      <c r="O16" s="241">
        <v>0.10744452475215482</v>
      </c>
      <c r="P16" s="241">
        <v>1.3582342954159592E-2</v>
      </c>
      <c r="Q16" s="242">
        <v>4.6822742474916385E-2</v>
      </c>
      <c r="R16" s="243">
        <v>0</v>
      </c>
      <c r="S16" s="241">
        <v>1.834862385321101E-2</v>
      </c>
      <c r="T16" s="244"/>
      <c r="U16" s="245">
        <v>13235</v>
      </c>
      <c r="V16" s="246">
        <v>4061</v>
      </c>
      <c r="W16" s="246">
        <v>5700</v>
      </c>
      <c r="X16" s="246">
        <v>2325</v>
      </c>
      <c r="Y16" s="246">
        <v>1123</v>
      </c>
      <c r="Z16" s="246">
        <v>903</v>
      </c>
      <c r="AA16" s="247">
        <v>27347</v>
      </c>
      <c r="AB16" s="245">
        <v>82</v>
      </c>
      <c r="AC16" s="246">
        <v>2052</v>
      </c>
      <c r="AD16" s="246">
        <v>843</v>
      </c>
      <c r="AE16" s="246">
        <v>581</v>
      </c>
      <c r="AF16" s="248">
        <v>426</v>
      </c>
      <c r="AG16" s="248">
        <v>3984</v>
      </c>
      <c r="AH16" s="245">
        <v>32</v>
      </c>
      <c r="AI16" s="246">
        <v>42</v>
      </c>
      <c r="AJ16" s="248">
        <v>0</v>
      </c>
      <c r="AK16" s="245">
        <v>74</v>
      </c>
    </row>
    <row r="17" spans="1:39" ht="13.9" customHeight="1">
      <c r="A17" s="249"/>
      <c r="B17" s="239" t="s">
        <v>93</v>
      </c>
      <c r="C17" s="250">
        <v>0.26702550227390476</v>
      </c>
      <c r="D17" s="251">
        <v>0.29320963592422233</v>
      </c>
      <c r="E17" s="251">
        <v>0.25043307270939652</v>
      </c>
      <c r="F17" s="251">
        <v>0.25841989298079948</v>
      </c>
      <c r="G17" s="251">
        <v>0.26152501638627923</v>
      </c>
      <c r="H17" s="252">
        <v>0.26427231305280086</v>
      </c>
      <c r="I17" s="250">
        <v>0.26545806585452997</v>
      </c>
      <c r="J17" s="250">
        <v>0.2119047619047619</v>
      </c>
      <c r="K17" s="251">
        <v>0.1018841338945391</v>
      </c>
      <c r="L17" s="251">
        <v>7.5432331581270315E-2</v>
      </c>
      <c r="M17" s="251">
        <v>0.10368183397012852</v>
      </c>
      <c r="N17" s="252">
        <v>0.31314784506273868</v>
      </c>
      <c r="O17" s="250">
        <v>0.10496337608819944</v>
      </c>
      <c r="P17" s="250">
        <v>3.8200339558573854E-2</v>
      </c>
      <c r="Q17" s="251">
        <v>8.5841694537346705E-2</v>
      </c>
      <c r="R17" s="252">
        <v>0</v>
      </c>
      <c r="S17" s="250">
        <v>4.1408380857922145E-2</v>
      </c>
      <c r="T17" s="253"/>
      <c r="U17" s="254">
        <v>9277</v>
      </c>
      <c r="V17" s="255">
        <v>3761</v>
      </c>
      <c r="W17" s="255">
        <v>5349</v>
      </c>
      <c r="X17" s="255">
        <v>2463</v>
      </c>
      <c r="Y17" s="255">
        <v>1197</v>
      </c>
      <c r="Z17" s="255">
        <v>986</v>
      </c>
      <c r="AA17" s="256">
        <v>23033</v>
      </c>
      <c r="AB17" s="254">
        <v>89</v>
      </c>
      <c r="AC17" s="255">
        <v>1692</v>
      </c>
      <c r="AD17" s="255">
        <v>940</v>
      </c>
      <c r="AE17" s="255">
        <v>597</v>
      </c>
      <c r="AF17" s="257">
        <v>574</v>
      </c>
      <c r="AG17" s="257">
        <v>3892</v>
      </c>
      <c r="AH17" s="254">
        <v>90</v>
      </c>
      <c r="AI17" s="255">
        <v>77</v>
      </c>
      <c r="AJ17" s="257">
        <v>0</v>
      </c>
      <c r="AK17" s="254">
        <v>167</v>
      </c>
    </row>
    <row r="18" spans="1:39" ht="13.9" customHeight="1">
      <c r="A18" s="249"/>
      <c r="B18" s="239" t="s">
        <v>55</v>
      </c>
      <c r="C18" s="250">
        <v>0.22834033734384895</v>
      </c>
      <c r="D18" s="251">
        <v>0.25017541124191162</v>
      </c>
      <c r="E18" s="251">
        <v>0.30427454468842174</v>
      </c>
      <c r="F18" s="251">
        <v>0.32326093799181616</v>
      </c>
      <c r="G18" s="251">
        <v>0.34367489622023162</v>
      </c>
      <c r="H18" s="252">
        <v>0.31224872688287325</v>
      </c>
      <c r="I18" s="250">
        <v>0.27037929166618646</v>
      </c>
      <c r="J18" s="250">
        <v>0.38095238095238093</v>
      </c>
      <c r="K18" s="251">
        <v>6.984964262273366E-2</v>
      </c>
      <c r="L18" s="251">
        <v>7.166071500220679E-2</v>
      </c>
      <c r="M18" s="251">
        <v>8.7009378256339004E-2</v>
      </c>
      <c r="N18" s="252">
        <v>0.2989634478996181</v>
      </c>
      <c r="O18" s="250">
        <v>8.7972901541548451E-2</v>
      </c>
      <c r="P18" s="250">
        <v>3.0135823429541596E-2</v>
      </c>
      <c r="Q18" s="251">
        <v>9.4760312151616496E-2</v>
      </c>
      <c r="R18" s="252">
        <v>0</v>
      </c>
      <c r="S18" s="250">
        <v>3.8680882717579967E-2</v>
      </c>
      <c r="T18" s="253"/>
      <c r="U18" s="254">
        <v>7933</v>
      </c>
      <c r="V18" s="255">
        <v>3209</v>
      </c>
      <c r="W18" s="255">
        <v>6499</v>
      </c>
      <c r="X18" s="255">
        <v>3081</v>
      </c>
      <c r="Y18" s="255">
        <v>1573</v>
      </c>
      <c r="Z18" s="255">
        <v>1165</v>
      </c>
      <c r="AA18" s="256">
        <v>23460</v>
      </c>
      <c r="AB18" s="254">
        <v>160</v>
      </c>
      <c r="AC18" s="255">
        <v>1160</v>
      </c>
      <c r="AD18" s="255">
        <v>893</v>
      </c>
      <c r="AE18" s="255">
        <v>501</v>
      </c>
      <c r="AF18" s="257">
        <v>548</v>
      </c>
      <c r="AG18" s="257">
        <v>3262</v>
      </c>
      <c r="AH18" s="254">
        <v>71</v>
      </c>
      <c r="AI18" s="255">
        <v>85</v>
      </c>
      <c r="AJ18" s="257">
        <v>0</v>
      </c>
      <c r="AK18" s="254">
        <v>156</v>
      </c>
    </row>
    <row r="19" spans="1:39" ht="13.9" customHeight="1">
      <c r="A19" s="249"/>
      <c r="B19" s="239" t="s">
        <v>78</v>
      </c>
      <c r="C19" s="250">
        <v>5.6329514708422082E-2</v>
      </c>
      <c r="D19" s="251">
        <v>9.2539175177360253E-2</v>
      </c>
      <c r="E19" s="251">
        <v>9.7616929631537064E-2</v>
      </c>
      <c r="F19" s="251">
        <v>0.11352428916168293</v>
      </c>
      <c r="G19" s="251">
        <v>0.13218265239239677</v>
      </c>
      <c r="H19" s="252">
        <v>0.11551862771374967</v>
      </c>
      <c r="I19" s="250">
        <v>8.4675049269883715E-2</v>
      </c>
      <c r="J19" s="250">
        <v>0.13333333333333333</v>
      </c>
      <c r="K19" s="251">
        <v>0.14704554076268586</v>
      </c>
      <c r="L19" s="251">
        <v>0.12687076194679614</v>
      </c>
      <c r="M19" s="251">
        <v>0.1222646752344564</v>
      </c>
      <c r="N19" s="252">
        <v>0.15384615384615385</v>
      </c>
      <c r="O19" s="250">
        <v>0.13659802155363057</v>
      </c>
      <c r="P19" s="250">
        <v>4.2869269949066216E-2</v>
      </c>
      <c r="Q19" s="251">
        <v>0.16053511705685619</v>
      </c>
      <c r="R19" s="252">
        <v>0</v>
      </c>
      <c r="S19" s="250">
        <v>6.0748822216712128E-2</v>
      </c>
      <c r="T19" s="253"/>
      <c r="U19" s="254">
        <v>1957</v>
      </c>
      <c r="V19" s="255">
        <v>1187</v>
      </c>
      <c r="W19" s="255">
        <v>2085</v>
      </c>
      <c r="X19" s="255">
        <v>1082</v>
      </c>
      <c r="Y19" s="255">
        <v>605</v>
      </c>
      <c r="Z19" s="255">
        <v>431</v>
      </c>
      <c r="AA19" s="256">
        <v>7347</v>
      </c>
      <c r="AB19" s="254">
        <v>56</v>
      </c>
      <c r="AC19" s="255">
        <v>2442</v>
      </c>
      <c r="AD19" s="255">
        <v>1581</v>
      </c>
      <c r="AE19" s="255">
        <v>704</v>
      </c>
      <c r="AF19" s="257">
        <v>282</v>
      </c>
      <c r="AG19" s="257">
        <v>5065</v>
      </c>
      <c r="AH19" s="254">
        <v>101</v>
      </c>
      <c r="AI19" s="255">
        <v>144</v>
      </c>
      <c r="AJ19" s="257">
        <v>0</v>
      </c>
      <c r="AK19" s="254">
        <v>245</v>
      </c>
    </row>
    <row r="20" spans="1:39" ht="13.9" customHeight="1">
      <c r="A20" s="249"/>
      <c r="B20" s="239" t="s">
        <v>32</v>
      </c>
      <c r="C20" s="250">
        <v>6.7353635369293646E-2</v>
      </c>
      <c r="D20" s="251">
        <v>4.74779761440711E-2</v>
      </c>
      <c r="E20" s="251">
        <v>8.0809026639823964E-2</v>
      </c>
      <c r="F20" s="251">
        <v>6.0854055188332812E-2</v>
      </c>
      <c r="G20" s="251">
        <v>1.7260214114048503E-2</v>
      </c>
      <c r="H20" s="252">
        <v>6.5934065934065936E-2</v>
      </c>
      <c r="I20" s="250">
        <v>6.4310164002443326E-2</v>
      </c>
      <c r="J20" s="250">
        <v>7.857142857142857E-2</v>
      </c>
      <c r="K20" s="251">
        <v>5.1243142993057191E-2</v>
      </c>
      <c r="L20" s="251">
        <v>5.7938450427316136E-2</v>
      </c>
      <c r="M20" s="251">
        <v>4.4286210489753383E-2</v>
      </c>
      <c r="N20" s="258">
        <v>1.6366612111292963E-3</v>
      </c>
      <c r="O20" s="250">
        <v>5.0270229452313402E-2</v>
      </c>
      <c r="P20" s="250">
        <v>0</v>
      </c>
      <c r="Q20" s="251">
        <v>0</v>
      </c>
      <c r="R20" s="252">
        <v>0</v>
      </c>
      <c r="S20" s="250">
        <v>0</v>
      </c>
      <c r="T20" s="253"/>
      <c r="U20" s="254">
        <v>2340</v>
      </c>
      <c r="V20" s="255">
        <v>609</v>
      </c>
      <c r="W20" s="255">
        <v>1726</v>
      </c>
      <c r="X20" s="255">
        <v>580</v>
      </c>
      <c r="Y20" s="255">
        <v>79</v>
      </c>
      <c r="Z20" s="255">
        <v>246</v>
      </c>
      <c r="AA20" s="256">
        <v>5580</v>
      </c>
      <c r="AB20" s="254">
        <v>33</v>
      </c>
      <c r="AC20" s="255">
        <v>851</v>
      </c>
      <c r="AD20" s="255">
        <v>722</v>
      </c>
      <c r="AE20" s="255">
        <v>255</v>
      </c>
      <c r="AF20" s="257">
        <v>3</v>
      </c>
      <c r="AG20" s="257">
        <v>1864</v>
      </c>
      <c r="AH20" s="254">
        <v>0</v>
      </c>
      <c r="AI20" s="255">
        <v>0</v>
      </c>
      <c r="AJ20" s="257">
        <v>0</v>
      </c>
      <c r="AK20" s="254">
        <v>0</v>
      </c>
    </row>
    <row r="21" spans="1:39" ht="13.9" customHeight="1">
      <c r="A21" s="249"/>
      <c r="B21" s="239" t="s">
        <v>58</v>
      </c>
      <c r="C21" s="250">
        <v>0</v>
      </c>
      <c r="D21" s="251">
        <v>0</v>
      </c>
      <c r="E21" s="251">
        <v>0</v>
      </c>
      <c r="F21" s="251">
        <v>0</v>
      </c>
      <c r="G21" s="251">
        <v>0</v>
      </c>
      <c r="H21" s="252">
        <v>0</v>
      </c>
      <c r="I21" s="250">
        <v>0</v>
      </c>
      <c r="J21" s="250">
        <v>0</v>
      </c>
      <c r="K21" s="251">
        <v>0.50641593053573475</v>
      </c>
      <c r="L21" s="251">
        <v>0.60044938410303739</v>
      </c>
      <c r="M21" s="251">
        <v>0.54185481069815911</v>
      </c>
      <c r="N21" s="252">
        <v>0</v>
      </c>
      <c r="O21" s="250">
        <v>0.51275094661215326</v>
      </c>
      <c r="P21" s="250">
        <v>0.87521222410865873</v>
      </c>
      <c r="Q21" s="251">
        <v>0.61204013377926425</v>
      </c>
      <c r="R21" s="252">
        <v>1</v>
      </c>
      <c r="S21" s="250">
        <v>0.84081329035457475</v>
      </c>
      <c r="T21" s="253"/>
      <c r="U21" s="254">
        <v>0</v>
      </c>
      <c r="V21" s="255">
        <v>0</v>
      </c>
      <c r="W21" s="255">
        <v>0</v>
      </c>
      <c r="X21" s="255">
        <v>0</v>
      </c>
      <c r="Y21" s="255">
        <v>0</v>
      </c>
      <c r="Z21" s="255">
        <v>0</v>
      </c>
      <c r="AA21" s="256">
        <v>0</v>
      </c>
      <c r="AB21" s="254">
        <v>0</v>
      </c>
      <c r="AC21" s="255">
        <v>8410.1</v>
      </c>
      <c r="AD21" s="255">
        <v>7482.5</v>
      </c>
      <c r="AE21" s="255">
        <v>3120</v>
      </c>
      <c r="AF21" s="257">
        <v>0</v>
      </c>
      <c r="AG21" s="257">
        <v>19012.599999999999</v>
      </c>
      <c r="AH21" s="254">
        <v>2062</v>
      </c>
      <c r="AI21" s="255">
        <v>549</v>
      </c>
      <c r="AJ21" s="257">
        <v>780</v>
      </c>
      <c r="AK21" s="254">
        <v>3391</v>
      </c>
    </row>
    <row r="22" spans="1:39" s="404" customFormat="1" ht="22.15" customHeight="1">
      <c r="A22" s="259"/>
      <c r="B22" s="260" t="s">
        <v>59</v>
      </c>
      <c r="C22" s="261">
        <v>1</v>
      </c>
      <c r="D22" s="262">
        <v>1</v>
      </c>
      <c r="E22" s="262">
        <v>1</v>
      </c>
      <c r="F22" s="262">
        <v>1</v>
      </c>
      <c r="G22" s="262">
        <v>1</v>
      </c>
      <c r="H22" s="263">
        <v>1</v>
      </c>
      <c r="I22" s="261">
        <v>1</v>
      </c>
      <c r="J22" s="261">
        <v>1</v>
      </c>
      <c r="K22" s="262">
        <v>1</v>
      </c>
      <c r="L22" s="262">
        <v>1</v>
      </c>
      <c r="M22" s="262">
        <v>1</v>
      </c>
      <c r="N22" s="263">
        <v>1</v>
      </c>
      <c r="O22" s="261">
        <v>1</v>
      </c>
      <c r="P22" s="261">
        <v>1</v>
      </c>
      <c r="Q22" s="262">
        <v>1</v>
      </c>
      <c r="R22" s="263">
        <v>1</v>
      </c>
      <c r="S22" s="261">
        <v>1</v>
      </c>
      <c r="T22" s="264"/>
      <c r="U22" s="265">
        <v>34742</v>
      </c>
      <c r="V22" s="266">
        <v>12827</v>
      </c>
      <c r="W22" s="266">
        <v>21359</v>
      </c>
      <c r="X22" s="266">
        <v>9531</v>
      </c>
      <c r="Y22" s="266">
        <v>4577</v>
      </c>
      <c r="Z22" s="266">
        <v>3731</v>
      </c>
      <c r="AA22" s="267">
        <v>86767</v>
      </c>
      <c r="AB22" s="265">
        <v>420</v>
      </c>
      <c r="AC22" s="266">
        <v>16607.099999999999</v>
      </c>
      <c r="AD22" s="266">
        <v>12461.5</v>
      </c>
      <c r="AE22" s="266">
        <v>5758</v>
      </c>
      <c r="AF22" s="268">
        <v>1833</v>
      </c>
      <c r="AG22" s="268">
        <v>37079.599999999999</v>
      </c>
      <c r="AH22" s="265">
        <v>2356</v>
      </c>
      <c r="AI22" s="266">
        <v>897</v>
      </c>
      <c r="AJ22" s="268">
        <v>780</v>
      </c>
      <c r="AK22" s="265">
        <v>4033</v>
      </c>
      <c r="AL22" s="403"/>
      <c r="AM22" s="403"/>
    </row>
    <row r="23" spans="1:39" ht="13.5" customHeight="1">
      <c r="A23" s="249" t="s">
        <v>4</v>
      </c>
      <c r="B23" s="239" t="s">
        <v>53</v>
      </c>
      <c r="C23" s="241">
        <v>0.35109489051094889</v>
      </c>
      <c r="D23" s="242">
        <v>0.30181818181818182</v>
      </c>
      <c r="E23" s="242">
        <v>0.23175542406311636</v>
      </c>
      <c r="F23" s="242">
        <v>0.22655426765015807</v>
      </c>
      <c r="G23" s="242">
        <v>0.24725274725274726</v>
      </c>
      <c r="H23" s="243">
        <v>0.30882352941176472</v>
      </c>
      <c r="I23" s="241">
        <v>0.29858454475899004</v>
      </c>
      <c r="J23" s="241">
        <v>0</v>
      </c>
      <c r="K23" s="242">
        <v>0</v>
      </c>
      <c r="L23" s="242">
        <v>0</v>
      </c>
      <c r="M23" s="242">
        <v>0</v>
      </c>
      <c r="N23" s="243">
        <v>0</v>
      </c>
      <c r="O23" s="241">
        <v>0</v>
      </c>
      <c r="P23" s="241">
        <v>0</v>
      </c>
      <c r="Q23" s="242">
        <v>0</v>
      </c>
      <c r="R23" s="243">
        <v>0</v>
      </c>
      <c r="S23" s="241">
        <v>0</v>
      </c>
      <c r="T23" s="253"/>
      <c r="U23" s="245">
        <v>962</v>
      </c>
      <c r="V23" s="246">
        <v>83</v>
      </c>
      <c r="W23" s="246">
        <v>235</v>
      </c>
      <c r="X23" s="246">
        <v>215</v>
      </c>
      <c r="Y23" s="246">
        <v>45</v>
      </c>
      <c r="Z23" s="246">
        <v>21</v>
      </c>
      <c r="AA23" s="247">
        <v>1561</v>
      </c>
      <c r="AB23" s="245">
        <v>0</v>
      </c>
      <c r="AC23" s="246">
        <v>0</v>
      </c>
      <c r="AD23" s="246">
        <v>0</v>
      </c>
      <c r="AE23" s="246">
        <v>0</v>
      </c>
      <c r="AF23" s="248">
        <v>0</v>
      </c>
      <c r="AG23" s="248">
        <v>0</v>
      </c>
      <c r="AH23" s="245">
        <v>0</v>
      </c>
      <c r="AI23" s="246">
        <v>0</v>
      </c>
      <c r="AJ23" s="248">
        <v>0</v>
      </c>
      <c r="AK23" s="245">
        <v>0</v>
      </c>
    </row>
    <row r="24" spans="1:39" ht="13.9" customHeight="1">
      <c r="A24" s="249"/>
      <c r="B24" s="239" t="s">
        <v>93</v>
      </c>
      <c r="C24" s="250">
        <v>0.30839416058394159</v>
      </c>
      <c r="D24" s="251">
        <v>0.27272727272727271</v>
      </c>
      <c r="E24" s="251">
        <v>0.23274161735700197</v>
      </c>
      <c r="F24" s="251">
        <v>0.27502634351949423</v>
      </c>
      <c r="G24" s="251">
        <v>0.31868131868131866</v>
      </c>
      <c r="H24" s="252">
        <v>0.17647058823529413</v>
      </c>
      <c r="I24" s="250">
        <v>0.2844299923488906</v>
      </c>
      <c r="J24" s="250">
        <v>0</v>
      </c>
      <c r="K24" s="251">
        <v>0</v>
      </c>
      <c r="L24" s="251">
        <v>0</v>
      </c>
      <c r="M24" s="251">
        <v>0</v>
      </c>
      <c r="N24" s="252">
        <v>0</v>
      </c>
      <c r="O24" s="250">
        <v>0</v>
      </c>
      <c r="P24" s="250">
        <v>0</v>
      </c>
      <c r="Q24" s="251">
        <v>0</v>
      </c>
      <c r="R24" s="252">
        <v>0</v>
      </c>
      <c r="S24" s="250">
        <v>0</v>
      </c>
      <c r="T24" s="253"/>
      <c r="U24" s="254">
        <v>845</v>
      </c>
      <c r="V24" s="255">
        <v>75</v>
      </c>
      <c r="W24" s="255">
        <v>236</v>
      </c>
      <c r="X24" s="255">
        <v>261</v>
      </c>
      <c r="Y24" s="255">
        <v>58</v>
      </c>
      <c r="Z24" s="255">
        <v>12</v>
      </c>
      <c r="AA24" s="256">
        <v>1487</v>
      </c>
      <c r="AB24" s="254">
        <v>0</v>
      </c>
      <c r="AC24" s="255">
        <v>0</v>
      </c>
      <c r="AD24" s="255">
        <v>0</v>
      </c>
      <c r="AE24" s="255">
        <v>0</v>
      </c>
      <c r="AF24" s="257">
        <v>0</v>
      </c>
      <c r="AG24" s="257">
        <v>0</v>
      </c>
      <c r="AH24" s="254">
        <v>0</v>
      </c>
      <c r="AI24" s="255">
        <v>0</v>
      </c>
      <c r="AJ24" s="257">
        <v>0</v>
      </c>
      <c r="AK24" s="254">
        <v>0</v>
      </c>
    </row>
    <row r="25" spans="1:39" ht="13.9" customHeight="1">
      <c r="A25" s="249"/>
      <c r="B25" s="239" t="s">
        <v>55</v>
      </c>
      <c r="C25" s="250">
        <v>0.24270072992700731</v>
      </c>
      <c r="D25" s="251">
        <v>0.30545454545454548</v>
      </c>
      <c r="E25" s="251">
        <v>0.33727810650887574</v>
      </c>
      <c r="F25" s="251">
        <v>0.34562697576396206</v>
      </c>
      <c r="G25" s="251">
        <v>0.30769230769230771</v>
      </c>
      <c r="H25" s="252">
        <v>0.51470588235294112</v>
      </c>
      <c r="I25" s="250">
        <v>0.28882938026013771</v>
      </c>
      <c r="J25" s="250">
        <v>0</v>
      </c>
      <c r="K25" s="251">
        <v>0</v>
      </c>
      <c r="L25" s="251">
        <v>0</v>
      </c>
      <c r="M25" s="251">
        <v>0</v>
      </c>
      <c r="N25" s="252">
        <v>0</v>
      </c>
      <c r="O25" s="250">
        <v>0</v>
      </c>
      <c r="P25" s="250">
        <v>0</v>
      </c>
      <c r="Q25" s="251">
        <v>0</v>
      </c>
      <c r="R25" s="252">
        <v>0</v>
      </c>
      <c r="S25" s="250">
        <v>0</v>
      </c>
      <c r="T25" s="253"/>
      <c r="U25" s="254">
        <v>665</v>
      </c>
      <c r="V25" s="255">
        <v>84</v>
      </c>
      <c r="W25" s="255">
        <v>342</v>
      </c>
      <c r="X25" s="255">
        <v>328</v>
      </c>
      <c r="Y25" s="255">
        <v>56</v>
      </c>
      <c r="Z25" s="255">
        <v>35</v>
      </c>
      <c r="AA25" s="256">
        <v>1510</v>
      </c>
      <c r="AB25" s="254">
        <v>0</v>
      </c>
      <c r="AC25" s="255">
        <v>0</v>
      </c>
      <c r="AD25" s="255">
        <v>0</v>
      </c>
      <c r="AE25" s="255">
        <v>0</v>
      </c>
      <c r="AF25" s="257">
        <v>0</v>
      </c>
      <c r="AG25" s="257">
        <v>0</v>
      </c>
      <c r="AH25" s="254">
        <v>0</v>
      </c>
      <c r="AI25" s="255">
        <v>0</v>
      </c>
      <c r="AJ25" s="257">
        <v>0</v>
      </c>
      <c r="AK25" s="254">
        <v>0</v>
      </c>
    </row>
    <row r="26" spans="1:39" ht="13.9" customHeight="1">
      <c r="A26" s="249"/>
      <c r="B26" s="239" t="s">
        <v>78</v>
      </c>
      <c r="C26" s="250">
        <v>8.2846715328467158E-2</v>
      </c>
      <c r="D26" s="251">
        <v>1.090909090909091E-2</v>
      </c>
      <c r="E26" s="251">
        <v>0.1932938856015779</v>
      </c>
      <c r="F26" s="251">
        <v>0.15068493150684931</v>
      </c>
      <c r="G26" s="251">
        <v>8.7912087912087919E-2</v>
      </c>
      <c r="H26" s="252">
        <v>0</v>
      </c>
      <c r="I26" s="250">
        <v>0.11189747513389442</v>
      </c>
      <c r="J26" s="250">
        <v>0</v>
      </c>
      <c r="K26" s="251">
        <v>0</v>
      </c>
      <c r="L26" s="251">
        <v>0</v>
      </c>
      <c r="M26" s="251">
        <v>0</v>
      </c>
      <c r="N26" s="252">
        <v>0</v>
      </c>
      <c r="O26" s="250">
        <v>0</v>
      </c>
      <c r="P26" s="250">
        <v>0</v>
      </c>
      <c r="Q26" s="251">
        <v>0</v>
      </c>
      <c r="R26" s="252">
        <v>0</v>
      </c>
      <c r="S26" s="250">
        <v>0</v>
      </c>
      <c r="T26" s="253"/>
      <c r="U26" s="254">
        <v>227</v>
      </c>
      <c r="V26" s="255">
        <v>3</v>
      </c>
      <c r="W26" s="255">
        <v>196</v>
      </c>
      <c r="X26" s="255">
        <v>143</v>
      </c>
      <c r="Y26" s="255">
        <v>16</v>
      </c>
      <c r="Z26" s="255">
        <v>0</v>
      </c>
      <c r="AA26" s="256">
        <v>585</v>
      </c>
      <c r="AB26" s="254">
        <v>0</v>
      </c>
      <c r="AC26" s="255">
        <v>0</v>
      </c>
      <c r="AD26" s="255">
        <v>0</v>
      </c>
      <c r="AE26" s="255">
        <v>0</v>
      </c>
      <c r="AF26" s="257">
        <v>0</v>
      </c>
      <c r="AG26" s="257">
        <v>0</v>
      </c>
      <c r="AH26" s="254">
        <v>0</v>
      </c>
      <c r="AI26" s="255">
        <v>0</v>
      </c>
      <c r="AJ26" s="257">
        <v>0</v>
      </c>
      <c r="AK26" s="254">
        <v>0</v>
      </c>
    </row>
    <row r="27" spans="1:39" ht="13.9" customHeight="1">
      <c r="A27" s="249"/>
      <c r="B27" s="239" t="s">
        <v>32</v>
      </c>
      <c r="C27" s="250">
        <v>1.4963503649635036E-2</v>
      </c>
      <c r="D27" s="251">
        <v>0.10909090909090909</v>
      </c>
      <c r="E27" s="273">
        <v>4.9309664694280079E-3</v>
      </c>
      <c r="F27" s="273">
        <v>2.1074815595363539E-3</v>
      </c>
      <c r="G27" s="251">
        <v>3.8461538461538464E-2</v>
      </c>
      <c r="H27" s="252">
        <v>0</v>
      </c>
      <c r="I27" s="250">
        <v>1.6258607498087222E-2</v>
      </c>
      <c r="J27" s="250">
        <v>0</v>
      </c>
      <c r="K27" s="251">
        <v>0</v>
      </c>
      <c r="L27" s="251">
        <v>0</v>
      </c>
      <c r="M27" s="251">
        <v>0</v>
      </c>
      <c r="N27" s="252">
        <v>0</v>
      </c>
      <c r="O27" s="250">
        <v>0</v>
      </c>
      <c r="P27" s="250">
        <v>0</v>
      </c>
      <c r="Q27" s="251">
        <v>0</v>
      </c>
      <c r="R27" s="252">
        <v>0</v>
      </c>
      <c r="S27" s="250">
        <v>0</v>
      </c>
      <c r="T27" s="253"/>
      <c r="U27" s="254">
        <v>41</v>
      </c>
      <c r="V27" s="255">
        <v>30</v>
      </c>
      <c r="W27" s="255">
        <v>5</v>
      </c>
      <c r="X27" s="255">
        <v>2</v>
      </c>
      <c r="Y27" s="255">
        <v>7</v>
      </c>
      <c r="Z27" s="255">
        <v>0</v>
      </c>
      <c r="AA27" s="256">
        <v>85</v>
      </c>
      <c r="AB27" s="254">
        <v>0</v>
      </c>
      <c r="AC27" s="255">
        <v>0</v>
      </c>
      <c r="AD27" s="255">
        <v>0</v>
      </c>
      <c r="AE27" s="255">
        <v>0</v>
      </c>
      <c r="AF27" s="257">
        <v>0</v>
      </c>
      <c r="AG27" s="257">
        <v>0</v>
      </c>
      <c r="AH27" s="254">
        <v>0</v>
      </c>
      <c r="AI27" s="255">
        <v>0</v>
      </c>
      <c r="AJ27" s="257">
        <v>0</v>
      </c>
      <c r="AK27" s="254">
        <v>0</v>
      </c>
    </row>
    <row r="28" spans="1:39" ht="13.9" customHeight="1">
      <c r="A28" s="249"/>
      <c r="B28" s="239" t="s">
        <v>58</v>
      </c>
      <c r="C28" s="250">
        <v>0</v>
      </c>
      <c r="D28" s="251">
        <v>0</v>
      </c>
      <c r="E28" s="251">
        <v>0</v>
      </c>
      <c r="F28" s="251">
        <v>0</v>
      </c>
      <c r="G28" s="251">
        <v>0</v>
      </c>
      <c r="H28" s="252">
        <v>0</v>
      </c>
      <c r="I28" s="250">
        <v>0</v>
      </c>
      <c r="J28" s="250">
        <v>0</v>
      </c>
      <c r="K28" s="251">
        <v>1</v>
      </c>
      <c r="L28" s="251">
        <v>1</v>
      </c>
      <c r="M28" s="251">
        <v>1</v>
      </c>
      <c r="N28" s="252">
        <v>0</v>
      </c>
      <c r="O28" s="250">
        <v>1</v>
      </c>
      <c r="P28" s="250">
        <v>1</v>
      </c>
      <c r="Q28" s="251">
        <v>1</v>
      </c>
      <c r="R28" s="252">
        <v>0</v>
      </c>
      <c r="S28" s="250">
        <v>1</v>
      </c>
      <c r="T28" s="253"/>
      <c r="U28" s="254">
        <v>0</v>
      </c>
      <c r="V28" s="255">
        <v>0</v>
      </c>
      <c r="W28" s="255">
        <v>0</v>
      </c>
      <c r="X28" s="255">
        <v>0</v>
      </c>
      <c r="Y28" s="255">
        <v>0</v>
      </c>
      <c r="Z28" s="255">
        <v>0</v>
      </c>
      <c r="AA28" s="256">
        <v>0</v>
      </c>
      <c r="AB28" s="254">
        <v>0</v>
      </c>
      <c r="AC28" s="255">
        <v>127</v>
      </c>
      <c r="AD28" s="255">
        <v>990</v>
      </c>
      <c r="AE28" s="255">
        <v>367</v>
      </c>
      <c r="AF28" s="257">
        <v>0</v>
      </c>
      <c r="AG28" s="257">
        <v>1484</v>
      </c>
      <c r="AH28" s="254">
        <v>78</v>
      </c>
      <c r="AI28" s="255">
        <v>189</v>
      </c>
      <c r="AJ28" s="257">
        <v>0</v>
      </c>
      <c r="AK28" s="254">
        <v>267</v>
      </c>
    </row>
    <row r="29" spans="1:39" s="406" customFormat="1" ht="23.45" customHeight="1">
      <c r="A29" s="259"/>
      <c r="B29" s="260" t="s">
        <v>59</v>
      </c>
      <c r="C29" s="261">
        <v>1</v>
      </c>
      <c r="D29" s="262">
        <v>1</v>
      </c>
      <c r="E29" s="262">
        <v>1</v>
      </c>
      <c r="F29" s="262">
        <v>1</v>
      </c>
      <c r="G29" s="262">
        <v>1</v>
      </c>
      <c r="H29" s="263">
        <v>1</v>
      </c>
      <c r="I29" s="261">
        <v>1</v>
      </c>
      <c r="J29" s="261">
        <v>0</v>
      </c>
      <c r="K29" s="262">
        <v>1</v>
      </c>
      <c r="L29" s="262">
        <v>1</v>
      </c>
      <c r="M29" s="262">
        <v>1</v>
      </c>
      <c r="N29" s="263">
        <v>0</v>
      </c>
      <c r="O29" s="261">
        <v>1</v>
      </c>
      <c r="P29" s="261">
        <v>1</v>
      </c>
      <c r="Q29" s="262">
        <v>1</v>
      </c>
      <c r="R29" s="263">
        <v>0</v>
      </c>
      <c r="S29" s="261">
        <v>1</v>
      </c>
      <c r="T29" s="264"/>
      <c r="U29" s="265">
        <v>2740</v>
      </c>
      <c r="V29" s="266">
        <v>275</v>
      </c>
      <c r="W29" s="266">
        <v>1014</v>
      </c>
      <c r="X29" s="266">
        <v>949</v>
      </c>
      <c r="Y29" s="266">
        <v>182</v>
      </c>
      <c r="Z29" s="266">
        <v>68</v>
      </c>
      <c r="AA29" s="267">
        <v>5228</v>
      </c>
      <c r="AB29" s="265">
        <v>0</v>
      </c>
      <c r="AC29" s="266">
        <v>127</v>
      </c>
      <c r="AD29" s="266">
        <v>990</v>
      </c>
      <c r="AE29" s="266">
        <v>367</v>
      </c>
      <c r="AF29" s="268">
        <v>0</v>
      </c>
      <c r="AG29" s="268">
        <v>1484</v>
      </c>
      <c r="AH29" s="265">
        <v>78</v>
      </c>
      <c r="AI29" s="266">
        <v>189</v>
      </c>
      <c r="AJ29" s="268">
        <v>0</v>
      </c>
      <c r="AK29" s="265">
        <v>267</v>
      </c>
      <c r="AL29" s="405"/>
      <c r="AM29" s="405"/>
    </row>
    <row r="30" spans="1:39" ht="13.5" customHeight="1">
      <c r="A30" s="239" t="s">
        <v>5</v>
      </c>
      <c r="B30" s="239" t="s">
        <v>53</v>
      </c>
      <c r="C30" s="241">
        <v>0</v>
      </c>
      <c r="D30" s="242">
        <v>0.36662452591656131</v>
      </c>
      <c r="E30" s="242">
        <v>0.24034003091190109</v>
      </c>
      <c r="F30" s="242">
        <v>0</v>
      </c>
      <c r="G30" s="242">
        <v>0.2549800796812749</v>
      </c>
      <c r="H30" s="243">
        <v>0.22789115646258504</v>
      </c>
      <c r="I30" s="241">
        <v>0.27629295383547381</v>
      </c>
      <c r="J30" s="241">
        <v>0</v>
      </c>
      <c r="K30" s="242">
        <v>0</v>
      </c>
      <c r="L30" s="242">
        <v>1.2690355329949238E-2</v>
      </c>
      <c r="M30" s="242">
        <v>0</v>
      </c>
      <c r="N30" s="243">
        <v>0</v>
      </c>
      <c r="O30" s="342">
        <v>4.248088360237893E-3</v>
      </c>
      <c r="P30" s="241">
        <v>0</v>
      </c>
      <c r="Q30" s="242">
        <v>0</v>
      </c>
      <c r="R30" s="243">
        <v>0</v>
      </c>
      <c r="S30" s="241">
        <v>0</v>
      </c>
      <c r="T30" s="253"/>
      <c r="U30" s="245">
        <v>0</v>
      </c>
      <c r="V30" s="246">
        <v>290</v>
      </c>
      <c r="W30" s="246">
        <v>311</v>
      </c>
      <c r="X30" s="246">
        <v>0</v>
      </c>
      <c r="Y30" s="246">
        <v>128</v>
      </c>
      <c r="Z30" s="246">
        <v>67</v>
      </c>
      <c r="AA30" s="247">
        <v>796</v>
      </c>
      <c r="AB30" s="245">
        <v>0</v>
      </c>
      <c r="AC30" s="246">
        <v>0</v>
      </c>
      <c r="AD30" s="246">
        <v>5</v>
      </c>
      <c r="AE30" s="246">
        <v>0</v>
      </c>
      <c r="AF30" s="246">
        <v>0</v>
      </c>
      <c r="AG30" s="247">
        <v>5</v>
      </c>
      <c r="AH30" s="246">
        <v>0</v>
      </c>
      <c r="AI30" s="246">
        <v>0</v>
      </c>
      <c r="AJ30" s="246">
        <v>0</v>
      </c>
      <c r="AK30" s="245">
        <v>0</v>
      </c>
    </row>
    <row r="31" spans="1:39" ht="13.5" customHeight="1">
      <c r="A31" s="249"/>
      <c r="B31" s="239" t="s">
        <v>93</v>
      </c>
      <c r="C31" s="250">
        <v>0</v>
      </c>
      <c r="D31" s="251">
        <v>0.2857142857142857</v>
      </c>
      <c r="E31" s="251">
        <v>0.21715610510046368</v>
      </c>
      <c r="F31" s="251">
        <v>0</v>
      </c>
      <c r="G31" s="251">
        <v>0.25896414342629481</v>
      </c>
      <c r="H31" s="252">
        <v>0.22789115646258504</v>
      </c>
      <c r="I31" s="250">
        <v>0.24435959736202709</v>
      </c>
      <c r="J31" s="250">
        <v>0</v>
      </c>
      <c r="K31" s="251">
        <v>0</v>
      </c>
      <c r="L31" s="251">
        <v>6.0913705583756347E-2</v>
      </c>
      <c r="M31" s="251">
        <v>0</v>
      </c>
      <c r="N31" s="252">
        <v>0</v>
      </c>
      <c r="O31" s="250">
        <v>2.0390824129141887E-2</v>
      </c>
      <c r="P31" s="250">
        <v>0</v>
      </c>
      <c r="Q31" s="251">
        <v>0</v>
      </c>
      <c r="R31" s="252">
        <v>0</v>
      </c>
      <c r="S31" s="250">
        <v>0</v>
      </c>
      <c r="T31" s="253"/>
      <c r="U31" s="254">
        <v>0</v>
      </c>
      <c r="V31" s="255">
        <v>226</v>
      </c>
      <c r="W31" s="255">
        <v>281</v>
      </c>
      <c r="X31" s="255">
        <v>0</v>
      </c>
      <c r="Y31" s="255">
        <v>130</v>
      </c>
      <c r="Z31" s="255">
        <v>67</v>
      </c>
      <c r="AA31" s="256">
        <v>704</v>
      </c>
      <c r="AB31" s="254">
        <v>0</v>
      </c>
      <c r="AC31" s="255">
        <v>0</v>
      </c>
      <c r="AD31" s="255">
        <v>24</v>
      </c>
      <c r="AE31" s="255">
        <v>0</v>
      </c>
      <c r="AF31" s="255">
        <v>0</v>
      </c>
      <c r="AG31" s="256">
        <v>24</v>
      </c>
      <c r="AH31" s="255">
        <v>0</v>
      </c>
      <c r="AI31" s="255">
        <v>0</v>
      </c>
      <c r="AJ31" s="255">
        <v>0</v>
      </c>
      <c r="AK31" s="254">
        <v>0</v>
      </c>
    </row>
    <row r="32" spans="1:39" ht="13.9" customHeight="1">
      <c r="A32" s="249"/>
      <c r="B32" s="239" t="s">
        <v>55</v>
      </c>
      <c r="C32" s="250">
        <v>0</v>
      </c>
      <c r="D32" s="251">
        <v>0.20733249051833122</v>
      </c>
      <c r="E32" s="251">
        <v>0.29675425038639874</v>
      </c>
      <c r="F32" s="251">
        <v>0</v>
      </c>
      <c r="G32" s="251">
        <v>0.31274900398406374</v>
      </c>
      <c r="H32" s="252">
        <v>0.26530612244897961</v>
      </c>
      <c r="I32" s="250">
        <v>0.27178063172509548</v>
      </c>
      <c r="J32" s="250">
        <v>0</v>
      </c>
      <c r="K32" s="251">
        <v>0</v>
      </c>
      <c r="L32" s="251">
        <v>0.17258883248730963</v>
      </c>
      <c r="M32" s="251">
        <v>0</v>
      </c>
      <c r="N32" s="252">
        <v>0</v>
      </c>
      <c r="O32" s="250">
        <v>5.7774001699235342E-2</v>
      </c>
      <c r="P32" s="250">
        <v>0</v>
      </c>
      <c r="Q32" s="251">
        <v>0</v>
      </c>
      <c r="R32" s="252">
        <v>0</v>
      </c>
      <c r="S32" s="250">
        <v>0</v>
      </c>
      <c r="T32" s="253"/>
      <c r="U32" s="254">
        <v>0</v>
      </c>
      <c r="V32" s="255">
        <v>164</v>
      </c>
      <c r="W32" s="255">
        <v>384</v>
      </c>
      <c r="X32" s="255">
        <v>0</v>
      </c>
      <c r="Y32" s="255">
        <v>157</v>
      </c>
      <c r="Z32" s="255">
        <v>78</v>
      </c>
      <c r="AA32" s="256">
        <v>783</v>
      </c>
      <c r="AB32" s="254">
        <v>0</v>
      </c>
      <c r="AC32" s="255">
        <v>0</v>
      </c>
      <c r="AD32" s="255">
        <v>68</v>
      </c>
      <c r="AE32" s="255">
        <v>0</v>
      </c>
      <c r="AF32" s="255">
        <v>0</v>
      </c>
      <c r="AG32" s="256">
        <v>68</v>
      </c>
      <c r="AH32" s="255">
        <v>0</v>
      </c>
      <c r="AI32" s="255">
        <v>0</v>
      </c>
      <c r="AJ32" s="255">
        <v>0</v>
      </c>
      <c r="AK32" s="254">
        <v>0</v>
      </c>
    </row>
    <row r="33" spans="1:42" ht="13.9" customHeight="1">
      <c r="A33" s="249"/>
      <c r="B33" s="239" t="s">
        <v>78</v>
      </c>
      <c r="C33" s="250">
        <v>0</v>
      </c>
      <c r="D33" s="251">
        <v>0.11757269279393173</v>
      </c>
      <c r="E33" s="251">
        <v>0.21174652241112829</v>
      </c>
      <c r="F33" s="251">
        <v>0</v>
      </c>
      <c r="G33" s="251">
        <v>0.17330677290836655</v>
      </c>
      <c r="H33" s="252">
        <v>0.27891156462585032</v>
      </c>
      <c r="I33" s="250">
        <v>0.18604651162790697</v>
      </c>
      <c r="J33" s="250">
        <v>0</v>
      </c>
      <c r="K33" s="251">
        <v>0</v>
      </c>
      <c r="L33" s="251">
        <v>0.11928934010152284</v>
      </c>
      <c r="M33" s="251">
        <v>0</v>
      </c>
      <c r="N33" s="252">
        <v>0</v>
      </c>
      <c r="O33" s="250">
        <v>3.9932030586236192E-2</v>
      </c>
      <c r="P33" s="250">
        <v>0</v>
      </c>
      <c r="Q33" s="251">
        <v>0</v>
      </c>
      <c r="R33" s="252">
        <v>0</v>
      </c>
      <c r="S33" s="250">
        <v>0</v>
      </c>
      <c r="T33" s="253"/>
      <c r="U33" s="254">
        <v>0</v>
      </c>
      <c r="V33" s="255">
        <v>93</v>
      </c>
      <c r="W33" s="255">
        <v>274</v>
      </c>
      <c r="X33" s="255">
        <v>0</v>
      </c>
      <c r="Y33" s="255">
        <v>87</v>
      </c>
      <c r="Z33" s="255">
        <v>82</v>
      </c>
      <c r="AA33" s="256">
        <v>536</v>
      </c>
      <c r="AB33" s="254">
        <v>0</v>
      </c>
      <c r="AC33" s="255">
        <v>0</v>
      </c>
      <c r="AD33" s="255">
        <v>47</v>
      </c>
      <c r="AE33" s="255">
        <v>0</v>
      </c>
      <c r="AF33" s="255">
        <v>0</v>
      </c>
      <c r="AG33" s="256">
        <v>47</v>
      </c>
      <c r="AH33" s="255">
        <v>0</v>
      </c>
      <c r="AI33" s="255">
        <v>0</v>
      </c>
      <c r="AJ33" s="255">
        <v>0</v>
      </c>
      <c r="AK33" s="254">
        <v>0</v>
      </c>
    </row>
    <row r="34" spans="1:42" ht="13.9" customHeight="1">
      <c r="A34" s="249"/>
      <c r="B34" s="239" t="s">
        <v>32</v>
      </c>
      <c r="C34" s="250">
        <v>0</v>
      </c>
      <c r="D34" s="251">
        <v>2.2756005056890013E-2</v>
      </c>
      <c r="E34" s="251">
        <v>3.4003091190108192E-2</v>
      </c>
      <c r="F34" s="251">
        <v>0</v>
      </c>
      <c r="G34" s="251">
        <v>0</v>
      </c>
      <c r="H34" s="252">
        <v>0</v>
      </c>
      <c r="I34" s="250">
        <v>2.1520305449496704E-2</v>
      </c>
      <c r="J34" s="250">
        <v>0</v>
      </c>
      <c r="K34" s="251">
        <v>0</v>
      </c>
      <c r="L34" s="251">
        <v>2.7918781725888325E-2</v>
      </c>
      <c r="M34" s="251">
        <v>0</v>
      </c>
      <c r="N34" s="252">
        <v>0</v>
      </c>
      <c r="O34" s="250">
        <v>9.3457943925233638E-3</v>
      </c>
      <c r="P34" s="250">
        <v>0</v>
      </c>
      <c r="Q34" s="251">
        <v>0</v>
      </c>
      <c r="R34" s="252">
        <v>0</v>
      </c>
      <c r="S34" s="250">
        <v>0</v>
      </c>
      <c r="T34" s="253"/>
      <c r="U34" s="254">
        <v>0</v>
      </c>
      <c r="V34" s="255">
        <v>18</v>
      </c>
      <c r="W34" s="255">
        <v>44</v>
      </c>
      <c r="X34" s="255">
        <v>0</v>
      </c>
      <c r="Y34" s="255">
        <v>0</v>
      </c>
      <c r="Z34" s="255">
        <v>0</v>
      </c>
      <c r="AA34" s="256">
        <v>62</v>
      </c>
      <c r="AB34" s="254">
        <v>0</v>
      </c>
      <c r="AC34" s="255">
        <v>0</v>
      </c>
      <c r="AD34" s="255">
        <v>11</v>
      </c>
      <c r="AE34" s="255">
        <v>0</v>
      </c>
      <c r="AF34" s="255">
        <v>0</v>
      </c>
      <c r="AG34" s="256">
        <v>11</v>
      </c>
      <c r="AH34" s="255">
        <v>0</v>
      </c>
      <c r="AI34" s="255">
        <v>0</v>
      </c>
      <c r="AJ34" s="255">
        <v>0</v>
      </c>
      <c r="AK34" s="254">
        <v>0</v>
      </c>
    </row>
    <row r="35" spans="1:42" ht="13.9" customHeight="1">
      <c r="A35" s="249"/>
      <c r="B35" s="239" t="s">
        <v>58</v>
      </c>
      <c r="C35" s="250">
        <v>0</v>
      </c>
      <c r="D35" s="251">
        <v>0</v>
      </c>
      <c r="E35" s="251">
        <v>0</v>
      </c>
      <c r="F35" s="251">
        <v>0</v>
      </c>
      <c r="G35" s="251">
        <v>0</v>
      </c>
      <c r="H35" s="252">
        <v>0</v>
      </c>
      <c r="I35" s="250">
        <v>0</v>
      </c>
      <c r="J35" s="250">
        <v>0</v>
      </c>
      <c r="K35" s="251">
        <v>0</v>
      </c>
      <c r="L35" s="251">
        <v>0.60659898477157359</v>
      </c>
      <c r="M35" s="251">
        <v>1</v>
      </c>
      <c r="N35" s="252">
        <v>0</v>
      </c>
      <c r="O35" s="250">
        <v>0.86830926083262527</v>
      </c>
      <c r="P35" s="250">
        <v>0</v>
      </c>
      <c r="Q35" s="251">
        <v>0</v>
      </c>
      <c r="R35" s="252">
        <v>0</v>
      </c>
      <c r="S35" s="250">
        <v>0</v>
      </c>
      <c r="T35" s="253"/>
      <c r="U35" s="254">
        <v>0</v>
      </c>
      <c r="V35" s="255">
        <v>0</v>
      </c>
      <c r="W35" s="255">
        <v>0</v>
      </c>
      <c r="X35" s="255">
        <v>0</v>
      </c>
      <c r="Y35" s="255">
        <v>0</v>
      </c>
      <c r="Z35" s="255">
        <v>0</v>
      </c>
      <c r="AA35" s="256">
        <v>0</v>
      </c>
      <c r="AB35" s="254">
        <v>0</v>
      </c>
      <c r="AC35" s="255">
        <v>0</v>
      </c>
      <c r="AD35" s="255">
        <v>239</v>
      </c>
      <c r="AE35" s="255">
        <v>783</v>
      </c>
      <c r="AF35" s="255">
        <v>0</v>
      </c>
      <c r="AG35" s="256">
        <v>1022</v>
      </c>
      <c r="AH35" s="255">
        <v>0</v>
      </c>
      <c r="AI35" s="255">
        <v>0</v>
      </c>
      <c r="AJ35" s="255">
        <v>0</v>
      </c>
      <c r="AK35" s="254">
        <v>0</v>
      </c>
    </row>
    <row r="36" spans="1:42" s="406" customFormat="1" ht="23.25" customHeight="1">
      <c r="A36" s="259"/>
      <c r="B36" s="260" t="s">
        <v>59</v>
      </c>
      <c r="C36" s="261">
        <v>0</v>
      </c>
      <c r="D36" s="262">
        <v>1</v>
      </c>
      <c r="E36" s="262">
        <v>1</v>
      </c>
      <c r="F36" s="262">
        <v>0</v>
      </c>
      <c r="G36" s="262">
        <v>1</v>
      </c>
      <c r="H36" s="263">
        <v>1</v>
      </c>
      <c r="I36" s="261">
        <v>1</v>
      </c>
      <c r="J36" s="261">
        <v>0</v>
      </c>
      <c r="K36" s="262">
        <v>0</v>
      </c>
      <c r="L36" s="262">
        <v>1</v>
      </c>
      <c r="M36" s="262">
        <v>1</v>
      </c>
      <c r="N36" s="263">
        <v>0</v>
      </c>
      <c r="O36" s="261">
        <v>1</v>
      </c>
      <c r="P36" s="261">
        <v>0</v>
      </c>
      <c r="Q36" s="262">
        <v>0</v>
      </c>
      <c r="R36" s="263">
        <v>0</v>
      </c>
      <c r="S36" s="261">
        <v>0</v>
      </c>
      <c r="T36" s="264"/>
      <c r="U36" s="265">
        <v>0</v>
      </c>
      <c r="V36" s="266">
        <v>791</v>
      </c>
      <c r="W36" s="266">
        <v>1294</v>
      </c>
      <c r="X36" s="266">
        <v>0</v>
      </c>
      <c r="Y36" s="266">
        <v>502</v>
      </c>
      <c r="Z36" s="266">
        <v>294</v>
      </c>
      <c r="AA36" s="267">
        <v>2881</v>
      </c>
      <c r="AB36" s="265">
        <v>0</v>
      </c>
      <c r="AC36" s="266">
        <v>0</v>
      </c>
      <c r="AD36" s="266">
        <v>394</v>
      </c>
      <c r="AE36" s="266">
        <v>783</v>
      </c>
      <c r="AF36" s="266">
        <v>0</v>
      </c>
      <c r="AG36" s="267">
        <v>1177</v>
      </c>
      <c r="AH36" s="266">
        <v>0</v>
      </c>
      <c r="AI36" s="266">
        <v>0</v>
      </c>
      <c r="AJ36" s="266">
        <v>0</v>
      </c>
      <c r="AK36" s="265">
        <v>0</v>
      </c>
      <c r="AL36" s="405"/>
      <c r="AM36" s="405"/>
    </row>
    <row r="37" spans="1:42" s="406" customFormat="1" ht="13.5" customHeight="1">
      <c r="A37" s="239" t="s">
        <v>82</v>
      </c>
      <c r="B37" s="239" t="s">
        <v>53</v>
      </c>
      <c r="C37" s="241">
        <v>0.37244444444444447</v>
      </c>
      <c r="D37" s="242">
        <v>0</v>
      </c>
      <c r="E37" s="242">
        <v>0</v>
      </c>
      <c r="F37" s="242">
        <v>0.21164021164021163</v>
      </c>
      <c r="G37" s="242">
        <v>0</v>
      </c>
      <c r="H37" s="243">
        <v>0</v>
      </c>
      <c r="I37" s="241">
        <v>0.34931506849315069</v>
      </c>
      <c r="J37" s="241">
        <v>0</v>
      </c>
      <c r="K37" s="242">
        <v>0</v>
      </c>
      <c r="L37" s="242">
        <v>0</v>
      </c>
      <c r="M37" s="242">
        <v>0</v>
      </c>
      <c r="N37" s="243">
        <v>0</v>
      </c>
      <c r="O37" s="241">
        <v>0</v>
      </c>
      <c r="P37" s="241">
        <v>0</v>
      </c>
      <c r="Q37" s="242">
        <v>0</v>
      </c>
      <c r="R37" s="243">
        <v>0</v>
      </c>
      <c r="S37" s="241">
        <v>0</v>
      </c>
      <c r="T37" s="253"/>
      <c r="U37" s="254">
        <v>419</v>
      </c>
      <c r="V37" s="255">
        <v>0</v>
      </c>
      <c r="W37" s="255">
        <v>0</v>
      </c>
      <c r="X37" s="255">
        <v>40</v>
      </c>
      <c r="Y37" s="255">
        <v>0</v>
      </c>
      <c r="Z37" s="255">
        <v>0</v>
      </c>
      <c r="AA37" s="256">
        <v>459</v>
      </c>
      <c r="AB37" s="254">
        <v>0</v>
      </c>
      <c r="AC37" s="255">
        <v>0</v>
      </c>
      <c r="AD37" s="255">
        <v>0</v>
      </c>
      <c r="AE37" s="255">
        <v>0</v>
      </c>
      <c r="AF37" s="255">
        <v>0</v>
      </c>
      <c r="AG37" s="256">
        <v>0</v>
      </c>
      <c r="AH37" s="255">
        <v>0</v>
      </c>
      <c r="AI37" s="255">
        <v>0</v>
      </c>
      <c r="AJ37" s="255">
        <v>0</v>
      </c>
      <c r="AK37" s="254">
        <v>0</v>
      </c>
      <c r="AL37" s="349"/>
      <c r="AM37" s="349"/>
      <c r="AN37" s="9"/>
      <c r="AO37" s="9"/>
      <c r="AP37" s="9"/>
    </row>
    <row r="38" spans="1:42" s="406" customFormat="1" ht="13.5" customHeight="1">
      <c r="A38" s="249"/>
      <c r="B38" s="239" t="s">
        <v>93</v>
      </c>
      <c r="C38" s="250">
        <v>0.28444444444444444</v>
      </c>
      <c r="D38" s="251">
        <v>0</v>
      </c>
      <c r="E38" s="251">
        <v>0</v>
      </c>
      <c r="F38" s="251">
        <v>0.43386243386243384</v>
      </c>
      <c r="G38" s="251">
        <v>0</v>
      </c>
      <c r="H38" s="252">
        <v>0</v>
      </c>
      <c r="I38" s="250">
        <v>0.30593607305936071</v>
      </c>
      <c r="J38" s="250">
        <v>0</v>
      </c>
      <c r="K38" s="251">
        <v>0</v>
      </c>
      <c r="L38" s="251">
        <v>0</v>
      </c>
      <c r="M38" s="251">
        <v>0</v>
      </c>
      <c r="N38" s="252">
        <v>0</v>
      </c>
      <c r="O38" s="250">
        <v>0</v>
      </c>
      <c r="P38" s="250">
        <v>0</v>
      </c>
      <c r="Q38" s="251">
        <v>0</v>
      </c>
      <c r="R38" s="252">
        <v>0</v>
      </c>
      <c r="S38" s="250">
        <v>0</v>
      </c>
      <c r="T38" s="253"/>
      <c r="U38" s="254">
        <v>320</v>
      </c>
      <c r="V38" s="255">
        <v>0</v>
      </c>
      <c r="W38" s="255">
        <v>0</v>
      </c>
      <c r="X38" s="255">
        <v>82</v>
      </c>
      <c r="Y38" s="255">
        <v>0</v>
      </c>
      <c r="Z38" s="255">
        <v>0</v>
      </c>
      <c r="AA38" s="256">
        <v>402</v>
      </c>
      <c r="AB38" s="254">
        <v>0</v>
      </c>
      <c r="AC38" s="255">
        <v>0</v>
      </c>
      <c r="AD38" s="255">
        <v>0</v>
      </c>
      <c r="AE38" s="255">
        <v>0</v>
      </c>
      <c r="AF38" s="255">
        <v>0</v>
      </c>
      <c r="AG38" s="256">
        <v>0</v>
      </c>
      <c r="AH38" s="255">
        <v>0</v>
      </c>
      <c r="AI38" s="255">
        <v>0</v>
      </c>
      <c r="AJ38" s="255">
        <v>0</v>
      </c>
      <c r="AK38" s="254">
        <v>0</v>
      </c>
      <c r="AL38" s="349"/>
      <c r="AM38" s="349"/>
      <c r="AN38" s="9"/>
      <c r="AO38" s="9"/>
      <c r="AP38" s="9"/>
    </row>
    <row r="39" spans="1:42" s="406" customFormat="1" ht="13.5" customHeight="1">
      <c r="A39" s="249"/>
      <c r="B39" s="239" t="s">
        <v>55</v>
      </c>
      <c r="C39" s="250">
        <v>0.24266666666666667</v>
      </c>
      <c r="D39" s="251">
        <v>0</v>
      </c>
      <c r="E39" s="251">
        <v>0</v>
      </c>
      <c r="F39" s="251">
        <v>0.29629629629629628</v>
      </c>
      <c r="G39" s="251">
        <v>0</v>
      </c>
      <c r="H39" s="252">
        <v>0</v>
      </c>
      <c r="I39" s="250">
        <v>0.25038051750380519</v>
      </c>
      <c r="J39" s="250">
        <v>0</v>
      </c>
      <c r="K39" s="251">
        <v>0</v>
      </c>
      <c r="L39" s="251">
        <v>0</v>
      </c>
      <c r="M39" s="251">
        <v>0</v>
      </c>
      <c r="N39" s="252">
        <v>0</v>
      </c>
      <c r="O39" s="250">
        <v>0</v>
      </c>
      <c r="P39" s="250">
        <v>0</v>
      </c>
      <c r="Q39" s="251">
        <v>0</v>
      </c>
      <c r="R39" s="252">
        <v>0</v>
      </c>
      <c r="S39" s="250">
        <v>0</v>
      </c>
      <c r="T39" s="253"/>
      <c r="U39" s="254">
        <v>273</v>
      </c>
      <c r="V39" s="255">
        <v>0</v>
      </c>
      <c r="W39" s="255">
        <v>0</v>
      </c>
      <c r="X39" s="255">
        <v>56</v>
      </c>
      <c r="Y39" s="255">
        <v>0</v>
      </c>
      <c r="Z39" s="255">
        <v>0</v>
      </c>
      <c r="AA39" s="256">
        <v>329</v>
      </c>
      <c r="AB39" s="254">
        <v>0</v>
      </c>
      <c r="AC39" s="255">
        <v>0</v>
      </c>
      <c r="AD39" s="255">
        <v>0</v>
      </c>
      <c r="AE39" s="255">
        <v>0</v>
      </c>
      <c r="AF39" s="255">
        <v>0</v>
      </c>
      <c r="AG39" s="256">
        <v>0</v>
      </c>
      <c r="AH39" s="255">
        <v>0</v>
      </c>
      <c r="AI39" s="255">
        <v>0</v>
      </c>
      <c r="AJ39" s="255">
        <v>0</v>
      </c>
      <c r="AK39" s="254">
        <v>0</v>
      </c>
      <c r="AL39" s="349"/>
      <c r="AM39" s="349"/>
      <c r="AN39" s="9"/>
      <c r="AO39" s="9"/>
      <c r="AP39" s="9"/>
    </row>
    <row r="40" spans="1:42" s="406" customFormat="1" ht="13.5" customHeight="1">
      <c r="A40" s="249"/>
      <c r="B40" s="239" t="s">
        <v>78</v>
      </c>
      <c r="C40" s="250">
        <v>9.7777777777777783E-2</v>
      </c>
      <c r="D40" s="251">
        <v>0</v>
      </c>
      <c r="E40" s="251">
        <v>0</v>
      </c>
      <c r="F40" s="251">
        <v>5.8201058201058198E-2</v>
      </c>
      <c r="G40" s="251">
        <v>0</v>
      </c>
      <c r="H40" s="252">
        <v>0</v>
      </c>
      <c r="I40" s="250">
        <v>9.2085235920852354E-2</v>
      </c>
      <c r="J40" s="250">
        <v>0</v>
      </c>
      <c r="K40" s="251">
        <v>0</v>
      </c>
      <c r="L40" s="251">
        <v>0</v>
      </c>
      <c r="M40" s="251">
        <v>0</v>
      </c>
      <c r="N40" s="252">
        <v>0</v>
      </c>
      <c r="O40" s="250">
        <v>0</v>
      </c>
      <c r="P40" s="250">
        <v>0</v>
      </c>
      <c r="Q40" s="251">
        <v>0</v>
      </c>
      <c r="R40" s="252">
        <v>0</v>
      </c>
      <c r="S40" s="250">
        <v>0</v>
      </c>
      <c r="T40" s="253"/>
      <c r="U40" s="254">
        <v>110</v>
      </c>
      <c r="V40" s="255">
        <v>0</v>
      </c>
      <c r="W40" s="255">
        <v>0</v>
      </c>
      <c r="X40" s="255">
        <v>11</v>
      </c>
      <c r="Y40" s="255">
        <v>0</v>
      </c>
      <c r="Z40" s="255">
        <v>0</v>
      </c>
      <c r="AA40" s="256">
        <v>121</v>
      </c>
      <c r="AB40" s="254">
        <v>0</v>
      </c>
      <c r="AC40" s="255">
        <v>0</v>
      </c>
      <c r="AD40" s="255">
        <v>0</v>
      </c>
      <c r="AE40" s="255">
        <v>0</v>
      </c>
      <c r="AF40" s="255">
        <v>0</v>
      </c>
      <c r="AG40" s="256">
        <v>0</v>
      </c>
      <c r="AH40" s="255">
        <v>0</v>
      </c>
      <c r="AI40" s="255">
        <v>0</v>
      </c>
      <c r="AJ40" s="255">
        <v>0</v>
      </c>
      <c r="AK40" s="254">
        <v>0</v>
      </c>
      <c r="AL40" s="349"/>
      <c r="AM40" s="349"/>
      <c r="AN40" s="9"/>
      <c r="AO40" s="9"/>
      <c r="AP40" s="9"/>
    </row>
    <row r="41" spans="1:42" s="406" customFormat="1" ht="13.5" customHeight="1">
      <c r="A41" s="249"/>
      <c r="B41" s="239" t="s">
        <v>32</v>
      </c>
      <c r="C41" s="272">
        <v>2.6666666666666666E-3</v>
      </c>
      <c r="D41" s="251">
        <v>0</v>
      </c>
      <c r="E41" s="251">
        <v>0</v>
      </c>
      <c r="F41" s="251">
        <v>0</v>
      </c>
      <c r="G41" s="251">
        <v>0</v>
      </c>
      <c r="H41" s="252">
        <v>0</v>
      </c>
      <c r="I41" s="272">
        <v>2.2831050228310501E-3</v>
      </c>
      <c r="J41" s="250">
        <v>0</v>
      </c>
      <c r="K41" s="251">
        <v>0</v>
      </c>
      <c r="L41" s="251">
        <v>0</v>
      </c>
      <c r="M41" s="251">
        <v>0</v>
      </c>
      <c r="N41" s="252">
        <v>0</v>
      </c>
      <c r="O41" s="250">
        <v>0</v>
      </c>
      <c r="P41" s="250">
        <v>0</v>
      </c>
      <c r="Q41" s="251">
        <v>0</v>
      </c>
      <c r="R41" s="252">
        <v>0</v>
      </c>
      <c r="S41" s="250">
        <v>0</v>
      </c>
      <c r="T41" s="253"/>
      <c r="U41" s="254">
        <v>3</v>
      </c>
      <c r="V41" s="255">
        <v>0</v>
      </c>
      <c r="W41" s="255">
        <v>0</v>
      </c>
      <c r="X41" s="255">
        <v>0</v>
      </c>
      <c r="Y41" s="255">
        <v>0</v>
      </c>
      <c r="Z41" s="255">
        <v>0</v>
      </c>
      <c r="AA41" s="256">
        <v>3</v>
      </c>
      <c r="AB41" s="254">
        <v>0</v>
      </c>
      <c r="AC41" s="255">
        <v>0</v>
      </c>
      <c r="AD41" s="255">
        <v>0</v>
      </c>
      <c r="AE41" s="255">
        <v>0</v>
      </c>
      <c r="AF41" s="255">
        <v>0</v>
      </c>
      <c r="AG41" s="256">
        <v>0</v>
      </c>
      <c r="AH41" s="255">
        <v>0</v>
      </c>
      <c r="AI41" s="255">
        <v>0</v>
      </c>
      <c r="AJ41" s="255">
        <v>0</v>
      </c>
      <c r="AK41" s="254">
        <v>0</v>
      </c>
      <c r="AL41" s="349"/>
      <c r="AM41" s="349"/>
      <c r="AN41" s="9"/>
      <c r="AO41" s="9"/>
      <c r="AP41" s="9"/>
    </row>
    <row r="42" spans="1:42" s="406" customFormat="1" ht="13.5" customHeight="1">
      <c r="A42" s="249"/>
      <c r="B42" s="239" t="s">
        <v>58</v>
      </c>
      <c r="C42" s="250">
        <v>0</v>
      </c>
      <c r="D42" s="251">
        <v>0</v>
      </c>
      <c r="E42" s="251">
        <v>0</v>
      </c>
      <c r="F42" s="251">
        <v>0</v>
      </c>
      <c r="G42" s="251">
        <v>0</v>
      </c>
      <c r="H42" s="252">
        <v>0</v>
      </c>
      <c r="I42" s="250">
        <v>0</v>
      </c>
      <c r="J42" s="250">
        <v>0</v>
      </c>
      <c r="K42" s="251">
        <v>0</v>
      </c>
      <c r="L42" s="251">
        <v>1</v>
      </c>
      <c r="M42" s="251">
        <v>1</v>
      </c>
      <c r="N42" s="252">
        <v>0</v>
      </c>
      <c r="O42" s="250">
        <v>1</v>
      </c>
      <c r="P42" s="250">
        <v>0</v>
      </c>
      <c r="Q42" s="251">
        <v>0</v>
      </c>
      <c r="R42" s="252">
        <v>0</v>
      </c>
      <c r="S42" s="250">
        <v>0</v>
      </c>
      <c r="T42" s="253"/>
      <c r="U42" s="254">
        <v>0</v>
      </c>
      <c r="V42" s="255">
        <v>0</v>
      </c>
      <c r="W42" s="255">
        <v>0</v>
      </c>
      <c r="X42" s="255">
        <v>0</v>
      </c>
      <c r="Y42" s="255">
        <v>0</v>
      </c>
      <c r="Z42" s="255">
        <v>0</v>
      </c>
      <c r="AA42" s="256">
        <v>0</v>
      </c>
      <c r="AB42" s="254">
        <v>0</v>
      </c>
      <c r="AC42" s="255">
        <v>0</v>
      </c>
      <c r="AD42" s="255">
        <v>251</v>
      </c>
      <c r="AE42" s="255">
        <v>59</v>
      </c>
      <c r="AF42" s="255">
        <v>0</v>
      </c>
      <c r="AG42" s="256">
        <v>310</v>
      </c>
      <c r="AH42" s="255">
        <v>0</v>
      </c>
      <c r="AI42" s="255">
        <v>0</v>
      </c>
      <c r="AJ42" s="255">
        <v>0</v>
      </c>
      <c r="AK42" s="254">
        <v>0</v>
      </c>
      <c r="AL42" s="349"/>
      <c r="AM42" s="349"/>
      <c r="AN42" s="9"/>
      <c r="AO42" s="9"/>
      <c r="AP42" s="9"/>
    </row>
    <row r="43" spans="1:42" s="406" customFormat="1" ht="23.45" customHeight="1">
      <c r="A43" s="259"/>
      <c r="B43" s="260" t="s">
        <v>59</v>
      </c>
      <c r="C43" s="261">
        <v>1</v>
      </c>
      <c r="D43" s="262">
        <v>0</v>
      </c>
      <c r="E43" s="262">
        <v>0</v>
      </c>
      <c r="F43" s="262">
        <v>1</v>
      </c>
      <c r="G43" s="262">
        <v>0</v>
      </c>
      <c r="H43" s="263">
        <v>0</v>
      </c>
      <c r="I43" s="261">
        <v>1</v>
      </c>
      <c r="J43" s="261">
        <v>0</v>
      </c>
      <c r="K43" s="262">
        <v>0</v>
      </c>
      <c r="L43" s="262">
        <v>1</v>
      </c>
      <c r="M43" s="262">
        <v>1</v>
      </c>
      <c r="N43" s="263">
        <v>0</v>
      </c>
      <c r="O43" s="261">
        <v>1</v>
      </c>
      <c r="P43" s="261">
        <v>0</v>
      </c>
      <c r="Q43" s="262">
        <v>0</v>
      </c>
      <c r="R43" s="263">
        <v>0</v>
      </c>
      <c r="S43" s="261">
        <v>0</v>
      </c>
      <c r="T43" s="253"/>
      <c r="U43" s="254">
        <v>1125</v>
      </c>
      <c r="V43" s="255">
        <v>0</v>
      </c>
      <c r="W43" s="255">
        <v>0</v>
      </c>
      <c r="X43" s="255">
        <v>189</v>
      </c>
      <c r="Y43" s="255">
        <v>0</v>
      </c>
      <c r="Z43" s="255">
        <v>0</v>
      </c>
      <c r="AA43" s="256">
        <v>1314</v>
      </c>
      <c r="AB43" s="254">
        <v>0</v>
      </c>
      <c r="AC43" s="255">
        <v>0</v>
      </c>
      <c r="AD43" s="255">
        <v>251</v>
      </c>
      <c r="AE43" s="255">
        <v>59</v>
      </c>
      <c r="AF43" s="255">
        <v>0</v>
      </c>
      <c r="AG43" s="256">
        <v>310</v>
      </c>
      <c r="AH43" s="255">
        <v>0</v>
      </c>
      <c r="AI43" s="255">
        <v>0</v>
      </c>
      <c r="AJ43" s="255">
        <v>0</v>
      </c>
      <c r="AK43" s="254">
        <v>0</v>
      </c>
      <c r="AL43" s="403"/>
      <c r="AM43" s="403"/>
      <c r="AN43" s="404"/>
      <c r="AO43" s="404"/>
      <c r="AP43" s="404"/>
    </row>
    <row r="44" spans="1:42" ht="13.9" customHeight="1">
      <c r="A44" s="239" t="s">
        <v>6</v>
      </c>
      <c r="B44" s="239" t="s">
        <v>53</v>
      </c>
      <c r="C44" s="241">
        <v>0.400662937642428</v>
      </c>
      <c r="D44" s="242">
        <v>0.28031189083820662</v>
      </c>
      <c r="E44" s="242">
        <v>0.22982321291314373</v>
      </c>
      <c r="F44" s="242">
        <v>0</v>
      </c>
      <c r="G44" s="242">
        <v>0.19909502262443438</v>
      </c>
      <c r="H44" s="243">
        <v>0.28333333333333333</v>
      </c>
      <c r="I44" s="241">
        <v>0.33574771562291061</v>
      </c>
      <c r="J44" s="241">
        <v>0</v>
      </c>
      <c r="K44" s="242">
        <v>0</v>
      </c>
      <c r="L44" s="242">
        <v>0</v>
      </c>
      <c r="M44" s="242">
        <v>0</v>
      </c>
      <c r="N44" s="243">
        <v>0</v>
      </c>
      <c r="O44" s="241">
        <v>0</v>
      </c>
      <c r="P44" s="241">
        <v>0</v>
      </c>
      <c r="Q44" s="242">
        <v>0</v>
      </c>
      <c r="R44" s="243">
        <v>0</v>
      </c>
      <c r="S44" s="241">
        <v>0</v>
      </c>
      <c r="T44" s="253"/>
      <c r="U44" s="245">
        <v>1934</v>
      </c>
      <c r="V44" s="246">
        <v>719</v>
      </c>
      <c r="W44" s="246">
        <v>299</v>
      </c>
      <c r="X44" s="246">
        <v>0</v>
      </c>
      <c r="Y44" s="246">
        <v>44</v>
      </c>
      <c r="Z44" s="246">
        <v>17</v>
      </c>
      <c r="AA44" s="247">
        <v>3013</v>
      </c>
      <c r="AB44" s="245">
        <v>0</v>
      </c>
      <c r="AC44" s="246">
        <v>0</v>
      </c>
      <c r="AD44" s="246">
        <v>0</v>
      </c>
      <c r="AE44" s="246">
        <v>0</v>
      </c>
      <c r="AF44" s="246">
        <v>0</v>
      </c>
      <c r="AG44" s="247">
        <v>0</v>
      </c>
      <c r="AH44" s="246">
        <v>0</v>
      </c>
      <c r="AI44" s="246">
        <v>0</v>
      </c>
      <c r="AJ44" s="246">
        <v>0</v>
      </c>
      <c r="AK44" s="245">
        <v>0</v>
      </c>
    </row>
    <row r="45" spans="1:42" ht="13.9" customHeight="1">
      <c r="A45" s="249"/>
      <c r="B45" s="239" t="s">
        <v>93</v>
      </c>
      <c r="C45" s="250">
        <v>0.2653822249844624</v>
      </c>
      <c r="D45" s="251">
        <v>0.30253411306042888</v>
      </c>
      <c r="E45" s="251">
        <v>0.25518831667947733</v>
      </c>
      <c r="F45" s="251">
        <v>0</v>
      </c>
      <c r="G45" s="251">
        <v>0.32126696832579188</v>
      </c>
      <c r="H45" s="252">
        <v>0.36666666666666664</v>
      </c>
      <c r="I45" s="250">
        <v>0.27657677735680858</v>
      </c>
      <c r="J45" s="250">
        <v>0</v>
      </c>
      <c r="K45" s="251">
        <v>0</v>
      </c>
      <c r="L45" s="251">
        <v>0</v>
      </c>
      <c r="M45" s="251">
        <v>0</v>
      </c>
      <c r="N45" s="252">
        <v>0</v>
      </c>
      <c r="O45" s="250">
        <v>0</v>
      </c>
      <c r="P45" s="250">
        <v>0</v>
      </c>
      <c r="Q45" s="251">
        <v>0</v>
      </c>
      <c r="R45" s="252">
        <v>0</v>
      </c>
      <c r="S45" s="250">
        <v>0</v>
      </c>
      <c r="T45" s="253"/>
      <c r="U45" s="254">
        <v>1281</v>
      </c>
      <c r="V45" s="255">
        <v>776</v>
      </c>
      <c r="W45" s="255">
        <v>332</v>
      </c>
      <c r="X45" s="255">
        <v>0</v>
      </c>
      <c r="Y45" s="255">
        <v>71</v>
      </c>
      <c r="Z45" s="255">
        <v>22</v>
      </c>
      <c r="AA45" s="256">
        <v>2482</v>
      </c>
      <c r="AB45" s="254">
        <v>0</v>
      </c>
      <c r="AC45" s="255">
        <v>0</v>
      </c>
      <c r="AD45" s="255">
        <v>0</v>
      </c>
      <c r="AE45" s="255">
        <v>0</v>
      </c>
      <c r="AF45" s="255">
        <v>0</v>
      </c>
      <c r="AG45" s="256">
        <v>0</v>
      </c>
      <c r="AH45" s="255">
        <v>0</v>
      </c>
      <c r="AI45" s="255">
        <v>0</v>
      </c>
      <c r="AJ45" s="255">
        <v>0</v>
      </c>
      <c r="AK45" s="254">
        <v>0</v>
      </c>
    </row>
    <row r="46" spans="1:42" ht="13.9" customHeight="1">
      <c r="A46" s="249"/>
      <c r="B46" s="239" t="s">
        <v>55</v>
      </c>
      <c r="C46" s="250">
        <v>0.25108763206960844</v>
      </c>
      <c r="D46" s="251">
        <v>0.23820662768031189</v>
      </c>
      <c r="E46" s="251">
        <v>0.33820138355111451</v>
      </c>
      <c r="F46" s="251">
        <v>0</v>
      </c>
      <c r="G46" s="251">
        <v>0.33936651583710409</v>
      </c>
      <c r="H46" s="252">
        <v>0.35</v>
      </c>
      <c r="I46" s="250">
        <v>0.26287051482059282</v>
      </c>
      <c r="J46" s="250">
        <v>0</v>
      </c>
      <c r="K46" s="251">
        <v>0</v>
      </c>
      <c r="L46" s="251">
        <v>0</v>
      </c>
      <c r="M46" s="251">
        <v>0</v>
      </c>
      <c r="N46" s="252">
        <v>0</v>
      </c>
      <c r="O46" s="250">
        <v>0</v>
      </c>
      <c r="P46" s="250">
        <v>0</v>
      </c>
      <c r="Q46" s="251">
        <v>0</v>
      </c>
      <c r="R46" s="252">
        <v>0</v>
      </c>
      <c r="S46" s="250">
        <v>0</v>
      </c>
      <c r="T46" s="253"/>
      <c r="U46" s="254">
        <v>1212</v>
      </c>
      <c r="V46" s="255">
        <v>611</v>
      </c>
      <c r="W46" s="255">
        <v>440</v>
      </c>
      <c r="X46" s="255">
        <v>0</v>
      </c>
      <c r="Y46" s="255">
        <v>75</v>
      </c>
      <c r="Z46" s="255">
        <v>21</v>
      </c>
      <c r="AA46" s="256">
        <v>2359</v>
      </c>
      <c r="AB46" s="254">
        <v>0</v>
      </c>
      <c r="AC46" s="255">
        <v>0</v>
      </c>
      <c r="AD46" s="255">
        <v>0</v>
      </c>
      <c r="AE46" s="255">
        <v>0</v>
      </c>
      <c r="AF46" s="255">
        <v>0</v>
      </c>
      <c r="AG46" s="256">
        <v>0</v>
      </c>
      <c r="AH46" s="255">
        <v>0</v>
      </c>
      <c r="AI46" s="255">
        <v>0</v>
      </c>
      <c r="AJ46" s="255">
        <v>0</v>
      </c>
      <c r="AK46" s="254">
        <v>0</v>
      </c>
    </row>
    <row r="47" spans="1:42" ht="13.9" customHeight="1">
      <c r="A47" s="249"/>
      <c r="B47" s="239" t="s">
        <v>78</v>
      </c>
      <c r="C47" s="250">
        <v>6.173606795110835E-2</v>
      </c>
      <c r="D47" s="251">
        <v>0.16569200779727095</v>
      </c>
      <c r="E47" s="251">
        <v>0.13835511145272866</v>
      </c>
      <c r="F47" s="251">
        <v>0</v>
      </c>
      <c r="G47" s="251">
        <v>0.14027149321266968</v>
      </c>
      <c r="H47" s="252">
        <v>0</v>
      </c>
      <c r="I47" s="250">
        <v>0.10407844885223981</v>
      </c>
      <c r="J47" s="250">
        <v>0</v>
      </c>
      <c r="K47" s="251">
        <v>0</v>
      </c>
      <c r="L47" s="251">
        <v>0</v>
      </c>
      <c r="M47" s="251">
        <v>0</v>
      </c>
      <c r="N47" s="252">
        <v>0</v>
      </c>
      <c r="O47" s="250">
        <v>0</v>
      </c>
      <c r="P47" s="250">
        <v>0</v>
      </c>
      <c r="Q47" s="251">
        <v>0</v>
      </c>
      <c r="R47" s="252">
        <v>0</v>
      </c>
      <c r="S47" s="250">
        <v>0</v>
      </c>
      <c r="T47" s="253"/>
      <c r="U47" s="254">
        <v>298</v>
      </c>
      <c r="V47" s="255">
        <v>425</v>
      </c>
      <c r="W47" s="255">
        <v>180</v>
      </c>
      <c r="X47" s="255">
        <v>0</v>
      </c>
      <c r="Y47" s="255">
        <v>31</v>
      </c>
      <c r="Z47" s="255">
        <v>0</v>
      </c>
      <c r="AA47" s="256">
        <v>934</v>
      </c>
      <c r="AB47" s="254">
        <v>0</v>
      </c>
      <c r="AC47" s="255">
        <v>0</v>
      </c>
      <c r="AD47" s="255">
        <v>0</v>
      </c>
      <c r="AE47" s="255">
        <v>0</v>
      </c>
      <c r="AF47" s="255">
        <v>0</v>
      </c>
      <c r="AG47" s="256">
        <v>0</v>
      </c>
      <c r="AH47" s="255">
        <v>0</v>
      </c>
      <c r="AI47" s="255">
        <v>0</v>
      </c>
      <c r="AJ47" s="255">
        <v>0</v>
      </c>
      <c r="AK47" s="254">
        <v>0</v>
      </c>
    </row>
    <row r="48" spans="1:42" ht="13.9" customHeight="1">
      <c r="A48" s="249"/>
      <c r="B48" s="239" t="s">
        <v>32</v>
      </c>
      <c r="C48" s="250">
        <v>2.113113735239279E-2</v>
      </c>
      <c r="D48" s="251">
        <v>1.3255360623781676E-2</v>
      </c>
      <c r="E48" s="251">
        <v>3.843197540353574E-2</v>
      </c>
      <c r="F48" s="251">
        <v>0</v>
      </c>
      <c r="G48" s="251">
        <v>0</v>
      </c>
      <c r="H48" s="252">
        <v>0</v>
      </c>
      <c r="I48" s="250">
        <v>2.0726543347448185E-2</v>
      </c>
      <c r="J48" s="250">
        <v>0</v>
      </c>
      <c r="K48" s="251">
        <v>0</v>
      </c>
      <c r="L48" s="251">
        <v>0</v>
      </c>
      <c r="M48" s="251">
        <v>0</v>
      </c>
      <c r="N48" s="252">
        <v>0</v>
      </c>
      <c r="O48" s="250">
        <v>0</v>
      </c>
      <c r="P48" s="250">
        <v>0</v>
      </c>
      <c r="Q48" s="251">
        <v>0</v>
      </c>
      <c r="R48" s="252">
        <v>0</v>
      </c>
      <c r="S48" s="250">
        <v>0</v>
      </c>
      <c r="T48" s="253"/>
      <c r="U48" s="254">
        <v>102</v>
      </c>
      <c r="V48" s="255">
        <v>34</v>
      </c>
      <c r="W48" s="255">
        <v>50</v>
      </c>
      <c r="X48" s="255">
        <v>0</v>
      </c>
      <c r="Y48" s="255">
        <v>0</v>
      </c>
      <c r="Z48" s="255">
        <v>0</v>
      </c>
      <c r="AA48" s="256">
        <v>186</v>
      </c>
      <c r="AB48" s="254">
        <v>0</v>
      </c>
      <c r="AC48" s="255">
        <v>0</v>
      </c>
      <c r="AD48" s="255">
        <v>0</v>
      </c>
      <c r="AE48" s="255">
        <v>0</v>
      </c>
      <c r="AF48" s="255">
        <v>0</v>
      </c>
      <c r="AG48" s="256">
        <v>0</v>
      </c>
      <c r="AH48" s="255">
        <v>0</v>
      </c>
      <c r="AI48" s="255">
        <v>0</v>
      </c>
      <c r="AJ48" s="255">
        <v>0</v>
      </c>
      <c r="AK48" s="254">
        <v>0</v>
      </c>
    </row>
    <row r="49" spans="1:39" ht="13.15" customHeight="1">
      <c r="A49" s="249"/>
      <c r="B49" s="239" t="s">
        <v>58</v>
      </c>
      <c r="C49" s="250">
        <v>0</v>
      </c>
      <c r="D49" s="251">
        <v>0</v>
      </c>
      <c r="E49" s="251">
        <v>0</v>
      </c>
      <c r="F49" s="251">
        <v>0</v>
      </c>
      <c r="G49" s="251">
        <v>0</v>
      </c>
      <c r="H49" s="252">
        <v>0</v>
      </c>
      <c r="I49" s="250">
        <v>0</v>
      </c>
      <c r="J49" s="250">
        <v>0</v>
      </c>
      <c r="K49" s="251">
        <v>1</v>
      </c>
      <c r="L49" s="251">
        <v>1</v>
      </c>
      <c r="M49" s="251">
        <v>1</v>
      </c>
      <c r="N49" s="252">
        <v>0</v>
      </c>
      <c r="O49" s="250">
        <v>1</v>
      </c>
      <c r="P49" s="250">
        <v>0</v>
      </c>
      <c r="Q49" s="251">
        <v>0</v>
      </c>
      <c r="R49" s="252">
        <v>0</v>
      </c>
      <c r="S49" s="250">
        <v>0</v>
      </c>
      <c r="T49" s="253"/>
      <c r="U49" s="254">
        <v>0</v>
      </c>
      <c r="V49" s="255">
        <v>0</v>
      </c>
      <c r="W49" s="255">
        <v>0</v>
      </c>
      <c r="X49" s="255">
        <v>0</v>
      </c>
      <c r="Y49" s="255">
        <v>0</v>
      </c>
      <c r="Z49" s="255">
        <v>0</v>
      </c>
      <c r="AA49" s="256">
        <v>0</v>
      </c>
      <c r="AB49" s="254">
        <v>0</v>
      </c>
      <c r="AC49" s="255">
        <v>3960</v>
      </c>
      <c r="AD49" s="255">
        <v>618</v>
      </c>
      <c r="AE49" s="255">
        <v>229</v>
      </c>
      <c r="AF49" s="255">
        <v>0</v>
      </c>
      <c r="AG49" s="256">
        <v>4807</v>
      </c>
      <c r="AH49" s="255">
        <v>0</v>
      </c>
      <c r="AI49" s="255">
        <v>0</v>
      </c>
      <c r="AJ49" s="255">
        <v>0</v>
      </c>
      <c r="AK49" s="254">
        <v>0</v>
      </c>
    </row>
    <row r="50" spans="1:39" s="406" customFormat="1">
      <c r="A50" s="259"/>
      <c r="B50" s="260" t="s">
        <v>59</v>
      </c>
      <c r="C50" s="261">
        <v>1</v>
      </c>
      <c r="D50" s="262">
        <v>1</v>
      </c>
      <c r="E50" s="262">
        <v>1</v>
      </c>
      <c r="F50" s="262">
        <v>0</v>
      </c>
      <c r="G50" s="262">
        <v>1</v>
      </c>
      <c r="H50" s="263">
        <v>1</v>
      </c>
      <c r="I50" s="261">
        <v>1</v>
      </c>
      <c r="J50" s="261">
        <v>0</v>
      </c>
      <c r="K50" s="262">
        <v>1</v>
      </c>
      <c r="L50" s="262">
        <v>1</v>
      </c>
      <c r="M50" s="262">
        <v>1</v>
      </c>
      <c r="N50" s="263">
        <v>0</v>
      </c>
      <c r="O50" s="261">
        <v>1</v>
      </c>
      <c r="P50" s="261">
        <v>0</v>
      </c>
      <c r="Q50" s="262">
        <v>0</v>
      </c>
      <c r="R50" s="263">
        <v>0</v>
      </c>
      <c r="S50" s="261">
        <v>0</v>
      </c>
      <c r="T50" s="264"/>
      <c r="U50" s="265">
        <v>4827</v>
      </c>
      <c r="V50" s="266">
        <v>2565</v>
      </c>
      <c r="W50" s="266">
        <v>1301</v>
      </c>
      <c r="X50" s="266">
        <v>0</v>
      </c>
      <c r="Y50" s="266">
        <v>221</v>
      </c>
      <c r="Z50" s="266">
        <v>60</v>
      </c>
      <c r="AA50" s="267">
        <v>8974</v>
      </c>
      <c r="AB50" s="265">
        <v>0</v>
      </c>
      <c r="AC50" s="266">
        <v>3960</v>
      </c>
      <c r="AD50" s="266">
        <v>618</v>
      </c>
      <c r="AE50" s="266">
        <v>229</v>
      </c>
      <c r="AF50" s="266">
        <v>0</v>
      </c>
      <c r="AG50" s="267">
        <v>4807</v>
      </c>
      <c r="AH50" s="266">
        <v>0</v>
      </c>
      <c r="AI50" s="266">
        <v>0</v>
      </c>
      <c r="AJ50" s="266">
        <v>0</v>
      </c>
      <c r="AK50" s="265">
        <v>0</v>
      </c>
      <c r="AL50" s="405"/>
      <c r="AM50" s="405"/>
    </row>
    <row r="51" spans="1:39" ht="13.9" customHeight="1">
      <c r="A51" s="239" t="s">
        <v>7</v>
      </c>
      <c r="B51" s="239" t="s">
        <v>53</v>
      </c>
      <c r="C51" s="241">
        <v>0.34027777777777779</v>
      </c>
      <c r="D51" s="242">
        <v>0.44832041343669249</v>
      </c>
      <c r="E51" s="242">
        <v>0.24050632911392406</v>
      </c>
      <c r="F51" s="242">
        <v>0.27826086956521739</v>
      </c>
      <c r="G51" s="242">
        <v>0.24738675958188153</v>
      </c>
      <c r="H51" s="243">
        <v>0.19130434782608696</v>
      </c>
      <c r="I51" s="241">
        <v>0.31209224700348959</v>
      </c>
      <c r="J51" s="241">
        <v>0.16143497757847533</v>
      </c>
      <c r="K51" s="242">
        <v>0.10819672131147541</v>
      </c>
      <c r="L51" s="242">
        <v>0.15757575757575756</v>
      </c>
      <c r="M51" s="242">
        <v>0.18965517241379309</v>
      </c>
      <c r="N51" s="243">
        <v>0</v>
      </c>
      <c r="O51" s="241">
        <v>0.1550580431177446</v>
      </c>
      <c r="P51" s="241">
        <v>0</v>
      </c>
      <c r="Q51" s="242">
        <v>0</v>
      </c>
      <c r="R51" s="243">
        <v>0</v>
      </c>
      <c r="S51" s="241">
        <v>0</v>
      </c>
      <c r="T51" s="253"/>
      <c r="U51" s="245">
        <v>882</v>
      </c>
      <c r="V51" s="246">
        <v>347</v>
      </c>
      <c r="W51" s="246">
        <v>209</v>
      </c>
      <c r="X51" s="246">
        <v>384</v>
      </c>
      <c r="Y51" s="246">
        <v>213</v>
      </c>
      <c r="Z51" s="246">
        <v>22</v>
      </c>
      <c r="AA51" s="247">
        <v>2057</v>
      </c>
      <c r="AB51" s="245">
        <v>36</v>
      </c>
      <c r="AC51" s="246">
        <v>33</v>
      </c>
      <c r="AD51" s="246">
        <v>52</v>
      </c>
      <c r="AE51" s="246">
        <v>66</v>
      </c>
      <c r="AF51" s="246">
        <v>0</v>
      </c>
      <c r="AG51" s="247">
        <v>187</v>
      </c>
      <c r="AH51" s="246">
        <v>0</v>
      </c>
      <c r="AI51" s="246">
        <v>0</v>
      </c>
      <c r="AJ51" s="246">
        <v>0</v>
      </c>
      <c r="AK51" s="245">
        <v>0</v>
      </c>
    </row>
    <row r="52" spans="1:39" ht="13.9" customHeight="1">
      <c r="A52" s="249"/>
      <c r="B52" s="239" t="s">
        <v>93</v>
      </c>
      <c r="C52" s="250">
        <v>0.30478395061728397</v>
      </c>
      <c r="D52" s="251">
        <v>0.29715762273901808</v>
      </c>
      <c r="E52" s="251">
        <v>0.25776754890678943</v>
      </c>
      <c r="F52" s="251">
        <v>0.28333333333333333</v>
      </c>
      <c r="G52" s="251">
        <v>0.32984901277584205</v>
      </c>
      <c r="H52" s="252">
        <v>0.20869565217391303</v>
      </c>
      <c r="I52" s="250">
        <v>0.29479593384918829</v>
      </c>
      <c r="J52" s="250">
        <v>0.30044843049327352</v>
      </c>
      <c r="K52" s="251">
        <v>0.43934426229508194</v>
      </c>
      <c r="L52" s="251">
        <v>0.24848484848484848</v>
      </c>
      <c r="M52" s="251">
        <v>0.29597701149425287</v>
      </c>
      <c r="N52" s="252">
        <v>0</v>
      </c>
      <c r="O52" s="250">
        <v>0.32006633499170811</v>
      </c>
      <c r="P52" s="250">
        <v>0</v>
      </c>
      <c r="Q52" s="251">
        <v>0</v>
      </c>
      <c r="R52" s="252">
        <v>0</v>
      </c>
      <c r="S52" s="250">
        <v>0</v>
      </c>
      <c r="T52" s="253"/>
      <c r="U52" s="254">
        <v>790</v>
      </c>
      <c r="V52" s="255">
        <v>230</v>
      </c>
      <c r="W52" s="255">
        <v>224</v>
      </c>
      <c r="X52" s="255">
        <v>391</v>
      </c>
      <c r="Y52" s="255">
        <v>284</v>
      </c>
      <c r="Z52" s="255">
        <v>24</v>
      </c>
      <c r="AA52" s="256">
        <v>1943</v>
      </c>
      <c r="AB52" s="254">
        <v>67</v>
      </c>
      <c r="AC52" s="255">
        <v>134</v>
      </c>
      <c r="AD52" s="255">
        <v>82</v>
      </c>
      <c r="AE52" s="255">
        <v>103</v>
      </c>
      <c r="AF52" s="255">
        <v>0</v>
      </c>
      <c r="AG52" s="256">
        <v>386</v>
      </c>
      <c r="AH52" s="255">
        <v>0</v>
      </c>
      <c r="AI52" s="255">
        <v>0</v>
      </c>
      <c r="AJ52" s="255">
        <v>0</v>
      </c>
      <c r="AK52" s="254">
        <v>0</v>
      </c>
    </row>
    <row r="53" spans="1:39" ht="13.9" customHeight="1">
      <c r="A53" s="249"/>
      <c r="B53" s="239" t="s">
        <v>55</v>
      </c>
      <c r="C53" s="250">
        <v>0.27584876543209874</v>
      </c>
      <c r="D53" s="251">
        <v>0.23514211886304909</v>
      </c>
      <c r="E53" s="251">
        <v>0.4142692750287687</v>
      </c>
      <c r="F53" s="251">
        <v>0.35724637681159421</v>
      </c>
      <c r="G53" s="251">
        <v>0.37282229965156793</v>
      </c>
      <c r="H53" s="252">
        <v>0.5130434782608696</v>
      </c>
      <c r="I53" s="250">
        <v>0.32316795630405099</v>
      </c>
      <c r="J53" s="250">
        <v>0.44394618834080718</v>
      </c>
      <c r="K53" s="251">
        <v>0.25573770491803277</v>
      </c>
      <c r="L53" s="251">
        <v>0.45151515151515154</v>
      </c>
      <c r="M53" s="251">
        <v>0.33908045977011492</v>
      </c>
      <c r="N53" s="252">
        <v>0</v>
      </c>
      <c r="O53" s="250">
        <v>0.36815920398009949</v>
      </c>
      <c r="P53" s="250">
        <v>0</v>
      </c>
      <c r="Q53" s="251">
        <v>0</v>
      </c>
      <c r="R53" s="252">
        <v>0</v>
      </c>
      <c r="S53" s="250">
        <v>0</v>
      </c>
      <c r="T53" s="253"/>
      <c r="U53" s="254">
        <v>715</v>
      </c>
      <c r="V53" s="255">
        <v>182</v>
      </c>
      <c r="W53" s="255">
        <v>360</v>
      </c>
      <c r="X53" s="255">
        <v>493</v>
      </c>
      <c r="Y53" s="255">
        <v>321</v>
      </c>
      <c r="Z53" s="255">
        <v>59</v>
      </c>
      <c r="AA53" s="256">
        <v>2130</v>
      </c>
      <c r="AB53" s="254">
        <v>99</v>
      </c>
      <c r="AC53" s="255">
        <v>78</v>
      </c>
      <c r="AD53" s="255">
        <v>149</v>
      </c>
      <c r="AE53" s="255">
        <v>118</v>
      </c>
      <c r="AF53" s="255">
        <v>0</v>
      </c>
      <c r="AG53" s="256">
        <v>444</v>
      </c>
      <c r="AH53" s="255">
        <v>0</v>
      </c>
      <c r="AI53" s="255">
        <v>0</v>
      </c>
      <c r="AJ53" s="255">
        <v>0</v>
      </c>
      <c r="AK53" s="254">
        <v>0</v>
      </c>
    </row>
    <row r="54" spans="1:39" ht="13.9" customHeight="1">
      <c r="A54" s="249"/>
      <c r="B54" s="239" t="s">
        <v>78</v>
      </c>
      <c r="C54" s="250">
        <v>4.5524691358024692E-2</v>
      </c>
      <c r="D54" s="251">
        <v>1.5503875968992248E-2</v>
      </c>
      <c r="E54" s="251">
        <v>8.6306098964326811E-2</v>
      </c>
      <c r="F54" s="251">
        <v>8.1159420289855067E-2</v>
      </c>
      <c r="G54" s="251">
        <v>4.9941927990708478E-2</v>
      </c>
      <c r="H54" s="252">
        <v>8.6956521739130432E-2</v>
      </c>
      <c r="I54" s="250">
        <v>5.6137156728872706E-2</v>
      </c>
      <c r="J54" s="250">
        <v>9.417040358744394E-2</v>
      </c>
      <c r="K54" s="251">
        <v>0.19672131147540983</v>
      </c>
      <c r="L54" s="251">
        <v>0.14242424242424243</v>
      </c>
      <c r="M54" s="251">
        <v>0.17528735632183909</v>
      </c>
      <c r="N54" s="252">
        <v>0</v>
      </c>
      <c r="O54" s="250">
        <v>0.15671641791044777</v>
      </c>
      <c r="P54" s="250">
        <v>0</v>
      </c>
      <c r="Q54" s="251">
        <v>0</v>
      </c>
      <c r="R54" s="252">
        <v>0</v>
      </c>
      <c r="S54" s="250">
        <v>0</v>
      </c>
      <c r="T54" s="253"/>
      <c r="U54" s="254">
        <v>118</v>
      </c>
      <c r="V54" s="255">
        <v>12</v>
      </c>
      <c r="W54" s="255">
        <v>75</v>
      </c>
      <c r="X54" s="255">
        <v>112</v>
      </c>
      <c r="Y54" s="255">
        <v>43</v>
      </c>
      <c r="Z54" s="255">
        <v>10</v>
      </c>
      <c r="AA54" s="256">
        <v>370</v>
      </c>
      <c r="AB54" s="254">
        <v>21</v>
      </c>
      <c r="AC54" s="255">
        <v>60</v>
      </c>
      <c r="AD54" s="255">
        <v>47</v>
      </c>
      <c r="AE54" s="255">
        <v>61</v>
      </c>
      <c r="AF54" s="255">
        <v>0</v>
      </c>
      <c r="AG54" s="256">
        <v>189</v>
      </c>
      <c r="AH54" s="255">
        <v>0</v>
      </c>
      <c r="AI54" s="255">
        <v>0</v>
      </c>
      <c r="AJ54" s="255">
        <v>0</v>
      </c>
      <c r="AK54" s="254">
        <v>0</v>
      </c>
    </row>
    <row r="55" spans="1:39" ht="13.9" customHeight="1">
      <c r="A55" s="249"/>
      <c r="B55" s="239" t="s">
        <v>32</v>
      </c>
      <c r="C55" s="250">
        <v>3.3564814814814818E-2</v>
      </c>
      <c r="D55" s="273">
        <v>3.875968992248062E-3</v>
      </c>
      <c r="E55" s="273">
        <v>1.1507479861910242E-3</v>
      </c>
      <c r="F55" s="251">
        <v>0</v>
      </c>
      <c r="G55" s="251">
        <v>0</v>
      </c>
      <c r="H55" s="252">
        <v>0</v>
      </c>
      <c r="I55" s="250">
        <v>1.3806706114398421E-2</v>
      </c>
      <c r="J55" s="250">
        <v>0</v>
      </c>
      <c r="K55" s="251">
        <v>0</v>
      </c>
      <c r="L55" s="251">
        <v>0</v>
      </c>
      <c r="M55" s="251">
        <v>0</v>
      </c>
      <c r="N55" s="252">
        <v>0</v>
      </c>
      <c r="O55" s="250">
        <v>0</v>
      </c>
      <c r="P55" s="250">
        <v>0</v>
      </c>
      <c r="Q55" s="251">
        <v>0</v>
      </c>
      <c r="R55" s="252">
        <v>0</v>
      </c>
      <c r="S55" s="250">
        <v>0</v>
      </c>
      <c r="T55" s="253"/>
      <c r="U55" s="254">
        <v>87</v>
      </c>
      <c r="V55" s="255">
        <v>3</v>
      </c>
      <c r="W55" s="255">
        <v>1</v>
      </c>
      <c r="X55" s="255">
        <v>0</v>
      </c>
      <c r="Y55" s="255">
        <v>0</v>
      </c>
      <c r="Z55" s="255">
        <v>0</v>
      </c>
      <c r="AA55" s="256">
        <v>91</v>
      </c>
      <c r="AB55" s="254">
        <v>0</v>
      </c>
      <c r="AC55" s="255">
        <v>0</v>
      </c>
      <c r="AD55" s="255">
        <v>0</v>
      </c>
      <c r="AE55" s="255">
        <v>0</v>
      </c>
      <c r="AF55" s="255">
        <v>0</v>
      </c>
      <c r="AG55" s="256">
        <v>0</v>
      </c>
      <c r="AH55" s="255">
        <v>0</v>
      </c>
      <c r="AI55" s="255">
        <v>0</v>
      </c>
      <c r="AJ55" s="255">
        <v>0</v>
      </c>
      <c r="AK55" s="254">
        <v>0</v>
      </c>
    </row>
    <row r="56" spans="1:39" ht="13.9" customHeight="1">
      <c r="A56" s="249"/>
      <c r="B56" s="239" t="s">
        <v>58</v>
      </c>
      <c r="C56" s="250">
        <v>0</v>
      </c>
      <c r="D56" s="251">
        <v>0</v>
      </c>
      <c r="E56" s="251">
        <v>0</v>
      </c>
      <c r="F56" s="251">
        <v>0</v>
      </c>
      <c r="G56" s="251">
        <v>0</v>
      </c>
      <c r="H56" s="252">
        <v>0</v>
      </c>
      <c r="I56" s="250">
        <v>0</v>
      </c>
      <c r="J56" s="250">
        <v>0</v>
      </c>
      <c r="K56" s="251">
        <v>0</v>
      </c>
      <c r="L56" s="251">
        <v>0</v>
      </c>
      <c r="M56" s="251">
        <v>0</v>
      </c>
      <c r="N56" s="252">
        <v>0</v>
      </c>
      <c r="O56" s="250">
        <v>0</v>
      </c>
      <c r="P56" s="250">
        <v>1</v>
      </c>
      <c r="Q56" s="251">
        <v>1</v>
      </c>
      <c r="R56" s="252">
        <v>0</v>
      </c>
      <c r="S56" s="250">
        <v>1</v>
      </c>
      <c r="T56" s="253"/>
      <c r="U56" s="254">
        <v>0</v>
      </c>
      <c r="V56" s="255">
        <v>0</v>
      </c>
      <c r="W56" s="255">
        <v>0</v>
      </c>
      <c r="X56" s="255">
        <v>0</v>
      </c>
      <c r="Y56" s="255">
        <v>0</v>
      </c>
      <c r="Z56" s="255">
        <v>0</v>
      </c>
      <c r="AA56" s="256">
        <v>0</v>
      </c>
      <c r="AB56" s="254">
        <v>0</v>
      </c>
      <c r="AC56" s="255">
        <v>0</v>
      </c>
      <c r="AD56" s="255">
        <v>0</v>
      </c>
      <c r="AE56" s="255">
        <v>0</v>
      </c>
      <c r="AF56" s="255">
        <v>0</v>
      </c>
      <c r="AG56" s="256">
        <v>0</v>
      </c>
      <c r="AH56" s="255">
        <v>1967</v>
      </c>
      <c r="AI56" s="255">
        <v>93</v>
      </c>
      <c r="AJ56" s="255">
        <v>0</v>
      </c>
      <c r="AK56" s="254">
        <v>2060</v>
      </c>
    </row>
    <row r="57" spans="1:39" s="406" customFormat="1" ht="24" customHeight="1">
      <c r="A57" s="259"/>
      <c r="B57" s="260" t="s">
        <v>59</v>
      </c>
      <c r="C57" s="261">
        <v>1</v>
      </c>
      <c r="D57" s="262">
        <v>1</v>
      </c>
      <c r="E57" s="262">
        <v>1</v>
      </c>
      <c r="F57" s="262">
        <v>1</v>
      </c>
      <c r="G57" s="262">
        <v>1</v>
      </c>
      <c r="H57" s="263">
        <v>1</v>
      </c>
      <c r="I57" s="261">
        <v>1</v>
      </c>
      <c r="J57" s="261">
        <v>1</v>
      </c>
      <c r="K57" s="262">
        <v>1</v>
      </c>
      <c r="L57" s="262">
        <v>1</v>
      </c>
      <c r="M57" s="262">
        <v>1</v>
      </c>
      <c r="N57" s="263">
        <v>0</v>
      </c>
      <c r="O57" s="261">
        <v>1</v>
      </c>
      <c r="P57" s="261">
        <v>1</v>
      </c>
      <c r="Q57" s="262">
        <v>1</v>
      </c>
      <c r="R57" s="263">
        <v>0</v>
      </c>
      <c r="S57" s="261">
        <v>1</v>
      </c>
      <c r="T57" s="264"/>
      <c r="U57" s="265">
        <v>2592</v>
      </c>
      <c r="V57" s="266">
        <v>774</v>
      </c>
      <c r="W57" s="266">
        <v>869</v>
      </c>
      <c r="X57" s="266">
        <v>1380</v>
      </c>
      <c r="Y57" s="266">
        <v>861</v>
      </c>
      <c r="Z57" s="266">
        <v>115</v>
      </c>
      <c r="AA57" s="267">
        <v>6591</v>
      </c>
      <c r="AB57" s="265">
        <v>223</v>
      </c>
      <c r="AC57" s="266">
        <v>305</v>
      </c>
      <c r="AD57" s="266">
        <v>330</v>
      </c>
      <c r="AE57" s="266">
        <v>348</v>
      </c>
      <c r="AF57" s="266">
        <v>0</v>
      </c>
      <c r="AG57" s="267">
        <v>1206</v>
      </c>
      <c r="AH57" s="266">
        <v>1967</v>
      </c>
      <c r="AI57" s="266">
        <v>93</v>
      </c>
      <c r="AJ57" s="266">
        <v>0</v>
      </c>
      <c r="AK57" s="265">
        <v>2060</v>
      </c>
      <c r="AL57" s="405"/>
      <c r="AM57" s="405"/>
    </row>
    <row r="58" spans="1:39" ht="13.9" customHeight="1">
      <c r="A58" s="239" t="s">
        <v>8</v>
      </c>
      <c r="B58" s="239" t="s">
        <v>53</v>
      </c>
      <c r="C58" s="241">
        <v>0.3577371048252912</v>
      </c>
      <c r="D58" s="242">
        <v>0.42286501377410468</v>
      </c>
      <c r="E58" s="242">
        <v>0.24920735573874445</v>
      </c>
      <c r="F58" s="242">
        <v>0.20095124851367419</v>
      </c>
      <c r="G58" s="242">
        <v>0</v>
      </c>
      <c r="H58" s="243">
        <v>0.22058823529411764</v>
      </c>
      <c r="I58" s="241">
        <v>0.29651941097724233</v>
      </c>
      <c r="J58" s="241">
        <v>0</v>
      </c>
      <c r="K58" s="242">
        <v>0.27419354838709675</v>
      </c>
      <c r="L58" s="242">
        <v>0.25846153846153846</v>
      </c>
      <c r="M58" s="242">
        <v>0.33088235294117646</v>
      </c>
      <c r="N58" s="243">
        <v>0</v>
      </c>
      <c r="O58" s="241">
        <v>0.29847494553376908</v>
      </c>
      <c r="P58" s="241">
        <v>0.10884353741496598</v>
      </c>
      <c r="Q58" s="242">
        <v>0.1206896551724138</v>
      </c>
      <c r="R58" s="243">
        <v>0</v>
      </c>
      <c r="S58" s="241">
        <v>0.11526479750778816</v>
      </c>
      <c r="T58" s="253"/>
      <c r="U58" s="245">
        <v>430</v>
      </c>
      <c r="V58" s="246">
        <v>307</v>
      </c>
      <c r="W58" s="246">
        <v>393</v>
      </c>
      <c r="X58" s="246">
        <v>169</v>
      </c>
      <c r="Y58" s="246">
        <v>0</v>
      </c>
      <c r="Z58" s="246">
        <v>30</v>
      </c>
      <c r="AA58" s="247">
        <v>1329</v>
      </c>
      <c r="AB58" s="245">
        <v>0</v>
      </c>
      <c r="AC58" s="246">
        <v>102</v>
      </c>
      <c r="AD58" s="246">
        <v>84</v>
      </c>
      <c r="AE58" s="246">
        <v>225</v>
      </c>
      <c r="AF58" s="246">
        <v>0</v>
      </c>
      <c r="AG58" s="247">
        <v>411</v>
      </c>
      <c r="AH58" s="246">
        <v>32</v>
      </c>
      <c r="AI58" s="246">
        <v>42</v>
      </c>
      <c r="AJ58" s="246">
        <v>0</v>
      </c>
      <c r="AK58" s="245">
        <v>74</v>
      </c>
    </row>
    <row r="59" spans="1:39" ht="13.9" customHeight="1">
      <c r="A59" s="249"/>
      <c r="B59" s="239" t="s">
        <v>93</v>
      </c>
      <c r="C59" s="250">
        <v>0.35108153078202997</v>
      </c>
      <c r="D59" s="251">
        <v>0.30440771349862261</v>
      </c>
      <c r="E59" s="251">
        <v>0.25237793278376663</v>
      </c>
      <c r="F59" s="251">
        <v>0.25445897740784779</v>
      </c>
      <c r="G59" s="251">
        <v>0</v>
      </c>
      <c r="H59" s="252">
        <v>0.29411764705882354</v>
      </c>
      <c r="I59" s="250">
        <v>0.28893351182507809</v>
      </c>
      <c r="J59" s="250">
        <v>0</v>
      </c>
      <c r="K59" s="251">
        <v>0.43548387096774194</v>
      </c>
      <c r="L59" s="251">
        <v>0.38153846153846155</v>
      </c>
      <c r="M59" s="251">
        <v>0.29558823529411765</v>
      </c>
      <c r="N59" s="252">
        <v>0</v>
      </c>
      <c r="O59" s="250">
        <v>0.35366739288307913</v>
      </c>
      <c r="P59" s="250">
        <v>0.30612244897959184</v>
      </c>
      <c r="Q59" s="251">
        <v>0.22126436781609196</v>
      </c>
      <c r="R59" s="252">
        <v>0</v>
      </c>
      <c r="S59" s="250">
        <v>0.26012461059190028</v>
      </c>
      <c r="T59" s="253"/>
      <c r="U59" s="254">
        <v>422</v>
      </c>
      <c r="V59" s="255">
        <v>221</v>
      </c>
      <c r="W59" s="255">
        <v>398</v>
      </c>
      <c r="X59" s="255">
        <v>214</v>
      </c>
      <c r="Y59" s="255">
        <v>0</v>
      </c>
      <c r="Z59" s="255">
        <v>40</v>
      </c>
      <c r="AA59" s="256">
        <v>1295</v>
      </c>
      <c r="AB59" s="254">
        <v>0</v>
      </c>
      <c r="AC59" s="255">
        <v>162</v>
      </c>
      <c r="AD59" s="255">
        <v>124</v>
      </c>
      <c r="AE59" s="255">
        <v>201</v>
      </c>
      <c r="AF59" s="255">
        <v>0</v>
      </c>
      <c r="AG59" s="256">
        <v>487</v>
      </c>
      <c r="AH59" s="255">
        <v>90</v>
      </c>
      <c r="AI59" s="255">
        <v>77</v>
      </c>
      <c r="AJ59" s="255">
        <v>0</v>
      </c>
      <c r="AK59" s="254">
        <v>167</v>
      </c>
    </row>
    <row r="60" spans="1:39" ht="13.9" customHeight="1">
      <c r="A60" s="249"/>
      <c r="B60" s="239" t="s">
        <v>55</v>
      </c>
      <c r="C60" s="250">
        <v>0.23128119800332778</v>
      </c>
      <c r="D60" s="251">
        <v>0.22451790633608815</v>
      </c>
      <c r="E60" s="251">
        <v>0.34432466708941029</v>
      </c>
      <c r="F60" s="251">
        <v>0.27705112960760997</v>
      </c>
      <c r="G60" s="251">
        <v>0</v>
      </c>
      <c r="H60" s="252">
        <v>0.33823529411764708</v>
      </c>
      <c r="I60" s="250">
        <v>0.2817938420348059</v>
      </c>
      <c r="J60" s="250">
        <v>0</v>
      </c>
      <c r="K60" s="251">
        <v>0.13978494623655913</v>
      </c>
      <c r="L60" s="251">
        <v>0.16923076923076924</v>
      </c>
      <c r="M60" s="251">
        <v>0.1676470588235294</v>
      </c>
      <c r="N60" s="252">
        <v>0</v>
      </c>
      <c r="O60" s="250">
        <v>0.16049382716049382</v>
      </c>
      <c r="P60" s="250">
        <v>0.24149659863945577</v>
      </c>
      <c r="Q60" s="251">
        <v>0.2442528735632184</v>
      </c>
      <c r="R60" s="252">
        <v>0</v>
      </c>
      <c r="S60" s="250">
        <v>0.24299065420560748</v>
      </c>
      <c r="T60" s="253"/>
      <c r="U60" s="254">
        <v>278</v>
      </c>
      <c r="V60" s="255">
        <v>163</v>
      </c>
      <c r="W60" s="255">
        <v>543</v>
      </c>
      <c r="X60" s="255">
        <v>233</v>
      </c>
      <c r="Y60" s="255">
        <v>0</v>
      </c>
      <c r="Z60" s="255">
        <v>46</v>
      </c>
      <c r="AA60" s="256">
        <v>1263</v>
      </c>
      <c r="AB60" s="254">
        <v>0</v>
      </c>
      <c r="AC60" s="255">
        <v>52</v>
      </c>
      <c r="AD60" s="255">
        <v>55</v>
      </c>
      <c r="AE60" s="255">
        <v>114</v>
      </c>
      <c r="AF60" s="255">
        <v>0</v>
      </c>
      <c r="AG60" s="256">
        <v>221</v>
      </c>
      <c r="AH60" s="255">
        <v>71</v>
      </c>
      <c r="AI60" s="255">
        <v>85</v>
      </c>
      <c r="AJ60" s="255">
        <v>0</v>
      </c>
      <c r="AK60" s="254">
        <v>156</v>
      </c>
    </row>
    <row r="61" spans="1:39" ht="13.9" customHeight="1">
      <c r="A61" s="249"/>
      <c r="B61" s="239" t="s">
        <v>78</v>
      </c>
      <c r="C61" s="272">
        <v>1.6638935108153079E-3</v>
      </c>
      <c r="D61" s="251">
        <v>4.8209366391184574E-2</v>
      </c>
      <c r="E61" s="251">
        <v>9.7019657577679136E-2</v>
      </c>
      <c r="F61" s="251">
        <v>8.0856123662306781E-2</v>
      </c>
      <c r="G61" s="251">
        <v>0</v>
      </c>
      <c r="H61" s="252">
        <v>6.6176470588235295E-2</v>
      </c>
      <c r="I61" s="250">
        <v>5.9571619812583666E-2</v>
      </c>
      <c r="J61" s="250">
        <v>0</v>
      </c>
      <c r="K61" s="251">
        <v>0.15053763440860216</v>
      </c>
      <c r="L61" s="251">
        <v>0.19076923076923077</v>
      </c>
      <c r="M61" s="251">
        <v>0.20588235294117646</v>
      </c>
      <c r="N61" s="252">
        <v>0</v>
      </c>
      <c r="O61" s="250">
        <v>0.18736383442265794</v>
      </c>
      <c r="P61" s="250">
        <v>0.34353741496598639</v>
      </c>
      <c r="Q61" s="251">
        <v>0.41379310344827586</v>
      </c>
      <c r="R61" s="252">
        <v>0</v>
      </c>
      <c r="S61" s="250">
        <v>0.38161993769470404</v>
      </c>
      <c r="T61" s="253"/>
      <c r="U61" s="254">
        <v>2</v>
      </c>
      <c r="V61" s="255">
        <v>35</v>
      </c>
      <c r="W61" s="255">
        <v>153</v>
      </c>
      <c r="X61" s="255">
        <v>68</v>
      </c>
      <c r="Y61" s="255">
        <v>0</v>
      </c>
      <c r="Z61" s="255">
        <v>9</v>
      </c>
      <c r="AA61" s="256">
        <v>267</v>
      </c>
      <c r="AB61" s="254">
        <v>0</v>
      </c>
      <c r="AC61" s="255">
        <v>56</v>
      </c>
      <c r="AD61" s="255">
        <v>62</v>
      </c>
      <c r="AE61" s="255">
        <v>140</v>
      </c>
      <c r="AF61" s="255">
        <v>0</v>
      </c>
      <c r="AG61" s="256">
        <v>258</v>
      </c>
      <c r="AH61" s="255">
        <v>101</v>
      </c>
      <c r="AI61" s="255">
        <v>144</v>
      </c>
      <c r="AJ61" s="255">
        <v>0</v>
      </c>
      <c r="AK61" s="254">
        <v>245</v>
      </c>
    </row>
    <row r="62" spans="1:39" ht="13.9" customHeight="1">
      <c r="A62" s="249"/>
      <c r="B62" s="239" t="s">
        <v>32</v>
      </c>
      <c r="C62" s="250">
        <v>5.8236272878535771E-2</v>
      </c>
      <c r="D62" s="251">
        <v>0</v>
      </c>
      <c r="E62" s="251">
        <v>5.7070386810399491E-2</v>
      </c>
      <c r="F62" s="251">
        <v>0.18668252080856124</v>
      </c>
      <c r="G62" s="251">
        <v>0</v>
      </c>
      <c r="H62" s="252">
        <v>8.0882352941176475E-2</v>
      </c>
      <c r="I62" s="250">
        <v>7.3181615350290052E-2</v>
      </c>
      <c r="J62" s="250">
        <v>0</v>
      </c>
      <c r="K62" s="251">
        <v>0</v>
      </c>
      <c r="L62" s="251">
        <v>0</v>
      </c>
      <c r="M62" s="251">
        <v>0</v>
      </c>
      <c r="N62" s="252">
        <v>0</v>
      </c>
      <c r="O62" s="250">
        <v>0</v>
      </c>
      <c r="P62" s="250">
        <v>0</v>
      </c>
      <c r="Q62" s="251">
        <v>0</v>
      </c>
      <c r="R62" s="252">
        <v>0</v>
      </c>
      <c r="S62" s="250">
        <v>0</v>
      </c>
      <c r="T62" s="253"/>
      <c r="U62" s="254">
        <v>70</v>
      </c>
      <c r="V62" s="255">
        <v>0</v>
      </c>
      <c r="W62" s="255">
        <v>90</v>
      </c>
      <c r="X62" s="255">
        <v>157</v>
      </c>
      <c r="Y62" s="255">
        <v>0</v>
      </c>
      <c r="Z62" s="255">
        <v>11</v>
      </c>
      <c r="AA62" s="256">
        <v>328</v>
      </c>
      <c r="AB62" s="254">
        <v>0</v>
      </c>
      <c r="AC62" s="255">
        <v>0</v>
      </c>
      <c r="AD62" s="255">
        <v>0</v>
      </c>
      <c r="AE62" s="255">
        <v>0</v>
      </c>
      <c r="AF62" s="255">
        <v>0</v>
      </c>
      <c r="AG62" s="256">
        <v>0</v>
      </c>
      <c r="AH62" s="255">
        <v>0</v>
      </c>
      <c r="AI62" s="255">
        <v>0</v>
      </c>
      <c r="AJ62" s="255">
        <v>0</v>
      </c>
      <c r="AK62" s="254">
        <v>0</v>
      </c>
    </row>
    <row r="63" spans="1:39" ht="13.9" customHeight="1">
      <c r="A63" s="249"/>
      <c r="B63" s="239" t="s">
        <v>58</v>
      </c>
      <c r="C63" s="250">
        <v>0</v>
      </c>
      <c r="D63" s="251">
        <v>0</v>
      </c>
      <c r="E63" s="251">
        <v>0</v>
      </c>
      <c r="F63" s="251">
        <v>0</v>
      </c>
      <c r="G63" s="251">
        <v>0</v>
      </c>
      <c r="H63" s="252">
        <v>0</v>
      </c>
      <c r="I63" s="250">
        <v>0</v>
      </c>
      <c r="J63" s="250">
        <v>0</v>
      </c>
      <c r="K63" s="251">
        <v>0</v>
      </c>
      <c r="L63" s="251">
        <v>0</v>
      </c>
      <c r="M63" s="251">
        <v>0</v>
      </c>
      <c r="N63" s="252">
        <v>0</v>
      </c>
      <c r="O63" s="250">
        <v>0</v>
      </c>
      <c r="P63" s="250">
        <v>0</v>
      </c>
      <c r="Q63" s="251">
        <v>0</v>
      </c>
      <c r="R63" s="252">
        <v>0</v>
      </c>
      <c r="S63" s="250">
        <v>0</v>
      </c>
      <c r="T63" s="253"/>
      <c r="U63" s="254">
        <v>0</v>
      </c>
      <c r="V63" s="255">
        <v>0</v>
      </c>
      <c r="W63" s="255">
        <v>0</v>
      </c>
      <c r="X63" s="255">
        <v>0</v>
      </c>
      <c r="Y63" s="255">
        <v>0</v>
      </c>
      <c r="Z63" s="255">
        <v>0</v>
      </c>
      <c r="AA63" s="256">
        <v>0</v>
      </c>
      <c r="AB63" s="254">
        <v>0</v>
      </c>
      <c r="AC63" s="255">
        <v>0</v>
      </c>
      <c r="AD63" s="255">
        <v>0</v>
      </c>
      <c r="AE63" s="255">
        <v>0</v>
      </c>
      <c r="AF63" s="255">
        <v>0</v>
      </c>
      <c r="AG63" s="256">
        <v>0</v>
      </c>
      <c r="AH63" s="255">
        <v>0</v>
      </c>
      <c r="AI63" s="255">
        <v>0</v>
      </c>
      <c r="AJ63" s="255">
        <v>0</v>
      </c>
      <c r="AK63" s="254">
        <v>0</v>
      </c>
    </row>
    <row r="64" spans="1:39" s="406" customFormat="1" ht="24" customHeight="1">
      <c r="A64" s="259"/>
      <c r="B64" s="260" t="s">
        <v>59</v>
      </c>
      <c r="C64" s="261">
        <v>1</v>
      </c>
      <c r="D64" s="262">
        <v>1</v>
      </c>
      <c r="E64" s="262">
        <v>1</v>
      </c>
      <c r="F64" s="262">
        <v>1</v>
      </c>
      <c r="G64" s="262">
        <v>0</v>
      </c>
      <c r="H64" s="263">
        <v>1</v>
      </c>
      <c r="I64" s="261">
        <v>1</v>
      </c>
      <c r="J64" s="261">
        <v>0</v>
      </c>
      <c r="K64" s="262">
        <v>1</v>
      </c>
      <c r="L64" s="262">
        <v>1</v>
      </c>
      <c r="M64" s="262">
        <v>1</v>
      </c>
      <c r="N64" s="263">
        <v>0</v>
      </c>
      <c r="O64" s="261">
        <v>1</v>
      </c>
      <c r="P64" s="261">
        <v>1</v>
      </c>
      <c r="Q64" s="262">
        <v>1</v>
      </c>
      <c r="R64" s="263">
        <v>0</v>
      </c>
      <c r="S64" s="261">
        <v>1</v>
      </c>
      <c r="T64" s="264"/>
      <c r="U64" s="265">
        <v>1202</v>
      </c>
      <c r="V64" s="266">
        <v>726</v>
      </c>
      <c r="W64" s="266">
        <v>1577</v>
      </c>
      <c r="X64" s="266">
        <v>841</v>
      </c>
      <c r="Y64" s="266">
        <v>0</v>
      </c>
      <c r="Z64" s="266">
        <v>136</v>
      </c>
      <c r="AA64" s="267">
        <v>4482</v>
      </c>
      <c r="AB64" s="265">
        <v>0</v>
      </c>
      <c r="AC64" s="266">
        <v>372</v>
      </c>
      <c r="AD64" s="266">
        <v>325</v>
      </c>
      <c r="AE64" s="266">
        <v>680</v>
      </c>
      <c r="AF64" s="266">
        <v>0</v>
      </c>
      <c r="AG64" s="267">
        <v>1377</v>
      </c>
      <c r="AH64" s="266">
        <v>294</v>
      </c>
      <c r="AI64" s="266">
        <v>348</v>
      </c>
      <c r="AJ64" s="266">
        <v>0</v>
      </c>
      <c r="AK64" s="265">
        <v>642</v>
      </c>
      <c r="AL64" s="405"/>
      <c r="AM64" s="405"/>
    </row>
    <row r="65" spans="1:39" ht="13.9" customHeight="1">
      <c r="A65" s="239" t="s">
        <v>9</v>
      </c>
      <c r="B65" s="239" t="s">
        <v>53</v>
      </c>
      <c r="C65" s="241">
        <v>0.34536891679748821</v>
      </c>
      <c r="D65" s="242">
        <v>0.32698094282848544</v>
      </c>
      <c r="E65" s="242">
        <v>0.24528301886792453</v>
      </c>
      <c r="F65" s="242">
        <v>0.21003134796238246</v>
      </c>
      <c r="G65" s="242">
        <v>0.22014925373134328</v>
      </c>
      <c r="H65" s="243">
        <v>0</v>
      </c>
      <c r="I65" s="241">
        <v>0.27367031308940021</v>
      </c>
      <c r="J65" s="241">
        <v>0</v>
      </c>
      <c r="K65" s="242">
        <v>0.11572700296735905</v>
      </c>
      <c r="L65" s="242">
        <v>0.11055276381909548</v>
      </c>
      <c r="M65" s="242">
        <v>0.10454545454545454</v>
      </c>
      <c r="N65" s="243">
        <v>0</v>
      </c>
      <c r="O65" s="241">
        <v>0.1111111111111111</v>
      </c>
      <c r="P65" s="241">
        <v>0</v>
      </c>
      <c r="Q65" s="242">
        <v>0</v>
      </c>
      <c r="R65" s="243">
        <v>0</v>
      </c>
      <c r="S65" s="241">
        <v>0</v>
      </c>
      <c r="T65" s="253"/>
      <c r="U65" s="245">
        <v>440</v>
      </c>
      <c r="V65" s="246">
        <v>326</v>
      </c>
      <c r="W65" s="246">
        <v>299</v>
      </c>
      <c r="X65" s="246">
        <v>268</v>
      </c>
      <c r="Y65" s="246">
        <v>118</v>
      </c>
      <c r="Z65" s="246">
        <v>0</v>
      </c>
      <c r="AA65" s="247">
        <v>1451</v>
      </c>
      <c r="AB65" s="245">
        <v>0</v>
      </c>
      <c r="AC65" s="246">
        <v>39</v>
      </c>
      <c r="AD65" s="246">
        <v>22</v>
      </c>
      <c r="AE65" s="246">
        <v>23</v>
      </c>
      <c r="AF65" s="246">
        <v>0</v>
      </c>
      <c r="AG65" s="247">
        <v>84</v>
      </c>
      <c r="AH65" s="246">
        <v>0</v>
      </c>
      <c r="AI65" s="246">
        <v>0</v>
      </c>
      <c r="AJ65" s="246">
        <v>0</v>
      </c>
      <c r="AK65" s="245">
        <v>0</v>
      </c>
    </row>
    <row r="66" spans="1:39" ht="13.9" customHeight="1">
      <c r="A66" s="249"/>
      <c r="B66" s="239" t="s">
        <v>93</v>
      </c>
      <c r="C66" s="250">
        <v>0.19780219780219779</v>
      </c>
      <c r="D66" s="251">
        <v>0.22868605817452356</v>
      </c>
      <c r="E66" s="251">
        <v>0.24774405250205087</v>
      </c>
      <c r="F66" s="251">
        <v>0.19984326018808776</v>
      </c>
      <c r="G66" s="251">
        <v>0.2462686567164179</v>
      </c>
      <c r="H66" s="252">
        <v>0</v>
      </c>
      <c r="I66" s="250">
        <v>0.22048283666540927</v>
      </c>
      <c r="J66" s="250">
        <v>0</v>
      </c>
      <c r="K66" s="251">
        <v>0.36498516320474778</v>
      </c>
      <c r="L66" s="251">
        <v>0.11055276381909548</v>
      </c>
      <c r="M66" s="251">
        <v>0.18636363636363637</v>
      </c>
      <c r="N66" s="252">
        <v>0</v>
      </c>
      <c r="O66" s="250">
        <v>0.24603174603174602</v>
      </c>
      <c r="P66" s="250">
        <v>0</v>
      </c>
      <c r="Q66" s="251">
        <v>0</v>
      </c>
      <c r="R66" s="252">
        <v>0</v>
      </c>
      <c r="S66" s="250">
        <v>0</v>
      </c>
      <c r="T66" s="253"/>
      <c r="U66" s="254">
        <v>252</v>
      </c>
      <c r="V66" s="255">
        <v>228</v>
      </c>
      <c r="W66" s="255">
        <v>302</v>
      </c>
      <c r="X66" s="255">
        <v>255</v>
      </c>
      <c r="Y66" s="255">
        <v>132</v>
      </c>
      <c r="Z66" s="255">
        <v>0</v>
      </c>
      <c r="AA66" s="256">
        <v>1169</v>
      </c>
      <c r="AB66" s="254">
        <v>0</v>
      </c>
      <c r="AC66" s="255">
        <v>123</v>
      </c>
      <c r="AD66" s="255">
        <v>22</v>
      </c>
      <c r="AE66" s="255">
        <v>41</v>
      </c>
      <c r="AF66" s="255">
        <v>0</v>
      </c>
      <c r="AG66" s="256">
        <v>186</v>
      </c>
      <c r="AH66" s="255">
        <v>0</v>
      </c>
      <c r="AI66" s="255">
        <v>0</v>
      </c>
      <c r="AJ66" s="255">
        <v>0</v>
      </c>
      <c r="AK66" s="254">
        <v>0</v>
      </c>
    </row>
    <row r="67" spans="1:39" ht="13.9" customHeight="1">
      <c r="A67" s="249"/>
      <c r="B67" s="239" t="s">
        <v>55</v>
      </c>
      <c r="C67" s="250">
        <v>0.19780219780219779</v>
      </c>
      <c r="D67" s="251">
        <v>0.24473420260782347</v>
      </c>
      <c r="E67" s="251">
        <v>0.34782608695652173</v>
      </c>
      <c r="F67" s="251">
        <v>0.36442006269592475</v>
      </c>
      <c r="G67" s="251">
        <v>0.34701492537313433</v>
      </c>
      <c r="H67" s="252">
        <v>0</v>
      </c>
      <c r="I67" s="250">
        <v>0.29630328178046023</v>
      </c>
      <c r="J67" s="250">
        <v>0</v>
      </c>
      <c r="K67" s="251">
        <v>0.21958456973293769</v>
      </c>
      <c r="L67" s="251">
        <v>0.32663316582914576</v>
      </c>
      <c r="M67" s="251">
        <v>0.33181818181818185</v>
      </c>
      <c r="N67" s="252">
        <v>0</v>
      </c>
      <c r="O67" s="250">
        <v>0.28042328042328041</v>
      </c>
      <c r="P67" s="250">
        <v>0</v>
      </c>
      <c r="Q67" s="251">
        <v>0</v>
      </c>
      <c r="R67" s="252">
        <v>0</v>
      </c>
      <c r="S67" s="250">
        <v>0</v>
      </c>
      <c r="T67" s="253"/>
      <c r="U67" s="254">
        <v>252</v>
      </c>
      <c r="V67" s="255">
        <v>244</v>
      </c>
      <c r="W67" s="255">
        <v>424</v>
      </c>
      <c r="X67" s="255">
        <v>465</v>
      </c>
      <c r="Y67" s="255">
        <v>186</v>
      </c>
      <c r="Z67" s="255">
        <v>0</v>
      </c>
      <c r="AA67" s="256">
        <v>1571</v>
      </c>
      <c r="AB67" s="254">
        <v>0</v>
      </c>
      <c r="AC67" s="255">
        <v>74</v>
      </c>
      <c r="AD67" s="255">
        <v>65</v>
      </c>
      <c r="AE67" s="255">
        <v>73</v>
      </c>
      <c r="AF67" s="255">
        <v>0</v>
      </c>
      <c r="AG67" s="256">
        <v>212</v>
      </c>
      <c r="AH67" s="255">
        <v>0</v>
      </c>
      <c r="AI67" s="255">
        <v>0</v>
      </c>
      <c r="AJ67" s="255">
        <v>0</v>
      </c>
      <c r="AK67" s="254">
        <v>0</v>
      </c>
    </row>
    <row r="68" spans="1:39" ht="13.9" customHeight="1">
      <c r="A68" s="249"/>
      <c r="B68" s="239" t="s">
        <v>78</v>
      </c>
      <c r="C68" s="250">
        <v>0.25902668759811615</v>
      </c>
      <c r="D68" s="251">
        <v>0.1995987963891675</v>
      </c>
      <c r="E68" s="251">
        <v>0.15914684167350288</v>
      </c>
      <c r="F68" s="251">
        <v>0.22570532915360503</v>
      </c>
      <c r="G68" s="251">
        <v>0.18656716417910449</v>
      </c>
      <c r="H68" s="252">
        <v>0</v>
      </c>
      <c r="I68" s="250">
        <v>0.2095435684647303</v>
      </c>
      <c r="J68" s="250">
        <v>0</v>
      </c>
      <c r="K68" s="251">
        <v>0.29970326409495551</v>
      </c>
      <c r="L68" s="251">
        <v>0.45226130653266333</v>
      </c>
      <c r="M68" s="251">
        <v>0.37727272727272726</v>
      </c>
      <c r="N68" s="252">
        <v>0</v>
      </c>
      <c r="O68" s="250">
        <v>0.36243386243386244</v>
      </c>
      <c r="P68" s="250">
        <v>0</v>
      </c>
      <c r="Q68" s="251">
        <v>0</v>
      </c>
      <c r="R68" s="252">
        <v>0</v>
      </c>
      <c r="S68" s="250">
        <v>0</v>
      </c>
      <c r="T68" s="253"/>
      <c r="U68" s="254">
        <v>330</v>
      </c>
      <c r="V68" s="255">
        <v>199</v>
      </c>
      <c r="W68" s="255">
        <v>194</v>
      </c>
      <c r="X68" s="255">
        <v>288</v>
      </c>
      <c r="Y68" s="255">
        <v>100</v>
      </c>
      <c r="Z68" s="255">
        <v>0</v>
      </c>
      <c r="AA68" s="256">
        <v>1111</v>
      </c>
      <c r="AB68" s="254">
        <v>0</v>
      </c>
      <c r="AC68" s="255">
        <v>101</v>
      </c>
      <c r="AD68" s="255">
        <v>90</v>
      </c>
      <c r="AE68" s="255">
        <v>83</v>
      </c>
      <c r="AF68" s="255">
        <v>0</v>
      </c>
      <c r="AG68" s="256">
        <v>274</v>
      </c>
      <c r="AH68" s="255">
        <v>0</v>
      </c>
      <c r="AI68" s="255">
        <v>0</v>
      </c>
      <c r="AJ68" s="255">
        <v>0</v>
      </c>
      <c r="AK68" s="254">
        <v>0</v>
      </c>
    </row>
    <row r="69" spans="1:39" ht="13.9" customHeight="1">
      <c r="A69" s="249"/>
      <c r="B69" s="239" t="s">
        <v>32</v>
      </c>
      <c r="C69" s="250">
        <v>0</v>
      </c>
      <c r="D69" s="273">
        <v>0</v>
      </c>
      <c r="E69" s="251">
        <v>0</v>
      </c>
      <c r="F69" s="251">
        <v>0</v>
      </c>
      <c r="G69" s="251">
        <v>0</v>
      </c>
      <c r="H69" s="252">
        <v>0</v>
      </c>
      <c r="I69" s="272">
        <v>0</v>
      </c>
      <c r="J69" s="250">
        <v>0</v>
      </c>
      <c r="K69" s="251">
        <v>0</v>
      </c>
      <c r="L69" s="251">
        <v>0</v>
      </c>
      <c r="M69" s="251">
        <v>0</v>
      </c>
      <c r="N69" s="252">
        <v>0</v>
      </c>
      <c r="O69" s="250">
        <v>0</v>
      </c>
      <c r="P69" s="250">
        <v>0</v>
      </c>
      <c r="Q69" s="251">
        <v>0</v>
      </c>
      <c r="R69" s="252">
        <v>0</v>
      </c>
      <c r="S69" s="250">
        <v>0</v>
      </c>
      <c r="T69" s="253"/>
      <c r="U69" s="254">
        <v>0</v>
      </c>
      <c r="V69" s="255">
        <v>0</v>
      </c>
      <c r="W69" s="255">
        <v>0</v>
      </c>
      <c r="X69" s="255">
        <v>0</v>
      </c>
      <c r="Y69" s="255">
        <v>0</v>
      </c>
      <c r="Z69" s="255">
        <v>0</v>
      </c>
      <c r="AA69" s="256">
        <v>0</v>
      </c>
      <c r="AB69" s="254">
        <v>0</v>
      </c>
      <c r="AC69" s="255">
        <v>0</v>
      </c>
      <c r="AD69" s="255">
        <v>0</v>
      </c>
      <c r="AE69" s="255">
        <v>0</v>
      </c>
      <c r="AF69" s="255">
        <v>0</v>
      </c>
      <c r="AG69" s="256">
        <v>0</v>
      </c>
      <c r="AH69" s="255">
        <v>0</v>
      </c>
      <c r="AI69" s="255">
        <v>0</v>
      </c>
      <c r="AJ69" s="255">
        <v>0</v>
      </c>
      <c r="AK69" s="254">
        <v>0</v>
      </c>
    </row>
    <row r="70" spans="1:39" ht="13.9" customHeight="1">
      <c r="A70" s="249"/>
      <c r="B70" s="239" t="s">
        <v>58</v>
      </c>
      <c r="C70" s="250">
        <v>0</v>
      </c>
      <c r="D70" s="251">
        <v>0</v>
      </c>
      <c r="E70" s="251">
        <v>0</v>
      </c>
      <c r="F70" s="251">
        <v>0</v>
      </c>
      <c r="G70" s="251">
        <v>0</v>
      </c>
      <c r="H70" s="252">
        <v>0</v>
      </c>
      <c r="I70" s="250">
        <v>0</v>
      </c>
      <c r="J70" s="250">
        <v>0</v>
      </c>
      <c r="K70" s="251">
        <v>0</v>
      </c>
      <c r="L70" s="251">
        <v>0</v>
      </c>
      <c r="M70" s="251">
        <v>0</v>
      </c>
      <c r="N70" s="252">
        <v>0</v>
      </c>
      <c r="O70" s="250">
        <v>0</v>
      </c>
      <c r="P70" s="250">
        <v>0</v>
      </c>
      <c r="Q70" s="251">
        <v>0</v>
      </c>
      <c r="R70" s="252">
        <v>1</v>
      </c>
      <c r="S70" s="250">
        <v>1</v>
      </c>
      <c r="T70" s="253"/>
      <c r="U70" s="254">
        <v>0</v>
      </c>
      <c r="V70" s="255">
        <v>0</v>
      </c>
      <c r="W70" s="255">
        <v>0</v>
      </c>
      <c r="X70" s="255">
        <v>0</v>
      </c>
      <c r="Y70" s="255">
        <v>0</v>
      </c>
      <c r="Z70" s="255">
        <v>0</v>
      </c>
      <c r="AA70" s="256">
        <v>0</v>
      </c>
      <c r="AB70" s="254">
        <v>0</v>
      </c>
      <c r="AC70" s="255">
        <v>0</v>
      </c>
      <c r="AD70" s="255">
        <v>0</v>
      </c>
      <c r="AE70" s="255">
        <v>0</v>
      </c>
      <c r="AF70" s="255">
        <v>0</v>
      </c>
      <c r="AG70" s="256">
        <v>0</v>
      </c>
      <c r="AH70" s="255">
        <v>0</v>
      </c>
      <c r="AI70" s="255">
        <v>0</v>
      </c>
      <c r="AJ70" s="255">
        <v>780</v>
      </c>
      <c r="AK70" s="254">
        <v>780</v>
      </c>
    </row>
    <row r="71" spans="1:39" s="406" customFormat="1" ht="24" customHeight="1">
      <c r="A71" s="259"/>
      <c r="B71" s="260" t="s">
        <v>59</v>
      </c>
      <c r="C71" s="261">
        <v>1</v>
      </c>
      <c r="D71" s="262">
        <v>1</v>
      </c>
      <c r="E71" s="262">
        <v>1</v>
      </c>
      <c r="F71" s="262">
        <v>1</v>
      </c>
      <c r="G71" s="262">
        <v>1</v>
      </c>
      <c r="H71" s="263">
        <v>0</v>
      </c>
      <c r="I71" s="261">
        <v>1</v>
      </c>
      <c r="J71" s="261">
        <v>0</v>
      </c>
      <c r="K71" s="262">
        <v>1</v>
      </c>
      <c r="L71" s="262">
        <v>1</v>
      </c>
      <c r="M71" s="262">
        <v>1</v>
      </c>
      <c r="N71" s="263">
        <v>0</v>
      </c>
      <c r="O71" s="261">
        <v>1</v>
      </c>
      <c r="P71" s="261">
        <v>0</v>
      </c>
      <c r="Q71" s="262">
        <v>0</v>
      </c>
      <c r="R71" s="263">
        <v>1</v>
      </c>
      <c r="S71" s="261">
        <v>1</v>
      </c>
      <c r="T71" s="264"/>
      <c r="U71" s="265">
        <v>1274</v>
      </c>
      <c r="V71" s="266">
        <v>997</v>
      </c>
      <c r="W71" s="266">
        <v>1219</v>
      </c>
      <c r="X71" s="266">
        <v>1276</v>
      </c>
      <c r="Y71" s="266">
        <v>536</v>
      </c>
      <c r="Z71" s="266">
        <v>0</v>
      </c>
      <c r="AA71" s="267">
        <v>5302</v>
      </c>
      <c r="AB71" s="265">
        <v>0</v>
      </c>
      <c r="AC71" s="266">
        <v>337</v>
      </c>
      <c r="AD71" s="266">
        <v>199</v>
      </c>
      <c r="AE71" s="266">
        <v>220</v>
      </c>
      <c r="AF71" s="266">
        <v>0</v>
      </c>
      <c r="AG71" s="267">
        <v>756</v>
      </c>
      <c r="AH71" s="266">
        <v>0</v>
      </c>
      <c r="AI71" s="266">
        <v>0</v>
      </c>
      <c r="AJ71" s="266">
        <v>780</v>
      </c>
      <c r="AK71" s="265">
        <v>780</v>
      </c>
      <c r="AL71" s="405"/>
      <c r="AM71" s="405"/>
    </row>
    <row r="72" spans="1:39" ht="13.9" customHeight="1">
      <c r="A72" s="239" t="s">
        <v>10</v>
      </c>
      <c r="B72" s="239" t="s">
        <v>53</v>
      </c>
      <c r="C72" s="241">
        <v>0.42295695570804742</v>
      </c>
      <c r="D72" s="242">
        <v>0.26694045174537989</v>
      </c>
      <c r="E72" s="242">
        <v>0.29230769230769232</v>
      </c>
      <c r="F72" s="242">
        <v>0.20858895705521471</v>
      </c>
      <c r="G72" s="242">
        <v>0.22115384615384615</v>
      </c>
      <c r="H72" s="243">
        <v>0.2558139534883721</v>
      </c>
      <c r="I72" s="241">
        <v>0.31030389363722699</v>
      </c>
      <c r="J72" s="241">
        <v>0</v>
      </c>
      <c r="K72" s="242">
        <v>0.38247011952191234</v>
      </c>
      <c r="L72" s="242">
        <v>0.34615384615384615</v>
      </c>
      <c r="M72" s="242">
        <v>0.31955922865013775</v>
      </c>
      <c r="N72" s="243">
        <v>0</v>
      </c>
      <c r="O72" s="241">
        <v>0.36316287878787878</v>
      </c>
      <c r="P72" s="241">
        <v>0</v>
      </c>
      <c r="Q72" s="242">
        <v>0</v>
      </c>
      <c r="R72" s="243">
        <v>0</v>
      </c>
      <c r="S72" s="241">
        <v>0</v>
      </c>
      <c r="T72" s="253"/>
      <c r="U72" s="245">
        <v>678</v>
      </c>
      <c r="V72" s="246">
        <v>130</v>
      </c>
      <c r="W72" s="246">
        <v>171</v>
      </c>
      <c r="X72" s="246">
        <v>272</v>
      </c>
      <c r="Y72" s="246">
        <v>23</v>
      </c>
      <c r="Z72" s="246">
        <v>33</v>
      </c>
      <c r="AA72" s="247">
        <v>1307</v>
      </c>
      <c r="AB72" s="245">
        <v>0</v>
      </c>
      <c r="AC72" s="246">
        <v>480</v>
      </c>
      <c r="AD72" s="246">
        <v>171</v>
      </c>
      <c r="AE72" s="246">
        <v>116</v>
      </c>
      <c r="AF72" s="246">
        <v>0</v>
      </c>
      <c r="AG72" s="247">
        <v>767</v>
      </c>
      <c r="AH72" s="246">
        <v>0</v>
      </c>
      <c r="AI72" s="246">
        <v>0</v>
      </c>
      <c r="AJ72" s="246">
        <v>0</v>
      </c>
      <c r="AK72" s="245">
        <v>0</v>
      </c>
    </row>
    <row r="73" spans="1:39" ht="13.9" customHeight="1">
      <c r="A73" s="249"/>
      <c r="B73" s="239" t="s">
        <v>93</v>
      </c>
      <c r="C73" s="250">
        <v>0.25452276980661259</v>
      </c>
      <c r="D73" s="251">
        <v>0.29774127310061604</v>
      </c>
      <c r="E73" s="251">
        <v>0.22393162393162394</v>
      </c>
      <c r="F73" s="251">
        <v>0.23006134969325154</v>
      </c>
      <c r="G73" s="251">
        <v>0.21153846153846154</v>
      </c>
      <c r="H73" s="252">
        <v>0.29457364341085274</v>
      </c>
      <c r="I73" s="250">
        <v>0.24786324786324787</v>
      </c>
      <c r="J73" s="250">
        <v>0</v>
      </c>
      <c r="K73" s="251">
        <v>0.29960159362549799</v>
      </c>
      <c r="L73" s="251">
        <v>0.24898785425101214</v>
      </c>
      <c r="M73" s="251">
        <v>0.30578512396694213</v>
      </c>
      <c r="N73" s="252">
        <v>0</v>
      </c>
      <c r="O73" s="250">
        <v>0.28882575757575757</v>
      </c>
      <c r="P73" s="250">
        <v>0</v>
      </c>
      <c r="Q73" s="251">
        <v>0</v>
      </c>
      <c r="R73" s="252">
        <v>0</v>
      </c>
      <c r="S73" s="250">
        <v>0</v>
      </c>
      <c r="T73" s="253"/>
      <c r="U73" s="254">
        <v>408</v>
      </c>
      <c r="V73" s="255">
        <v>145</v>
      </c>
      <c r="W73" s="255">
        <v>131</v>
      </c>
      <c r="X73" s="255">
        <v>300</v>
      </c>
      <c r="Y73" s="255">
        <v>22</v>
      </c>
      <c r="Z73" s="255">
        <v>38</v>
      </c>
      <c r="AA73" s="256">
        <v>1044</v>
      </c>
      <c r="AB73" s="254">
        <v>0</v>
      </c>
      <c r="AC73" s="255">
        <v>376</v>
      </c>
      <c r="AD73" s="255">
        <v>123</v>
      </c>
      <c r="AE73" s="255">
        <v>111</v>
      </c>
      <c r="AF73" s="255">
        <v>0</v>
      </c>
      <c r="AG73" s="256">
        <v>610</v>
      </c>
      <c r="AH73" s="255">
        <v>0</v>
      </c>
      <c r="AI73" s="255">
        <v>0</v>
      </c>
      <c r="AJ73" s="255">
        <v>0</v>
      </c>
      <c r="AK73" s="254">
        <v>0</v>
      </c>
    </row>
    <row r="74" spans="1:39" ht="13.9" customHeight="1">
      <c r="A74" s="249"/>
      <c r="B74" s="239" t="s">
        <v>55</v>
      </c>
      <c r="C74" s="250">
        <v>0.16968184653774174</v>
      </c>
      <c r="D74" s="251">
        <v>0.26694045174537989</v>
      </c>
      <c r="E74" s="251">
        <v>0.30085470085470084</v>
      </c>
      <c r="F74" s="251">
        <v>0.32745398773006135</v>
      </c>
      <c r="G74" s="251">
        <v>0.45192307692307693</v>
      </c>
      <c r="H74" s="252">
        <v>0.40310077519379844</v>
      </c>
      <c r="I74" s="250">
        <v>0.2621082621082621</v>
      </c>
      <c r="J74" s="250">
        <v>0</v>
      </c>
      <c r="K74" s="251">
        <v>0.25099601593625498</v>
      </c>
      <c r="L74" s="251">
        <v>0.30769230769230771</v>
      </c>
      <c r="M74" s="251">
        <v>0.23691460055096419</v>
      </c>
      <c r="N74" s="252">
        <v>0</v>
      </c>
      <c r="O74" s="250">
        <v>0.26183712121212122</v>
      </c>
      <c r="P74" s="250">
        <v>0</v>
      </c>
      <c r="Q74" s="251">
        <v>0</v>
      </c>
      <c r="R74" s="252">
        <v>0</v>
      </c>
      <c r="S74" s="250">
        <v>0</v>
      </c>
      <c r="T74" s="253"/>
      <c r="U74" s="254">
        <v>272</v>
      </c>
      <c r="V74" s="255">
        <v>130</v>
      </c>
      <c r="W74" s="255">
        <v>176</v>
      </c>
      <c r="X74" s="255">
        <v>427</v>
      </c>
      <c r="Y74" s="255">
        <v>47</v>
      </c>
      <c r="Z74" s="255">
        <v>52</v>
      </c>
      <c r="AA74" s="256">
        <v>1104</v>
      </c>
      <c r="AB74" s="254">
        <v>0</v>
      </c>
      <c r="AC74" s="255">
        <v>315</v>
      </c>
      <c r="AD74" s="255">
        <v>152</v>
      </c>
      <c r="AE74" s="255">
        <v>86</v>
      </c>
      <c r="AF74" s="255">
        <v>0</v>
      </c>
      <c r="AG74" s="256">
        <v>553</v>
      </c>
      <c r="AH74" s="255">
        <v>0</v>
      </c>
      <c r="AI74" s="255">
        <v>0</v>
      </c>
      <c r="AJ74" s="255">
        <v>0</v>
      </c>
      <c r="AK74" s="254">
        <v>0</v>
      </c>
    </row>
    <row r="75" spans="1:39" ht="13.9" customHeight="1">
      <c r="A75" s="249"/>
      <c r="B75" s="239" t="s">
        <v>78</v>
      </c>
      <c r="C75" s="250">
        <v>2.8696194635059263E-2</v>
      </c>
      <c r="D75" s="251">
        <v>4.5174537987679675E-2</v>
      </c>
      <c r="E75" s="251">
        <v>5.128205128205128E-2</v>
      </c>
      <c r="F75" s="251">
        <v>5.1380368098159511E-2</v>
      </c>
      <c r="G75" s="251">
        <v>4.807692307692308E-2</v>
      </c>
      <c r="H75" s="252">
        <v>4.6511627906976744E-2</v>
      </c>
      <c r="I75" s="250">
        <v>4.1785375118708452E-2</v>
      </c>
      <c r="J75" s="250">
        <v>0</v>
      </c>
      <c r="K75" s="251">
        <v>6.6932270916334663E-2</v>
      </c>
      <c r="L75" s="251">
        <v>9.1093117408906882E-2</v>
      </c>
      <c r="M75" s="251">
        <v>0.13774104683195593</v>
      </c>
      <c r="N75" s="252">
        <v>0</v>
      </c>
      <c r="O75" s="250">
        <v>8.4753787878787873E-2</v>
      </c>
      <c r="P75" s="250">
        <v>0</v>
      </c>
      <c r="Q75" s="251">
        <v>0</v>
      </c>
      <c r="R75" s="252">
        <v>0</v>
      </c>
      <c r="S75" s="250">
        <v>0</v>
      </c>
      <c r="T75" s="253"/>
      <c r="U75" s="254">
        <v>46</v>
      </c>
      <c r="V75" s="255">
        <v>22</v>
      </c>
      <c r="W75" s="255">
        <v>30</v>
      </c>
      <c r="X75" s="255">
        <v>67</v>
      </c>
      <c r="Y75" s="255">
        <v>5</v>
      </c>
      <c r="Z75" s="255">
        <v>6</v>
      </c>
      <c r="AA75" s="256">
        <v>176</v>
      </c>
      <c r="AB75" s="254">
        <v>0</v>
      </c>
      <c r="AC75" s="255">
        <v>84</v>
      </c>
      <c r="AD75" s="255">
        <v>45</v>
      </c>
      <c r="AE75" s="255">
        <v>50</v>
      </c>
      <c r="AF75" s="255">
        <v>0</v>
      </c>
      <c r="AG75" s="256">
        <v>179</v>
      </c>
      <c r="AH75" s="255">
        <v>0</v>
      </c>
      <c r="AI75" s="255">
        <v>0</v>
      </c>
      <c r="AJ75" s="255">
        <v>0</v>
      </c>
      <c r="AK75" s="254">
        <v>0</v>
      </c>
    </row>
    <row r="76" spans="1:39" ht="13.9" customHeight="1">
      <c r="A76" s="249"/>
      <c r="B76" s="239" t="s">
        <v>32</v>
      </c>
      <c r="C76" s="250">
        <v>0.12414223331253899</v>
      </c>
      <c r="D76" s="251">
        <v>0.12320328542094455</v>
      </c>
      <c r="E76" s="251">
        <v>0.13162393162393163</v>
      </c>
      <c r="F76" s="251">
        <v>0.18251533742331288</v>
      </c>
      <c r="G76" s="251">
        <v>6.7307692307692304E-2</v>
      </c>
      <c r="H76" s="252">
        <v>0</v>
      </c>
      <c r="I76" s="250">
        <v>0.13793922127255462</v>
      </c>
      <c r="J76" s="250">
        <v>0</v>
      </c>
      <c r="K76" s="251">
        <v>0</v>
      </c>
      <c r="L76" s="251">
        <v>6.0728744939271256E-3</v>
      </c>
      <c r="M76" s="251">
        <v>0</v>
      </c>
      <c r="N76" s="252">
        <v>0</v>
      </c>
      <c r="O76" s="272">
        <v>1.4204545454545455E-3</v>
      </c>
      <c r="P76" s="250">
        <v>0</v>
      </c>
      <c r="Q76" s="251">
        <v>0</v>
      </c>
      <c r="R76" s="252">
        <v>0</v>
      </c>
      <c r="S76" s="250">
        <v>0</v>
      </c>
      <c r="T76" s="253"/>
      <c r="U76" s="254">
        <v>199</v>
      </c>
      <c r="V76" s="255">
        <v>60</v>
      </c>
      <c r="W76" s="255">
        <v>77</v>
      </c>
      <c r="X76" s="255">
        <v>238</v>
      </c>
      <c r="Y76" s="255">
        <v>7</v>
      </c>
      <c r="Z76" s="255">
        <v>0</v>
      </c>
      <c r="AA76" s="256">
        <v>581</v>
      </c>
      <c r="AB76" s="254">
        <v>0</v>
      </c>
      <c r="AC76" s="255">
        <v>0</v>
      </c>
      <c r="AD76" s="255">
        <v>3</v>
      </c>
      <c r="AE76" s="255">
        <v>0</v>
      </c>
      <c r="AF76" s="255">
        <v>0</v>
      </c>
      <c r="AG76" s="256">
        <v>3</v>
      </c>
      <c r="AH76" s="255">
        <v>0</v>
      </c>
      <c r="AI76" s="255">
        <v>0</v>
      </c>
      <c r="AJ76" s="255">
        <v>0</v>
      </c>
      <c r="AK76" s="254">
        <v>0</v>
      </c>
    </row>
    <row r="77" spans="1:39" ht="13.9" customHeight="1">
      <c r="A77" s="249"/>
      <c r="B77" s="239" t="s">
        <v>58</v>
      </c>
      <c r="C77" s="250">
        <v>0</v>
      </c>
      <c r="D77" s="251">
        <v>0</v>
      </c>
      <c r="E77" s="251">
        <v>0</v>
      </c>
      <c r="F77" s="251">
        <v>0</v>
      </c>
      <c r="G77" s="251">
        <v>0</v>
      </c>
      <c r="H77" s="252">
        <v>0</v>
      </c>
      <c r="I77" s="250">
        <v>0</v>
      </c>
      <c r="J77" s="250">
        <v>0</v>
      </c>
      <c r="K77" s="251">
        <v>0</v>
      </c>
      <c r="L77" s="251">
        <v>0</v>
      </c>
      <c r="M77" s="251">
        <v>0</v>
      </c>
      <c r="N77" s="252">
        <v>0</v>
      </c>
      <c r="O77" s="250">
        <v>0</v>
      </c>
      <c r="P77" s="250">
        <v>0</v>
      </c>
      <c r="Q77" s="251">
        <v>0</v>
      </c>
      <c r="R77" s="252">
        <v>0</v>
      </c>
      <c r="S77" s="250">
        <v>0</v>
      </c>
      <c r="T77" s="253"/>
      <c r="U77" s="254">
        <v>0</v>
      </c>
      <c r="V77" s="255">
        <v>0</v>
      </c>
      <c r="W77" s="255">
        <v>0</v>
      </c>
      <c r="X77" s="255">
        <v>0</v>
      </c>
      <c r="Y77" s="255">
        <v>0</v>
      </c>
      <c r="Z77" s="255">
        <v>0</v>
      </c>
      <c r="AA77" s="256">
        <v>0</v>
      </c>
      <c r="AB77" s="254">
        <v>0</v>
      </c>
      <c r="AC77" s="255">
        <v>0</v>
      </c>
      <c r="AD77" s="255">
        <v>0</v>
      </c>
      <c r="AE77" s="255">
        <v>0</v>
      </c>
      <c r="AF77" s="255">
        <v>0</v>
      </c>
      <c r="AG77" s="256">
        <v>0</v>
      </c>
      <c r="AH77" s="255">
        <v>0</v>
      </c>
      <c r="AI77" s="255">
        <v>0</v>
      </c>
      <c r="AJ77" s="255">
        <v>0</v>
      </c>
      <c r="AK77" s="254">
        <v>0</v>
      </c>
    </row>
    <row r="78" spans="1:39" s="406" customFormat="1" ht="24" customHeight="1">
      <c r="A78" s="259"/>
      <c r="B78" s="260" t="s">
        <v>59</v>
      </c>
      <c r="C78" s="261">
        <v>1</v>
      </c>
      <c r="D78" s="262">
        <v>1</v>
      </c>
      <c r="E78" s="262">
        <v>1</v>
      </c>
      <c r="F78" s="262">
        <v>1</v>
      </c>
      <c r="G78" s="262">
        <v>1</v>
      </c>
      <c r="H78" s="263">
        <v>1</v>
      </c>
      <c r="I78" s="261">
        <v>1</v>
      </c>
      <c r="J78" s="261">
        <v>0</v>
      </c>
      <c r="K78" s="262">
        <v>1</v>
      </c>
      <c r="L78" s="262">
        <v>1</v>
      </c>
      <c r="M78" s="262">
        <v>1</v>
      </c>
      <c r="N78" s="263">
        <v>0</v>
      </c>
      <c r="O78" s="261">
        <v>1</v>
      </c>
      <c r="P78" s="261">
        <v>0</v>
      </c>
      <c r="Q78" s="262">
        <v>0</v>
      </c>
      <c r="R78" s="263">
        <v>0</v>
      </c>
      <c r="S78" s="261">
        <v>0</v>
      </c>
      <c r="T78" s="264"/>
      <c r="U78" s="265">
        <v>1603</v>
      </c>
      <c r="V78" s="266">
        <v>487</v>
      </c>
      <c r="W78" s="266">
        <v>585</v>
      </c>
      <c r="X78" s="266">
        <v>1304</v>
      </c>
      <c r="Y78" s="266">
        <v>104</v>
      </c>
      <c r="Z78" s="266">
        <v>129</v>
      </c>
      <c r="AA78" s="267">
        <v>4212</v>
      </c>
      <c r="AB78" s="265">
        <v>0</v>
      </c>
      <c r="AC78" s="266">
        <v>1255</v>
      </c>
      <c r="AD78" s="266">
        <v>494</v>
      </c>
      <c r="AE78" s="266">
        <v>363</v>
      </c>
      <c r="AF78" s="266">
        <v>0</v>
      </c>
      <c r="AG78" s="267">
        <v>2112</v>
      </c>
      <c r="AH78" s="266">
        <v>0</v>
      </c>
      <c r="AI78" s="266">
        <v>0</v>
      </c>
      <c r="AJ78" s="266">
        <v>0</v>
      </c>
      <c r="AK78" s="265">
        <v>0</v>
      </c>
      <c r="AL78" s="405"/>
      <c r="AM78" s="405"/>
    </row>
    <row r="79" spans="1:39" ht="13.9" customHeight="1">
      <c r="A79" s="239" t="s">
        <v>11</v>
      </c>
      <c r="B79" s="239" t="s">
        <v>53</v>
      </c>
      <c r="C79" s="241">
        <v>0.33209876543209876</v>
      </c>
      <c r="D79" s="242">
        <v>0.25913043478260872</v>
      </c>
      <c r="E79" s="242">
        <v>0.20178041543026706</v>
      </c>
      <c r="F79" s="242">
        <v>0.25761772853185594</v>
      </c>
      <c r="G79" s="242">
        <v>0.22127659574468084</v>
      </c>
      <c r="H79" s="243">
        <v>0</v>
      </c>
      <c r="I79" s="241">
        <v>0.28772378516624042</v>
      </c>
      <c r="J79" s="241">
        <v>0</v>
      </c>
      <c r="K79" s="242">
        <v>0</v>
      </c>
      <c r="L79" s="242">
        <v>0</v>
      </c>
      <c r="M79" s="242">
        <v>0</v>
      </c>
      <c r="N79" s="243">
        <v>0</v>
      </c>
      <c r="O79" s="241">
        <v>0</v>
      </c>
      <c r="P79" s="241">
        <v>0</v>
      </c>
      <c r="Q79" s="242">
        <v>0</v>
      </c>
      <c r="R79" s="243">
        <v>0</v>
      </c>
      <c r="S79" s="241">
        <v>0</v>
      </c>
      <c r="T79" s="253"/>
      <c r="U79" s="245">
        <v>538</v>
      </c>
      <c r="V79" s="246">
        <v>149</v>
      </c>
      <c r="W79" s="246">
        <v>68</v>
      </c>
      <c r="X79" s="246">
        <v>93</v>
      </c>
      <c r="Y79" s="246">
        <v>52</v>
      </c>
      <c r="Z79" s="246">
        <v>0</v>
      </c>
      <c r="AA79" s="247">
        <v>900</v>
      </c>
      <c r="AB79" s="245">
        <v>0</v>
      </c>
      <c r="AC79" s="246">
        <v>0</v>
      </c>
      <c r="AD79" s="246">
        <v>0</v>
      </c>
      <c r="AE79" s="246">
        <v>0</v>
      </c>
      <c r="AF79" s="246">
        <v>0</v>
      </c>
      <c r="AG79" s="247">
        <v>0</v>
      </c>
      <c r="AH79" s="246">
        <v>0</v>
      </c>
      <c r="AI79" s="246">
        <v>0</v>
      </c>
      <c r="AJ79" s="246">
        <v>0</v>
      </c>
      <c r="AK79" s="245">
        <v>0</v>
      </c>
    </row>
    <row r="80" spans="1:39" ht="13.9" customHeight="1">
      <c r="A80" s="249"/>
      <c r="B80" s="239" t="s">
        <v>93</v>
      </c>
      <c r="C80" s="250">
        <v>0.23209876543209876</v>
      </c>
      <c r="D80" s="251">
        <v>0.27652173913043476</v>
      </c>
      <c r="E80" s="251">
        <v>0.228486646884273</v>
      </c>
      <c r="F80" s="251">
        <v>0.14958448753462603</v>
      </c>
      <c r="G80" s="251">
        <v>0.20425531914893616</v>
      </c>
      <c r="H80" s="252">
        <v>0</v>
      </c>
      <c r="I80" s="250">
        <v>0.22826086956521738</v>
      </c>
      <c r="J80" s="250">
        <v>0</v>
      </c>
      <c r="K80" s="251">
        <v>0</v>
      </c>
      <c r="L80" s="251">
        <v>0</v>
      </c>
      <c r="M80" s="251">
        <v>0</v>
      </c>
      <c r="N80" s="252">
        <v>0</v>
      </c>
      <c r="O80" s="250">
        <v>0</v>
      </c>
      <c r="P80" s="250">
        <v>0</v>
      </c>
      <c r="Q80" s="251">
        <v>0</v>
      </c>
      <c r="R80" s="252">
        <v>0</v>
      </c>
      <c r="S80" s="250">
        <v>0</v>
      </c>
      <c r="T80" s="253"/>
      <c r="U80" s="254">
        <v>376</v>
      </c>
      <c r="V80" s="255">
        <v>159</v>
      </c>
      <c r="W80" s="255">
        <v>77</v>
      </c>
      <c r="X80" s="255">
        <v>54</v>
      </c>
      <c r="Y80" s="255">
        <v>48</v>
      </c>
      <c r="Z80" s="255">
        <v>0</v>
      </c>
      <c r="AA80" s="256">
        <v>714</v>
      </c>
      <c r="AB80" s="254">
        <v>0</v>
      </c>
      <c r="AC80" s="255">
        <v>0</v>
      </c>
      <c r="AD80" s="255">
        <v>0</v>
      </c>
      <c r="AE80" s="255">
        <v>0</v>
      </c>
      <c r="AF80" s="255">
        <v>0</v>
      </c>
      <c r="AG80" s="256">
        <v>0</v>
      </c>
      <c r="AH80" s="255">
        <v>0</v>
      </c>
      <c r="AI80" s="255">
        <v>0</v>
      </c>
      <c r="AJ80" s="255">
        <v>0</v>
      </c>
      <c r="AK80" s="254">
        <v>0</v>
      </c>
    </row>
    <row r="81" spans="1:39" ht="13.9" customHeight="1">
      <c r="A81" s="249"/>
      <c r="B81" s="239" t="s">
        <v>55</v>
      </c>
      <c r="C81" s="250">
        <v>0.27407407407407408</v>
      </c>
      <c r="D81" s="251">
        <v>0.35478260869565215</v>
      </c>
      <c r="E81" s="251">
        <v>0.3827893175074184</v>
      </c>
      <c r="F81" s="251">
        <v>0.32963988919667592</v>
      </c>
      <c r="G81" s="251">
        <v>0.37872340425531914</v>
      </c>
      <c r="H81" s="252">
        <v>0</v>
      </c>
      <c r="I81" s="250">
        <v>0.31489769820971869</v>
      </c>
      <c r="J81" s="250">
        <v>0</v>
      </c>
      <c r="K81" s="251">
        <v>0</v>
      </c>
      <c r="L81" s="251">
        <v>0</v>
      </c>
      <c r="M81" s="251">
        <v>0</v>
      </c>
      <c r="N81" s="252">
        <v>0</v>
      </c>
      <c r="O81" s="250">
        <v>0</v>
      </c>
      <c r="P81" s="250">
        <v>0</v>
      </c>
      <c r="Q81" s="251">
        <v>0</v>
      </c>
      <c r="R81" s="252">
        <v>0</v>
      </c>
      <c r="S81" s="250">
        <v>0</v>
      </c>
      <c r="T81" s="253"/>
      <c r="U81" s="254">
        <v>444</v>
      </c>
      <c r="V81" s="255">
        <v>204</v>
      </c>
      <c r="W81" s="255">
        <v>129</v>
      </c>
      <c r="X81" s="255">
        <v>119</v>
      </c>
      <c r="Y81" s="255">
        <v>89</v>
      </c>
      <c r="Z81" s="255">
        <v>0</v>
      </c>
      <c r="AA81" s="256">
        <v>985</v>
      </c>
      <c r="AB81" s="254">
        <v>0</v>
      </c>
      <c r="AC81" s="255">
        <v>0</v>
      </c>
      <c r="AD81" s="255">
        <v>0</v>
      </c>
      <c r="AE81" s="255">
        <v>0</v>
      </c>
      <c r="AF81" s="255">
        <v>0</v>
      </c>
      <c r="AG81" s="256">
        <v>0</v>
      </c>
      <c r="AH81" s="255">
        <v>0</v>
      </c>
      <c r="AI81" s="255">
        <v>0</v>
      </c>
      <c r="AJ81" s="255">
        <v>0</v>
      </c>
      <c r="AK81" s="254">
        <v>0</v>
      </c>
    </row>
    <row r="82" spans="1:39" ht="13.9" customHeight="1">
      <c r="A82" s="249"/>
      <c r="B82" s="239" t="s">
        <v>78</v>
      </c>
      <c r="C82" s="250">
        <v>0.11790123456790123</v>
      </c>
      <c r="D82" s="251">
        <v>0.10434782608695652</v>
      </c>
      <c r="E82" s="251">
        <v>0.18694362017804153</v>
      </c>
      <c r="F82" s="251">
        <v>0.26315789473684209</v>
      </c>
      <c r="G82" s="251">
        <v>0.19574468085106383</v>
      </c>
      <c r="H82" s="252">
        <v>0</v>
      </c>
      <c r="I82" s="250">
        <v>0.14546035805626598</v>
      </c>
      <c r="J82" s="250">
        <v>0</v>
      </c>
      <c r="K82" s="251">
        <v>0</v>
      </c>
      <c r="L82" s="251">
        <v>0</v>
      </c>
      <c r="M82" s="251">
        <v>0</v>
      </c>
      <c r="N82" s="252">
        <v>0</v>
      </c>
      <c r="O82" s="250">
        <v>0</v>
      </c>
      <c r="P82" s="250">
        <v>0</v>
      </c>
      <c r="Q82" s="251">
        <v>0</v>
      </c>
      <c r="R82" s="252">
        <v>0</v>
      </c>
      <c r="S82" s="250">
        <v>0</v>
      </c>
      <c r="T82" s="253"/>
      <c r="U82" s="254">
        <v>191</v>
      </c>
      <c r="V82" s="255">
        <v>60</v>
      </c>
      <c r="W82" s="255">
        <v>63</v>
      </c>
      <c r="X82" s="255">
        <v>95</v>
      </c>
      <c r="Y82" s="255">
        <v>46</v>
      </c>
      <c r="Z82" s="255">
        <v>0</v>
      </c>
      <c r="AA82" s="256">
        <v>455</v>
      </c>
      <c r="AB82" s="254">
        <v>0</v>
      </c>
      <c r="AC82" s="255">
        <v>0</v>
      </c>
      <c r="AD82" s="255">
        <v>0</v>
      </c>
      <c r="AE82" s="255">
        <v>0</v>
      </c>
      <c r="AF82" s="255">
        <v>0</v>
      </c>
      <c r="AG82" s="256">
        <v>0</v>
      </c>
      <c r="AH82" s="255">
        <v>0</v>
      </c>
      <c r="AI82" s="255">
        <v>0</v>
      </c>
      <c r="AJ82" s="255">
        <v>0</v>
      </c>
      <c r="AK82" s="254">
        <v>0</v>
      </c>
    </row>
    <row r="83" spans="1:39" ht="13.9" customHeight="1">
      <c r="A83" s="249"/>
      <c r="B83" s="239" t="s">
        <v>32</v>
      </c>
      <c r="C83" s="250">
        <v>4.3827160493827164E-2</v>
      </c>
      <c r="D83" s="251">
        <v>5.2173913043478265E-3</v>
      </c>
      <c r="E83" s="251">
        <v>0</v>
      </c>
      <c r="F83" s="251">
        <v>0</v>
      </c>
      <c r="G83" s="251">
        <v>0</v>
      </c>
      <c r="H83" s="252">
        <v>0</v>
      </c>
      <c r="I83" s="250">
        <v>2.3657289002557546E-2</v>
      </c>
      <c r="J83" s="250">
        <v>0</v>
      </c>
      <c r="K83" s="251">
        <v>0</v>
      </c>
      <c r="L83" s="251">
        <v>0</v>
      </c>
      <c r="M83" s="251">
        <v>0</v>
      </c>
      <c r="N83" s="252">
        <v>0</v>
      </c>
      <c r="O83" s="250">
        <v>0</v>
      </c>
      <c r="P83" s="250">
        <v>0</v>
      </c>
      <c r="Q83" s="251">
        <v>0</v>
      </c>
      <c r="R83" s="252">
        <v>0</v>
      </c>
      <c r="S83" s="250">
        <v>0</v>
      </c>
      <c r="T83" s="253"/>
      <c r="U83" s="254">
        <v>71</v>
      </c>
      <c r="V83" s="255">
        <v>3</v>
      </c>
      <c r="W83" s="255">
        <v>0</v>
      </c>
      <c r="X83" s="255">
        <v>0</v>
      </c>
      <c r="Y83" s="255">
        <v>0</v>
      </c>
      <c r="Z83" s="255">
        <v>0</v>
      </c>
      <c r="AA83" s="256">
        <v>74</v>
      </c>
      <c r="AB83" s="254">
        <v>0</v>
      </c>
      <c r="AC83" s="255">
        <v>0</v>
      </c>
      <c r="AD83" s="255">
        <v>0</v>
      </c>
      <c r="AE83" s="255">
        <v>0</v>
      </c>
      <c r="AF83" s="255">
        <v>0</v>
      </c>
      <c r="AG83" s="256">
        <v>0</v>
      </c>
      <c r="AH83" s="255">
        <v>0</v>
      </c>
      <c r="AI83" s="255">
        <v>0</v>
      </c>
      <c r="AJ83" s="255">
        <v>0</v>
      </c>
      <c r="AK83" s="254">
        <v>0</v>
      </c>
    </row>
    <row r="84" spans="1:39" ht="13.9" customHeight="1">
      <c r="A84" s="249"/>
      <c r="B84" s="239" t="s">
        <v>58</v>
      </c>
      <c r="C84" s="250">
        <v>0</v>
      </c>
      <c r="D84" s="251">
        <v>0</v>
      </c>
      <c r="E84" s="251">
        <v>0</v>
      </c>
      <c r="F84" s="251">
        <v>0</v>
      </c>
      <c r="G84" s="251">
        <v>0</v>
      </c>
      <c r="H84" s="252">
        <v>0</v>
      </c>
      <c r="I84" s="250">
        <v>0</v>
      </c>
      <c r="J84" s="250">
        <v>0</v>
      </c>
      <c r="K84" s="251">
        <v>1</v>
      </c>
      <c r="L84" s="251">
        <v>1</v>
      </c>
      <c r="M84" s="251">
        <v>1</v>
      </c>
      <c r="N84" s="252">
        <v>0</v>
      </c>
      <c r="O84" s="250">
        <v>1</v>
      </c>
      <c r="P84" s="250">
        <v>0</v>
      </c>
      <c r="Q84" s="251">
        <v>0</v>
      </c>
      <c r="R84" s="252">
        <v>0</v>
      </c>
      <c r="S84" s="250">
        <v>0</v>
      </c>
      <c r="T84" s="253"/>
      <c r="U84" s="254">
        <v>0</v>
      </c>
      <c r="V84" s="255">
        <v>0</v>
      </c>
      <c r="W84" s="255">
        <v>0</v>
      </c>
      <c r="X84" s="255">
        <v>0</v>
      </c>
      <c r="Y84" s="255">
        <v>0</v>
      </c>
      <c r="Z84" s="255">
        <v>0</v>
      </c>
      <c r="AA84" s="256">
        <v>0</v>
      </c>
      <c r="AB84" s="254">
        <v>0</v>
      </c>
      <c r="AC84" s="255">
        <v>761.1</v>
      </c>
      <c r="AD84" s="255">
        <v>1333.5</v>
      </c>
      <c r="AE84" s="255">
        <v>199</v>
      </c>
      <c r="AF84" s="255">
        <v>0</v>
      </c>
      <c r="AG84" s="256">
        <v>2293.6</v>
      </c>
      <c r="AH84" s="255">
        <v>0</v>
      </c>
      <c r="AI84" s="255">
        <v>0</v>
      </c>
      <c r="AJ84" s="255">
        <v>0</v>
      </c>
      <c r="AK84" s="254">
        <v>0</v>
      </c>
    </row>
    <row r="85" spans="1:39" s="406" customFormat="1" ht="24" customHeight="1">
      <c r="A85" s="259"/>
      <c r="B85" s="260" t="s">
        <v>59</v>
      </c>
      <c r="C85" s="261">
        <v>1</v>
      </c>
      <c r="D85" s="262">
        <v>1</v>
      </c>
      <c r="E85" s="262">
        <v>1</v>
      </c>
      <c r="F85" s="262">
        <v>1</v>
      </c>
      <c r="G85" s="262">
        <v>1</v>
      </c>
      <c r="H85" s="263">
        <v>0</v>
      </c>
      <c r="I85" s="261">
        <v>1</v>
      </c>
      <c r="J85" s="261">
        <v>0</v>
      </c>
      <c r="K85" s="262">
        <v>1</v>
      </c>
      <c r="L85" s="262">
        <v>1</v>
      </c>
      <c r="M85" s="262">
        <v>1</v>
      </c>
      <c r="N85" s="263">
        <v>0</v>
      </c>
      <c r="O85" s="261">
        <v>1</v>
      </c>
      <c r="P85" s="261">
        <v>0</v>
      </c>
      <c r="Q85" s="262">
        <v>0</v>
      </c>
      <c r="R85" s="263">
        <v>0</v>
      </c>
      <c r="S85" s="261">
        <v>0</v>
      </c>
      <c r="T85" s="264"/>
      <c r="U85" s="265">
        <v>1620</v>
      </c>
      <c r="V85" s="266">
        <v>575</v>
      </c>
      <c r="W85" s="266">
        <v>337</v>
      </c>
      <c r="X85" s="266">
        <v>361</v>
      </c>
      <c r="Y85" s="266">
        <v>235</v>
      </c>
      <c r="Z85" s="266">
        <v>0</v>
      </c>
      <c r="AA85" s="267">
        <v>3128</v>
      </c>
      <c r="AB85" s="265">
        <v>0</v>
      </c>
      <c r="AC85" s="266">
        <v>761.1</v>
      </c>
      <c r="AD85" s="266">
        <v>1333.5</v>
      </c>
      <c r="AE85" s="266">
        <v>199</v>
      </c>
      <c r="AF85" s="266">
        <v>0</v>
      </c>
      <c r="AG85" s="267">
        <v>2293.6</v>
      </c>
      <c r="AH85" s="266">
        <v>0</v>
      </c>
      <c r="AI85" s="266">
        <v>0</v>
      </c>
      <c r="AJ85" s="266">
        <v>0</v>
      </c>
      <c r="AK85" s="265">
        <v>0</v>
      </c>
      <c r="AL85" s="405"/>
      <c r="AM85" s="405"/>
    </row>
    <row r="86" spans="1:39" ht="13.9" customHeight="1">
      <c r="A86" s="239" t="s">
        <v>12</v>
      </c>
      <c r="B86" s="239" t="s">
        <v>53</v>
      </c>
      <c r="C86" s="241">
        <v>0.39909125331313894</v>
      </c>
      <c r="D86" s="242">
        <v>0.23847376788553259</v>
      </c>
      <c r="E86" s="242">
        <v>0.2533639645553003</v>
      </c>
      <c r="F86" s="242">
        <v>0.27786499215070642</v>
      </c>
      <c r="G86" s="242">
        <v>0.22222222222222221</v>
      </c>
      <c r="H86" s="243">
        <v>0.28066528066528068</v>
      </c>
      <c r="I86" s="241">
        <v>0.3057124097176625</v>
      </c>
      <c r="J86" s="241">
        <v>0</v>
      </c>
      <c r="K86" s="242">
        <v>0</v>
      </c>
      <c r="L86" s="242">
        <v>0</v>
      </c>
      <c r="M86" s="242">
        <v>0</v>
      </c>
      <c r="N86" s="243">
        <v>0</v>
      </c>
      <c r="O86" s="241">
        <v>0</v>
      </c>
      <c r="P86" s="241">
        <v>0</v>
      </c>
      <c r="Q86" s="242">
        <v>0</v>
      </c>
      <c r="R86" s="243">
        <v>0</v>
      </c>
      <c r="S86" s="241">
        <v>0</v>
      </c>
      <c r="T86" s="253"/>
      <c r="U86" s="245">
        <v>1054</v>
      </c>
      <c r="V86" s="246">
        <v>150</v>
      </c>
      <c r="W86" s="246">
        <v>772</v>
      </c>
      <c r="X86" s="246">
        <v>177</v>
      </c>
      <c r="Y86" s="246">
        <v>40</v>
      </c>
      <c r="Z86" s="246">
        <v>135</v>
      </c>
      <c r="AA86" s="247">
        <v>2328</v>
      </c>
      <c r="AB86" s="245">
        <v>0</v>
      </c>
      <c r="AC86" s="246">
        <v>0</v>
      </c>
      <c r="AD86" s="246">
        <v>0</v>
      </c>
      <c r="AE86" s="246">
        <v>0</v>
      </c>
      <c r="AF86" s="246">
        <v>0</v>
      </c>
      <c r="AG86" s="247">
        <v>0</v>
      </c>
      <c r="AH86" s="246">
        <v>0</v>
      </c>
      <c r="AI86" s="246">
        <v>0</v>
      </c>
      <c r="AJ86" s="246">
        <v>0</v>
      </c>
      <c r="AK86" s="245">
        <v>0</v>
      </c>
    </row>
    <row r="87" spans="1:39" ht="13.9" customHeight="1">
      <c r="A87" s="249"/>
      <c r="B87" s="239" t="s">
        <v>93</v>
      </c>
      <c r="C87" s="250">
        <v>0.23968193865959864</v>
      </c>
      <c r="D87" s="251">
        <v>0.26232114467408585</v>
      </c>
      <c r="E87" s="251">
        <v>0.29602888086642598</v>
      </c>
      <c r="F87" s="251">
        <v>0.28414442700156983</v>
      </c>
      <c r="G87" s="251">
        <v>0.25555555555555554</v>
      </c>
      <c r="H87" s="252">
        <v>0.25571725571725573</v>
      </c>
      <c r="I87" s="250">
        <v>0.26920551543007221</v>
      </c>
      <c r="J87" s="250">
        <v>0</v>
      </c>
      <c r="K87" s="251">
        <v>0</v>
      </c>
      <c r="L87" s="251">
        <v>0</v>
      </c>
      <c r="M87" s="251">
        <v>0</v>
      </c>
      <c r="N87" s="252">
        <v>0</v>
      </c>
      <c r="O87" s="250">
        <v>0</v>
      </c>
      <c r="P87" s="250">
        <v>0</v>
      </c>
      <c r="Q87" s="251">
        <v>0</v>
      </c>
      <c r="R87" s="252">
        <v>0</v>
      </c>
      <c r="S87" s="250">
        <v>0</v>
      </c>
      <c r="T87" s="253"/>
      <c r="U87" s="254">
        <v>633</v>
      </c>
      <c r="V87" s="255">
        <v>165</v>
      </c>
      <c r="W87" s="255">
        <v>902</v>
      </c>
      <c r="X87" s="255">
        <v>181</v>
      </c>
      <c r="Y87" s="255">
        <v>46</v>
      </c>
      <c r="Z87" s="255">
        <v>123</v>
      </c>
      <c r="AA87" s="256">
        <v>2050</v>
      </c>
      <c r="AB87" s="254">
        <v>0</v>
      </c>
      <c r="AC87" s="255">
        <v>0</v>
      </c>
      <c r="AD87" s="255">
        <v>0</v>
      </c>
      <c r="AE87" s="255">
        <v>0</v>
      </c>
      <c r="AF87" s="255">
        <v>0</v>
      </c>
      <c r="AG87" s="256">
        <v>0</v>
      </c>
      <c r="AH87" s="255">
        <v>0</v>
      </c>
      <c r="AI87" s="255">
        <v>0</v>
      </c>
      <c r="AJ87" s="255">
        <v>0</v>
      </c>
      <c r="AK87" s="254">
        <v>0</v>
      </c>
    </row>
    <row r="88" spans="1:39" ht="13.9" customHeight="1">
      <c r="A88" s="249"/>
      <c r="B88" s="239" t="s">
        <v>55</v>
      </c>
      <c r="C88" s="250">
        <v>0.18477849299507762</v>
      </c>
      <c r="D88" s="251">
        <v>0.24801271860095389</v>
      </c>
      <c r="E88" s="251">
        <v>0.24154906465375781</v>
      </c>
      <c r="F88" s="251">
        <v>0.23861852433281006</v>
      </c>
      <c r="G88" s="251">
        <v>0.2722222222222222</v>
      </c>
      <c r="H88" s="252">
        <v>0.26819126819126821</v>
      </c>
      <c r="I88" s="250">
        <v>0.22455679579776758</v>
      </c>
      <c r="J88" s="250">
        <v>0</v>
      </c>
      <c r="K88" s="251">
        <v>0</v>
      </c>
      <c r="L88" s="251">
        <v>0</v>
      </c>
      <c r="M88" s="251">
        <v>0</v>
      </c>
      <c r="N88" s="252">
        <v>0</v>
      </c>
      <c r="O88" s="250">
        <v>0</v>
      </c>
      <c r="P88" s="250">
        <v>0</v>
      </c>
      <c r="Q88" s="251">
        <v>0</v>
      </c>
      <c r="R88" s="252">
        <v>0</v>
      </c>
      <c r="S88" s="250">
        <v>0</v>
      </c>
      <c r="T88" s="253"/>
      <c r="U88" s="254">
        <v>488</v>
      </c>
      <c r="V88" s="255">
        <v>156</v>
      </c>
      <c r="W88" s="255">
        <v>736</v>
      </c>
      <c r="X88" s="255">
        <v>152</v>
      </c>
      <c r="Y88" s="255">
        <v>49</v>
      </c>
      <c r="Z88" s="255">
        <v>129</v>
      </c>
      <c r="AA88" s="256">
        <v>1710</v>
      </c>
      <c r="AB88" s="254">
        <v>0</v>
      </c>
      <c r="AC88" s="255">
        <v>0</v>
      </c>
      <c r="AD88" s="255">
        <v>0</v>
      </c>
      <c r="AE88" s="255">
        <v>0</v>
      </c>
      <c r="AF88" s="255">
        <v>0</v>
      </c>
      <c r="AG88" s="256">
        <v>0</v>
      </c>
      <c r="AH88" s="255">
        <v>0</v>
      </c>
      <c r="AI88" s="255">
        <v>0</v>
      </c>
      <c r="AJ88" s="255">
        <v>0</v>
      </c>
      <c r="AK88" s="254">
        <v>0</v>
      </c>
    </row>
    <row r="89" spans="1:39" ht="13.9" customHeight="1">
      <c r="A89" s="249"/>
      <c r="B89" s="239" t="s">
        <v>78</v>
      </c>
      <c r="C89" s="250">
        <v>7.1942446043165471E-3</v>
      </c>
      <c r="D89" s="251">
        <v>1.5898251192368838E-2</v>
      </c>
      <c r="E89" s="251">
        <v>1.0173941581883819E-2</v>
      </c>
      <c r="F89" s="251">
        <v>1.726844583987441E-2</v>
      </c>
      <c r="G89" s="251">
        <v>3.3333333333333333E-2</v>
      </c>
      <c r="H89" s="252">
        <v>3.7422037422037424E-2</v>
      </c>
      <c r="I89" s="250">
        <v>1.247537754432042E-2</v>
      </c>
      <c r="J89" s="250">
        <v>0</v>
      </c>
      <c r="K89" s="251">
        <v>0</v>
      </c>
      <c r="L89" s="251">
        <v>0</v>
      </c>
      <c r="M89" s="251">
        <v>0</v>
      </c>
      <c r="N89" s="252">
        <v>0</v>
      </c>
      <c r="O89" s="250">
        <v>0</v>
      </c>
      <c r="P89" s="250">
        <v>0</v>
      </c>
      <c r="Q89" s="251">
        <v>0</v>
      </c>
      <c r="R89" s="252">
        <v>0</v>
      </c>
      <c r="S89" s="250">
        <v>0</v>
      </c>
      <c r="T89" s="253"/>
      <c r="U89" s="254">
        <v>19</v>
      </c>
      <c r="V89" s="255">
        <v>10</v>
      </c>
      <c r="W89" s="255">
        <v>31</v>
      </c>
      <c r="X89" s="255">
        <v>11</v>
      </c>
      <c r="Y89" s="255">
        <v>6</v>
      </c>
      <c r="Z89" s="255">
        <v>18</v>
      </c>
      <c r="AA89" s="256">
        <v>95</v>
      </c>
      <c r="AB89" s="254">
        <v>0</v>
      </c>
      <c r="AC89" s="255">
        <v>0</v>
      </c>
      <c r="AD89" s="255">
        <v>0</v>
      </c>
      <c r="AE89" s="255">
        <v>0</v>
      </c>
      <c r="AF89" s="255">
        <v>0</v>
      </c>
      <c r="AG89" s="256">
        <v>0</v>
      </c>
      <c r="AH89" s="255">
        <v>0</v>
      </c>
      <c r="AI89" s="255">
        <v>0</v>
      </c>
      <c r="AJ89" s="255">
        <v>0</v>
      </c>
      <c r="AK89" s="254">
        <v>0</v>
      </c>
    </row>
    <row r="90" spans="1:39" ht="13.9" customHeight="1">
      <c r="A90" s="249"/>
      <c r="B90" s="239" t="s">
        <v>32</v>
      </c>
      <c r="C90" s="250">
        <v>0.16925407042786822</v>
      </c>
      <c r="D90" s="251">
        <v>0.23529411764705882</v>
      </c>
      <c r="E90" s="251">
        <v>0.1988841483426321</v>
      </c>
      <c r="F90" s="251">
        <v>0.18210361067503925</v>
      </c>
      <c r="G90" s="251">
        <v>0.21666666666666667</v>
      </c>
      <c r="H90" s="252">
        <v>0.15800415800415801</v>
      </c>
      <c r="I90" s="250">
        <v>0.18804990151017728</v>
      </c>
      <c r="J90" s="250">
        <v>0</v>
      </c>
      <c r="K90" s="251">
        <v>0</v>
      </c>
      <c r="L90" s="251">
        <v>0</v>
      </c>
      <c r="M90" s="251">
        <v>0</v>
      </c>
      <c r="N90" s="252">
        <v>0</v>
      </c>
      <c r="O90" s="250">
        <v>0</v>
      </c>
      <c r="P90" s="250">
        <v>0</v>
      </c>
      <c r="Q90" s="251">
        <v>0</v>
      </c>
      <c r="R90" s="252">
        <v>0</v>
      </c>
      <c r="S90" s="250">
        <v>0</v>
      </c>
      <c r="T90" s="253"/>
      <c r="U90" s="254">
        <v>447</v>
      </c>
      <c r="V90" s="255">
        <v>148</v>
      </c>
      <c r="W90" s="255">
        <v>606</v>
      </c>
      <c r="X90" s="255">
        <v>116</v>
      </c>
      <c r="Y90" s="255">
        <v>39</v>
      </c>
      <c r="Z90" s="255">
        <v>76</v>
      </c>
      <c r="AA90" s="256">
        <v>1432</v>
      </c>
      <c r="AB90" s="254">
        <v>0</v>
      </c>
      <c r="AC90" s="255">
        <v>0</v>
      </c>
      <c r="AD90" s="255">
        <v>0</v>
      </c>
      <c r="AE90" s="255">
        <v>0</v>
      </c>
      <c r="AF90" s="255">
        <v>0</v>
      </c>
      <c r="AG90" s="256">
        <v>0</v>
      </c>
      <c r="AH90" s="255">
        <v>0</v>
      </c>
      <c r="AI90" s="255">
        <v>0</v>
      </c>
      <c r="AJ90" s="255">
        <v>0</v>
      </c>
      <c r="AK90" s="254">
        <v>0</v>
      </c>
    </row>
    <row r="91" spans="1:39" ht="13.9" customHeight="1">
      <c r="A91" s="249"/>
      <c r="B91" s="239" t="s">
        <v>58</v>
      </c>
      <c r="C91" s="250">
        <v>0</v>
      </c>
      <c r="D91" s="251">
        <v>0</v>
      </c>
      <c r="E91" s="251">
        <v>0</v>
      </c>
      <c r="F91" s="251">
        <v>0</v>
      </c>
      <c r="G91" s="251">
        <v>0</v>
      </c>
      <c r="H91" s="252">
        <v>0</v>
      </c>
      <c r="I91" s="250">
        <v>0</v>
      </c>
      <c r="J91" s="250">
        <v>0</v>
      </c>
      <c r="K91" s="251">
        <v>1</v>
      </c>
      <c r="L91" s="251">
        <v>1</v>
      </c>
      <c r="M91" s="251">
        <v>1</v>
      </c>
      <c r="N91" s="252">
        <v>0</v>
      </c>
      <c r="O91" s="250">
        <v>1</v>
      </c>
      <c r="P91" s="250">
        <v>0</v>
      </c>
      <c r="Q91" s="251">
        <v>0</v>
      </c>
      <c r="R91" s="252">
        <v>0</v>
      </c>
      <c r="S91" s="250">
        <v>0</v>
      </c>
      <c r="T91" s="253"/>
      <c r="U91" s="254">
        <v>0</v>
      </c>
      <c r="V91" s="255">
        <v>0</v>
      </c>
      <c r="W91" s="255">
        <v>0</v>
      </c>
      <c r="X91" s="255">
        <v>0</v>
      </c>
      <c r="Y91" s="255">
        <v>0</v>
      </c>
      <c r="Z91" s="255">
        <v>0</v>
      </c>
      <c r="AA91" s="256">
        <v>0</v>
      </c>
      <c r="AB91" s="254">
        <v>0</v>
      </c>
      <c r="AC91" s="255">
        <v>1673</v>
      </c>
      <c r="AD91" s="255">
        <v>2236</v>
      </c>
      <c r="AE91" s="255">
        <v>855</v>
      </c>
      <c r="AF91" s="255">
        <v>0</v>
      </c>
      <c r="AG91" s="256">
        <v>4764</v>
      </c>
      <c r="AH91" s="255">
        <v>0</v>
      </c>
      <c r="AI91" s="255">
        <v>0</v>
      </c>
      <c r="AJ91" s="255">
        <v>0</v>
      </c>
      <c r="AK91" s="254">
        <v>0</v>
      </c>
    </row>
    <row r="92" spans="1:39" s="406" customFormat="1" ht="24" customHeight="1">
      <c r="A92" s="259"/>
      <c r="B92" s="260" t="s">
        <v>59</v>
      </c>
      <c r="C92" s="261">
        <v>1</v>
      </c>
      <c r="D92" s="262">
        <v>1</v>
      </c>
      <c r="E92" s="262">
        <v>1</v>
      </c>
      <c r="F92" s="262">
        <v>1</v>
      </c>
      <c r="G92" s="262">
        <v>1</v>
      </c>
      <c r="H92" s="263">
        <v>1</v>
      </c>
      <c r="I92" s="261">
        <v>1</v>
      </c>
      <c r="J92" s="261">
        <v>0</v>
      </c>
      <c r="K92" s="262">
        <v>1</v>
      </c>
      <c r="L92" s="262">
        <v>1</v>
      </c>
      <c r="M92" s="262">
        <v>1</v>
      </c>
      <c r="N92" s="263">
        <v>0</v>
      </c>
      <c r="O92" s="261">
        <v>1</v>
      </c>
      <c r="P92" s="261">
        <v>0</v>
      </c>
      <c r="Q92" s="262">
        <v>0</v>
      </c>
      <c r="R92" s="263">
        <v>0</v>
      </c>
      <c r="S92" s="261">
        <v>0</v>
      </c>
      <c r="T92" s="264"/>
      <c r="U92" s="265">
        <v>2641</v>
      </c>
      <c r="V92" s="266">
        <v>629</v>
      </c>
      <c r="W92" s="266">
        <v>3047</v>
      </c>
      <c r="X92" s="266">
        <v>637</v>
      </c>
      <c r="Y92" s="266">
        <v>180</v>
      </c>
      <c r="Z92" s="266">
        <v>481</v>
      </c>
      <c r="AA92" s="267">
        <v>7615</v>
      </c>
      <c r="AB92" s="265">
        <v>0</v>
      </c>
      <c r="AC92" s="266">
        <v>1673</v>
      </c>
      <c r="AD92" s="266">
        <v>2236</v>
      </c>
      <c r="AE92" s="266">
        <v>855</v>
      </c>
      <c r="AF92" s="266">
        <v>0</v>
      </c>
      <c r="AG92" s="267">
        <v>4764</v>
      </c>
      <c r="AH92" s="266">
        <v>0</v>
      </c>
      <c r="AI92" s="266">
        <v>0</v>
      </c>
      <c r="AJ92" s="266">
        <v>0</v>
      </c>
      <c r="AK92" s="265">
        <v>0</v>
      </c>
      <c r="AL92" s="405"/>
      <c r="AM92" s="405"/>
    </row>
    <row r="93" spans="1:39" ht="13.9" customHeight="1">
      <c r="A93" s="239" t="s">
        <v>13</v>
      </c>
      <c r="B93" s="239" t="s">
        <v>53</v>
      </c>
      <c r="C93" s="241">
        <v>0.3567351598173516</v>
      </c>
      <c r="D93" s="242">
        <v>0</v>
      </c>
      <c r="E93" s="242">
        <v>0.40425531914893614</v>
      </c>
      <c r="F93" s="242">
        <v>0.25</v>
      </c>
      <c r="G93" s="242">
        <v>0.23312101910828026</v>
      </c>
      <c r="H93" s="243">
        <v>0.14782608695652175</v>
      </c>
      <c r="I93" s="241">
        <v>0.31069658991547655</v>
      </c>
      <c r="J93" s="241">
        <v>7.7669902912621352E-2</v>
      </c>
      <c r="K93" s="242">
        <v>0</v>
      </c>
      <c r="L93" s="242">
        <v>0</v>
      </c>
      <c r="M93" s="242">
        <v>0</v>
      </c>
      <c r="N93" s="243">
        <v>0</v>
      </c>
      <c r="O93" s="241">
        <v>6.4000000000000003E-3</v>
      </c>
      <c r="P93" s="241">
        <v>0</v>
      </c>
      <c r="Q93" s="242">
        <v>0</v>
      </c>
      <c r="R93" s="243">
        <v>0</v>
      </c>
      <c r="S93" s="241">
        <v>0</v>
      </c>
      <c r="T93" s="253"/>
      <c r="U93" s="245">
        <v>625</v>
      </c>
      <c r="V93" s="246">
        <v>0</v>
      </c>
      <c r="W93" s="246">
        <v>152</v>
      </c>
      <c r="X93" s="246">
        <v>72</v>
      </c>
      <c r="Y93" s="246">
        <v>183</v>
      </c>
      <c r="Z93" s="246">
        <v>34</v>
      </c>
      <c r="AA93" s="247">
        <v>1066</v>
      </c>
      <c r="AB93" s="245">
        <v>8</v>
      </c>
      <c r="AC93" s="246">
        <v>0</v>
      </c>
      <c r="AD93" s="246">
        <v>0</v>
      </c>
      <c r="AE93" s="246">
        <v>0</v>
      </c>
      <c r="AF93" s="246">
        <v>0</v>
      </c>
      <c r="AG93" s="247">
        <v>8</v>
      </c>
      <c r="AH93" s="246">
        <v>0</v>
      </c>
      <c r="AI93" s="246">
        <v>0</v>
      </c>
      <c r="AJ93" s="246">
        <v>0</v>
      </c>
      <c r="AK93" s="245">
        <v>0</v>
      </c>
    </row>
    <row r="94" spans="1:39" ht="13.9" customHeight="1">
      <c r="A94" s="249"/>
      <c r="B94" s="239" t="s">
        <v>93</v>
      </c>
      <c r="C94" s="250">
        <v>0.27511415525114158</v>
      </c>
      <c r="D94" s="251">
        <v>0</v>
      </c>
      <c r="E94" s="251">
        <v>0.13563829787234041</v>
      </c>
      <c r="F94" s="251">
        <v>0.20833333333333334</v>
      </c>
      <c r="G94" s="251">
        <v>0.23057324840764332</v>
      </c>
      <c r="H94" s="252">
        <v>0.21739130434782608</v>
      </c>
      <c r="I94" s="250">
        <v>0.24016321772078111</v>
      </c>
      <c r="J94" s="250">
        <v>4.8543689320388349E-2</v>
      </c>
      <c r="K94" s="251">
        <v>0</v>
      </c>
      <c r="L94" s="251">
        <v>0</v>
      </c>
      <c r="M94" s="251">
        <v>0</v>
      </c>
      <c r="N94" s="252">
        <v>0</v>
      </c>
      <c r="O94" s="272">
        <v>4.0000000000000001E-3</v>
      </c>
      <c r="P94" s="250">
        <v>0</v>
      </c>
      <c r="Q94" s="251">
        <v>0</v>
      </c>
      <c r="R94" s="252">
        <v>0</v>
      </c>
      <c r="S94" s="250">
        <v>0</v>
      </c>
      <c r="T94" s="253"/>
      <c r="U94" s="254">
        <v>482</v>
      </c>
      <c r="V94" s="255">
        <v>0</v>
      </c>
      <c r="W94" s="255">
        <v>51</v>
      </c>
      <c r="X94" s="255">
        <v>60</v>
      </c>
      <c r="Y94" s="255">
        <v>181</v>
      </c>
      <c r="Z94" s="255">
        <v>50</v>
      </c>
      <c r="AA94" s="256">
        <v>824</v>
      </c>
      <c r="AB94" s="254">
        <v>5</v>
      </c>
      <c r="AC94" s="255">
        <v>0</v>
      </c>
      <c r="AD94" s="255">
        <v>0</v>
      </c>
      <c r="AE94" s="255">
        <v>0</v>
      </c>
      <c r="AF94" s="255">
        <v>0</v>
      </c>
      <c r="AG94" s="256">
        <v>5</v>
      </c>
      <c r="AH94" s="255">
        <v>0</v>
      </c>
      <c r="AI94" s="255">
        <v>0</v>
      </c>
      <c r="AJ94" s="255">
        <v>0</v>
      </c>
      <c r="AK94" s="254">
        <v>0</v>
      </c>
    </row>
    <row r="95" spans="1:39" ht="13.9" customHeight="1">
      <c r="A95" s="249"/>
      <c r="B95" s="239" t="s">
        <v>55</v>
      </c>
      <c r="C95" s="250">
        <v>0.25171232876712329</v>
      </c>
      <c r="D95" s="251">
        <v>0</v>
      </c>
      <c r="E95" s="251">
        <v>0.27925531914893614</v>
      </c>
      <c r="F95" s="251">
        <v>0.33680555555555558</v>
      </c>
      <c r="G95" s="251">
        <v>0.31337579617834393</v>
      </c>
      <c r="H95" s="252">
        <v>0.35652173913043478</v>
      </c>
      <c r="I95" s="250">
        <v>0.2830078694258234</v>
      </c>
      <c r="J95" s="250">
        <v>0.43689320388349512</v>
      </c>
      <c r="K95" s="251">
        <v>0</v>
      </c>
      <c r="L95" s="251">
        <v>0</v>
      </c>
      <c r="M95" s="251">
        <v>0</v>
      </c>
      <c r="N95" s="252">
        <v>0</v>
      </c>
      <c r="O95" s="250">
        <v>3.5999999999999997E-2</v>
      </c>
      <c r="P95" s="250">
        <v>0</v>
      </c>
      <c r="Q95" s="251">
        <v>0</v>
      </c>
      <c r="R95" s="252">
        <v>0</v>
      </c>
      <c r="S95" s="250">
        <v>0</v>
      </c>
      <c r="T95" s="253"/>
      <c r="U95" s="254">
        <v>441</v>
      </c>
      <c r="V95" s="255">
        <v>0</v>
      </c>
      <c r="W95" s="255">
        <v>105</v>
      </c>
      <c r="X95" s="255">
        <v>97</v>
      </c>
      <c r="Y95" s="255">
        <v>246</v>
      </c>
      <c r="Z95" s="255">
        <v>82</v>
      </c>
      <c r="AA95" s="256">
        <v>971</v>
      </c>
      <c r="AB95" s="254">
        <v>45</v>
      </c>
      <c r="AC95" s="255">
        <v>0</v>
      </c>
      <c r="AD95" s="255">
        <v>0</v>
      </c>
      <c r="AE95" s="255">
        <v>0</v>
      </c>
      <c r="AF95" s="255">
        <v>0</v>
      </c>
      <c r="AG95" s="256">
        <v>45</v>
      </c>
      <c r="AH95" s="255">
        <v>0</v>
      </c>
      <c r="AI95" s="255">
        <v>0</v>
      </c>
      <c r="AJ95" s="255">
        <v>0</v>
      </c>
      <c r="AK95" s="254">
        <v>0</v>
      </c>
    </row>
    <row r="96" spans="1:39" ht="13.9" customHeight="1">
      <c r="A96" s="249"/>
      <c r="B96" s="239" t="s">
        <v>78</v>
      </c>
      <c r="C96" s="250">
        <v>0.11643835616438356</v>
      </c>
      <c r="D96" s="251">
        <v>0</v>
      </c>
      <c r="E96" s="251">
        <v>0.18085106382978725</v>
      </c>
      <c r="F96" s="251">
        <v>0.2048611111111111</v>
      </c>
      <c r="G96" s="251">
        <v>0.22292993630573249</v>
      </c>
      <c r="H96" s="252">
        <v>0.27826086956521739</v>
      </c>
      <c r="I96" s="250">
        <v>0.16613232293791896</v>
      </c>
      <c r="J96" s="250">
        <v>0.20388349514563106</v>
      </c>
      <c r="K96" s="251">
        <v>0</v>
      </c>
      <c r="L96" s="251">
        <v>0</v>
      </c>
      <c r="M96" s="251">
        <v>0</v>
      </c>
      <c r="N96" s="252">
        <v>0</v>
      </c>
      <c r="O96" s="250">
        <v>1.6799999999999999E-2</v>
      </c>
      <c r="P96" s="250">
        <v>0</v>
      </c>
      <c r="Q96" s="251">
        <v>0</v>
      </c>
      <c r="R96" s="252">
        <v>0</v>
      </c>
      <c r="S96" s="250">
        <v>0</v>
      </c>
      <c r="T96" s="253"/>
      <c r="U96" s="254">
        <v>204</v>
      </c>
      <c r="V96" s="255">
        <v>0</v>
      </c>
      <c r="W96" s="255">
        <v>68</v>
      </c>
      <c r="X96" s="255">
        <v>59</v>
      </c>
      <c r="Y96" s="255">
        <v>175</v>
      </c>
      <c r="Z96" s="255">
        <v>64</v>
      </c>
      <c r="AA96" s="256">
        <v>570</v>
      </c>
      <c r="AB96" s="254">
        <v>21</v>
      </c>
      <c r="AC96" s="255">
        <v>0</v>
      </c>
      <c r="AD96" s="255">
        <v>0</v>
      </c>
      <c r="AE96" s="255">
        <v>0</v>
      </c>
      <c r="AF96" s="255">
        <v>0</v>
      </c>
      <c r="AG96" s="256">
        <v>21</v>
      </c>
      <c r="AH96" s="255">
        <v>0</v>
      </c>
      <c r="AI96" s="255">
        <v>0</v>
      </c>
      <c r="AJ96" s="255">
        <v>0</v>
      </c>
      <c r="AK96" s="254">
        <v>0</v>
      </c>
    </row>
    <row r="97" spans="1:39" ht="13.9" customHeight="1">
      <c r="A97" s="249"/>
      <c r="B97" s="239" t="s">
        <v>32</v>
      </c>
      <c r="C97" s="250">
        <v>0</v>
      </c>
      <c r="D97" s="251">
        <v>0</v>
      </c>
      <c r="E97" s="251">
        <v>0</v>
      </c>
      <c r="F97" s="251">
        <v>0</v>
      </c>
      <c r="G97" s="251">
        <v>0</v>
      </c>
      <c r="H97" s="252">
        <v>0</v>
      </c>
      <c r="I97" s="250">
        <v>0</v>
      </c>
      <c r="J97" s="250">
        <v>0.23300970873786409</v>
      </c>
      <c r="K97" s="251">
        <v>0</v>
      </c>
      <c r="L97" s="251">
        <v>0</v>
      </c>
      <c r="M97" s="251">
        <v>0</v>
      </c>
      <c r="N97" s="252">
        <v>0</v>
      </c>
      <c r="O97" s="250">
        <v>1.9199999999999998E-2</v>
      </c>
      <c r="P97" s="250">
        <v>0</v>
      </c>
      <c r="Q97" s="251">
        <v>0</v>
      </c>
      <c r="R97" s="252">
        <v>0</v>
      </c>
      <c r="S97" s="250">
        <v>0</v>
      </c>
      <c r="T97" s="253"/>
      <c r="U97" s="254">
        <v>0</v>
      </c>
      <c r="V97" s="255">
        <v>0</v>
      </c>
      <c r="W97" s="255">
        <v>0</v>
      </c>
      <c r="X97" s="255">
        <v>0</v>
      </c>
      <c r="Y97" s="255">
        <v>0</v>
      </c>
      <c r="Z97" s="255">
        <v>0</v>
      </c>
      <c r="AA97" s="256">
        <v>0</v>
      </c>
      <c r="AB97" s="254">
        <v>24</v>
      </c>
      <c r="AC97" s="255">
        <v>0</v>
      </c>
      <c r="AD97" s="255">
        <v>0</v>
      </c>
      <c r="AE97" s="255">
        <v>0</v>
      </c>
      <c r="AF97" s="255">
        <v>0</v>
      </c>
      <c r="AG97" s="256">
        <v>24</v>
      </c>
      <c r="AH97" s="255">
        <v>0</v>
      </c>
      <c r="AI97" s="255">
        <v>0</v>
      </c>
      <c r="AJ97" s="255">
        <v>0</v>
      </c>
      <c r="AK97" s="254">
        <v>0</v>
      </c>
    </row>
    <row r="98" spans="1:39" ht="13.9" customHeight="1">
      <c r="A98" s="249"/>
      <c r="B98" s="239" t="s">
        <v>58</v>
      </c>
      <c r="C98" s="250">
        <v>0</v>
      </c>
      <c r="D98" s="251">
        <v>0</v>
      </c>
      <c r="E98" s="251">
        <v>0</v>
      </c>
      <c r="F98" s="251">
        <v>0</v>
      </c>
      <c r="G98" s="251">
        <v>0</v>
      </c>
      <c r="H98" s="252">
        <v>0</v>
      </c>
      <c r="I98" s="250">
        <v>0</v>
      </c>
      <c r="J98" s="250">
        <v>0</v>
      </c>
      <c r="K98" s="251">
        <v>1</v>
      </c>
      <c r="L98" s="251">
        <v>1</v>
      </c>
      <c r="M98" s="251">
        <v>1</v>
      </c>
      <c r="N98" s="252">
        <v>0</v>
      </c>
      <c r="O98" s="250">
        <v>0.91759999999999997</v>
      </c>
      <c r="P98" s="250">
        <v>0</v>
      </c>
      <c r="Q98" s="251">
        <v>0</v>
      </c>
      <c r="R98" s="252">
        <v>0</v>
      </c>
      <c r="S98" s="250">
        <v>0</v>
      </c>
      <c r="T98" s="253"/>
      <c r="U98" s="254">
        <v>0</v>
      </c>
      <c r="V98" s="255">
        <v>0</v>
      </c>
      <c r="W98" s="255">
        <v>0</v>
      </c>
      <c r="X98" s="255">
        <v>0</v>
      </c>
      <c r="Y98" s="255">
        <v>0</v>
      </c>
      <c r="Z98" s="255">
        <v>0</v>
      </c>
      <c r="AA98" s="256">
        <v>0</v>
      </c>
      <c r="AB98" s="254">
        <v>0</v>
      </c>
      <c r="AC98" s="255">
        <v>379</v>
      </c>
      <c r="AD98" s="255">
        <v>382</v>
      </c>
      <c r="AE98" s="255">
        <v>386</v>
      </c>
      <c r="AF98" s="255">
        <v>0</v>
      </c>
      <c r="AG98" s="256">
        <v>1147</v>
      </c>
      <c r="AH98" s="255">
        <v>0</v>
      </c>
      <c r="AI98" s="255">
        <v>0</v>
      </c>
      <c r="AJ98" s="255">
        <v>0</v>
      </c>
      <c r="AK98" s="254">
        <v>0</v>
      </c>
    </row>
    <row r="99" spans="1:39" s="406" customFormat="1" ht="24" customHeight="1">
      <c r="A99" s="259"/>
      <c r="B99" s="260" t="s">
        <v>59</v>
      </c>
      <c r="C99" s="261">
        <v>1</v>
      </c>
      <c r="D99" s="262">
        <v>0</v>
      </c>
      <c r="E99" s="262">
        <v>1</v>
      </c>
      <c r="F99" s="262">
        <v>1</v>
      </c>
      <c r="G99" s="262">
        <v>1</v>
      </c>
      <c r="H99" s="263">
        <v>1</v>
      </c>
      <c r="I99" s="261">
        <v>1</v>
      </c>
      <c r="J99" s="261">
        <v>1</v>
      </c>
      <c r="K99" s="262">
        <v>1</v>
      </c>
      <c r="L99" s="262">
        <v>1</v>
      </c>
      <c r="M99" s="262">
        <v>1</v>
      </c>
      <c r="N99" s="263">
        <v>0</v>
      </c>
      <c r="O99" s="261">
        <v>1</v>
      </c>
      <c r="P99" s="261">
        <v>0</v>
      </c>
      <c r="Q99" s="262">
        <v>0</v>
      </c>
      <c r="R99" s="263">
        <v>0</v>
      </c>
      <c r="S99" s="261">
        <v>0</v>
      </c>
      <c r="T99" s="264"/>
      <c r="U99" s="265">
        <v>1752</v>
      </c>
      <c r="V99" s="266">
        <v>0</v>
      </c>
      <c r="W99" s="266">
        <v>376</v>
      </c>
      <c r="X99" s="266">
        <v>288</v>
      </c>
      <c r="Y99" s="266">
        <v>785</v>
      </c>
      <c r="Z99" s="266">
        <v>230</v>
      </c>
      <c r="AA99" s="267">
        <v>3431</v>
      </c>
      <c r="AB99" s="265">
        <v>103</v>
      </c>
      <c r="AC99" s="266">
        <v>379</v>
      </c>
      <c r="AD99" s="266">
        <v>382</v>
      </c>
      <c r="AE99" s="266">
        <v>386</v>
      </c>
      <c r="AF99" s="266">
        <v>0</v>
      </c>
      <c r="AG99" s="267">
        <v>1250</v>
      </c>
      <c r="AH99" s="266">
        <v>0</v>
      </c>
      <c r="AI99" s="266">
        <v>0</v>
      </c>
      <c r="AJ99" s="266">
        <v>0</v>
      </c>
      <c r="AK99" s="265">
        <v>0</v>
      </c>
      <c r="AL99" s="405"/>
      <c r="AM99" s="405"/>
    </row>
    <row r="100" spans="1:39" ht="13.9" customHeight="1">
      <c r="A100" s="239" t="s">
        <v>14</v>
      </c>
      <c r="B100" s="239" t="s">
        <v>53</v>
      </c>
      <c r="C100" s="241">
        <v>0.4175824175824176</v>
      </c>
      <c r="D100" s="242">
        <v>0</v>
      </c>
      <c r="E100" s="242">
        <v>0.27099236641221375</v>
      </c>
      <c r="F100" s="242">
        <v>0.27655986509274871</v>
      </c>
      <c r="G100" s="242">
        <v>0.30816326530612242</v>
      </c>
      <c r="H100" s="243">
        <v>0.25301204819277107</v>
      </c>
      <c r="I100" s="241">
        <v>0.34896110815130527</v>
      </c>
      <c r="J100" s="241">
        <v>0</v>
      </c>
      <c r="K100" s="242">
        <v>0</v>
      </c>
      <c r="L100" s="242">
        <v>0</v>
      </c>
      <c r="M100" s="242">
        <v>0.10597826086956522</v>
      </c>
      <c r="N100" s="243">
        <v>0</v>
      </c>
      <c r="O100" s="241">
        <v>2.1860986547085202E-2</v>
      </c>
      <c r="P100" s="241">
        <v>0</v>
      </c>
      <c r="Q100" s="242">
        <v>0</v>
      </c>
      <c r="R100" s="243">
        <v>0</v>
      </c>
      <c r="S100" s="241">
        <v>0</v>
      </c>
      <c r="T100" s="253"/>
      <c r="U100" s="245">
        <v>798</v>
      </c>
      <c r="V100" s="246">
        <v>0</v>
      </c>
      <c r="W100" s="246">
        <v>71</v>
      </c>
      <c r="X100" s="246">
        <v>164</v>
      </c>
      <c r="Y100" s="246">
        <v>151</v>
      </c>
      <c r="Z100" s="246">
        <v>126</v>
      </c>
      <c r="AA100" s="247">
        <v>1310</v>
      </c>
      <c r="AB100" s="245">
        <v>0</v>
      </c>
      <c r="AC100" s="246">
        <v>0</v>
      </c>
      <c r="AD100" s="246">
        <v>0</v>
      </c>
      <c r="AE100" s="246">
        <v>39</v>
      </c>
      <c r="AF100" s="246">
        <v>0</v>
      </c>
      <c r="AG100" s="247">
        <v>39</v>
      </c>
      <c r="AH100" s="246">
        <v>0</v>
      </c>
      <c r="AI100" s="246">
        <v>0</v>
      </c>
      <c r="AJ100" s="246">
        <v>0</v>
      </c>
      <c r="AK100" s="245">
        <v>0</v>
      </c>
    </row>
    <row r="101" spans="1:39" ht="13.9" customHeight="1">
      <c r="A101" s="249"/>
      <c r="B101" s="239" t="s">
        <v>93</v>
      </c>
      <c r="C101" s="250">
        <v>0.27891156462585032</v>
      </c>
      <c r="D101" s="251">
        <v>0</v>
      </c>
      <c r="E101" s="251">
        <v>0.32442748091603052</v>
      </c>
      <c r="F101" s="251">
        <v>0.33558178752107926</v>
      </c>
      <c r="G101" s="251">
        <v>0.25102040816326532</v>
      </c>
      <c r="H101" s="252">
        <v>0.26104417670682734</v>
      </c>
      <c r="I101" s="250">
        <v>0.28502930207778371</v>
      </c>
      <c r="J101" s="250">
        <v>0</v>
      </c>
      <c r="K101" s="251">
        <v>0</v>
      </c>
      <c r="L101" s="251">
        <v>0</v>
      </c>
      <c r="M101" s="251">
        <v>8.1521739130434784E-2</v>
      </c>
      <c r="N101" s="252">
        <v>0</v>
      </c>
      <c r="O101" s="250">
        <v>1.6816143497757848E-2</v>
      </c>
      <c r="P101" s="250">
        <v>0</v>
      </c>
      <c r="Q101" s="251">
        <v>0</v>
      </c>
      <c r="R101" s="252">
        <v>0</v>
      </c>
      <c r="S101" s="250">
        <v>0</v>
      </c>
      <c r="T101" s="253"/>
      <c r="U101" s="254">
        <v>533</v>
      </c>
      <c r="V101" s="255">
        <v>0</v>
      </c>
      <c r="W101" s="255">
        <v>85</v>
      </c>
      <c r="X101" s="255">
        <v>199</v>
      </c>
      <c r="Y101" s="255">
        <v>123</v>
      </c>
      <c r="Z101" s="255">
        <v>130</v>
      </c>
      <c r="AA101" s="256">
        <v>1070</v>
      </c>
      <c r="AB101" s="254">
        <v>0</v>
      </c>
      <c r="AC101" s="255">
        <v>0</v>
      </c>
      <c r="AD101" s="255">
        <v>0</v>
      </c>
      <c r="AE101" s="255">
        <v>30</v>
      </c>
      <c r="AF101" s="255">
        <v>0</v>
      </c>
      <c r="AG101" s="256">
        <v>30</v>
      </c>
      <c r="AH101" s="255">
        <v>0</v>
      </c>
      <c r="AI101" s="255">
        <v>0</v>
      </c>
      <c r="AJ101" s="255">
        <v>0</v>
      </c>
      <c r="AK101" s="254">
        <v>0</v>
      </c>
    </row>
    <row r="102" spans="1:39" ht="13.9" customHeight="1">
      <c r="A102" s="249"/>
      <c r="B102" s="239" t="s">
        <v>55</v>
      </c>
      <c r="C102" s="250">
        <v>0.23233908948194662</v>
      </c>
      <c r="D102" s="251">
        <v>0</v>
      </c>
      <c r="E102" s="251">
        <v>0.26717557251908397</v>
      </c>
      <c r="F102" s="251">
        <v>0.28667790893760542</v>
      </c>
      <c r="G102" s="251">
        <v>0.34285714285714286</v>
      </c>
      <c r="H102" s="252">
        <v>0.27710843373493976</v>
      </c>
      <c r="I102" s="250">
        <v>0.26371870005327652</v>
      </c>
      <c r="J102" s="250">
        <v>0</v>
      </c>
      <c r="K102" s="251">
        <v>0</v>
      </c>
      <c r="L102" s="251">
        <v>0</v>
      </c>
      <c r="M102" s="251">
        <v>7.0652173913043473E-2</v>
      </c>
      <c r="N102" s="252">
        <v>0</v>
      </c>
      <c r="O102" s="250">
        <v>1.4573991031390135E-2</v>
      </c>
      <c r="P102" s="250">
        <v>0</v>
      </c>
      <c r="Q102" s="251">
        <v>0</v>
      </c>
      <c r="R102" s="252">
        <v>0</v>
      </c>
      <c r="S102" s="250">
        <v>0</v>
      </c>
      <c r="T102" s="253"/>
      <c r="U102" s="254">
        <v>444</v>
      </c>
      <c r="V102" s="255">
        <v>0</v>
      </c>
      <c r="W102" s="255">
        <v>70</v>
      </c>
      <c r="X102" s="255">
        <v>170</v>
      </c>
      <c r="Y102" s="255">
        <v>168</v>
      </c>
      <c r="Z102" s="255">
        <v>138</v>
      </c>
      <c r="AA102" s="256">
        <v>990</v>
      </c>
      <c r="AB102" s="254">
        <v>0</v>
      </c>
      <c r="AC102" s="255">
        <v>0</v>
      </c>
      <c r="AD102" s="255">
        <v>0</v>
      </c>
      <c r="AE102" s="255">
        <v>26</v>
      </c>
      <c r="AF102" s="255">
        <v>0</v>
      </c>
      <c r="AG102" s="256">
        <v>26</v>
      </c>
      <c r="AH102" s="255">
        <v>0</v>
      </c>
      <c r="AI102" s="255">
        <v>0</v>
      </c>
      <c r="AJ102" s="255">
        <v>0</v>
      </c>
      <c r="AK102" s="254">
        <v>0</v>
      </c>
    </row>
    <row r="103" spans="1:39" ht="13.9" customHeight="1">
      <c r="A103" s="249"/>
      <c r="B103" s="239" t="s">
        <v>78</v>
      </c>
      <c r="C103" s="250">
        <v>5.5468341182626897E-2</v>
      </c>
      <c r="D103" s="251">
        <v>0</v>
      </c>
      <c r="E103" s="251">
        <v>0.10687022900763359</v>
      </c>
      <c r="F103" s="251">
        <v>9.6121416526138273E-2</v>
      </c>
      <c r="G103" s="251">
        <v>9.3877551020408165E-2</v>
      </c>
      <c r="H103" s="252">
        <v>0.20481927710843373</v>
      </c>
      <c r="I103" s="250">
        <v>9.0303676078849232E-2</v>
      </c>
      <c r="J103" s="250">
        <v>0</v>
      </c>
      <c r="K103" s="251">
        <v>0</v>
      </c>
      <c r="L103" s="251">
        <v>0</v>
      </c>
      <c r="M103" s="251">
        <v>6.25E-2</v>
      </c>
      <c r="N103" s="252">
        <v>0</v>
      </c>
      <c r="O103" s="250">
        <v>1.2892376681614351E-2</v>
      </c>
      <c r="P103" s="250">
        <v>0</v>
      </c>
      <c r="Q103" s="251">
        <v>0</v>
      </c>
      <c r="R103" s="252">
        <v>0</v>
      </c>
      <c r="S103" s="250">
        <v>0</v>
      </c>
      <c r="T103" s="253"/>
      <c r="U103" s="254">
        <v>106</v>
      </c>
      <c r="V103" s="255">
        <v>0</v>
      </c>
      <c r="W103" s="255">
        <v>28</v>
      </c>
      <c r="X103" s="255">
        <v>57</v>
      </c>
      <c r="Y103" s="255">
        <v>46</v>
      </c>
      <c r="Z103" s="255">
        <v>102</v>
      </c>
      <c r="AA103" s="256">
        <v>339</v>
      </c>
      <c r="AB103" s="254">
        <v>0</v>
      </c>
      <c r="AC103" s="255">
        <v>0</v>
      </c>
      <c r="AD103" s="255">
        <v>0</v>
      </c>
      <c r="AE103" s="255">
        <v>23</v>
      </c>
      <c r="AF103" s="255">
        <v>0</v>
      </c>
      <c r="AG103" s="256">
        <v>23</v>
      </c>
      <c r="AH103" s="255">
        <v>0</v>
      </c>
      <c r="AI103" s="255">
        <v>0</v>
      </c>
      <c r="AJ103" s="255">
        <v>0</v>
      </c>
      <c r="AK103" s="254">
        <v>0</v>
      </c>
    </row>
    <row r="104" spans="1:39" ht="13.9" customHeight="1">
      <c r="A104" s="249"/>
      <c r="B104" s="239" t="s">
        <v>32</v>
      </c>
      <c r="C104" s="250">
        <v>1.5698587127158554E-2</v>
      </c>
      <c r="D104" s="251">
        <v>0</v>
      </c>
      <c r="E104" s="251">
        <v>3.0534351145038167E-2</v>
      </c>
      <c r="F104" s="251">
        <v>5.0590219224283303E-3</v>
      </c>
      <c r="G104" s="273">
        <v>4.0816326530612249E-3</v>
      </c>
      <c r="H104" s="258">
        <v>4.0160642570281121E-3</v>
      </c>
      <c r="I104" s="250">
        <v>1.1987213638785296E-2</v>
      </c>
      <c r="J104" s="250">
        <v>0</v>
      </c>
      <c r="K104" s="251">
        <v>1</v>
      </c>
      <c r="L104" s="251">
        <v>1</v>
      </c>
      <c r="M104" s="251">
        <v>0.67934782608695654</v>
      </c>
      <c r="N104" s="252">
        <v>0</v>
      </c>
      <c r="O104" s="250">
        <v>0.93385650224215244</v>
      </c>
      <c r="P104" s="250">
        <v>0</v>
      </c>
      <c r="Q104" s="251">
        <v>0</v>
      </c>
      <c r="R104" s="252">
        <v>0</v>
      </c>
      <c r="S104" s="250">
        <v>0</v>
      </c>
      <c r="T104" s="253"/>
      <c r="U104" s="254">
        <v>30</v>
      </c>
      <c r="V104" s="255">
        <v>0</v>
      </c>
      <c r="W104" s="255">
        <v>8</v>
      </c>
      <c r="X104" s="255">
        <v>3</v>
      </c>
      <c r="Y104" s="255">
        <v>2</v>
      </c>
      <c r="Z104" s="255">
        <v>2</v>
      </c>
      <c r="AA104" s="256">
        <v>45</v>
      </c>
      <c r="AB104" s="254">
        <v>0</v>
      </c>
      <c r="AC104" s="255">
        <v>718</v>
      </c>
      <c r="AD104" s="255">
        <v>698</v>
      </c>
      <c r="AE104" s="255">
        <v>250</v>
      </c>
      <c r="AF104" s="255">
        <v>0</v>
      </c>
      <c r="AG104" s="256">
        <v>1666</v>
      </c>
      <c r="AH104" s="255">
        <v>0</v>
      </c>
      <c r="AI104" s="255">
        <v>0</v>
      </c>
      <c r="AJ104" s="255">
        <v>0</v>
      </c>
      <c r="AK104" s="254">
        <v>0</v>
      </c>
    </row>
    <row r="105" spans="1:39" ht="13.9" customHeight="1">
      <c r="A105" s="249"/>
      <c r="B105" s="239" t="s">
        <v>58</v>
      </c>
      <c r="C105" s="250">
        <v>0</v>
      </c>
      <c r="D105" s="251">
        <v>0</v>
      </c>
      <c r="E105" s="251">
        <v>0</v>
      </c>
      <c r="F105" s="251">
        <v>0</v>
      </c>
      <c r="G105" s="251">
        <v>0</v>
      </c>
      <c r="H105" s="252">
        <v>0</v>
      </c>
      <c r="I105" s="250">
        <v>0</v>
      </c>
      <c r="J105" s="250">
        <v>0</v>
      </c>
      <c r="K105" s="251">
        <v>0</v>
      </c>
      <c r="L105" s="251">
        <v>0</v>
      </c>
      <c r="M105" s="251">
        <v>0</v>
      </c>
      <c r="N105" s="252">
        <v>0</v>
      </c>
      <c r="O105" s="250">
        <v>0</v>
      </c>
      <c r="P105" s="250">
        <v>0</v>
      </c>
      <c r="Q105" s="251">
        <v>0</v>
      </c>
      <c r="R105" s="252">
        <v>0</v>
      </c>
      <c r="S105" s="250">
        <v>0</v>
      </c>
      <c r="T105" s="253"/>
      <c r="U105" s="254">
        <v>0</v>
      </c>
      <c r="V105" s="255">
        <v>0</v>
      </c>
      <c r="W105" s="255">
        <v>0</v>
      </c>
      <c r="X105" s="255">
        <v>0</v>
      </c>
      <c r="Y105" s="255">
        <v>0</v>
      </c>
      <c r="Z105" s="255">
        <v>0</v>
      </c>
      <c r="AA105" s="256">
        <v>0</v>
      </c>
      <c r="AB105" s="254">
        <v>0</v>
      </c>
      <c r="AC105" s="255">
        <v>0</v>
      </c>
      <c r="AD105" s="255">
        <v>0</v>
      </c>
      <c r="AE105" s="255">
        <v>0</v>
      </c>
      <c r="AF105" s="255">
        <v>0</v>
      </c>
      <c r="AG105" s="256">
        <v>0</v>
      </c>
      <c r="AH105" s="255">
        <v>0</v>
      </c>
      <c r="AI105" s="255">
        <v>0</v>
      </c>
      <c r="AJ105" s="255">
        <v>0</v>
      </c>
      <c r="AK105" s="254">
        <v>0</v>
      </c>
    </row>
    <row r="106" spans="1:39" s="406" customFormat="1" ht="24" customHeight="1">
      <c r="A106" s="259"/>
      <c r="B106" s="260" t="s">
        <v>59</v>
      </c>
      <c r="C106" s="261">
        <v>1</v>
      </c>
      <c r="D106" s="262">
        <v>0</v>
      </c>
      <c r="E106" s="262">
        <v>1</v>
      </c>
      <c r="F106" s="262">
        <v>1</v>
      </c>
      <c r="G106" s="262">
        <v>1</v>
      </c>
      <c r="H106" s="263">
        <v>1</v>
      </c>
      <c r="I106" s="261">
        <v>1</v>
      </c>
      <c r="J106" s="261">
        <v>0</v>
      </c>
      <c r="K106" s="262">
        <v>1</v>
      </c>
      <c r="L106" s="262">
        <v>1</v>
      </c>
      <c r="M106" s="262">
        <v>1</v>
      </c>
      <c r="N106" s="263">
        <v>0</v>
      </c>
      <c r="O106" s="261">
        <v>1</v>
      </c>
      <c r="P106" s="261">
        <v>0</v>
      </c>
      <c r="Q106" s="262">
        <v>0</v>
      </c>
      <c r="R106" s="263">
        <v>0</v>
      </c>
      <c r="S106" s="261">
        <v>0</v>
      </c>
      <c r="T106" s="264"/>
      <c r="U106" s="265">
        <v>1911</v>
      </c>
      <c r="V106" s="266">
        <v>0</v>
      </c>
      <c r="W106" s="266">
        <v>262</v>
      </c>
      <c r="X106" s="266">
        <v>593</v>
      </c>
      <c r="Y106" s="266">
        <v>490</v>
      </c>
      <c r="Z106" s="266">
        <v>498</v>
      </c>
      <c r="AA106" s="267">
        <v>3754</v>
      </c>
      <c r="AB106" s="265">
        <v>0</v>
      </c>
      <c r="AC106" s="266">
        <v>718</v>
      </c>
      <c r="AD106" s="266">
        <v>698</v>
      </c>
      <c r="AE106" s="266">
        <v>368</v>
      </c>
      <c r="AF106" s="266">
        <v>0</v>
      </c>
      <c r="AG106" s="267">
        <v>1784</v>
      </c>
      <c r="AH106" s="266">
        <v>0</v>
      </c>
      <c r="AI106" s="266">
        <v>0</v>
      </c>
      <c r="AJ106" s="266">
        <v>0</v>
      </c>
      <c r="AK106" s="265">
        <v>0</v>
      </c>
      <c r="AL106" s="405"/>
      <c r="AM106" s="405"/>
    </row>
    <row r="107" spans="1:39" ht="13.9" customHeight="1">
      <c r="A107" s="239" t="s">
        <v>15</v>
      </c>
      <c r="B107" s="239" t="s">
        <v>53</v>
      </c>
      <c r="C107" s="241">
        <v>0.40987124463519314</v>
      </c>
      <c r="D107" s="242">
        <v>0.33497536945812806</v>
      </c>
      <c r="E107" s="242">
        <v>0.30745015739769149</v>
      </c>
      <c r="F107" s="242">
        <v>0.40781250000000002</v>
      </c>
      <c r="G107" s="242">
        <v>0.32098765432098764</v>
      </c>
      <c r="H107" s="243">
        <v>0</v>
      </c>
      <c r="I107" s="241">
        <v>0.35407081416283259</v>
      </c>
      <c r="J107" s="241">
        <v>0</v>
      </c>
      <c r="K107" s="242">
        <v>0.11514195583596215</v>
      </c>
      <c r="L107" s="242">
        <v>0.10390946502057613</v>
      </c>
      <c r="M107" s="242">
        <v>0.22807017543859648</v>
      </c>
      <c r="N107" s="243">
        <v>0</v>
      </c>
      <c r="O107" s="241">
        <v>0.11244738424533975</v>
      </c>
      <c r="P107" s="241">
        <v>0</v>
      </c>
      <c r="Q107" s="242">
        <v>0</v>
      </c>
      <c r="R107" s="243">
        <v>0</v>
      </c>
      <c r="S107" s="241">
        <v>0</v>
      </c>
      <c r="T107" s="253"/>
      <c r="U107" s="245">
        <v>573</v>
      </c>
      <c r="V107" s="246">
        <v>272</v>
      </c>
      <c r="W107" s="246">
        <v>586</v>
      </c>
      <c r="X107" s="246">
        <v>261</v>
      </c>
      <c r="Y107" s="246">
        <v>78</v>
      </c>
      <c r="Z107" s="246">
        <v>0</v>
      </c>
      <c r="AA107" s="247">
        <v>1770</v>
      </c>
      <c r="AB107" s="245">
        <v>0</v>
      </c>
      <c r="AC107" s="246">
        <v>73</v>
      </c>
      <c r="AD107" s="246">
        <v>101</v>
      </c>
      <c r="AE107" s="246">
        <v>13</v>
      </c>
      <c r="AF107" s="246">
        <v>0</v>
      </c>
      <c r="AG107" s="247">
        <v>187</v>
      </c>
      <c r="AH107" s="246">
        <v>0</v>
      </c>
      <c r="AI107" s="246">
        <v>0</v>
      </c>
      <c r="AJ107" s="246">
        <v>0</v>
      </c>
      <c r="AK107" s="245">
        <v>0</v>
      </c>
    </row>
    <row r="108" spans="1:39" ht="13.9" customHeight="1">
      <c r="A108" s="249"/>
      <c r="B108" s="239" t="s">
        <v>93</v>
      </c>
      <c r="C108" s="250">
        <v>0.27110157367668097</v>
      </c>
      <c r="D108" s="251">
        <v>0.26231527093596058</v>
      </c>
      <c r="E108" s="251">
        <v>0.25603357817418676</v>
      </c>
      <c r="F108" s="251">
        <v>0.27031250000000001</v>
      </c>
      <c r="G108" s="251">
        <v>0.15226337448559671</v>
      </c>
      <c r="H108" s="252">
        <v>0</v>
      </c>
      <c r="I108" s="250">
        <v>0.25805161032206442</v>
      </c>
      <c r="J108" s="250">
        <v>0</v>
      </c>
      <c r="K108" s="251">
        <v>0.48895899053627762</v>
      </c>
      <c r="L108" s="251">
        <v>0.44238683127572015</v>
      </c>
      <c r="M108" s="251">
        <v>0.47368421052631576</v>
      </c>
      <c r="N108" s="252">
        <v>0</v>
      </c>
      <c r="O108" s="250">
        <v>0.4612146722790138</v>
      </c>
      <c r="P108" s="250">
        <v>0</v>
      </c>
      <c r="Q108" s="251">
        <v>0</v>
      </c>
      <c r="R108" s="252">
        <v>0</v>
      </c>
      <c r="S108" s="250">
        <v>0</v>
      </c>
      <c r="T108" s="253"/>
      <c r="U108" s="254">
        <v>379</v>
      </c>
      <c r="V108" s="255">
        <v>213</v>
      </c>
      <c r="W108" s="255">
        <v>488</v>
      </c>
      <c r="X108" s="255">
        <v>173</v>
      </c>
      <c r="Y108" s="255">
        <v>37</v>
      </c>
      <c r="Z108" s="255">
        <v>0</v>
      </c>
      <c r="AA108" s="256">
        <v>1290</v>
      </c>
      <c r="AB108" s="254">
        <v>0</v>
      </c>
      <c r="AC108" s="255">
        <v>310</v>
      </c>
      <c r="AD108" s="255">
        <v>430</v>
      </c>
      <c r="AE108" s="255">
        <v>27</v>
      </c>
      <c r="AF108" s="255">
        <v>0</v>
      </c>
      <c r="AG108" s="256">
        <v>767</v>
      </c>
      <c r="AH108" s="255">
        <v>0</v>
      </c>
      <c r="AI108" s="255">
        <v>0</v>
      </c>
      <c r="AJ108" s="255">
        <v>0</v>
      </c>
      <c r="AK108" s="254">
        <v>0</v>
      </c>
    </row>
    <row r="109" spans="1:39" ht="13.9" customHeight="1">
      <c r="A109" s="249"/>
      <c r="B109" s="239" t="s">
        <v>55</v>
      </c>
      <c r="C109" s="250">
        <v>0.2067238912732475</v>
      </c>
      <c r="D109" s="251">
        <v>0.28201970443349755</v>
      </c>
      <c r="E109" s="251">
        <v>0.31951731374606507</v>
      </c>
      <c r="F109" s="251">
        <v>0.26250000000000001</v>
      </c>
      <c r="G109" s="251">
        <v>0.34156378600823045</v>
      </c>
      <c r="H109" s="252">
        <v>0</v>
      </c>
      <c r="I109" s="250">
        <v>0.27565513102620526</v>
      </c>
      <c r="J109" s="250">
        <v>0</v>
      </c>
      <c r="K109" s="251">
        <v>0.18138801261829654</v>
      </c>
      <c r="L109" s="251">
        <v>0.23148148148148148</v>
      </c>
      <c r="M109" s="251">
        <v>7.0175438596491224E-2</v>
      </c>
      <c r="N109" s="252">
        <v>0</v>
      </c>
      <c r="O109" s="250">
        <v>0.20685508117859291</v>
      </c>
      <c r="P109" s="250">
        <v>0</v>
      </c>
      <c r="Q109" s="251">
        <v>0</v>
      </c>
      <c r="R109" s="252">
        <v>0</v>
      </c>
      <c r="S109" s="250">
        <v>0</v>
      </c>
      <c r="T109" s="253"/>
      <c r="U109" s="254">
        <v>289</v>
      </c>
      <c r="V109" s="255">
        <v>229</v>
      </c>
      <c r="W109" s="255">
        <v>609</v>
      </c>
      <c r="X109" s="255">
        <v>168</v>
      </c>
      <c r="Y109" s="255">
        <v>83</v>
      </c>
      <c r="Z109" s="255">
        <v>0</v>
      </c>
      <c r="AA109" s="256">
        <v>1378</v>
      </c>
      <c r="AB109" s="254">
        <v>0</v>
      </c>
      <c r="AC109" s="255">
        <v>115</v>
      </c>
      <c r="AD109" s="255">
        <v>225</v>
      </c>
      <c r="AE109" s="255">
        <v>4</v>
      </c>
      <c r="AF109" s="255">
        <v>0</v>
      </c>
      <c r="AG109" s="256">
        <v>344</v>
      </c>
      <c r="AH109" s="255">
        <v>0</v>
      </c>
      <c r="AI109" s="255">
        <v>0</v>
      </c>
      <c r="AJ109" s="255">
        <v>0</v>
      </c>
      <c r="AK109" s="254">
        <v>0</v>
      </c>
    </row>
    <row r="110" spans="1:39" ht="13.9" customHeight="1">
      <c r="A110" s="249"/>
      <c r="B110" s="239" t="s">
        <v>78</v>
      </c>
      <c r="C110" s="250">
        <v>2.7896995708154508E-2</v>
      </c>
      <c r="D110" s="251">
        <v>0.10714285714285714</v>
      </c>
      <c r="E110" s="251">
        <v>0.114900314795383</v>
      </c>
      <c r="F110" s="251">
        <v>5.9374999999999997E-2</v>
      </c>
      <c r="G110" s="251">
        <v>0.1728395061728395</v>
      </c>
      <c r="H110" s="252">
        <v>0</v>
      </c>
      <c r="I110" s="250">
        <v>8.5017003400680136E-2</v>
      </c>
      <c r="J110" s="250">
        <v>0</v>
      </c>
      <c r="K110" s="251">
        <v>0.18296529968454259</v>
      </c>
      <c r="L110" s="251">
        <v>0.22119341563786007</v>
      </c>
      <c r="M110" s="251">
        <v>0.22807017543859648</v>
      </c>
      <c r="N110" s="252">
        <v>0</v>
      </c>
      <c r="O110" s="250">
        <v>0.20685508117859291</v>
      </c>
      <c r="P110" s="250">
        <v>0</v>
      </c>
      <c r="Q110" s="251">
        <v>0</v>
      </c>
      <c r="R110" s="252">
        <v>0</v>
      </c>
      <c r="S110" s="250">
        <v>0</v>
      </c>
      <c r="T110" s="253"/>
      <c r="U110" s="254">
        <v>39</v>
      </c>
      <c r="V110" s="255">
        <v>87</v>
      </c>
      <c r="W110" s="255">
        <v>219</v>
      </c>
      <c r="X110" s="255">
        <v>38</v>
      </c>
      <c r="Y110" s="255">
        <v>42</v>
      </c>
      <c r="Z110" s="255">
        <v>0</v>
      </c>
      <c r="AA110" s="256">
        <v>425</v>
      </c>
      <c r="AB110" s="254">
        <v>0</v>
      </c>
      <c r="AC110" s="255">
        <v>116</v>
      </c>
      <c r="AD110" s="255">
        <v>215</v>
      </c>
      <c r="AE110" s="255">
        <v>13</v>
      </c>
      <c r="AF110" s="255">
        <v>0</v>
      </c>
      <c r="AG110" s="256">
        <v>344</v>
      </c>
      <c r="AH110" s="255">
        <v>0</v>
      </c>
      <c r="AI110" s="255">
        <v>0</v>
      </c>
      <c r="AJ110" s="255">
        <v>0</v>
      </c>
      <c r="AK110" s="254">
        <v>0</v>
      </c>
    </row>
    <row r="111" spans="1:39" ht="13.9" customHeight="1">
      <c r="A111" s="249"/>
      <c r="B111" s="239" t="s">
        <v>32</v>
      </c>
      <c r="C111" s="250">
        <v>8.4406294706723894E-2</v>
      </c>
      <c r="D111" s="251">
        <v>1.3546798029556651E-2</v>
      </c>
      <c r="E111" s="273">
        <v>2.0986358866736622E-3</v>
      </c>
      <c r="F111" s="251">
        <v>0</v>
      </c>
      <c r="G111" s="251">
        <v>1.2345679012345678E-2</v>
      </c>
      <c r="H111" s="252">
        <v>0</v>
      </c>
      <c r="I111" s="250">
        <v>2.7205441088217642E-2</v>
      </c>
      <c r="J111" s="250">
        <v>0</v>
      </c>
      <c r="K111" s="251">
        <v>3.1545741324921134E-2</v>
      </c>
      <c r="L111" s="273">
        <v>1.02880658436214E-3</v>
      </c>
      <c r="M111" s="251">
        <v>0</v>
      </c>
      <c r="N111" s="252">
        <v>0</v>
      </c>
      <c r="O111" s="250">
        <v>1.2627781118460614E-2</v>
      </c>
      <c r="P111" s="250">
        <v>0</v>
      </c>
      <c r="Q111" s="251">
        <v>0</v>
      </c>
      <c r="R111" s="252">
        <v>0</v>
      </c>
      <c r="S111" s="250">
        <v>0</v>
      </c>
      <c r="T111" s="253"/>
      <c r="U111" s="254">
        <v>118</v>
      </c>
      <c r="V111" s="255">
        <v>11</v>
      </c>
      <c r="W111" s="255">
        <v>4</v>
      </c>
      <c r="X111" s="255">
        <v>0</v>
      </c>
      <c r="Y111" s="255">
        <v>3</v>
      </c>
      <c r="Z111" s="255">
        <v>0</v>
      </c>
      <c r="AA111" s="256">
        <v>136</v>
      </c>
      <c r="AB111" s="254">
        <v>0</v>
      </c>
      <c r="AC111" s="255">
        <v>20</v>
      </c>
      <c r="AD111" s="255">
        <v>1</v>
      </c>
      <c r="AE111" s="255">
        <v>0</v>
      </c>
      <c r="AF111" s="255">
        <v>0</v>
      </c>
      <c r="AG111" s="256">
        <v>21</v>
      </c>
      <c r="AH111" s="255">
        <v>0</v>
      </c>
      <c r="AI111" s="255">
        <v>0</v>
      </c>
      <c r="AJ111" s="255">
        <v>0</v>
      </c>
      <c r="AK111" s="254">
        <v>0</v>
      </c>
    </row>
    <row r="112" spans="1:39" ht="13.9" customHeight="1">
      <c r="A112" s="249"/>
      <c r="B112" s="239" t="s">
        <v>58</v>
      </c>
      <c r="C112" s="250">
        <v>0</v>
      </c>
      <c r="D112" s="251">
        <v>0</v>
      </c>
      <c r="E112" s="251">
        <v>0</v>
      </c>
      <c r="F112" s="251">
        <v>0</v>
      </c>
      <c r="G112" s="251">
        <v>0</v>
      </c>
      <c r="H112" s="252">
        <v>0</v>
      </c>
      <c r="I112" s="250">
        <v>0</v>
      </c>
      <c r="J112" s="250">
        <v>0</v>
      </c>
      <c r="K112" s="251">
        <v>0</v>
      </c>
      <c r="L112" s="251">
        <v>0</v>
      </c>
      <c r="M112" s="251">
        <v>0</v>
      </c>
      <c r="N112" s="252">
        <v>0</v>
      </c>
      <c r="O112" s="250">
        <v>0</v>
      </c>
      <c r="P112" s="250">
        <v>1</v>
      </c>
      <c r="Q112" s="251">
        <v>1</v>
      </c>
      <c r="R112" s="252">
        <v>0</v>
      </c>
      <c r="S112" s="250">
        <v>1</v>
      </c>
      <c r="T112" s="253"/>
      <c r="U112" s="254">
        <v>0</v>
      </c>
      <c r="V112" s="255">
        <v>0</v>
      </c>
      <c r="W112" s="255">
        <v>0</v>
      </c>
      <c r="X112" s="255">
        <v>0</v>
      </c>
      <c r="Y112" s="255">
        <v>0</v>
      </c>
      <c r="Z112" s="255">
        <v>0</v>
      </c>
      <c r="AA112" s="256">
        <v>0</v>
      </c>
      <c r="AB112" s="254">
        <v>0</v>
      </c>
      <c r="AC112" s="255">
        <v>0</v>
      </c>
      <c r="AD112" s="255">
        <v>0</v>
      </c>
      <c r="AE112" s="255">
        <v>0</v>
      </c>
      <c r="AF112" s="255">
        <v>0</v>
      </c>
      <c r="AG112" s="256">
        <v>0</v>
      </c>
      <c r="AH112" s="255">
        <v>17</v>
      </c>
      <c r="AI112" s="255">
        <v>267</v>
      </c>
      <c r="AJ112" s="255">
        <v>0</v>
      </c>
      <c r="AK112" s="254">
        <v>284</v>
      </c>
    </row>
    <row r="113" spans="1:39" s="406" customFormat="1" ht="24" customHeight="1">
      <c r="A113" s="259"/>
      <c r="B113" s="260" t="s">
        <v>59</v>
      </c>
      <c r="C113" s="261">
        <v>1</v>
      </c>
      <c r="D113" s="262">
        <v>1</v>
      </c>
      <c r="E113" s="262">
        <v>1</v>
      </c>
      <c r="F113" s="262">
        <v>1</v>
      </c>
      <c r="G113" s="262">
        <v>1</v>
      </c>
      <c r="H113" s="263">
        <v>0</v>
      </c>
      <c r="I113" s="261">
        <v>1</v>
      </c>
      <c r="J113" s="261">
        <v>0</v>
      </c>
      <c r="K113" s="262">
        <v>1</v>
      </c>
      <c r="L113" s="262">
        <v>1</v>
      </c>
      <c r="M113" s="262">
        <v>1</v>
      </c>
      <c r="N113" s="263">
        <v>0</v>
      </c>
      <c r="O113" s="261">
        <v>1</v>
      </c>
      <c r="P113" s="261">
        <v>1</v>
      </c>
      <c r="Q113" s="262">
        <v>1</v>
      </c>
      <c r="R113" s="263">
        <v>0</v>
      </c>
      <c r="S113" s="261">
        <v>1</v>
      </c>
      <c r="T113" s="264"/>
      <c r="U113" s="265">
        <v>1398</v>
      </c>
      <c r="V113" s="266">
        <v>812</v>
      </c>
      <c r="W113" s="266">
        <v>1906</v>
      </c>
      <c r="X113" s="266">
        <v>640</v>
      </c>
      <c r="Y113" s="266">
        <v>243</v>
      </c>
      <c r="Z113" s="266">
        <v>0</v>
      </c>
      <c r="AA113" s="267">
        <v>4999</v>
      </c>
      <c r="AB113" s="265">
        <v>0</v>
      </c>
      <c r="AC113" s="266">
        <v>634</v>
      </c>
      <c r="AD113" s="266">
        <v>972</v>
      </c>
      <c r="AE113" s="266">
        <v>57</v>
      </c>
      <c r="AF113" s="266">
        <v>0</v>
      </c>
      <c r="AG113" s="267">
        <v>1663</v>
      </c>
      <c r="AH113" s="266">
        <v>17</v>
      </c>
      <c r="AI113" s="266">
        <v>267</v>
      </c>
      <c r="AJ113" s="266">
        <v>0</v>
      </c>
      <c r="AK113" s="265">
        <v>284</v>
      </c>
      <c r="AL113" s="405"/>
      <c r="AM113" s="405"/>
    </row>
    <row r="114" spans="1:39" ht="13.9" customHeight="1">
      <c r="A114" s="239" t="s">
        <v>16</v>
      </c>
      <c r="B114" s="239" t="s">
        <v>53</v>
      </c>
      <c r="C114" s="241">
        <v>0.37516283108988274</v>
      </c>
      <c r="D114" s="242">
        <v>0.30285296269202633</v>
      </c>
      <c r="E114" s="242">
        <v>0.2578501412194717</v>
      </c>
      <c r="F114" s="242">
        <v>0.14673913043478262</v>
      </c>
      <c r="G114" s="242">
        <v>0.17910447761194029</v>
      </c>
      <c r="H114" s="243">
        <v>0.16257668711656442</v>
      </c>
      <c r="I114" s="241">
        <v>0.30866141732283464</v>
      </c>
      <c r="J114" s="241">
        <v>0</v>
      </c>
      <c r="K114" s="242">
        <v>0.21771278343739731</v>
      </c>
      <c r="L114" s="242">
        <v>0.12596480395183698</v>
      </c>
      <c r="M114" s="242">
        <v>5.8035714285714288E-2</v>
      </c>
      <c r="N114" s="243">
        <v>0</v>
      </c>
      <c r="O114" s="241">
        <v>0.17725317595278584</v>
      </c>
      <c r="P114" s="241">
        <v>0</v>
      </c>
      <c r="Q114" s="242">
        <v>0</v>
      </c>
      <c r="R114" s="243">
        <v>0</v>
      </c>
      <c r="S114" s="241">
        <v>0</v>
      </c>
      <c r="T114" s="253"/>
      <c r="U114" s="245">
        <v>2592</v>
      </c>
      <c r="V114" s="246">
        <v>414</v>
      </c>
      <c r="W114" s="246">
        <v>1552</v>
      </c>
      <c r="X114" s="246">
        <v>81</v>
      </c>
      <c r="Y114" s="246">
        <v>12</v>
      </c>
      <c r="Z114" s="246">
        <v>53</v>
      </c>
      <c r="AA114" s="247">
        <v>4704</v>
      </c>
      <c r="AB114" s="245">
        <v>0</v>
      </c>
      <c r="AC114" s="246">
        <v>1325</v>
      </c>
      <c r="AD114" s="246">
        <v>408</v>
      </c>
      <c r="AE114" s="246">
        <v>39</v>
      </c>
      <c r="AF114" s="246">
        <v>0</v>
      </c>
      <c r="AG114" s="247">
        <v>1772</v>
      </c>
      <c r="AH114" s="246">
        <v>0</v>
      </c>
      <c r="AI114" s="246">
        <v>0</v>
      </c>
      <c r="AJ114" s="246">
        <v>0</v>
      </c>
      <c r="AK114" s="245">
        <v>0</v>
      </c>
    </row>
    <row r="115" spans="1:39" ht="13.9" customHeight="1">
      <c r="A115" s="249"/>
      <c r="B115" s="239" t="s">
        <v>93</v>
      </c>
      <c r="C115" s="250">
        <v>0.23795049934867565</v>
      </c>
      <c r="D115" s="251">
        <v>0.26700804681784929</v>
      </c>
      <c r="E115" s="251">
        <v>0.23990696128925071</v>
      </c>
      <c r="F115" s="251">
        <v>0.27173913043478259</v>
      </c>
      <c r="G115" s="251">
        <v>0.20895522388059701</v>
      </c>
      <c r="H115" s="252">
        <v>0.21472392638036811</v>
      </c>
      <c r="I115" s="250">
        <v>0.24192913385826773</v>
      </c>
      <c r="J115" s="250">
        <v>0</v>
      </c>
      <c r="K115" s="251">
        <v>9.6450870851133755E-2</v>
      </c>
      <c r="L115" s="251">
        <v>4.167953071935783E-2</v>
      </c>
      <c r="M115" s="251">
        <v>5.2083333333333336E-2</v>
      </c>
      <c r="N115" s="252">
        <v>0</v>
      </c>
      <c r="O115" s="250">
        <v>7.5722716815044513E-2</v>
      </c>
      <c r="P115" s="250">
        <v>0</v>
      </c>
      <c r="Q115" s="251">
        <v>0</v>
      </c>
      <c r="R115" s="252">
        <v>0</v>
      </c>
      <c r="S115" s="250">
        <v>0</v>
      </c>
      <c r="T115" s="253"/>
      <c r="U115" s="254">
        <v>1644</v>
      </c>
      <c r="V115" s="255">
        <v>365</v>
      </c>
      <c r="W115" s="255">
        <v>1444</v>
      </c>
      <c r="X115" s="255">
        <v>150</v>
      </c>
      <c r="Y115" s="255">
        <v>14</v>
      </c>
      <c r="Z115" s="255">
        <v>70</v>
      </c>
      <c r="AA115" s="256">
        <v>3687</v>
      </c>
      <c r="AB115" s="254">
        <v>0</v>
      </c>
      <c r="AC115" s="255">
        <v>587</v>
      </c>
      <c r="AD115" s="255">
        <v>135</v>
      </c>
      <c r="AE115" s="255">
        <v>35</v>
      </c>
      <c r="AF115" s="255">
        <v>0</v>
      </c>
      <c r="AG115" s="256">
        <v>757</v>
      </c>
      <c r="AH115" s="255">
        <v>0</v>
      </c>
      <c r="AI115" s="255">
        <v>0</v>
      </c>
      <c r="AJ115" s="255">
        <v>0</v>
      </c>
      <c r="AK115" s="254">
        <v>0</v>
      </c>
    </row>
    <row r="116" spans="1:39" ht="13.9" customHeight="1">
      <c r="A116" s="249"/>
      <c r="B116" s="239" t="s">
        <v>55</v>
      </c>
      <c r="C116" s="250">
        <v>0.21609494861774498</v>
      </c>
      <c r="D116" s="251">
        <v>0.25603511338697876</v>
      </c>
      <c r="E116" s="251">
        <v>0.28891842498753945</v>
      </c>
      <c r="F116" s="251">
        <v>0.34782608695652173</v>
      </c>
      <c r="G116" s="251">
        <v>0.59701492537313428</v>
      </c>
      <c r="H116" s="252">
        <v>0.25153374233128833</v>
      </c>
      <c r="I116" s="250">
        <v>0.25564304461942255</v>
      </c>
      <c r="J116" s="250">
        <v>0</v>
      </c>
      <c r="K116" s="251">
        <v>8.6427867236279987E-2</v>
      </c>
      <c r="L116" s="251">
        <v>5.5263970361222603E-2</v>
      </c>
      <c r="M116" s="251">
        <v>6.8452380952380959E-2</v>
      </c>
      <c r="N116" s="252">
        <v>0</v>
      </c>
      <c r="O116" s="250">
        <v>7.5122536761028313E-2</v>
      </c>
      <c r="P116" s="250">
        <v>0</v>
      </c>
      <c r="Q116" s="251">
        <v>0</v>
      </c>
      <c r="R116" s="252">
        <v>0</v>
      </c>
      <c r="S116" s="250">
        <v>0</v>
      </c>
      <c r="T116" s="253"/>
      <c r="U116" s="254">
        <v>1493</v>
      </c>
      <c r="V116" s="255">
        <v>350</v>
      </c>
      <c r="W116" s="255">
        <v>1739</v>
      </c>
      <c r="X116" s="255">
        <v>192</v>
      </c>
      <c r="Y116" s="255">
        <v>40</v>
      </c>
      <c r="Z116" s="255">
        <v>82</v>
      </c>
      <c r="AA116" s="256">
        <v>3896</v>
      </c>
      <c r="AB116" s="254">
        <v>0</v>
      </c>
      <c r="AC116" s="255">
        <v>526</v>
      </c>
      <c r="AD116" s="255">
        <v>179</v>
      </c>
      <c r="AE116" s="255">
        <v>46</v>
      </c>
      <c r="AF116" s="255">
        <v>0</v>
      </c>
      <c r="AG116" s="256">
        <v>751</v>
      </c>
      <c r="AH116" s="255">
        <v>0</v>
      </c>
      <c r="AI116" s="255">
        <v>0</v>
      </c>
      <c r="AJ116" s="255">
        <v>0</v>
      </c>
      <c r="AK116" s="254">
        <v>0</v>
      </c>
    </row>
    <row r="117" spans="1:39" ht="13.9" customHeight="1">
      <c r="A117" s="249"/>
      <c r="B117" s="239" t="s">
        <v>78</v>
      </c>
      <c r="C117" s="250">
        <v>1.4908090895932841E-2</v>
      </c>
      <c r="D117" s="251">
        <v>1.2435991221653255E-2</v>
      </c>
      <c r="E117" s="251">
        <v>7.4098687489616219E-2</v>
      </c>
      <c r="F117" s="251">
        <v>0.11775362318840579</v>
      </c>
      <c r="G117" s="251">
        <v>1.4925373134328358E-2</v>
      </c>
      <c r="H117" s="252">
        <v>1.5337423312883436E-2</v>
      </c>
      <c r="I117" s="250">
        <v>4.1797900262467193E-2</v>
      </c>
      <c r="J117" s="250">
        <v>0</v>
      </c>
      <c r="K117" s="251">
        <v>0.33273085770621097</v>
      </c>
      <c r="L117" s="251">
        <v>0.33189255943192342</v>
      </c>
      <c r="M117" s="251">
        <v>0.45684523809523808</v>
      </c>
      <c r="N117" s="252">
        <v>0</v>
      </c>
      <c r="O117" s="250">
        <v>0.34080224067220166</v>
      </c>
      <c r="P117" s="250">
        <v>0</v>
      </c>
      <c r="Q117" s="251">
        <v>0</v>
      </c>
      <c r="R117" s="252">
        <v>0</v>
      </c>
      <c r="S117" s="250">
        <v>0</v>
      </c>
      <c r="T117" s="253"/>
      <c r="U117" s="254">
        <v>103</v>
      </c>
      <c r="V117" s="255">
        <v>17</v>
      </c>
      <c r="W117" s="255">
        <v>446</v>
      </c>
      <c r="X117" s="255">
        <v>65</v>
      </c>
      <c r="Y117" s="255">
        <v>1</v>
      </c>
      <c r="Z117" s="255">
        <v>5</v>
      </c>
      <c r="AA117" s="256">
        <v>637</v>
      </c>
      <c r="AB117" s="254">
        <v>0</v>
      </c>
      <c r="AC117" s="255">
        <v>2025</v>
      </c>
      <c r="AD117" s="255">
        <v>1075</v>
      </c>
      <c r="AE117" s="255">
        <v>307</v>
      </c>
      <c r="AF117" s="255">
        <v>0</v>
      </c>
      <c r="AG117" s="256">
        <v>3407</v>
      </c>
      <c r="AH117" s="255">
        <v>0</v>
      </c>
      <c r="AI117" s="255">
        <v>0</v>
      </c>
      <c r="AJ117" s="255">
        <v>0</v>
      </c>
      <c r="AK117" s="254">
        <v>0</v>
      </c>
    </row>
    <row r="118" spans="1:39" ht="13.9" customHeight="1">
      <c r="A118" s="249"/>
      <c r="B118" s="239" t="s">
        <v>32</v>
      </c>
      <c r="C118" s="250">
        <v>0.15588363004776379</v>
      </c>
      <c r="D118" s="251">
        <v>0.16166788588149231</v>
      </c>
      <c r="E118" s="251">
        <v>0.13922578501412194</v>
      </c>
      <c r="F118" s="251">
        <v>0.11594202898550725</v>
      </c>
      <c r="G118" s="251">
        <v>0</v>
      </c>
      <c r="H118" s="252">
        <v>0.35582822085889571</v>
      </c>
      <c r="I118" s="250">
        <v>0.15196850393700786</v>
      </c>
      <c r="J118" s="250">
        <v>0</v>
      </c>
      <c r="K118" s="251">
        <v>1.8567203417679923E-2</v>
      </c>
      <c r="L118" s="273">
        <v>2.7786353812905219E-3</v>
      </c>
      <c r="M118" s="273">
        <v>4.464285714285714E-3</v>
      </c>
      <c r="N118" s="252">
        <v>0</v>
      </c>
      <c r="O118" s="250">
        <v>1.2503751125337602E-2</v>
      </c>
      <c r="P118" s="250">
        <v>0</v>
      </c>
      <c r="Q118" s="251">
        <v>0</v>
      </c>
      <c r="R118" s="252">
        <v>0</v>
      </c>
      <c r="S118" s="250">
        <v>0</v>
      </c>
      <c r="T118" s="253"/>
      <c r="U118" s="254">
        <v>1077</v>
      </c>
      <c r="V118" s="255">
        <v>221</v>
      </c>
      <c r="W118" s="255">
        <v>838</v>
      </c>
      <c r="X118" s="255">
        <v>64</v>
      </c>
      <c r="Y118" s="255">
        <v>0</v>
      </c>
      <c r="Z118" s="255">
        <v>116</v>
      </c>
      <c r="AA118" s="256">
        <v>2316</v>
      </c>
      <c r="AB118" s="254">
        <v>0</v>
      </c>
      <c r="AC118" s="255">
        <v>113</v>
      </c>
      <c r="AD118" s="255">
        <v>9</v>
      </c>
      <c r="AE118" s="255">
        <v>3</v>
      </c>
      <c r="AF118" s="255">
        <v>0</v>
      </c>
      <c r="AG118" s="256">
        <v>125</v>
      </c>
      <c r="AH118" s="255">
        <v>0</v>
      </c>
      <c r="AI118" s="255">
        <v>0</v>
      </c>
      <c r="AJ118" s="255">
        <v>0</v>
      </c>
      <c r="AK118" s="254">
        <v>0</v>
      </c>
    </row>
    <row r="119" spans="1:39" ht="13.9" customHeight="1">
      <c r="A119" s="249"/>
      <c r="B119" s="239" t="s">
        <v>58</v>
      </c>
      <c r="C119" s="250">
        <v>0</v>
      </c>
      <c r="D119" s="251">
        <v>0</v>
      </c>
      <c r="E119" s="251">
        <v>0</v>
      </c>
      <c r="F119" s="251">
        <v>0</v>
      </c>
      <c r="G119" s="251">
        <v>0</v>
      </c>
      <c r="H119" s="252">
        <v>0</v>
      </c>
      <c r="I119" s="250">
        <v>0</v>
      </c>
      <c r="J119" s="250">
        <v>0</v>
      </c>
      <c r="K119" s="251">
        <v>0.24811041735129807</v>
      </c>
      <c r="L119" s="251">
        <v>0.44242050015436862</v>
      </c>
      <c r="M119" s="251">
        <v>0.36011904761904762</v>
      </c>
      <c r="N119" s="252">
        <v>0</v>
      </c>
      <c r="O119" s="250">
        <v>0.31859557867360205</v>
      </c>
      <c r="P119" s="250">
        <v>0</v>
      </c>
      <c r="Q119" s="251">
        <v>0</v>
      </c>
      <c r="R119" s="252">
        <v>0</v>
      </c>
      <c r="S119" s="250">
        <v>0</v>
      </c>
      <c r="T119" s="253"/>
      <c r="U119" s="254">
        <v>0</v>
      </c>
      <c r="V119" s="255">
        <v>0</v>
      </c>
      <c r="W119" s="255">
        <v>0</v>
      </c>
      <c r="X119" s="255">
        <v>0</v>
      </c>
      <c r="Y119" s="255">
        <v>0</v>
      </c>
      <c r="Z119" s="255">
        <v>0</v>
      </c>
      <c r="AA119" s="256">
        <v>0</v>
      </c>
      <c r="AB119" s="254">
        <v>0</v>
      </c>
      <c r="AC119" s="255">
        <v>1510</v>
      </c>
      <c r="AD119" s="255">
        <v>1433</v>
      </c>
      <c r="AE119" s="255">
        <v>242</v>
      </c>
      <c r="AF119" s="255">
        <v>0</v>
      </c>
      <c r="AG119" s="256">
        <v>3185</v>
      </c>
      <c r="AH119" s="255">
        <v>0</v>
      </c>
      <c r="AI119" s="255">
        <v>0</v>
      </c>
      <c r="AJ119" s="255">
        <v>0</v>
      </c>
      <c r="AK119" s="254">
        <v>0</v>
      </c>
    </row>
    <row r="120" spans="1:39" s="406" customFormat="1" ht="24" customHeight="1">
      <c r="A120" s="259"/>
      <c r="B120" s="260" t="s">
        <v>59</v>
      </c>
      <c r="C120" s="261">
        <v>1</v>
      </c>
      <c r="D120" s="262">
        <v>1</v>
      </c>
      <c r="E120" s="262">
        <v>1</v>
      </c>
      <c r="F120" s="262">
        <v>1</v>
      </c>
      <c r="G120" s="262">
        <v>1</v>
      </c>
      <c r="H120" s="263">
        <v>1</v>
      </c>
      <c r="I120" s="261">
        <v>1</v>
      </c>
      <c r="J120" s="261">
        <v>0</v>
      </c>
      <c r="K120" s="262">
        <v>1</v>
      </c>
      <c r="L120" s="262">
        <v>1</v>
      </c>
      <c r="M120" s="262">
        <v>1</v>
      </c>
      <c r="N120" s="263">
        <v>0</v>
      </c>
      <c r="O120" s="261">
        <v>1</v>
      </c>
      <c r="P120" s="261">
        <v>0</v>
      </c>
      <c r="Q120" s="262">
        <v>0</v>
      </c>
      <c r="R120" s="263">
        <v>0</v>
      </c>
      <c r="S120" s="261">
        <v>0</v>
      </c>
      <c r="T120" s="264"/>
      <c r="U120" s="265">
        <v>6909</v>
      </c>
      <c r="V120" s="266">
        <v>1367</v>
      </c>
      <c r="W120" s="266">
        <v>6019</v>
      </c>
      <c r="X120" s="266">
        <v>552</v>
      </c>
      <c r="Y120" s="266">
        <v>67</v>
      </c>
      <c r="Z120" s="266">
        <v>326</v>
      </c>
      <c r="AA120" s="267">
        <v>15240</v>
      </c>
      <c r="AB120" s="265">
        <v>0</v>
      </c>
      <c r="AC120" s="266">
        <v>6086</v>
      </c>
      <c r="AD120" s="266">
        <v>3239</v>
      </c>
      <c r="AE120" s="266">
        <v>672</v>
      </c>
      <c r="AF120" s="266">
        <v>0</v>
      </c>
      <c r="AG120" s="267">
        <v>9997</v>
      </c>
      <c r="AH120" s="266">
        <v>0</v>
      </c>
      <c r="AI120" s="266">
        <v>0</v>
      </c>
      <c r="AJ120" s="266">
        <v>0</v>
      </c>
      <c r="AK120" s="265">
        <v>0</v>
      </c>
      <c r="AL120" s="405"/>
      <c r="AM120" s="405"/>
    </row>
    <row r="121" spans="1:39" ht="13.9" customHeight="1">
      <c r="A121" s="239" t="s">
        <v>17</v>
      </c>
      <c r="B121" s="239" t="s">
        <v>53</v>
      </c>
      <c r="C121" s="241">
        <v>0.41920473773265654</v>
      </c>
      <c r="D121" s="242">
        <v>0.30894308943089432</v>
      </c>
      <c r="E121" s="242">
        <v>0.3607176581680831</v>
      </c>
      <c r="F121" s="242">
        <v>0.24760076775431861</v>
      </c>
      <c r="G121" s="242">
        <v>0.21052631578947367</v>
      </c>
      <c r="H121" s="243">
        <v>0.25601750547045954</v>
      </c>
      <c r="I121" s="241">
        <v>0.34171057965139845</v>
      </c>
      <c r="J121" s="241">
        <v>0</v>
      </c>
      <c r="K121" s="242">
        <v>0</v>
      </c>
      <c r="L121" s="242">
        <v>0</v>
      </c>
      <c r="M121" s="242">
        <v>0.21212121212121213</v>
      </c>
      <c r="N121" s="243">
        <v>0.23240589198036007</v>
      </c>
      <c r="O121" s="241">
        <v>0.23204715969989281</v>
      </c>
      <c r="P121" s="241">
        <v>0</v>
      </c>
      <c r="Q121" s="242">
        <v>0</v>
      </c>
      <c r="R121" s="243">
        <v>0</v>
      </c>
      <c r="S121" s="241">
        <v>0</v>
      </c>
      <c r="T121" s="253"/>
      <c r="U121" s="245">
        <v>991</v>
      </c>
      <c r="V121" s="246">
        <v>874</v>
      </c>
      <c r="W121" s="246">
        <v>382</v>
      </c>
      <c r="X121" s="246">
        <v>129</v>
      </c>
      <c r="Y121" s="246">
        <v>36</v>
      </c>
      <c r="Z121" s="246">
        <v>117</v>
      </c>
      <c r="AA121" s="247">
        <v>2529</v>
      </c>
      <c r="AB121" s="245">
        <v>0</v>
      </c>
      <c r="AC121" s="246">
        <v>0</v>
      </c>
      <c r="AD121" s="246">
        <v>0</v>
      </c>
      <c r="AE121" s="246">
        <v>7</v>
      </c>
      <c r="AF121" s="246">
        <v>426</v>
      </c>
      <c r="AG121" s="247">
        <v>433</v>
      </c>
      <c r="AH121" s="246">
        <v>0</v>
      </c>
      <c r="AI121" s="246">
        <v>0</v>
      </c>
      <c r="AJ121" s="246">
        <v>0</v>
      </c>
      <c r="AK121" s="245">
        <v>0</v>
      </c>
    </row>
    <row r="122" spans="1:39" ht="13.9" customHeight="1">
      <c r="A122" s="249"/>
      <c r="B122" s="239" t="s">
        <v>93</v>
      </c>
      <c r="C122" s="250">
        <v>0.28807106598984772</v>
      </c>
      <c r="D122" s="251">
        <v>0.33863556026864616</v>
      </c>
      <c r="E122" s="251">
        <v>0.25684608120868746</v>
      </c>
      <c r="F122" s="251">
        <v>0.27447216890595011</v>
      </c>
      <c r="G122" s="251">
        <v>0.2982456140350877</v>
      </c>
      <c r="H122" s="252">
        <v>0.31072210065645517</v>
      </c>
      <c r="I122" s="250">
        <v>0.3036076205918119</v>
      </c>
      <c r="J122" s="250">
        <v>0</v>
      </c>
      <c r="K122" s="251">
        <v>0</v>
      </c>
      <c r="L122" s="251">
        <v>0</v>
      </c>
      <c r="M122" s="251">
        <v>0.42424242424242425</v>
      </c>
      <c r="N122" s="252">
        <v>0.31314784506273868</v>
      </c>
      <c r="O122" s="250">
        <v>0.31511254019292606</v>
      </c>
      <c r="P122" s="250">
        <v>0</v>
      </c>
      <c r="Q122" s="251">
        <v>0</v>
      </c>
      <c r="R122" s="252">
        <v>0</v>
      </c>
      <c r="S122" s="250">
        <v>0</v>
      </c>
      <c r="T122" s="253"/>
      <c r="U122" s="254">
        <v>681</v>
      </c>
      <c r="V122" s="255">
        <v>958</v>
      </c>
      <c r="W122" s="255">
        <v>272</v>
      </c>
      <c r="X122" s="255">
        <v>143</v>
      </c>
      <c r="Y122" s="255">
        <v>51</v>
      </c>
      <c r="Z122" s="255">
        <v>142</v>
      </c>
      <c r="AA122" s="256">
        <v>2247</v>
      </c>
      <c r="AB122" s="254">
        <v>0</v>
      </c>
      <c r="AC122" s="255">
        <v>0</v>
      </c>
      <c r="AD122" s="255">
        <v>0</v>
      </c>
      <c r="AE122" s="255">
        <v>14</v>
      </c>
      <c r="AF122" s="255">
        <v>574</v>
      </c>
      <c r="AG122" s="256">
        <v>588</v>
      </c>
      <c r="AH122" s="255">
        <v>0</v>
      </c>
      <c r="AI122" s="255">
        <v>0</v>
      </c>
      <c r="AJ122" s="255">
        <v>0</v>
      </c>
      <c r="AK122" s="254">
        <v>0</v>
      </c>
    </row>
    <row r="123" spans="1:39" ht="13.9" customHeight="1">
      <c r="A123" s="249"/>
      <c r="B123" s="239" t="s">
        <v>55</v>
      </c>
      <c r="C123" s="250">
        <v>0.19162436548223349</v>
      </c>
      <c r="D123" s="251">
        <v>0.24460940261576528</v>
      </c>
      <c r="E123" s="251">
        <v>0.29367327667610954</v>
      </c>
      <c r="F123" s="251">
        <v>0.34740882917466409</v>
      </c>
      <c r="G123" s="251">
        <v>0.32748538011695905</v>
      </c>
      <c r="H123" s="252">
        <v>0.31509846827133481</v>
      </c>
      <c r="I123" s="250">
        <v>0.24820970139170381</v>
      </c>
      <c r="J123" s="250">
        <v>0</v>
      </c>
      <c r="K123" s="251">
        <v>0</v>
      </c>
      <c r="L123" s="251">
        <v>0</v>
      </c>
      <c r="M123" s="251">
        <v>0.36363636363636365</v>
      </c>
      <c r="N123" s="252">
        <v>0.2989634478996181</v>
      </c>
      <c r="O123" s="250">
        <v>0.30010718113612006</v>
      </c>
      <c r="P123" s="250">
        <v>0</v>
      </c>
      <c r="Q123" s="251">
        <v>0</v>
      </c>
      <c r="R123" s="252">
        <v>0</v>
      </c>
      <c r="S123" s="250">
        <v>0</v>
      </c>
      <c r="T123" s="253"/>
      <c r="U123" s="254">
        <v>453</v>
      </c>
      <c r="V123" s="255">
        <v>692</v>
      </c>
      <c r="W123" s="255">
        <v>311</v>
      </c>
      <c r="X123" s="255">
        <v>181</v>
      </c>
      <c r="Y123" s="255">
        <v>56</v>
      </c>
      <c r="Z123" s="255">
        <v>144</v>
      </c>
      <c r="AA123" s="256">
        <v>1837</v>
      </c>
      <c r="AB123" s="254">
        <v>0</v>
      </c>
      <c r="AC123" s="255">
        <v>0</v>
      </c>
      <c r="AD123" s="255">
        <v>0</v>
      </c>
      <c r="AE123" s="255">
        <v>12</v>
      </c>
      <c r="AF123" s="255">
        <v>548</v>
      </c>
      <c r="AG123" s="256">
        <v>560</v>
      </c>
      <c r="AH123" s="255">
        <v>0</v>
      </c>
      <c r="AI123" s="255">
        <v>0</v>
      </c>
      <c r="AJ123" s="255">
        <v>0</v>
      </c>
      <c r="AK123" s="254">
        <v>0</v>
      </c>
    </row>
    <row r="124" spans="1:39" ht="13.9" customHeight="1">
      <c r="A124" s="249"/>
      <c r="B124" s="239" t="s">
        <v>78</v>
      </c>
      <c r="C124" s="250">
        <v>6.5989847715736044E-2</v>
      </c>
      <c r="D124" s="251">
        <v>7.9179922234004954E-2</v>
      </c>
      <c r="E124" s="251">
        <v>8.593012275731822E-2</v>
      </c>
      <c r="F124" s="251">
        <v>0.13051823416506717</v>
      </c>
      <c r="G124" s="251">
        <v>4.0935672514619881E-2</v>
      </c>
      <c r="H124" s="252">
        <v>6.5645514223194742E-2</v>
      </c>
      <c r="I124" s="250">
        <v>7.7827320632346986E-2</v>
      </c>
      <c r="J124" s="250">
        <v>0</v>
      </c>
      <c r="K124" s="251">
        <v>0</v>
      </c>
      <c r="L124" s="251">
        <v>0</v>
      </c>
      <c r="M124" s="251">
        <v>0</v>
      </c>
      <c r="N124" s="252">
        <v>0.15384615384615385</v>
      </c>
      <c r="O124" s="250">
        <v>0.15112540192926044</v>
      </c>
      <c r="P124" s="250">
        <v>0</v>
      </c>
      <c r="Q124" s="251">
        <v>0</v>
      </c>
      <c r="R124" s="252">
        <v>0</v>
      </c>
      <c r="S124" s="250">
        <v>0</v>
      </c>
      <c r="T124" s="253"/>
      <c r="U124" s="254">
        <v>156</v>
      </c>
      <c r="V124" s="255">
        <v>224</v>
      </c>
      <c r="W124" s="255">
        <v>91</v>
      </c>
      <c r="X124" s="255">
        <v>68</v>
      </c>
      <c r="Y124" s="255">
        <v>7</v>
      </c>
      <c r="Z124" s="255">
        <v>30</v>
      </c>
      <c r="AA124" s="256">
        <v>576</v>
      </c>
      <c r="AB124" s="254">
        <v>0</v>
      </c>
      <c r="AC124" s="255">
        <v>0</v>
      </c>
      <c r="AD124" s="255">
        <v>0</v>
      </c>
      <c r="AE124" s="255">
        <v>0</v>
      </c>
      <c r="AF124" s="255">
        <v>282</v>
      </c>
      <c r="AG124" s="256">
        <v>282</v>
      </c>
      <c r="AH124" s="255">
        <v>0</v>
      </c>
      <c r="AI124" s="255">
        <v>0</v>
      </c>
      <c r="AJ124" s="255">
        <v>0</v>
      </c>
      <c r="AK124" s="254">
        <v>0</v>
      </c>
    </row>
    <row r="125" spans="1:39" ht="13.9" customHeight="1">
      <c r="A125" s="249"/>
      <c r="B125" s="239" t="s">
        <v>32</v>
      </c>
      <c r="C125" s="250">
        <v>3.5109983079526223E-2</v>
      </c>
      <c r="D125" s="251">
        <v>2.863202545068929E-2</v>
      </c>
      <c r="E125" s="273">
        <v>2.8328611898016999E-3</v>
      </c>
      <c r="F125" s="251">
        <v>0</v>
      </c>
      <c r="G125" s="251">
        <v>0.12280701754385964</v>
      </c>
      <c r="H125" s="252">
        <v>5.2516411378555797E-2</v>
      </c>
      <c r="I125" s="250">
        <v>2.8644777732738821E-2</v>
      </c>
      <c r="J125" s="250">
        <v>0</v>
      </c>
      <c r="K125" s="251">
        <v>0</v>
      </c>
      <c r="L125" s="251">
        <v>0</v>
      </c>
      <c r="M125" s="251">
        <v>0</v>
      </c>
      <c r="N125" s="258">
        <v>1.6366612111292963E-3</v>
      </c>
      <c r="O125" s="272">
        <v>1.6077170418006431E-3</v>
      </c>
      <c r="P125" s="250">
        <v>0</v>
      </c>
      <c r="Q125" s="251">
        <v>0</v>
      </c>
      <c r="R125" s="252">
        <v>0</v>
      </c>
      <c r="S125" s="250">
        <v>0</v>
      </c>
      <c r="T125" s="253"/>
      <c r="U125" s="254">
        <v>83</v>
      </c>
      <c r="V125" s="255">
        <v>81</v>
      </c>
      <c r="W125" s="255">
        <v>3</v>
      </c>
      <c r="X125" s="255">
        <v>0</v>
      </c>
      <c r="Y125" s="255">
        <v>21</v>
      </c>
      <c r="Z125" s="255">
        <v>24</v>
      </c>
      <c r="AA125" s="256">
        <v>212</v>
      </c>
      <c r="AB125" s="254">
        <v>0</v>
      </c>
      <c r="AC125" s="255">
        <v>0</v>
      </c>
      <c r="AD125" s="255">
        <v>0</v>
      </c>
      <c r="AE125" s="255">
        <v>0</v>
      </c>
      <c r="AF125" s="255">
        <v>3</v>
      </c>
      <c r="AG125" s="256">
        <v>3</v>
      </c>
      <c r="AH125" s="255">
        <v>0</v>
      </c>
      <c r="AI125" s="255">
        <v>0</v>
      </c>
      <c r="AJ125" s="255">
        <v>0</v>
      </c>
      <c r="AK125" s="254">
        <v>0</v>
      </c>
    </row>
    <row r="126" spans="1:39" ht="13.9" customHeight="1">
      <c r="A126" s="249"/>
      <c r="B126" s="239" t="s">
        <v>58</v>
      </c>
      <c r="C126" s="250">
        <v>0</v>
      </c>
      <c r="D126" s="251">
        <v>0</v>
      </c>
      <c r="E126" s="251">
        <v>0</v>
      </c>
      <c r="F126" s="251">
        <v>0</v>
      </c>
      <c r="G126" s="251">
        <v>0</v>
      </c>
      <c r="H126" s="252">
        <v>0</v>
      </c>
      <c r="I126" s="250">
        <v>0</v>
      </c>
      <c r="J126" s="250">
        <v>0</v>
      </c>
      <c r="K126" s="251">
        <v>0</v>
      </c>
      <c r="L126" s="251">
        <v>0</v>
      </c>
      <c r="M126" s="251">
        <v>0</v>
      </c>
      <c r="N126" s="252">
        <v>0</v>
      </c>
      <c r="O126" s="250">
        <v>0</v>
      </c>
      <c r="P126" s="250">
        <v>0</v>
      </c>
      <c r="Q126" s="251">
        <v>0</v>
      </c>
      <c r="R126" s="252">
        <v>0</v>
      </c>
      <c r="S126" s="250">
        <v>0</v>
      </c>
      <c r="T126" s="253"/>
      <c r="U126" s="254">
        <v>0</v>
      </c>
      <c r="V126" s="255">
        <v>0</v>
      </c>
      <c r="W126" s="255">
        <v>0</v>
      </c>
      <c r="X126" s="255">
        <v>0</v>
      </c>
      <c r="Y126" s="255">
        <v>0</v>
      </c>
      <c r="Z126" s="255">
        <v>0</v>
      </c>
      <c r="AA126" s="256">
        <v>0</v>
      </c>
      <c r="AB126" s="254">
        <v>0</v>
      </c>
      <c r="AC126" s="255">
        <v>0</v>
      </c>
      <c r="AD126" s="255">
        <v>0</v>
      </c>
      <c r="AE126" s="255">
        <v>0</v>
      </c>
      <c r="AF126" s="255">
        <v>0</v>
      </c>
      <c r="AG126" s="256">
        <v>0</v>
      </c>
      <c r="AH126" s="255">
        <v>0</v>
      </c>
      <c r="AI126" s="255">
        <v>0</v>
      </c>
      <c r="AJ126" s="255">
        <v>0</v>
      </c>
      <c r="AK126" s="254">
        <v>0</v>
      </c>
    </row>
    <row r="127" spans="1:39" s="406" customFormat="1" ht="24" customHeight="1">
      <c r="A127" s="259"/>
      <c r="B127" s="260" t="s">
        <v>59</v>
      </c>
      <c r="C127" s="261">
        <v>1</v>
      </c>
      <c r="D127" s="262">
        <v>1</v>
      </c>
      <c r="E127" s="262">
        <v>1</v>
      </c>
      <c r="F127" s="262">
        <v>1</v>
      </c>
      <c r="G127" s="262">
        <v>1</v>
      </c>
      <c r="H127" s="263">
        <v>1</v>
      </c>
      <c r="I127" s="261">
        <v>1</v>
      </c>
      <c r="J127" s="261">
        <v>0</v>
      </c>
      <c r="K127" s="262">
        <v>0</v>
      </c>
      <c r="L127" s="262">
        <v>0</v>
      </c>
      <c r="M127" s="262">
        <v>1</v>
      </c>
      <c r="N127" s="263">
        <v>1</v>
      </c>
      <c r="O127" s="261">
        <v>1</v>
      </c>
      <c r="P127" s="261">
        <v>0</v>
      </c>
      <c r="Q127" s="262">
        <v>0</v>
      </c>
      <c r="R127" s="263">
        <v>0</v>
      </c>
      <c r="S127" s="261">
        <v>0</v>
      </c>
      <c r="T127" s="264"/>
      <c r="U127" s="265">
        <v>2364</v>
      </c>
      <c r="V127" s="266">
        <v>2829</v>
      </c>
      <c r="W127" s="266">
        <v>1059</v>
      </c>
      <c r="X127" s="266">
        <v>521</v>
      </c>
      <c r="Y127" s="266">
        <v>171</v>
      </c>
      <c r="Z127" s="266">
        <v>457</v>
      </c>
      <c r="AA127" s="267">
        <v>7401</v>
      </c>
      <c r="AB127" s="265">
        <v>0</v>
      </c>
      <c r="AC127" s="266">
        <v>0</v>
      </c>
      <c r="AD127" s="266">
        <v>0</v>
      </c>
      <c r="AE127" s="266">
        <v>33</v>
      </c>
      <c r="AF127" s="266">
        <v>1833</v>
      </c>
      <c r="AG127" s="267">
        <v>1866</v>
      </c>
      <c r="AH127" s="266">
        <v>0</v>
      </c>
      <c r="AI127" s="266">
        <v>0</v>
      </c>
      <c r="AJ127" s="266">
        <v>0</v>
      </c>
      <c r="AK127" s="265">
        <v>0</v>
      </c>
      <c r="AL127" s="405"/>
      <c r="AM127" s="405"/>
    </row>
    <row r="128" spans="1:39" ht="13.9" customHeight="1">
      <c r="A128" s="239" t="s">
        <v>18</v>
      </c>
      <c r="B128" s="239" t="s">
        <v>53</v>
      </c>
      <c r="C128" s="241">
        <v>0.40688775510204084</v>
      </c>
      <c r="D128" s="242">
        <v>0</v>
      </c>
      <c r="E128" s="242">
        <v>0.40485829959514169</v>
      </c>
      <c r="F128" s="242">
        <v>0</v>
      </c>
      <c r="G128" s="242">
        <v>0</v>
      </c>
      <c r="H128" s="243">
        <v>0.26467449306296692</v>
      </c>
      <c r="I128" s="241">
        <v>0.34627539503386007</v>
      </c>
      <c r="J128" s="241">
        <v>0.40425531914893614</v>
      </c>
      <c r="K128" s="242">
        <v>0</v>
      </c>
      <c r="L128" s="242">
        <v>0</v>
      </c>
      <c r="M128" s="242">
        <v>0.38129496402877699</v>
      </c>
      <c r="N128" s="243">
        <v>0</v>
      </c>
      <c r="O128" s="241">
        <v>0.3905579399141631</v>
      </c>
      <c r="P128" s="241">
        <v>0</v>
      </c>
      <c r="Q128" s="242">
        <v>0</v>
      </c>
      <c r="R128" s="243">
        <v>0</v>
      </c>
      <c r="S128" s="241">
        <v>0</v>
      </c>
      <c r="T128" s="253"/>
      <c r="U128" s="245">
        <v>319</v>
      </c>
      <c r="V128" s="246">
        <v>0</v>
      </c>
      <c r="W128" s="246">
        <v>200</v>
      </c>
      <c r="X128" s="246">
        <v>0</v>
      </c>
      <c r="Y128" s="246">
        <v>0</v>
      </c>
      <c r="Z128" s="246">
        <v>248</v>
      </c>
      <c r="AA128" s="247">
        <v>767</v>
      </c>
      <c r="AB128" s="245">
        <v>38</v>
      </c>
      <c r="AC128" s="246">
        <v>0</v>
      </c>
      <c r="AD128" s="246">
        <v>0</v>
      </c>
      <c r="AE128" s="246">
        <v>53</v>
      </c>
      <c r="AF128" s="246">
        <v>0</v>
      </c>
      <c r="AG128" s="247">
        <v>91</v>
      </c>
      <c r="AH128" s="246">
        <v>0</v>
      </c>
      <c r="AI128" s="246">
        <v>0</v>
      </c>
      <c r="AJ128" s="246">
        <v>0</v>
      </c>
      <c r="AK128" s="245">
        <v>0</v>
      </c>
    </row>
    <row r="129" spans="1:39" ht="13.9" customHeight="1">
      <c r="A129" s="249"/>
      <c r="B129" s="239" t="s">
        <v>93</v>
      </c>
      <c r="C129" s="250">
        <v>0.29464285714285715</v>
      </c>
      <c r="D129" s="251">
        <v>0</v>
      </c>
      <c r="E129" s="251">
        <v>0.25506072874493929</v>
      </c>
      <c r="F129" s="251">
        <v>0</v>
      </c>
      <c r="G129" s="251">
        <v>0</v>
      </c>
      <c r="H129" s="252">
        <v>0.28601921024546423</v>
      </c>
      <c r="I129" s="250">
        <v>0.28216704288939054</v>
      </c>
      <c r="J129" s="250">
        <v>0.18085106382978725</v>
      </c>
      <c r="K129" s="251">
        <v>0</v>
      </c>
      <c r="L129" s="251">
        <v>0</v>
      </c>
      <c r="M129" s="251">
        <v>0.25179856115107913</v>
      </c>
      <c r="N129" s="252">
        <v>0</v>
      </c>
      <c r="O129" s="250">
        <v>0.22317596566523606</v>
      </c>
      <c r="P129" s="250">
        <v>0</v>
      </c>
      <c r="Q129" s="251">
        <v>0</v>
      </c>
      <c r="R129" s="252">
        <v>0</v>
      </c>
      <c r="S129" s="250">
        <v>0</v>
      </c>
      <c r="T129" s="253"/>
      <c r="U129" s="254">
        <v>231</v>
      </c>
      <c r="V129" s="255">
        <v>0</v>
      </c>
      <c r="W129" s="255">
        <v>126</v>
      </c>
      <c r="X129" s="255">
        <v>0</v>
      </c>
      <c r="Y129" s="255">
        <v>0</v>
      </c>
      <c r="Z129" s="255">
        <v>268</v>
      </c>
      <c r="AA129" s="256">
        <v>625</v>
      </c>
      <c r="AB129" s="254">
        <v>17</v>
      </c>
      <c r="AC129" s="255">
        <v>0</v>
      </c>
      <c r="AD129" s="255">
        <v>0</v>
      </c>
      <c r="AE129" s="255">
        <v>35</v>
      </c>
      <c r="AF129" s="255">
        <v>0</v>
      </c>
      <c r="AG129" s="256">
        <v>52</v>
      </c>
      <c r="AH129" s="255">
        <v>0</v>
      </c>
      <c r="AI129" s="255">
        <v>0</v>
      </c>
      <c r="AJ129" s="255">
        <v>0</v>
      </c>
      <c r="AK129" s="254">
        <v>0</v>
      </c>
    </row>
    <row r="130" spans="1:39" ht="13.9" customHeight="1">
      <c r="A130" s="249"/>
      <c r="B130" s="239" t="s">
        <v>55</v>
      </c>
      <c r="C130" s="250">
        <v>0.27295918367346939</v>
      </c>
      <c r="D130" s="251">
        <v>0</v>
      </c>
      <c r="E130" s="251">
        <v>0.26518218623481782</v>
      </c>
      <c r="F130" s="251">
        <v>0</v>
      </c>
      <c r="G130" s="251">
        <v>0</v>
      </c>
      <c r="H130" s="252">
        <v>0.31910352187833513</v>
      </c>
      <c r="I130" s="250">
        <v>0.29074492099322802</v>
      </c>
      <c r="J130" s="250">
        <v>0.1702127659574468</v>
      </c>
      <c r="K130" s="251">
        <v>0</v>
      </c>
      <c r="L130" s="251">
        <v>0</v>
      </c>
      <c r="M130" s="251">
        <v>0.15827338129496402</v>
      </c>
      <c r="N130" s="252">
        <v>0</v>
      </c>
      <c r="O130" s="250">
        <v>0.1630901287553648</v>
      </c>
      <c r="P130" s="250">
        <v>0</v>
      </c>
      <c r="Q130" s="251">
        <v>0</v>
      </c>
      <c r="R130" s="252">
        <v>0</v>
      </c>
      <c r="S130" s="250">
        <v>0</v>
      </c>
      <c r="T130" s="253"/>
      <c r="U130" s="254">
        <v>214</v>
      </c>
      <c r="V130" s="255">
        <v>0</v>
      </c>
      <c r="W130" s="255">
        <v>131</v>
      </c>
      <c r="X130" s="255">
        <v>0</v>
      </c>
      <c r="Y130" s="255">
        <v>0</v>
      </c>
      <c r="Z130" s="255">
        <v>299</v>
      </c>
      <c r="AA130" s="256">
        <v>644</v>
      </c>
      <c r="AB130" s="254">
        <v>16</v>
      </c>
      <c r="AC130" s="255">
        <v>0</v>
      </c>
      <c r="AD130" s="255">
        <v>0</v>
      </c>
      <c r="AE130" s="255">
        <v>22</v>
      </c>
      <c r="AF130" s="255">
        <v>0</v>
      </c>
      <c r="AG130" s="256">
        <v>38</v>
      </c>
      <c r="AH130" s="255">
        <v>0</v>
      </c>
      <c r="AI130" s="255">
        <v>0</v>
      </c>
      <c r="AJ130" s="255">
        <v>0</v>
      </c>
      <c r="AK130" s="254">
        <v>0</v>
      </c>
    </row>
    <row r="131" spans="1:39" ht="13.9" customHeight="1">
      <c r="A131" s="249"/>
      <c r="B131" s="239" t="s">
        <v>78</v>
      </c>
      <c r="C131" s="250">
        <v>1.020408163265306E-2</v>
      </c>
      <c r="D131" s="251">
        <v>0</v>
      </c>
      <c r="E131" s="251">
        <v>7.4898785425101214E-2</v>
      </c>
      <c r="F131" s="251">
        <v>0</v>
      </c>
      <c r="G131" s="251">
        <v>0</v>
      </c>
      <c r="H131" s="252">
        <v>0.11205976520811099</v>
      </c>
      <c r="I131" s="250">
        <v>6.772009029345373E-2</v>
      </c>
      <c r="J131" s="250">
        <v>0.14893617021276595</v>
      </c>
      <c r="K131" s="251">
        <v>0</v>
      </c>
      <c r="L131" s="251">
        <v>0</v>
      </c>
      <c r="M131" s="251">
        <v>0.19424460431654678</v>
      </c>
      <c r="N131" s="252">
        <v>0</v>
      </c>
      <c r="O131" s="250">
        <v>0.17596566523605151</v>
      </c>
      <c r="P131" s="250">
        <v>0</v>
      </c>
      <c r="Q131" s="251">
        <v>0</v>
      </c>
      <c r="R131" s="252">
        <v>0</v>
      </c>
      <c r="S131" s="250">
        <v>0</v>
      </c>
      <c r="T131" s="253"/>
      <c r="U131" s="254">
        <v>8</v>
      </c>
      <c r="V131" s="255">
        <v>0</v>
      </c>
      <c r="W131" s="255">
        <v>37</v>
      </c>
      <c r="X131" s="255">
        <v>0</v>
      </c>
      <c r="Y131" s="255">
        <v>0</v>
      </c>
      <c r="Z131" s="255">
        <v>105</v>
      </c>
      <c r="AA131" s="256">
        <v>150</v>
      </c>
      <c r="AB131" s="254">
        <v>14</v>
      </c>
      <c r="AC131" s="255">
        <v>0</v>
      </c>
      <c r="AD131" s="255">
        <v>0</v>
      </c>
      <c r="AE131" s="255">
        <v>27</v>
      </c>
      <c r="AF131" s="255">
        <v>0</v>
      </c>
      <c r="AG131" s="256">
        <v>41</v>
      </c>
      <c r="AH131" s="255">
        <v>0</v>
      </c>
      <c r="AI131" s="255">
        <v>0</v>
      </c>
      <c r="AJ131" s="255">
        <v>0</v>
      </c>
      <c r="AK131" s="254">
        <v>0</v>
      </c>
    </row>
    <row r="132" spans="1:39" ht="13.9" customHeight="1">
      <c r="A132" s="249"/>
      <c r="B132" s="239" t="s">
        <v>32</v>
      </c>
      <c r="C132" s="250">
        <v>1.5306122448979591E-2</v>
      </c>
      <c r="D132" s="251">
        <v>0</v>
      </c>
      <c r="E132" s="251">
        <v>0</v>
      </c>
      <c r="F132" s="251">
        <v>0</v>
      </c>
      <c r="G132" s="251">
        <v>0</v>
      </c>
      <c r="H132" s="252">
        <v>1.8143009605122731E-2</v>
      </c>
      <c r="I132" s="250">
        <v>1.3092550790067719E-2</v>
      </c>
      <c r="J132" s="250">
        <v>9.5744680851063829E-2</v>
      </c>
      <c r="K132" s="251">
        <v>0</v>
      </c>
      <c r="L132" s="251">
        <v>0</v>
      </c>
      <c r="M132" s="251">
        <v>1.4388489208633094E-2</v>
      </c>
      <c r="N132" s="252">
        <v>0</v>
      </c>
      <c r="O132" s="250">
        <v>4.7210300429184553E-2</v>
      </c>
      <c r="P132" s="250">
        <v>0</v>
      </c>
      <c r="Q132" s="251">
        <v>0</v>
      </c>
      <c r="R132" s="252">
        <v>0</v>
      </c>
      <c r="S132" s="250">
        <v>0</v>
      </c>
      <c r="T132" s="253"/>
      <c r="U132" s="254">
        <v>12</v>
      </c>
      <c r="V132" s="255">
        <v>0</v>
      </c>
      <c r="W132" s="255">
        <v>0</v>
      </c>
      <c r="X132" s="255">
        <v>0</v>
      </c>
      <c r="Y132" s="255">
        <v>0</v>
      </c>
      <c r="Z132" s="255">
        <v>17</v>
      </c>
      <c r="AA132" s="256">
        <v>29</v>
      </c>
      <c r="AB132" s="254">
        <v>9</v>
      </c>
      <c r="AC132" s="255">
        <v>0</v>
      </c>
      <c r="AD132" s="255">
        <v>0</v>
      </c>
      <c r="AE132" s="255">
        <v>2</v>
      </c>
      <c r="AF132" s="255">
        <v>0</v>
      </c>
      <c r="AG132" s="256">
        <v>11</v>
      </c>
      <c r="AH132" s="255">
        <v>0</v>
      </c>
      <c r="AI132" s="255">
        <v>0</v>
      </c>
      <c r="AJ132" s="255">
        <v>0</v>
      </c>
      <c r="AK132" s="254">
        <v>0</v>
      </c>
    </row>
    <row r="133" spans="1:39" ht="13.9" customHeight="1">
      <c r="A133" s="249"/>
      <c r="B133" s="239" t="s">
        <v>58</v>
      </c>
      <c r="C133" s="250">
        <v>0</v>
      </c>
      <c r="D133" s="251">
        <v>0</v>
      </c>
      <c r="E133" s="251">
        <v>0</v>
      </c>
      <c r="F133" s="251">
        <v>0</v>
      </c>
      <c r="G133" s="251">
        <v>0</v>
      </c>
      <c r="H133" s="252">
        <v>0</v>
      </c>
      <c r="I133" s="250">
        <v>0</v>
      </c>
      <c r="J133" s="250">
        <v>0</v>
      </c>
      <c r="K133" s="251">
        <v>0</v>
      </c>
      <c r="L133" s="251">
        <v>0</v>
      </c>
      <c r="M133" s="251">
        <v>0</v>
      </c>
      <c r="N133" s="252">
        <v>0</v>
      </c>
      <c r="O133" s="250">
        <v>0</v>
      </c>
      <c r="P133" s="250">
        <v>0</v>
      </c>
      <c r="Q133" s="251">
        <v>0</v>
      </c>
      <c r="R133" s="252">
        <v>0</v>
      </c>
      <c r="S133" s="250">
        <v>0</v>
      </c>
      <c r="T133" s="253"/>
      <c r="U133" s="254">
        <v>0</v>
      </c>
      <c r="V133" s="255">
        <v>0</v>
      </c>
      <c r="W133" s="255">
        <v>0</v>
      </c>
      <c r="X133" s="255">
        <v>0</v>
      </c>
      <c r="Y133" s="255">
        <v>0</v>
      </c>
      <c r="Z133" s="255">
        <v>0</v>
      </c>
      <c r="AA133" s="256">
        <v>0</v>
      </c>
      <c r="AB133" s="254">
        <v>0</v>
      </c>
      <c r="AC133" s="255">
        <v>0</v>
      </c>
      <c r="AD133" s="255">
        <v>0</v>
      </c>
      <c r="AE133" s="255">
        <v>0</v>
      </c>
      <c r="AF133" s="255">
        <v>0</v>
      </c>
      <c r="AG133" s="256">
        <v>0</v>
      </c>
      <c r="AH133" s="255">
        <v>0</v>
      </c>
      <c r="AI133" s="255">
        <v>0</v>
      </c>
      <c r="AJ133" s="255">
        <v>0</v>
      </c>
      <c r="AK133" s="254">
        <v>0</v>
      </c>
    </row>
    <row r="134" spans="1:39" s="406" customFormat="1" ht="24" customHeight="1">
      <c r="A134" s="259"/>
      <c r="B134" s="260" t="s">
        <v>59</v>
      </c>
      <c r="C134" s="261">
        <v>1</v>
      </c>
      <c r="D134" s="262">
        <v>0</v>
      </c>
      <c r="E134" s="262">
        <v>1</v>
      </c>
      <c r="F134" s="262">
        <v>0</v>
      </c>
      <c r="G134" s="262">
        <v>0</v>
      </c>
      <c r="H134" s="263">
        <v>1</v>
      </c>
      <c r="I134" s="261">
        <v>1</v>
      </c>
      <c r="J134" s="261">
        <v>1</v>
      </c>
      <c r="K134" s="262">
        <v>0</v>
      </c>
      <c r="L134" s="262">
        <v>0</v>
      </c>
      <c r="M134" s="262">
        <v>1</v>
      </c>
      <c r="N134" s="263">
        <v>0</v>
      </c>
      <c r="O134" s="261">
        <v>1</v>
      </c>
      <c r="P134" s="261">
        <v>0</v>
      </c>
      <c r="Q134" s="262">
        <v>0</v>
      </c>
      <c r="R134" s="263">
        <v>0</v>
      </c>
      <c r="S134" s="261">
        <v>0</v>
      </c>
      <c r="T134" s="264"/>
      <c r="U134" s="265">
        <v>784</v>
      </c>
      <c r="V134" s="266">
        <v>0</v>
      </c>
      <c r="W134" s="266">
        <v>494</v>
      </c>
      <c r="X134" s="266">
        <v>0</v>
      </c>
      <c r="Y134" s="266">
        <v>0</v>
      </c>
      <c r="Z134" s="266">
        <v>937</v>
      </c>
      <c r="AA134" s="267">
        <v>2215</v>
      </c>
      <c r="AB134" s="265">
        <v>94</v>
      </c>
      <c r="AC134" s="266">
        <v>0</v>
      </c>
      <c r="AD134" s="266">
        <v>0</v>
      </c>
      <c r="AE134" s="266">
        <v>139</v>
      </c>
      <c r="AF134" s="266">
        <v>0</v>
      </c>
      <c r="AG134" s="267">
        <v>233</v>
      </c>
      <c r="AH134" s="266">
        <v>0</v>
      </c>
      <c r="AI134" s="266">
        <v>0</v>
      </c>
      <c r="AJ134" s="266">
        <v>0</v>
      </c>
      <c r="AK134" s="265">
        <v>0</v>
      </c>
      <c r="AL134" s="405"/>
      <c r="AM134" s="405"/>
    </row>
  </sheetData>
  <phoneticPr fontId="44" type="noConversion"/>
  <pageMargins left="0.75" right="0.75" top="1" bottom="1" header="0.5" footer="0.5"/>
  <headerFooter alignWithMargins="0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P134"/>
  <sheetViews>
    <sheetView workbookViewId="0"/>
  </sheetViews>
  <sheetFormatPr defaultColWidth="7.88671875" defaultRowHeight="15"/>
  <cols>
    <col min="1" max="1" width="5" style="80" customWidth="1"/>
    <col min="2" max="2" width="13.88671875" style="84" customWidth="1"/>
    <col min="3" max="3" width="6.6640625" style="80" bestFit="1" customWidth="1"/>
    <col min="4" max="4" width="5.21875" style="80" customWidth="1"/>
    <col min="5" max="7" width="4.21875" style="80" customWidth="1"/>
    <col min="8" max="8" width="4.88671875" style="80" customWidth="1"/>
    <col min="9" max="9" width="5.5546875" style="80" customWidth="1"/>
    <col min="10" max="10" width="6.21875" style="80" customWidth="1"/>
    <col min="11" max="13" width="4.33203125" style="80" customWidth="1"/>
    <col min="14" max="14" width="6.33203125" style="80" customWidth="1"/>
    <col min="15" max="15" width="6.6640625" style="80" bestFit="1" customWidth="1"/>
    <col min="16" max="17" width="4.33203125" style="80" customWidth="1"/>
    <col min="18" max="18" width="5.77734375" style="80" customWidth="1"/>
    <col min="19" max="19" width="4.6640625" style="84" customWidth="1"/>
    <col min="20" max="20" width="3.21875" style="213" customWidth="1"/>
    <col min="21" max="21" width="5.88671875" style="209" customWidth="1"/>
    <col min="22" max="23" width="6" style="209" customWidth="1"/>
    <col min="24" max="24" width="6.44140625" style="209" customWidth="1"/>
    <col min="25" max="25" width="5.88671875" style="209" bestFit="1" customWidth="1"/>
    <col min="26" max="26" width="6.21875" style="209" customWidth="1"/>
    <col min="27" max="27" width="7.33203125" style="288" bestFit="1" customWidth="1"/>
    <col min="28" max="28" width="4.77734375" style="209" customWidth="1"/>
    <col min="29" max="29" width="5.77734375" style="209" customWidth="1"/>
    <col min="30" max="30" width="6.109375" style="209" customWidth="1"/>
    <col min="31" max="31" width="5.77734375" style="209" customWidth="1"/>
    <col min="32" max="32" width="4.77734375" style="209" customWidth="1"/>
    <col min="33" max="34" width="6" style="209" customWidth="1"/>
    <col min="35" max="35" width="5" style="209" customWidth="1"/>
    <col min="36" max="36" width="4.77734375" style="209" customWidth="1"/>
    <col min="37" max="37" width="5.6640625" style="214" customWidth="1"/>
    <col min="38" max="38" width="4.77734375" style="209" customWidth="1"/>
    <col min="39" max="39" width="7.88671875" style="209" customWidth="1"/>
    <col min="40" max="16384" width="7.88671875" style="80"/>
  </cols>
  <sheetData>
    <row r="1" spans="1:39" ht="18">
      <c r="A1" s="203" t="s">
        <v>49</v>
      </c>
      <c r="B1" s="204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4"/>
      <c r="T1" s="206" t="s">
        <v>86</v>
      </c>
      <c r="U1" s="207"/>
      <c r="V1" s="207"/>
      <c r="W1" s="207"/>
      <c r="X1" s="207"/>
      <c r="Y1" s="207"/>
      <c r="Z1" s="207"/>
      <c r="AA1" s="286"/>
      <c r="AB1" s="207"/>
      <c r="AC1" s="207"/>
      <c r="AD1" s="207"/>
      <c r="AE1" s="207"/>
      <c r="AF1" s="207"/>
      <c r="AG1" s="207"/>
      <c r="AH1" s="207"/>
      <c r="AI1" s="207"/>
      <c r="AJ1" s="207"/>
      <c r="AK1" s="208"/>
    </row>
    <row r="2" spans="1:39" ht="18">
      <c r="A2" s="203" t="s">
        <v>109</v>
      </c>
      <c r="B2" s="204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4"/>
      <c r="T2" s="206" t="s">
        <v>86</v>
      </c>
      <c r="U2" s="207"/>
      <c r="V2" s="207"/>
      <c r="W2" s="207"/>
      <c r="X2" s="207"/>
      <c r="Y2" s="207"/>
      <c r="Z2" s="207"/>
      <c r="AA2" s="286"/>
      <c r="AB2" s="207"/>
      <c r="AC2" s="207"/>
      <c r="AD2" s="207"/>
      <c r="AE2" s="207"/>
      <c r="AF2" s="207"/>
      <c r="AG2" s="207"/>
      <c r="AH2" s="207"/>
      <c r="AI2" s="207"/>
      <c r="AJ2" s="207"/>
      <c r="AK2" s="208"/>
    </row>
    <row r="3" spans="1:39" s="55" customFormat="1" ht="18" customHeight="1">
      <c r="A3" s="143" t="s">
        <v>129</v>
      </c>
      <c r="B3" s="82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2"/>
      <c r="T3" s="210" t="s">
        <v>86</v>
      </c>
      <c r="U3" s="211"/>
      <c r="V3" s="211"/>
      <c r="W3" s="211"/>
      <c r="X3" s="211"/>
      <c r="Y3" s="211"/>
      <c r="Z3" s="211"/>
      <c r="AA3" s="287"/>
      <c r="AB3" s="211"/>
      <c r="AC3" s="211"/>
      <c r="AD3" s="211"/>
      <c r="AE3" s="211"/>
      <c r="AF3" s="211"/>
      <c r="AG3" s="211"/>
      <c r="AH3" s="211"/>
      <c r="AI3" s="211"/>
      <c r="AJ3" s="211"/>
      <c r="AK3" s="212"/>
      <c r="AL3" s="64"/>
      <c r="AM3" s="64"/>
    </row>
    <row r="4" spans="1:39" s="55" customFormat="1" ht="15.75" customHeight="1">
      <c r="A4" s="81"/>
      <c r="B4" s="82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2"/>
      <c r="T4" s="210" t="s">
        <v>86</v>
      </c>
      <c r="U4" s="211"/>
      <c r="V4" s="211"/>
      <c r="W4" s="211"/>
      <c r="X4" s="211"/>
      <c r="Y4" s="211"/>
      <c r="Z4" s="211"/>
      <c r="AA4" s="287"/>
      <c r="AB4" s="211"/>
      <c r="AC4" s="211"/>
      <c r="AD4" s="211"/>
      <c r="AE4" s="211"/>
      <c r="AF4" s="211"/>
      <c r="AG4" s="211"/>
      <c r="AH4" s="211"/>
      <c r="AI4" s="211"/>
      <c r="AJ4" s="211"/>
      <c r="AK4" s="212"/>
      <c r="AL4" s="64"/>
      <c r="AM4" s="64"/>
    </row>
    <row r="5" spans="1:39" ht="15.75" customHeight="1">
      <c r="A5" s="57"/>
      <c r="T5" s="213" t="s">
        <v>86</v>
      </c>
    </row>
    <row r="6" spans="1:39">
      <c r="A6" s="215"/>
      <c r="B6" s="60"/>
      <c r="C6" s="87" t="s">
        <v>95</v>
      </c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216"/>
      <c r="U6" s="87" t="s">
        <v>52</v>
      </c>
      <c r="V6" s="217"/>
      <c r="W6" s="217"/>
      <c r="X6" s="217"/>
      <c r="Y6" s="217"/>
      <c r="Z6" s="217"/>
      <c r="AA6" s="289"/>
      <c r="AB6" s="217"/>
      <c r="AC6" s="217"/>
      <c r="AD6" s="217"/>
      <c r="AE6" s="217"/>
      <c r="AF6" s="217"/>
      <c r="AG6" s="217"/>
      <c r="AH6" s="217"/>
      <c r="AI6" s="217"/>
      <c r="AJ6" s="217"/>
      <c r="AK6" s="217"/>
    </row>
    <row r="7" spans="1:39">
      <c r="A7" s="218"/>
      <c r="B7" s="219"/>
      <c r="C7" s="90" t="s">
        <v>96</v>
      </c>
      <c r="D7" s="91"/>
      <c r="E7" s="91"/>
      <c r="F7" s="91"/>
      <c r="G7" s="91"/>
      <c r="H7" s="91"/>
      <c r="I7" s="91"/>
      <c r="J7" s="92" t="s">
        <v>97</v>
      </c>
      <c r="K7" s="220"/>
      <c r="L7" s="220"/>
      <c r="M7" s="220"/>
      <c r="N7" s="221"/>
      <c r="O7" s="222"/>
      <c r="P7" s="92" t="s">
        <v>110</v>
      </c>
      <c r="Q7" s="220"/>
      <c r="R7" s="220"/>
      <c r="S7" s="91"/>
      <c r="U7" s="90" t="s">
        <v>96</v>
      </c>
      <c r="V7" s="223"/>
      <c r="W7" s="223"/>
      <c r="X7" s="223"/>
      <c r="Y7" s="223"/>
      <c r="Z7" s="223"/>
      <c r="AA7" s="290"/>
      <c r="AB7" s="224" t="s">
        <v>97</v>
      </c>
      <c r="AC7" s="225"/>
      <c r="AD7" s="225"/>
      <c r="AE7" s="225"/>
      <c r="AF7" s="226"/>
      <c r="AG7" s="227"/>
      <c r="AH7" s="224" t="s">
        <v>110</v>
      </c>
      <c r="AI7" s="225"/>
      <c r="AJ7" s="225"/>
      <c r="AK7" s="223"/>
    </row>
    <row r="8" spans="1:39" ht="48" customHeight="1">
      <c r="A8" s="228"/>
      <c r="B8" s="229"/>
      <c r="C8" s="230">
        <v>1</v>
      </c>
      <c r="D8" s="93">
        <v>2</v>
      </c>
      <c r="E8" s="93">
        <v>3</v>
      </c>
      <c r="F8" s="93">
        <v>4</v>
      </c>
      <c r="G8" s="93">
        <v>5</v>
      </c>
      <c r="H8" s="93">
        <v>6</v>
      </c>
      <c r="I8" s="231" t="s">
        <v>98</v>
      </c>
      <c r="J8" s="232" t="s">
        <v>111</v>
      </c>
      <c r="K8" s="93">
        <v>1</v>
      </c>
      <c r="L8" s="93">
        <v>2</v>
      </c>
      <c r="M8" s="93">
        <v>3</v>
      </c>
      <c r="N8" s="232" t="s">
        <v>112</v>
      </c>
      <c r="O8" s="231" t="s">
        <v>113</v>
      </c>
      <c r="P8" s="232">
        <v>1</v>
      </c>
      <c r="Q8" s="232">
        <v>2</v>
      </c>
      <c r="R8" s="232" t="s">
        <v>112</v>
      </c>
      <c r="S8" s="233" t="s">
        <v>113</v>
      </c>
      <c r="T8" s="234"/>
      <c r="U8" s="235">
        <v>1</v>
      </c>
      <c r="V8" s="236">
        <v>2</v>
      </c>
      <c r="W8" s="236">
        <v>3</v>
      </c>
      <c r="X8" s="236">
        <v>4</v>
      </c>
      <c r="Y8" s="236">
        <v>5</v>
      </c>
      <c r="Z8" s="236">
        <v>6</v>
      </c>
      <c r="AA8" s="291" t="s">
        <v>98</v>
      </c>
      <c r="AB8" s="237" t="s">
        <v>111</v>
      </c>
      <c r="AC8" s="236">
        <v>1</v>
      </c>
      <c r="AD8" s="236">
        <v>2</v>
      </c>
      <c r="AE8" s="236">
        <v>3</v>
      </c>
      <c r="AF8" s="237" t="s">
        <v>114</v>
      </c>
      <c r="AG8" s="275" t="s">
        <v>113</v>
      </c>
      <c r="AH8" s="237">
        <v>1</v>
      </c>
      <c r="AI8" s="237">
        <v>2</v>
      </c>
      <c r="AJ8" s="237" t="s">
        <v>114</v>
      </c>
      <c r="AK8" s="238" t="s">
        <v>113</v>
      </c>
    </row>
    <row r="9" spans="1:39" ht="15.75" customHeight="1">
      <c r="A9" s="239" t="s">
        <v>2</v>
      </c>
      <c r="B9" s="240" t="s">
        <v>53</v>
      </c>
      <c r="C9" s="241">
        <f t="shared" ref="C9:I15" si="0">IF(U$15&gt;0,(U9/U$15),0)</f>
        <v>0.41374315120503746</v>
      </c>
      <c r="D9" s="242">
        <f t="shared" si="0"/>
        <v>0.32811425714107134</v>
      </c>
      <c r="E9" s="242">
        <f t="shared" si="0"/>
        <v>0.3472509019945994</v>
      </c>
      <c r="F9" s="242">
        <f t="shared" si="0"/>
        <v>0.3128366588270996</v>
      </c>
      <c r="G9" s="242">
        <f t="shared" si="0"/>
        <v>0.28877503493246393</v>
      </c>
      <c r="H9" s="243">
        <f t="shared" si="0"/>
        <v>0.26523437500000002</v>
      </c>
      <c r="I9" s="241">
        <f t="shared" si="0"/>
        <v>0.36136851334266601</v>
      </c>
      <c r="J9" s="282"/>
      <c r="K9" s="282"/>
      <c r="L9" s="282"/>
      <c r="M9" s="282"/>
      <c r="N9" s="282"/>
      <c r="O9" s="241">
        <f t="shared" ref="O9:O15" si="1">IF(AG$15&gt;0,(AG9/AG$15),0)</f>
        <v>1.2703916859887381</v>
      </c>
      <c r="P9" s="282"/>
      <c r="Q9" s="282"/>
      <c r="R9" s="282"/>
      <c r="S9" s="241">
        <f t="shared" ref="S9:S15" si="2">IF(AK$15&gt;0,(AK9/AK$15),0)</f>
        <v>0</v>
      </c>
      <c r="T9" s="274"/>
      <c r="U9" s="295">
        <v>35416</v>
      </c>
      <c r="V9" s="296">
        <v>10499</v>
      </c>
      <c r="W9" s="296">
        <v>15303</v>
      </c>
      <c r="X9" s="296">
        <v>8247</v>
      </c>
      <c r="Y9" s="296">
        <v>3100</v>
      </c>
      <c r="Z9" s="296">
        <v>2037</v>
      </c>
      <c r="AA9" s="297">
        <v>74602</v>
      </c>
      <c r="AB9" s="276"/>
      <c r="AC9" s="277"/>
      <c r="AD9" s="277"/>
      <c r="AE9" s="277"/>
      <c r="AF9" s="278"/>
      <c r="AG9" s="298">
        <v>61365</v>
      </c>
      <c r="AH9" s="276"/>
      <c r="AI9" s="276"/>
      <c r="AJ9" s="276"/>
      <c r="AK9" s="299"/>
    </row>
    <row r="10" spans="1:39" ht="15.75" customHeight="1">
      <c r="A10" s="249"/>
      <c r="B10" s="239" t="s">
        <v>93</v>
      </c>
      <c r="C10" s="250">
        <f t="shared" si="0"/>
        <v>0.26585590953165339</v>
      </c>
      <c r="D10" s="251">
        <f t="shared" si="0"/>
        <v>0.29120570035627225</v>
      </c>
      <c r="E10" s="251">
        <f t="shared" si="0"/>
        <v>0.24847398397966824</v>
      </c>
      <c r="F10" s="251">
        <f t="shared" si="0"/>
        <v>0.26071618238373417</v>
      </c>
      <c r="G10" s="251">
        <f t="shared" si="0"/>
        <v>0.27517466231951559</v>
      </c>
      <c r="H10" s="252">
        <f t="shared" si="0"/>
        <v>0.27460937499999999</v>
      </c>
      <c r="I10" s="250">
        <f t="shared" si="0"/>
        <v>0.26622845046816795</v>
      </c>
      <c r="J10" s="283"/>
      <c r="K10" s="283"/>
      <c r="L10" s="283"/>
      <c r="M10" s="283"/>
      <c r="N10" s="283"/>
      <c r="O10" s="250">
        <f t="shared" si="1"/>
        <v>1.0062313680026498</v>
      </c>
      <c r="P10" s="283"/>
      <c r="Q10" s="283"/>
      <c r="R10" s="283"/>
      <c r="S10" s="250">
        <f t="shared" si="2"/>
        <v>0</v>
      </c>
      <c r="T10" s="274"/>
      <c r="U10" s="295">
        <v>22757</v>
      </c>
      <c r="V10" s="296">
        <v>9318</v>
      </c>
      <c r="W10" s="296">
        <v>10950</v>
      </c>
      <c r="X10" s="296">
        <v>6873</v>
      </c>
      <c r="Y10" s="296">
        <v>2954</v>
      </c>
      <c r="Z10" s="296">
        <v>2109</v>
      </c>
      <c r="AA10" s="297">
        <v>54961</v>
      </c>
      <c r="AB10" s="276"/>
      <c r="AC10" s="277"/>
      <c r="AD10" s="277"/>
      <c r="AE10" s="277"/>
      <c r="AF10" s="278"/>
      <c r="AG10" s="298">
        <v>48605</v>
      </c>
      <c r="AH10" s="276"/>
      <c r="AI10" s="276"/>
      <c r="AJ10" s="276"/>
      <c r="AK10" s="299"/>
    </row>
    <row r="11" spans="1:39" ht="15.75" customHeight="1">
      <c r="A11" s="249"/>
      <c r="B11" s="239" t="s">
        <v>55</v>
      </c>
      <c r="C11" s="250">
        <f t="shared" si="0"/>
        <v>0.22240914029369502</v>
      </c>
      <c r="D11" s="251">
        <f t="shared" si="0"/>
        <v>0.26114132133258328</v>
      </c>
      <c r="E11" s="251">
        <f t="shared" si="0"/>
        <v>0.27543170936485967</v>
      </c>
      <c r="F11" s="251">
        <f t="shared" si="0"/>
        <v>0.30870191942948183</v>
      </c>
      <c r="G11" s="251">
        <f t="shared" si="0"/>
        <v>0.31914299021891013</v>
      </c>
      <c r="H11" s="252">
        <f t="shared" si="0"/>
        <v>0.31979166666666664</v>
      </c>
      <c r="I11" s="250">
        <f t="shared" si="0"/>
        <v>0.25940332198233895</v>
      </c>
      <c r="J11" s="283"/>
      <c r="K11" s="283"/>
      <c r="L11" s="283"/>
      <c r="M11" s="283"/>
      <c r="N11" s="283"/>
      <c r="O11" s="250">
        <f t="shared" si="1"/>
        <v>0.89143756210665781</v>
      </c>
      <c r="P11" s="283"/>
      <c r="Q11" s="283"/>
      <c r="R11" s="283"/>
      <c r="S11" s="250">
        <f t="shared" si="2"/>
        <v>0</v>
      </c>
      <c r="T11" s="274"/>
      <c r="U11" s="295">
        <v>19038</v>
      </c>
      <c r="V11" s="296">
        <v>8356</v>
      </c>
      <c r="W11" s="296">
        <v>12138</v>
      </c>
      <c r="X11" s="296">
        <v>8138</v>
      </c>
      <c r="Y11" s="296">
        <v>3426</v>
      </c>
      <c r="Z11" s="296">
        <v>2456</v>
      </c>
      <c r="AA11" s="297">
        <v>53552</v>
      </c>
      <c r="AB11" s="276"/>
      <c r="AC11" s="277"/>
      <c r="AD11" s="277"/>
      <c r="AE11" s="277"/>
      <c r="AF11" s="278"/>
      <c r="AG11" s="298">
        <v>43060</v>
      </c>
      <c r="AH11" s="276"/>
      <c r="AI11" s="276"/>
      <c r="AJ11" s="276"/>
      <c r="AK11" s="299"/>
    </row>
    <row r="12" spans="1:39" ht="15.75" customHeight="1">
      <c r="A12" s="249"/>
      <c r="B12" s="239" t="s">
        <v>78</v>
      </c>
      <c r="C12" s="250">
        <f t="shared" si="0"/>
        <v>3.9661678290634238E-2</v>
      </c>
      <c r="D12" s="251">
        <f t="shared" si="0"/>
        <v>7.4035877242327644E-2</v>
      </c>
      <c r="E12" s="251">
        <f t="shared" si="0"/>
        <v>7.7628264766615995E-2</v>
      </c>
      <c r="F12" s="251">
        <f t="shared" si="0"/>
        <v>7.1807905318261131E-2</v>
      </c>
      <c r="G12" s="251">
        <f t="shared" si="0"/>
        <v>7.1355379599441077E-2</v>
      </c>
      <c r="H12" s="252">
        <f t="shared" si="0"/>
        <v>8.3723958333333334E-2</v>
      </c>
      <c r="I12" s="250">
        <f t="shared" si="0"/>
        <v>6.0486429668237723E-2</v>
      </c>
      <c r="J12" s="283"/>
      <c r="K12" s="283"/>
      <c r="L12" s="283"/>
      <c r="M12" s="283"/>
      <c r="N12" s="283"/>
      <c r="O12" s="250">
        <f t="shared" si="1"/>
        <v>0.73325190460417355</v>
      </c>
      <c r="P12" s="283"/>
      <c r="Q12" s="283"/>
      <c r="R12" s="283"/>
      <c r="S12" s="250">
        <f t="shared" si="2"/>
        <v>0</v>
      </c>
      <c r="T12" s="274"/>
      <c r="U12" s="295">
        <v>3395</v>
      </c>
      <c r="V12" s="296">
        <v>2369</v>
      </c>
      <c r="W12" s="296">
        <v>3421</v>
      </c>
      <c r="X12" s="296">
        <v>1893</v>
      </c>
      <c r="Y12" s="296">
        <v>766</v>
      </c>
      <c r="Z12" s="296">
        <v>643</v>
      </c>
      <c r="AA12" s="297">
        <v>12487</v>
      </c>
      <c r="AB12" s="276"/>
      <c r="AC12" s="277"/>
      <c r="AD12" s="277"/>
      <c r="AE12" s="277"/>
      <c r="AF12" s="278"/>
      <c r="AG12" s="298">
        <v>35419</v>
      </c>
      <c r="AH12" s="276"/>
      <c r="AI12" s="276"/>
      <c r="AJ12" s="276"/>
      <c r="AK12" s="299"/>
    </row>
    <row r="13" spans="1:39" ht="15.75" customHeight="1">
      <c r="A13" s="249"/>
      <c r="B13" s="239" t="s">
        <v>32</v>
      </c>
      <c r="C13" s="250">
        <f t="shared" si="0"/>
        <v>5.8330120678979892E-2</v>
      </c>
      <c r="D13" s="251">
        <f t="shared" si="0"/>
        <v>4.5502843927745486E-2</v>
      </c>
      <c r="E13" s="251">
        <f t="shared" si="0"/>
        <v>5.1215139894256731E-2</v>
      </c>
      <c r="F13" s="251">
        <f t="shared" si="0"/>
        <v>4.5937334041423264E-2</v>
      </c>
      <c r="G13" s="251">
        <f t="shared" si="0"/>
        <v>4.5551932929669303E-2</v>
      </c>
      <c r="H13" s="252">
        <f t="shared" si="0"/>
        <v>5.6640625E-2</v>
      </c>
      <c r="I13" s="250">
        <f t="shared" si="0"/>
        <v>5.2513284538589347E-2</v>
      </c>
      <c r="J13" s="283"/>
      <c r="K13" s="283"/>
      <c r="L13" s="283"/>
      <c r="M13" s="283"/>
      <c r="N13" s="285"/>
      <c r="O13" s="250">
        <f t="shared" si="1"/>
        <v>0</v>
      </c>
      <c r="P13" s="283"/>
      <c r="Q13" s="283"/>
      <c r="R13" s="283"/>
      <c r="S13" s="250">
        <f t="shared" si="2"/>
        <v>0</v>
      </c>
      <c r="T13" s="274"/>
      <c r="U13" s="295">
        <v>4993</v>
      </c>
      <c r="V13" s="296">
        <v>1456</v>
      </c>
      <c r="W13" s="296">
        <v>2257</v>
      </c>
      <c r="X13" s="296">
        <v>1211</v>
      </c>
      <c r="Y13" s="296">
        <v>489</v>
      </c>
      <c r="Z13" s="296">
        <v>435</v>
      </c>
      <c r="AA13" s="297">
        <v>10841</v>
      </c>
      <c r="AB13" s="276"/>
      <c r="AC13" s="277"/>
      <c r="AD13" s="277"/>
      <c r="AE13" s="277"/>
      <c r="AF13" s="278"/>
      <c r="AG13" s="298">
        <v>0</v>
      </c>
      <c r="AH13" s="276"/>
      <c r="AI13" s="276"/>
      <c r="AJ13" s="276"/>
      <c r="AK13" s="299"/>
    </row>
    <row r="14" spans="1:39" ht="15.75" customHeight="1">
      <c r="A14" s="249"/>
      <c r="B14" s="239" t="s">
        <v>58</v>
      </c>
      <c r="C14" s="250">
        <f t="shared" si="0"/>
        <v>0</v>
      </c>
      <c r="D14" s="251">
        <f t="shared" ref="D14:I14" si="3">IF(V$15&gt;0,(V14/V$15),0)</f>
        <v>0</v>
      </c>
      <c r="E14" s="251">
        <f t="shared" si="3"/>
        <v>0</v>
      </c>
      <c r="F14" s="251">
        <f t="shared" si="3"/>
        <v>0</v>
      </c>
      <c r="G14" s="251">
        <f t="shared" si="3"/>
        <v>0</v>
      </c>
      <c r="H14" s="251">
        <f t="shared" si="3"/>
        <v>0</v>
      </c>
      <c r="I14" s="250">
        <f t="shared" si="3"/>
        <v>0</v>
      </c>
      <c r="J14" s="283"/>
      <c r="K14" s="283"/>
      <c r="L14" s="283"/>
      <c r="M14" s="283"/>
      <c r="N14" s="283"/>
      <c r="O14" s="250">
        <f t="shared" si="1"/>
        <v>0</v>
      </c>
      <c r="P14" s="283"/>
      <c r="Q14" s="283"/>
      <c r="R14" s="283"/>
      <c r="S14" s="250">
        <f t="shared" si="2"/>
        <v>0</v>
      </c>
      <c r="T14" s="274"/>
      <c r="U14" s="295">
        <v>0</v>
      </c>
      <c r="V14" s="296">
        <v>0</v>
      </c>
      <c r="W14" s="296">
        <v>0</v>
      </c>
      <c r="X14" s="296">
        <v>0</v>
      </c>
      <c r="Y14" s="296">
        <v>0</v>
      </c>
      <c r="Z14" s="296">
        <v>0</v>
      </c>
      <c r="AA14" s="297">
        <v>0</v>
      </c>
      <c r="AB14" s="276"/>
      <c r="AC14" s="277"/>
      <c r="AD14" s="277"/>
      <c r="AE14" s="277"/>
      <c r="AF14" s="278"/>
      <c r="AG14" s="298">
        <v>0</v>
      </c>
      <c r="AH14" s="276"/>
      <c r="AI14" s="276"/>
      <c r="AJ14" s="276"/>
      <c r="AK14" s="299"/>
    </row>
    <row r="15" spans="1:39" ht="15.75" customHeight="1">
      <c r="A15" s="259"/>
      <c r="B15" s="260" t="s">
        <v>59</v>
      </c>
      <c r="C15" s="261">
        <f t="shared" si="0"/>
        <v>1</v>
      </c>
      <c r="D15" s="262">
        <f t="shared" si="0"/>
        <v>1</v>
      </c>
      <c r="E15" s="262">
        <f t="shared" si="0"/>
        <v>1</v>
      </c>
      <c r="F15" s="262">
        <f t="shared" si="0"/>
        <v>1</v>
      </c>
      <c r="G15" s="262">
        <f t="shared" si="0"/>
        <v>1</v>
      </c>
      <c r="H15" s="263">
        <f t="shared" si="0"/>
        <v>1</v>
      </c>
      <c r="I15" s="261">
        <f t="shared" si="0"/>
        <v>1</v>
      </c>
      <c r="J15" s="284"/>
      <c r="K15" s="284"/>
      <c r="L15" s="284"/>
      <c r="M15" s="284"/>
      <c r="N15" s="284"/>
      <c r="O15" s="261">
        <f t="shared" si="1"/>
        <v>1</v>
      </c>
      <c r="P15" s="284"/>
      <c r="Q15" s="284"/>
      <c r="R15" s="284"/>
      <c r="S15" s="261">
        <f t="shared" si="2"/>
        <v>0</v>
      </c>
      <c r="T15" s="274"/>
      <c r="U15" s="295">
        <v>85599</v>
      </c>
      <c r="V15" s="296">
        <v>31998</v>
      </c>
      <c r="W15" s="296">
        <v>44069</v>
      </c>
      <c r="X15" s="296">
        <v>26362</v>
      </c>
      <c r="Y15" s="296">
        <v>10735</v>
      </c>
      <c r="Z15" s="296">
        <v>7680</v>
      </c>
      <c r="AA15" s="297">
        <v>206443</v>
      </c>
      <c r="AB15" s="279"/>
      <c r="AC15" s="280"/>
      <c r="AD15" s="280"/>
      <c r="AE15" s="280"/>
      <c r="AF15" s="281"/>
      <c r="AG15" s="298">
        <v>48304</v>
      </c>
      <c r="AH15" s="279"/>
      <c r="AI15" s="279"/>
      <c r="AJ15" s="279"/>
      <c r="AK15" s="299"/>
    </row>
    <row r="16" spans="1:39" ht="13.9" customHeight="1">
      <c r="A16" s="239" t="s">
        <v>3</v>
      </c>
      <c r="B16" s="240" t="s">
        <v>53</v>
      </c>
      <c r="C16" s="241">
        <v>0.38205771643663738</v>
      </c>
      <c r="D16" s="242">
        <v>0.31526164982657218</v>
      </c>
      <c r="E16" s="242">
        <v>0.26856835306781485</v>
      </c>
      <c r="F16" s="242">
        <v>0.24482871839772355</v>
      </c>
      <c r="G16" s="242">
        <v>0.24459684123025768</v>
      </c>
      <c r="H16" s="243">
        <v>0.25060893098782139</v>
      </c>
      <c r="I16" s="241">
        <v>0.31469287705469579</v>
      </c>
      <c r="J16" s="241">
        <v>0.2459546925566343</v>
      </c>
      <c r="K16" s="242">
        <v>0.11966603662581833</v>
      </c>
      <c r="L16" s="242">
        <v>4.0912203451533777E-2</v>
      </c>
      <c r="M16" s="242">
        <v>0.1022456617897244</v>
      </c>
      <c r="N16" s="243">
        <v>0.22929936305732485</v>
      </c>
      <c r="O16" s="241">
        <v>9.8157405924289814E-2</v>
      </c>
      <c r="P16" s="241">
        <v>1.2096774193548387E-2</v>
      </c>
      <c r="Q16" s="242">
        <v>9.569377990430622E-2</v>
      </c>
      <c r="R16" s="243">
        <v>0</v>
      </c>
      <c r="S16" s="241">
        <v>2.1848317428427924E-2</v>
      </c>
      <c r="T16" s="244"/>
      <c r="U16" s="245">
        <v>12180</v>
      </c>
      <c r="V16" s="246">
        <v>4181</v>
      </c>
      <c r="W16" s="246">
        <v>5489</v>
      </c>
      <c r="X16" s="246">
        <v>2237</v>
      </c>
      <c r="Y16" s="246">
        <v>1177</v>
      </c>
      <c r="Z16" s="246">
        <v>926</v>
      </c>
      <c r="AA16" s="292">
        <v>26190</v>
      </c>
      <c r="AB16" s="245">
        <v>76</v>
      </c>
      <c r="AC16" s="246">
        <v>1912</v>
      </c>
      <c r="AD16" s="246">
        <v>472</v>
      </c>
      <c r="AE16" s="246">
        <v>601</v>
      </c>
      <c r="AF16" s="248">
        <v>432</v>
      </c>
      <c r="AG16" s="248">
        <v>3493</v>
      </c>
      <c r="AH16" s="245">
        <v>27</v>
      </c>
      <c r="AI16" s="246">
        <v>60</v>
      </c>
      <c r="AJ16" s="248">
        <v>0</v>
      </c>
      <c r="AK16" s="245">
        <v>87</v>
      </c>
    </row>
    <row r="17" spans="1:39" ht="13.9" customHeight="1">
      <c r="A17" s="249"/>
      <c r="B17" s="239" t="s">
        <v>93</v>
      </c>
      <c r="C17" s="250">
        <v>0.27393350062735256</v>
      </c>
      <c r="D17" s="251">
        <v>0.29377167847986729</v>
      </c>
      <c r="E17" s="251">
        <v>0.25736373422056952</v>
      </c>
      <c r="F17" s="251">
        <v>0.25194265076064354</v>
      </c>
      <c r="G17" s="251">
        <v>0.25415627597672485</v>
      </c>
      <c r="H17" s="252">
        <v>0.27604871447902574</v>
      </c>
      <c r="I17" s="250">
        <v>0.26956166490435451</v>
      </c>
      <c r="J17" s="250">
        <v>0.27831715210355989</v>
      </c>
      <c r="K17" s="251">
        <v>0.10239206899573158</v>
      </c>
      <c r="L17" s="251">
        <v>7.1336320848754867E-2</v>
      </c>
      <c r="M17" s="251">
        <v>0.11789724396053079</v>
      </c>
      <c r="N17" s="252">
        <v>0.32590233545647557</v>
      </c>
      <c r="O17" s="250">
        <v>0.10824572791879886</v>
      </c>
      <c r="P17" s="250">
        <v>4.4802867383512544E-2</v>
      </c>
      <c r="Q17" s="251">
        <v>0.17703349282296652</v>
      </c>
      <c r="R17" s="252">
        <v>0</v>
      </c>
      <c r="S17" s="250">
        <v>5.2988448016072325E-2</v>
      </c>
      <c r="T17" s="253"/>
      <c r="U17" s="254">
        <v>8733</v>
      </c>
      <c r="V17" s="255">
        <v>3896</v>
      </c>
      <c r="W17" s="255">
        <v>5260</v>
      </c>
      <c r="X17" s="255">
        <v>2302</v>
      </c>
      <c r="Y17" s="255">
        <v>1223</v>
      </c>
      <c r="Z17" s="255">
        <v>1020</v>
      </c>
      <c r="AA17" s="293">
        <v>22434</v>
      </c>
      <c r="AB17" s="254">
        <v>86</v>
      </c>
      <c r="AC17" s="255">
        <v>1636</v>
      </c>
      <c r="AD17" s="255">
        <v>823</v>
      </c>
      <c r="AE17" s="255">
        <v>693</v>
      </c>
      <c r="AF17" s="257">
        <v>614</v>
      </c>
      <c r="AG17" s="257">
        <v>3852</v>
      </c>
      <c r="AH17" s="254">
        <v>100</v>
      </c>
      <c r="AI17" s="255">
        <v>111</v>
      </c>
      <c r="AJ17" s="257">
        <v>0</v>
      </c>
      <c r="AK17" s="254">
        <v>211</v>
      </c>
    </row>
    <row r="18" spans="1:39" ht="13.9" customHeight="1">
      <c r="A18" s="249"/>
      <c r="B18" s="239" t="s">
        <v>55</v>
      </c>
      <c r="C18" s="250">
        <v>0.22330614805520702</v>
      </c>
      <c r="D18" s="251">
        <v>0.25403408234052177</v>
      </c>
      <c r="E18" s="251">
        <v>0.29821900381642041</v>
      </c>
      <c r="F18" s="251">
        <v>0.32942979095983366</v>
      </c>
      <c r="G18" s="251">
        <v>0.35099750623441395</v>
      </c>
      <c r="H18" s="252">
        <v>0.30635994587280108</v>
      </c>
      <c r="I18" s="250">
        <v>0.26932134961068921</v>
      </c>
      <c r="J18" s="250">
        <v>0.34627831715210355</v>
      </c>
      <c r="K18" s="251">
        <v>7.2538146678516449E-2</v>
      </c>
      <c r="L18" s="251">
        <v>6.5268833048739261E-2</v>
      </c>
      <c r="M18" s="251">
        <v>8.9486219802653963E-2</v>
      </c>
      <c r="N18" s="252">
        <v>0.28927813163481952</v>
      </c>
      <c r="O18" s="250">
        <v>8.6832632209005306E-2</v>
      </c>
      <c r="P18" s="250">
        <v>2.7777777777777776E-2</v>
      </c>
      <c r="Q18" s="251">
        <v>0.17224880382775121</v>
      </c>
      <c r="R18" s="252">
        <v>0</v>
      </c>
      <c r="S18" s="250">
        <v>4.2692114515318937E-2</v>
      </c>
      <c r="T18" s="253"/>
      <c r="U18" s="254">
        <v>7119</v>
      </c>
      <c r="V18" s="255">
        <v>3369</v>
      </c>
      <c r="W18" s="255">
        <v>6095</v>
      </c>
      <c r="X18" s="255">
        <v>3010</v>
      </c>
      <c r="Y18" s="255">
        <v>1689</v>
      </c>
      <c r="Z18" s="255">
        <v>1132</v>
      </c>
      <c r="AA18" s="293">
        <v>22414</v>
      </c>
      <c r="AB18" s="254">
        <v>107</v>
      </c>
      <c r="AC18" s="255">
        <v>1159</v>
      </c>
      <c r="AD18" s="255">
        <v>753</v>
      </c>
      <c r="AE18" s="255">
        <v>526</v>
      </c>
      <c r="AF18" s="257">
        <v>545</v>
      </c>
      <c r="AG18" s="257">
        <v>3090</v>
      </c>
      <c r="AH18" s="254">
        <v>62</v>
      </c>
      <c r="AI18" s="255">
        <v>108</v>
      </c>
      <c r="AJ18" s="257">
        <v>0</v>
      </c>
      <c r="AK18" s="254">
        <v>170</v>
      </c>
    </row>
    <row r="19" spans="1:39" ht="13.9" customHeight="1">
      <c r="A19" s="249"/>
      <c r="B19" s="239" t="s">
        <v>78</v>
      </c>
      <c r="C19" s="250">
        <v>5.58030112923463E-2</v>
      </c>
      <c r="D19" s="251">
        <v>9.251998190318203E-2</v>
      </c>
      <c r="E19" s="251">
        <v>9.8933359428515513E-2</v>
      </c>
      <c r="F19" s="251">
        <v>0.11250957644741162</v>
      </c>
      <c r="G19" s="251">
        <v>0.12988362427265171</v>
      </c>
      <c r="H19" s="252">
        <v>0.11529093369418132</v>
      </c>
      <c r="I19" s="250">
        <v>8.5396039603960402E-2</v>
      </c>
      <c r="J19" s="250">
        <v>0.12944983818770225</v>
      </c>
      <c r="K19" s="251">
        <v>0.14833080899748402</v>
      </c>
      <c r="L19" s="251">
        <v>0.14050568176893274</v>
      </c>
      <c r="M19" s="251">
        <v>0.11160258591357605</v>
      </c>
      <c r="N19" s="252">
        <v>0.15339702760084925</v>
      </c>
      <c r="O19" s="250">
        <v>0.13983144914951792</v>
      </c>
      <c r="P19" s="250">
        <v>2.5985663082437275E-2</v>
      </c>
      <c r="Q19" s="251">
        <v>0.21531100478468901</v>
      </c>
      <c r="R19" s="252">
        <v>0</v>
      </c>
      <c r="S19" s="250">
        <v>4.8468106479156205E-2</v>
      </c>
      <c r="T19" s="253"/>
      <c r="U19" s="254">
        <v>1779</v>
      </c>
      <c r="V19" s="255">
        <v>1227</v>
      </c>
      <c r="W19" s="255">
        <v>2022</v>
      </c>
      <c r="X19" s="255">
        <v>1028</v>
      </c>
      <c r="Y19" s="255">
        <v>625</v>
      </c>
      <c r="Z19" s="255">
        <v>426</v>
      </c>
      <c r="AA19" s="293">
        <v>7107</v>
      </c>
      <c r="AB19" s="254">
        <v>40</v>
      </c>
      <c r="AC19" s="255">
        <v>2370</v>
      </c>
      <c r="AD19" s="255">
        <v>1621</v>
      </c>
      <c r="AE19" s="255">
        <v>656</v>
      </c>
      <c r="AF19" s="257">
        <v>289</v>
      </c>
      <c r="AG19" s="257">
        <v>4976</v>
      </c>
      <c r="AH19" s="254">
        <v>58</v>
      </c>
      <c r="AI19" s="255">
        <v>135</v>
      </c>
      <c r="AJ19" s="257">
        <v>0</v>
      </c>
      <c r="AK19" s="254">
        <v>193</v>
      </c>
    </row>
    <row r="20" spans="1:39" ht="13.9" customHeight="1">
      <c r="A20" s="249"/>
      <c r="B20" s="239" t="s">
        <v>32</v>
      </c>
      <c r="C20" s="250">
        <v>6.4899623588456717E-2</v>
      </c>
      <c r="D20" s="251">
        <v>4.4412607449856735E-2</v>
      </c>
      <c r="E20" s="251">
        <v>7.6915549466679708E-2</v>
      </c>
      <c r="F20" s="251">
        <v>6.1289263434387654E-2</v>
      </c>
      <c r="G20" s="251">
        <v>2.0365752285951787E-2</v>
      </c>
      <c r="H20" s="252">
        <v>5.1691474966170499E-2</v>
      </c>
      <c r="I20" s="250">
        <v>6.1028068826300103E-2</v>
      </c>
      <c r="J20" s="250">
        <v>0</v>
      </c>
      <c r="K20" s="251">
        <v>4.6689782072625773E-2</v>
      </c>
      <c r="L20" s="251">
        <v>5.7987847688720541E-2</v>
      </c>
      <c r="M20" s="251">
        <v>4.2021095610751957E-2</v>
      </c>
      <c r="N20" s="258">
        <v>2.1231422505307855E-3</v>
      </c>
      <c r="O20" s="250">
        <v>4.6816558336635228E-2</v>
      </c>
      <c r="P20" s="250">
        <v>0</v>
      </c>
      <c r="Q20" s="251">
        <v>0</v>
      </c>
      <c r="R20" s="252">
        <v>0</v>
      </c>
      <c r="S20" s="250">
        <v>0</v>
      </c>
      <c r="T20" s="253"/>
      <c r="U20" s="254">
        <v>2069</v>
      </c>
      <c r="V20" s="255">
        <v>589</v>
      </c>
      <c r="W20" s="255">
        <v>1572</v>
      </c>
      <c r="X20" s="255">
        <v>560</v>
      </c>
      <c r="Y20" s="255">
        <v>98</v>
      </c>
      <c r="Z20" s="255">
        <v>191</v>
      </c>
      <c r="AA20" s="293">
        <v>5079</v>
      </c>
      <c r="AB20" s="254">
        <v>0</v>
      </c>
      <c r="AC20" s="255">
        <v>746</v>
      </c>
      <c r="AD20" s="255">
        <v>669</v>
      </c>
      <c r="AE20" s="255">
        <v>247</v>
      </c>
      <c r="AF20" s="257">
        <v>4</v>
      </c>
      <c r="AG20" s="257">
        <v>1666</v>
      </c>
      <c r="AH20" s="254">
        <v>0</v>
      </c>
      <c r="AI20" s="255">
        <v>0</v>
      </c>
      <c r="AJ20" s="257">
        <v>0</v>
      </c>
      <c r="AK20" s="254">
        <v>0</v>
      </c>
    </row>
    <row r="21" spans="1:39" ht="13.9" customHeight="1">
      <c r="A21" s="249"/>
      <c r="B21" s="239" t="s">
        <v>58</v>
      </c>
      <c r="C21" s="250">
        <v>0</v>
      </c>
      <c r="D21" s="251">
        <v>0</v>
      </c>
      <c r="E21" s="251">
        <v>0</v>
      </c>
      <c r="F21" s="251">
        <v>0</v>
      </c>
      <c r="G21" s="251">
        <v>0</v>
      </c>
      <c r="H21" s="252">
        <v>0</v>
      </c>
      <c r="I21" s="250">
        <v>0</v>
      </c>
      <c r="J21" s="250">
        <v>0</v>
      </c>
      <c r="K21" s="251">
        <v>0.51038315662982392</v>
      </c>
      <c r="L21" s="251">
        <v>0.62398911319331885</v>
      </c>
      <c r="M21" s="251">
        <v>0.53674719292276285</v>
      </c>
      <c r="N21" s="252">
        <v>0</v>
      </c>
      <c r="O21" s="250">
        <v>0.52011622646175293</v>
      </c>
      <c r="P21" s="250">
        <v>0.88933691756272404</v>
      </c>
      <c r="Q21" s="251">
        <v>0.33971291866028708</v>
      </c>
      <c r="R21" s="252">
        <v>1</v>
      </c>
      <c r="S21" s="250">
        <v>0.83400301356102458</v>
      </c>
      <c r="T21" s="253"/>
      <c r="U21" s="254">
        <v>0</v>
      </c>
      <c r="V21" s="255">
        <v>0</v>
      </c>
      <c r="W21" s="255">
        <v>0</v>
      </c>
      <c r="X21" s="255">
        <v>0</v>
      </c>
      <c r="Y21" s="255">
        <v>0</v>
      </c>
      <c r="Z21" s="255">
        <v>0</v>
      </c>
      <c r="AA21" s="293">
        <v>0</v>
      </c>
      <c r="AB21" s="254">
        <v>0</v>
      </c>
      <c r="AC21" s="255">
        <v>8154.8</v>
      </c>
      <c r="AD21" s="255">
        <v>7198.9</v>
      </c>
      <c r="AE21" s="255">
        <v>3155</v>
      </c>
      <c r="AF21" s="257">
        <v>0</v>
      </c>
      <c r="AG21" s="257">
        <v>18508.7</v>
      </c>
      <c r="AH21" s="254">
        <v>1985</v>
      </c>
      <c r="AI21" s="255">
        <v>213</v>
      </c>
      <c r="AJ21" s="257">
        <v>1123</v>
      </c>
      <c r="AK21" s="254">
        <v>3321</v>
      </c>
    </row>
    <row r="22" spans="1:39" s="97" customFormat="1" ht="22.15" customHeight="1">
      <c r="A22" s="259"/>
      <c r="B22" s="260" t="s">
        <v>59</v>
      </c>
      <c r="C22" s="261">
        <v>1</v>
      </c>
      <c r="D22" s="262">
        <v>1</v>
      </c>
      <c r="E22" s="262">
        <v>1</v>
      </c>
      <c r="F22" s="262">
        <v>1</v>
      </c>
      <c r="G22" s="262">
        <v>1</v>
      </c>
      <c r="H22" s="263">
        <v>1</v>
      </c>
      <c r="I22" s="261">
        <v>1</v>
      </c>
      <c r="J22" s="261">
        <v>1</v>
      </c>
      <c r="K22" s="262">
        <v>1</v>
      </c>
      <c r="L22" s="262">
        <v>1</v>
      </c>
      <c r="M22" s="262">
        <v>1</v>
      </c>
      <c r="N22" s="263">
        <v>1</v>
      </c>
      <c r="O22" s="261">
        <v>1</v>
      </c>
      <c r="P22" s="261">
        <v>1</v>
      </c>
      <c r="Q22" s="262">
        <v>1</v>
      </c>
      <c r="R22" s="263">
        <v>1</v>
      </c>
      <c r="S22" s="261">
        <v>1</v>
      </c>
      <c r="T22" s="264"/>
      <c r="U22" s="265">
        <v>31880</v>
      </c>
      <c r="V22" s="266">
        <v>13262</v>
      </c>
      <c r="W22" s="266">
        <v>20438</v>
      </c>
      <c r="X22" s="266">
        <v>9137</v>
      </c>
      <c r="Y22" s="266">
        <v>4812</v>
      </c>
      <c r="Z22" s="266">
        <v>3695</v>
      </c>
      <c r="AA22" s="294">
        <v>83224</v>
      </c>
      <c r="AB22" s="265">
        <v>309</v>
      </c>
      <c r="AC22" s="266">
        <v>15977.8</v>
      </c>
      <c r="AD22" s="266">
        <v>11536.9</v>
      </c>
      <c r="AE22" s="266">
        <v>5878</v>
      </c>
      <c r="AF22" s="268">
        <v>1884</v>
      </c>
      <c r="AG22" s="268">
        <v>35585.699999999997</v>
      </c>
      <c r="AH22" s="265">
        <v>2232</v>
      </c>
      <c r="AI22" s="266">
        <v>627</v>
      </c>
      <c r="AJ22" s="268">
        <v>1123</v>
      </c>
      <c r="AK22" s="265">
        <v>3982</v>
      </c>
      <c r="AL22" s="269"/>
      <c r="AM22" s="269"/>
    </row>
    <row r="23" spans="1:39" ht="13.5" customHeight="1">
      <c r="A23" s="249" t="s">
        <v>4</v>
      </c>
      <c r="B23" s="239" t="s">
        <v>53</v>
      </c>
      <c r="C23" s="241">
        <v>0.36760259179265659</v>
      </c>
      <c r="D23" s="242">
        <v>0.30324909747292417</v>
      </c>
      <c r="E23" s="242">
        <v>0.24524524524524524</v>
      </c>
      <c r="F23" s="242">
        <v>0.2380281690140845</v>
      </c>
      <c r="G23" s="242">
        <v>0.21963824289405684</v>
      </c>
      <c r="H23" s="243">
        <v>0.29850746268656714</v>
      </c>
      <c r="I23" s="241">
        <v>0.30578338590956888</v>
      </c>
      <c r="J23" s="241">
        <v>0</v>
      </c>
      <c r="K23" s="242">
        <v>0</v>
      </c>
      <c r="L23" s="242">
        <v>0</v>
      </c>
      <c r="M23" s="242">
        <v>0</v>
      </c>
      <c r="N23" s="243">
        <v>0</v>
      </c>
      <c r="O23" s="241">
        <v>0</v>
      </c>
      <c r="P23" s="241">
        <v>0</v>
      </c>
      <c r="Q23" s="242">
        <v>0</v>
      </c>
      <c r="R23" s="243">
        <v>0</v>
      </c>
      <c r="S23" s="241">
        <v>0</v>
      </c>
      <c r="T23" s="253"/>
      <c r="U23" s="245">
        <v>851</v>
      </c>
      <c r="V23" s="246">
        <v>84</v>
      </c>
      <c r="W23" s="246">
        <v>245</v>
      </c>
      <c r="X23" s="246">
        <v>169</v>
      </c>
      <c r="Y23" s="246">
        <v>85</v>
      </c>
      <c r="Z23" s="246">
        <v>20</v>
      </c>
      <c r="AA23" s="292">
        <v>1454</v>
      </c>
      <c r="AB23" s="245">
        <v>0</v>
      </c>
      <c r="AC23" s="246">
        <v>0</v>
      </c>
      <c r="AD23" s="246">
        <v>0</v>
      </c>
      <c r="AE23" s="246">
        <v>0</v>
      </c>
      <c r="AF23" s="248">
        <v>0</v>
      </c>
      <c r="AG23" s="248">
        <v>0</v>
      </c>
      <c r="AH23" s="245">
        <v>0</v>
      </c>
      <c r="AI23" s="246">
        <v>0</v>
      </c>
      <c r="AJ23" s="248">
        <v>0</v>
      </c>
      <c r="AK23" s="245">
        <v>0</v>
      </c>
    </row>
    <row r="24" spans="1:39" ht="13.9" customHeight="1">
      <c r="A24" s="249"/>
      <c r="B24" s="239" t="s">
        <v>93</v>
      </c>
      <c r="C24" s="250">
        <v>0.31576673866090715</v>
      </c>
      <c r="D24" s="251">
        <v>0.28880866425992779</v>
      </c>
      <c r="E24" s="251">
        <v>0.23523523523523523</v>
      </c>
      <c r="F24" s="251">
        <v>0.27464788732394368</v>
      </c>
      <c r="G24" s="251">
        <v>0.28940568475452194</v>
      </c>
      <c r="H24" s="252">
        <v>0.16417910447761194</v>
      </c>
      <c r="I24" s="250">
        <v>0.28685594111461621</v>
      </c>
      <c r="J24" s="250">
        <v>0</v>
      </c>
      <c r="K24" s="251">
        <v>0</v>
      </c>
      <c r="L24" s="251">
        <v>0</v>
      </c>
      <c r="M24" s="251">
        <v>0</v>
      </c>
      <c r="N24" s="252">
        <v>0</v>
      </c>
      <c r="O24" s="250">
        <v>0</v>
      </c>
      <c r="P24" s="250">
        <v>0</v>
      </c>
      <c r="Q24" s="251">
        <v>0</v>
      </c>
      <c r="R24" s="252">
        <v>0</v>
      </c>
      <c r="S24" s="250">
        <v>0</v>
      </c>
      <c r="T24" s="253"/>
      <c r="U24" s="254">
        <v>731</v>
      </c>
      <c r="V24" s="255">
        <v>80</v>
      </c>
      <c r="W24" s="255">
        <v>235</v>
      </c>
      <c r="X24" s="255">
        <v>195</v>
      </c>
      <c r="Y24" s="255">
        <v>112</v>
      </c>
      <c r="Z24" s="255">
        <v>11</v>
      </c>
      <c r="AA24" s="293">
        <v>1364</v>
      </c>
      <c r="AB24" s="254">
        <v>0</v>
      </c>
      <c r="AC24" s="255">
        <v>0</v>
      </c>
      <c r="AD24" s="255">
        <v>0</v>
      </c>
      <c r="AE24" s="255">
        <v>0</v>
      </c>
      <c r="AF24" s="257">
        <v>0</v>
      </c>
      <c r="AG24" s="257">
        <v>0</v>
      </c>
      <c r="AH24" s="254">
        <v>0</v>
      </c>
      <c r="AI24" s="255">
        <v>0</v>
      </c>
      <c r="AJ24" s="257">
        <v>0</v>
      </c>
      <c r="AK24" s="254">
        <v>0</v>
      </c>
    </row>
    <row r="25" spans="1:39" ht="13.9" customHeight="1">
      <c r="A25" s="249"/>
      <c r="B25" s="239" t="s">
        <v>55</v>
      </c>
      <c r="C25" s="250">
        <v>0.21468682505399567</v>
      </c>
      <c r="D25" s="251">
        <v>0.29241877256317689</v>
      </c>
      <c r="E25" s="251">
        <v>0.31731731731731733</v>
      </c>
      <c r="F25" s="251">
        <v>0.36901408450704226</v>
      </c>
      <c r="G25" s="251">
        <v>0.29974160206718348</v>
      </c>
      <c r="H25" s="252">
        <v>0.53731343283582089</v>
      </c>
      <c r="I25" s="250">
        <v>0.27528916929547842</v>
      </c>
      <c r="J25" s="250">
        <v>0</v>
      </c>
      <c r="K25" s="251">
        <v>0</v>
      </c>
      <c r="L25" s="251">
        <v>0</v>
      </c>
      <c r="M25" s="251">
        <v>0</v>
      </c>
      <c r="N25" s="252">
        <v>0</v>
      </c>
      <c r="O25" s="250">
        <v>0</v>
      </c>
      <c r="P25" s="250">
        <v>0</v>
      </c>
      <c r="Q25" s="251">
        <v>0</v>
      </c>
      <c r="R25" s="252">
        <v>0</v>
      </c>
      <c r="S25" s="250">
        <v>0</v>
      </c>
      <c r="T25" s="253"/>
      <c r="U25" s="254">
        <v>497</v>
      </c>
      <c r="V25" s="255">
        <v>81</v>
      </c>
      <c r="W25" s="255">
        <v>317</v>
      </c>
      <c r="X25" s="255">
        <v>262</v>
      </c>
      <c r="Y25" s="255">
        <v>116</v>
      </c>
      <c r="Z25" s="255">
        <v>36</v>
      </c>
      <c r="AA25" s="293">
        <v>1309</v>
      </c>
      <c r="AB25" s="254">
        <v>0</v>
      </c>
      <c r="AC25" s="255">
        <v>0</v>
      </c>
      <c r="AD25" s="255">
        <v>0</v>
      </c>
      <c r="AE25" s="255">
        <v>0</v>
      </c>
      <c r="AF25" s="257">
        <v>0</v>
      </c>
      <c r="AG25" s="257">
        <v>0</v>
      </c>
      <c r="AH25" s="254">
        <v>0</v>
      </c>
      <c r="AI25" s="255">
        <v>0</v>
      </c>
      <c r="AJ25" s="257">
        <v>0</v>
      </c>
      <c r="AK25" s="254">
        <v>0</v>
      </c>
    </row>
    <row r="26" spans="1:39" ht="13.9" customHeight="1">
      <c r="A26" s="249"/>
      <c r="B26" s="239" t="s">
        <v>78</v>
      </c>
      <c r="C26" s="250">
        <v>8.9416846652267817E-2</v>
      </c>
      <c r="D26" s="251">
        <v>1.8050541516245487E-2</v>
      </c>
      <c r="E26" s="251">
        <v>0.18118118118118118</v>
      </c>
      <c r="F26" s="251">
        <v>0.11267605633802817</v>
      </c>
      <c r="G26" s="251">
        <v>0.16795865633074936</v>
      </c>
      <c r="H26" s="252">
        <v>0</v>
      </c>
      <c r="I26" s="250">
        <v>0.1131440588853838</v>
      </c>
      <c r="J26" s="250">
        <v>0</v>
      </c>
      <c r="K26" s="251">
        <v>0</v>
      </c>
      <c r="L26" s="251">
        <v>0</v>
      </c>
      <c r="M26" s="251">
        <v>0</v>
      </c>
      <c r="N26" s="252">
        <v>0</v>
      </c>
      <c r="O26" s="250">
        <v>0</v>
      </c>
      <c r="P26" s="250">
        <v>0</v>
      </c>
      <c r="Q26" s="251">
        <v>0</v>
      </c>
      <c r="R26" s="252">
        <v>0</v>
      </c>
      <c r="S26" s="250">
        <v>0</v>
      </c>
      <c r="T26" s="253"/>
      <c r="U26" s="254">
        <v>207</v>
      </c>
      <c r="V26" s="255">
        <v>5</v>
      </c>
      <c r="W26" s="255">
        <v>181</v>
      </c>
      <c r="X26" s="255">
        <v>80</v>
      </c>
      <c r="Y26" s="255">
        <v>65</v>
      </c>
      <c r="Z26" s="255">
        <v>0</v>
      </c>
      <c r="AA26" s="293">
        <v>538</v>
      </c>
      <c r="AB26" s="254">
        <v>0</v>
      </c>
      <c r="AC26" s="255">
        <v>0</v>
      </c>
      <c r="AD26" s="255">
        <v>0</v>
      </c>
      <c r="AE26" s="255">
        <v>0</v>
      </c>
      <c r="AF26" s="257">
        <v>0</v>
      </c>
      <c r="AG26" s="257">
        <v>0</v>
      </c>
      <c r="AH26" s="254">
        <v>0</v>
      </c>
      <c r="AI26" s="255">
        <v>0</v>
      </c>
      <c r="AJ26" s="257">
        <v>0</v>
      </c>
      <c r="AK26" s="254">
        <v>0</v>
      </c>
    </row>
    <row r="27" spans="1:39" ht="13.9" customHeight="1">
      <c r="A27" s="249"/>
      <c r="B27" s="239" t="s">
        <v>32</v>
      </c>
      <c r="C27" s="250">
        <v>1.2526997840172787E-2</v>
      </c>
      <c r="D27" s="251">
        <v>9.7472924187725629E-2</v>
      </c>
      <c r="E27" s="251">
        <v>2.1021021021021023E-2</v>
      </c>
      <c r="F27" s="251">
        <v>5.6338028169014088E-3</v>
      </c>
      <c r="G27" s="251">
        <v>2.3255813953488372E-2</v>
      </c>
      <c r="H27" s="252">
        <v>0</v>
      </c>
      <c r="I27" s="250">
        <v>1.8927444794952682E-2</v>
      </c>
      <c r="J27" s="250">
        <v>0</v>
      </c>
      <c r="K27" s="251">
        <v>0</v>
      </c>
      <c r="L27" s="251">
        <v>0</v>
      </c>
      <c r="M27" s="251">
        <v>0</v>
      </c>
      <c r="N27" s="252">
        <v>0</v>
      </c>
      <c r="O27" s="250">
        <v>0</v>
      </c>
      <c r="P27" s="250">
        <v>0</v>
      </c>
      <c r="Q27" s="251">
        <v>0</v>
      </c>
      <c r="R27" s="252">
        <v>0</v>
      </c>
      <c r="S27" s="250">
        <v>0</v>
      </c>
      <c r="T27" s="253"/>
      <c r="U27" s="254">
        <v>29</v>
      </c>
      <c r="V27" s="255">
        <v>27</v>
      </c>
      <c r="W27" s="255">
        <v>21</v>
      </c>
      <c r="X27" s="255">
        <v>4</v>
      </c>
      <c r="Y27" s="255">
        <v>9</v>
      </c>
      <c r="Z27" s="255">
        <v>0</v>
      </c>
      <c r="AA27" s="293">
        <v>90</v>
      </c>
      <c r="AB27" s="254">
        <v>0</v>
      </c>
      <c r="AC27" s="255">
        <v>0</v>
      </c>
      <c r="AD27" s="255">
        <v>0</v>
      </c>
      <c r="AE27" s="255">
        <v>0</v>
      </c>
      <c r="AF27" s="257">
        <v>0</v>
      </c>
      <c r="AG27" s="257">
        <v>0</v>
      </c>
      <c r="AH27" s="254">
        <v>0</v>
      </c>
      <c r="AI27" s="255">
        <v>0</v>
      </c>
      <c r="AJ27" s="257">
        <v>0</v>
      </c>
      <c r="AK27" s="254">
        <v>0</v>
      </c>
    </row>
    <row r="28" spans="1:39" ht="13.9" customHeight="1">
      <c r="A28" s="249"/>
      <c r="B28" s="239" t="s">
        <v>58</v>
      </c>
      <c r="C28" s="250">
        <v>0</v>
      </c>
      <c r="D28" s="251">
        <v>0</v>
      </c>
      <c r="E28" s="251">
        <v>0</v>
      </c>
      <c r="F28" s="251">
        <v>0</v>
      </c>
      <c r="G28" s="251">
        <v>0</v>
      </c>
      <c r="H28" s="252">
        <v>0</v>
      </c>
      <c r="I28" s="250">
        <v>0</v>
      </c>
      <c r="J28" s="250">
        <v>0</v>
      </c>
      <c r="K28" s="251">
        <v>1</v>
      </c>
      <c r="L28" s="251">
        <v>1</v>
      </c>
      <c r="M28" s="251">
        <v>1</v>
      </c>
      <c r="N28" s="252">
        <v>0</v>
      </c>
      <c r="O28" s="250">
        <v>1</v>
      </c>
      <c r="P28" s="250">
        <v>1</v>
      </c>
      <c r="Q28" s="251">
        <v>1</v>
      </c>
      <c r="R28" s="252">
        <v>0</v>
      </c>
      <c r="S28" s="250">
        <v>1</v>
      </c>
      <c r="T28" s="253"/>
      <c r="U28" s="254">
        <v>0</v>
      </c>
      <c r="V28" s="255">
        <v>0</v>
      </c>
      <c r="W28" s="255">
        <v>0</v>
      </c>
      <c r="X28" s="255">
        <v>0</v>
      </c>
      <c r="Y28" s="255">
        <v>0</v>
      </c>
      <c r="Z28" s="255">
        <v>0</v>
      </c>
      <c r="AA28" s="293">
        <v>0</v>
      </c>
      <c r="AB28" s="254">
        <v>0</v>
      </c>
      <c r="AC28" s="255">
        <v>133</v>
      </c>
      <c r="AD28" s="255">
        <v>950</v>
      </c>
      <c r="AE28" s="255">
        <v>362</v>
      </c>
      <c r="AF28" s="257">
        <v>0</v>
      </c>
      <c r="AG28" s="257">
        <v>1445</v>
      </c>
      <c r="AH28" s="254">
        <v>72</v>
      </c>
      <c r="AI28" s="255">
        <v>185</v>
      </c>
      <c r="AJ28" s="257">
        <v>0</v>
      </c>
      <c r="AK28" s="254">
        <v>257</v>
      </c>
    </row>
    <row r="29" spans="1:39" s="271" customFormat="1" ht="23.45" customHeight="1">
      <c r="A29" s="259"/>
      <c r="B29" s="260" t="s">
        <v>59</v>
      </c>
      <c r="C29" s="261">
        <v>1</v>
      </c>
      <c r="D29" s="262">
        <v>1</v>
      </c>
      <c r="E29" s="262">
        <v>1</v>
      </c>
      <c r="F29" s="262">
        <v>1</v>
      </c>
      <c r="G29" s="262">
        <v>1</v>
      </c>
      <c r="H29" s="263">
        <v>1</v>
      </c>
      <c r="I29" s="261">
        <v>1</v>
      </c>
      <c r="J29" s="261">
        <v>0</v>
      </c>
      <c r="K29" s="262">
        <v>1</v>
      </c>
      <c r="L29" s="262">
        <v>1</v>
      </c>
      <c r="M29" s="262">
        <v>1</v>
      </c>
      <c r="N29" s="263">
        <v>0</v>
      </c>
      <c r="O29" s="261">
        <v>1</v>
      </c>
      <c r="P29" s="261">
        <v>1</v>
      </c>
      <c r="Q29" s="262">
        <v>1</v>
      </c>
      <c r="R29" s="263">
        <v>0</v>
      </c>
      <c r="S29" s="261">
        <v>1</v>
      </c>
      <c r="T29" s="264"/>
      <c r="U29" s="265">
        <v>2315</v>
      </c>
      <c r="V29" s="266">
        <v>277</v>
      </c>
      <c r="W29" s="266">
        <v>999</v>
      </c>
      <c r="X29" s="266">
        <v>710</v>
      </c>
      <c r="Y29" s="266">
        <v>387</v>
      </c>
      <c r="Z29" s="266">
        <v>67</v>
      </c>
      <c r="AA29" s="294">
        <v>4755</v>
      </c>
      <c r="AB29" s="265">
        <v>0</v>
      </c>
      <c r="AC29" s="266">
        <v>133</v>
      </c>
      <c r="AD29" s="266">
        <v>950</v>
      </c>
      <c r="AE29" s="266">
        <v>362</v>
      </c>
      <c r="AF29" s="268">
        <v>0</v>
      </c>
      <c r="AG29" s="268">
        <v>1445</v>
      </c>
      <c r="AH29" s="265">
        <v>72</v>
      </c>
      <c r="AI29" s="266">
        <v>185</v>
      </c>
      <c r="AJ29" s="268">
        <v>0</v>
      </c>
      <c r="AK29" s="265">
        <v>257</v>
      </c>
      <c r="AL29" s="270"/>
      <c r="AM29" s="270"/>
    </row>
    <row r="30" spans="1:39" ht="13.5" customHeight="1">
      <c r="A30" s="239" t="s">
        <v>5</v>
      </c>
      <c r="B30" s="239" t="s">
        <v>53</v>
      </c>
      <c r="C30" s="241">
        <v>0</v>
      </c>
      <c r="D30" s="242">
        <v>0.36637390213299875</v>
      </c>
      <c r="E30" s="242">
        <v>0.24921874999999999</v>
      </c>
      <c r="F30" s="242">
        <v>0</v>
      </c>
      <c r="G30" s="242">
        <v>0.25393700787401574</v>
      </c>
      <c r="H30" s="243">
        <v>0.22807017543859648</v>
      </c>
      <c r="I30" s="241">
        <v>0.28048780487804881</v>
      </c>
      <c r="J30" s="241">
        <v>0</v>
      </c>
      <c r="K30" s="242">
        <v>0</v>
      </c>
      <c r="L30" s="242">
        <v>0</v>
      </c>
      <c r="M30" s="242">
        <v>0</v>
      </c>
      <c r="N30" s="243">
        <v>0</v>
      </c>
      <c r="O30" s="241">
        <v>0</v>
      </c>
      <c r="P30" s="241">
        <v>0</v>
      </c>
      <c r="Q30" s="242">
        <v>0</v>
      </c>
      <c r="R30" s="243">
        <v>0</v>
      </c>
      <c r="S30" s="241">
        <v>0</v>
      </c>
      <c r="T30" s="253"/>
      <c r="U30" s="245">
        <v>0</v>
      </c>
      <c r="V30" s="246">
        <v>292</v>
      </c>
      <c r="W30" s="246">
        <v>319</v>
      </c>
      <c r="X30" s="246">
        <v>0</v>
      </c>
      <c r="Y30" s="246">
        <v>129</v>
      </c>
      <c r="Z30" s="246">
        <v>65</v>
      </c>
      <c r="AA30" s="292">
        <v>805</v>
      </c>
      <c r="AB30" s="245">
        <v>0</v>
      </c>
      <c r="AC30" s="246">
        <v>0</v>
      </c>
      <c r="AD30" s="246">
        <v>0</v>
      </c>
      <c r="AE30" s="246">
        <v>0</v>
      </c>
      <c r="AF30" s="246">
        <v>0</v>
      </c>
      <c r="AG30" s="247">
        <v>0</v>
      </c>
      <c r="AH30" s="246">
        <v>0</v>
      </c>
      <c r="AI30" s="246">
        <v>0</v>
      </c>
      <c r="AJ30" s="246">
        <v>0</v>
      </c>
      <c r="AK30" s="245">
        <v>0</v>
      </c>
    </row>
    <row r="31" spans="1:39" ht="13.5" customHeight="1">
      <c r="A31" s="249"/>
      <c r="B31" s="239" t="s">
        <v>93</v>
      </c>
      <c r="C31" s="250">
        <v>0</v>
      </c>
      <c r="D31" s="251">
        <v>0.27478042659974905</v>
      </c>
      <c r="E31" s="251">
        <v>0.21484375</v>
      </c>
      <c r="F31" s="251">
        <v>0</v>
      </c>
      <c r="G31" s="251">
        <v>0.25</v>
      </c>
      <c r="H31" s="252">
        <v>0.19298245614035087</v>
      </c>
      <c r="I31" s="250">
        <v>0.23554006968641114</v>
      </c>
      <c r="J31" s="250">
        <v>0</v>
      </c>
      <c r="K31" s="251">
        <v>0</v>
      </c>
      <c r="L31" s="251">
        <v>0</v>
      </c>
      <c r="M31" s="251">
        <v>0</v>
      </c>
      <c r="N31" s="252">
        <v>0</v>
      </c>
      <c r="O31" s="250">
        <v>0</v>
      </c>
      <c r="P31" s="250">
        <v>0</v>
      </c>
      <c r="Q31" s="251">
        <v>0</v>
      </c>
      <c r="R31" s="252">
        <v>0</v>
      </c>
      <c r="S31" s="250">
        <v>0</v>
      </c>
      <c r="T31" s="253"/>
      <c r="U31" s="254">
        <v>0</v>
      </c>
      <c r="V31" s="255">
        <v>219</v>
      </c>
      <c r="W31" s="255">
        <v>275</v>
      </c>
      <c r="X31" s="255">
        <v>0</v>
      </c>
      <c r="Y31" s="255">
        <v>127</v>
      </c>
      <c r="Z31" s="255">
        <v>55</v>
      </c>
      <c r="AA31" s="293">
        <v>676</v>
      </c>
      <c r="AB31" s="254">
        <v>0</v>
      </c>
      <c r="AC31" s="255">
        <v>0</v>
      </c>
      <c r="AD31" s="255">
        <v>0</v>
      </c>
      <c r="AE31" s="255">
        <v>0</v>
      </c>
      <c r="AF31" s="255">
        <v>0</v>
      </c>
      <c r="AG31" s="256">
        <v>0</v>
      </c>
      <c r="AH31" s="255">
        <v>0</v>
      </c>
      <c r="AI31" s="255">
        <v>0</v>
      </c>
      <c r="AJ31" s="255">
        <v>0</v>
      </c>
      <c r="AK31" s="254">
        <v>0</v>
      </c>
    </row>
    <row r="32" spans="1:39" ht="13.9" customHeight="1">
      <c r="A32" s="249"/>
      <c r="B32" s="239" t="s">
        <v>55</v>
      </c>
      <c r="C32" s="250">
        <v>0</v>
      </c>
      <c r="D32" s="251">
        <v>0.21329987452948557</v>
      </c>
      <c r="E32" s="251">
        <v>0.27109375000000002</v>
      </c>
      <c r="F32" s="251">
        <v>0</v>
      </c>
      <c r="G32" s="251">
        <v>0.3346456692913386</v>
      </c>
      <c r="H32" s="252">
        <v>0.29122807017543861</v>
      </c>
      <c r="I32" s="250">
        <v>0.26829268292682928</v>
      </c>
      <c r="J32" s="250">
        <v>0</v>
      </c>
      <c r="K32" s="251">
        <v>0</v>
      </c>
      <c r="L32" s="251">
        <v>0</v>
      </c>
      <c r="M32" s="251">
        <v>0</v>
      </c>
      <c r="N32" s="252">
        <v>0</v>
      </c>
      <c r="O32" s="250">
        <v>0</v>
      </c>
      <c r="P32" s="250">
        <v>0</v>
      </c>
      <c r="Q32" s="251">
        <v>0</v>
      </c>
      <c r="R32" s="252">
        <v>0</v>
      </c>
      <c r="S32" s="250">
        <v>0</v>
      </c>
      <c r="T32" s="253"/>
      <c r="U32" s="254">
        <v>0</v>
      </c>
      <c r="V32" s="255">
        <v>170</v>
      </c>
      <c r="W32" s="255">
        <v>347</v>
      </c>
      <c r="X32" s="255">
        <v>0</v>
      </c>
      <c r="Y32" s="255">
        <v>170</v>
      </c>
      <c r="Z32" s="255">
        <v>83</v>
      </c>
      <c r="AA32" s="293">
        <v>770</v>
      </c>
      <c r="AB32" s="254">
        <v>0</v>
      </c>
      <c r="AC32" s="255">
        <v>0</v>
      </c>
      <c r="AD32" s="255">
        <v>0</v>
      </c>
      <c r="AE32" s="255">
        <v>0</v>
      </c>
      <c r="AF32" s="255">
        <v>0</v>
      </c>
      <c r="AG32" s="256">
        <v>0</v>
      </c>
      <c r="AH32" s="255">
        <v>0</v>
      </c>
      <c r="AI32" s="255">
        <v>0</v>
      </c>
      <c r="AJ32" s="255">
        <v>0</v>
      </c>
      <c r="AK32" s="254">
        <v>0</v>
      </c>
    </row>
    <row r="33" spans="1:42" ht="13.9" customHeight="1">
      <c r="A33" s="249"/>
      <c r="B33" s="239" t="s">
        <v>78</v>
      </c>
      <c r="C33" s="250">
        <v>0</v>
      </c>
      <c r="D33" s="251">
        <v>0.11292346298619825</v>
      </c>
      <c r="E33" s="251">
        <v>0.21249999999999999</v>
      </c>
      <c r="F33" s="251">
        <v>0</v>
      </c>
      <c r="G33" s="251">
        <v>0.16141732283464566</v>
      </c>
      <c r="H33" s="252">
        <v>0.28771929824561404</v>
      </c>
      <c r="I33" s="250">
        <v>0.18327526132404182</v>
      </c>
      <c r="J33" s="250">
        <v>0</v>
      </c>
      <c r="K33" s="251">
        <v>0</v>
      </c>
      <c r="L33" s="251">
        <v>0</v>
      </c>
      <c r="M33" s="251">
        <v>0</v>
      </c>
      <c r="N33" s="252">
        <v>0</v>
      </c>
      <c r="O33" s="250">
        <v>0</v>
      </c>
      <c r="P33" s="250">
        <v>0</v>
      </c>
      <c r="Q33" s="251">
        <v>0</v>
      </c>
      <c r="R33" s="252">
        <v>0</v>
      </c>
      <c r="S33" s="250">
        <v>0</v>
      </c>
      <c r="T33" s="253"/>
      <c r="U33" s="254">
        <v>0</v>
      </c>
      <c r="V33" s="255">
        <v>90</v>
      </c>
      <c r="W33" s="255">
        <v>272</v>
      </c>
      <c r="X33" s="255">
        <v>0</v>
      </c>
      <c r="Y33" s="255">
        <v>82</v>
      </c>
      <c r="Z33" s="255">
        <v>82</v>
      </c>
      <c r="AA33" s="293">
        <v>526</v>
      </c>
      <c r="AB33" s="254">
        <v>0</v>
      </c>
      <c r="AC33" s="255">
        <v>0</v>
      </c>
      <c r="AD33" s="255">
        <v>0</v>
      </c>
      <c r="AE33" s="255">
        <v>0</v>
      </c>
      <c r="AF33" s="255">
        <v>0</v>
      </c>
      <c r="AG33" s="256">
        <v>0</v>
      </c>
      <c r="AH33" s="255">
        <v>0</v>
      </c>
      <c r="AI33" s="255">
        <v>0</v>
      </c>
      <c r="AJ33" s="255">
        <v>0</v>
      </c>
      <c r="AK33" s="254">
        <v>0</v>
      </c>
    </row>
    <row r="34" spans="1:42" ht="13.9" customHeight="1">
      <c r="A34" s="249"/>
      <c r="B34" s="239" t="s">
        <v>32</v>
      </c>
      <c r="C34" s="250">
        <v>0</v>
      </c>
      <c r="D34" s="251">
        <v>3.262233375156838E-2</v>
      </c>
      <c r="E34" s="251">
        <v>5.2343750000000001E-2</v>
      </c>
      <c r="F34" s="251">
        <v>0</v>
      </c>
      <c r="G34" s="251">
        <v>0</v>
      </c>
      <c r="H34" s="252">
        <v>0</v>
      </c>
      <c r="I34" s="250">
        <v>3.2404181184668993E-2</v>
      </c>
      <c r="J34" s="250">
        <v>0</v>
      </c>
      <c r="K34" s="251">
        <v>0</v>
      </c>
      <c r="L34" s="251">
        <v>0</v>
      </c>
      <c r="M34" s="251">
        <v>0</v>
      </c>
      <c r="N34" s="252">
        <v>0</v>
      </c>
      <c r="O34" s="250">
        <v>0</v>
      </c>
      <c r="P34" s="250">
        <v>0</v>
      </c>
      <c r="Q34" s="251">
        <v>0</v>
      </c>
      <c r="R34" s="252">
        <v>0</v>
      </c>
      <c r="S34" s="250">
        <v>0</v>
      </c>
      <c r="T34" s="253"/>
      <c r="U34" s="254">
        <v>0</v>
      </c>
      <c r="V34" s="255">
        <v>26</v>
      </c>
      <c r="W34" s="255">
        <v>67</v>
      </c>
      <c r="X34" s="255">
        <v>0</v>
      </c>
      <c r="Y34" s="255">
        <v>0</v>
      </c>
      <c r="Z34" s="255">
        <v>0</v>
      </c>
      <c r="AA34" s="293">
        <v>93</v>
      </c>
      <c r="AB34" s="254">
        <v>0</v>
      </c>
      <c r="AC34" s="255">
        <v>0</v>
      </c>
      <c r="AD34" s="255">
        <v>0</v>
      </c>
      <c r="AE34" s="255">
        <v>0</v>
      </c>
      <c r="AF34" s="255">
        <v>0</v>
      </c>
      <c r="AG34" s="256">
        <v>0</v>
      </c>
      <c r="AH34" s="255">
        <v>0</v>
      </c>
      <c r="AI34" s="255">
        <v>0</v>
      </c>
      <c r="AJ34" s="255">
        <v>0</v>
      </c>
      <c r="AK34" s="254">
        <v>0</v>
      </c>
    </row>
    <row r="35" spans="1:42" ht="13.9" customHeight="1">
      <c r="A35" s="249"/>
      <c r="B35" s="239" t="s">
        <v>58</v>
      </c>
      <c r="C35" s="250">
        <v>0</v>
      </c>
      <c r="D35" s="251">
        <v>0</v>
      </c>
      <c r="E35" s="251">
        <v>0</v>
      </c>
      <c r="F35" s="251">
        <v>0</v>
      </c>
      <c r="G35" s="251">
        <v>0</v>
      </c>
      <c r="H35" s="252">
        <v>0</v>
      </c>
      <c r="I35" s="250">
        <v>0</v>
      </c>
      <c r="J35" s="250">
        <v>0</v>
      </c>
      <c r="K35" s="251">
        <v>0</v>
      </c>
      <c r="L35" s="251">
        <v>1</v>
      </c>
      <c r="M35" s="251">
        <v>1</v>
      </c>
      <c r="N35" s="252">
        <v>0</v>
      </c>
      <c r="O35" s="250">
        <v>1</v>
      </c>
      <c r="P35" s="250">
        <v>0</v>
      </c>
      <c r="Q35" s="251">
        <v>0</v>
      </c>
      <c r="R35" s="252">
        <v>0</v>
      </c>
      <c r="S35" s="250">
        <v>0</v>
      </c>
      <c r="T35" s="253"/>
      <c r="U35" s="254">
        <v>0</v>
      </c>
      <c r="V35" s="255">
        <v>0</v>
      </c>
      <c r="W35" s="255">
        <v>0</v>
      </c>
      <c r="X35" s="255">
        <v>0</v>
      </c>
      <c r="Y35" s="255">
        <v>0</v>
      </c>
      <c r="Z35" s="255">
        <v>0</v>
      </c>
      <c r="AA35" s="293">
        <v>0</v>
      </c>
      <c r="AB35" s="254">
        <v>0</v>
      </c>
      <c r="AC35" s="255">
        <v>0</v>
      </c>
      <c r="AD35" s="255">
        <v>362</v>
      </c>
      <c r="AE35" s="255">
        <v>794</v>
      </c>
      <c r="AF35" s="255">
        <v>0</v>
      </c>
      <c r="AG35" s="256">
        <v>1156</v>
      </c>
      <c r="AH35" s="255">
        <v>0</v>
      </c>
      <c r="AI35" s="255">
        <v>0</v>
      </c>
      <c r="AJ35" s="255">
        <v>0</v>
      </c>
      <c r="AK35" s="254">
        <v>0</v>
      </c>
    </row>
    <row r="36" spans="1:42" s="271" customFormat="1" ht="23.25" customHeight="1">
      <c r="A36" s="259"/>
      <c r="B36" s="260" t="s">
        <v>59</v>
      </c>
      <c r="C36" s="261">
        <v>0</v>
      </c>
      <c r="D36" s="262">
        <v>1</v>
      </c>
      <c r="E36" s="262">
        <v>1</v>
      </c>
      <c r="F36" s="262">
        <v>0</v>
      </c>
      <c r="G36" s="262">
        <v>1</v>
      </c>
      <c r="H36" s="263">
        <v>1</v>
      </c>
      <c r="I36" s="261">
        <v>1</v>
      </c>
      <c r="J36" s="261">
        <v>0</v>
      </c>
      <c r="K36" s="262">
        <v>0</v>
      </c>
      <c r="L36" s="262">
        <v>1</v>
      </c>
      <c r="M36" s="262">
        <v>1</v>
      </c>
      <c r="N36" s="263">
        <v>0</v>
      </c>
      <c r="O36" s="261">
        <v>1</v>
      </c>
      <c r="P36" s="261">
        <v>0</v>
      </c>
      <c r="Q36" s="262">
        <v>0</v>
      </c>
      <c r="R36" s="263">
        <v>0</v>
      </c>
      <c r="S36" s="261">
        <v>0</v>
      </c>
      <c r="T36" s="264"/>
      <c r="U36" s="265">
        <v>0</v>
      </c>
      <c r="V36" s="266">
        <v>797</v>
      </c>
      <c r="W36" s="266">
        <v>1280</v>
      </c>
      <c r="X36" s="266">
        <v>0</v>
      </c>
      <c r="Y36" s="266">
        <v>508</v>
      </c>
      <c r="Z36" s="266">
        <v>285</v>
      </c>
      <c r="AA36" s="294">
        <v>2870</v>
      </c>
      <c r="AB36" s="265">
        <v>0</v>
      </c>
      <c r="AC36" s="266">
        <v>0</v>
      </c>
      <c r="AD36" s="266">
        <v>362</v>
      </c>
      <c r="AE36" s="266">
        <v>794</v>
      </c>
      <c r="AF36" s="266">
        <v>0</v>
      </c>
      <c r="AG36" s="267">
        <v>1156</v>
      </c>
      <c r="AH36" s="266">
        <v>0</v>
      </c>
      <c r="AI36" s="266">
        <v>0</v>
      </c>
      <c r="AJ36" s="266">
        <v>0</v>
      </c>
      <c r="AK36" s="265">
        <v>0</v>
      </c>
      <c r="AL36" s="270"/>
      <c r="AM36" s="270"/>
    </row>
    <row r="37" spans="1:42" s="271" customFormat="1" ht="13.5" customHeight="1">
      <c r="A37" s="239" t="s">
        <v>82</v>
      </c>
      <c r="B37" s="239" t="s">
        <v>53</v>
      </c>
      <c r="C37" s="241">
        <v>0.37148047229791098</v>
      </c>
      <c r="D37" s="242">
        <v>0</v>
      </c>
      <c r="E37" s="242">
        <v>0</v>
      </c>
      <c r="F37" s="242">
        <v>0.22988505747126436</v>
      </c>
      <c r="G37" s="242">
        <v>0</v>
      </c>
      <c r="H37" s="243">
        <v>0</v>
      </c>
      <c r="I37" s="241">
        <v>0.35215686274509805</v>
      </c>
      <c r="J37" s="241">
        <v>0</v>
      </c>
      <c r="K37" s="242">
        <v>0</v>
      </c>
      <c r="L37" s="242">
        <v>0</v>
      </c>
      <c r="M37" s="242">
        <v>0</v>
      </c>
      <c r="N37" s="243">
        <v>0</v>
      </c>
      <c r="O37" s="241">
        <v>0</v>
      </c>
      <c r="P37" s="241">
        <v>0</v>
      </c>
      <c r="Q37" s="242">
        <v>0</v>
      </c>
      <c r="R37" s="243">
        <v>0</v>
      </c>
      <c r="S37" s="241">
        <v>0</v>
      </c>
      <c r="T37" s="253"/>
      <c r="U37" s="254">
        <v>409</v>
      </c>
      <c r="V37" s="255">
        <v>0</v>
      </c>
      <c r="W37" s="255">
        <v>0</v>
      </c>
      <c r="X37" s="255">
        <v>40</v>
      </c>
      <c r="Y37" s="255">
        <v>0</v>
      </c>
      <c r="Z37" s="255">
        <v>0</v>
      </c>
      <c r="AA37" s="293">
        <v>449</v>
      </c>
      <c r="AB37" s="254">
        <v>0</v>
      </c>
      <c r="AC37" s="255">
        <v>0</v>
      </c>
      <c r="AD37" s="255">
        <v>0</v>
      </c>
      <c r="AE37" s="255">
        <v>0</v>
      </c>
      <c r="AF37" s="255">
        <v>0</v>
      </c>
      <c r="AG37" s="256">
        <v>0</v>
      </c>
      <c r="AH37" s="255">
        <v>0</v>
      </c>
      <c r="AI37" s="255">
        <v>0</v>
      </c>
      <c r="AJ37" s="255">
        <v>0</v>
      </c>
      <c r="AK37" s="254">
        <v>0</v>
      </c>
      <c r="AL37" s="209"/>
      <c r="AM37" s="209"/>
      <c r="AN37" s="80"/>
      <c r="AO37" s="80"/>
      <c r="AP37" s="80"/>
    </row>
    <row r="38" spans="1:42" s="271" customFormat="1" ht="13.5" customHeight="1">
      <c r="A38" s="249"/>
      <c r="B38" s="239" t="s">
        <v>93</v>
      </c>
      <c r="C38" s="250">
        <v>0.29155313351498635</v>
      </c>
      <c r="D38" s="251">
        <v>0</v>
      </c>
      <c r="E38" s="251">
        <v>0</v>
      </c>
      <c r="F38" s="251">
        <v>0.37931034482758619</v>
      </c>
      <c r="G38" s="251">
        <v>0</v>
      </c>
      <c r="H38" s="252">
        <v>0</v>
      </c>
      <c r="I38" s="250">
        <v>0.30352941176470588</v>
      </c>
      <c r="J38" s="250">
        <v>0</v>
      </c>
      <c r="K38" s="251">
        <v>0</v>
      </c>
      <c r="L38" s="251">
        <v>0</v>
      </c>
      <c r="M38" s="251">
        <v>0</v>
      </c>
      <c r="N38" s="252">
        <v>0</v>
      </c>
      <c r="O38" s="250">
        <v>0</v>
      </c>
      <c r="P38" s="250">
        <v>0</v>
      </c>
      <c r="Q38" s="251">
        <v>0</v>
      </c>
      <c r="R38" s="252">
        <v>0</v>
      </c>
      <c r="S38" s="250">
        <v>0</v>
      </c>
      <c r="T38" s="253"/>
      <c r="U38" s="254">
        <v>321</v>
      </c>
      <c r="V38" s="255">
        <v>0</v>
      </c>
      <c r="W38" s="255">
        <v>0</v>
      </c>
      <c r="X38" s="255">
        <v>66</v>
      </c>
      <c r="Y38" s="255">
        <v>0</v>
      </c>
      <c r="Z38" s="255">
        <v>0</v>
      </c>
      <c r="AA38" s="293">
        <v>387</v>
      </c>
      <c r="AB38" s="254">
        <v>0</v>
      </c>
      <c r="AC38" s="255">
        <v>0</v>
      </c>
      <c r="AD38" s="255">
        <v>0</v>
      </c>
      <c r="AE38" s="255">
        <v>0</v>
      </c>
      <c r="AF38" s="255">
        <v>0</v>
      </c>
      <c r="AG38" s="256">
        <v>0</v>
      </c>
      <c r="AH38" s="255">
        <v>0</v>
      </c>
      <c r="AI38" s="255">
        <v>0</v>
      </c>
      <c r="AJ38" s="255">
        <v>0</v>
      </c>
      <c r="AK38" s="254">
        <v>0</v>
      </c>
      <c r="AL38" s="209"/>
      <c r="AM38" s="209"/>
      <c r="AN38" s="80"/>
      <c r="AO38" s="80"/>
      <c r="AP38" s="80"/>
    </row>
    <row r="39" spans="1:42" s="271" customFormat="1" ht="13.5" customHeight="1">
      <c r="A39" s="249"/>
      <c r="B39" s="239" t="s">
        <v>55</v>
      </c>
      <c r="C39" s="250">
        <v>0.23251589464123523</v>
      </c>
      <c r="D39" s="251">
        <v>0</v>
      </c>
      <c r="E39" s="251">
        <v>0</v>
      </c>
      <c r="F39" s="251">
        <v>0.34482758620689657</v>
      </c>
      <c r="G39" s="251">
        <v>0</v>
      </c>
      <c r="H39" s="252">
        <v>0</v>
      </c>
      <c r="I39" s="250">
        <v>0.24784313725490195</v>
      </c>
      <c r="J39" s="250">
        <v>0</v>
      </c>
      <c r="K39" s="251">
        <v>0</v>
      </c>
      <c r="L39" s="251">
        <v>0</v>
      </c>
      <c r="M39" s="251">
        <v>0</v>
      </c>
      <c r="N39" s="252">
        <v>0</v>
      </c>
      <c r="O39" s="250">
        <v>0</v>
      </c>
      <c r="P39" s="250">
        <v>0</v>
      </c>
      <c r="Q39" s="251">
        <v>0</v>
      </c>
      <c r="R39" s="252">
        <v>0</v>
      </c>
      <c r="S39" s="250">
        <v>0</v>
      </c>
      <c r="T39" s="253"/>
      <c r="U39" s="254">
        <v>256</v>
      </c>
      <c r="V39" s="255">
        <v>0</v>
      </c>
      <c r="W39" s="255">
        <v>0</v>
      </c>
      <c r="X39" s="255">
        <v>60</v>
      </c>
      <c r="Y39" s="255">
        <v>0</v>
      </c>
      <c r="Z39" s="255">
        <v>0</v>
      </c>
      <c r="AA39" s="293">
        <v>316</v>
      </c>
      <c r="AB39" s="254">
        <v>0</v>
      </c>
      <c r="AC39" s="255">
        <v>0</v>
      </c>
      <c r="AD39" s="255">
        <v>0</v>
      </c>
      <c r="AE39" s="255">
        <v>0</v>
      </c>
      <c r="AF39" s="255">
        <v>0</v>
      </c>
      <c r="AG39" s="256">
        <v>0</v>
      </c>
      <c r="AH39" s="255">
        <v>0</v>
      </c>
      <c r="AI39" s="255">
        <v>0</v>
      </c>
      <c r="AJ39" s="255">
        <v>0</v>
      </c>
      <c r="AK39" s="254">
        <v>0</v>
      </c>
      <c r="AL39" s="209"/>
      <c r="AM39" s="209"/>
      <c r="AN39" s="80"/>
      <c r="AO39" s="80"/>
      <c r="AP39" s="80"/>
    </row>
    <row r="40" spans="1:42" s="271" customFormat="1" ht="13.5" customHeight="1">
      <c r="A40" s="249"/>
      <c r="B40" s="239" t="s">
        <v>78</v>
      </c>
      <c r="C40" s="250">
        <v>0.10263396911898275</v>
      </c>
      <c r="D40" s="251">
        <v>0</v>
      </c>
      <c r="E40" s="251">
        <v>0</v>
      </c>
      <c r="F40" s="251">
        <v>4.5977011494252873E-2</v>
      </c>
      <c r="G40" s="251">
        <v>0</v>
      </c>
      <c r="H40" s="252">
        <v>0</v>
      </c>
      <c r="I40" s="250">
        <v>9.4901960784313719E-2</v>
      </c>
      <c r="J40" s="250">
        <v>0</v>
      </c>
      <c r="K40" s="251">
        <v>0</v>
      </c>
      <c r="L40" s="251">
        <v>0</v>
      </c>
      <c r="M40" s="251">
        <v>0</v>
      </c>
      <c r="N40" s="252">
        <v>0</v>
      </c>
      <c r="O40" s="250">
        <v>0</v>
      </c>
      <c r="P40" s="250">
        <v>0</v>
      </c>
      <c r="Q40" s="251">
        <v>0</v>
      </c>
      <c r="R40" s="252">
        <v>0</v>
      </c>
      <c r="S40" s="250">
        <v>0</v>
      </c>
      <c r="T40" s="253"/>
      <c r="U40" s="254">
        <v>113</v>
      </c>
      <c r="V40" s="255">
        <v>0</v>
      </c>
      <c r="W40" s="255">
        <v>0</v>
      </c>
      <c r="X40" s="255">
        <v>8</v>
      </c>
      <c r="Y40" s="255">
        <v>0</v>
      </c>
      <c r="Z40" s="255">
        <v>0</v>
      </c>
      <c r="AA40" s="293">
        <v>121</v>
      </c>
      <c r="AB40" s="254">
        <v>0</v>
      </c>
      <c r="AC40" s="255">
        <v>0</v>
      </c>
      <c r="AD40" s="255">
        <v>0</v>
      </c>
      <c r="AE40" s="255">
        <v>0</v>
      </c>
      <c r="AF40" s="255">
        <v>0</v>
      </c>
      <c r="AG40" s="256">
        <v>0</v>
      </c>
      <c r="AH40" s="255">
        <v>0</v>
      </c>
      <c r="AI40" s="255">
        <v>0</v>
      </c>
      <c r="AJ40" s="255">
        <v>0</v>
      </c>
      <c r="AK40" s="254">
        <v>0</v>
      </c>
      <c r="AL40" s="209"/>
      <c r="AM40" s="209"/>
      <c r="AN40" s="80"/>
      <c r="AO40" s="80"/>
      <c r="AP40" s="80"/>
    </row>
    <row r="41" spans="1:42" s="271" customFormat="1" ht="13.5" customHeight="1">
      <c r="A41" s="249"/>
      <c r="B41" s="239" t="s">
        <v>32</v>
      </c>
      <c r="C41" s="250">
        <v>1.8165304268846503E-3</v>
      </c>
      <c r="D41" s="251">
        <v>0</v>
      </c>
      <c r="E41" s="251">
        <v>0</v>
      </c>
      <c r="F41" s="251">
        <v>0</v>
      </c>
      <c r="G41" s="251">
        <v>0</v>
      </c>
      <c r="H41" s="252">
        <v>0</v>
      </c>
      <c r="I41" s="250">
        <v>1.5686274509803921E-3</v>
      </c>
      <c r="J41" s="250">
        <v>0</v>
      </c>
      <c r="K41" s="251">
        <v>0</v>
      </c>
      <c r="L41" s="251">
        <v>0</v>
      </c>
      <c r="M41" s="251">
        <v>0</v>
      </c>
      <c r="N41" s="252">
        <v>0</v>
      </c>
      <c r="O41" s="250">
        <v>0</v>
      </c>
      <c r="P41" s="250">
        <v>0</v>
      </c>
      <c r="Q41" s="251">
        <v>0</v>
      </c>
      <c r="R41" s="252">
        <v>0</v>
      </c>
      <c r="S41" s="250">
        <v>0</v>
      </c>
      <c r="T41" s="253"/>
      <c r="U41" s="254">
        <v>2</v>
      </c>
      <c r="V41" s="255">
        <v>0</v>
      </c>
      <c r="W41" s="255">
        <v>0</v>
      </c>
      <c r="X41" s="255">
        <v>0</v>
      </c>
      <c r="Y41" s="255">
        <v>0</v>
      </c>
      <c r="Z41" s="255">
        <v>0</v>
      </c>
      <c r="AA41" s="293">
        <v>2</v>
      </c>
      <c r="AB41" s="254">
        <v>0</v>
      </c>
      <c r="AC41" s="255">
        <v>0</v>
      </c>
      <c r="AD41" s="255">
        <v>0</v>
      </c>
      <c r="AE41" s="255">
        <v>0</v>
      </c>
      <c r="AF41" s="255">
        <v>0</v>
      </c>
      <c r="AG41" s="256">
        <v>0</v>
      </c>
      <c r="AH41" s="255">
        <v>0</v>
      </c>
      <c r="AI41" s="255">
        <v>0</v>
      </c>
      <c r="AJ41" s="255">
        <v>0</v>
      </c>
      <c r="AK41" s="254">
        <v>0</v>
      </c>
      <c r="AL41" s="209"/>
      <c r="AM41" s="209"/>
      <c r="AN41" s="80"/>
      <c r="AO41" s="80"/>
      <c r="AP41" s="80"/>
    </row>
    <row r="42" spans="1:42" s="271" customFormat="1" ht="13.5" customHeight="1">
      <c r="A42" s="249"/>
      <c r="B42" s="239" t="s">
        <v>58</v>
      </c>
      <c r="C42" s="250">
        <v>0</v>
      </c>
      <c r="D42" s="251">
        <v>0</v>
      </c>
      <c r="E42" s="251">
        <v>0</v>
      </c>
      <c r="F42" s="251">
        <v>0</v>
      </c>
      <c r="G42" s="251">
        <v>0</v>
      </c>
      <c r="H42" s="252">
        <v>0</v>
      </c>
      <c r="I42" s="250">
        <v>0</v>
      </c>
      <c r="J42" s="250">
        <v>0</v>
      </c>
      <c r="K42" s="251">
        <v>0</v>
      </c>
      <c r="L42" s="251">
        <v>1</v>
      </c>
      <c r="M42" s="251">
        <v>1</v>
      </c>
      <c r="N42" s="252">
        <v>0</v>
      </c>
      <c r="O42" s="250">
        <v>1</v>
      </c>
      <c r="P42" s="250">
        <v>0</v>
      </c>
      <c r="Q42" s="251">
        <v>0</v>
      </c>
      <c r="R42" s="252">
        <v>0</v>
      </c>
      <c r="S42" s="250">
        <v>0</v>
      </c>
      <c r="T42" s="253"/>
      <c r="U42" s="254">
        <v>0</v>
      </c>
      <c r="V42" s="255">
        <v>0</v>
      </c>
      <c r="W42" s="255">
        <v>0</v>
      </c>
      <c r="X42" s="255">
        <v>0</v>
      </c>
      <c r="Y42" s="255">
        <v>0</v>
      </c>
      <c r="Z42" s="255">
        <v>0</v>
      </c>
      <c r="AA42" s="293">
        <v>0</v>
      </c>
      <c r="AB42" s="254">
        <v>0</v>
      </c>
      <c r="AC42" s="255">
        <v>0</v>
      </c>
      <c r="AD42" s="255">
        <v>144</v>
      </c>
      <c r="AE42" s="255">
        <v>155</v>
      </c>
      <c r="AF42" s="255">
        <v>0</v>
      </c>
      <c r="AG42" s="256">
        <v>299</v>
      </c>
      <c r="AH42" s="255">
        <v>0</v>
      </c>
      <c r="AI42" s="255">
        <v>0</v>
      </c>
      <c r="AJ42" s="255">
        <v>0</v>
      </c>
      <c r="AK42" s="254">
        <v>0</v>
      </c>
      <c r="AL42" s="209"/>
      <c r="AM42" s="209"/>
      <c r="AN42" s="80"/>
      <c r="AO42" s="80"/>
      <c r="AP42" s="80"/>
    </row>
    <row r="43" spans="1:42" s="271" customFormat="1" ht="23.45" customHeight="1">
      <c r="A43" s="259"/>
      <c r="B43" s="260" t="s">
        <v>59</v>
      </c>
      <c r="C43" s="261">
        <v>1</v>
      </c>
      <c r="D43" s="262">
        <v>0</v>
      </c>
      <c r="E43" s="262">
        <v>0</v>
      </c>
      <c r="F43" s="262">
        <v>1</v>
      </c>
      <c r="G43" s="262">
        <v>0</v>
      </c>
      <c r="H43" s="263">
        <v>0</v>
      </c>
      <c r="I43" s="261">
        <v>1</v>
      </c>
      <c r="J43" s="261">
        <v>0</v>
      </c>
      <c r="K43" s="262">
        <v>0</v>
      </c>
      <c r="L43" s="262">
        <v>1</v>
      </c>
      <c r="M43" s="262">
        <v>1</v>
      </c>
      <c r="N43" s="263">
        <v>0</v>
      </c>
      <c r="O43" s="261">
        <v>1</v>
      </c>
      <c r="P43" s="261">
        <v>0</v>
      </c>
      <c r="Q43" s="262">
        <v>0</v>
      </c>
      <c r="R43" s="263">
        <v>0</v>
      </c>
      <c r="S43" s="261">
        <v>0</v>
      </c>
      <c r="T43" s="253"/>
      <c r="U43" s="254">
        <v>1101</v>
      </c>
      <c r="V43" s="255">
        <v>0</v>
      </c>
      <c r="W43" s="255">
        <v>0</v>
      </c>
      <c r="X43" s="255">
        <v>174</v>
      </c>
      <c r="Y43" s="255">
        <v>0</v>
      </c>
      <c r="Z43" s="255">
        <v>0</v>
      </c>
      <c r="AA43" s="293">
        <v>1275</v>
      </c>
      <c r="AB43" s="254">
        <v>0</v>
      </c>
      <c r="AC43" s="255">
        <v>0</v>
      </c>
      <c r="AD43" s="255">
        <v>144</v>
      </c>
      <c r="AE43" s="255">
        <v>155</v>
      </c>
      <c r="AF43" s="255">
        <v>0</v>
      </c>
      <c r="AG43" s="256">
        <v>299</v>
      </c>
      <c r="AH43" s="255">
        <v>0</v>
      </c>
      <c r="AI43" s="255">
        <v>0</v>
      </c>
      <c r="AJ43" s="255">
        <v>0</v>
      </c>
      <c r="AK43" s="254">
        <v>0</v>
      </c>
      <c r="AL43" s="269"/>
      <c r="AM43" s="269"/>
      <c r="AN43" s="97"/>
      <c r="AO43" s="97"/>
      <c r="AP43" s="97"/>
    </row>
    <row r="44" spans="1:42" ht="13.9" customHeight="1">
      <c r="A44" s="239" t="s">
        <v>6</v>
      </c>
      <c r="B44" s="239" t="s">
        <v>53</v>
      </c>
      <c r="C44" s="241">
        <v>0.39953271028037385</v>
      </c>
      <c r="D44" s="242">
        <v>0.26195426195426197</v>
      </c>
      <c r="E44" s="242">
        <v>0.22131147540983606</v>
      </c>
      <c r="F44" s="242">
        <v>0</v>
      </c>
      <c r="G44" s="242">
        <v>0.17197452229299362</v>
      </c>
      <c r="H44" s="243">
        <v>0.2711864406779661</v>
      </c>
      <c r="I44" s="241">
        <v>0.32426363756439042</v>
      </c>
      <c r="J44" s="241">
        <v>0</v>
      </c>
      <c r="K44" s="242">
        <v>0</v>
      </c>
      <c r="L44" s="242">
        <v>0</v>
      </c>
      <c r="M44" s="242">
        <v>0</v>
      </c>
      <c r="N44" s="243">
        <v>0</v>
      </c>
      <c r="O44" s="241">
        <v>0</v>
      </c>
      <c r="P44" s="241">
        <v>0</v>
      </c>
      <c r="Q44" s="242">
        <v>0</v>
      </c>
      <c r="R44" s="243">
        <v>0</v>
      </c>
      <c r="S44" s="241">
        <v>0</v>
      </c>
      <c r="T44" s="253"/>
      <c r="U44" s="245">
        <v>1539</v>
      </c>
      <c r="V44" s="246">
        <v>630</v>
      </c>
      <c r="W44" s="246">
        <v>243</v>
      </c>
      <c r="X44" s="246">
        <v>0</v>
      </c>
      <c r="Y44" s="246">
        <v>27</v>
      </c>
      <c r="Z44" s="246">
        <v>16</v>
      </c>
      <c r="AA44" s="292">
        <v>2455</v>
      </c>
      <c r="AB44" s="245">
        <v>0</v>
      </c>
      <c r="AC44" s="246">
        <v>0</v>
      </c>
      <c r="AD44" s="246">
        <v>0</v>
      </c>
      <c r="AE44" s="246">
        <v>0</v>
      </c>
      <c r="AF44" s="246">
        <v>0</v>
      </c>
      <c r="AG44" s="247">
        <v>0</v>
      </c>
      <c r="AH44" s="246">
        <v>0</v>
      </c>
      <c r="AI44" s="246">
        <v>0</v>
      </c>
      <c r="AJ44" s="246">
        <v>0</v>
      </c>
      <c r="AK44" s="245">
        <v>0</v>
      </c>
    </row>
    <row r="45" spans="1:42" ht="13.9" customHeight="1">
      <c r="A45" s="249"/>
      <c r="B45" s="239" t="s">
        <v>93</v>
      </c>
      <c r="C45" s="250">
        <v>0.27673935617860851</v>
      </c>
      <c r="D45" s="251">
        <v>0.3022869022869023</v>
      </c>
      <c r="E45" s="251">
        <v>0.27595628415300544</v>
      </c>
      <c r="F45" s="251">
        <v>0</v>
      </c>
      <c r="G45" s="251">
        <v>0.31847133757961782</v>
      </c>
      <c r="H45" s="252">
        <v>0.32203389830508472</v>
      </c>
      <c r="I45" s="250">
        <v>0.28595958261788401</v>
      </c>
      <c r="J45" s="250">
        <v>0</v>
      </c>
      <c r="K45" s="251">
        <v>0</v>
      </c>
      <c r="L45" s="251">
        <v>0</v>
      </c>
      <c r="M45" s="251">
        <v>0</v>
      </c>
      <c r="N45" s="252">
        <v>0</v>
      </c>
      <c r="O45" s="250">
        <v>0</v>
      </c>
      <c r="P45" s="250">
        <v>0</v>
      </c>
      <c r="Q45" s="251">
        <v>0</v>
      </c>
      <c r="R45" s="252">
        <v>0</v>
      </c>
      <c r="S45" s="250">
        <v>0</v>
      </c>
      <c r="T45" s="253"/>
      <c r="U45" s="254">
        <v>1066</v>
      </c>
      <c r="V45" s="255">
        <v>727</v>
      </c>
      <c r="W45" s="255">
        <v>303</v>
      </c>
      <c r="X45" s="255">
        <v>0</v>
      </c>
      <c r="Y45" s="255">
        <v>50</v>
      </c>
      <c r="Z45" s="255">
        <v>19</v>
      </c>
      <c r="AA45" s="293">
        <v>2165</v>
      </c>
      <c r="AB45" s="254">
        <v>0</v>
      </c>
      <c r="AC45" s="255">
        <v>0</v>
      </c>
      <c r="AD45" s="255">
        <v>0</v>
      </c>
      <c r="AE45" s="255">
        <v>0</v>
      </c>
      <c r="AF45" s="255">
        <v>0</v>
      </c>
      <c r="AG45" s="256">
        <v>0</v>
      </c>
      <c r="AH45" s="255">
        <v>0</v>
      </c>
      <c r="AI45" s="255">
        <v>0</v>
      </c>
      <c r="AJ45" s="255">
        <v>0</v>
      </c>
      <c r="AK45" s="254">
        <v>0</v>
      </c>
    </row>
    <row r="46" spans="1:42" ht="13.9" customHeight="1">
      <c r="A46" s="249"/>
      <c r="B46" s="239" t="s">
        <v>55</v>
      </c>
      <c r="C46" s="250">
        <v>0.25493250259605399</v>
      </c>
      <c r="D46" s="251">
        <v>0.26361746361746363</v>
      </c>
      <c r="E46" s="251">
        <v>0.3570127504553734</v>
      </c>
      <c r="F46" s="251">
        <v>0</v>
      </c>
      <c r="G46" s="251">
        <v>0.36305732484076431</v>
      </c>
      <c r="H46" s="252">
        <v>0.3728813559322034</v>
      </c>
      <c r="I46" s="250">
        <v>0.27565711266675474</v>
      </c>
      <c r="J46" s="250">
        <v>0</v>
      </c>
      <c r="K46" s="251">
        <v>0</v>
      </c>
      <c r="L46" s="251">
        <v>0</v>
      </c>
      <c r="M46" s="251">
        <v>0</v>
      </c>
      <c r="N46" s="252">
        <v>0</v>
      </c>
      <c r="O46" s="250">
        <v>0</v>
      </c>
      <c r="P46" s="250">
        <v>0</v>
      </c>
      <c r="Q46" s="251">
        <v>0</v>
      </c>
      <c r="R46" s="252">
        <v>0</v>
      </c>
      <c r="S46" s="250">
        <v>0</v>
      </c>
      <c r="T46" s="253"/>
      <c r="U46" s="254">
        <v>982</v>
      </c>
      <c r="V46" s="255">
        <v>634</v>
      </c>
      <c r="W46" s="255">
        <v>392</v>
      </c>
      <c r="X46" s="255">
        <v>0</v>
      </c>
      <c r="Y46" s="255">
        <v>57</v>
      </c>
      <c r="Z46" s="255">
        <v>22</v>
      </c>
      <c r="AA46" s="293">
        <v>2087</v>
      </c>
      <c r="AB46" s="254">
        <v>0</v>
      </c>
      <c r="AC46" s="255">
        <v>0</v>
      </c>
      <c r="AD46" s="255">
        <v>0</v>
      </c>
      <c r="AE46" s="255">
        <v>0</v>
      </c>
      <c r="AF46" s="255">
        <v>0</v>
      </c>
      <c r="AG46" s="256">
        <v>0</v>
      </c>
      <c r="AH46" s="255">
        <v>0</v>
      </c>
      <c r="AI46" s="255">
        <v>0</v>
      </c>
      <c r="AJ46" s="255">
        <v>0</v>
      </c>
      <c r="AK46" s="254">
        <v>0</v>
      </c>
    </row>
    <row r="47" spans="1:42" ht="13.9" customHeight="1">
      <c r="A47" s="249"/>
      <c r="B47" s="239" t="s">
        <v>78</v>
      </c>
      <c r="C47" s="250">
        <v>5.4257528556593979E-2</v>
      </c>
      <c r="D47" s="251">
        <v>0.15592515592515593</v>
      </c>
      <c r="E47" s="251">
        <v>0.11839708561020036</v>
      </c>
      <c r="F47" s="251">
        <v>0</v>
      </c>
      <c r="G47" s="251">
        <v>0.14012738853503184</v>
      </c>
      <c r="H47" s="252">
        <v>1.6949152542372881E-2</v>
      </c>
      <c r="I47" s="250">
        <v>9.7345132743362831E-2</v>
      </c>
      <c r="J47" s="250">
        <v>0</v>
      </c>
      <c r="K47" s="251">
        <v>0</v>
      </c>
      <c r="L47" s="251">
        <v>0</v>
      </c>
      <c r="M47" s="251">
        <v>0</v>
      </c>
      <c r="N47" s="252">
        <v>0</v>
      </c>
      <c r="O47" s="250">
        <v>0</v>
      </c>
      <c r="P47" s="250">
        <v>0</v>
      </c>
      <c r="Q47" s="251">
        <v>0</v>
      </c>
      <c r="R47" s="252">
        <v>0</v>
      </c>
      <c r="S47" s="250">
        <v>0</v>
      </c>
      <c r="T47" s="253"/>
      <c r="U47" s="254">
        <v>209</v>
      </c>
      <c r="V47" s="255">
        <v>375</v>
      </c>
      <c r="W47" s="255">
        <v>130</v>
      </c>
      <c r="X47" s="255">
        <v>0</v>
      </c>
      <c r="Y47" s="255">
        <v>22</v>
      </c>
      <c r="Z47" s="255">
        <v>1</v>
      </c>
      <c r="AA47" s="293">
        <v>737</v>
      </c>
      <c r="AB47" s="254">
        <v>0</v>
      </c>
      <c r="AC47" s="255">
        <v>0</v>
      </c>
      <c r="AD47" s="255">
        <v>0</v>
      </c>
      <c r="AE47" s="255">
        <v>0</v>
      </c>
      <c r="AF47" s="255">
        <v>0</v>
      </c>
      <c r="AG47" s="256">
        <v>0</v>
      </c>
      <c r="AH47" s="255">
        <v>0</v>
      </c>
      <c r="AI47" s="255">
        <v>0</v>
      </c>
      <c r="AJ47" s="255">
        <v>0</v>
      </c>
      <c r="AK47" s="254">
        <v>0</v>
      </c>
    </row>
    <row r="48" spans="1:42" ht="13.9" customHeight="1">
      <c r="A48" s="249"/>
      <c r="B48" s="239" t="s">
        <v>32</v>
      </c>
      <c r="C48" s="250">
        <v>1.4537902388369679E-2</v>
      </c>
      <c r="D48" s="251">
        <v>1.6216216216216217E-2</v>
      </c>
      <c r="E48" s="251">
        <v>2.7322404371584699E-2</v>
      </c>
      <c r="F48" s="251">
        <v>0</v>
      </c>
      <c r="G48" s="251">
        <v>6.369426751592357E-3</v>
      </c>
      <c r="H48" s="252">
        <v>1.6949152542372881E-2</v>
      </c>
      <c r="I48" s="250">
        <v>1.6774534407607979E-2</v>
      </c>
      <c r="J48" s="250">
        <v>0</v>
      </c>
      <c r="K48" s="251">
        <v>0</v>
      </c>
      <c r="L48" s="251">
        <v>0</v>
      </c>
      <c r="M48" s="251">
        <v>0</v>
      </c>
      <c r="N48" s="252">
        <v>0</v>
      </c>
      <c r="O48" s="250">
        <v>0</v>
      </c>
      <c r="P48" s="250">
        <v>0</v>
      </c>
      <c r="Q48" s="251">
        <v>0</v>
      </c>
      <c r="R48" s="252">
        <v>0</v>
      </c>
      <c r="S48" s="250">
        <v>0</v>
      </c>
      <c r="T48" s="253"/>
      <c r="U48" s="254">
        <v>56</v>
      </c>
      <c r="V48" s="255">
        <v>39</v>
      </c>
      <c r="W48" s="255">
        <v>30</v>
      </c>
      <c r="X48" s="255">
        <v>0</v>
      </c>
      <c r="Y48" s="255">
        <v>1</v>
      </c>
      <c r="Z48" s="255">
        <v>1</v>
      </c>
      <c r="AA48" s="293">
        <v>127</v>
      </c>
      <c r="AB48" s="254">
        <v>0</v>
      </c>
      <c r="AC48" s="255">
        <v>0</v>
      </c>
      <c r="AD48" s="255">
        <v>0</v>
      </c>
      <c r="AE48" s="255">
        <v>0</v>
      </c>
      <c r="AF48" s="255">
        <v>0</v>
      </c>
      <c r="AG48" s="256">
        <v>0</v>
      </c>
      <c r="AH48" s="255">
        <v>0</v>
      </c>
      <c r="AI48" s="255">
        <v>0</v>
      </c>
      <c r="AJ48" s="255">
        <v>0</v>
      </c>
      <c r="AK48" s="254">
        <v>0</v>
      </c>
    </row>
    <row r="49" spans="1:39" ht="13.15" customHeight="1">
      <c r="A49" s="249"/>
      <c r="B49" s="239" t="s">
        <v>58</v>
      </c>
      <c r="C49" s="250">
        <v>0</v>
      </c>
      <c r="D49" s="251">
        <v>0</v>
      </c>
      <c r="E49" s="251">
        <v>0</v>
      </c>
      <c r="F49" s="251">
        <v>0</v>
      </c>
      <c r="G49" s="251">
        <v>0</v>
      </c>
      <c r="H49" s="252">
        <v>0</v>
      </c>
      <c r="I49" s="250">
        <v>0</v>
      </c>
      <c r="J49" s="250">
        <v>0</v>
      </c>
      <c r="K49" s="251">
        <v>1</v>
      </c>
      <c r="L49" s="251">
        <v>1</v>
      </c>
      <c r="M49" s="251">
        <v>1</v>
      </c>
      <c r="N49" s="252">
        <v>0</v>
      </c>
      <c r="O49" s="250">
        <v>1</v>
      </c>
      <c r="P49" s="250">
        <v>0</v>
      </c>
      <c r="Q49" s="251">
        <v>0</v>
      </c>
      <c r="R49" s="252">
        <v>0</v>
      </c>
      <c r="S49" s="250">
        <v>0</v>
      </c>
      <c r="T49" s="253"/>
      <c r="U49" s="254">
        <v>0</v>
      </c>
      <c r="V49" s="255">
        <v>0</v>
      </c>
      <c r="W49" s="255">
        <v>0</v>
      </c>
      <c r="X49" s="255">
        <v>0</v>
      </c>
      <c r="Y49" s="255">
        <v>0</v>
      </c>
      <c r="Z49" s="255">
        <v>0</v>
      </c>
      <c r="AA49" s="293">
        <v>0</v>
      </c>
      <c r="AB49" s="254">
        <v>0</v>
      </c>
      <c r="AC49" s="255">
        <v>3931</v>
      </c>
      <c r="AD49" s="255">
        <v>630</v>
      </c>
      <c r="AE49" s="255">
        <v>218</v>
      </c>
      <c r="AF49" s="255">
        <v>0</v>
      </c>
      <c r="AG49" s="256">
        <v>4779</v>
      </c>
      <c r="AH49" s="255">
        <v>0</v>
      </c>
      <c r="AI49" s="255">
        <v>0</v>
      </c>
      <c r="AJ49" s="255">
        <v>0</v>
      </c>
      <c r="AK49" s="254">
        <v>0</v>
      </c>
    </row>
    <row r="50" spans="1:39" s="271" customFormat="1">
      <c r="A50" s="259"/>
      <c r="B50" s="260" t="s">
        <v>59</v>
      </c>
      <c r="C50" s="261">
        <v>1</v>
      </c>
      <c r="D50" s="262">
        <v>1</v>
      </c>
      <c r="E50" s="262">
        <v>1</v>
      </c>
      <c r="F50" s="262">
        <v>0</v>
      </c>
      <c r="G50" s="262">
        <v>1</v>
      </c>
      <c r="H50" s="263">
        <v>1</v>
      </c>
      <c r="I50" s="261">
        <v>1</v>
      </c>
      <c r="J50" s="261">
        <v>0</v>
      </c>
      <c r="K50" s="262">
        <v>1</v>
      </c>
      <c r="L50" s="262">
        <v>1</v>
      </c>
      <c r="M50" s="262">
        <v>1</v>
      </c>
      <c r="N50" s="263">
        <v>0</v>
      </c>
      <c r="O50" s="261">
        <v>1</v>
      </c>
      <c r="P50" s="261">
        <v>0</v>
      </c>
      <c r="Q50" s="262">
        <v>0</v>
      </c>
      <c r="R50" s="263">
        <v>0</v>
      </c>
      <c r="S50" s="261">
        <v>0</v>
      </c>
      <c r="T50" s="264"/>
      <c r="U50" s="265">
        <v>3852</v>
      </c>
      <c r="V50" s="266">
        <v>2405</v>
      </c>
      <c r="W50" s="266">
        <v>1098</v>
      </c>
      <c r="X50" s="266">
        <v>0</v>
      </c>
      <c r="Y50" s="266">
        <v>157</v>
      </c>
      <c r="Z50" s="266">
        <v>59</v>
      </c>
      <c r="AA50" s="294">
        <v>7571</v>
      </c>
      <c r="AB50" s="265">
        <v>0</v>
      </c>
      <c r="AC50" s="266">
        <v>3931</v>
      </c>
      <c r="AD50" s="266">
        <v>630</v>
      </c>
      <c r="AE50" s="266">
        <v>218</v>
      </c>
      <c r="AF50" s="266">
        <v>0</v>
      </c>
      <c r="AG50" s="267">
        <v>4779</v>
      </c>
      <c r="AH50" s="266">
        <v>0</v>
      </c>
      <c r="AI50" s="266">
        <v>0</v>
      </c>
      <c r="AJ50" s="266">
        <v>0</v>
      </c>
      <c r="AK50" s="265">
        <v>0</v>
      </c>
      <c r="AL50" s="270"/>
      <c r="AM50" s="270"/>
    </row>
    <row r="51" spans="1:39" ht="13.9" customHeight="1">
      <c r="A51" s="239" t="s">
        <v>7</v>
      </c>
      <c r="B51" s="239" t="s">
        <v>53</v>
      </c>
      <c r="C51" s="241">
        <v>0.34285714285714286</v>
      </c>
      <c r="D51" s="242">
        <v>0.4262086513994911</v>
      </c>
      <c r="E51" s="242">
        <v>0.22580645161290322</v>
      </c>
      <c r="F51" s="242">
        <v>0.27226890756302519</v>
      </c>
      <c r="G51" s="242">
        <v>0.23622881355932204</v>
      </c>
      <c r="H51" s="243">
        <v>0.27467811158798283</v>
      </c>
      <c r="I51" s="241">
        <v>0.30649970184853903</v>
      </c>
      <c r="J51" s="241">
        <v>0.17194570135746606</v>
      </c>
      <c r="K51" s="242">
        <v>8.0267558528428096E-2</v>
      </c>
      <c r="L51" s="242">
        <v>0.16666666666666666</v>
      </c>
      <c r="M51" s="242">
        <v>0.20285714285714285</v>
      </c>
      <c r="N51" s="243">
        <v>0</v>
      </c>
      <c r="O51" s="241">
        <v>0.15666666666666668</v>
      </c>
      <c r="P51" s="241">
        <v>0</v>
      </c>
      <c r="Q51" s="242">
        <v>0</v>
      </c>
      <c r="R51" s="243">
        <v>0</v>
      </c>
      <c r="S51" s="241">
        <v>0</v>
      </c>
      <c r="T51" s="253"/>
      <c r="U51" s="245">
        <v>900</v>
      </c>
      <c r="V51" s="246">
        <v>335</v>
      </c>
      <c r="W51" s="246">
        <v>210</v>
      </c>
      <c r="X51" s="246">
        <v>324</v>
      </c>
      <c r="Y51" s="246">
        <v>223</v>
      </c>
      <c r="Z51" s="246">
        <v>64</v>
      </c>
      <c r="AA51" s="292">
        <v>2056</v>
      </c>
      <c r="AB51" s="245">
        <v>38</v>
      </c>
      <c r="AC51" s="246">
        <v>24</v>
      </c>
      <c r="AD51" s="246">
        <v>55</v>
      </c>
      <c r="AE51" s="246">
        <v>71</v>
      </c>
      <c r="AF51" s="246">
        <v>0</v>
      </c>
      <c r="AG51" s="247">
        <v>188</v>
      </c>
      <c r="AH51" s="246">
        <v>0</v>
      </c>
      <c r="AI51" s="246">
        <v>0</v>
      </c>
      <c r="AJ51" s="246">
        <v>0</v>
      </c>
      <c r="AK51" s="245">
        <v>0</v>
      </c>
    </row>
    <row r="52" spans="1:39" ht="13.9" customHeight="1">
      <c r="A52" s="249"/>
      <c r="B52" s="239" t="s">
        <v>93</v>
      </c>
      <c r="C52" s="250">
        <v>0.29866666666666669</v>
      </c>
      <c r="D52" s="251">
        <v>0.2951653944020356</v>
      </c>
      <c r="E52" s="251">
        <v>0.25591397849462366</v>
      </c>
      <c r="F52" s="251">
        <v>0.26974789915966385</v>
      </c>
      <c r="G52" s="251">
        <v>0.32415254237288138</v>
      </c>
      <c r="H52" s="252">
        <v>0.31759656652360513</v>
      </c>
      <c r="I52" s="250">
        <v>0.29144305307096002</v>
      </c>
      <c r="J52" s="250">
        <v>0.30769230769230771</v>
      </c>
      <c r="K52" s="251">
        <v>0.37458193979933108</v>
      </c>
      <c r="L52" s="251">
        <v>0.24242424242424243</v>
      </c>
      <c r="M52" s="251">
        <v>0.2857142857142857</v>
      </c>
      <c r="N52" s="252">
        <v>0</v>
      </c>
      <c r="O52" s="250">
        <v>0.3</v>
      </c>
      <c r="P52" s="250">
        <v>0</v>
      </c>
      <c r="Q52" s="251">
        <v>0</v>
      </c>
      <c r="R52" s="252">
        <v>0</v>
      </c>
      <c r="S52" s="250">
        <v>0</v>
      </c>
      <c r="T52" s="253"/>
      <c r="U52" s="254">
        <v>784</v>
      </c>
      <c r="V52" s="255">
        <v>232</v>
      </c>
      <c r="W52" s="255">
        <v>238</v>
      </c>
      <c r="X52" s="255">
        <v>321</v>
      </c>
      <c r="Y52" s="255">
        <v>306</v>
      </c>
      <c r="Z52" s="255">
        <v>74</v>
      </c>
      <c r="AA52" s="293">
        <v>1955</v>
      </c>
      <c r="AB52" s="254">
        <v>68</v>
      </c>
      <c r="AC52" s="255">
        <v>112</v>
      </c>
      <c r="AD52" s="255">
        <v>80</v>
      </c>
      <c r="AE52" s="255">
        <v>100</v>
      </c>
      <c r="AF52" s="255">
        <v>0</v>
      </c>
      <c r="AG52" s="256">
        <v>360</v>
      </c>
      <c r="AH52" s="255">
        <v>0</v>
      </c>
      <c r="AI52" s="255">
        <v>0</v>
      </c>
      <c r="AJ52" s="255">
        <v>0</v>
      </c>
      <c r="AK52" s="254">
        <v>0</v>
      </c>
    </row>
    <row r="53" spans="1:39" ht="13.9" customHeight="1">
      <c r="A53" s="249"/>
      <c r="B53" s="239" t="s">
        <v>55</v>
      </c>
      <c r="C53" s="250">
        <v>0.28076190476190477</v>
      </c>
      <c r="D53" s="251">
        <v>0.23664122137404581</v>
      </c>
      <c r="E53" s="251">
        <v>0.42150537634408602</v>
      </c>
      <c r="F53" s="251">
        <v>0.34453781512605042</v>
      </c>
      <c r="G53" s="251">
        <v>0.3951271186440678</v>
      </c>
      <c r="H53" s="252">
        <v>0.33476394849785407</v>
      </c>
      <c r="I53" s="250">
        <v>0.32438878950506855</v>
      </c>
      <c r="J53" s="250">
        <v>0.42533936651583709</v>
      </c>
      <c r="K53" s="251">
        <v>0.35451505016722407</v>
      </c>
      <c r="L53" s="251">
        <v>0.43636363636363634</v>
      </c>
      <c r="M53" s="251">
        <v>0.33714285714285713</v>
      </c>
      <c r="N53" s="252">
        <v>0</v>
      </c>
      <c r="O53" s="250">
        <v>0.38500000000000001</v>
      </c>
      <c r="P53" s="250">
        <v>0</v>
      </c>
      <c r="Q53" s="251">
        <v>0</v>
      </c>
      <c r="R53" s="252">
        <v>0</v>
      </c>
      <c r="S53" s="250">
        <v>0</v>
      </c>
      <c r="T53" s="253"/>
      <c r="U53" s="254">
        <v>737</v>
      </c>
      <c r="V53" s="255">
        <v>186</v>
      </c>
      <c r="W53" s="255">
        <v>392</v>
      </c>
      <c r="X53" s="255">
        <v>410</v>
      </c>
      <c r="Y53" s="255">
        <v>373</v>
      </c>
      <c r="Z53" s="255">
        <v>78</v>
      </c>
      <c r="AA53" s="293">
        <v>2176</v>
      </c>
      <c r="AB53" s="254">
        <v>94</v>
      </c>
      <c r="AC53" s="255">
        <v>106</v>
      </c>
      <c r="AD53" s="255">
        <v>144</v>
      </c>
      <c r="AE53" s="255">
        <v>118</v>
      </c>
      <c r="AF53" s="255">
        <v>0</v>
      </c>
      <c r="AG53" s="256">
        <v>462</v>
      </c>
      <c r="AH53" s="255">
        <v>0</v>
      </c>
      <c r="AI53" s="255">
        <v>0</v>
      </c>
      <c r="AJ53" s="255">
        <v>0</v>
      </c>
      <c r="AK53" s="254">
        <v>0</v>
      </c>
    </row>
    <row r="54" spans="1:39" ht="13.9" customHeight="1">
      <c r="A54" s="249"/>
      <c r="B54" s="239" t="s">
        <v>78</v>
      </c>
      <c r="C54" s="250">
        <v>5.4857142857142854E-2</v>
      </c>
      <c r="D54" s="251">
        <v>3.3078880407124679E-2</v>
      </c>
      <c r="E54" s="251">
        <v>9.6774193548387094E-2</v>
      </c>
      <c r="F54" s="251">
        <v>0.1134453781512605</v>
      </c>
      <c r="G54" s="251">
        <v>4.4491525423728813E-2</v>
      </c>
      <c r="H54" s="252">
        <v>7.2961373390557943E-2</v>
      </c>
      <c r="I54" s="250">
        <v>6.768038163387001E-2</v>
      </c>
      <c r="J54" s="250">
        <v>9.5022624434389136E-2</v>
      </c>
      <c r="K54" s="251">
        <v>0.19063545150501673</v>
      </c>
      <c r="L54" s="251">
        <v>0.15454545454545454</v>
      </c>
      <c r="M54" s="251">
        <v>0.17428571428571429</v>
      </c>
      <c r="N54" s="252">
        <v>0</v>
      </c>
      <c r="O54" s="250">
        <v>0.15833333333333333</v>
      </c>
      <c r="P54" s="250">
        <v>0</v>
      </c>
      <c r="Q54" s="251">
        <v>0</v>
      </c>
      <c r="R54" s="252">
        <v>0</v>
      </c>
      <c r="S54" s="250">
        <v>0</v>
      </c>
      <c r="T54" s="253"/>
      <c r="U54" s="254">
        <v>144</v>
      </c>
      <c r="V54" s="255">
        <v>26</v>
      </c>
      <c r="W54" s="255">
        <v>90</v>
      </c>
      <c r="X54" s="255">
        <v>135</v>
      </c>
      <c r="Y54" s="255">
        <v>42</v>
      </c>
      <c r="Z54" s="255">
        <v>17</v>
      </c>
      <c r="AA54" s="293">
        <v>454</v>
      </c>
      <c r="AB54" s="254">
        <v>21</v>
      </c>
      <c r="AC54" s="255">
        <v>57</v>
      </c>
      <c r="AD54" s="255">
        <v>51</v>
      </c>
      <c r="AE54" s="255">
        <v>61</v>
      </c>
      <c r="AF54" s="255">
        <v>0</v>
      </c>
      <c r="AG54" s="256">
        <v>190</v>
      </c>
      <c r="AH54" s="255">
        <v>0</v>
      </c>
      <c r="AI54" s="255">
        <v>0</v>
      </c>
      <c r="AJ54" s="255">
        <v>0</v>
      </c>
      <c r="AK54" s="254">
        <v>0</v>
      </c>
    </row>
    <row r="55" spans="1:39" ht="13.9" customHeight="1">
      <c r="A55" s="249"/>
      <c r="B55" s="239" t="s">
        <v>32</v>
      </c>
      <c r="C55" s="250">
        <v>2.2857142857142857E-2</v>
      </c>
      <c r="D55" s="251">
        <v>8.9058524173027988E-3</v>
      </c>
      <c r="E55" s="251">
        <v>0</v>
      </c>
      <c r="F55" s="251">
        <v>0</v>
      </c>
      <c r="G55" s="251">
        <v>0</v>
      </c>
      <c r="H55" s="252">
        <v>0</v>
      </c>
      <c r="I55" s="250">
        <v>9.9880739415623143E-3</v>
      </c>
      <c r="J55" s="250">
        <v>0</v>
      </c>
      <c r="K55" s="251">
        <v>0</v>
      </c>
      <c r="L55" s="251">
        <v>0</v>
      </c>
      <c r="M55" s="251">
        <v>0</v>
      </c>
      <c r="N55" s="252">
        <v>0</v>
      </c>
      <c r="O55" s="250">
        <v>0</v>
      </c>
      <c r="P55" s="250">
        <v>0</v>
      </c>
      <c r="Q55" s="251">
        <v>0</v>
      </c>
      <c r="R55" s="252">
        <v>0</v>
      </c>
      <c r="S55" s="250">
        <v>0</v>
      </c>
      <c r="T55" s="253"/>
      <c r="U55" s="254">
        <v>60</v>
      </c>
      <c r="V55" s="255">
        <v>7</v>
      </c>
      <c r="W55" s="255">
        <v>0</v>
      </c>
      <c r="X55" s="255">
        <v>0</v>
      </c>
      <c r="Y55" s="255">
        <v>0</v>
      </c>
      <c r="Z55" s="255">
        <v>0</v>
      </c>
      <c r="AA55" s="293">
        <v>67</v>
      </c>
      <c r="AB55" s="254">
        <v>0</v>
      </c>
      <c r="AC55" s="255">
        <v>0</v>
      </c>
      <c r="AD55" s="255">
        <v>0</v>
      </c>
      <c r="AE55" s="255">
        <v>0</v>
      </c>
      <c r="AF55" s="255">
        <v>0</v>
      </c>
      <c r="AG55" s="256">
        <v>0</v>
      </c>
      <c r="AH55" s="255">
        <v>0</v>
      </c>
      <c r="AI55" s="255">
        <v>0</v>
      </c>
      <c r="AJ55" s="255">
        <v>0</v>
      </c>
      <c r="AK55" s="254">
        <v>0</v>
      </c>
    </row>
    <row r="56" spans="1:39" ht="13.9" customHeight="1">
      <c r="A56" s="249"/>
      <c r="B56" s="239" t="s">
        <v>58</v>
      </c>
      <c r="C56" s="250">
        <v>0</v>
      </c>
      <c r="D56" s="251">
        <v>0</v>
      </c>
      <c r="E56" s="251">
        <v>0</v>
      </c>
      <c r="F56" s="251">
        <v>0</v>
      </c>
      <c r="G56" s="251">
        <v>0</v>
      </c>
      <c r="H56" s="252">
        <v>0</v>
      </c>
      <c r="I56" s="250">
        <v>0</v>
      </c>
      <c r="J56" s="250">
        <v>0</v>
      </c>
      <c r="K56" s="251">
        <v>0</v>
      </c>
      <c r="L56" s="251">
        <v>0</v>
      </c>
      <c r="M56" s="251">
        <v>0</v>
      </c>
      <c r="N56" s="252">
        <v>0</v>
      </c>
      <c r="O56" s="250">
        <v>0</v>
      </c>
      <c r="P56" s="250">
        <v>1</v>
      </c>
      <c r="Q56" s="251">
        <v>1</v>
      </c>
      <c r="R56" s="252">
        <v>0</v>
      </c>
      <c r="S56" s="250">
        <v>1</v>
      </c>
      <c r="T56" s="253"/>
      <c r="U56" s="254">
        <v>0</v>
      </c>
      <c r="V56" s="255">
        <v>0</v>
      </c>
      <c r="W56" s="255">
        <v>0</v>
      </c>
      <c r="X56" s="255">
        <v>0</v>
      </c>
      <c r="Y56" s="255">
        <v>0</v>
      </c>
      <c r="Z56" s="255">
        <v>0</v>
      </c>
      <c r="AA56" s="293">
        <v>0</v>
      </c>
      <c r="AB56" s="254">
        <v>0</v>
      </c>
      <c r="AC56" s="255">
        <v>0</v>
      </c>
      <c r="AD56" s="255">
        <v>0</v>
      </c>
      <c r="AE56" s="255">
        <v>0</v>
      </c>
      <c r="AF56" s="255">
        <v>0</v>
      </c>
      <c r="AG56" s="256">
        <v>0</v>
      </c>
      <c r="AH56" s="255">
        <v>1913</v>
      </c>
      <c r="AI56" s="255">
        <v>28</v>
      </c>
      <c r="AJ56" s="255">
        <v>0</v>
      </c>
      <c r="AK56" s="254">
        <v>1941</v>
      </c>
    </row>
    <row r="57" spans="1:39" s="271" customFormat="1" ht="24" customHeight="1">
      <c r="A57" s="259"/>
      <c r="B57" s="260" t="s">
        <v>59</v>
      </c>
      <c r="C57" s="261">
        <v>1</v>
      </c>
      <c r="D57" s="262">
        <v>1</v>
      </c>
      <c r="E57" s="262">
        <v>1</v>
      </c>
      <c r="F57" s="262">
        <v>1</v>
      </c>
      <c r="G57" s="262">
        <v>1</v>
      </c>
      <c r="H57" s="263">
        <v>1</v>
      </c>
      <c r="I57" s="261">
        <v>1</v>
      </c>
      <c r="J57" s="261">
        <v>1</v>
      </c>
      <c r="K57" s="262">
        <v>1</v>
      </c>
      <c r="L57" s="262">
        <v>1</v>
      </c>
      <c r="M57" s="262">
        <v>1</v>
      </c>
      <c r="N57" s="263">
        <v>0</v>
      </c>
      <c r="O57" s="261">
        <v>1</v>
      </c>
      <c r="P57" s="261">
        <v>1</v>
      </c>
      <c r="Q57" s="262">
        <v>1</v>
      </c>
      <c r="R57" s="263">
        <v>0</v>
      </c>
      <c r="S57" s="261">
        <v>1</v>
      </c>
      <c r="T57" s="264"/>
      <c r="U57" s="265">
        <v>2625</v>
      </c>
      <c r="V57" s="266">
        <v>786</v>
      </c>
      <c r="W57" s="266">
        <v>930</v>
      </c>
      <c r="X57" s="266">
        <v>1190</v>
      </c>
      <c r="Y57" s="266">
        <v>944</v>
      </c>
      <c r="Z57" s="266">
        <v>233</v>
      </c>
      <c r="AA57" s="294">
        <v>6708</v>
      </c>
      <c r="AB57" s="265">
        <v>221</v>
      </c>
      <c r="AC57" s="266">
        <v>299</v>
      </c>
      <c r="AD57" s="266">
        <v>330</v>
      </c>
      <c r="AE57" s="266">
        <v>350</v>
      </c>
      <c r="AF57" s="266">
        <v>0</v>
      </c>
      <c r="AG57" s="267">
        <v>1200</v>
      </c>
      <c r="AH57" s="266">
        <v>1913</v>
      </c>
      <c r="AI57" s="266">
        <v>28</v>
      </c>
      <c r="AJ57" s="266">
        <v>0</v>
      </c>
      <c r="AK57" s="265">
        <v>1941</v>
      </c>
      <c r="AL57" s="270"/>
      <c r="AM57" s="270"/>
    </row>
    <row r="58" spans="1:39" ht="13.9" customHeight="1">
      <c r="A58" s="239" t="s">
        <v>8</v>
      </c>
      <c r="B58" s="239" t="s">
        <v>53</v>
      </c>
      <c r="C58" s="241">
        <v>0.3682403433476395</v>
      </c>
      <c r="D58" s="242">
        <v>0.3972222222222222</v>
      </c>
      <c r="E58" s="242">
        <v>0.26588845654993515</v>
      </c>
      <c r="F58" s="242">
        <v>0.20617283950617285</v>
      </c>
      <c r="G58" s="242">
        <v>0</v>
      </c>
      <c r="H58" s="243">
        <v>0.16521739130434782</v>
      </c>
      <c r="I58" s="241">
        <v>0.30124080882352944</v>
      </c>
      <c r="J58" s="241">
        <v>0</v>
      </c>
      <c r="K58" s="242">
        <v>0.24202127659574468</v>
      </c>
      <c r="L58" s="242">
        <v>0.2839506172839506</v>
      </c>
      <c r="M58" s="242">
        <v>0.30906593406593408</v>
      </c>
      <c r="N58" s="243">
        <v>0</v>
      </c>
      <c r="O58" s="241">
        <v>0.28607594936708863</v>
      </c>
      <c r="P58" s="241">
        <v>0.10931174089068826</v>
      </c>
      <c r="Q58" s="242">
        <v>0.14492753623188406</v>
      </c>
      <c r="R58" s="243">
        <v>0</v>
      </c>
      <c r="S58" s="241">
        <v>0.13161875945537066</v>
      </c>
      <c r="T58" s="253"/>
      <c r="U58" s="245">
        <v>429</v>
      </c>
      <c r="V58" s="246">
        <v>286</v>
      </c>
      <c r="W58" s="246">
        <v>410</v>
      </c>
      <c r="X58" s="246">
        <v>167</v>
      </c>
      <c r="Y58" s="246">
        <v>0</v>
      </c>
      <c r="Z58" s="246">
        <v>19</v>
      </c>
      <c r="AA58" s="292">
        <v>1311</v>
      </c>
      <c r="AB58" s="245">
        <v>0</v>
      </c>
      <c r="AC58" s="246">
        <v>91</v>
      </c>
      <c r="AD58" s="246">
        <v>23</v>
      </c>
      <c r="AE58" s="246">
        <v>225</v>
      </c>
      <c r="AF58" s="246">
        <v>0</v>
      </c>
      <c r="AG58" s="247">
        <v>339</v>
      </c>
      <c r="AH58" s="246">
        <v>27</v>
      </c>
      <c r="AI58" s="246">
        <v>60</v>
      </c>
      <c r="AJ58" s="246">
        <v>0</v>
      </c>
      <c r="AK58" s="245">
        <v>87</v>
      </c>
    </row>
    <row r="59" spans="1:39" ht="13.9" customHeight="1">
      <c r="A59" s="249"/>
      <c r="B59" s="239" t="s">
        <v>93</v>
      </c>
      <c r="C59" s="250">
        <v>0.3699570815450644</v>
      </c>
      <c r="D59" s="251">
        <v>0.30555555555555558</v>
      </c>
      <c r="E59" s="251">
        <v>0.25421530479896237</v>
      </c>
      <c r="F59" s="251">
        <v>0.25432098765432098</v>
      </c>
      <c r="G59" s="251">
        <v>0</v>
      </c>
      <c r="H59" s="252">
        <v>0.24347826086956523</v>
      </c>
      <c r="I59" s="250">
        <v>0.29342830882352944</v>
      </c>
      <c r="J59" s="250">
        <v>0</v>
      </c>
      <c r="K59" s="251">
        <v>0.44414893617021278</v>
      </c>
      <c r="L59" s="251">
        <v>0.41975308641975306</v>
      </c>
      <c r="M59" s="251">
        <v>0.39560439560439559</v>
      </c>
      <c r="N59" s="252">
        <v>0</v>
      </c>
      <c r="O59" s="250">
        <v>0.41265822784810124</v>
      </c>
      <c r="P59" s="250">
        <v>0.40485829959514169</v>
      </c>
      <c r="Q59" s="251">
        <v>0.26811594202898553</v>
      </c>
      <c r="R59" s="252">
        <v>0</v>
      </c>
      <c r="S59" s="250">
        <v>0.31921331316187596</v>
      </c>
      <c r="T59" s="253"/>
      <c r="U59" s="254">
        <v>431</v>
      </c>
      <c r="V59" s="255">
        <v>220</v>
      </c>
      <c r="W59" s="255">
        <v>392</v>
      </c>
      <c r="X59" s="255">
        <v>206</v>
      </c>
      <c r="Y59" s="255">
        <v>0</v>
      </c>
      <c r="Z59" s="255">
        <v>28</v>
      </c>
      <c r="AA59" s="293">
        <v>1277</v>
      </c>
      <c r="AB59" s="254">
        <v>0</v>
      </c>
      <c r="AC59" s="255">
        <v>167</v>
      </c>
      <c r="AD59" s="255">
        <v>34</v>
      </c>
      <c r="AE59" s="255">
        <v>288</v>
      </c>
      <c r="AF59" s="255">
        <v>0</v>
      </c>
      <c r="AG59" s="256">
        <v>489</v>
      </c>
      <c r="AH59" s="255">
        <v>100</v>
      </c>
      <c r="AI59" s="255">
        <v>111</v>
      </c>
      <c r="AJ59" s="255">
        <v>0</v>
      </c>
      <c r="AK59" s="254">
        <v>211</v>
      </c>
    </row>
    <row r="60" spans="1:39" ht="13.9" customHeight="1">
      <c r="A60" s="249"/>
      <c r="B60" s="239" t="s">
        <v>55</v>
      </c>
      <c r="C60" s="250">
        <v>0.21201716738197424</v>
      </c>
      <c r="D60" s="251">
        <v>0.21527777777777779</v>
      </c>
      <c r="E60" s="251">
        <v>0.32879377431906615</v>
      </c>
      <c r="F60" s="251">
        <v>0.2839506172839506</v>
      </c>
      <c r="G60" s="251">
        <v>0</v>
      </c>
      <c r="H60" s="252">
        <v>0.4</v>
      </c>
      <c r="I60" s="250">
        <v>0.27228860294117646</v>
      </c>
      <c r="J60" s="250">
        <v>0</v>
      </c>
      <c r="K60" s="251">
        <v>0.15159574468085107</v>
      </c>
      <c r="L60" s="251">
        <v>0.13580246913580246</v>
      </c>
      <c r="M60" s="251">
        <v>0.13736263736263737</v>
      </c>
      <c r="N60" s="252">
        <v>0</v>
      </c>
      <c r="O60" s="250">
        <v>0.14177215189873418</v>
      </c>
      <c r="P60" s="250">
        <v>0.25101214574898784</v>
      </c>
      <c r="Q60" s="251">
        <v>0.2608695652173913</v>
      </c>
      <c r="R60" s="252">
        <v>0</v>
      </c>
      <c r="S60" s="250">
        <v>0.25718608169440244</v>
      </c>
      <c r="T60" s="253"/>
      <c r="U60" s="254">
        <v>247</v>
      </c>
      <c r="V60" s="255">
        <v>155</v>
      </c>
      <c r="W60" s="255">
        <v>507</v>
      </c>
      <c r="X60" s="255">
        <v>230</v>
      </c>
      <c r="Y60" s="255">
        <v>0</v>
      </c>
      <c r="Z60" s="255">
        <v>46</v>
      </c>
      <c r="AA60" s="293">
        <v>1185</v>
      </c>
      <c r="AB60" s="254">
        <v>0</v>
      </c>
      <c r="AC60" s="255">
        <v>57</v>
      </c>
      <c r="AD60" s="255">
        <v>11</v>
      </c>
      <c r="AE60" s="255">
        <v>100</v>
      </c>
      <c r="AF60" s="255">
        <v>0</v>
      </c>
      <c r="AG60" s="256">
        <v>168</v>
      </c>
      <c r="AH60" s="255">
        <v>62</v>
      </c>
      <c r="AI60" s="255">
        <v>108</v>
      </c>
      <c r="AJ60" s="255">
        <v>0</v>
      </c>
      <c r="AK60" s="254">
        <v>170</v>
      </c>
    </row>
    <row r="61" spans="1:39" ht="13.9" customHeight="1">
      <c r="A61" s="249"/>
      <c r="B61" s="239" t="s">
        <v>78</v>
      </c>
      <c r="C61" s="272">
        <v>3.4334763948497852E-3</v>
      </c>
      <c r="D61" s="251">
        <v>4.7222222222222221E-2</v>
      </c>
      <c r="E61" s="251">
        <v>9.4033722438391698E-2</v>
      </c>
      <c r="F61" s="251">
        <v>6.4197530864197536E-2</v>
      </c>
      <c r="G61" s="251">
        <v>0</v>
      </c>
      <c r="H61" s="252">
        <v>7.8260869565217397E-2</v>
      </c>
      <c r="I61" s="250">
        <v>5.6066176470588237E-2</v>
      </c>
      <c r="J61" s="250">
        <v>0</v>
      </c>
      <c r="K61" s="251">
        <v>0.16223404255319149</v>
      </c>
      <c r="L61" s="251">
        <v>0.16049382716049382</v>
      </c>
      <c r="M61" s="251">
        <v>0.15796703296703296</v>
      </c>
      <c r="N61" s="252">
        <v>0</v>
      </c>
      <c r="O61" s="250">
        <v>0.15949367088607594</v>
      </c>
      <c r="P61" s="250">
        <v>0.23481781376518218</v>
      </c>
      <c r="Q61" s="251">
        <v>0.32608695652173914</v>
      </c>
      <c r="R61" s="252">
        <v>0</v>
      </c>
      <c r="S61" s="250">
        <v>0.291981845688351</v>
      </c>
      <c r="T61" s="253"/>
      <c r="U61" s="254">
        <v>4</v>
      </c>
      <c r="V61" s="255">
        <v>34</v>
      </c>
      <c r="W61" s="255">
        <v>145</v>
      </c>
      <c r="X61" s="255">
        <v>52</v>
      </c>
      <c r="Y61" s="255">
        <v>0</v>
      </c>
      <c r="Z61" s="255">
        <v>9</v>
      </c>
      <c r="AA61" s="293">
        <v>244</v>
      </c>
      <c r="AB61" s="254">
        <v>0</v>
      </c>
      <c r="AC61" s="255">
        <v>61</v>
      </c>
      <c r="AD61" s="255">
        <v>13</v>
      </c>
      <c r="AE61" s="255">
        <v>115</v>
      </c>
      <c r="AF61" s="255">
        <v>0</v>
      </c>
      <c r="AG61" s="256">
        <v>189</v>
      </c>
      <c r="AH61" s="255">
        <v>58</v>
      </c>
      <c r="AI61" s="255">
        <v>135</v>
      </c>
      <c r="AJ61" s="255">
        <v>0</v>
      </c>
      <c r="AK61" s="254">
        <v>193</v>
      </c>
    </row>
    <row r="62" spans="1:39" ht="13.9" customHeight="1">
      <c r="A62" s="249"/>
      <c r="B62" s="239" t="s">
        <v>32</v>
      </c>
      <c r="C62" s="250">
        <v>4.63519313304721E-2</v>
      </c>
      <c r="D62" s="251">
        <v>3.4722222222222224E-2</v>
      </c>
      <c r="E62" s="251">
        <v>5.7068741893644616E-2</v>
      </c>
      <c r="F62" s="251">
        <v>0.19135802469135801</v>
      </c>
      <c r="G62" s="251">
        <v>0</v>
      </c>
      <c r="H62" s="252">
        <v>0.11304347826086956</v>
      </c>
      <c r="I62" s="250">
        <v>7.6976102941176475E-2</v>
      </c>
      <c r="J62" s="250">
        <v>0</v>
      </c>
      <c r="K62" s="251">
        <v>0</v>
      </c>
      <c r="L62" s="251">
        <v>0</v>
      </c>
      <c r="M62" s="251">
        <v>0</v>
      </c>
      <c r="N62" s="252">
        <v>0</v>
      </c>
      <c r="O62" s="250">
        <v>0</v>
      </c>
      <c r="P62" s="250">
        <v>0</v>
      </c>
      <c r="Q62" s="251">
        <v>0</v>
      </c>
      <c r="R62" s="252">
        <v>0</v>
      </c>
      <c r="S62" s="250">
        <v>0</v>
      </c>
      <c r="T62" s="253"/>
      <c r="U62" s="254">
        <v>54</v>
      </c>
      <c r="V62" s="255">
        <v>25</v>
      </c>
      <c r="W62" s="255">
        <v>88</v>
      </c>
      <c r="X62" s="255">
        <v>155</v>
      </c>
      <c r="Y62" s="255">
        <v>0</v>
      </c>
      <c r="Z62" s="255">
        <v>13</v>
      </c>
      <c r="AA62" s="293">
        <v>335</v>
      </c>
      <c r="AB62" s="254">
        <v>0</v>
      </c>
      <c r="AC62" s="255">
        <v>0</v>
      </c>
      <c r="AD62" s="255">
        <v>0</v>
      </c>
      <c r="AE62" s="255">
        <v>0</v>
      </c>
      <c r="AF62" s="255">
        <v>0</v>
      </c>
      <c r="AG62" s="256">
        <v>0</v>
      </c>
      <c r="AH62" s="255">
        <v>0</v>
      </c>
      <c r="AI62" s="255">
        <v>0</v>
      </c>
      <c r="AJ62" s="255">
        <v>0</v>
      </c>
      <c r="AK62" s="254">
        <v>0</v>
      </c>
    </row>
    <row r="63" spans="1:39" ht="13.9" customHeight="1">
      <c r="A63" s="249"/>
      <c r="B63" s="239" t="s">
        <v>58</v>
      </c>
      <c r="C63" s="250">
        <v>0</v>
      </c>
      <c r="D63" s="251">
        <v>0</v>
      </c>
      <c r="E63" s="251">
        <v>0</v>
      </c>
      <c r="F63" s="251">
        <v>0</v>
      </c>
      <c r="G63" s="251">
        <v>0</v>
      </c>
      <c r="H63" s="252">
        <v>0</v>
      </c>
      <c r="I63" s="250">
        <v>0</v>
      </c>
      <c r="J63" s="250">
        <v>0</v>
      </c>
      <c r="K63" s="251">
        <v>0</v>
      </c>
      <c r="L63" s="251">
        <v>0</v>
      </c>
      <c r="M63" s="251">
        <v>0</v>
      </c>
      <c r="N63" s="252">
        <v>0</v>
      </c>
      <c r="O63" s="250">
        <v>0</v>
      </c>
      <c r="P63" s="250">
        <v>0</v>
      </c>
      <c r="Q63" s="251">
        <v>0</v>
      </c>
      <c r="R63" s="252">
        <v>0</v>
      </c>
      <c r="S63" s="250">
        <v>0</v>
      </c>
      <c r="T63" s="253"/>
      <c r="U63" s="254">
        <v>0</v>
      </c>
      <c r="V63" s="255">
        <v>0</v>
      </c>
      <c r="W63" s="255">
        <v>0</v>
      </c>
      <c r="X63" s="255">
        <v>0</v>
      </c>
      <c r="Y63" s="255">
        <v>0</v>
      </c>
      <c r="Z63" s="255">
        <v>0</v>
      </c>
      <c r="AA63" s="293">
        <v>0</v>
      </c>
      <c r="AB63" s="254">
        <v>0</v>
      </c>
      <c r="AC63" s="255">
        <v>0</v>
      </c>
      <c r="AD63" s="255">
        <v>0</v>
      </c>
      <c r="AE63" s="255">
        <v>0</v>
      </c>
      <c r="AF63" s="255">
        <v>0</v>
      </c>
      <c r="AG63" s="256">
        <v>0</v>
      </c>
      <c r="AH63" s="255">
        <v>0</v>
      </c>
      <c r="AI63" s="255">
        <v>0</v>
      </c>
      <c r="AJ63" s="255">
        <v>0</v>
      </c>
      <c r="AK63" s="254">
        <v>0</v>
      </c>
    </row>
    <row r="64" spans="1:39" s="271" customFormat="1" ht="24" customHeight="1">
      <c r="A64" s="259"/>
      <c r="B64" s="260" t="s">
        <v>59</v>
      </c>
      <c r="C64" s="261">
        <v>1</v>
      </c>
      <c r="D64" s="262">
        <v>1</v>
      </c>
      <c r="E64" s="262">
        <v>1</v>
      </c>
      <c r="F64" s="262">
        <v>1</v>
      </c>
      <c r="G64" s="262">
        <v>0</v>
      </c>
      <c r="H64" s="263">
        <v>1</v>
      </c>
      <c r="I64" s="261">
        <v>1</v>
      </c>
      <c r="J64" s="261">
        <v>0</v>
      </c>
      <c r="K64" s="262">
        <v>1</v>
      </c>
      <c r="L64" s="262">
        <v>1</v>
      </c>
      <c r="M64" s="262">
        <v>1</v>
      </c>
      <c r="N64" s="263">
        <v>0</v>
      </c>
      <c r="O64" s="261">
        <v>1</v>
      </c>
      <c r="P64" s="261">
        <v>1</v>
      </c>
      <c r="Q64" s="262">
        <v>1</v>
      </c>
      <c r="R64" s="263">
        <v>0</v>
      </c>
      <c r="S64" s="261">
        <v>1</v>
      </c>
      <c r="T64" s="264"/>
      <c r="U64" s="265">
        <v>1165</v>
      </c>
      <c r="V64" s="266">
        <v>720</v>
      </c>
      <c r="W64" s="266">
        <v>1542</v>
      </c>
      <c r="X64" s="266">
        <v>810</v>
      </c>
      <c r="Y64" s="266">
        <v>0</v>
      </c>
      <c r="Z64" s="266">
        <v>115</v>
      </c>
      <c r="AA64" s="294">
        <v>4352</v>
      </c>
      <c r="AB64" s="265">
        <v>0</v>
      </c>
      <c r="AC64" s="266">
        <v>376</v>
      </c>
      <c r="AD64" s="266">
        <v>81</v>
      </c>
      <c r="AE64" s="266">
        <v>728</v>
      </c>
      <c r="AF64" s="266">
        <v>0</v>
      </c>
      <c r="AG64" s="267">
        <v>1185</v>
      </c>
      <c r="AH64" s="266">
        <v>247</v>
      </c>
      <c r="AI64" s="266">
        <v>414</v>
      </c>
      <c r="AJ64" s="266">
        <v>0</v>
      </c>
      <c r="AK64" s="265">
        <v>661</v>
      </c>
      <c r="AL64" s="270"/>
      <c r="AM64" s="270"/>
    </row>
    <row r="65" spans="1:39" ht="13.9" customHeight="1">
      <c r="A65" s="239" t="s">
        <v>9</v>
      </c>
      <c r="B65" s="239" t="s">
        <v>53</v>
      </c>
      <c r="C65" s="241">
        <v>0.33729216152019004</v>
      </c>
      <c r="D65" s="242">
        <v>0.35378323108384457</v>
      </c>
      <c r="E65" s="242">
        <v>0.24750830564784054</v>
      </c>
      <c r="F65" s="242">
        <v>0.20656525220176142</v>
      </c>
      <c r="G65" s="242">
        <v>0.21415929203539824</v>
      </c>
      <c r="H65" s="243">
        <v>0</v>
      </c>
      <c r="I65" s="241">
        <v>0.2755276668568169</v>
      </c>
      <c r="J65" s="241">
        <v>0</v>
      </c>
      <c r="K65" s="242">
        <v>0.12377850162866449</v>
      </c>
      <c r="L65" s="242">
        <v>9.0497737556561084E-2</v>
      </c>
      <c r="M65" s="242">
        <v>0.11940298507462686</v>
      </c>
      <c r="N65" s="243">
        <v>0</v>
      </c>
      <c r="O65" s="241">
        <v>0.11248285322359397</v>
      </c>
      <c r="P65" s="241">
        <v>0</v>
      </c>
      <c r="Q65" s="242">
        <v>0</v>
      </c>
      <c r="R65" s="243">
        <v>0</v>
      </c>
      <c r="S65" s="241">
        <v>0</v>
      </c>
      <c r="T65" s="253"/>
      <c r="U65" s="245">
        <v>426</v>
      </c>
      <c r="V65" s="246">
        <v>346</v>
      </c>
      <c r="W65" s="246">
        <v>298</v>
      </c>
      <c r="X65" s="246">
        <v>258</v>
      </c>
      <c r="Y65" s="246">
        <v>121</v>
      </c>
      <c r="Z65" s="246">
        <v>0</v>
      </c>
      <c r="AA65" s="292">
        <v>1449</v>
      </c>
      <c r="AB65" s="245">
        <v>0</v>
      </c>
      <c r="AC65" s="246">
        <v>38</v>
      </c>
      <c r="AD65" s="246">
        <v>20</v>
      </c>
      <c r="AE65" s="246">
        <v>24</v>
      </c>
      <c r="AF65" s="246">
        <v>0</v>
      </c>
      <c r="AG65" s="247">
        <v>82</v>
      </c>
      <c r="AH65" s="246">
        <v>0</v>
      </c>
      <c r="AI65" s="246">
        <v>0</v>
      </c>
      <c r="AJ65" s="246">
        <v>0</v>
      </c>
      <c r="AK65" s="245">
        <v>0</v>
      </c>
    </row>
    <row r="66" spans="1:39" ht="13.9" customHeight="1">
      <c r="A66" s="249"/>
      <c r="B66" s="239" t="s">
        <v>93</v>
      </c>
      <c r="C66" s="250">
        <v>0.20190023752969122</v>
      </c>
      <c r="D66" s="251">
        <v>0.24233128834355827</v>
      </c>
      <c r="E66" s="251">
        <v>0.25332225913621265</v>
      </c>
      <c r="F66" s="251">
        <v>0.18734987990392313</v>
      </c>
      <c r="G66" s="251">
        <v>0.24778761061946902</v>
      </c>
      <c r="H66" s="252">
        <v>0</v>
      </c>
      <c r="I66" s="250">
        <v>0.22266590606579198</v>
      </c>
      <c r="J66" s="250">
        <v>0</v>
      </c>
      <c r="K66" s="251">
        <v>0.36482084690553745</v>
      </c>
      <c r="L66" s="251">
        <v>0.20814479638009051</v>
      </c>
      <c r="M66" s="251">
        <v>0.17412935323383086</v>
      </c>
      <c r="N66" s="252">
        <v>0</v>
      </c>
      <c r="O66" s="250">
        <v>0.26474622770919065</v>
      </c>
      <c r="P66" s="250">
        <v>0</v>
      </c>
      <c r="Q66" s="251">
        <v>0</v>
      </c>
      <c r="R66" s="252">
        <v>0</v>
      </c>
      <c r="S66" s="250">
        <v>0</v>
      </c>
      <c r="T66" s="253"/>
      <c r="U66" s="254">
        <v>255</v>
      </c>
      <c r="V66" s="255">
        <v>237</v>
      </c>
      <c r="W66" s="255">
        <v>305</v>
      </c>
      <c r="X66" s="255">
        <v>234</v>
      </c>
      <c r="Y66" s="255">
        <v>140</v>
      </c>
      <c r="Z66" s="255">
        <v>0</v>
      </c>
      <c r="AA66" s="293">
        <v>1171</v>
      </c>
      <c r="AB66" s="254">
        <v>0</v>
      </c>
      <c r="AC66" s="255">
        <v>112</v>
      </c>
      <c r="AD66" s="255">
        <v>46</v>
      </c>
      <c r="AE66" s="255">
        <v>35</v>
      </c>
      <c r="AF66" s="255">
        <v>0</v>
      </c>
      <c r="AG66" s="256">
        <v>193</v>
      </c>
      <c r="AH66" s="255">
        <v>0</v>
      </c>
      <c r="AI66" s="255">
        <v>0</v>
      </c>
      <c r="AJ66" s="255">
        <v>0</v>
      </c>
      <c r="AK66" s="254">
        <v>0</v>
      </c>
    </row>
    <row r="67" spans="1:39" ht="13.9" customHeight="1">
      <c r="A67" s="249"/>
      <c r="B67" s="239" t="s">
        <v>55</v>
      </c>
      <c r="C67" s="250">
        <v>0.20031670625494855</v>
      </c>
      <c r="D67" s="251">
        <v>0.21472392638036811</v>
      </c>
      <c r="E67" s="251">
        <v>0.33720930232558138</v>
      </c>
      <c r="F67" s="251">
        <v>0.38110488390712571</v>
      </c>
      <c r="G67" s="251">
        <v>0.33628318584070799</v>
      </c>
      <c r="H67" s="252">
        <v>0</v>
      </c>
      <c r="I67" s="250">
        <v>0.2918805856626735</v>
      </c>
      <c r="J67" s="250">
        <v>0</v>
      </c>
      <c r="K67" s="251">
        <v>0.24755700325732899</v>
      </c>
      <c r="L67" s="251">
        <v>0.29411764705882354</v>
      </c>
      <c r="M67" s="251">
        <v>0.30845771144278605</v>
      </c>
      <c r="N67" s="252">
        <v>0</v>
      </c>
      <c r="O67" s="250">
        <v>0.2784636488340192</v>
      </c>
      <c r="P67" s="250">
        <v>0</v>
      </c>
      <c r="Q67" s="251">
        <v>0</v>
      </c>
      <c r="R67" s="252">
        <v>0</v>
      </c>
      <c r="S67" s="250">
        <v>0</v>
      </c>
      <c r="T67" s="253"/>
      <c r="U67" s="254">
        <v>253</v>
      </c>
      <c r="V67" s="255">
        <v>210</v>
      </c>
      <c r="W67" s="255">
        <v>406</v>
      </c>
      <c r="X67" s="255">
        <v>476</v>
      </c>
      <c r="Y67" s="255">
        <v>190</v>
      </c>
      <c r="Z67" s="255">
        <v>0</v>
      </c>
      <c r="AA67" s="293">
        <v>1535</v>
      </c>
      <c r="AB67" s="254">
        <v>0</v>
      </c>
      <c r="AC67" s="255">
        <v>76</v>
      </c>
      <c r="AD67" s="255">
        <v>65</v>
      </c>
      <c r="AE67" s="255">
        <v>62</v>
      </c>
      <c r="AF67" s="255">
        <v>0</v>
      </c>
      <c r="AG67" s="256">
        <v>203</v>
      </c>
      <c r="AH67" s="255">
        <v>0</v>
      </c>
      <c r="AI67" s="255">
        <v>0</v>
      </c>
      <c r="AJ67" s="255">
        <v>0</v>
      </c>
      <c r="AK67" s="254">
        <v>0</v>
      </c>
    </row>
    <row r="68" spans="1:39" ht="13.9" customHeight="1">
      <c r="A68" s="249"/>
      <c r="B68" s="239" t="s">
        <v>78</v>
      </c>
      <c r="C68" s="250">
        <v>0.26049089469517023</v>
      </c>
      <c r="D68" s="251">
        <v>0.18813905930470348</v>
      </c>
      <c r="E68" s="251">
        <v>0.16196013289036545</v>
      </c>
      <c r="F68" s="251">
        <v>0.2145716573258607</v>
      </c>
      <c r="G68" s="251">
        <v>0.18230088495575222</v>
      </c>
      <c r="H68" s="252">
        <v>0</v>
      </c>
      <c r="I68" s="250">
        <v>0.20517208594789885</v>
      </c>
      <c r="J68" s="250">
        <v>0</v>
      </c>
      <c r="K68" s="251">
        <v>0.26384364820846906</v>
      </c>
      <c r="L68" s="251">
        <v>0.40723981900452488</v>
      </c>
      <c r="M68" s="251">
        <v>0.39800995024875624</v>
      </c>
      <c r="N68" s="252">
        <v>0</v>
      </c>
      <c r="O68" s="250">
        <v>0.34430727023319618</v>
      </c>
      <c r="P68" s="250">
        <v>0</v>
      </c>
      <c r="Q68" s="251">
        <v>0</v>
      </c>
      <c r="R68" s="252">
        <v>0</v>
      </c>
      <c r="S68" s="250">
        <v>0</v>
      </c>
      <c r="T68" s="253"/>
      <c r="U68" s="254">
        <v>329</v>
      </c>
      <c r="V68" s="255">
        <v>184</v>
      </c>
      <c r="W68" s="255">
        <v>195</v>
      </c>
      <c r="X68" s="255">
        <v>268</v>
      </c>
      <c r="Y68" s="255">
        <v>103</v>
      </c>
      <c r="Z68" s="255">
        <v>0</v>
      </c>
      <c r="AA68" s="293">
        <v>1079</v>
      </c>
      <c r="AB68" s="254">
        <v>0</v>
      </c>
      <c r="AC68" s="255">
        <v>81</v>
      </c>
      <c r="AD68" s="255">
        <v>90</v>
      </c>
      <c r="AE68" s="255">
        <v>80</v>
      </c>
      <c r="AF68" s="255">
        <v>0</v>
      </c>
      <c r="AG68" s="256">
        <v>251</v>
      </c>
      <c r="AH68" s="255">
        <v>0</v>
      </c>
      <c r="AI68" s="255">
        <v>0</v>
      </c>
      <c r="AJ68" s="255">
        <v>0</v>
      </c>
      <c r="AK68" s="254">
        <v>0</v>
      </c>
    </row>
    <row r="69" spans="1:39" ht="13.9" customHeight="1">
      <c r="A69" s="249"/>
      <c r="B69" s="239" t="s">
        <v>32</v>
      </c>
      <c r="C69" s="250">
        <v>0</v>
      </c>
      <c r="D69" s="273">
        <v>1.0224948875255625E-3</v>
      </c>
      <c r="E69" s="251">
        <v>0</v>
      </c>
      <c r="F69" s="251">
        <v>1.0408326661329063E-2</v>
      </c>
      <c r="G69" s="251">
        <v>1.9469026548672566E-2</v>
      </c>
      <c r="H69" s="252">
        <v>0</v>
      </c>
      <c r="I69" s="272">
        <v>4.7537554668187869E-3</v>
      </c>
      <c r="J69" s="250">
        <v>0</v>
      </c>
      <c r="K69" s="251">
        <v>0</v>
      </c>
      <c r="L69" s="251">
        <v>0</v>
      </c>
      <c r="M69" s="251">
        <v>0</v>
      </c>
      <c r="N69" s="252">
        <v>0</v>
      </c>
      <c r="O69" s="250">
        <v>0</v>
      </c>
      <c r="P69" s="250">
        <v>0</v>
      </c>
      <c r="Q69" s="251">
        <v>0</v>
      </c>
      <c r="R69" s="252">
        <v>0</v>
      </c>
      <c r="S69" s="250">
        <v>0</v>
      </c>
      <c r="T69" s="253"/>
      <c r="U69" s="254">
        <v>0</v>
      </c>
      <c r="V69" s="255">
        <v>1</v>
      </c>
      <c r="W69" s="255">
        <v>0</v>
      </c>
      <c r="X69" s="255">
        <v>13</v>
      </c>
      <c r="Y69" s="255">
        <v>11</v>
      </c>
      <c r="Z69" s="255">
        <v>0</v>
      </c>
      <c r="AA69" s="293">
        <v>25</v>
      </c>
      <c r="AB69" s="254">
        <v>0</v>
      </c>
      <c r="AC69" s="255">
        <v>0</v>
      </c>
      <c r="AD69" s="255">
        <v>0</v>
      </c>
      <c r="AE69" s="255">
        <v>0</v>
      </c>
      <c r="AF69" s="255">
        <v>0</v>
      </c>
      <c r="AG69" s="256">
        <v>0</v>
      </c>
      <c r="AH69" s="255">
        <v>0</v>
      </c>
      <c r="AI69" s="255">
        <v>0</v>
      </c>
      <c r="AJ69" s="255">
        <v>0</v>
      </c>
      <c r="AK69" s="254">
        <v>0</v>
      </c>
    </row>
    <row r="70" spans="1:39" ht="13.9" customHeight="1">
      <c r="A70" s="249"/>
      <c r="B70" s="239" t="s">
        <v>58</v>
      </c>
      <c r="C70" s="250">
        <v>0</v>
      </c>
      <c r="D70" s="251">
        <v>0</v>
      </c>
      <c r="E70" s="251">
        <v>0</v>
      </c>
      <c r="F70" s="251">
        <v>0</v>
      </c>
      <c r="G70" s="251">
        <v>0</v>
      </c>
      <c r="H70" s="252">
        <v>0</v>
      </c>
      <c r="I70" s="250">
        <v>0</v>
      </c>
      <c r="J70" s="250">
        <v>0</v>
      </c>
      <c r="K70" s="251">
        <v>0</v>
      </c>
      <c r="L70" s="251">
        <v>0</v>
      </c>
      <c r="M70" s="251">
        <v>0</v>
      </c>
      <c r="N70" s="252">
        <v>0</v>
      </c>
      <c r="O70" s="250">
        <v>0</v>
      </c>
      <c r="P70" s="250">
        <v>0</v>
      </c>
      <c r="Q70" s="251">
        <v>0</v>
      </c>
      <c r="R70" s="252">
        <v>1</v>
      </c>
      <c r="S70" s="250">
        <v>1</v>
      </c>
      <c r="T70" s="253"/>
      <c r="U70" s="254">
        <v>0</v>
      </c>
      <c r="V70" s="255">
        <v>0</v>
      </c>
      <c r="W70" s="255">
        <v>0</v>
      </c>
      <c r="X70" s="255">
        <v>0</v>
      </c>
      <c r="Y70" s="255">
        <v>0</v>
      </c>
      <c r="Z70" s="255">
        <v>0</v>
      </c>
      <c r="AA70" s="293">
        <v>0</v>
      </c>
      <c r="AB70" s="254">
        <v>0</v>
      </c>
      <c r="AC70" s="255">
        <v>0</v>
      </c>
      <c r="AD70" s="255">
        <v>0</v>
      </c>
      <c r="AE70" s="255">
        <v>0</v>
      </c>
      <c r="AF70" s="255">
        <v>0</v>
      </c>
      <c r="AG70" s="256">
        <v>0</v>
      </c>
      <c r="AH70" s="255">
        <v>0</v>
      </c>
      <c r="AI70" s="255">
        <v>0</v>
      </c>
      <c r="AJ70" s="255">
        <v>846</v>
      </c>
      <c r="AK70" s="254">
        <v>846</v>
      </c>
    </row>
    <row r="71" spans="1:39" s="271" customFormat="1" ht="24" customHeight="1">
      <c r="A71" s="259"/>
      <c r="B71" s="260" t="s">
        <v>59</v>
      </c>
      <c r="C71" s="261">
        <v>1</v>
      </c>
      <c r="D71" s="262">
        <v>1</v>
      </c>
      <c r="E71" s="262">
        <v>1</v>
      </c>
      <c r="F71" s="262">
        <v>1</v>
      </c>
      <c r="G71" s="262">
        <v>1</v>
      </c>
      <c r="H71" s="263">
        <v>0</v>
      </c>
      <c r="I71" s="261">
        <v>1</v>
      </c>
      <c r="J71" s="261">
        <v>0</v>
      </c>
      <c r="K71" s="262">
        <v>1</v>
      </c>
      <c r="L71" s="262">
        <v>1</v>
      </c>
      <c r="M71" s="262">
        <v>1</v>
      </c>
      <c r="N71" s="263">
        <v>0</v>
      </c>
      <c r="O71" s="261">
        <v>1</v>
      </c>
      <c r="P71" s="261">
        <v>0</v>
      </c>
      <c r="Q71" s="262">
        <v>0</v>
      </c>
      <c r="R71" s="263">
        <v>1</v>
      </c>
      <c r="S71" s="261">
        <v>1</v>
      </c>
      <c r="T71" s="264"/>
      <c r="U71" s="265">
        <v>1263</v>
      </c>
      <c r="V71" s="266">
        <v>978</v>
      </c>
      <c r="W71" s="266">
        <v>1204</v>
      </c>
      <c r="X71" s="266">
        <v>1249</v>
      </c>
      <c r="Y71" s="266">
        <v>565</v>
      </c>
      <c r="Z71" s="266">
        <v>0</v>
      </c>
      <c r="AA71" s="294">
        <v>5259</v>
      </c>
      <c r="AB71" s="265">
        <v>0</v>
      </c>
      <c r="AC71" s="266">
        <v>307</v>
      </c>
      <c r="AD71" s="266">
        <v>221</v>
      </c>
      <c r="AE71" s="266">
        <v>201</v>
      </c>
      <c r="AF71" s="266">
        <v>0</v>
      </c>
      <c r="AG71" s="267">
        <v>729</v>
      </c>
      <c r="AH71" s="266">
        <v>0</v>
      </c>
      <c r="AI71" s="266">
        <v>0</v>
      </c>
      <c r="AJ71" s="266">
        <v>846</v>
      </c>
      <c r="AK71" s="265">
        <v>846</v>
      </c>
      <c r="AL71" s="270"/>
      <c r="AM71" s="270"/>
    </row>
    <row r="72" spans="1:39" ht="13.9" customHeight="1">
      <c r="A72" s="239" t="s">
        <v>10</v>
      </c>
      <c r="B72" s="239" t="s">
        <v>53</v>
      </c>
      <c r="C72" s="241">
        <v>0.36740331491712708</v>
      </c>
      <c r="D72" s="242">
        <v>0.25362318840579712</v>
      </c>
      <c r="E72" s="242">
        <v>0.30998248686514884</v>
      </c>
      <c r="F72" s="242">
        <v>0.21669341894060995</v>
      </c>
      <c r="G72" s="242">
        <v>0.20560747663551401</v>
      </c>
      <c r="H72" s="243">
        <v>0.24603174603174602</v>
      </c>
      <c r="I72" s="241">
        <v>0.29578422484134181</v>
      </c>
      <c r="J72" s="241">
        <v>0</v>
      </c>
      <c r="K72" s="242">
        <v>0.39034045922406968</v>
      </c>
      <c r="L72" s="242">
        <v>0.354978354978355</v>
      </c>
      <c r="M72" s="242">
        <v>0.32577903682719545</v>
      </c>
      <c r="N72" s="243">
        <v>0</v>
      </c>
      <c r="O72" s="241">
        <v>0.37151106833493747</v>
      </c>
      <c r="P72" s="241">
        <v>0</v>
      </c>
      <c r="Q72" s="242">
        <v>0</v>
      </c>
      <c r="R72" s="243">
        <v>0</v>
      </c>
      <c r="S72" s="241">
        <v>0</v>
      </c>
      <c r="T72" s="253"/>
      <c r="U72" s="245">
        <v>665</v>
      </c>
      <c r="V72" s="246">
        <v>140</v>
      </c>
      <c r="W72" s="246">
        <v>177</v>
      </c>
      <c r="X72" s="246">
        <v>270</v>
      </c>
      <c r="Y72" s="246">
        <v>22</v>
      </c>
      <c r="Z72" s="246">
        <v>31</v>
      </c>
      <c r="AA72" s="292">
        <v>1305</v>
      </c>
      <c r="AB72" s="245">
        <v>0</v>
      </c>
      <c r="AC72" s="246">
        <v>493</v>
      </c>
      <c r="AD72" s="246">
        <v>164</v>
      </c>
      <c r="AE72" s="246">
        <v>115</v>
      </c>
      <c r="AF72" s="246">
        <v>0</v>
      </c>
      <c r="AG72" s="247">
        <v>772</v>
      </c>
      <c r="AH72" s="246">
        <v>0</v>
      </c>
      <c r="AI72" s="246">
        <v>0</v>
      </c>
      <c r="AJ72" s="246">
        <v>0</v>
      </c>
      <c r="AK72" s="245">
        <v>0</v>
      </c>
    </row>
    <row r="73" spans="1:39" ht="13.9" customHeight="1">
      <c r="A73" s="249"/>
      <c r="B73" s="239" t="s">
        <v>93</v>
      </c>
      <c r="C73" s="250">
        <v>0.27071823204419887</v>
      </c>
      <c r="D73" s="251">
        <v>0.27173913043478259</v>
      </c>
      <c r="E73" s="251">
        <v>0.21541155866900175</v>
      </c>
      <c r="F73" s="251">
        <v>0.2319422150882825</v>
      </c>
      <c r="G73" s="251">
        <v>0.20560747663551401</v>
      </c>
      <c r="H73" s="252">
        <v>0.2857142857142857</v>
      </c>
      <c r="I73" s="250">
        <v>0.2515865820489574</v>
      </c>
      <c r="J73" s="250">
        <v>0</v>
      </c>
      <c r="K73" s="251">
        <v>0.28741092636579574</v>
      </c>
      <c r="L73" s="251">
        <v>0.26406926406926406</v>
      </c>
      <c r="M73" s="251">
        <v>0.29461756373937675</v>
      </c>
      <c r="N73" s="252">
        <v>0</v>
      </c>
      <c r="O73" s="250">
        <v>0.28344562078922042</v>
      </c>
      <c r="P73" s="250">
        <v>0</v>
      </c>
      <c r="Q73" s="251">
        <v>0</v>
      </c>
      <c r="R73" s="252">
        <v>0</v>
      </c>
      <c r="S73" s="250">
        <v>0</v>
      </c>
      <c r="T73" s="253"/>
      <c r="U73" s="254">
        <v>490</v>
      </c>
      <c r="V73" s="255">
        <v>150</v>
      </c>
      <c r="W73" s="255">
        <v>123</v>
      </c>
      <c r="X73" s="255">
        <v>289</v>
      </c>
      <c r="Y73" s="255">
        <v>22</v>
      </c>
      <c r="Z73" s="255">
        <v>36</v>
      </c>
      <c r="AA73" s="293">
        <v>1110</v>
      </c>
      <c r="AB73" s="254">
        <v>0</v>
      </c>
      <c r="AC73" s="255">
        <v>363</v>
      </c>
      <c r="AD73" s="255">
        <v>122</v>
      </c>
      <c r="AE73" s="255">
        <v>104</v>
      </c>
      <c r="AF73" s="255">
        <v>0</v>
      </c>
      <c r="AG73" s="256">
        <v>589</v>
      </c>
      <c r="AH73" s="255">
        <v>0</v>
      </c>
      <c r="AI73" s="255">
        <v>0</v>
      </c>
      <c r="AJ73" s="255">
        <v>0</v>
      </c>
      <c r="AK73" s="254">
        <v>0</v>
      </c>
    </row>
    <row r="74" spans="1:39" ht="13.9" customHeight="1">
      <c r="A74" s="249"/>
      <c r="B74" s="239" t="s">
        <v>55</v>
      </c>
      <c r="C74" s="250">
        <v>0.22265193370165745</v>
      </c>
      <c r="D74" s="251">
        <v>0.32608695652173914</v>
      </c>
      <c r="E74" s="251">
        <v>0.30297723292469353</v>
      </c>
      <c r="F74" s="251">
        <v>0.3402889245585875</v>
      </c>
      <c r="G74" s="251">
        <v>0.44859813084112149</v>
      </c>
      <c r="H74" s="252">
        <v>0.38095238095238093</v>
      </c>
      <c r="I74" s="250">
        <v>0.28921124206708976</v>
      </c>
      <c r="J74" s="250">
        <v>0</v>
      </c>
      <c r="K74" s="251">
        <v>0.24623911322248615</v>
      </c>
      <c r="L74" s="251">
        <v>0.31385281385281383</v>
      </c>
      <c r="M74" s="251">
        <v>0.25495750708215298</v>
      </c>
      <c r="N74" s="252">
        <v>0</v>
      </c>
      <c r="O74" s="250">
        <v>0.26275264677574589</v>
      </c>
      <c r="P74" s="250">
        <v>0</v>
      </c>
      <c r="Q74" s="251">
        <v>0</v>
      </c>
      <c r="R74" s="252">
        <v>0</v>
      </c>
      <c r="S74" s="250">
        <v>0</v>
      </c>
      <c r="T74" s="253"/>
      <c r="U74" s="254">
        <v>403</v>
      </c>
      <c r="V74" s="255">
        <v>180</v>
      </c>
      <c r="W74" s="255">
        <v>173</v>
      </c>
      <c r="X74" s="255">
        <v>424</v>
      </c>
      <c r="Y74" s="255">
        <v>48</v>
      </c>
      <c r="Z74" s="255">
        <v>48</v>
      </c>
      <c r="AA74" s="293">
        <v>1276</v>
      </c>
      <c r="AB74" s="254">
        <v>0</v>
      </c>
      <c r="AC74" s="255">
        <v>311</v>
      </c>
      <c r="AD74" s="255">
        <v>145</v>
      </c>
      <c r="AE74" s="255">
        <v>90</v>
      </c>
      <c r="AF74" s="255">
        <v>0</v>
      </c>
      <c r="AG74" s="256">
        <v>546</v>
      </c>
      <c r="AH74" s="255">
        <v>0</v>
      </c>
      <c r="AI74" s="255">
        <v>0</v>
      </c>
      <c r="AJ74" s="255">
        <v>0</v>
      </c>
      <c r="AK74" s="254">
        <v>0</v>
      </c>
    </row>
    <row r="75" spans="1:39" ht="13.9" customHeight="1">
      <c r="A75" s="249"/>
      <c r="B75" s="239" t="s">
        <v>78</v>
      </c>
      <c r="C75" s="250">
        <v>3.1491712707182318E-2</v>
      </c>
      <c r="D75" s="251">
        <v>4.1666666666666664E-2</v>
      </c>
      <c r="E75" s="251">
        <v>4.0280210157618214E-2</v>
      </c>
      <c r="F75" s="251">
        <v>4.8154093097913325E-2</v>
      </c>
      <c r="G75" s="251">
        <v>5.6074766355140186E-2</v>
      </c>
      <c r="H75" s="252">
        <v>8.7301587301587297E-2</v>
      </c>
      <c r="I75" s="250">
        <v>4.0797824116047147E-2</v>
      </c>
      <c r="J75" s="250">
        <v>0</v>
      </c>
      <c r="K75" s="251">
        <v>7.6009501187648459E-2</v>
      </c>
      <c r="L75" s="251">
        <v>5.844155844155844E-2</v>
      </c>
      <c r="M75" s="251">
        <v>0.11898016997167139</v>
      </c>
      <c r="N75" s="252">
        <v>0</v>
      </c>
      <c r="O75" s="250">
        <v>7.9403272377285852E-2</v>
      </c>
      <c r="P75" s="250">
        <v>0</v>
      </c>
      <c r="Q75" s="251">
        <v>0</v>
      </c>
      <c r="R75" s="252">
        <v>0</v>
      </c>
      <c r="S75" s="250">
        <v>0</v>
      </c>
      <c r="T75" s="253"/>
      <c r="U75" s="254">
        <v>57</v>
      </c>
      <c r="V75" s="255">
        <v>23</v>
      </c>
      <c r="W75" s="255">
        <v>23</v>
      </c>
      <c r="X75" s="255">
        <v>60</v>
      </c>
      <c r="Y75" s="255">
        <v>6</v>
      </c>
      <c r="Z75" s="255">
        <v>11</v>
      </c>
      <c r="AA75" s="293">
        <v>180</v>
      </c>
      <c r="AB75" s="254">
        <v>0</v>
      </c>
      <c r="AC75" s="255">
        <v>96</v>
      </c>
      <c r="AD75" s="255">
        <v>27</v>
      </c>
      <c r="AE75" s="255">
        <v>42</v>
      </c>
      <c r="AF75" s="255">
        <v>0</v>
      </c>
      <c r="AG75" s="256">
        <v>165</v>
      </c>
      <c r="AH75" s="255">
        <v>0</v>
      </c>
      <c r="AI75" s="255">
        <v>0</v>
      </c>
      <c r="AJ75" s="255">
        <v>0</v>
      </c>
      <c r="AK75" s="254">
        <v>0</v>
      </c>
    </row>
    <row r="76" spans="1:39" ht="13.9" customHeight="1">
      <c r="A76" s="249"/>
      <c r="B76" s="239" t="s">
        <v>32</v>
      </c>
      <c r="C76" s="250">
        <v>0.10773480662983426</v>
      </c>
      <c r="D76" s="251">
        <v>0.1068840579710145</v>
      </c>
      <c r="E76" s="251">
        <v>0.13134851138353765</v>
      </c>
      <c r="F76" s="251">
        <v>0.16292134831460675</v>
      </c>
      <c r="G76" s="251">
        <v>8.4112149532710276E-2</v>
      </c>
      <c r="H76" s="252">
        <v>0</v>
      </c>
      <c r="I76" s="250">
        <v>0.12262012692656392</v>
      </c>
      <c r="J76" s="250">
        <v>0</v>
      </c>
      <c r="K76" s="251">
        <v>0</v>
      </c>
      <c r="L76" s="251">
        <v>8.658008658008658E-3</v>
      </c>
      <c r="M76" s="251">
        <v>5.6657223796033997E-3</v>
      </c>
      <c r="N76" s="252">
        <v>0</v>
      </c>
      <c r="O76" s="272">
        <v>2.8873917228103944E-3</v>
      </c>
      <c r="P76" s="250">
        <v>0</v>
      </c>
      <c r="Q76" s="251">
        <v>0</v>
      </c>
      <c r="R76" s="252">
        <v>0</v>
      </c>
      <c r="S76" s="250">
        <v>0</v>
      </c>
      <c r="T76" s="253"/>
      <c r="U76" s="254">
        <v>195</v>
      </c>
      <c r="V76" s="255">
        <v>59</v>
      </c>
      <c r="W76" s="255">
        <v>75</v>
      </c>
      <c r="X76" s="255">
        <v>203</v>
      </c>
      <c r="Y76" s="255">
        <v>9</v>
      </c>
      <c r="Z76" s="255">
        <v>0</v>
      </c>
      <c r="AA76" s="293">
        <v>541</v>
      </c>
      <c r="AB76" s="254">
        <v>0</v>
      </c>
      <c r="AC76" s="255">
        <v>0</v>
      </c>
      <c r="AD76" s="255">
        <v>4</v>
      </c>
      <c r="AE76" s="255">
        <v>2</v>
      </c>
      <c r="AF76" s="255">
        <v>0</v>
      </c>
      <c r="AG76" s="256">
        <v>6</v>
      </c>
      <c r="AH76" s="255">
        <v>0</v>
      </c>
      <c r="AI76" s="255">
        <v>0</v>
      </c>
      <c r="AJ76" s="255">
        <v>0</v>
      </c>
      <c r="AK76" s="254">
        <v>0</v>
      </c>
    </row>
    <row r="77" spans="1:39" ht="13.9" customHeight="1">
      <c r="A77" s="249"/>
      <c r="B77" s="239" t="s">
        <v>58</v>
      </c>
      <c r="C77" s="250">
        <v>0</v>
      </c>
      <c r="D77" s="251">
        <v>0</v>
      </c>
      <c r="E77" s="251">
        <v>0</v>
      </c>
      <c r="F77" s="251">
        <v>0</v>
      </c>
      <c r="G77" s="251">
        <v>0</v>
      </c>
      <c r="H77" s="252">
        <v>0</v>
      </c>
      <c r="I77" s="250">
        <v>0</v>
      </c>
      <c r="J77" s="250">
        <v>0</v>
      </c>
      <c r="K77" s="251">
        <v>0</v>
      </c>
      <c r="L77" s="251">
        <v>0</v>
      </c>
      <c r="M77" s="251">
        <v>0</v>
      </c>
      <c r="N77" s="252">
        <v>0</v>
      </c>
      <c r="O77" s="250">
        <v>0</v>
      </c>
      <c r="P77" s="250">
        <v>0</v>
      </c>
      <c r="Q77" s="251">
        <v>0</v>
      </c>
      <c r="R77" s="252">
        <v>0</v>
      </c>
      <c r="S77" s="250">
        <v>0</v>
      </c>
      <c r="T77" s="253"/>
      <c r="U77" s="254">
        <v>0</v>
      </c>
      <c r="V77" s="255">
        <v>0</v>
      </c>
      <c r="W77" s="255">
        <v>0</v>
      </c>
      <c r="X77" s="255">
        <v>0</v>
      </c>
      <c r="Y77" s="255">
        <v>0</v>
      </c>
      <c r="Z77" s="255">
        <v>0</v>
      </c>
      <c r="AA77" s="293">
        <v>0</v>
      </c>
      <c r="AB77" s="254">
        <v>0</v>
      </c>
      <c r="AC77" s="255">
        <v>0</v>
      </c>
      <c r="AD77" s="255">
        <v>0</v>
      </c>
      <c r="AE77" s="255">
        <v>0</v>
      </c>
      <c r="AF77" s="255">
        <v>0</v>
      </c>
      <c r="AG77" s="256">
        <v>0</v>
      </c>
      <c r="AH77" s="255">
        <v>0</v>
      </c>
      <c r="AI77" s="255">
        <v>0</v>
      </c>
      <c r="AJ77" s="255">
        <v>0</v>
      </c>
      <c r="AK77" s="254">
        <v>0</v>
      </c>
    </row>
    <row r="78" spans="1:39" s="271" customFormat="1" ht="24" customHeight="1">
      <c r="A78" s="259"/>
      <c r="B78" s="260" t="s">
        <v>59</v>
      </c>
      <c r="C78" s="261">
        <v>1</v>
      </c>
      <c r="D78" s="262">
        <v>1</v>
      </c>
      <c r="E78" s="262">
        <v>1</v>
      </c>
      <c r="F78" s="262">
        <v>1</v>
      </c>
      <c r="G78" s="262">
        <v>1</v>
      </c>
      <c r="H78" s="263">
        <v>1</v>
      </c>
      <c r="I78" s="261">
        <v>1</v>
      </c>
      <c r="J78" s="261">
        <v>0</v>
      </c>
      <c r="K78" s="262">
        <v>1</v>
      </c>
      <c r="L78" s="262">
        <v>1</v>
      </c>
      <c r="M78" s="262">
        <v>1</v>
      </c>
      <c r="N78" s="263">
        <v>0</v>
      </c>
      <c r="O78" s="261">
        <v>1</v>
      </c>
      <c r="P78" s="261">
        <v>0</v>
      </c>
      <c r="Q78" s="262">
        <v>0</v>
      </c>
      <c r="R78" s="263">
        <v>0</v>
      </c>
      <c r="S78" s="261">
        <v>0</v>
      </c>
      <c r="T78" s="264"/>
      <c r="U78" s="265">
        <v>1810</v>
      </c>
      <c r="V78" s="266">
        <v>552</v>
      </c>
      <c r="W78" s="266">
        <v>571</v>
      </c>
      <c r="X78" s="266">
        <v>1246</v>
      </c>
      <c r="Y78" s="266">
        <v>107</v>
      </c>
      <c r="Z78" s="266">
        <v>126</v>
      </c>
      <c r="AA78" s="294">
        <v>4412</v>
      </c>
      <c r="AB78" s="265">
        <v>0</v>
      </c>
      <c r="AC78" s="266">
        <v>1263</v>
      </c>
      <c r="AD78" s="266">
        <v>462</v>
      </c>
      <c r="AE78" s="266">
        <v>353</v>
      </c>
      <c r="AF78" s="266">
        <v>0</v>
      </c>
      <c r="AG78" s="267">
        <v>2078</v>
      </c>
      <c r="AH78" s="266">
        <v>0</v>
      </c>
      <c r="AI78" s="266">
        <v>0</v>
      </c>
      <c r="AJ78" s="266">
        <v>0</v>
      </c>
      <c r="AK78" s="265">
        <v>0</v>
      </c>
      <c r="AL78" s="270"/>
      <c r="AM78" s="270"/>
    </row>
    <row r="79" spans="1:39" ht="13.9" customHeight="1">
      <c r="A79" s="239" t="s">
        <v>11</v>
      </c>
      <c r="B79" s="239" t="s">
        <v>53</v>
      </c>
      <c r="C79" s="241">
        <v>0.3443181818181818</v>
      </c>
      <c r="D79" s="242">
        <v>0.31514084507042256</v>
      </c>
      <c r="E79" s="242">
        <v>0.1749271137026239</v>
      </c>
      <c r="F79" s="242">
        <v>0.27966101694915252</v>
      </c>
      <c r="G79" s="242">
        <v>0.20158102766798419</v>
      </c>
      <c r="H79" s="243">
        <v>0</v>
      </c>
      <c r="I79" s="241">
        <v>0.29366149696561022</v>
      </c>
      <c r="J79" s="241">
        <v>0</v>
      </c>
      <c r="K79" s="242">
        <v>0</v>
      </c>
      <c r="L79" s="242">
        <v>0</v>
      </c>
      <c r="M79" s="242">
        <v>0</v>
      </c>
      <c r="N79" s="243">
        <v>0</v>
      </c>
      <c r="O79" s="241">
        <v>0</v>
      </c>
      <c r="P79" s="241">
        <v>0</v>
      </c>
      <c r="Q79" s="242">
        <v>0</v>
      </c>
      <c r="R79" s="243">
        <v>0</v>
      </c>
      <c r="S79" s="241">
        <v>0</v>
      </c>
      <c r="T79" s="253"/>
      <c r="U79" s="245">
        <v>303</v>
      </c>
      <c r="V79" s="246">
        <v>358</v>
      </c>
      <c r="W79" s="246">
        <v>60</v>
      </c>
      <c r="X79" s="246">
        <v>99</v>
      </c>
      <c r="Y79" s="246">
        <v>51</v>
      </c>
      <c r="Z79" s="246">
        <v>0</v>
      </c>
      <c r="AA79" s="292">
        <v>871</v>
      </c>
      <c r="AB79" s="245">
        <v>0</v>
      </c>
      <c r="AC79" s="246">
        <v>0</v>
      </c>
      <c r="AD79" s="246">
        <v>0</v>
      </c>
      <c r="AE79" s="246">
        <v>0</v>
      </c>
      <c r="AF79" s="246">
        <v>0</v>
      </c>
      <c r="AG79" s="247">
        <v>0</v>
      </c>
      <c r="AH79" s="246">
        <v>0</v>
      </c>
      <c r="AI79" s="246">
        <v>0</v>
      </c>
      <c r="AJ79" s="246">
        <v>0</v>
      </c>
      <c r="AK79" s="245">
        <v>0</v>
      </c>
    </row>
    <row r="80" spans="1:39" ht="13.9" customHeight="1">
      <c r="A80" s="249"/>
      <c r="B80" s="239" t="s">
        <v>93</v>
      </c>
      <c r="C80" s="250">
        <v>0.25568181818181818</v>
      </c>
      <c r="D80" s="251">
        <v>0.2755281690140845</v>
      </c>
      <c r="E80" s="251">
        <v>0.22157434402332363</v>
      </c>
      <c r="F80" s="251">
        <v>0.1751412429378531</v>
      </c>
      <c r="G80" s="251">
        <v>0.19367588932806323</v>
      </c>
      <c r="H80" s="252">
        <v>0</v>
      </c>
      <c r="I80" s="250">
        <v>0.24443695212407282</v>
      </c>
      <c r="J80" s="250">
        <v>0</v>
      </c>
      <c r="K80" s="251">
        <v>0</v>
      </c>
      <c r="L80" s="251">
        <v>0</v>
      </c>
      <c r="M80" s="251">
        <v>0</v>
      </c>
      <c r="N80" s="252">
        <v>0</v>
      </c>
      <c r="O80" s="250">
        <v>0</v>
      </c>
      <c r="P80" s="250">
        <v>0</v>
      </c>
      <c r="Q80" s="251">
        <v>0</v>
      </c>
      <c r="R80" s="252">
        <v>0</v>
      </c>
      <c r="S80" s="250">
        <v>0</v>
      </c>
      <c r="T80" s="253"/>
      <c r="U80" s="254">
        <v>225</v>
      </c>
      <c r="V80" s="255">
        <v>313</v>
      </c>
      <c r="W80" s="255">
        <v>76</v>
      </c>
      <c r="X80" s="255">
        <v>62</v>
      </c>
      <c r="Y80" s="255">
        <v>49</v>
      </c>
      <c r="Z80" s="255">
        <v>0</v>
      </c>
      <c r="AA80" s="293">
        <v>725</v>
      </c>
      <c r="AB80" s="254">
        <v>0</v>
      </c>
      <c r="AC80" s="255">
        <v>0</v>
      </c>
      <c r="AD80" s="255">
        <v>0</v>
      </c>
      <c r="AE80" s="255">
        <v>0</v>
      </c>
      <c r="AF80" s="255">
        <v>0</v>
      </c>
      <c r="AG80" s="256">
        <v>0</v>
      </c>
      <c r="AH80" s="255">
        <v>0</v>
      </c>
      <c r="AI80" s="255">
        <v>0</v>
      </c>
      <c r="AJ80" s="255">
        <v>0</v>
      </c>
      <c r="AK80" s="254">
        <v>0</v>
      </c>
    </row>
    <row r="81" spans="1:39" ht="13.9" customHeight="1">
      <c r="A81" s="249"/>
      <c r="B81" s="239" t="s">
        <v>55</v>
      </c>
      <c r="C81" s="250">
        <v>0.25795454545454544</v>
      </c>
      <c r="D81" s="251">
        <v>0.28873239436619719</v>
      </c>
      <c r="E81" s="251">
        <v>0.39650145772594753</v>
      </c>
      <c r="F81" s="251">
        <v>0.3248587570621469</v>
      </c>
      <c r="G81" s="251">
        <v>0.39130434782608697</v>
      </c>
      <c r="H81" s="252">
        <v>0</v>
      </c>
      <c r="I81" s="250">
        <v>0.30512474713418747</v>
      </c>
      <c r="J81" s="250">
        <v>0</v>
      </c>
      <c r="K81" s="251">
        <v>0</v>
      </c>
      <c r="L81" s="251">
        <v>0</v>
      </c>
      <c r="M81" s="251">
        <v>0</v>
      </c>
      <c r="N81" s="252">
        <v>0</v>
      </c>
      <c r="O81" s="250">
        <v>0</v>
      </c>
      <c r="P81" s="250">
        <v>0</v>
      </c>
      <c r="Q81" s="251">
        <v>0</v>
      </c>
      <c r="R81" s="252">
        <v>0</v>
      </c>
      <c r="S81" s="250">
        <v>0</v>
      </c>
      <c r="T81" s="253"/>
      <c r="U81" s="254">
        <v>227</v>
      </c>
      <c r="V81" s="255">
        <v>328</v>
      </c>
      <c r="W81" s="255">
        <v>136</v>
      </c>
      <c r="X81" s="255">
        <v>115</v>
      </c>
      <c r="Y81" s="255">
        <v>99</v>
      </c>
      <c r="Z81" s="255">
        <v>0</v>
      </c>
      <c r="AA81" s="293">
        <v>905</v>
      </c>
      <c r="AB81" s="254">
        <v>0</v>
      </c>
      <c r="AC81" s="255">
        <v>0</v>
      </c>
      <c r="AD81" s="255">
        <v>0</v>
      </c>
      <c r="AE81" s="255">
        <v>0</v>
      </c>
      <c r="AF81" s="255">
        <v>0</v>
      </c>
      <c r="AG81" s="256">
        <v>0</v>
      </c>
      <c r="AH81" s="255">
        <v>0</v>
      </c>
      <c r="AI81" s="255">
        <v>0</v>
      </c>
      <c r="AJ81" s="255">
        <v>0</v>
      </c>
      <c r="AK81" s="254">
        <v>0</v>
      </c>
    </row>
    <row r="82" spans="1:39" ht="13.9" customHeight="1">
      <c r="A82" s="249"/>
      <c r="B82" s="239" t="s">
        <v>78</v>
      </c>
      <c r="C82" s="250">
        <v>7.4999999999999997E-2</v>
      </c>
      <c r="D82" s="251">
        <v>0.12059859154929578</v>
      </c>
      <c r="E82" s="251">
        <v>0.18367346938775511</v>
      </c>
      <c r="F82" s="251">
        <v>0.22033898305084745</v>
      </c>
      <c r="G82" s="251">
        <v>0.2134387351778656</v>
      </c>
      <c r="H82" s="252">
        <v>0</v>
      </c>
      <c r="I82" s="250">
        <v>0.13418745785569791</v>
      </c>
      <c r="J82" s="250">
        <v>0</v>
      </c>
      <c r="K82" s="251">
        <v>0</v>
      </c>
      <c r="L82" s="251">
        <v>0</v>
      </c>
      <c r="M82" s="251">
        <v>0</v>
      </c>
      <c r="N82" s="252">
        <v>0</v>
      </c>
      <c r="O82" s="250">
        <v>0</v>
      </c>
      <c r="P82" s="250">
        <v>0</v>
      </c>
      <c r="Q82" s="251">
        <v>0</v>
      </c>
      <c r="R82" s="252">
        <v>0</v>
      </c>
      <c r="S82" s="250">
        <v>0</v>
      </c>
      <c r="T82" s="253"/>
      <c r="U82" s="254">
        <v>66</v>
      </c>
      <c r="V82" s="255">
        <v>137</v>
      </c>
      <c r="W82" s="255">
        <v>63</v>
      </c>
      <c r="X82" s="255">
        <v>78</v>
      </c>
      <c r="Y82" s="255">
        <v>54</v>
      </c>
      <c r="Z82" s="255">
        <v>0</v>
      </c>
      <c r="AA82" s="293">
        <v>398</v>
      </c>
      <c r="AB82" s="254">
        <v>0</v>
      </c>
      <c r="AC82" s="255">
        <v>0</v>
      </c>
      <c r="AD82" s="255">
        <v>0</v>
      </c>
      <c r="AE82" s="255">
        <v>0</v>
      </c>
      <c r="AF82" s="255">
        <v>0</v>
      </c>
      <c r="AG82" s="256">
        <v>0</v>
      </c>
      <c r="AH82" s="255">
        <v>0</v>
      </c>
      <c r="AI82" s="255">
        <v>0</v>
      </c>
      <c r="AJ82" s="255">
        <v>0</v>
      </c>
      <c r="AK82" s="254">
        <v>0</v>
      </c>
    </row>
    <row r="83" spans="1:39" ht="13.9" customHeight="1">
      <c r="A83" s="249"/>
      <c r="B83" s="239" t="s">
        <v>32</v>
      </c>
      <c r="C83" s="250">
        <v>6.7045454545454547E-2</v>
      </c>
      <c r="D83" s="251">
        <v>0</v>
      </c>
      <c r="E83" s="251">
        <v>2.3323615160349854E-2</v>
      </c>
      <c r="F83" s="251">
        <v>0</v>
      </c>
      <c r="G83" s="251">
        <v>0</v>
      </c>
      <c r="H83" s="252">
        <v>0</v>
      </c>
      <c r="I83" s="250">
        <v>2.2589345920431558E-2</v>
      </c>
      <c r="J83" s="250">
        <v>0</v>
      </c>
      <c r="K83" s="251">
        <v>0</v>
      </c>
      <c r="L83" s="251">
        <v>0</v>
      </c>
      <c r="M83" s="251">
        <v>0</v>
      </c>
      <c r="N83" s="252">
        <v>0</v>
      </c>
      <c r="O83" s="250">
        <v>0</v>
      </c>
      <c r="P83" s="250">
        <v>0</v>
      </c>
      <c r="Q83" s="251">
        <v>0</v>
      </c>
      <c r="R83" s="252">
        <v>0</v>
      </c>
      <c r="S83" s="250">
        <v>0</v>
      </c>
      <c r="T83" s="253"/>
      <c r="U83" s="254">
        <v>59</v>
      </c>
      <c r="V83" s="255">
        <v>0</v>
      </c>
      <c r="W83" s="255">
        <v>8</v>
      </c>
      <c r="X83" s="255">
        <v>0</v>
      </c>
      <c r="Y83" s="255">
        <v>0</v>
      </c>
      <c r="Z83" s="255">
        <v>0</v>
      </c>
      <c r="AA83" s="293">
        <v>67</v>
      </c>
      <c r="AB83" s="254">
        <v>0</v>
      </c>
      <c r="AC83" s="255">
        <v>0</v>
      </c>
      <c r="AD83" s="255">
        <v>0</v>
      </c>
      <c r="AE83" s="255">
        <v>0</v>
      </c>
      <c r="AF83" s="255">
        <v>0</v>
      </c>
      <c r="AG83" s="256">
        <v>0</v>
      </c>
      <c r="AH83" s="255">
        <v>0</v>
      </c>
      <c r="AI83" s="255">
        <v>0</v>
      </c>
      <c r="AJ83" s="255">
        <v>0</v>
      </c>
      <c r="AK83" s="254">
        <v>0</v>
      </c>
    </row>
    <row r="84" spans="1:39" ht="13.9" customHeight="1">
      <c r="A84" s="249"/>
      <c r="B84" s="239" t="s">
        <v>58</v>
      </c>
      <c r="C84" s="250">
        <v>0</v>
      </c>
      <c r="D84" s="251">
        <v>0</v>
      </c>
      <c r="E84" s="251">
        <v>0</v>
      </c>
      <c r="F84" s="251">
        <v>0</v>
      </c>
      <c r="G84" s="251">
        <v>0</v>
      </c>
      <c r="H84" s="252">
        <v>0</v>
      </c>
      <c r="I84" s="250">
        <v>0</v>
      </c>
      <c r="J84" s="250">
        <v>0</v>
      </c>
      <c r="K84" s="251">
        <v>1</v>
      </c>
      <c r="L84" s="251">
        <v>1</v>
      </c>
      <c r="M84" s="251">
        <v>1</v>
      </c>
      <c r="N84" s="252">
        <v>0</v>
      </c>
      <c r="O84" s="250">
        <v>1</v>
      </c>
      <c r="P84" s="250">
        <v>0</v>
      </c>
      <c r="Q84" s="251">
        <v>0</v>
      </c>
      <c r="R84" s="252">
        <v>0</v>
      </c>
      <c r="S84" s="250">
        <v>0</v>
      </c>
      <c r="T84" s="253"/>
      <c r="U84" s="254">
        <v>0</v>
      </c>
      <c r="V84" s="255">
        <v>0</v>
      </c>
      <c r="W84" s="255">
        <v>0</v>
      </c>
      <c r="X84" s="255">
        <v>0</v>
      </c>
      <c r="Y84" s="255">
        <v>0</v>
      </c>
      <c r="Z84" s="255">
        <v>0</v>
      </c>
      <c r="AA84" s="293">
        <v>0</v>
      </c>
      <c r="AB84" s="254">
        <v>0</v>
      </c>
      <c r="AC84" s="255">
        <v>759.8</v>
      </c>
      <c r="AD84" s="255">
        <v>1303.9000000000001</v>
      </c>
      <c r="AE84" s="255">
        <v>193</v>
      </c>
      <c r="AF84" s="255">
        <v>0</v>
      </c>
      <c r="AG84" s="256">
        <v>2256.6999999999998</v>
      </c>
      <c r="AH84" s="255">
        <v>0</v>
      </c>
      <c r="AI84" s="255">
        <v>0</v>
      </c>
      <c r="AJ84" s="255">
        <v>0</v>
      </c>
      <c r="AK84" s="254">
        <v>0</v>
      </c>
    </row>
    <row r="85" spans="1:39" s="271" customFormat="1" ht="24" customHeight="1">
      <c r="A85" s="259"/>
      <c r="B85" s="260" t="s">
        <v>59</v>
      </c>
      <c r="C85" s="261">
        <v>1</v>
      </c>
      <c r="D85" s="262">
        <v>1</v>
      </c>
      <c r="E85" s="262">
        <v>1</v>
      </c>
      <c r="F85" s="262">
        <v>1</v>
      </c>
      <c r="G85" s="262">
        <v>1</v>
      </c>
      <c r="H85" s="263">
        <v>0</v>
      </c>
      <c r="I85" s="261">
        <v>1</v>
      </c>
      <c r="J85" s="261">
        <v>0</v>
      </c>
      <c r="K85" s="262">
        <v>1</v>
      </c>
      <c r="L85" s="262">
        <v>1</v>
      </c>
      <c r="M85" s="262">
        <v>1</v>
      </c>
      <c r="N85" s="263">
        <v>0</v>
      </c>
      <c r="O85" s="261">
        <v>1</v>
      </c>
      <c r="P85" s="261">
        <v>0</v>
      </c>
      <c r="Q85" s="262">
        <v>0</v>
      </c>
      <c r="R85" s="263">
        <v>0</v>
      </c>
      <c r="S85" s="261">
        <v>0</v>
      </c>
      <c r="T85" s="264"/>
      <c r="U85" s="265">
        <v>880</v>
      </c>
      <c r="V85" s="266">
        <v>1136</v>
      </c>
      <c r="W85" s="266">
        <v>343</v>
      </c>
      <c r="X85" s="266">
        <v>354</v>
      </c>
      <c r="Y85" s="266">
        <v>253</v>
      </c>
      <c r="Z85" s="266">
        <v>0</v>
      </c>
      <c r="AA85" s="294">
        <v>2966</v>
      </c>
      <c r="AB85" s="265">
        <v>0</v>
      </c>
      <c r="AC85" s="266">
        <v>759.8</v>
      </c>
      <c r="AD85" s="266">
        <v>1303.9000000000001</v>
      </c>
      <c r="AE85" s="266">
        <v>193</v>
      </c>
      <c r="AF85" s="266">
        <v>0</v>
      </c>
      <c r="AG85" s="267">
        <v>2256.6999999999998</v>
      </c>
      <c r="AH85" s="266">
        <v>0</v>
      </c>
      <c r="AI85" s="266">
        <v>0</v>
      </c>
      <c r="AJ85" s="266">
        <v>0</v>
      </c>
      <c r="AK85" s="265">
        <v>0</v>
      </c>
      <c r="AL85" s="270"/>
      <c r="AM85" s="270"/>
    </row>
    <row r="86" spans="1:39" ht="13.9" customHeight="1">
      <c r="A86" s="239" t="s">
        <v>12</v>
      </c>
      <c r="B86" s="239" t="s">
        <v>53</v>
      </c>
      <c r="C86" s="241">
        <v>0.40097205346294046</v>
      </c>
      <c r="D86" s="242">
        <v>0.23956723338485317</v>
      </c>
      <c r="E86" s="242">
        <v>0.25809716599190285</v>
      </c>
      <c r="F86" s="242">
        <v>0.26582278481012656</v>
      </c>
      <c r="G86" s="242">
        <v>0.26347305389221559</v>
      </c>
      <c r="H86" s="243">
        <v>0.29777777777777775</v>
      </c>
      <c r="I86" s="241">
        <v>0.30781825624232501</v>
      </c>
      <c r="J86" s="241">
        <v>0</v>
      </c>
      <c r="K86" s="242">
        <v>0</v>
      </c>
      <c r="L86" s="242">
        <v>0</v>
      </c>
      <c r="M86" s="242">
        <v>0</v>
      </c>
      <c r="N86" s="243">
        <v>0</v>
      </c>
      <c r="O86" s="241">
        <v>0</v>
      </c>
      <c r="P86" s="241">
        <v>0</v>
      </c>
      <c r="Q86" s="242">
        <v>0</v>
      </c>
      <c r="R86" s="243">
        <v>0</v>
      </c>
      <c r="S86" s="241">
        <v>0</v>
      </c>
      <c r="T86" s="253"/>
      <c r="U86" s="245">
        <v>990</v>
      </c>
      <c r="V86" s="246">
        <v>155</v>
      </c>
      <c r="W86" s="246">
        <v>765</v>
      </c>
      <c r="X86" s="246">
        <v>168</v>
      </c>
      <c r="Y86" s="246">
        <v>44</v>
      </c>
      <c r="Z86" s="246">
        <v>134</v>
      </c>
      <c r="AA86" s="292">
        <v>2256</v>
      </c>
      <c r="AB86" s="245">
        <v>0</v>
      </c>
      <c r="AC86" s="246">
        <v>0</v>
      </c>
      <c r="AD86" s="246">
        <v>0</v>
      </c>
      <c r="AE86" s="246">
        <v>0</v>
      </c>
      <c r="AF86" s="246">
        <v>0</v>
      </c>
      <c r="AG86" s="247">
        <v>0</v>
      </c>
      <c r="AH86" s="246">
        <v>0</v>
      </c>
      <c r="AI86" s="246">
        <v>0</v>
      </c>
      <c r="AJ86" s="246">
        <v>0</v>
      </c>
      <c r="AK86" s="245">
        <v>0</v>
      </c>
    </row>
    <row r="87" spans="1:39" ht="13.9" customHeight="1">
      <c r="A87" s="249"/>
      <c r="B87" s="239" t="s">
        <v>93</v>
      </c>
      <c r="C87" s="250">
        <v>0.24220332118266505</v>
      </c>
      <c r="D87" s="251">
        <v>0.25811437403400311</v>
      </c>
      <c r="E87" s="251">
        <v>0.30533063427800272</v>
      </c>
      <c r="F87" s="251">
        <v>0.29905063291139239</v>
      </c>
      <c r="G87" s="251">
        <v>0.18562874251497005</v>
      </c>
      <c r="H87" s="252">
        <v>0.24888888888888888</v>
      </c>
      <c r="I87" s="250">
        <v>0.27316141356255969</v>
      </c>
      <c r="J87" s="250">
        <v>0</v>
      </c>
      <c r="K87" s="251">
        <v>0</v>
      </c>
      <c r="L87" s="251">
        <v>0</v>
      </c>
      <c r="M87" s="251">
        <v>0</v>
      </c>
      <c r="N87" s="252">
        <v>0</v>
      </c>
      <c r="O87" s="250">
        <v>0</v>
      </c>
      <c r="P87" s="250">
        <v>0</v>
      </c>
      <c r="Q87" s="251">
        <v>0</v>
      </c>
      <c r="R87" s="252">
        <v>0</v>
      </c>
      <c r="S87" s="250">
        <v>0</v>
      </c>
      <c r="T87" s="253"/>
      <c r="U87" s="254">
        <v>598</v>
      </c>
      <c r="V87" s="255">
        <v>167</v>
      </c>
      <c r="W87" s="255">
        <v>905</v>
      </c>
      <c r="X87" s="255">
        <v>189</v>
      </c>
      <c r="Y87" s="255">
        <v>31</v>
      </c>
      <c r="Z87" s="255">
        <v>112</v>
      </c>
      <c r="AA87" s="293">
        <v>2002</v>
      </c>
      <c r="AB87" s="254">
        <v>0</v>
      </c>
      <c r="AC87" s="255">
        <v>0</v>
      </c>
      <c r="AD87" s="255">
        <v>0</v>
      </c>
      <c r="AE87" s="255">
        <v>0</v>
      </c>
      <c r="AF87" s="255">
        <v>0</v>
      </c>
      <c r="AG87" s="256">
        <v>0</v>
      </c>
      <c r="AH87" s="255">
        <v>0</v>
      </c>
      <c r="AI87" s="255">
        <v>0</v>
      </c>
      <c r="AJ87" s="255">
        <v>0</v>
      </c>
      <c r="AK87" s="254">
        <v>0</v>
      </c>
    </row>
    <row r="88" spans="1:39" ht="13.9" customHeight="1">
      <c r="A88" s="249"/>
      <c r="B88" s="239" t="s">
        <v>55</v>
      </c>
      <c r="C88" s="250">
        <v>0.17901984609153504</v>
      </c>
      <c r="D88" s="251">
        <v>0.23338485316846985</v>
      </c>
      <c r="E88" s="251">
        <v>0.22469635627530365</v>
      </c>
      <c r="F88" s="251">
        <v>0.23575949367088608</v>
      </c>
      <c r="G88" s="251">
        <v>0.25748502994011974</v>
      </c>
      <c r="H88" s="252">
        <v>0.27333333333333332</v>
      </c>
      <c r="I88" s="250">
        <v>0.21476326920452996</v>
      </c>
      <c r="J88" s="250">
        <v>0</v>
      </c>
      <c r="K88" s="251">
        <v>0</v>
      </c>
      <c r="L88" s="251">
        <v>0</v>
      </c>
      <c r="M88" s="251">
        <v>0</v>
      </c>
      <c r="N88" s="252">
        <v>0</v>
      </c>
      <c r="O88" s="250">
        <v>0</v>
      </c>
      <c r="P88" s="250">
        <v>0</v>
      </c>
      <c r="Q88" s="251">
        <v>0</v>
      </c>
      <c r="R88" s="252">
        <v>0</v>
      </c>
      <c r="S88" s="250">
        <v>0</v>
      </c>
      <c r="T88" s="253"/>
      <c r="U88" s="254">
        <v>442</v>
      </c>
      <c r="V88" s="255">
        <v>151</v>
      </c>
      <c r="W88" s="255">
        <v>666</v>
      </c>
      <c r="X88" s="255">
        <v>149</v>
      </c>
      <c r="Y88" s="255">
        <v>43</v>
      </c>
      <c r="Z88" s="255">
        <v>123</v>
      </c>
      <c r="AA88" s="293">
        <v>1574</v>
      </c>
      <c r="AB88" s="254">
        <v>0</v>
      </c>
      <c r="AC88" s="255">
        <v>0</v>
      </c>
      <c r="AD88" s="255">
        <v>0</v>
      </c>
      <c r="AE88" s="255">
        <v>0</v>
      </c>
      <c r="AF88" s="255">
        <v>0</v>
      </c>
      <c r="AG88" s="256">
        <v>0</v>
      </c>
      <c r="AH88" s="255">
        <v>0</v>
      </c>
      <c r="AI88" s="255">
        <v>0</v>
      </c>
      <c r="AJ88" s="255">
        <v>0</v>
      </c>
      <c r="AK88" s="254">
        <v>0</v>
      </c>
    </row>
    <row r="89" spans="1:39" ht="13.9" customHeight="1">
      <c r="A89" s="249"/>
      <c r="B89" s="239" t="s">
        <v>78</v>
      </c>
      <c r="C89" s="250">
        <v>7.6954232482786553E-3</v>
      </c>
      <c r="D89" s="251">
        <v>1.3910355486862442E-2</v>
      </c>
      <c r="E89" s="251">
        <v>1.4844804318488529E-2</v>
      </c>
      <c r="F89" s="251">
        <v>1.2658227848101266E-2</v>
      </c>
      <c r="G89" s="251">
        <v>2.3952095808383235E-2</v>
      </c>
      <c r="H89" s="252">
        <v>2.8888888888888888E-2</v>
      </c>
      <c r="I89" s="250">
        <v>1.3235093464319826E-2</v>
      </c>
      <c r="J89" s="250">
        <v>0</v>
      </c>
      <c r="K89" s="251">
        <v>0</v>
      </c>
      <c r="L89" s="251">
        <v>0</v>
      </c>
      <c r="M89" s="251">
        <v>0</v>
      </c>
      <c r="N89" s="252">
        <v>0</v>
      </c>
      <c r="O89" s="250">
        <v>0</v>
      </c>
      <c r="P89" s="250">
        <v>0</v>
      </c>
      <c r="Q89" s="251">
        <v>0</v>
      </c>
      <c r="R89" s="252">
        <v>0</v>
      </c>
      <c r="S89" s="250">
        <v>0</v>
      </c>
      <c r="T89" s="253"/>
      <c r="U89" s="254">
        <v>19</v>
      </c>
      <c r="V89" s="255">
        <v>9</v>
      </c>
      <c r="W89" s="255">
        <v>44</v>
      </c>
      <c r="X89" s="255">
        <v>8</v>
      </c>
      <c r="Y89" s="255">
        <v>4</v>
      </c>
      <c r="Z89" s="255">
        <v>13</v>
      </c>
      <c r="AA89" s="293">
        <v>97</v>
      </c>
      <c r="AB89" s="254">
        <v>0</v>
      </c>
      <c r="AC89" s="255">
        <v>0</v>
      </c>
      <c r="AD89" s="255">
        <v>0</v>
      </c>
      <c r="AE89" s="255">
        <v>0</v>
      </c>
      <c r="AF89" s="255">
        <v>0</v>
      </c>
      <c r="AG89" s="256">
        <v>0</v>
      </c>
      <c r="AH89" s="255">
        <v>0</v>
      </c>
      <c r="AI89" s="255">
        <v>0</v>
      </c>
      <c r="AJ89" s="255">
        <v>0</v>
      </c>
      <c r="AK89" s="254">
        <v>0</v>
      </c>
    </row>
    <row r="90" spans="1:39" ht="13.9" customHeight="1">
      <c r="A90" s="249"/>
      <c r="B90" s="239" t="s">
        <v>32</v>
      </c>
      <c r="C90" s="250">
        <v>0.1701093560145808</v>
      </c>
      <c r="D90" s="251">
        <v>0.25502318392581141</v>
      </c>
      <c r="E90" s="251">
        <v>0.19703103913630229</v>
      </c>
      <c r="F90" s="251">
        <v>0.18670886075949367</v>
      </c>
      <c r="G90" s="251">
        <v>0.26946107784431139</v>
      </c>
      <c r="H90" s="252">
        <v>0.15111111111111111</v>
      </c>
      <c r="I90" s="250">
        <v>0.19102196752626552</v>
      </c>
      <c r="J90" s="250">
        <v>0</v>
      </c>
      <c r="K90" s="251">
        <v>0</v>
      </c>
      <c r="L90" s="251">
        <v>0</v>
      </c>
      <c r="M90" s="251">
        <v>0</v>
      </c>
      <c r="N90" s="252">
        <v>0</v>
      </c>
      <c r="O90" s="250">
        <v>0</v>
      </c>
      <c r="P90" s="250">
        <v>0</v>
      </c>
      <c r="Q90" s="251">
        <v>0</v>
      </c>
      <c r="R90" s="252">
        <v>0</v>
      </c>
      <c r="S90" s="250">
        <v>0</v>
      </c>
      <c r="T90" s="253"/>
      <c r="U90" s="254">
        <v>420</v>
      </c>
      <c r="V90" s="255">
        <v>165</v>
      </c>
      <c r="W90" s="255">
        <v>584</v>
      </c>
      <c r="X90" s="255">
        <v>118</v>
      </c>
      <c r="Y90" s="255">
        <v>45</v>
      </c>
      <c r="Z90" s="255">
        <v>68</v>
      </c>
      <c r="AA90" s="293">
        <v>1400</v>
      </c>
      <c r="AB90" s="254">
        <v>0</v>
      </c>
      <c r="AC90" s="255">
        <v>0</v>
      </c>
      <c r="AD90" s="255">
        <v>0</v>
      </c>
      <c r="AE90" s="255">
        <v>0</v>
      </c>
      <c r="AF90" s="255">
        <v>0</v>
      </c>
      <c r="AG90" s="256">
        <v>0</v>
      </c>
      <c r="AH90" s="255">
        <v>0</v>
      </c>
      <c r="AI90" s="255">
        <v>0</v>
      </c>
      <c r="AJ90" s="255">
        <v>0</v>
      </c>
      <c r="AK90" s="254">
        <v>0</v>
      </c>
    </row>
    <row r="91" spans="1:39" ht="13.9" customHeight="1">
      <c r="A91" s="249"/>
      <c r="B91" s="239" t="s">
        <v>58</v>
      </c>
      <c r="C91" s="250">
        <v>0</v>
      </c>
      <c r="D91" s="251">
        <v>0</v>
      </c>
      <c r="E91" s="251">
        <v>0</v>
      </c>
      <c r="F91" s="251">
        <v>0</v>
      </c>
      <c r="G91" s="251">
        <v>0</v>
      </c>
      <c r="H91" s="252">
        <v>0</v>
      </c>
      <c r="I91" s="250">
        <v>0</v>
      </c>
      <c r="J91" s="250">
        <v>0</v>
      </c>
      <c r="K91" s="251">
        <v>1</v>
      </c>
      <c r="L91" s="251">
        <v>1</v>
      </c>
      <c r="M91" s="251">
        <v>1</v>
      </c>
      <c r="N91" s="252">
        <v>0</v>
      </c>
      <c r="O91" s="250">
        <v>1</v>
      </c>
      <c r="P91" s="250">
        <v>0</v>
      </c>
      <c r="Q91" s="251">
        <v>0</v>
      </c>
      <c r="R91" s="252">
        <v>0</v>
      </c>
      <c r="S91" s="250">
        <v>0</v>
      </c>
      <c r="T91" s="253"/>
      <c r="U91" s="254">
        <v>0</v>
      </c>
      <c r="V91" s="255">
        <v>0</v>
      </c>
      <c r="W91" s="255">
        <v>0</v>
      </c>
      <c r="X91" s="255">
        <v>0</v>
      </c>
      <c r="Y91" s="255">
        <v>0</v>
      </c>
      <c r="Z91" s="255">
        <v>0</v>
      </c>
      <c r="AA91" s="293">
        <v>0</v>
      </c>
      <c r="AB91" s="254">
        <v>0</v>
      </c>
      <c r="AC91" s="255">
        <v>1619</v>
      </c>
      <c r="AD91" s="255">
        <v>2221</v>
      </c>
      <c r="AE91" s="255">
        <v>843</v>
      </c>
      <c r="AF91" s="255">
        <v>0</v>
      </c>
      <c r="AG91" s="256">
        <v>4683</v>
      </c>
      <c r="AH91" s="255">
        <v>0</v>
      </c>
      <c r="AI91" s="255">
        <v>0</v>
      </c>
      <c r="AJ91" s="255">
        <v>0</v>
      </c>
      <c r="AK91" s="254">
        <v>0</v>
      </c>
    </row>
    <row r="92" spans="1:39" s="271" customFormat="1" ht="24" customHeight="1">
      <c r="A92" s="259"/>
      <c r="B92" s="260" t="s">
        <v>59</v>
      </c>
      <c r="C92" s="261">
        <v>1</v>
      </c>
      <c r="D92" s="262">
        <v>1</v>
      </c>
      <c r="E92" s="262">
        <v>1</v>
      </c>
      <c r="F92" s="262">
        <v>1</v>
      </c>
      <c r="G92" s="262">
        <v>1</v>
      </c>
      <c r="H92" s="263">
        <v>1</v>
      </c>
      <c r="I92" s="261">
        <v>1</v>
      </c>
      <c r="J92" s="261">
        <v>0</v>
      </c>
      <c r="K92" s="262">
        <v>1</v>
      </c>
      <c r="L92" s="262">
        <v>1</v>
      </c>
      <c r="M92" s="262">
        <v>1</v>
      </c>
      <c r="N92" s="263">
        <v>0</v>
      </c>
      <c r="O92" s="261">
        <v>1</v>
      </c>
      <c r="P92" s="261">
        <v>0</v>
      </c>
      <c r="Q92" s="262">
        <v>0</v>
      </c>
      <c r="R92" s="263">
        <v>0</v>
      </c>
      <c r="S92" s="261">
        <v>0</v>
      </c>
      <c r="T92" s="264"/>
      <c r="U92" s="265">
        <v>2469</v>
      </c>
      <c r="V92" s="266">
        <v>647</v>
      </c>
      <c r="W92" s="266">
        <v>2964</v>
      </c>
      <c r="X92" s="266">
        <v>632</v>
      </c>
      <c r="Y92" s="266">
        <v>167</v>
      </c>
      <c r="Z92" s="266">
        <v>450</v>
      </c>
      <c r="AA92" s="294">
        <v>7329</v>
      </c>
      <c r="AB92" s="265">
        <v>0</v>
      </c>
      <c r="AC92" s="266">
        <v>1619</v>
      </c>
      <c r="AD92" s="266">
        <v>2221</v>
      </c>
      <c r="AE92" s="266">
        <v>843</v>
      </c>
      <c r="AF92" s="266">
        <v>0</v>
      </c>
      <c r="AG92" s="267">
        <v>4683</v>
      </c>
      <c r="AH92" s="266">
        <v>0</v>
      </c>
      <c r="AI92" s="266">
        <v>0</v>
      </c>
      <c r="AJ92" s="266">
        <v>0</v>
      </c>
      <c r="AK92" s="265">
        <v>0</v>
      </c>
      <c r="AL92" s="270"/>
      <c r="AM92" s="270"/>
    </row>
    <row r="93" spans="1:39" ht="13.9" customHeight="1">
      <c r="A93" s="239" t="s">
        <v>13</v>
      </c>
      <c r="B93" s="239" t="s">
        <v>53</v>
      </c>
      <c r="C93" s="241">
        <v>0.34843205574912894</v>
      </c>
      <c r="D93" s="242">
        <v>0</v>
      </c>
      <c r="E93" s="242">
        <v>0.33156498673740054</v>
      </c>
      <c r="F93" s="242">
        <v>0.27177700348432055</v>
      </c>
      <c r="G93" s="242">
        <v>0.22601839684625494</v>
      </c>
      <c r="H93" s="243">
        <v>0.1487603305785124</v>
      </c>
      <c r="I93" s="241">
        <v>0.29831808793154324</v>
      </c>
      <c r="J93" s="241">
        <v>0</v>
      </c>
      <c r="K93" s="242">
        <v>0</v>
      </c>
      <c r="L93" s="242">
        <v>0</v>
      </c>
      <c r="M93" s="242">
        <v>1.3513513513513514E-2</v>
      </c>
      <c r="N93" s="243">
        <v>0</v>
      </c>
      <c r="O93" s="241">
        <v>5.0000000000000001E-3</v>
      </c>
      <c r="P93" s="241">
        <v>0</v>
      </c>
      <c r="Q93" s="242">
        <v>0</v>
      </c>
      <c r="R93" s="243">
        <v>0</v>
      </c>
      <c r="S93" s="241">
        <v>0</v>
      </c>
      <c r="T93" s="253"/>
      <c r="U93" s="245">
        <v>600</v>
      </c>
      <c r="V93" s="246">
        <v>0</v>
      </c>
      <c r="W93" s="246">
        <v>125</v>
      </c>
      <c r="X93" s="246">
        <v>78</v>
      </c>
      <c r="Y93" s="246">
        <v>172</v>
      </c>
      <c r="Z93" s="246">
        <v>36</v>
      </c>
      <c r="AA93" s="292">
        <v>1011</v>
      </c>
      <c r="AB93" s="245">
        <v>0</v>
      </c>
      <c r="AC93" s="246">
        <v>0</v>
      </c>
      <c r="AD93" s="246">
        <v>0</v>
      </c>
      <c r="AE93" s="246">
        <v>6</v>
      </c>
      <c r="AF93" s="246">
        <v>0</v>
      </c>
      <c r="AG93" s="247">
        <v>6</v>
      </c>
      <c r="AH93" s="246">
        <v>0</v>
      </c>
      <c r="AI93" s="246">
        <v>0</v>
      </c>
      <c r="AJ93" s="246">
        <v>0</v>
      </c>
      <c r="AK93" s="245">
        <v>0</v>
      </c>
    </row>
    <row r="94" spans="1:39" ht="13.9" customHeight="1">
      <c r="A94" s="249"/>
      <c r="B94" s="239" t="s">
        <v>93</v>
      </c>
      <c r="C94" s="250">
        <v>0.28397212543554007</v>
      </c>
      <c r="D94" s="251">
        <v>0</v>
      </c>
      <c r="E94" s="251">
        <v>0.22281167108753316</v>
      </c>
      <c r="F94" s="251">
        <v>0.16376306620209058</v>
      </c>
      <c r="G94" s="251">
        <v>0.202365308804205</v>
      </c>
      <c r="H94" s="252">
        <v>0.21487603305785125</v>
      </c>
      <c r="I94" s="250">
        <v>0.24372971377987607</v>
      </c>
      <c r="J94" s="250">
        <v>0</v>
      </c>
      <c r="K94" s="251">
        <v>0</v>
      </c>
      <c r="L94" s="251">
        <v>0</v>
      </c>
      <c r="M94" s="251">
        <v>1.1261261261261261E-2</v>
      </c>
      <c r="N94" s="252">
        <v>0</v>
      </c>
      <c r="O94" s="272">
        <v>4.1666666666666666E-3</v>
      </c>
      <c r="P94" s="250">
        <v>0</v>
      </c>
      <c r="Q94" s="251">
        <v>0</v>
      </c>
      <c r="R94" s="252">
        <v>0</v>
      </c>
      <c r="S94" s="250">
        <v>0</v>
      </c>
      <c r="T94" s="253"/>
      <c r="U94" s="254">
        <v>489</v>
      </c>
      <c r="V94" s="255">
        <v>0</v>
      </c>
      <c r="W94" s="255">
        <v>84</v>
      </c>
      <c r="X94" s="255">
        <v>47</v>
      </c>
      <c r="Y94" s="255">
        <v>154</v>
      </c>
      <c r="Z94" s="255">
        <v>52</v>
      </c>
      <c r="AA94" s="293">
        <v>826</v>
      </c>
      <c r="AB94" s="254">
        <v>0</v>
      </c>
      <c r="AC94" s="255">
        <v>0</v>
      </c>
      <c r="AD94" s="255">
        <v>0</v>
      </c>
      <c r="AE94" s="255">
        <v>5</v>
      </c>
      <c r="AF94" s="255">
        <v>0</v>
      </c>
      <c r="AG94" s="256">
        <v>5</v>
      </c>
      <c r="AH94" s="255">
        <v>0</v>
      </c>
      <c r="AI94" s="255">
        <v>0</v>
      </c>
      <c r="AJ94" s="255">
        <v>0</v>
      </c>
      <c r="AK94" s="254">
        <v>0</v>
      </c>
    </row>
    <row r="95" spans="1:39" ht="13.9" customHeight="1">
      <c r="A95" s="249"/>
      <c r="B95" s="239" t="s">
        <v>55</v>
      </c>
      <c r="C95" s="250">
        <v>0.25609756097560976</v>
      </c>
      <c r="D95" s="251">
        <v>0</v>
      </c>
      <c r="E95" s="251">
        <v>0.27320954907161804</v>
      </c>
      <c r="F95" s="251">
        <v>0.36585365853658536</v>
      </c>
      <c r="G95" s="251">
        <v>0.33771353482260186</v>
      </c>
      <c r="H95" s="252">
        <v>0.33057851239669422</v>
      </c>
      <c r="I95" s="250">
        <v>0.29094128061375035</v>
      </c>
      <c r="J95" s="250">
        <v>0</v>
      </c>
      <c r="K95" s="251">
        <v>0</v>
      </c>
      <c r="L95" s="251">
        <v>0</v>
      </c>
      <c r="M95" s="251">
        <v>8.7837837837837843E-2</v>
      </c>
      <c r="N95" s="252">
        <v>0</v>
      </c>
      <c r="O95" s="250">
        <v>3.2500000000000001E-2</v>
      </c>
      <c r="P95" s="250">
        <v>0</v>
      </c>
      <c r="Q95" s="251">
        <v>0</v>
      </c>
      <c r="R95" s="252">
        <v>0</v>
      </c>
      <c r="S95" s="250">
        <v>0</v>
      </c>
      <c r="T95" s="253"/>
      <c r="U95" s="254">
        <v>441</v>
      </c>
      <c r="V95" s="255">
        <v>0</v>
      </c>
      <c r="W95" s="255">
        <v>103</v>
      </c>
      <c r="X95" s="255">
        <v>105</v>
      </c>
      <c r="Y95" s="255">
        <v>257</v>
      </c>
      <c r="Z95" s="255">
        <v>80</v>
      </c>
      <c r="AA95" s="293">
        <v>986</v>
      </c>
      <c r="AB95" s="254">
        <v>0</v>
      </c>
      <c r="AC95" s="255">
        <v>0</v>
      </c>
      <c r="AD95" s="255">
        <v>0</v>
      </c>
      <c r="AE95" s="255">
        <v>39</v>
      </c>
      <c r="AF95" s="255">
        <v>0</v>
      </c>
      <c r="AG95" s="256">
        <v>39</v>
      </c>
      <c r="AH95" s="255">
        <v>0</v>
      </c>
      <c r="AI95" s="255">
        <v>0</v>
      </c>
      <c r="AJ95" s="255">
        <v>0</v>
      </c>
      <c r="AK95" s="254">
        <v>0</v>
      </c>
    </row>
    <row r="96" spans="1:39" ht="13.9" customHeight="1">
      <c r="A96" s="249"/>
      <c r="B96" s="239" t="s">
        <v>78</v>
      </c>
      <c r="C96" s="250">
        <v>0.11149825783972125</v>
      </c>
      <c r="D96" s="251">
        <v>0</v>
      </c>
      <c r="E96" s="251">
        <v>0.17241379310344829</v>
      </c>
      <c r="F96" s="251">
        <v>0.19860627177700349</v>
      </c>
      <c r="G96" s="251">
        <v>0.23390275952693823</v>
      </c>
      <c r="H96" s="252">
        <v>0.30578512396694213</v>
      </c>
      <c r="I96" s="250">
        <v>0.16701091767483034</v>
      </c>
      <c r="J96" s="250">
        <v>0</v>
      </c>
      <c r="K96" s="251">
        <v>0</v>
      </c>
      <c r="L96" s="251">
        <v>0</v>
      </c>
      <c r="M96" s="251">
        <v>9.0090090090090089E-3</v>
      </c>
      <c r="N96" s="252">
        <v>0</v>
      </c>
      <c r="O96" s="272">
        <v>3.3333333333333335E-3</v>
      </c>
      <c r="P96" s="250">
        <v>0</v>
      </c>
      <c r="Q96" s="251">
        <v>0</v>
      </c>
      <c r="R96" s="252">
        <v>0</v>
      </c>
      <c r="S96" s="250">
        <v>0</v>
      </c>
      <c r="T96" s="253"/>
      <c r="U96" s="254">
        <v>192</v>
      </c>
      <c r="V96" s="255">
        <v>0</v>
      </c>
      <c r="W96" s="255">
        <v>65</v>
      </c>
      <c r="X96" s="255">
        <v>57</v>
      </c>
      <c r="Y96" s="255">
        <v>178</v>
      </c>
      <c r="Z96" s="255">
        <v>74</v>
      </c>
      <c r="AA96" s="293">
        <v>566</v>
      </c>
      <c r="AB96" s="254">
        <v>0</v>
      </c>
      <c r="AC96" s="255">
        <v>0</v>
      </c>
      <c r="AD96" s="255">
        <v>0</v>
      </c>
      <c r="AE96" s="255">
        <v>4</v>
      </c>
      <c r="AF96" s="255">
        <v>0</v>
      </c>
      <c r="AG96" s="256">
        <v>4</v>
      </c>
      <c r="AH96" s="255">
        <v>0</v>
      </c>
      <c r="AI96" s="255">
        <v>0</v>
      </c>
      <c r="AJ96" s="255">
        <v>0</v>
      </c>
      <c r="AK96" s="254">
        <v>0</v>
      </c>
    </row>
    <row r="97" spans="1:39" ht="13.9" customHeight="1">
      <c r="A97" s="249"/>
      <c r="B97" s="239" t="s">
        <v>32</v>
      </c>
      <c r="C97" s="250">
        <v>0</v>
      </c>
      <c r="D97" s="251">
        <v>0</v>
      </c>
      <c r="E97" s="251">
        <v>0</v>
      </c>
      <c r="F97" s="251">
        <v>0</v>
      </c>
      <c r="G97" s="251">
        <v>0</v>
      </c>
      <c r="H97" s="252">
        <v>0</v>
      </c>
      <c r="I97" s="250">
        <v>0</v>
      </c>
      <c r="J97" s="250">
        <v>0</v>
      </c>
      <c r="K97" s="251">
        <v>0</v>
      </c>
      <c r="L97" s="251">
        <v>0</v>
      </c>
      <c r="M97" s="251">
        <v>0</v>
      </c>
      <c r="N97" s="252">
        <v>0</v>
      </c>
      <c r="O97" s="250">
        <v>0</v>
      </c>
      <c r="P97" s="250">
        <v>0</v>
      </c>
      <c r="Q97" s="251">
        <v>0</v>
      </c>
      <c r="R97" s="252">
        <v>0</v>
      </c>
      <c r="S97" s="250">
        <v>0</v>
      </c>
      <c r="T97" s="253"/>
      <c r="U97" s="254">
        <v>0</v>
      </c>
      <c r="V97" s="255">
        <v>0</v>
      </c>
      <c r="W97" s="255">
        <v>0</v>
      </c>
      <c r="X97" s="255">
        <v>0</v>
      </c>
      <c r="Y97" s="255">
        <v>0</v>
      </c>
      <c r="Z97" s="255">
        <v>0</v>
      </c>
      <c r="AA97" s="293">
        <v>0</v>
      </c>
      <c r="AB97" s="254">
        <v>0</v>
      </c>
      <c r="AC97" s="255">
        <v>0</v>
      </c>
      <c r="AD97" s="255">
        <v>0</v>
      </c>
      <c r="AE97" s="255">
        <v>0</v>
      </c>
      <c r="AF97" s="255">
        <v>0</v>
      </c>
      <c r="AG97" s="256">
        <v>0</v>
      </c>
      <c r="AH97" s="255">
        <v>0</v>
      </c>
      <c r="AI97" s="255">
        <v>0</v>
      </c>
      <c r="AJ97" s="255">
        <v>0</v>
      </c>
      <c r="AK97" s="254">
        <v>0</v>
      </c>
    </row>
    <row r="98" spans="1:39" ht="13.9" customHeight="1">
      <c r="A98" s="249"/>
      <c r="B98" s="239" t="s">
        <v>58</v>
      </c>
      <c r="C98" s="250">
        <v>0</v>
      </c>
      <c r="D98" s="251">
        <v>0</v>
      </c>
      <c r="E98" s="251">
        <v>0</v>
      </c>
      <c r="F98" s="251">
        <v>0</v>
      </c>
      <c r="G98" s="251">
        <v>0</v>
      </c>
      <c r="H98" s="252">
        <v>0</v>
      </c>
      <c r="I98" s="250">
        <v>0</v>
      </c>
      <c r="J98" s="250">
        <v>0</v>
      </c>
      <c r="K98" s="251">
        <v>1</v>
      </c>
      <c r="L98" s="251">
        <v>1</v>
      </c>
      <c r="M98" s="251">
        <v>0.8783783783783784</v>
      </c>
      <c r="N98" s="252">
        <v>0</v>
      </c>
      <c r="O98" s="250">
        <v>0.95499999999999996</v>
      </c>
      <c r="P98" s="250">
        <v>0</v>
      </c>
      <c r="Q98" s="251">
        <v>0</v>
      </c>
      <c r="R98" s="252">
        <v>0</v>
      </c>
      <c r="S98" s="250">
        <v>0</v>
      </c>
      <c r="T98" s="253"/>
      <c r="U98" s="254">
        <v>0</v>
      </c>
      <c r="V98" s="255">
        <v>0</v>
      </c>
      <c r="W98" s="255">
        <v>0</v>
      </c>
      <c r="X98" s="255">
        <v>0</v>
      </c>
      <c r="Y98" s="255">
        <v>0</v>
      </c>
      <c r="Z98" s="255">
        <v>0</v>
      </c>
      <c r="AA98" s="293">
        <v>0</v>
      </c>
      <c r="AB98" s="254">
        <v>0</v>
      </c>
      <c r="AC98" s="255">
        <v>379</v>
      </c>
      <c r="AD98" s="255">
        <v>377</v>
      </c>
      <c r="AE98" s="255">
        <v>390</v>
      </c>
      <c r="AF98" s="255">
        <v>0</v>
      </c>
      <c r="AG98" s="256">
        <v>1146</v>
      </c>
      <c r="AH98" s="255">
        <v>0</v>
      </c>
      <c r="AI98" s="255">
        <v>0</v>
      </c>
      <c r="AJ98" s="255">
        <v>0</v>
      </c>
      <c r="AK98" s="254">
        <v>0</v>
      </c>
    </row>
    <row r="99" spans="1:39" s="271" customFormat="1" ht="24" customHeight="1">
      <c r="A99" s="259"/>
      <c r="B99" s="260" t="s">
        <v>59</v>
      </c>
      <c r="C99" s="261">
        <v>1</v>
      </c>
      <c r="D99" s="262">
        <v>0</v>
      </c>
      <c r="E99" s="262">
        <v>1</v>
      </c>
      <c r="F99" s="262">
        <v>1</v>
      </c>
      <c r="G99" s="262">
        <v>1</v>
      </c>
      <c r="H99" s="263">
        <v>1</v>
      </c>
      <c r="I99" s="261">
        <v>1</v>
      </c>
      <c r="J99" s="261">
        <v>0</v>
      </c>
      <c r="K99" s="262">
        <v>1</v>
      </c>
      <c r="L99" s="262">
        <v>1</v>
      </c>
      <c r="M99" s="262">
        <v>1</v>
      </c>
      <c r="N99" s="263">
        <v>0</v>
      </c>
      <c r="O99" s="261">
        <v>1</v>
      </c>
      <c r="P99" s="261">
        <v>0</v>
      </c>
      <c r="Q99" s="262">
        <v>0</v>
      </c>
      <c r="R99" s="263">
        <v>0</v>
      </c>
      <c r="S99" s="261">
        <v>0</v>
      </c>
      <c r="T99" s="264"/>
      <c r="U99" s="265">
        <v>1722</v>
      </c>
      <c r="V99" s="266">
        <v>0</v>
      </c>
      <c r="W99" s="266">
        <v>377</v>
      </c>
      <c r="X99" s="266">
        <v>287</v>
      </c>
      <c r="Y99" s="266">
        <v>761</v>
      </c>
      <c r="Z99" s="266">
        <v>242</v>
      </c>
      <c r="AA99" s="294">
        <v>3389</v>
      </c>
      <c r="AB99" s="265">
        <v>0</v>
      </c>
      <c r="AC99" s="266">
        <v>379</v>
      </c>
      <c r="AD99" s="266">
        <v>377</v>
      </c>
      <c r="AE99" s="266">
        <v>444</v>
      </c>
      <c r="AF99" s="266">
        <v>0</v>
      </c>
      <c r="AG99" s="267">
        <v>1200</v>
      </c>
      <c r="AH99" s="266">
        <v>0</v>
      </c>
      <c r="AI99" s="266">
        <v>0</v>
      </c>
      <c r="AJ99" s="266">
        <v>0</v>
      </c>
      <c r="AK99" s="265">
        <v>0</v>
      </c>
      <c r="AL99" s="270"/>
      <c r="AM99" s="270"/>
    </row>
    <row r="100" spans="1:39" ht="13.9" customHeight="1">
      <c r="A100" s="239" t="s">
        <v>14</v>
      </c>
      <c r="B100" s="239" t="s">
        <v>53</v>
      </c>
      <c r="C100" s="241">
        <v>0.41887592788971367</v>
      </c>
      <c r="D100" s="242">
        <v>0</v>
      </c>
      <c r="E100" s="242">
        <v>0.28235294117647058</v>
      </c>
      <c r="F100" s="242">
        <v>0.27413793103448275</v>
      </c>
      <c r="G100" s="242">
        <v>0.31147540983606559</v>
      </c>
      <c r="H100" s="243">
        <v>0.26607538802660752</v>
      </c>
      <c r="I100" s="241">
        <v>0.35327868852459016</v>
      </c>
      <c r="J100" s="241">
        <v>0</v>
      </c>
      <c r="K100" s="242">
        <v>0</v>
      </c>
      <c r="L100" s="242">
        <v>0</v>
      </c>
      <c r="M100" s="242">
        <v>0.11813186813186813</v>
      </c>
      <c r="N100" s="243">
        <v>0</v>
      </c>
      <c r="O100" s="241">
        <v>2.5072886297376092E-2</v>
      </c>
      <c r="P100" s="241">
        <v>0</v>
      </c>
      <c r="Q100" s="242">
        <v>0</v>
      </c>
      <c r="R100" s="243">
        <v>0</v>
      </c>
      <c r="S100" s="241">
        <v>0</v>
      </c>
      <c r="T100" s="253"/>
      <c r="U100" s="245">
        <v>790</v>
      </c>
      <c r="V100" s="246">
        <v>0</v>
      </c>
      <c r="W100" s="246">
        <v>72</v>
      </c>
      <c r="X100" s="246">
        <v>159</v>
      </c>
      <c r="Y100" s="246">
        <v>152</v>
      </c>
      <c r="Z100" s="246">
        <v>120</v>
      </c>
      <c r="AA100" s="292">
        <v>1293</v>
      </c>
      <c r="AB100" s="245">
        <v>0</v>
      </c>
      <c r="AC100" s="246">
        <v>0</v>
      </c>
      <c r="AD100" s="246">
        <v>0</v>
      </c>
      <c r="AE100" s="246">
        <v>43</v>
      </c>
      <c r="AF100" s="246">
        <v>0</v>
      </c>
      <c r="AG100" s="247">
        <v>43</v>
      </c>
      <c r="AH100" s="246">
        <v>0</v>
      </c>
      <c r="AI100" s="246">
        <v>0</v>
      </c>
      <c r="AJ100" s="246">
        <v>0</v>
      </c>
      <c r="AK100" s="245">
        <v>0</v>
      </c>
    </row>
    <row r="101" spans="1:39" ht="13.9" customHeight="1">
      <c r="A101" s="249"/>
      <c r="B101" s="239" t="s">
        <v>93</v>
      </c>
      <c r="C101" s="250">
        <v>0.28419936373276777</v>
      </c>
      <c r="D101" s="251">
        <v>0</v>
      </c>
      <c r="E101" s="251">
        <v>0.30588235294117649</v>
      </c>
      <c r="F101" s="251">
        <v>0.31724137931034485</v>
      </c>
      <c r="G101" s="251">
        <v>0.25204918032786883</v>
      </c>
      <c r="H101" s="252">
        <v>0.29711751662971175</v>
      </c>
      <c r="I101" s="250">
        <v>0.28825136612021857</v>
      </c>
      <c r="J101" s="250">
        <v>0</v>
      </c>
      <c r="K101" s="251">
        <v>0</v>
      </c>
      <c r="L101" s="251">
        <v>0</v>
      </c>
      <c r="M101" s="251">
        <v>8.5164835164835168E-2</v>
      </c>
      <c r="N101" s="252">
        <v>0</v>
      </c>
      <c r="O101" s="250">
        <v>1.8075801749271137E-2</v>
      </c>
      <c r="P101" s="250">
        <v>0</v>
      </c>
      <c r="Q101" s="251">
        <v>0</v>
      </c>
      <c r="R101" s="252">
        <v>0</v>
      </c>
      <c r="S101" s="250">
        <v>0</v>
      </c>
      <c r="T101" s="253"/>
      <c r="U101" s="254">
        <v>536</v>
      </c>
      <c r="V101" s="255">
        <v>0</v>
      </c>
      <c r="W101" s="255">
        <v>78</v>
      </c>
      <c r="X101" s="255">
        <v>184</v>
      </c>
      <c r="Y101" s="255">
        <v>123</v>
      </c>
      <c r="Z101" s="255">
        <v>134</v>
      </c>
      <c r="AA101" s="293">
        <v>1055</v>
      </c>
      <c r="AB101" s="254">
        <v>0</v>
      </c>
      <c r="AC101" s="255">
        <v>0</v>
      </c>
      <c r="AD101" s="255">
        <v>0</v>
      </c>
      <c r="AE101" s="255">
        <v>31</v>
      </c>
      <c r="AF101" s="255">
        <v>0</v>
      </c>
      <c r="AG101" s="256">
        <v>31</v>
      </c>
      <c r="AH101" s="255">
        <v>0</v>
      </c>
      <c r="AI101" s="255">
        <v>0</v>
      </c>
      <c r="AJ101" s="255">
        <v>0</v>
      </c>
      <c r="AK101" s="254">
        <v>0</v>
      </c>
    </row>
    <row r="102" spans="1:39" ht="13.9" customHeight="1">
      <c r="A102" s="249"/>
      <c r="B102" s="239" t="s">
        <v>55</v>
      </c>
      <c r="C102" s="250">
        <v>0.21898197242841994</v>
      </c>
      <c r="D102" s="251">
        <v>0</v>
      </c>
      <c r="E102" s="251">
        <v>0.26666666666666666</v>
      </c>
      <c r="F102" s="251">
        <v>0.2982758620689655</v>
      </c>
      <c r="G102" s="251">
        <v>0.34836065573770492</v>
      </c>
      <c r="H102" s="252">
        <v>0.2616407982261641</v>
      </c>
      <c r="I102" s="250">
        <v>0.25737704918032789</v>
      </c>
      <c r="J102" s="250">
        <v>0</v>
      </c>
      <c r="K102" s="251">
        <v>0</v>
      </c>
      <c r="L102" s="251">
        <v>0</v>
      </c>
      <c r="M102" s="251">
        <v>6.5934065934065936E-2</v>
      </c>
      <c r="N102" s="252">
        <v>0</v>
      </c>
      <c r="O102" s="250">
        <v>1.3994169096209912E-2</v>
      </c>
      <c r="P102" s="250">
        <v>0</v>
      </c>
      <c r="Q102" s="251">
        <v>0</v>
      </c>
      <c r="R102" s="252">
        <v>0</v>
      </c>
      <c r="S102" s="250">
        <v>0</v>
      </c>
      <c r="T102" s="253"/>
      <c r="U102" s="254">
        <v>413</v>
      </c>
      <c r="V102" s="255">
        <v>0</v>
      </c>
      <c r="W102" s="255">
        <v>68</v>
      </c>
      <c r="X102" s="255">
        <v>173</v>
      </c>
      <c r="Y102" s="255">
        <v>170</v>
      </c>
      <c r="Z102" s="255">
        <v>118</v>
      </c>
      <c r="AA102" s="293">
        <v>942</v>
      </c>
      <c r="AB102" s="254">
        <v>0</v>
      </c>
      <c r="AC102" s="255">
        <v>0</v>
      </c>
      <c r="AD102" s="255">
        <v>0</v>
      </c>
      <c r="AE102" s="255">
        <v>24</v>
      </c>
      <c r="AF102" s="255">
        <v>0</v>
      </c>
      <c r="AG102" s="256">
        <v>24</v>
      </c>
      <c r="AH102" s="255">
        <v>0</v>
      </c>
      <c r="AI102" s="255">
        <v>0</v>
      </c>
      <c r="AJ102" s="255">
        <v>0</v>
      </c>
      <c r="AK102" s="254">
        <v>0</v>
      </c>
    </row>
    <row r="103" spans="1:39" ht="13.9" customHeight="1">
      <c r="A103" s="249"/>
      <c r="B103" s="239" t="s">
        <v>78</v>
      </c>
      <c r="C103" s="250">
        <v>5.8324496288441142E-2</v>
      </c>
      <c r="D103" s="251">
        <v>0</v>
      </c>
      <c r="E103" s="251">
        <v>0.11372549019607843</v>
      </c>
      <c r="F103" s="251">
        <v>0.1103448275862069</v>
      </c>
      <c r="G103" s="251">
        <v>7.9918032786885251E-2</v>
      </c>
      <c r="H103" s="252">
        <v>0.17073170731707318</v>
      </c>
      <c r="I103" s="250">
        <v>8.7158469945355185E-2</v>
      </c>
      <c r="J103" s="250">
        <v>0</v>
      </c>
      <c r="K103" s="251">
        <v>0</v>
      </c>
      <c r="L103" s="251">
        <v>0</v>
      </c>
      <c r="M103" s="251">
        <v>5.7692307692307696E-2</v>
      </c>
      <c r="N103" s="252">
        <v>0</v>
      </c>
      <c r="O103" s="250">
        <v>1.2244897959183673E-2</v>
      </c>
      <c r="P103" s="250">
        <v>0</v>
      </c>
      <c r="Q103" s="251">
        <v>0</v>
      </c>
      <c r="R103" s="252">
        <v>0</v>
      </c>
      <c r="S103" s="250">
        <v>0</v>
      </c>
      <c r="T103" s="253"/>
      <c r="U103" s="254">
        <v>110</v>
      </c>
      <c r="V103" s="255">
        <v>0</v>
      </c>
      <c r="W103" s="255">
        <v>29</v>
      </c>
      <c r="X103" s="255">
        <v>64</v>
      </c>
      <c r="Y103" s="255">
        <v>39</v>
      </c>
      <c r="Z103" s="255">
        <v>77</v>
      </c>
      <c r="AA103" s="293">
        <v>319</v>
      </c>
      <c r="AB103" s="254">
        <v>0</v>
      </c>
      <c r="AC103" s="255">
        <v>0</v>
      </c>
      <c r="AD103" s="255">
        <v>0</v>
      </c>
      <c r="AE103" s="255">
        <v>21</v>
      </c>
      <c r="AF103" s="255">
        <v>0</v>
      </c>
      <c r="AG103" s="256">
        <v>21</v>
      </c>
      <c r="AH103" s="255">
        <v>0</v>
      </c>
      <c r="AI103" s="255">
        <v>0</v>
      </c>
      <c r="AJ103" s="255">
        <v>0</v>
      </c>
      <c r="AK103" s="254">
        <v>0</v>
      </c>
    </row>
    <row r="104" spans="1:39" ht="13.9" customHeight="1">
      <c r="A104" s="249"/>
      <c r="B104" s="239" t="s">
        <v>32</v>
      </c>
      <c r="C104" s="250">
        <v>1.9618239660657476E-2</v>
      </c>
      <c r="D104" s="251">
        <v>0</v>
      </c>
      <c r="E104" s="251">
        <v>3.1372549019607843E-2</v>
      </c>
      <c r="F104" s="251">
        <v>0</v>
      </c>
      <c r="G104" s="251">
        <v>8.1967213114754103E-3</v>
      </c>
      <c r="H104" s="258">
        <v>4.434589800443459E-3</v>
      </c>
      <c r="I104" s="250">
        <v>1.3934426229508197E-2</v>
      </c>
      <c r="J104" s="250">
        <v>0</v>
      </c>
      <c r="K104" s="251">
        <v>1</v>
      </c>
      <c r="L104" s="251">
        <v>1</v>
      </c>
      <c r="M104" s="251">
        <v>0.67307692307692313</v>
      </c>
      <c r="N104" s="252">
        <v>0</v>
      </c>
      <c r="O104" s="250">
        <v>0.93061224489795913</v>
      </c>
      <c r="P104" s="250">
        <v>0</v>
      </c>
      <c r="Q104" s="251">
        <v>0</v>
      </c>
      <c r="R104" s="252">
        <v>0</v>
      </c>
      <c r="S104" s="250">
        <v>0</v>
      </c>
      <c r="T104" s="253"/>
      <c r="U104" s="254">
        <v>37</v>
      </c>
      <c r="V104" s="255">
        <v>0</v>
      </c>
      <c r="W104" s="255">
        <v>8</v>
      </c>
      <c r="X104" s="255">
        <v>0</v>
      </c>
      <c r="Y104" s="255">
        <v>4</v>
      </c>
      <c r="Z104" s="255">
        <v>2</v>
      </c>
      <c r="AA104" s="293">
        <v>51</v>
      </c>
      <c r="AB104" s="254">
        <v>0</v>
      </c>
      <c r="AC104" s="255">
        <v>694</v>
      </c>
      <c r="AD104" s="255">
        <v>657</v>
      </c>
      <c r="AE104" s="255">
        <v>245</v>
      </c>
      <c r="AF104" s="255">
        <v>0</v>
      </c>
      <c r="AG104" s="256">
        <v>1596</v>
      </c>
      <c r="AH104" s="255">
        <v>0</v>
      </c>
      <c r="AI104" s="255">
        <v>0</v>
      </c>
      <c r="AJ104" s="255">
        <v>0</v>
      </c>
      <c r="AK104" s="254">
        <v>0</v>
      </c>
    </row>
    <row r="105" spans="1:39" ht="13.9" customHeight="1">
      <c r="A105" s="249"/>
      <c r="B105" s="239" t="s">
        <v>58</v>
      </c>
      <c r="C105" s="250">
        <v>0</v>
      </c>
      <c r="D105" s="251">
        <v>0</v>
      </c>
      <c r="E105" s="251">
        <v>0</v>
      </c>
      <c r="F105" s="251">
        <v>0</v>
      </c>
      <c r="G105" s="251">
        <v>0</v>
      </c>
      <c r="H105" s="252">
        <v>0</v>
      </c>
      <c r="I105" s="250">
        <v>0</v>
      </c>
      <c r="J105" s="250">
        <v>0</v>
      </c>
      <c r="K105" s="251">
        <v>0</v>
      </c>
      <c r="L105" s="251">
        <v>0</v>
      </c>
      <c r="M105" s="251">
        <v>0</v>
      </c>
      <c r="N105" s="252">
        <v>0</v>
      </c>
      <c r="O105" s="250">
        <v>0</v>
      </c>
      <c r="P105" s="250">
        <v>0</v>
      </c>
      <c r="Q105" s="251">
        <v>0</v>
      </c>
      <c r="R105" s="252">
        <v>0</v>
      </c>
      <c r="S105" s="250">
        <v>0</v>
      </c>
      <c r="T105" s="253"/>
      <c r="U105" s="254">
        <v>0</v>
      </c>
      <c r="V105" s="255">
        <v>0</v>
      </c>
      <c r="W105" s="255">
        <v>0</v>
      </c>
      <c r="X105" s="255">
        <v>0</v>
      </c>
      <c r="Y105" s="255">
        <v>0</v>
      </c>
      <c r="Z105" s="255">
        <v>0</v>
      </c>
      <c r="AA105" s="293">
        <v>0</v>
      </c>
      <c r="AB105" s="254">
        <v>0</v>
      </c>
      <c r="AC105" s="255">
        <v>0</v>
      </c>
      <c r="AD105" s="255">
        <v>0</v>
      </c>
      <c r="AE105" s="255">
        <v>0</v>
      </c>
      <c r="AF105" s="255">
        <v>0</v>
      </c>
      <c r="AG105" s="256">
        <v>0</v>
      </c>
      <c r="AH105" s="255">
        <v>0</v>
      </c>
      <c r="AI105" s="255">
        <v>0</v>
      </c>
      <c r="AJ105" s="255">
        <v>0</v>
      </c>
      <c r="AK105" s="254">
        <v>0</v>
      </c>
    </row>
    <row r="106" spans="1:39" s="271" customFormat="1" ht="24" customHeight="1">
      <c r="A106" s="259"/>
      <c r="B106" s="260" t="s">
        <v>59</v>
      </c>
      <c r="C106" s="261">
        <v>1</v>
      </c>
      <c r="D106" s="262">
        <v>0</v>
      </c>
      <c r="E106" s="262">
        <v>1</v>
      </c>
      <c r="F106" s="262">
        <v>1</v>
      </c>
      <c r="G106" s="262">
        <v>1</v>
      </c>
      <c r="H106" s="263">
        <v>1</v>
      </c>
      <c r="I106" s="261">
        <v>1</v>
      </c>
      <c r="J106" s="261">
        <v>0</v>
      </c>
      <c r="K106" s="262">
        <v>1</v>
      </c>
      <c r="L106" s="262">
        <v>1</v>
      </c>
      <c r="M106" s="262">
        <v>1</v>
      </c>
      <c r="N106" s="263">
        <v>0</v>
      </c>
      <c r="O106" s="261">
        <v>1</v>
      </c>
      <c r="P106" s="261">
        <v>0</v>
      </c>
      <c r="Q106" s="262">
        <v>0</v>
      </c>
      <c r="R106" s="263">
        <v>0</v>
      </c>
      <c r="S106" s="261">
        <v>0</v>
      </c>
      <c r="T106" s="264"/>
      <c r="U106" s="265">
        <v>1886</v>
      </c>
      <c r="V106" s="266">
        <v>0</v>
      </c>
      <c r="W106" s="266">
        <v>255</v>
      </c>
      <c r="X106" s="266">
        <v>580</v>
      </c>
      <c r="Y106" s="266">
        <v>488</v>
      </c>
      <c r="Z106" s="266">
        <v>451</v>
      </c>
      <c r="AA106" s="294">
        <v>3660</v>
      </c>
      <c r="AB106" s="265">
        <v>0</v>
      </c>
      <c r="AC106" s="266">
        <v>694</v>
      </c>
      <c r="AD106" s="266">
        <v>657</v>
      </c>
      <c r="AE106" s="266">
        <v>364</v>
      </c>
      <c r="AF106" s="266">
        <v>0</v>
      </c>
      <c r="AG106" s="267">
        <v>1715</v>
      </c>
      <c r="AH106" s="266">
        <v>0</v>
      </c>
      <c r="AI106" s="266">
        <v>0</v>
      </c>
      <c r="AJ106" s="266">
        <v>0</v>
      </c>
      <c r="AK106" s="265">
        <v>0</v>
      </c>
      <c r="AL106" s="270"/>
      <c r="AM106" s="270"/>
    </row>
    <row r="107" spans="1:39" ht="13.9" customHeight="1">
      <c r="A107" s="239" t="s">
        <v>15</v>
      </c>
      <c r="B107" s="239" t="s">
        <v>53</v>
      </c>
      <c r="C107" s="241">
        <v>0.4333868378812199</v>
      </c>
      <c r="D107" s="242">
        <v>0.33293556085918852</v>
      </c>
      <c r="E107" s="242">
        <v>0.31850631521142231</v>
      </c>
      <c r="F107" s="242">
        <v>0.39875389408099687</v>
      </c>
      <c r="G107" s="242">
        <v>0.39523809523809522</v>
      </c>
      <c r="H107" s="243">
        <v>0</v>
      </c>
      <c r="I107" s="241">
        <v>0.36535631700651672</v>
      </c>
      <c r="J107" s="241">
        <v>0</v>
      </c>
      <c r="K107" s="242">
        <v>0.10719754977029096</v>
      </c>
      <c r="L107" s="242">
        <v>0.10010427528675704</v>
      </c>
      <c r="M107" s="242">
        <v>0.21818181818181817</v>
      </c>
      <c r="N107" s="243">
        <v>0</v>
      </c>
      <c r="O107" s="241">
        <v>0.10677864427114576</v>
      </c>
      <c r="P107" s="241">
        <v>0</v>
      </c>
      <c r="Q107" s="242">
        <v>0</v>
      </c>
      <c r="R107" s="243">
        <v>0</v>
      </c>
      <c r="S107" s="241">
        <v>0</v>
      </c>
      <c r="T107" s="253"/>
      <c r="U107" s="245">
        <v>540</v>
      </c>
      <c r="V107" s="246">
        <v>279</v>
      </c>
      <c r="W107" s="246">
        <v>580</v>
      </c>
      <c r="X107" s="246">
        <v>256</v>
      </c>
      <c r="Y107" s="246">
        <v>83</v>
      </c>
      <c r="Z107" s="246">
        <v>0</v>
      </c>
      <c r="AA107" s="292">
        <v>1738</v>
      </c>
      <c r="AB107" s="245">
        <v>0</v>
      </c>
      <c r="AC107" s="246">
        <v>70</v>
      </c>
      <c r="AD107" s="246">
        <v>96</v>
      </c>
      <c r="AE107" s="246">
        <v>12</v>
      </c>
      <c r="AF107" s="246">
        <v>0</v>
      </c>
      <c r="AG107" s="247">
        <v>178</v>
      </c>
      <c r="AH107" s="246">
        <v>0</v>
      </c>
      <c r="AI107" s="246">
        <v>0</v>
      </c>
      <c r="AJ107" s="246">
        <v>0</v>
      </c>
      <c r="AK107" s="245">
        <v>0</v>
      </c>
    </row>
    <row r="108" spans="1:39" ht="13.9" customHeight="1">
      <c r="A108" s="249"/>
      <c r="B108" s="239" t="s">
        <v>93</v>
      </c>
      <c r="C108" s="250">
        <v>0.2752808988764045</v>
      </c>
      <c r="D108" s="251">
        <v>0.25417661097852029</v>
      </c>
      <c r="E108" s="251">
        <v>0.25755079626578803</v>
      </c>
      <c r="F108" s="251">
        <v>0.27570093457943923</v>
      </c>
      <c r="G108" s="251">
        <v>0.19523809523809524</v>
      </c>
      <c r="H108" s="252">
        <v>0</v>
      </c>
      <c r="I108" s="250">
        <v>0.26129913811225564</v>
      </c>
      <c r="J108" s="250">
        <v>0</v>
      </c>
      <c r="K108" s="251">
        <v>0.45941807044410415</v>
      </c>
      <c r="L108" s="251">
        <v>0.44734098018769552</v>
      </c>
      <c r="M108" s="251">
        <v>0.45454545454545453</v>
      </c>
      <c r="N108" s="252">
        <v>0</v>
      </c>
      <c r="O108" s="250">
        <v>0.4523095380923815</v>
      </c>
      <c r="P108" s="250">
        <v>0</v>
      </c>
      <c r="Q108" s="251">
        <v>0</v>
      </c>
      <c r="R108" s="252">
        <v>0</v>
      </c>
      <c r="S108" s="250">
        <v>0</v>
      </c>
      <c r="T108" s="253"/>
      <c r="U108" s="254">
        <v>343</v>
      </c>
      <c r="V108" s="255">
        <v>213</v>
      </c>
      <c r="W108" s="255">
        <v>469</v>
      </c>
      <c r="X108" s="255">
        <v>177</v>
      </c>
      <c r="Y108" s="255">
        <v>41</v>
      </c>
      <c r="Z108" s="255">
        <v>0</v>
      </c>
      <c r="AA108" s="293">
        <v>1243</v>
      </c>
      <c r="AB108" s="254">
        <v>0</v>
      </c>
      <c r="AC108" s="255">
        <v>300</v>
      </c>
      <c r="AD108" s="255">
        <v>429</v>
      </c>
      <c r="AE108" s="255">
        <v>25</v>
      </c>
      <c r="AF108" s="255">
        <v>0</v>
      </c>
      <c r="AG108" s="256">
        <v>754</v>
      </c>
      <c r="AH108" s="255">
        <v>0</v>
      </c>
      <c r="AI108" s="255">
        <v>0</v>
      </c>
      <c r="AJ108" s="255">
        <v>0</v>
      </c>
      <c r="AK108" s="254">
        <v>0</v>
      </c>
    </row>
    <row r="109" spans="1:39" ht="13.9" customHeight="1">
      <c r="A109" s="249"/>
      <c r="B109" s="239" t="s">
        <v>55</v>
      </c>
      <c r="C109" s="250">
        <v>0.18860353130016053</v>
      </c>
      <c r="D109" s="251">
        <v>0.26730310262529833</v>
      </c>
      <c r="E109" s="251">
        <v>0.31685886875343217</v>
      </c>
      <c r="F109" s="251">
        <v>0.26947040498442365</v>
      </c>
      <c r="G109" s="251">
        <v>0.30476190476190479</v>
      </c>
      <c r="H109" s="252">
        <v>0</v>
      </c>
      <c r="I109" s="250">
        <v>0.26760563380281688</v>
      </c>
      <c r="J109" s="250">
        <v>0</v>
      </c>
      <c r="K109" s="251">
        <v>0.16998468606431852</v>
      </c>
      <c r="L109" s="251">
        <v>0.22732012513034411</v>
      </c>
      <c r="M109" s="251">
        <v>0.10909090909090909</v>
      </c>
      <c r="N109" s="252">
        <v>0</v>
      </c>
      <c r="O109" s="250">
        <v>0.20095980803839233</v>
      </c>
      <c r="P109" s="250">
        <v>0</v>
      </c>
      <c r="Q109" s="251">
        <v>0</v>
      </c>
      <c r="R109" s="252">
        <v>0</v>
      </c>
      <c r="S109" s="250">
        <v>0</v>
      </c>
      <c r="T109" s="253"/>
      <c r="U109" s="254">
        <v>235</v>
      </c>
      <c r="V109" s="255">
        <v>224</v>
      </c>
      <c r="W109" s="255">
        <v>577</v>
      </c>
      <c r="X109" s="255">
        <v>173</v>
      </c>
      <c r="Y109" s="255">
        <v>64</v>
      </c>
      <c r="Z109" s="255">
        <v>0</v>
      </c>
      <c r="AA109" s="293">
        <v>1273</v>
      </c>
      <c r="AB109" s="254">
        <v>0</v>
      </c>
      <c r="AC109" s="255">
        <v>111</v>
      </c>
      <c r="AD109" s="255">
        <v>218</v>
      </c>
      <c r="AE109" s="255">
        <v>6</v>
      </c>
      <c r="AF109" s="255">
        <v>0</v>
      </c>
      <c r="AG109" s="256">
        <v>335</v>
      </c>
      <c r="AH109" s="255">
        <v>0</v>
      </c>
      <c r="AI109" s="255">
        <v>0</v>
      </c>
      <c r="AJ109" s="255">
        <v>0</v>
      </c>
      <c r="AK109" s="254">
        <v>0</v>
      </c>
    </row>
    <row r="110" spans="1:39" ht="13.9" customHeight="1">
      <c r="A110" s="249"/>
      <c r="B110" s="239" t="s">
        <v>78</v>
      </c>
      <c r="C110" s="250">
        <v>8.4269662921348312E-2</v>
      </c>
      <c r="D110" s="251">
        <v>0.10978520286396182</v>
      </c>
      <c r="E110" s="251">
        <v>0.1070840197693575</v>
      </c>
      <c r="F110" s="251">
        <v>5.6074766355140186E-2</v>
      </c>
      <c r="G110" s="251">
        <v>0.10476190476190476</v>
      </c>
      <c r="H110" s="252">
        <v>0</v>
      </c>
      <c r="I110" s="250">
        <v>9.4597435358419177E-2</v>
      </c>
      <c r="J110" s="250">
        <v>0</v>
      </c>
      <c r="K110" s="251">
        <v>0.21286370597243492</v>
      </c>
      <c r="L110" s="251">
        <v>0.22523461939520334</v>
      </c>
      <c r="M110" s="251">
        <v>0.21818181818181817</v>
      </c>
      <c r="N110" s="252">
        <v>0</v>
      </c>
      <c r="O110" s="250">
        <v>0.22015596880623875</v>
      </c>
      <c r="P110" s="250">
        <v>0</v>
      </c>
      <c r="Q110" s="251">
        <v>0</v>
      </c>
      <c r="R110" s="252">
        <v>0</v>
      </c>
      <c r="S110" s="250">
        <v>0</v>
      </c>
      <c r="T110" s="253"/>
      <c r="U110" s="254">
        <v>105</v>
      </c>
      <c r="V110" s="255">
        <v>92</v>
      </c>
      <c r="W110" s="255">
        <v>195</v>
      </c>
      <c r="X110" s="255">
        <v>36</v>
      </c>
      <c r="Y110" s="255">
        <v>22</v>
      </c>
      <c r="Z110" s="255">
        <v>0</v>
      </c>
      <c r="AA110" s="293">
        <v>450</v>
      </c>
      <c r="AB110" s="254">
        <v>0</v>
      </c>
      <c r="AC110" s="255">
        <v>139</v>
      </c>
      <c r="AD110" s="255">
        <v>216</v>
      </c>
      <c r="AE110" s="255">
        <v>12</v>
      </c>
      <c r="AF110" s="255">
        <v>0</v>
      </c>
      <c r="AG110" s="256">
        <v>367</v>
      </c>
      <c r="AH110" s="255">
        <v>0</v>
      </c>
      <c r="AI110" s="255">
        <v>0</v>
      </c>
      <c r="AJ110" s="255">
        <v>0</v>
      </c>
      <c r="AK110" s="254">
        <v>0</v>
      </c>
    </row>
    <row r="111" spans="1:39" ht="13.9" customHeight="1">
      <c r="A111" s="249"/>
      <c r="B111" s="239" t="s">
        <v>32</v>
      </c>
      <c r="C111" s="250">
        <v>1.8459069020866775E-2</v>
      </c>
      <c r="D111" s="251">
        <v>3.5799522673031027E-2</v>
      </c>
      <c r="E111" s="251">
        <v>0</v>
      </c>
      <c r="F111" s="251">
        <v>0</v>
      </c>
      <c r="G111" s="251">
        <v>0</v>
      </c>
      <c r="H111" s="252">
        <v>0</v>
      </c>
      <c r="I111" s="250">
        <v>1.1141475719991592E-2</v>
      </c>
      <c r="J111" s="250">
        <v>0</v>
      </c>
      <c r="K111" s="251">
        <v>5.0535987748851458E-2</v>
      </c>
      <c r="L111" s="251">
        <v>0</v>
      </c>
      <c r="M111" s="251">
        <v>0</v>
      </c>
      <c r="N111" s="252">
        <v>0</v>
      </c>
      <c r="O111" s="250">
        <v>1.9796040791841631E-2</v>
      </c>
      <c r="P111" s="250">
        <v>0</v>
      </c>
      <c r="Q111" s="251">
        <v>0</v>
      </c>
      <c r="R111" s="252">
        <v>0</v>
      </c>
      <c r="S111" s="250">
        <v>0</v>
      </c>
      <c r="T111" s="253"/>
      <c r="U111" s="254">
        <v>23</v>
      </c>
      <c r="V111" s="255">
        <v>30</v>
      </c>
      <c r="W111" s="255">
        <v>0</v>
      </c>
      <c r="X111" s="255">
        <v>0</v>
      </c>
      <c r="Y111" s="255">
        <v>0</v>
      </c>
      <c r="Z111" s="255">
        <v>0</v>
      </c>
      <c r="AA111" s="293">
        <v>53</v>
      </c>
      <c r="AB111" s="254">
        <v>0</v>
      </c>
      <c r="AC111" s="255">
        <v>33</v>
      </c>
      <c r="AD111" s="255">
        <v>0</v>
      </c>
      <c r="AE111" s="255">
        <v>0</v>
      </c>
      <c r="AF111" s="255">
        <v>0</v>
      </c>
      <c r="AG111" s="256">
        <v>33</v>
      </c>
      <c r="AH111" s="255">
        <v>0</v>
      </c>
      <c r="AI111" s="255">
        <v>0</v>
      </c>
      <c r="AJ111" s="255">
        <v>0</v>
      </c>
      <c r="AK111" s="254">
        <v>0</v>
      </c>
    </row>
    <row r="112" spans="1:39" ht="13.9" customHeight="1">
      <c r="A112" s="249"/>
      <c r="B112" s="239" t="s">
        <v>58</v>
      </c>
      <c r="C112" s="250">
        <v>0</v>
      </c>
      <c r="D112" s="251">
        <v>0</v>
      </c>
      <c r="E112" s="251">
        <v>0</v>
      </c>
      <c r="F112" s="251">
        <v>0</v>
      </c>
      <c r="G112" s="251">
        <v>0</v>
      </c>
      <c r="H112" s="252">
        <v>0</v>
      </c>
      <c r="I112" s="250">
        <v>0</v>
      </c>
      <c r="J112" s="250">
        <v>0</v>
      </c>
      <c r="K112" s="251">
        <v>0</v>
      </c>
      <c r="L112" s="251">
        <v>0</v>
      </c>
      <c r="M112" s="251">
        <v>0</v>
      </c>
      <c r="N112" s="252">
        <v>0</v>
      </c>
      <c r="O112" s="250">
        <v>0</v>
      </c>
      <c r="P112" s="250">
        <v>0</v>
      </c>
      <c r="Q112" s="251">
        <v>0</v>
      </c>
      <c r="R112" s="252">
        <v>1</v>
      </c>
      <c r="S112" s="250">
        <v>1</v>
      </c>
      <c r="T112" s="253"/>
      <c r="U112" s="254">
        <v>0</v>
      </c>
      <c r="V112" s="255">
        <v>0</v>
      </c>
      <c r="W112" s="255">
        <v>0</v>
      </c>
      <c r="X112" s="255">
        <v>0</v>
      </c>
      <c r="Y112" s="255">
        <v>0</v>
      </c>
      <c r="Z112" s="255">
        <v>0</v>
      </c>
      <c r="AA112" s="293">
        <v>0</v>
      </c>
      <c r="AB112" s="254">
        <v>0</v>
      </c>
      <c r="AC112" s="255">
        <v>0</v>
      </c>
      <c r="AD112" s="255">
        <v>0</v>
      </c>
      <c r="AE112" s="255">
        <v>0</v>
      </c>
      <c r="AF112" s="255">
        <v>0</v>
      </c>
      <c r="AG112" s="256">
        <v>0</v>
      </c>
      <c r="AH112" s="255">
        <v>0</v>
      </c>
      <c r="AI112" s="255">
        <v>0</v>
      </c>
      <c r="AJ112" s="255">
        <v>277</v>
      </c>
      <c r="AK112" s="254">
        <v>277</v>
      </c>
    </row>
    <row r="113" spans="1:39" s="271" customFormat="1" ht="24" customHeight="1">
      <c r="A113" s="259"/>
      <c r="B113" s="260" t="s">
        <v>59</v>
      </c>
      <c r="C113" s="261">
        <v>1</v>
      </c>
      <c r="D113" s="262">
        <v>1</v>
      </c>
      <c r="E113" s="262">
        <v>1</v>
      </c>
      <c r="F113" s="262">
        <v>1</v>
      </c>
      <c r="G113" s="262">
        <v>1</v>
      </c>
      <c r="H113" s="263">
        <v>0</v>
      </c>
      <c r="I113" s="261">
        <v>1</v>
      </c>
      <c r="J113" s="261">
        <v>0</v>
      </c>
      <c r="K113" s="262">
        <v>1</v>
      </c>
      <c r="L113" s="262">
        <v>1</v>
      </c>
      <c r="M113" s="262">
        <v>1</v>
      </c>
      <c r="N113" s="263">
        <v>0</v>
      </c>
      <c r="O113" s="261">
        <v>1</v>
      </c>
      <c r="P113" s="261">
        <v>0</v>
      </c>
      <c r="Q113" s="262">
        <v>0</v>
      </c>
      <c r="R113" s="263">
        <v>1</v>
      </c>
      <c r="S113" s="261">
        <v>1</v>
      </c>
      <c r="T113" s="264"/>
      <c r="U113" s="265">
        <v>1246</v>
      </c>
      <c r="V113" s="266">
        <v>838</v>
      </c>
      <c r="W113" s="266">
        <v>1821</v>
      </c>
      <c r="X113" s="266">
        <v>642</v>
      </c>
      <c r="Y113" s="266">
        <v>210</v>
      </c>
      <c r="Z113" s="266">
        <v>0</v>
      </c>
      <c r="AA113" s="294">
        <v>4757</v>
      </c>
      <c r="AB113" s="265">
        <v>0</v>
      </c>
      <c r="AC113" s="266">
        <v>653</v>
      </c>
      <c r="AD113" s="266">
        <v>959</v>
      </c>
      <c r="AE113" s="266">
        <v>55</v>
      </c>
      <c r="AF113" s="266">
        <v>0</v>
      </c>
      <c r="AG113" s="267">
        <v>1667</v>
      </c>
      <c r="AH113" s="266">
        <v>0</v>
      </c>
      <c r="AI113" s="266">
        <v>0</v>
      </c>
      <c r="AJ113" s="266">
        <v>277</v>
      </c>
      <c r="AK113" s="265">
        <v>277</v>
      </c>
      <c r="AL113" s="270"/>
      <c r="AM113" s="270"/>
    </row>
    <row r="114" spans="1:39" ht="13.9" customHeight="1">
      <c r="A114" s="239" t="s">
        <v>16</v>
      </c>
      <c r="B114" s="239" t="s">
        <v>53</v>
      </c>
      <c r="C114" s="241">
        <v>0.37983770287141072</v>
      </c>
      <c r="D114" s="242">
        <v>0.32240853658536583</v>
      </c>
      <c r="E114" s="242">
        <v>0.26008245205233915</v>
      </c>
      <c r="F114" s="242">
        <v>0.147247119078105</v>
      </c>
      <c r="G114" s="242">
        <v>0.37234042553191488</v>
      </c>
      <c r="H114" s="243">
        <v>0.19649122807017544</v>
      </c>
      <c r="I114" s="241">
        <v>0.31219309772460058</v>
      </c>
      <c r="J114" s="241">
        <v>0</v>
      </c>
      <c r="K114" s="242">
        <v>0.21495327102803738</v>
      </c>
      <c r="L114" s="242">
        <v>4.0154984149348365E-2</v>
      </c>
      <c r="M114" s="242">
        <v>6.4364207221350084E-2</v>
      </c>
      <c r="N114" s="243">
        <v>0</v>
      </c>
      <c r="O114" s="241">
        <v>0.14944690265486726</v>
      </c>
      <c r="P114" s="241">
        <v>0</v>
      </c>
      <c r="Q114" s="242">
        <v>0</v>
      </c>
      <c r="R114" s="243">
        <v>0</v>
      </c>
      <c r="S114" s="241">
        <v>0</v>
      </c>
      <c r="T114" s="253"/>
      <c r="U114" s="245">
        <v>2434</v>
      </c>
      <c r="V114" s="246">
        <v>423</v>
      </c>
      <c r="W114" s="246">
        <v>1451</v>
      </c>
      <c r="X114" s="246">
        <v>115</v>
      </c>
      <c r="Y114" s="246">
        <v>35</v>
      </c>
      <c r="Z114" s="246">
        <v>56</v>
      </c>
      <c r="AA114" s="292">
        <v>4514</v>
      </c>
      <c r="AB114" s="245">
        <v>0</v>
      </c>
      <c r="AC114" s="246">
        <v>1196</v>
      </c>
      <c r="AD114" s="246">
        <v>114</v>
      </c>
      <c r="AE114" s="246">
        <v>41</v>
      </c>
      <c r="AF114" s="246">
        <v>0</v>
      </c>
      <c r="AG114" s="247">
        <v>1351</v>
      </c>
      <c r="AH114" s="246">
        <v>0</v>
      </c>
      <c r="AI114" s="246">
        <v>0</v>
      </c>
      <c r="AJ114" s="246">
        <v>0</v>
      </c>
      <c r="AK114" s="245">
        <v>0</v>
      </c>
    </row>
    <row r="115" spans="1:39" ht="13.9" customHeight="1">
      <c r="A115" s="249"/>
      <c r="B115" s="239" t="s">
        <v>93</v>
      </c>
      <c r="C115" s="250">
        <v>0.24266541822721599</v>
      </c>
      <c r="D115" s="251">
        <v>0.28201219512195119</v>
      </c>
      <c r="E115" s="251">
        <v>0.24807313138555295</v>
      </c>
      <c r="F115" s="251">
        <v>0.25992317541613319</v>
      </c>
      <c r="G115" s="251">
        <v>0.13829787234042554</v>
      </c>
      <c r="H115" s="252">
        <v>0.27719298245614032</v>
      </c>
      <c r="I115" s="250">
        <v>0.24925651843142679</v>
      </c>
      <c r="J115" s="250">
        <v>0</v>
      </c>
      <c r="K115" s="251">
        <v>0.10460100647016535</v>
      </c>
      <c r="L115" s="251">
        <v>3.9450510743219445E-2</v>
      </c>
      <c r="M115" s="251">
        <v>8.4772370486656201E-2</v>
      </c>
      <c r="N115" s="252">
        <v>0</v>
      </c>
      <c r="O115" s="250">
        <v>8.2743362831858402E-2</v>
      </c>
      <c r="P115" s="250">
        <v>0</v>
      </c>
      <c r="Q115" s="251">
        <v>0</v>
      </c>
      <c r="R115" s="252">
        <v>0</v>
      </c>
      <c r="S115" s="250">
        <v>0</v>
      </c>
      <c r="T115" s="253"/>
      <c r="U115" s="254">
        <v>1555</v>
      </c>
      <c r="V115" s="255">
        <v>370</v>
      </c>
      <c r="W115" s="255">
        <v>1384</v>
      </c>
      <c r="X115" s="255">
        <v>203</v>
      </c>
      <c r="Y115" s="255">
        <v>13</v>
      </c>
      <c r="Z115" s="255">
        <v>79</v>
      </c>
      <c r="AA115" s="293">
        <v>3604</v>
      </c>
      <c r="AB115" s="254">
        <v>0</v>
      </c>
      <c r="AC115" s="255">
        <v>582</v>
      </c>
      <c r="AD115" s="255">
        <v>112</v>
      </c>
      <c r="AE115" s="255">
        <v>54</v>
      </c>
      <c r="AF115" s="255">
        <v>0</v>
      </c>
      <c r="AG115" s="256">
        <v>748</v>
      </c>
      <c r="AH115" s="255">
        <v>0</v>
      </c>
      <c r="AI115" s="255">
        <v>0</v>
      </c>
      <c r="AJ115" s="255">
        <v>0</v>
      </c>
      <c r="AK115" s="254">
        <v>0</v>
      </c>
    </row>
    <row r="116" spans="1:39" ht="13.9" customHeight="1">
      <c r="A116" s="249"/>
      <c r="B116" s="239" t="s">
        <v>55</v>
      </c>
      <c r="C116" s="250">
        <v>0.20490012484394507</v>
      </c>
      <c r="D116" s="251">
        <v>0.28201219512195119</v>
      </c>
      <c r="E116" s="251">
        <v>0.28535579853020254</v>
      </c>
      <c r="F116" s="251">
        <v>0.35083226632522407</v>
      </c>
      <c r="G116" s="251">
        <v>0.44680851063829785</v>
      </c>
      <c r="H116" s="252">
        <v>0.27719298245614032</v>
      </c>
      <c r="I116" s="250">
        <v>0.25382114945708556</v>
      </c>
      <c r="J116" s="250">
        <v>0</v>
      </c>
      <c r="K116" s="251">
        <v>8.9503953989935298E-2</v>
      </c>
      <c r="L116" s="251">
        <v>5.9880239520958084E-2</v>
      </c>
      <c r="M116" s="251">
        <v>7.6923076923076927E-2</v>
      </c>
      <c r="N116" s="252">
        <v>0</v>
      </c>
      <c r="O116" s="250">
        <v>7.9314159292035405E-2</v>
      </c>
      <c r="P116" s="250">
        <v>0</v>
      </c>
      <c r="Q116" s="251">
        <v>0</v>
      </c>
      <c r="R116" s="252">
        <v>0</v>
      </c>
      <c r="S116" s="250">
        <v>0</v>
      </c>
      <c r="T116" s="253"/>
      <c r="U116" s="254">
        <v>1313</v>
      </c>
      <c r="V116" s="255">
        <v>370</v>
      </c>
      <c r="W116" s="255">
        <v>1592</v>
      </c>
      <c r="X116" s="255">
        <v>274</v>
      </c>
      <c r="Y116" s="255">
        <v>42</v>
      </c>
      <c r="Z116" s="255">
        <v>79</v>
      </c>
      <c r="AA116" s="293">
        <v>3670</v>
      </c>
      <c r="AB116" s="254">
        <v>0</v>
      </c>
      <c r="AC116" s="255">
        <v>498</v>
      </c>
      <c r="AD116" s="255">
        <v>170</v>
      </c>
      <c r="AE116" s="255">
        <v>49</v>
      </c>
      <c r="AF116" s="255">
        <v>0</v>
      </c>
      <c r="AG116" s="256">
        <v>717</v>
      </c>
      <c r="AH116" s="255">
        <v>0</v>
      </c>
      <c r="AI116" s="255">
        <v>0</v>
      </c>
      <c r="AJ116" s="255">
        <v>0</v>
      </c>
      <c r="AK116" s="254">
        <v>0</v>
      </c>
    </row>
    <row r="117" spans="1:39" ht="13.9" customHeight="1">
      <c r="A117" s="249"/>
      <c r="B117" s="239" t="s">
        <v>78</v>
      </c>
      <c r="C117" s="250">
        <v>8.5830212234706618E-3</v>
      </c>
      <c r="D117" s="251">
        <v>1.753048780487805E-2</v>
      </c>
      <c r="E117" s="251">
        <v>8.2631295931170468E-2</v>
      </c>
      <c r="F117" s="251">
        <v>0.15620998719590268</v>
      </c>
      <c r="G117" s="251">
        <v>4.2553191489361701E-2</v>
      </c>
      <c r="H117" s="252">
        <v>2.1052631578947368E-2</v>
      </c>
      <c r="I117" s="250">
        <v>4.6407082094197388E-2</v>
      </c>
      <c r="J117" s="250">
        <v>0</v>
      </c>
      <c r="K117" s="251">
        <v>0.34795111430625447</v>
      </c>
      <c r="L117" s="251">
        <v>0.43113772455089822</v>
      </c>
      <c r="M117" s="251">
        <v>0.4599686028257457</v>
      </c>
      <c r="N117" s="252">
        <v>0</v>
      </c>
      <c r="O117" s="250">
        <v>0.38196902654867254</v>
      </c>
      <c r="P117" s="250">
        <v>0</v>
      </c>
      <c r="Q117" s="251">
        <v>0</v>
      </c>
      <c r="R117" s="252">
        <v>0</v>
      </c>
      <c r="S117" s="250">
        <v>0</v>
      </c>
      <c r="T117" s="253"/>
      <c r="U117" s="254">
        <v>55</v>
      </c>
      <c r="V117" s="255">
        <v>23</v>
      </c>
      <c r="W117" s="255">
        <v>461</v>
      </c>
      <c r="X117" s="255">
        <v>122</v>
      </c>
      <c r="Y117" s="255">
        <v>4</v>
      </c>
      <c r="Z117" s="255">
        <v>6</v>
      </c>
      <c r="AA117" s="293">
        <v>671</v>
      </c>
      <c r="AB117" s="254">
        <v>0</v>
      </c>
      <c r="AC117" s="255">
        <v>1936</v>
      </c>
      <c r="AD117" s="255">
        <v>1224</v>
      </c>
      <c r="AE117" s="255">
        <v>293</v>
      </c>
      <c r="AF117" s="255">
        <v>0</v>
      </c>
      <c r="AG117" s="256">
        <v>3453</v>
      </c>
      <c r="AH117" s="255">
        <v>0</v>
      </c>
      <c r="AI117" s="255">
        <v>0</v>
      </c>
      <c r="AJ117" s="255">
        <v>0</v>
      </c>
      <c r="AK117" s="254">
        <v>0</v>
      </c>
    </row>
    <row r="118" spans="1:39" ht="13.9" customHeight="1">
      <c r="A118" s="249"/>
      <c r="B118" s="239" t="s">
        <v>32</v>
      </c>
      <c r="C118" s="250">
        <v>0.16401373283395757</v>
      </c>
      <c r="D118" s="251">
        <v>9.6036585365853661E-2</v>
      </c>
      <c r="E118" s="251">
        <v>0.1238573221007349</v>
      </c>
      <c r="F118" s="251">
        <v>8.5787451984635082E-2</v>
      </c>
      <c r="G118" s="251">
        <v>0</v>
      </c>
      <c r="H118" s="252">
        <v>0.22807017543859648</v>
      </c>
      <c r="I118" s="250">
        <v>0.13832215229268968</v>
      </c>
      <c r="J118" s="250">
        <v>0</v>
      </c>
      <c r="K118" s="273">
        <v>3.4148094895758447E-3</v>
      </c>
      <c r="L118" s="273">
        <v>2.8178936245156746E-3</v>
      </c>
      <c r="M118" s="251">
        <v>0</v>
      </c>
      <c r="N118" s="252">
        <v>0</v>
      </c>
      <c r="O118" s="272">
        <v>2.9867256637168141E-3</v>
      </c>
      <c r="P118" s="250">
        <v>0</v>
      </c>
      <c r="Q118" s="251">
        <v>0</v>
      </c>
      <c r="R118" s="252">
        <v>0</v>
      </c>
      <c r="S118" s="250">
        <v>0</v>
      </c>
      <c r="T118" s="253"/>
      <c r="U118" s="254">
        <v>1051</v>
      </c>
      <c r="V118" s="255">
        <v>126</v>
      </c>
      <c r="W118" s="255">
        <v>691</v>
      </c>
      <c r="X118" s="255">
        <v>67</v>
      </c>
      <c r="Y118" s="255">
        <v>0</v>
      </c>
      <c r="Z118" s="255">
        <v>65</v>
      </c>
      <c r="AA118" s="293">
        <v>2000</v>
      </c>
      <c r="AB118" s="254">
        <v>0</v>
      </c>
      <c r="AC118" s="255">
        <v>19</v>
      </c>
      <c r="AD118" s="255">
        <v>8</v>
      </c>
      <c r="AE118" s="255">
        <v>0</v>
      </c>
      <c r="AF118" s="255">
        <v>0</v>
      </c>
      <c r="AG118" s="256">
        <v>27</v>
      </c>
      <c r="AH118" s="255">
        <v>0</v>
      </c>
      <c r="AI118" s="255">
        <v>0</v>
      </c>
      <c r="AJ118" s="255">
        <v>0</v>
      </c>
      <c r="AK118" s="254">
        <v>0</v>
      </c>
    </row>
    <row r="119" spans="1:39" ht="13.9" customHeight="1">
      <c r="A119" s="249"/>
      <c r="B119" s="239" t="s">
        <v>58</v>
      </c>
      <c r="C119" s="250">
        <v>0</v>
      </c>
      <c r="D119" s="251">
        <v>0</v>
      </c>
      <c r="E119" s="251">
        <v>0</v>
      </c>
      <c r="F119" s="251">
        <v>0</v>
      </c>
      <c r="G119" s="251">
        <v>0</v>
      </c>
      <c r="H119" s="252">
        <v>0</v>
      </c>
      <c r="I119" s="250">
        <v>0</v>
      </c>
      <c r="J119" s="250">
        <v>0</v>
      </c>
      <c r="K119" s="251">
        <v>0.23957584471603163</v>
      </c>
      <c r="L119" s="251">
        <v>0.42655864741106025</v>
      </c>
      <c r="M119" s="251">
        <v>0.31397174254317112</v>
      </c>
      <c r="N119" s="252">
        <v>0</v>
      </c>
      <c r="O119" s="250">
        <v>0.30353982300884957</v>
      </c>
      <c r="P119" s="250">
        <v>0</v>
      </c>
      <c r="Q119" s="251">
        <v>0</v>
      </c>
      <c r="R119" s="252">
        <v>0</v>
      </c>
      <c r="S119" s="250">
        <v>0</v>
      </c>
      <c r="T119" s="253"/>
      <c r="U119" s="254">
        <v>0</v>
      </c>
      <c r="V119" s="255">
        <v>0</v>
      </c>
      <c r="W119" s="255">
        <v>0</v>
      </c>
      <c r="X119" s="255">
        <v>0</v>
      </c>
      <c r="Y119" s="255">
        <v>0</v>
      </c>
      <c r="Z119" s="255">
        <v>0</v>
      </c>
      <c r="AA119" s="293">
        <v>0</v>
      </c>
      <c r="AB119" s="254">
        <v>0</v>
      </c>
      <c r="AC119" s="255">
        <v>1333</v>
      </c>
      <c r="AD119" s="255">
        <v>1211</v>
      </c>
      <c r="AE119" s="255">
        <v>200</v>
      </c>
      <c r="AF119" s="255">
        <v>0</v>
      </c>
      <c r="AG119" s="256">
        <v>2744</v>
      </c>
      <c r="AH119" s="255">
        <v>0</v>
      </c>
      <c r="AI119" s="255">
        <v>0</v>
      </c>
      <c r="AJ119" s="255">
        <v>0</v>
      </c>
      <c r="AK119" s="254">
        <v>0</v>
      </c>
    </row>
    <row r="120" spans="1:39" s="271" customFormat="1" ht="24" customHeight="1">
      <c r="A120" s="259"/>
      <c r="B120" s="260" t="s">
        <v>59</v>
      </c>
      <c r="C120" s="261">
        <v>1</v>
      </c>
      <c r="D120" s="262">
        <v>1</v>
      </c>
      <c r="E120" s="262">
        <v>1</v>
      </c>
      <c r="F120" s="262">
        <v>1</v>
      </c>
      <c r="G120" s="262">
        <v>1</v>
      </c>
      <c r="H120" s="263">
        <v>1</v>
      </c>
      <c r="I120" s="261">
        <v>1</v>
      </c>
      <c r="J120" s="261">
        <v>0</v>
      </c>
      <c r="K120" s="262">
        <v>1</v>
      </c>
      <c r="L120" s="262">
        <v>1</v>
      </c>
      <c r="M120" s="262">
        <v>1</v>
      </c>
      <c r="N120" s="263">
        <v>0</v>
      </c>
      <c r="O120" s="261">
        <v>1</v>
      </c>
      <c r="P120" s="261">
        <v>0</v>
      </c>
      <c r="Q120" s="262">
        <v>0</v>
      </c>
      <c r="R120" s="263">
        <v>0</v>
      </c>
      <c r="S120" s="261">
        <v>0</v>
      </c>
      <c r="T120" s="264"/>
      <c r="U120" s="265">
        <v>6408</v>
      </c>
      <c r="V120" s="266">
        <v>1312</v>
      </c>
      <c r="W120" s="266">
        <v>5579</v>
      </c>
      <c r="X120" s="266">
        <v>781</v>
      </c>
      <c r="Y120" s="266">
        <v>94</v>
      </c>
      <c r="Z120" s="266">
        <v>285</v>
      </c>
      <c r="AA120" s="294">
        <v>14459</v>
      </c>
      <c r="AB120" s="265">
        <v>0</v>
      </c>
      <c r="AC120" s="266">
        <v>5564</v>
      </c>
      <c r="AD120" s="266">
        <v>2839</v>
      </c>
      <c r="AE120" s="266">
        <v>637</v>
      </c>
      <c r="AF120" s="266">
        <v>0</v>
      </c>
      <c r="AG120" s="267">
        <v>9040</v>
      </c>
      <c r="AH120" s="266">
        <v>0</v>
      </c>
      <c r="AI120" s="266">
        <v>0</v>
      </c>
      <c r="AJ120" s="266">
        <v>0</v>
      </c>
      <c r="AK120" s="265">
        <v>0</v>
      </c>
      <c r="AL120" s="270"/>
      <c r="AM120" s="270"/>
    </row>
    <row r="121" spans="1:39" ht="13.9" customHeight="1">
      <c r="A121" s="239" t="s">
        <v>17</v>
      </c>
      <c r="B121" s="239" t="s">
        <v>53</v>
      </c>
      <c r="C121" s="241">
        <v>0.41585002130379206</v>
      </c>
      <c r="D121" s="242">
        <v>0.30312722103766881</v>
      </c>
      <c r="E121" s="242">
        <v>0.33634538152610444</v>
      </c>
      <c r="F121" s="242">
        <v>0.27800829875518673</v>
      </c>
      <c r="G121" s="242">
        <v>0.19298245614035087</v>
      </c>
      <c r="H121" s="243">
        <v>0.26535087719298245</v>
      </c>
      <c r="I121" s="241">
        <v>0.33746215249105421</v>
      </c>
      <c r="J121" s="241">
        <v>0</v>
      </c>
      <c r="K121" s="242">
        <v>0</v>
      </c>
      <c r="L121" s="242">
        <v>0</v>
      </c>
      <c r="M121" s="242">
        <v>0.22857142857142856</v>
      </c>
      <c r="N121" s="243">
        <v>0.22929936305732485</v>
      </c>
      <c r="O121" s="241">
        <v>0.22928608650338719</v>
      </c>
      <c r="P121" s="241">
        <v>0</v>
      </c>
      <c r="Q121" s="242">
        <v>0</v>
      </c>
      <c r="R121" s="243">
        <v>0</v>
      </c>
      <c r="S121" s="241">
        <v>0</v>
      </c>
      <c r="T121" s="253"/>
      <c r="U121" s="245">
        <v>976</v>
      </c>
      <c r="V121" s="246">
        <v>853</v>
      </c>
      <c r="W121" s="246">
        <v>335</v>
      </c>
      <c r="X121" s="246">
        <v>134</v>
      </c>
      <c r="Y121" s="246">
        <v>33</v>
      </c>
      <c r="Z121" s="246">
        <v>121</v>
      </c>
      <c r="AA121" s="292">
        <v>2452</v>
      </c>
      <c r="AB121" s="245">
        <v>0</v>
      </c>
      <c r="AC121" s="246">
        <v>0</v>
      </c>
      <c r="AD121" s="246">
        <v>0</v>
      </c>
      <c r="AE121" s="246">
        <v>8</v>
      </c>
      <c r="AF121" s="246">
        <v>432</v>
      </c>
      <c r="AG121" s="247">
        <v>440</v>
      </c>
      <c r="AH121" s="246">
        <v>0</v>
      </c>
      <c r="AI121" s="246">
        <v>0</v>
      </c>
      <c r="AJ121" s="246">
        <v>0</v>
      </c>
      <c r="AK121" s="245">
        <v>0</v>
      </c>
    </row>
    <row r="122" spans="1:39" ht="13.9" customHeight="1">
      <c r="A122" s="249"/>
      <c r="B122" s="239" t="s">
        <v>93</v>
      </c>
      <c r="C122" s="250">
        <v>0.28121005538985938</v>
      </c>
      <c r="D122" s="251">
        <v>0.34399431414356785</v>
      </c>
      <c r="E122" s="251">
        <v>0.27510040160642568</v>
      </c>
      <c r="F122" s="251">
        <v>0.26763485477178423</v>
      </c>
      <c r="G122" s="251">
        <v>0.32163742690058478</v>
      </c>
      <c r="H122" s="252">
        <v>0.29166666666666669</v>
      </c>
      <c r="I122" s="250">
        <v>0.30539499036608864</v>
      </c>
      <c r="J122" s="250">
        <v>0</v>
      </c>
      <c r="K122" s="251">
        <v>0</v>
      </c>
      <c r="L122" s="251">
        <v>0</v>
      </c>
      <c r="M122" s="251">
        <v>0.45714285714285713</v>
      </c>
      <c r="N122" s="252">
        <v>0.32590233545647557</v>
      </c>
      <c r="O122" s="250">
        <v>0.32829598749348621</v>
      </c>
      <c r="P122" s="250">
        <v>0</v>
      </c>
      <c r="Q122" s="251">
        <v>0</v>
      </c>
      <c r="R122" s="252">
        <v>0</v>
      </c>
      <c r="S122" s="250">
        <v>0</v>
      </c>
      <c r="T122" s="253"/>
      <c r="U122" s="254">
        <v>660</v>
      </c>
      <c r="V122" s="255">
        <v>968</v>
      </c>
      <c r="W122" s="255">
        <v>274</v>
      </c>
      <c r="X122" s="255">
        <v>129</v>
      </c>
      <c r="Y122" s="255">
        <v>55</v>
      </c>
      <c r="Z122" s="255">
        <v>133</v>
      </c>
      <c r="AA122" s="293">
        <v>2219</v>
      </c>
      <c r="AB122" s="254">
        <v>0</v>
      </c>
      <c r="AC122" s="255">
        <v>0</v>
      </c>
      <c r="AD122" s="255">
        <v>0</v>
      </c>
      <c r="AE122" s="255">
        <v>16</v>
      </c>
      <c r="AF122" s="255">
        <v>614</v>
      </c>
      <c r="AG122" s="256">
        <v>630</v>
      </c>
      <c r="AH122" s="255">
        <v>0</v>
      </c>
      <c r="AI122" s="255">
        <v>0</v>
      </c>
      <c r="AJ122" s="255">
        <v>0</v>
      </c>
      <c r="AK122" s="254">
        <v>0</v>
      </c>
    </row>
    <row r="123" spans="1:39" ht="13.9" customHeight="1">
      <c r="A123" s="249"/>
      <c r="B123" s="239" t="s">
        <v>55</v>
      </c>
      <c r="C123" s="250">
        <v>0.20281210055389859</v>
      </c>
      <c r="D123" s="251">
        <v>0.24164889836531628</v>
      </c>
      <c r="E123" s="251">
        <v>0.29016064257028112</v>
      </c>
      <c r="F123" s="251">
        <v>0.32987551867219916</v>
      </c>
      <c r="G123" s="251">
        <v>0.35087719298245612</v>
      </c>
      <c r="H123" s="252">
        <v>0.31359649122807015</v>
      </c>
      <c r="I123" s="250">
        <v>0.24869254060005505</v>
      </c>
      <c r="J123" s="250">
        <v>0</v>
      </c>
      <c r="K123" s="251">
        <v>0</v>
      </c>
      <c r="L123" s="251">
        <v>0</v>
      </c>
      <c r="M123" s="251">
        <v>0.25714285714285712</v>
      </c>
      <c r="N123" s="252">
        <v>0.28927813163481952</v>
      </c>
      <c r="O123" s="250">
        <v>0.28869202709744657</v>
      </c>
      <c r="P123" s="250">
        <v>0</v>
      </c>
      <c r="Q123" s="251">
        <v>0</v>
      </c>
      <c r="R123" s="252">
        <v>0</v>
      </c>
      <c r="S123" s="250">
        <v>0</v>
      </c>
      <c r="T123" s="253"/>
      <c r="U123" s="254">
        <v>476</v>
      </c>
      <c r="V123" s="255">
        <v>680</v>
      </c>
      <c r="W123" s="255">
        <v>289</v>
      </c>
      <c r="X123" s="255">
        <v>159</v>
      </c>
      <c r="Y123" s="255">
        <v>60</v>
      </c>
      <c r="Z123" s="255">
        <v>143</v>
      </c>
      <c r="AA123" s="293">
        <v>1807</v>
      </c>
      <c r="AB123" s="254">
        <v>0</v>
      </c>
      <c r="AC123" s="255">
        <v>0</v>
      </c>
      <c r="AD123" s="255">
        <v>0</v>
      </c>
      <c r="AE123" s="255">
        <v>9</v>
      </c>
      <c r="AF123" s="255">
        <v>545</v>
      </c>
      <c r="AG123" s="256">
        <v>554</v>
      </c>
      <c r="AH123" s="255">
        <v>0</v>
      </c>
      <c r="AI123" s="255">
        <v>0</v>
      </c>
      <c r="AJ123" s="255">
        <v>0</v>
      </c>
      <c r="AK123" s="254">
        <v>0</v>
      </c>
    </row>
    <row r="124" spans="1:39" ht="13.9" customHeight="1">
      <c r="A124" s="249"/>
      <c r="B124" s="239" t="s">
        <v>78</v>
      </c>
      <c r="C124" s="250">
        <v>6.7746058798466124E-2</v>
      </c>
      <c r="D124" s="251">
        <v>8.137882018479034E-2</v>
      </c>
      <c r="E124" s="251">
        <v>9.8393574297188757E-2</v>
      </c>
      <c r="F124" s="251">
        <v>0.12448132780082988</v>
      </c>
      <c r="G124" s="251">
        <v>2.3391812865497075E-2</v>
      </c>
      <c r="H124" s="252">
        <v>6.1403508771929821E-2</v>
      </c>
      <c r="I124" s="250">
        <v>7.9548582438755844E-2</v>
      </c>
      <c r="J124" s="250">
        <v>0</v>
      </c>
      <c r="K124" s="251">
        <v>0</v>
      </c>
      <c r="L124" s="251">
        <v>0</v>
      </c>
      <c r="M124" s="251">
        <v>5.7142857142857141E-2</v>
      </c>
      <c r="N124" s="252">
        <v>0.15339702760084925</v>
      </c>
      <c r="O124" s="250">
        <v>0.15164147993746743</v>
      </c>
      <c r="P124" s="250">
        <v>0</v>
      </c>
      <c r="Q124" s="251">
        <v>0</v>
      </c>
      <c r="R124" s="252">
        <v>0</v>
      </c>
      <c r="S124" s="250">
        <v>0</v>
      </c>
      <c r="T124" s="253"/>
      <c r="U124" s="254">
        <v>159</v>
      </c>
      <c r="V124" s="255">
        <v>229</v>
      </c>
      <c r="W124" s="255">
        <v>98</v>
      </c>
      <c r="X124" s="255">
        <v>60</v>
      </c>
      <c r="Y124" s="255">
        <v>4</v>
      </c>
      <c r="Z124" s="255">
        <v>28</v>
      </c>
      <c r="AA124" s="293">
        <v>578</v>
      </c>
      <c r="AB124" s="254">
        <v>0</v>
      </c>
      <c r="AC124" s="255">
        <v>0</v>
      </c>
      <c r="AD124" s="255">
        <v>0</v>
      </c>
      <c r="AE124" s="255">
        <v>2</v>
      </c>
      <c r="AF124" s="255">
        <v>289</v>
      </c>
      <c r="AG124" s="256">
        <v>291</v>
      </c>
      <c r="AH124" s="255">
        <v>0</v>
      </c>
      <c r="AI124" s="255">
        <v>0</v>
      </c>
      <c r="AJ124" s="255">
        <v>0</v>
      </c>
      <c r="AK124" s="254">
        <v>0</v>
      </c>
    </row>
    <row r="125" spans="1:39" ht="13.9" customHeight="1">
      <c r="A125" s="249"/>
      <c r="B125" s="239" t="s">
        <v>32</v>
      </c>
      <c r="C125" s="250">
        <v>3.238176395398381E-2</v>
      </c>
      <c r="D125" s="251">
        <v>2.9850746268656716E-2</v>
      </c>
      <c r="E125" s="251">
        <v>0</v>
      </c>
      <c r="F125" s="251">
        <v>0</v>
      </c>
      <c r="G125" s="251">
        <v>0.1111111111111111</v>
      </c>
      <c r="H125" s="252">
        <v>6.798245614035088E-2</v>
      </c>
      <c r="I125" s="250">
        <v>2.8901734104046242E-2</v>
      </c>
      <c r="J125" s="250">
        <v>0</v>
      </c>
      <c r="K125" s="251">
        <v>0</v>
      </c>
      <c r="L125" s="251">
        <v>0</v>
      </c>
      <c r="M125" s="251">
        <v>0</v>
      </c>
      <c r="N125" s="258">
        <v>2.1231422505307855E-3</v>
      </c>
      <c r="O125" s="250">
        <v>2.0844189682126106E-3</v>
      </c>
      <c r="P125" s="250">
        <v>0</v>
      </c>
      <c r="Q125" s="251">
        <v>0</v>
      </c>
      <c r="R125" s="252">
        <v>0</v>
      </c>
      <c r="S125" s="250">
        <v>0</v>
      </c>
      <c r="T125" s="253"/>
      <c r="U125" s="254">
        <v>76</v>
      </c>
      <c r="V125" s="255">
        <v>84</v>
      </c>
      <c r="W125" s="255">
        <v>0</v>
      </c>
      <c r="X125" s="255">
        <v>0</v>
      </c>
      <c r="Y125" s="255">
        <v>19</v>
      </c>
      <c r="Z125" s="255">
        <v>31</v>
      </c>
      <c r="AA125" s="293">
        <v>210</v>
      </c>
      <c r="AB125" s="254">
        <v>0</v>
      </c>
      <c r="AC125" s="255">
        <v>0</v>
      </c>
      <c r="AD125" s="255">
        <v>0</v>
      </c>
      <c r="AE125" s="255">
        <v>0</v>
      </c>
      <c r="AF125" s="255">
        <v>4</v>
      </c>
      <c r="AG125" s="256">
        <v>4</v>
      </c>
      <c r="AH125" s="255">
        <v>0</v>
      </c>
      <c r="AI125" s="255">
        <v>0</v>
      </c>
      <c r="AJ125" s="255">
        <v>0</v>
      </c>
      <c r="AK125" s="254">
        <v>0</v>
      </c>
    </row>
    <row r="126" spans="1:39" ht="13.9" customHeight="1">
      <c r="A126" s="249"/>
      <c r="B126" s="239" t="s">
        <v>58</v>
      </c>
      <c r="C126" s="250">
        <v>0</v>
      </c>
      <c r="D126" s="251">
        <v>0</v>
      </c>
      <c r="E126" s="251">
        <v>0</v>
      </c>
      <c r="F126" s="251">
        <v>0</v>
      </c>
      <c r="G126" s="251">
        <v>0</v>
      </c>
      <c r="H126" s="252">
        <v>0</v>
      </c>
      <c r="I126" s="250">
        <v>0</v>
      </c>
      <c r="J126" s="250">
        <v>0</v>
      </c>
      <c r="K126" s="251">
        <v>0</v>
      </c>
      <c r="L126" s="251">
        <v>0</v>
      </c>
      <c r="M126" s="251">
        <v>0</v>
      </c>
      <c r="N126" s="252">
        <v>0</v>
      </c>
      <c r="O126" s="250">
        <v>0</v>
      </c>
      <c r="P126" s="250">
        <v>0</v>
      </c>
      <c r="Q126" s="251">
        <v>0</v>
      </c>
      <c r="R126" s="252">
        <v>0</v>
      </c>
      <c r="S126" s="250">
        <v>0</v>
      </c>
      <c r="T126" s="253"/>
      <c r="U126" s="254">
        <v>0</v>
      </c>
      <c r="V126" s="255">
        <v>0</v>
      </c>
      <c r="W126" s="255">
        <v>0</v>
      </c>
      <c r="X126" s="255">
        <v>0</v>
      </c>
      <c r="Y126" s="255">
        <v>0</v>
      </c>
      <c r="Z126" s="255">
        <v>0</v>
      </c>
      <c r="AA126" s="293">
        <v>0</v>
      </c>
      <c r="AB126" s="254">
        <v>0</v>
      </c>
      <c r="AC126" s="255">
        <v>0</v>
      </c>
      <c r="AD126" s="255">
        <v>0</v>
      </c>
      <c r="AE126" s="255">
        <v>0</v>
      </c>
      <c r="AF126" s="255">
        <v>0</v>
      </c>
      <c r="AG126" s="256">
        <v>0</v>
      </c>
      <c r="AH126" s="255">
        <v>0</v>
      </c>
      <c r="AI126" s="255">
        <v>0</v>
      </c>
      <c r="AJ126" s="255">
        <v>0</v>
      </c>
      <c r="AK126" s="254">
        <v>0</v>
      </c>
    </row>
    <row r="127" spans="1:39" s="271" customFormat="1" ht="24" customHeight="1">
      <c r="A127" s="259"/>
      <c r="B127" s="260" t="s">
        <v>59</v>
      </c>
      <c r="C127" s="261">
        <v>1</v>
      </c>
      <c r="D127" s="262">
        <v>1</v>
      </c>
      <c r="E127" s="262">
        <v>1</v>
      </c>
      <c r="F127" s="262">
        <v>1</v>
      </c>
      <c r="G127" s="262">
        <v>1</v>
      </c>
      <c r="H127" s="263">
        <v>1</v>
      </c>
      <c r="I127" s="261">
        <v>1</v>
      </c>
      <c r="J127" s="261">
        <v>0</v>
      </c>
      <c r="K127" s="262">
        <v>0</v>
      </c>
      <c r="L127" s="262">
        <v>0</v>
      </c>
      <c r="M127" s="262">
        <v>1</v>
      </c>
      <c r="N127" s="263">
        <v>1</v>
      </c>
      <c r="O127" s="261">
        <v>1</v>
      </c>
      <c r="P127" s="261">
        <v>0</v>
      </c>
      <c r="Q127" s="262">
        <v>0</v>
      </c>
      <c r="R127" s="263">
        <v>0</v>
      </c>
      <c r="S127" s="261">
        <v>0</v>
      </c>
      <c r="T127" s="264"/>
      <c r="U127" s="265">
        <v>2347</v>
      </c>
      <c r="V127" s="266">
        <v>2814</v>
      </c>
      <c r="W127" s="266">
        <v>996</v>
      </c>
      <c r="X127" s="266">
        <v>482</v>
      </c>
      <c r="Y127" s="266">
        <v>171</v>
      </c>
      <c r="Z127" s="266">
        <v>456</v>
      </c>
      <c r="AA127" s="294">
        <v>7266</v>
      </c>
      <c r="AB127" s="265">
        <v>0</v>
      </c>
      <c r="AC127" s="266">
        <v>0</v>
      </c>
      <c r="AD127" s="266">
        <v>0</v>
      </c>
      <c r="AE127" s="266">
        <v>35</v>
      </c>
      <c r="AF127" s="266">
        <v>1884</v>
      </c>
      <c r="AG127" s="267">
        <v>1919</v>
      </c>
      <c r="AH127" s="266">
        <v>0</v>
      </c>
      <c r="AI127" s="266">
        <v>0</v>
      </c>
      <c r="AJ127" s="266">
        <v>0</v>
      </c>
      <c r="AK127" s="265">
        <v>0</v>
      </c>
      <c r="AL127" s="270"/>
      <c r="AM127" s="270"/>
    </row>
    <row r="128" spans="1:39" ht="13.9" customHeight="1">
      <c r="A128" s="239" t="s">
        <v>18</v>
      </c>
      <c r="B128" s="239" t="s">
        <v>53</v>
      </c>
      <c r="C128" s="241">
        <v>0.41466498103666244</v>
      </c>
      <c r="D128" s="242">
        <v>0</v>
      </c>
      <c r="E128" s="242">
        <v>0.41544885177453028</v>
      </c>
      <c r="F128" s="242">
        <v>0</v>
      </c>
      <c r="G128" s="242">
        <v>0</v>
      </c>
      <c r="H128" s="243">
        <v>0.26349892008639308</v>
      </c>
      <c r="I128" s="241">
        <v>0.35109289617486339</v>
      </c>
      <c r="J128" s="241">
        <v>0.43181818181818182</v>
      </c>
      <c r="K128" s="242">
        <v>0</v>
      </c>
      <c r="L128" s="242">
        <v>0</v>
      </c>
      <c r="M128" s="242">
        <v>0.38356164383561642</v>
      </c>
      <c r="N128" s="243">
        <v>0</v>
      </c>
      <c r="O128" s="241">
        <v>0.40170940170940173</v>
      </c>
      <c r="P128" s="241">
        <v>0</v>
      </c>
      <c r="Q128" s="242">
        <v>0</v>
      </c>
      <c r="R128" s="243">
        <v>0</v>
      </c>
      <c r="S128" s="241">
        <v>0</v>
      </c>
      <c r="T128" s="253"/>
      <c r="U128" s="245">
        <v>328</v>
      </c>
      <c r="V128" s="246">
        <v>0</v>
      </c>
      <c r="W128" s="246">
        <v>199</v>
      </c>
      <c r="X128" s="246">
        <v>0</v>
      </c>
      <c r="Y128" s="246">
        <v>0</v>
      </c>
      <c r="Z128" s="246">
        <v>244</v>
      </c>
      <c r="AA128" s="292">
        <v>771</v>
      </c>
      <c r="AB128" s="245">
        <v>38</v>
      </c>
      <c r="AC128" s="246">
        <v>0</v>
      </c>
      <c r="AD128" s="246">
        <v>0</v>
      </c>
      <c r="AE128" s="246">
        <v>56</v>
      </c>
      <c r="AF128" s="246">
        <v>0</v>
      </c>
      <c r="AG128" s="247">
        <v>94</v>
      </c>
      <c r="AH128" s="246">
        <v>0</v>
      </c>
      <c r="AI128" s="246">
        <v>0</v>
      </c>
      <c r="AJ128" s="246">
        <v>0</v>
      </c>
      <c r="AK128" s="245">
        <v>0</v>
      </c>
    </row>
    <row r="129" spans="1:39" ht="13.9" customHeight="1">
      <c r="A129" s="249"/>
      <c r="B129" s="239" t="s">
        <v>93</v>
      </c>
      <c r="C129" s="250">
        <v>0.31479140328697852</v>
      </c>
      <c r="D129" s="251">
        <v>0</v>
      </c>
      <c r="E129" s="251">
        <v>0.24843423799582465</v>
      </c>
      <c r="F129" s="251">
        <v>0</v>
      </c>
      <c r="G129" s="251">
        <v>0</v>
      </c>
      <c r="H129" s="252">
        <v>0.30993520518358531</v>
      </c>
      <c r="I129" s="250">
        <v>0.29826958105646628</v>
      </c>
      <c r="J129" s="250">
        <v>0.20454545454545456</v>
      </c>
      <c r="K129" s="251">
        <v>0</v>
      </c>
      <c r="L129" s="251">
        <v>0</v>
      </c>
      <c r="M129" s="251">
        <v>0.23972602739726026</v>
      </c>
      <c r="N129" s="252">
        <v>0</v>
      </c>
      <c r="O129" s="250">
        <v>0.2264957264957265</v>
      </c>
      <c r="P129" s="250">
        <v>0</v>
      </c>
      <c r="Q129" s="251">
        <v>0</v>
      </c>
      <c r="R129" s="252">
        <v>0</v>
      </c>
      <c r="S129" s="250">
        <v>0</v>
      </c>
      <c r="T129" s="253"/>
      <c r="U129" s="254">
        <v>249</v>
      </c>
      <c r="V129" s="255">
        <v>0</v>
      </c>
      <c r="W129" s="255">
        <v>119</v>
      </c>
      <c r="X129" s="255">
        <v>0</v>
      </c>
      <c r="Y129" s="255">
        <v>0</v>
      </c>
      <c r="Z129" s="255">
        <v>287</v>
      </c>
      <c r="AA129" s="293">
        <v>655</v>
      </c>
      <c r="AB129" s="254">
        <v>18</v>
      </c>
      <c r="AC129" s="255">
        <v>0</v>
      </c>
      <c r="AD129" s="255">
        <v>0</v>
      </c>
      <c r="AE129" s="255">
        <v>35</v>
      </c>
      <c r="AF129" s="255">
        <v>0</v>
      </c>
      <c r="AG129" s="256">
        <v>53</v>
      </c>
      <c r="AH129" s="255">
        <v>0</v>
      </c>
      <c r="AI129" s="255">
        <v>0</v>
      </c>
      <c r="AJ129" s="255">
        <v>0</v>
      </c>
      <c r="AK129" s="254">
        <v>0</v>
      </c>
    </row>
    <row r="130" spans="1:39" ht="13.9" customHeight="1">
      <c r="A130" s="249"/>
      <c r="B130" s="239" t="s">
        <v>55</v>
      </c>
      <c r="C130" s="250">
        <v>0.24905183312262957</v>
      </c>
      <c r="D130" s="251">
        <v>0</v>
      </c>
      <c r="E130" s="251">
        <v>0.27139874739039666</v>
      </c>
      <c r="F130" s="251">
        <v>0</v>
      </c>
      <c r="G130" s="251">
        <v>0</v>
      </c>
      <c r="H130" s="252">
        <v>0.29805615550755937</v>
      </c>
      <c r="I130" s="250">
        <v>0.27459016393442626</v>
      </c>
      <c r="J130" s="250">
        <v>0.14772727272727273</v>
      </c>
      <c r="K130" s="251">
        <v>0</v>
      </c>
      <c r="L130" s="251">
        <v>0</v>
      </c>
      <c r="M130" s="251">
        <v>0.19863013698630136</v>
      </c>
      <c r="N130" s="252">
        <v>0</v>
      </c>
      <c r="O130" s="250">
        <v>0.17948717948717949</v>
      </c>
      <c r="P130" s="250">
        <v>0</v>
      </c>
      <c r="Q130" s="251">
        <v>0</v>
      </c>
      <c r="R130" s="252">
        <v>0</v>
      </c>
      <c r="S130" s="250">
        <v>0</v>
      </c>
      <c r="T130" s="253"/>
      <c r="U130" s="254">
        <v>197</v>
      </c>
      <c r="V130" s="255">
        <v>0</v>
      </c>
      <c r="W130" s="255">
        <v>130</v>
      </c>
      <c r="X130" s="255">
        <v>0</v>
      </c>
      <c r="Y130" s="255">
        <v>0</v>
      </c>
      <c r="Z130" s="255">
        <v>276</v>
      </c>
      <c r="AA130" s="293">
        <v>603</v>
      </c>
      <c r="AB130" s="254">
        <v>13</v>
      </c>
      <c r="AC130" s="255">
        <v>0</v>
      </c>
      <c r="AD130" s="255">
        <v>0</v>
      </c>
      <c r="AE130" s="255">
        <v>29</v>
      </c>
      <c r="AF130" s="255">
        <v>0</v>
      </c>
      <c r="AG130" s="256">
        <v>42</v>
      </c>
      <c r="AH130" s="255">
        <v>0</v>
      </c>
      <c r="AI130" s="255">
        <v>0</v>
      </c>
      <c r="AJ130" s="255">
        <v>0</v>
      </c>
      <c r="AK130" s="254">
        <v>0</v>
      </c>
    </row>
    <row r="131" spans="1:39" ht="13.9" customHeight="1">
      <c r="A131" s="249"/>
      <c r="B131" s="239" t="s">
        <v>78</v>
      </c>
      <c r="C131" s="250">
        <v>1.2642225031605562E-2</v>
      </c>
      <c r="D131" s="251">
        <v>0</v>
      </c>
      <c r="E131" s="251">
        <v>6.471816283924843E-2</v>
      </c>
      <c r="F131" s="251">
        <v>0</v>
      </c>
      <c r="G131" s="251">
        <v>0</v>
      </c>
      <c r="H131" s="252">
        <v>0.11663066954643629</v>
      </c>
      <c r="I131" s="250">
        <v>6.7850637522768667E-2</v>
      </c>
      <c r="J131" s="250">
        <v>0.21590909090909091</v>
      </c>
      <c r="K131" s="251">
        <v>0</v>
      </c>
      <c r="L131" s="251">
        <v>0</v>
      </c>
      <c r="M131" s="251">
        <v>0.17808219178082191</v>
      </c>
      <c r="N131" s="252">
        <v>0</v>
      </c>
      <c r="O131" s="250">
        <v>0.19230769230769232</v>
      </c>
      <c r="P131" s="250">
        <v>0</v>
      </c>
      <c r="Q131" s="251">
        <v>0</v>
      </c>
      <c r="R131" s="252">
        <v>0</v>
      </c>
      <c r="S131" s="250">
        <v>0</v>
      </c>
      <c r="T131" s="253"/>
      <c r="U131" s="254">
        <v>10</v>
      </c>
      <c r="V131" s="255">
        <v>0</v>
      </c>
      <c r="W131" s="255">
        <v>31</v>
      </c>
      <c r="X131" s="255">
        <v>0</v>
      </c>
      <c r="Y131" s="255">
        <v>0</v>
      </c>
      <c r="Z131" s="255">
        <v>108</v>
      </c>
      <c r="AA131" s="293">
        <v>149</v>
      </c>
      <c r="AB131" s="254">
        <v>19</v>
      </c>
      <c r="AC131" s="255">
        <v>0</v>
      </c>
      <c r="AD131" s="255">
        <v>0</v>
      </c>
      <c r="AE131" s="255">
        <v>26</v>
      </c>
      <c r="AF131" s="255">
        <v>0</v>
      </c>
      <c r="AG131" s="256">
        <v>45</v>
      </c>
      <c r="AH131" s="255">
        <v>0</v>
      </c>
      <c r="AI131" s="255">
        <v>0</v>
      </c>
      <c r="AJ131" s="255">
        <v>0</v>
      </c>
      <c r="AK131" s="254">
        <v>0</v>
      </c>
    </row>
    <row r="132" spans="1:39" ht="13.9" customHeight="1">
      <c r="A132" s="249"/>
      <c r="B132" s="239" t="s">
        <v>32</v>
      </c>
      <c r="C132" s="250">
        <v>8.8495575221238937E-3</v>
      </c>
      <c r="D132" s="251">
        <v>0</v>
      </c>
      <c r="E132" s="251">
        <v>0</v>
      </c>
      <c r="F132" s="251">
        <v>0</v>
      </c>
      <c r="G132" s="251">
        <v>0</v>
      </c>
      <c r="H132" s="252">
        <v>1.1879049676025918E-2</v>
      </c>
      <c r="I132" s="250">
        <v>8.1967213114754103E-3</v>
      </c>
      <c r="J132" s="250">
        <v>0</v>
      </c>
      <c r="K132" s="251">
        <v>0</v>
      </c>
      <c r="L132" s="251">
        <v>0</v>
      </c>
      <c r="M132" s="251">
        <v>0</v>
      </c>
      <c r="N132" s="252">
        <v>0</v>
      </c>
      <c r="O132" s="250">
        <v>0</v>
      </c>
      <c r="P132" s="250">
        <v>0</v>
      </c>
      <c r="Q132" s="251">
        <v>0</v>
      </c>
      <c r="R132" s="252">
        <v>0</v>
      </c>
      <c r="S132" s="250">
        <v>0</v>
      </c>
      <c r="T132" s="253"/>
      <c r="U132" s="254">
        <v>7</v>
      </c>
      <c r="V132" s="255">
        <v>0</v>
      </c>
      <c r="W132" s="255">
        <v>0</v>
      </c>
      <c r="X132" s="255">
        <v>0</v>
      </c>
      <c r="Y132" s="255">
        <v>0</v>
      </c>
      <c r="Z132" s="255">
        <v>11</v>
      </c>
      <c r="AA132" s="293">
        <v>18</v>
      </c>
      <c r="AB132" s="254">
        <v>0</v>
      </c>
      <c r="AC132" s="255">
        <v>0</v>
      </c>
      <c r="AD132" s="255">
        <v>0</v>
      </c>
      <c r="AE132" s="255">
        <v>0</v>
      </c>
      <c r="AF132" s="255">
        <v>0</v>
      </c>
      <c r="AG132" s="256">
        <v>0</v>
      </c>
      <c r="AH132" s="255">
        <v>0</v>
      </c>
      <c r="AI132" s="255">
        <v>0</v>
      </c>
      <c r="AJ132" s="255">
        <v>0</v>
      </c>
      <c r="AK132" s="254">
        <v>0</v>
      </c>
    </row>
    <row r="133" spans="1:39" ht="13.9" customHeight="1">
      <c r="A133" s="249"/>
      <c r="B133" s="239" t="s">
        <v>58</v>
      </c>
      <c r="C133" s="250">
        <v>0</v>
      </c>
      <c r="D133" s="251">
        <v>0</v>
      </c>
      <c r="E133" s="251">
        <v>0</v>
      </c>
      <c r="F133" s="251">
        <v>0</v>
      </c>
      <c r="G133" s="251">
        <v>0</v>
      </c>
      <c r="H133" s="252">
        <v>0</v>
      </c>
      <c r="I133" s="250">
        <v>0</v>
      </c>
      <c r="J133" s="250">
        <v>0</v>
      </c>
      <c r="K133" s="251">
        <v>0</v>
      </c>
      <c r="L133" s="251">
        <v>0</v>
      </c>
      <c r="M133" s="251">
        <v>0</v>
      </c>
      <c r="N133" s="252">
        <v>0</v>
      </c>
      <c r="O133" s="250">
        <v>0</v>
      </c>
      <c r="P133" s="250">
        <v>0</v>
      </c>
      <c r="Q133" s="251">
        <v>0</v>
      </c>
      <c r="R133" s="252">
        <v>0</v>
      </c>
      <c r="S133" s="250">
        <v>0</v>
      </c>
      <c r="T133" s="253"/>
      <c r="U133" s="254">
        <v>0</v>
      </c>
      <c r="V133" s="255">
        <v>0</v>
      </c>
      <c r="W133" s="255">
        <v>0</v>
      </c>
      <c r="X133" s="255">
        <v>0</v>
      </c>
      <c r="Y133" s="255">
        <v>0</v>
      </c>
      <c r="Z133" s="255">
        <v>0</v>
      </c>
      <c r="AA133" s="293">
        <v>0</v>
      </c>
      <c r="AB133" s="254">
        <v>0</v>
      </c>
      <c r="AC133" s="255">
        <v>0</v>
      </c>
      <c r="AD133" s="255">
        <v>0</v>
      </c>
      <c r="AE133" s="255">
        <v>0</v>
      </c>
      <c r="AF133" s="255">
        <v>0</v>
      </c>
      <c r="AG133" s="256">
        <v>0</v>
      </c>
      <c r="AH133" s="255">
        <v>0</v>
      </c>
      <c r="AI133" s="255">
        <v>0</v>
      </c>
      <c r="AJ133" s="255">
        <v>0</v>
      </c>
      <c r="AK133" s="254">
        <v>0</v>
      </c>
    </row>
    <row r="134" spans="1:39" s="271" customFormat="1" ht="24" customHeight="1">
      <c r="A134" s="259"/>
      <c r="B134" s="260" t="s">
        <v>59</v>
      </c>
      <c r="C134" s="261">
        <v>1</v>
      </c>
      <c r="D134" s="262">
        <v>0</v>
      </c>
      <c r="E134" s="262">
        <v>1</v>
      </c>
      <c r="F134" s="262">
        <v>0</v>
      </c>
      <c r="G134" s="262">
        <v>0</v>
      </c>
      <c r="H134" s="263">
        <v>1</v>
      </c>
      <c r="I134" s="261">
        <v>1</v>
      </c>
      <c r="J134" s="261">
        <v>1</v>
      </c>
      <c r="K134" s="262">
        <v>0</v>
      </c>
      <c r="L134" s="262">
        <v>0</v>
      </c>
      <c r="M134" s="262">
        <v>1</v>
      </c>
      <c r="N134" s="263">
        <v>0</v>
      </c>
      <c r="O134" s="261">
        <v>1</v>
      </c>
      <c r="P134" s="261">
        <v>0</v>
      </c>
      <c r="Q134" s="262">
        <v>0</v>
      </c>
      <c r="R134" s="263">
        <v>0</v>
      </c>
      <c r="S134" s="261">
        <v>0</v>
      </c>
      <c r="T134" s="264"/>
      <c r="U134" s="265">
        <v>791</v>
      </c>
      <c r="V134" s="266">
        <v>0</v>
      </c>
      <c r="W134" s="266">
        <v>479</v>
      </c>
      <c r="X134" s="266">
        <v>0</v>
      </c>
      <c r="Y134" s="266">
        <v>0</v>
      </c>
      <c r="Z134" s="266">
        <v>926</v>
      </c>
      <c r="AA134" s="294">
        <v>2196</v>
      </c>
      <c r="AB134" s="265">
        <v>88</v>
      </c>
      <c r="AC134" s="266">
        <v>0</v>
      </c>
      <c r="AD134" s="266">
        <v>0</v>
      </c>
      <c r="AE134" s="266">
        <v>146</v>
      </c>
      <c r="AF134" s="266">
        <v>0</v>
      </c>
      <c r="AG134" s="267">
        <v>234</v>
      </c>
      <c r="AH134" s="266">
        <v>0</v>
      </c>
      <c r="AI134" s="266">
        <v>0</v>
      </c>
      <c r="AJ134" s="266">
        <v>0</v>
      </c>
      <c r="AK134" s="265">
        <v>0</v>
      </c>
      <c r="AL134" s="270"/>
      <c r="AM134" s="270"/>
    </row>
  </sheetData>
  <phoneticPr fontId="0" type="noConversion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T152"/>
  <sheetViews>
    <sheetView workbookViewId="0"/>
  </sheetViews>
  <sheetFormatPr defaultRowHeight="12" customHeight="1"/>
  <cols>
    <col min="1" max="1" width="4.77734375" style="132" customWidth="1"/>
    <col min="2" max="2" width="11.88671875" style="132" bestFit="1" customWidth="1"/>
    <col min="3" max="10" width="6.44140625" style="132" customWidth="1"/>
    <col min="11" max="11" width="5.109375" style="132" customWidth="1"/>
    <col min="12" max="12" width="5.21875" style="132" customWidth="1"/>
    <col min="13" max="15" width="6.44140625" style="132" customWidth="1"/>
    <col min="16" max="17" width="6.33203125" style="132" customWidth="1"/>
    <col min="18" max="18" width="6.44140625" style="132" customWidth="1"/>
    <col min="19" max="20" width="6.44140625" style="132" hidden="1" customWidth="1"/>
    <col min="21" max="16384" width="8.88671875" style="132"/>
  </cols>
  <sheetData>
    <row r="1" spans="1:20" s="80" customFormat="1" ht="15.75">
      <c r="A1" s="139" t="s">
        <v>49</v>
      </c>
      <c r="B1" s="140"/>
      <c r="C1" s="141"/>
      <c r="D1" s="141"/>
      <c r="E1" s="142"/>
      <c r="F1" s="141"/>
      <c r="G1" s="141"/>
      <c r="H1" s="141"/>
      <c r="I1" s="141"/>
      <c r="J1" s="140"/>
      <c r="K1" s="140"/>
      <c r="L1" s="141"/>
      <c r="M1" s="141"/>
      <c r="N1" s="141"/>
      <c r="O1" s="141"/>
      <c r="P1" s="141"/>
      <c r="Q1" s="141"/>
      <c r="R1" s="141"/>
      <c r="S1" s="141"/>
      <c r="T1" s="141"/>
    </row>
    <row r="2" spans="1:20" s="80" customFormat="1" ht="15.75">
      <c r="A2" s="139" t="s">
        <v>108</v>
      </c>
      <c r="B2" s="140"/>
      <c r="C2" s="141"/>
      <c r="D2" s="141"/>
      <c r="E2" s="141"/>
      <c r="F2" s="141"/>
      <c r="G2" s="141"/>
      <c r="H2" s="141"/>
      <c r="I2" s="141"/>
      <c r="J2" s="140"/>
      <c r="K2" s="140"/>
      <c r="L2" s="141"/>
      <c r="M2" s="141"/>
      <c r="N2" s="141"/>
      <c r="O2" s="141"/>
      <c r="P2" s="141"/>
      <c r="Q2" s="141"/>
      <c r="R2" s="141"/>
      <c r="S2" s="141"/>
      <c r="T2" s="141"/>
    </row>
    <row r="3" spans="1:20" s="80" customFormat="1" ht="15">
      <c r="A3" s="143" t="s">
        <v>129</v>
      </c>
      <c r="B3" s="144"/>
      <c r="C3" s="145"/>
      <c r="D3" s="145"/>
      <c r="E3" s="145"/>
      <c r="F3" s="145"/>
      <c r="G3" s="145"/>
      <c r="H3" s="145"/>
      <c r="I3" s="145"/>
      <c r="J3" s="144"/>
      <c r="K3" s="144"/>
      <c r="L3" s="145"/>
      <c r="M3" s="145"/>
      <c r="N3" s="145"/>
      <c r="O3" s="145"/>
      <c r="P3" s="145"/>
      <c r="Q3" s="145"/>
      <c r="R3" s="145"/>
      <c r="S3" s="145"/>
      <c r="T3" s="145"/>
    </row>
    <row r="4" spans="1:20" s="80" customFormat="1" ht="12" customHeight="1">
      <c r="A4" s="143"/>
      <c r="B4" s="144"/>
      <c r="C4" s="145"/>
      <c r="D4" s="145"/>
      <c r="E4" s="145"/>
      <c r="F4" s="145"/>
      <c r="G4" s="145"/>
      <c r="H4" s="145"/>
      <c r="I4" s="145"/>
      <c r="J4" s="144"/>
      <c r="K4" s="144"/>
      <c r="L4" s="145"/>
      <c r="M4" s="145"/>
      <c r="N4" s="145"/>
      <c r="O4" s="145"/>
      <c r="P4" s="145"/>
      <c r="Q4" s="145"/>
      <c r="R4" s="145"/>
      <c r="S4" s="145"/>
      <c r="T4" s="145"/>
    </row>
    <row r="5" spans="1:20" s="80" customFormat="1" ht="12" customHeight="1">
      <c r="A5" s="133"/>
      <c r="B5" s="134"/>
      <c r="C5" s="85" t="s">
        <v>52</v>
      </c>
      <c r="D5" s="86"/>
      <c r="E5" s="86"/>
      <c r="F5" s="86"/>
      <c r="G5" s="86"/>
      <c r="H5" s="86"/>
      <c r="I5" s="86"/>
      <c r="J5" s="86"/>
      <c r="K5" s="86"/>
      <c r="L5" s="87" t="s">
        <v>95</v>
      </c>
      <c r="M5" s="86"/>
      <c r="N5" s="86"/>
      <c r="O5" s="86"/>
      <c r="P5" s="86"/>
      <c r="Q5" s="86"/>
      <c r="R5" s="86"/>
      <c r="S5" s="86"/>
      <c r="T5" s="86"/>
    </row>
    <row r="6" spans="1:20" s="80" customFormat="1" ht="12" customHeight="1">
      <c r="A6" s="136"/>
      <c r="B6" s="137"/>
      <c r="C6" s="85" t="s">
        <v>96</v>
      </c>
      <c r="D6" s="86"/>
      <c r="E6" s="86"/>
      <c r="F6" s="86"/>
      <c r="G6" s="86"/>
      <c r="H6" s="86"/>
      <c r="I6" s="189"/>
      <c r="J6" s="188" t="s">
        <v>97</v>
      </c>
      <c r="K6" s="89"/>
      <c r="L6" s="90" t="s">
        <v>96</v>
      </c>
      <c r="M6" s="91"/>
      <c r="N6" s="91"/>
      <c r="O6" s="91"/>
      <c r="P6" s="91"/>
      <c r="Q6" s="91"/>
      <c r="R6" s="91"/>
      <c r="S6" s="92" t="s">
        <v>97</v>
      </c>
      <c r="T6" s="91"/>
    </row>
    <row r="7" spans="1:20" s="80" customFormat="1" ht="12" customHeight="1">
      <c r="A7" s="138"/>
      <c r="B7" s="146"/>
      <c r="C7" s="93">
        <v>1</v>
      </c>
      <c r="D7" s="93">
        <v>2</v>
      </c>
      <c r="E7" s="93">
        <v>3</v>
      </c>
      <c r="F7" s="93">
        <v>4</v>
      </c>
      <c r="G7" s="93">
        <v>5</v>
      </c>
      <c r="H7" s="93">
        <v>6</v>
      </c>
      <c r="I7" s="190" t="s">
        <v>98</v>
      </c>
      <c r="J7" s="96">
        <v>1</v>
      </c>
      <c r="K7" s="95">
        <v>2</v>
      </c>
      <c r="L7" s="94">
        <v>1</v>
      </c>
      <c r="M7" s="93">
        <v>2</v>
      </c>
      <c r="N7" s="93">
        <v>3</v>
      </c>
      <c r="O7" s="93">
        <v>4</v>
      </c>
      <c r="P7" s="93">
        <v>5</v>
      </c>
      <c r="Q7" s="93">
        <v>6</v>
      </c>
      <c r="R7" s="93" t="s">
        <v>98</v>
      </c>
      <c r="S7" s="94">
        <v>1</v>
      </c>
      <c r="T7" s="96">
        <v>2</v>
      </c>
    </row>
    <row r="8" spans="1:20" s="80" customFormat="1" ht="12" customHeight="1">
      <c r="A8" s="136" t="s">
        <v>2</v>
      </c>
      <c r="B8" s="106" t="s">
        <v>53</v>
      </c>
      <c r="C8" s="197">
        <v>34704</v>
      </c>
      <c r="D8" s="197">
        <v>11542</v>
      </c>
      <c r="E8" s="197">
        <v>15513</v>
      </c>
      <c r="F8" s="197">
        <v>8522</v>
      </c>
      <c r="G8" s="197">
        <v>3188</v>
      </c>
      <c r="H8" s="197">
        <v>2004</v>
      </c>
      <c r="I8" s="198">
        <f>SUM(C8:H8)</f>
        <v>75473</v>
      </c>
      <c r="J8" s="199">
        <v>5882</v>
      </c>
      <c r="K8" s="200">
        <v>45</v>
      </c>
      <c r="L8" s="110">
        <f>+C8/C$14</f>
        <v>0.42101687512889879</v>
      </c>
      <c r="M8" s="110">
        <f t="shared" ref="M8:R14" si="0">+D8/D$14</f>
        <v>0.33708127683186823</v>
      </c>
      <c r="N8" s="110">
        <f t="shared" si="0"/>
        <v>0.35929683157309616</v>
      </c>
      <c r="O8" s="110">
        <f t="shared" si="0"/>
        <v>0.31063643653860173</v>
      </c>
      <c r="P8" s="110">
        <f t="shared" si="0"/>
        <v>0.29055778344877869</v>
      </c>
      <c r="Q8" s="110">
        <f t="shared" si="0"/>
        <v>0.26870474658085275</v>
      </c>
      <c r="R8" s="110">
        <f t="shared" si="0"/>
        <v>0.36689028243643967</v>
      </c>
      <c r="S8" s="121" t="e">
        <f>+J8/#REF!</f>
        <v>#REF!</v>
      </c>
      <c r="T8" s="122" t="e">
        <f>+K8/#REF!</f>
        <v>#REF!</v>
      </c>
    </row>
    <row r="9" spans="1:20" s="80" customFormat="1" ht="12" customHeight="1">
      <c r="A9" s="136"/>
      <c r="B9" s="106" t="s">
        <v>93</v>
      </c>
      <c r="C9" s="197">
        <v>21967</v>
      </c>
      <c r="D9" s="197">
        <v>10117</v>
      </c>
      <c r="E9" s="197">
        <v>10781</v>
      </c>
      <c r="F9" s="197">
        <v>7348</v>
      </c>
      <c r="G9" s="197">
        <v>2980</v>
      </c>
      <c r="H9" s="197">
        <v>2176</v>
      </c>
      <c r="I9" s="198">
        <f>SUM(C9:H9)</f>
        <v>55369</v>
      </c>
      <c r="J9" s="199">
        <v>4709</v>
      </c>
      <c r="K9" s="200">
        <v>84</v>
      </c>
      <c r="L9" s="110">
        <f t="shared" ref="L9:L14" si="1">+C9/C$14</f>
        <v>0.26649601475208967</v>
      </c>
      <c r="M9" s="110">
        <f t="shared" si="0"/>
        <v>0.29546450162086385</v>
      </c>
      <c r="N9" s="110">
        <f t="shared" si="0"/>
        <v>0.24969890680007412</v>
      </c>
      <c r="O9" s="110">
        <f t="shared" si="0"/>
        <v>0.26784282277465921</v>
      </c>
      <c r="P9" s="110">
        <f t="shared" si="0"/>
        <v>0.27160043747721474</v>
      </c>
      <c r="Q9" s="110">
        <f t="shared" si="0"/>
        <v>0.29176722982032716</v>
      </c>
      <c r="R9" s="110">
        <f t="shared" si="0"/>
        <v>0.26916046862087406</v>
      </c>
      <c r="S9" s="110" t="e">
        <f>+J9/#REF!</f>
        <v>#REF!</v>
      </c>
      <c r="T9" s="111" t="e">
        <f>+K9/#REF!</f>
        <v>#REF!</v>
      </c>
    </row>
    <row r="10" spans="1:20" s="80" customFormat="1" ht="12" customHeight="1">
      <c r="A10" s="136"/>
      <c r="B10" s="106" t="s">
        <v>55</v>
      </c>
      <c r="C10" s="197">
        <v>17450</v>
      </c>
      <c r="D10" s="197">
        <v>8811</v>
      </c>
      <c r="E10" s="197">
        <v>11624</v>
      </c>
      <c r="F10" s="197">
        <v>8332</v>
      </c>
      <c r="G10" s="197">
        <v>3402</v>
      </c>
      <c r="H10" s="197">
        <v>2270</v>
      </c>
      <c r="I10" s="198">
        <f>SUM(C10:H10)</f>
        <v>51889</v>
      </c>
      <c r="J10" s="199">
        <v>4295</v>
      </c>
      <c r="K10" s="200">
        <v>63</v>
      </c>
      <c r="L10" s="110">
        <f t="shared" si="1"/>
        <v>0.21169733952856398</v>
      </c>
      <c r="M10" s="110">
        <f t="shared" si="0"/>
        <v>0.25732309219941008</v>
      </c>
      <c r="N10" s="110">
        <f t="shared" si="0"/>
        <v>0.26922364276449878</v>
      </c>
      <c r="O10" s="110">
        <f t="shared" si="0"/>
        <v>0.30371072391922432</v>
      </c>
      <c r="P10" s="110">
        <f t="shared" si="0"/>
        <v>0.31006197593875318</v>
      </c>
      <c r="Q10" s="110">
        <f t="shared" si="0"/>
        <v>0.30437114507910967</v>
      </c>
      <c r="R10" s="110">
        <f t="shared" si="0"/>
        <v>0.25224344951630939</v>
      </c>
      <c r="S10" s="110" t="e">
        <f>+J10/#REF!</f>
        <v>#REF!</v>
      </c>
      <c r="T10" s="111" t="e">
        <f>+K10/#REF!</f>
        <v>#REF!</v>
      </c>
    </row>
    <row r="11" spans="1:20" s="80" customFormat="1" ht="12" customHeight="1">
      <c r="A11" s="136"/>
      <c r="B11" s="106" t="s">
        <v>78</v>
      </c>
      <c r="C11" s="197">
        <v>2976</v>
      </c>
      <c r="D11" s="197">
        <v>2164</v>
      </c>
      <c r="E11" s="197">
        <v>3136</v>
      </c>
      <c r="F11" s="197">
        <v>1921</v>
      </c>
      <c r="G11" s="197">
        <v>820</v>
      </c>
      <c r="H11" s="197">
        <v>668</v>
      </c>
      <c r="I11" s="198">
        <f>SUM(C11:H11)</f>
        <v>11685</v>
      </c>
      <c r="J11" s="199">
        <v>3023</v>
      </c>
      <c r="K11" s="200">
        <v>46</v>
      </c>
      <c r="L11" s="110">
        <f t="shared" si="1"/>
        <v>3.610379842045882E-2</v>
      </c>
      <c r="M11" s="110">
        <f t="shared" si="0"/>
        <v>6.3199088811658533E-2</v>
      </c>
      <c r="N11" s="110">
        <f t="shared" si="0"/>
        <v>7.2632944228274973E-2</v>
      </c>
      <c r="O11" s="110">
        <f t="shared" si="0"/>
        <v>7.0022599693810597E-2</v>
      </c>
      <c r="P11" s="110">
        <f t="shared" si="0"/>
        <v>7.4735690849434919E-2</v>
      </c>
      <c r="Q11" s="110">
        <f t="shared" si="0"/>
        <v>8.9568248860284264E-2</v>
      </c>
      <c r="R11" s="110">
        <f t="shared" si="0"/>
        <v>5.6803266734723641E-2</v>
      </c>
      <c r="S11" s="110" t="e">
        <f>+J11/#REF!</f>
        <v>#REF!</v>
      </c>
      <c r="T11" s="111" t="e">
        <f>+K11/#REF!</f>
        <v>#REF!</v>
      </c>
    </row>
    <row r="12" spans="1:20" s="80" customFormat="1" ht="12" customHeight="1">
      <c r="A12" s="136"/>
      <c r="B12" s="106" t="s">
        <v>32</v>
      </c>
      <c r="C12" s="197">
        <f>4145+1187</f>
        <v>5332</v>
      </c>
      <c r="D12" s="197">
        <f>1468+139</f>
        <v>1607</v>
      </c>
      <c r="E12" s="197">
        <f>1489+633</f>
        <v>2122</v>
      </c>
      <c r="F12" s="197">
        <f>1169+142</f>
        <v>1311</v>
      </c>
      <c r="G12" s="197">
        <f>494+88</f>
        <v>582</v>
      </c>
      <c r="H12" s="197">
        <f>308+32</f>
        <v>340</v>
      </c>
      <c r="I12" s="198">
        <f>SUM(C12:H12)</f>
        <v>11294</v>
      </c>
      <c r="J12" s="199">
        <f>112+132</f>
        <v>244</v>
      </c>
      <c r="K12" s="200">
        <v>116</v>
      </c>
      <c r="L12" s="110">
        <f t="shared" si="1"/>
        <v>6.4685972169988712E-2</v>
      </c>
      <c r="M12" s="110">
        <f t="shared" si="0"/>
        <v>4.6932040536199295E-2</v>
      </c>
      <c r="N12" s="110">
        <f t="shared" si="0"/>
        <v>4.9147674634055956E-2</v>
      </c>
      <c r="O12" s="110">
        <f t="shared" si="0"/>
        <v>4.778741707370416E-2</v>
      </c>
      <c r="P12" s="110">
        <f t="shared" si="0"/>
        <v>5.304411228581845E-2</v>
      </c>
      <c r="Q12" s="110">
        <f t="shared" si="0"/>
        <v>4.5588629659426116E-2</v>
      </c>
      <c r="R12" s="110">
        <f t="shared" si="0"/>
        <v>5.4902532691653301E-2</v>
      </c>
      <c r="S12" s="110" t="e">
        <f>+J12/#REF!</f>
        <v>#REF!</v>
      </c>
      <c r="T12" s="111" t="e">
        <f>+K12/#REF!</f>
        <v>#REF!</v>
      </c>
    </row>
    <row r="13" spans="1:20" ht="12" customHeight="1">
      <c r="A13" s="136"/>
      <c r="B13" s="106" t="s">
        <v>58</v>
      </c>
      <c r="C13" s="199"/>
      <c r="D13" s="199"/>
      <c r="E13" s="199"/>
      <c r="F13" s="199"/>
      <c r="G13" s="199"/>
      <c r="H13" s="199"/>
      <c r="I13" s="198"/>
      <c r="J13" s="199">
        <v>11133</v>
      </c>
      <c r="K13" s="200">
        <v>2788</v>
      </c>
      <c r="L13" s="110">
        <f t="shared" si="1"/>
        <v>0</v>
      </c>
      <c r="M13" s="110">
        <f t="shared" si="0"/>
        <v>0</v>
      </c>
      <c r="N13" s="110">
        <f t="shared" si="0"/>
        <v>0</v>
      </c>
      <c r="O13" s="110">
        <f t="shared" si="0"/>
        <v>0</v>
      </c>
      <c r="P13" s="110">
        <f t="shared" si="0"/>
        <v>0</v>
      </c>
      <c r="Q13" s="110">
        <f t="shared" si="0"/>
        <v>0</v>
      </c>
      <c r="R13" s="110">
        <f t="shared" si="0"/>
        <v>0</v>
      </c>
      <c r="S13" s="110" t="e">
        <f>+J13/#REF!</f>
        <v>#REF!</v>
      </c>
      <c r="T13" s="111" t="e">
        <f>+K13/#REF!</f>
        <v>#REF!</v>
      </c>
    </row>
    <row r="14" spans="1:20" ht="12" customHeight="1">
      <c r="A14" s="138"/>
      <c r="B14" s="114" t="s">
        <v>59</v>
      </c>
      <c r="C14" s="201">
        <f>SUM(C8:C12)</f>
        <v>82429</v>
      </c>
      <c r="D14" s="201">
        <f t="shared" ref="D14:I14" si="2">SUM(D8:D12)</f>
        <v>34241</v>
      </c>
      <c r="E14" s="201">
        <f t="shared" si="2"/>
        <v>43176</v>
      </c>
      <c r="F14" s="201">
        <f t="shared" si="2"/>
        <v>27434</v>
      </c>
      <c r="G14" s="201">
        <f t="shared" si="2"/>
        <v>10972</v>
      </c>
      <c r="H14" s="201">
        <f t="shared" si="2"/>
        <v>7458</v>
      </c>
      <c r="I14" s="202">
        <f t="shared" si="2"/>
        <v>205710</v>
      </c>
      <c r="J14" s="201">
        <f>SUM(J8:J13)</f>
        <v>29286</v>
      </c>
      <c r="K14" s="202">
        <f>SUM(K8:K13)</f>
        <v>3142</v>
      </c>
      <c r="L14" s="117">
        <f t="shared" si="1"/>
        <v>1</v>
      </c>
      <c r="M14" s="117">
        <f t="shared" si="0"/>
        <v>1</v>
      </c>
      <c r="N14" s="117">
        <f t="shared" si="0"/>
        <v>1</v>
      </c>
      <c r="O14" s="117">
        <f t="shared" si="0"/>
        <v>1</v>
      </c>
      <c r="P14" s="117">
        <f t="shared" si="0"/>
        <v>1</v>
      </c>
      <c r="Q14" s="117">
        <f t="shared" si="0"/>
        <v>1</v>
      </c>
      <c r="R14" s="196">
        <f t="shared" si="0"/>
        <v>1</v>
      </c>
      <c r="S14" s="117" t="e">
        <f>+J14/#REF!</f>
        <v>#REF!</v>
      </c>
      <c r="T14" s="118" t="e">
        <f>+K14/#REF!</f>
        <v>#REF!</v>
      </c>
    </row>
    <row r="15" spans="1:20" ht="12" customHeight="1">
      <c r="A15" s="132" t="s">
        <v>3</v>
      </c>
      <c r="B15" s="132" t="s">
        <v>53</v>
      </c>
      <c r="C15" s="132">
        <v>12513</v>
      </c>
      <c r="D15" s="132">
        <v>3819</v>
      </c>
      <c r="E15" s="132">
        <v>5340</v>
      </c>
      <c r="F15" s="132">
        <v>2184</v>
      </c>
      <c r="G15" s="132">
        <v>1227</v>
      </c>
      <c r="H15" s="132">
        <v>897</v>
      </c>
      <c r="I15" s="191">
        <v>25980</v>
      </c>
      <c r="J15" s="132">
        <v>2067</v>
      </c>
      <c r="K15" s="191">
        <v>0</v>
      </c>
      <c r="L15" s="194">
        <v>0.39207269309102305</v>
      </c>
      <c r="M15" s="194">
        <v>0.31117086286971402</v>
      </c>
      <c r="N15" s="194">
        <v>0.28295888088172955</v>
      </c>
      <c r="O15" s="194">
        <v>0.25885978428351308</v>
      </c>
      <c r="P15" s="194">
        <v>0.24817961165048544</v>
      </c>
      <c r="Q15" s="194">
        <v>0.25203708906996347</v>
      </c>
      <c r="R15" s="194">
        <v>0.32474999999999998</v>
      </c>
      <c r="S15" s="132">
        <v>6.7173964970093453E-2</v>
      </c>
      <c r="T15" s="132">
        <v>0</v>
      </c>
    </row>
    <row r="16" spans="1:20" ht="12" customHeight="1">
      <c r="B16" s="132" t="s">
        <v>93</v>
      </c>
      <c r="C16" s="132">
        <v>8880</v>
      </c>
      <c r="D16" s="132">
        <v>3663</v>
      </c>
      <c r="E16" s="132">
        <v>4932</v>
      </c>
      <c r="F16" s="132">
        <v>2165</v>
      </c>
      <c r="G16" s="132">
        <v>1282</v>
      </c>
      <c r="H16" s="132">
        <v>987</v>
      </c>
      <c r="I16" s="191">
        <v>21909</v>
      </c>
      <c r="J16" s="132">
        <v>3082</v>
      </c>
      <c r="K16" s="191">
        <v>183</v>
      </c>
      <c r="L16" s="194">
        <v>0.27823907253642488</v>
      </c>
      <c r="M16" s="194">
        <v>0.29846003422146172</v>
      </c>
      <c r="N16" s="194">
        <v>0.26133955065705805</v>
      </c>
      <c r="O16" s="194">
        <v>0.25660779898068031</v>
      </c>
      <c r="P16" s="194">
        <v>0.25930420711974111</v>
      </c>
      <c r="Q16" s="194">
        <v>0.27732509131778588</v>
      </c>
      <c r="R16" s="194">
        <v>0.27386250000000001</v>
      </c>
      <c r="S16" s="132">
        <v>0.10015972909425643</v>
      </c>
      <c r="T16" s="132">
        <v>5.0678482414843531E-2</v>
      </c>
    </row>
    <row r="17" spans="1:20" ht="12" customHeight="1">
      <c r="B17" s="132" t="s">
        <v>55</v>
      </c>
      <c r="C17" s="132">
        <v>6987</v>
      </c>
      <c r="D17" s="132">
        <v>3103</v>
      </c>
      <c r="E17" s="132">
        <v>5617</v>
      </c>
      <c r="F17" s="132">
        <v>2778</v>
      </c>
      <c r="G17" s="132">
        <v>1670</v>
      </c>
      <c r="H17" s="132">
        <v>1090</v>
      </c>
      <c r="I17" s="191">
        <v>21245</v>
      </c>
      <c r="J17" s="132">
        <v>2349</v>
      </c>
      <c r="K17" s="191">
        <v>201</v>
      </c>
      <c r="L17" s="194">
        <v>0.21892527024909916</v>
      </c>
      <c r="M17" s="194">
        <v>0.252831418561069</v>
      </c>
      <c r="N17" s="194">
        <v>0.29763671047053836</v>
      </c>
      <c r="O17" s="194">
        <v>0.32926395638260048</v>
      </c>
      <c r="P17" s="194">
        <v>0.3377831715210356</v>
      </c>
      <c r="Q17" s="194">
        <v>0.30626580500140488</v>
      </c>
      <c r="R17" s="194">
        <v>0.26556249999999998</v>
      </c>
      <c r="S17" s="132">
        <v>7.633848268734858E-2</v>
      </c>
      <c r="T17" s="132">
        <v>5.5663251176959291E-2</v>
      </c>
    </row>
    <row r="18" spans="1:20" ht="12" customHeight="1">
      <c r="B18" s="132" t="s">
        <v>78</v>
      </c>
      <c r="C18" s="132">
        <v>1577</v>
      </c>
      <c r="D18" s="132">
        <v>1074</v>
      </c>
      <c r="E18" s="132">
        <v>1675</v>
      </c>
      <c r="F18" s="132">
        <v>965</v>
      </c>
      <c r="G18" s="132">
        <v>542</v>
      </c>
      <c r="H18" s="132">
        <v>431</v>
      </c>
      <c r="I18" s="191">
        <v>6264</v>
      </c>
      <c r="J18" s="132">
        <v>1502</v>
      </c>
      <c r="K18" s="191">
        <v>212</v>
      </c>
      <c r="L18" s="194">
        <v>4.9412501958326804E-2</v>
      </c>
      <c r="M18" s="194">
        <v>8.7509166462967483E-2</v>
      </c>
      <c r="N18" s="194">
        <v>8.8755828740991943E-2</v>
      </c>
      <c r="O18" s="194">
        <v>0.11437714827545337</v>
      </c>
      <c r="P18" s="194">
        <v>0.10962783171521036</v>
      </c>
      <c r="Q18" s="194">
        <v>0.12110143298679404</v>
      </c>
      <c r="R18" s="194">
        <v>7.8299999999999995E-2</v>
      </c>
      <c r="S18" s="132">
        <v>4.8812431245805692E-2</v>
      </c>
      <c r="T18" s="132">
        <v>5.8709498753807807E-2</v>
      </c>
    </row>
    <row r="19" spans="1:20" ht="12" customHeight="1">
      <c r="B19" s="132" t="s">
        <v>32</v>
      </c>
      <c r="C19" s="132">
        <v>1958</v>
      </c>
      <c r="D19" s="132">
        <v>614</v>
      </c>
      <c r="E19" s="132">
        <v>1306</v>
      </c>
      <c r="F19" s="132">
        <v>345</v>
      </c>
      <c r="G19" s="132">
        <v>223</v>
      </c>
      <c r="H19" s="132">
        <v>154</v>
      </c>
      <c r="I19" s="191">
        <v>4600</v>
      </c>
      <c r="J19" s="132">
        <v>1627</v>
      </c>
      <c r="K19" s="191">
        <v>0</v>
      </c>
      <c r="L19" s="194">
        <v>6.1350462165126116E-2</v>
      </c>
      <c r="M19" s="194">
        <v>5.0028517884787745E-2</v>
      </c>
      <c r="N19" s="194">
        <v>6.9203052140737603E-2</v>
      </c>
      <c r="O19" s="194">
        <v>4.0891312077752755E-2</v>
      </c>
      <c r="P19" s="194">
        <v>4.5105177993527507E-2</v>
      </c>
      <c r="Q19" s="194">
        <v>4.3270581624051702E-2</v>
      </c>
      <c r="R19" s="194">
        <v>5.7500000000000002E-2</v>
      </c>
      <c r="S19" s="132">
        <v>5.287471746799325E-2</v>
      </c>
      <c r="T19" s="132">
        <v>0</v>
      </c>
    </row>
    <row r="20" spans="1:20" ht="12" customHeight="1">
      <c r="B20" s="132" t="s">
        <v>58</v>
      </c>
      <c r="C20" s="132">
        <v>0</v>
      </c>
      <c r="D20" s="132">
        <v>0</v>
      </c>
      <c r="E20" s="132">
        <v>2</v>
      </c>
      <c r="F20" s="132">
        <v>0</v>
      </c>
      <c r="G20" s="132">
        <v>0</v>
      </c>
      <c r="H20" s="132">
        <v>0</v>
      </c>
      <c r="I20" s="191">
        <v>2</v>
      </c>
      <c r="J20" s="132">
        <v>20143.849999999999</v>
      </c>
      <c r="K20" s="191">
        <v>3015</v>
      </c>
      <c r="L20" s="194">
        <v>0</v>
      </c>
      <c r="M20" s="194">
        <v>0</v>
      </c>
      <c r="N20" s="194">
        <v>1.0597710894446799E-4</v>
      </c>
      <c r="O20" s="194">
        <v>0</v>
      </c>
      <c r="P20" s="194">
        <v>0</v>
      </c>
      <c r="Q20" s="194">
        <v>0</v>
      </c>
      <c r="R20" s="194">
        <v>2.5000000000000001E-5</v>
      </c>
      <c r="S20" s="132">
        <v>0.65464067453450259</v>
      </c>
      <c r="T20" s="132">
        <v>0.83494876765438941</v>
      </c>
    </row>
    <row r="21" spans="1:20" ht="12" customHeight="1">
      <c r="A21" s="187"/>
      <c r="B21" s="187" t="s">
        <v>59</v>
      </c>
      <c r="C21" s="187">
        <v>31915</v>
      </c>
      <c r="D21" s="187">
        <v>12273</v>
      </c>
      <c r="E21" s="187">
        <v>18872</v>
      </c>
      <c r="F21" s="187">
        <v>8437</v>
      </c>
      <c r="G21" s="187">
        <v>4944</v>
      </c>
      <c r="H21" s="187">
        <v>3559</v>
      </c>
      <c r="I21" s="192">
        <v>80000</v>
      </c>
      <c r="J21" s="187">
        <v>30770.85</v>
      </c>
      <c r="K21" s="192">
        <v>3611</v>
      </c>
      <c r="L21" s="195">
        <v>1</v>
      </c>
      <c r="M21" s="195">
        <v>1</v>
      </c>
      <c r="N21" s="195">
        <v>1</v>
      </c>
      <c r="O21" s="195">
        <v>1</v>
      </c>
      <c r="P21" s="195">
        <v>1</v>
      </c>
      <c r="Q21" s="195">
        <v>1</v>
      </c>
      <c r="R21" s="195">
        <v>1</v>
      </c>
      <c r="S21" s="187">
        <v>1</v>
      </c>
      <c r="T21" s="187">
        <v>1</v>
      </c>
    </row>
    <row r="22" spans="1:20" ht="12" customHeight="1">
      <c r="A22" s="132" t="s">
        <v>4</v>
      </c>
      <c r="B22" s="132" t="s">
        <v>53</v>
      </c>
      <c r="C22" s="132">
        <v>866</v>
      </c>
      <c r="D22" s="132">
        <v>79</v>
      </c>
      <c r="E22" s="132">
        <v>303</v>
      </c>
      <c r="F22" s="132">
        <v>192</v>
      </c>
      <c r="G22" s="132">
        <v>89</v>
      </c>
      <c r="H22" s="132">
        <v>24</v>
      </c>
      <c r="I22" s="191">
        <v>1553</v>
      </c>
      <c r="J22" s="132">
        <v>0</v>
      </c>
      <c r="K22" s="191">
        <v>0</v>
      </c>
      <c r="L22" s="194">
        <v>0.36417157275021028</v>
      </c>
      <c r="M22" s="194">
        <v>0.29259259259259257</v>
      </c>
      <c r="N22" s="194">
        <v>0.30299999999999999</v>
      </c>
      <c r="O22" s="194">
        <v>0.33046471600688471</v>
      </c>
      <c r="P22" s="194">
        <v>0.22879177377892032</v>
      </c>
      <c r="Q22" s="194">
        <v>0.31168831168831168</v>
      </c>
      <c r="R22" s="194">
        <v>0.33077742279020234</v>
      </c>
      <c r="S22" s="132">
        <v>0</v>
      </c>
      <c r="T22" s="132">
        <v>0</v>
      </c>
    </row>
    <row r="23" spans="1:20" ht="12" customHeight="1">
      <c r="B23" s="132" t="s">
        <v>93</v>
      </c>
      <c r="C23" s="132">
        <v>753</v>
      </c>
      <c r="D23" s="132">
        <v>82</v>
      </c>
      <c r="E23" s="132">
        <v>241</v>
      </c>
      <c r="F23" s="132">
        <v>154</v>
      </c>
      <c r="G23" s="132">
        <v>106</v>
      </c>
      <c r="H23" s="132">
        <v>12</v>
      </c>
      <c r="I23" s="191">
        <v>1348</v>
      </c>
      <c r="J23" s="132">
        <v>0</v>
      </c>
      <c r="K23" s="191">
        <v>0</v>
      </c>
      <c r="L23" s="194">
        <v>0.31665264928511355</v>
      </c>
      <c r="M23" s="194">
        <v>0.3037037037037037</v>
      </c>
      <c r="N23" s="194">
        <v>0.24099999999999999</v>
      </c>
      <c r="O23" s="194">
        <v>0.26506024096385544</v>
      </c>
      <c r="P23" s="194">
        <v>0.27249357326478146</v>
      </c>
      <c r="Q23" s="194">
        <v>0.15584415584415584</v>
      </c>
      <c r="R23" s="194">
        <v>0.28711395101171461</v>
      </c>
      <c r="S23" s="132">
        <v>0</v>
      </c>
      <c r="T23" s="132">
        <v>0</v>
      </c>
    </row>
    <row r="24" spans="1:20" ht="12" customHeight="1">
      <c r="B24" s="132" t="s">
        <v>55</v>
      </c>
      <c r="C24" s="132">
        <v>514</v>
      </c>
      <c r="D24" s="132">
        <v>78</v>
      </c>
      <c r="E24" s="132">
        <v>335</v>
      </c>
      <c r="F24" s="132">
        <v>176</v>
      </c>
      <c r="G24" s="132">
        <v>127</v>
      </c>
      <c r="H24" s="132">
        <v>40</v>
      </c>
      <c r="I24" s="191">
        <v>1270</v>
      </c>
      <c r="J24" s="132">
        <v>0</v>
      </c>
      <c r="K24" s="191">
        <v>0</v>
      </c>
      <c r="L24" s="194">
        <v>0.21614802354920101</v>
      </c>
      <c r="M24" s="194">
        <v>0.28888888888888886</v>
      </c>
      <c r="N24" s="194">
        <v>0.33500000000000002</v>
      </c>
      <c r="O24" s="194">
        <v>0.30292598967297762</v>
      </c>
      <c r="P24" s="194">
        <v>0.32647814910025708</v>
      </c>
      <c r="Q24" s="194">
        <v>0.51948051948051943</v>
      </c>
      <c r="R24" s="194">
        <v>0.27050053248136313</v>
      </c>
      <c r="S24" s="132">
        <v>0</v>
      </c>
      <c r="T24" s="132">
        <v>0</v>
      </c>
    </row>
    <row r="25" spans="1:20" ht="12" customHeight="1">
      <c r="B25" s="132" t="s">
        <v>78</v>
      </c>
      <c r="C25" s="132">
        <v>215</v>
      </c>
      <c r="D25" s="132">
        <v>6</v>
      </c>
      <c r="E25" s="132">
        <v>117</v>
      </c>
      <c r="F25" s="132">
        <v>59</v>
      </c>
      <c r="G25" s="132">
        <v>63</v>
      </c>
      <c r="H25" s="132">
        <v>1</v>
      </c>
      <c r="I25" s="191">
        <v>461</v>
      </c>
      <c r="J25" s="132">
        <v>0</v>
      </c>
      <c r="K25" s="191">
        <v>0</v>
      </c>
      <c r="L25" s="194">
        <v>9.0412111017661903E-2</v>
      </c>
      <c r="M25" s="194">
        <v>2.2222222222222223E-2</v>
      </c>
      <c r="N25" s="194">
        <v>0.11700000000000001</v>
      </c>
      <c r="O25" s="194">
        <v>0.10154905335628227</v>
      </c>
      <c r="P25" s="194">
        <v>0.16195372750642673</v>
      </c>
      <c r="Q25" s="194">
        <v>1.2987012987012988E-2</v>
      </c>
      <c r="R25" s="194">
        <v>9.8189563365282215E-2</v>
      </c>
      <c r="S25" s="132">
        <v>0</v>
      </c>
      <c r="T25" s="132">
        <v>0</v>
      </c>
    </row>
    <row r="26" spans="1:20" ht="12" customHeight="1">
      <c r="B26" s="132" t="s">
        <v>32</v>
      </c>
      <c r="C26" s="132">
        <v>30</v>
      </c>
      <c r="D26" s="132">
        <v>25</v>
      </c>
      <c r="E26" s="132">
        <v>2</v>
      </c>
      <c r="F26" s="132">
        <v>0</v>
      </c>
      <c r="G26" s="132">
        <v>4</v>
      </c>
      <c r="H26" s="132">
        <v>0</v>
      </c>
      <c r="I26" s="191">
        <v>61</v>
      </c>
      <c r="J26" s="132">
        <v>0</v>
      </c>
      <c r="K26" s="191">
        <v>0</v>
      </c>
      <c r="L26" s="194">
        <v>1.2615643397813289E-2</v>
      </c>
      <c r="M26" s="194">
        <v>9.2592592592592587E-2</v>
      </c>
      <c r="N26" s="194">
        <v>2E-3</v>
      </c>
      <c r="O26" s="194">
        <v>0</v>
      </c>
      <c r="P26" s="194">
        <v>1.0282776349614395E-2</v>
      </c>
      <c r="Q26" s="194">
        <v>0</v>
      </c>
      <c r="R26" s="194">
        <v>1.2992545260915868E-2</v>
      </c>
      <c r="S26" s="132">
        <v>0</v>
      </c>
      <c r="T26" s="132">
        <v>0</v>
      </c>
    </row>
    <row r="27" spans="1:20" ht="12" customHeight="1">
      <c r="B27" s="132" t="s">
        <v>58</v>
      </c>
      <c r="C27" s="132">
        <v>0</v>
      </c>
      <c r="D27" s="132">
        <v>0</v>
      </c>
      <c r="E27" s="132">
        <v>2</v>
      </c>
      <c r="F27" s="132">
        <v>0</v>
      </c>
      <c r="G27" s="132">
        <v>0</v>
      </c>
      <c r="H27" s="132">
        <v>0</v>
      </c>
      <c r="I27" s="191">
        <v>2</v>
      </c>
      <c r="J27" s="132">
        <v>0</v>
      </c>
      <c r="K27" s="191">
        <v>0</v>
      </c>
      <c r="L27" s="194">
        <v>0</v>
      </c>
      <c r="M27" s="194">
        <v>0</v>
      </c>
      <c r="N27" s="194">
        <v>2E-3</v>
      </c>
      <c r="O27" s="194">
        <v>0</v>
      </c>
      <c r="P27" s="194">
        <v>0</v>
      </c>
      <c r="Q27" s="194">
        <v>0</v>
      </c>
      <c r="R27" s="194">
        <v>4.2598509052183171E-4</v>
      </c>
      <c r="S27" s="132">
        <v>0</v>
      </c>
      <c r="T27" s="132">
        <v>0</v>
      </c>
    </row>
    <row r="28" spans="1:20" ht="12" customHeight="1">
      <c r="A28" s="187"/>
      <c r="B28" s="187" t="s">
        <v>59</v>
      </c>
      <c r="C28" s="187">
        <v>2378</v>
      </c>
      <c r="D28" s="187">
        <v>270</v>
      </c>
      <c r="E28" s="187">
        <v>1000</v>
      </c>
      <c r="F28" s="187">
        <v>581</v>
      </c>
      <c r="G28" s="187">
        <v>389</v>
      </c>
      <c r="H28" s="187">
        <v>77</v>
      </c>
      <c r="I28" s="192">
        <v>4695</v>
      </c>
      <c r="J28" s="187">
        <v>0</v>
      </c>
      <c r="K28" s="192">
        <v>0</v>
      </c>
      <c r="L28" s="195">
        <v>1</v>
      </c>
      <c r="M28" s="195">
        <v>1</v>
      </c>
      <c r="N28" s="195">
        <v>1</v>
      </c>
      <c r="O28" s="195">
        <v>1</v>
      </c>
      <c r="P28" s="195">
        <v>1</v>
      </c>
      <c r="Q28" s="195">
        <v>1</v>
      </c>
      <c r="R28" s="195">
        <v>1</v>
      </c>
      <c r="S28" s="187">
        <v>0</v>
      </c>
      <c r="T28" s="187">
        <v>0</v>
      </c>
    </row>
    <row r="29" spans="1:20" ht="12" customHeight="1">
      <c r="A29" s="132" t="s">
        <v>5</v>
      </c>
      <c r="B29" s="132" t="s">
        <v>53</v>
      </c>
      <c r="C29" s="132">
        <v>303</v>
      </c>
      <c r="D29" s="132">
        <v>0</v>
      </c>
      <c r="E29" s="132">
        <v>323</v>
      </c>
      <c r="F29" s="132">
        <v>0</v>
      </c>
      <c r="G29" s="132">
        <v>122</v>
      </c>
      <c r="H29" s="132">
        <v>63</v>
      </c>
      <c r="I29" s="191">
        <v>811</v>
      </c>
      <c r="J29" s="132">
        <v>0</v>
      </c>
      <c r="K29" s="191">
        <v>0</v>
      </c>
      <c r="L29" s="194">
        <v>0.37269372693726938</v>
      </c>
      <c r="M29" s="194">
        <v>0</v>
      </c>
      <c r="N29" s="194">
        <v>0.27165685449957949</v>
      </c>
      <c r="O29" s="194">
        <v>0</v>
      </c>
      <c r="P29" s="194">
        <v>0.25311203319502074</v>
      </c>
      <c r="Q29" s="194">
        <v>0.21875</v>
      </c>
      <c r="R29" s="194">
        <v>0.29256854256854259</v>
      </c>
      <c r="S29" s="132">
        <v>0</v>
      </c>
      <c r="T29" s="132">
        <v>0</v>
      </c>
    </row>
    <row r="30" spans="1:20" ht="12" customHeight="1">
      <c r="B30" s="132" t="s">
        <v>93</v>
      </c>
      <c r="C30" s="132">
        <v>224</v>
      </c>
      <c r="D30" s="132">
        <v>0</v>
      </c>
      <c r="E30" s="132">
        <v>255</v>
      </c>
      <c r="F30" s="132">
        <v>0</v>
      </c>
      <c r="G30" s="132">
        <v>137</v>
      </c>
      <c r="H30" s="132">
        <v>59</v>
      </c>
      <c r="I30" s="191">
        <v>675</v>
      </c>
      <c r="J30" s="132">
        <v>0</v>
      </c>
      <c r="K30" s="191">
        <v>0</v>
      </c>
      <c r="L30" s="194">
        <v>0.27552275522755226</v>
      </c>
      <c r="M30" s="194">
        <v>0</v>
      </c>
      <c r="N30" s="194">
        <v>0.21446593776282591</v>
      </c>
      <c r="O30" s="194">
        <v>0</v>
      </c>
      <c r="P30" s="194">
        <v>0.28423236514522821</v>
      </c>
      <c r="Q30" s="194">
        <v>0.2048611111111111</v>
      </c>
      <c r="R30" s="194">
        <v>0.2435064935064935</v>
      </c>
      <c r="S30" s="132">
        <v>0</v>
      </c>
      <c r="T30" s="132">
        <v>0</v>
      </c>
    </row>
    <row r="31" spans="1:20" ht="12" customHeight="1">
      <c r="B31" s="132" t="s">
        <v>55</v>
      </c>
      <c r="C31" s="132">
        <v>171</v>
      </c>
      <c r="D31" s="132">
        <v>0</v>
      </c>
      <c r="E31" s="132">
        <v>321</v>
      </c>
      <c r="F31" s="132">
        <v>0</v>
      </c>
      <c r="G31" s="132">
        <v>148</v>
      </c>
      <c r="H31" s="132">
        <v>82</v>
      </c>
      <c r="I31" s="191">
        <v>722</v>
      </c>
      <c r="J31" s="132">
        <v>0</v>
      </c>
      <c r="K31" s="191">
        <v>0</v>
      </c>
      <c r="L31" s="194">
        <v>0.21033210332103322</v>
      </c>
      <c r="M31" s="194">
        <v>0</v>
      </c>
      <c r="N31" s="194">
        <v>0.26997476871320436</v>
      </c>
      <c r="O31" s="194">
        <v>0</v>
      </c>
      <c r="P31" s="194">
        <v>0.30705394190871371</v>
      </c>
      <c r="Q31" s="194">
        <v>0.28472222222222221</v>
      </c>
      <c r="R31" s="194">
        <v>0.26046176046176045</v>
      </c>
      <c r="S31" s="132">
        <v>0</v>
      </c>
      <c r="T31" s="132">
        <v>0</v>
      </c>
    </row>
    <row r="32" spans="1:20" ht="12" customHeight="1">
      <c r="B32" s="132" t="s">
        <v>78</v>
      </c>
      <c r="C32" s="132">
        <v>90</v>
      </c>
      <c r="D32" s="132">
        <v>0</v>
      </c>
      <c r="E32" s="132">
        <v>262</v>
      </c>
      <c r="F32" s="132">
        <v>0</v>
      </c>
      <c r="G32" s="132">
        <v>75</v>
      </c>
      <c r="H32" s="132">
        <v>84</v>
      </c>
      <c r="I32" s="191">
        <v>511</v>
      </c>
      <c r="J32" s="132">
        <v>0</v>
      </c>
      <c r="K32" s="191">
        <v>0</v>
      </c>
      <c r="L32" s="194">
        <v>0.11070110701107011</v>
      </c>
      <c r="M32" s="194">
        <v>0</v>
      </c>
      <c r="N32" s="194">
        <v>0.22035323801513879</v>
      </c>
      <c r="O32" s="194">
        <v>0</v>
      </c>
      <c r="P32" s="194">
        <v>0.15560165975103735</v>
      </c>
      <c r="Q32" s="194">
        <v>0.29166666666666669</v>
      </c>
      <c r="R32" s="194">
        <v>0.18434343434343434</v>
      </c>
      <c r="S32" s="132">
        <v>0</v>
      </c>
      <c r="T32" s="132">
        <v>0</v>
      </c>
    </row>
    <row r="33" spans="1:20" ht="12" customHeight="1">
      <c r="B33" s="132" t="s">
        <v>32</v>
      </c>
      <c r="C33" s="132">
        <v>25</v>
      </c>
      <c r="D33" s="132">
        <v>0</v>
      </c>
      <c r="E33" s="132">
        <v>28</v>
      </c>
      <c r="F33" s="132">
        <v>0</v>
      </c>
      <c r="G33" s="132">
        <v>0</v>
      </c>
      <c r="H33" s="132">
        <v>0</v>
      </c>
      <c r="I33" s="191">
        <v>53</v>
      </c>
      <c r="J33" s="132">
        <v>0</v>
      </c>
      <c r="K33" s="191">
        <v>0</v>
      </c>
      <c r="L33" s="194">
        <v>3.0750307503075031E-2</v>
      </c>
      <c r="M33" s="194">
        <v>0</v>
      </c>
      <c r="N33" s="194">
        <v>2.3549201009251473E-2</v>
      </c>
      <c r="O33" s="194">
        <v>0</v>
      </c>
      <c r="P33" s="194">
        <v>0</v>
      </c>
      <c r="Q33" s="194">
        <v>0</v>
      </c>
      <c r="R33" s="194">
        <v>1.911976911976912E-2</v>
      </c>
      <c r="S33" s="132">
        <v>0</v>
      </c>
      <c r="T33" s="132">
        <v>0</v>
      </c>
    </row>
    <row r="34" spans="1:20" ht="12" customHeight="1">
      <c r="B34" s="132" t="s">
        <v>58</v>
      </c>
      <c r="C34" s="132">
        <v>0</v>
      </c>
      <c r="D34" s="132">
        <v>0</v>
      </c>
      <c r="E34" s="132">
        <v>0</v>
      </c>
      <c r="F34" s="132">
        <v>0</v>
      </c>
      <c r="G34" s="132">
        <v>0</v>
      </c>
      <c r="H34" s="132">
        <v>0</v>
      </c>
      <c r="I34" s="191">
        <v>0</v>
      </c>
      <c r="J34" s="132">
        <v>1155</v>
      </c>
      <c r="K34" s="191">
        <v>0</v>
      </c>
      <c r="L34" s="194">
        <v>0</v>
      </c>
      <c r="M34" s="194">
        <v>0</v>
      </c>
      <c r="N34" s="194">
        <v>0</v>
      </c>
      <c r="O34" s="194">
        <v>0</v>
      </c>
      <c r="P34" s="194">
        <v>0</v>
      </c>
      <c r="Q34" s="194">
        <v>0</v>
      </c>
      <c r="R34" s="194">
        <v>0</v>
      </c>
      <c r="S34" s="132">
        <v>1</v>
      </c>
      <c r="T34" s="132">
        <v>0</v>
      </c>
    </row>
    <row r="35" spans="1:20" ht="12" customHeight="1">
      <c r="A35" s="187"/>
      <c r="B35" s="187" t="s">
        <v>59</v>
      </c>
      <c r="C35" s="187">
        <v>813</v>
      </c>
      <c r="D35" s="187">
        <v>0</v>
      </c>
      <c r="E35" s="187">
        <v>1189</v>
      </c>
      <c r="F35" s="187">
        <v>0</v>
      </c>
      <c r="G35" s="187">
        <v>482</v>
      </c>
      <c r="H35" s="187">
        <v>288</v>
      </c>
      <c r="I35" s="192">
        <v>2772</v>
      </c>
      <c r="J35" s="187">
        <v>1155</v>
      </c>
      <c r="K35" s="192">
        <v>0</v>
      </c>
      <c r="L35" s="195">
        <v>1</v>
      </c>
      <c r="M35" s="195">
        <v>0</v>
      </c>
      <c r="N35" s="195">
        <v>1</v>
      </c>
      <c r="O35" s="195">
        <v>0</v>
      </c>
      <c r="P35" s="195">
        <v>1</v>
      </c>
      <c r="Q35" s="195">
        <v>1</v>
      </c>
      <c r="R35" s="195">
        <v>1</v>
      </c>
      <c r="S35" s="187">
        <v>1</v>
      </c>
      <c r="T35" s="187">
        <v>0</v>
      </c>
    </row>
    <row r="36" spans="1:20" ht="12" customHeight="1">
      <c r="A36" s="132" t="s">
        <v>82</v>
      </c>
      <c r="B36" s="132" t="s">
        <v>53</v>
      </c>
      <c r="C36" s="132">
        <v>405</v>
      </c>
      <c r="D36" s="132">
        <v>0</v>
      </c>
      <c r="E36" s="132">
        <v>0</v>
      </c>
      <c r="F36" s="132">
        <v>41</v>
      </c>
      <c r="G36" s="132">
        <v>0</v>
      </c>
      <c r="H36" s="132">
        <v>0</v>
      </c>
      <c r="I36" s="191">
        <v>446</v>
      </c>
      <c r="J36" s="132">
        <v>0</v>
      </c>
      <c r="K36" s="191">
        <v>0</v>
      </c>
      <c r="L36" s="194">
        <v>0.38645038167938933</v>
      </c>
      <c r="M36" s="194">
        <v>0</v>
      </c>
      <c r="N36" s="194">
        <v>0</v>
      </c>
      <c r="O36" s="194">
        <v>0.23699421965317918</v>
      </c>
      <c r="P36" s="194">
        <v>0</v>
      </c>
      <c r="Q36" s="194">
        <v>0</v>
      </c>
      <c r="R36" s="194">
        <v>0.3652743652743653</v>
      </c>
      <c r="S36" s="132">
        <v>0</v>
      </c>
      <c r="T36" s="132">
        <v>0</v>
      </c>
    </row>
    <row r="37" spans="1:20" ht="12" customHeight="1">
      <c r="B37" s="132" t="s">
        <v>93</v>
      </c>
      <c r="C37" s="132">
        <v>318</v>
      </c>
      <c r="D37" s="132">
        <v>0</v>
      </c>
      <c r="E37" s="132">
        <v>0</v>
      </c>
      <c r="F37" s="132">
        <v>66</v>
      </c>
      <c r="G37" s="132">
        <v>0</v>
      </c>
      <c r="H37" s="132">
        <v>0</v>
      </c>
      <c r="I37" s="191">
        <v>384</v>
      </c>
      <c r="J37" s="132">
        <v>0</v>
      </c>
      <c r="K37" s="191">
        <v>0</v>
      </c>
      <c r="L37" s="194">
        <v>0.30343511450381677</v>
      </c>
      <c r="M37" s="194">
        <v>0</v>
      </c>
      <c r="N37" s="194">
        <v>0</v>
      </c>
      <c r="O37" s="194">
        <v>0.38150289017341038</v>
      </c>
      <c r="P37" s="194">
        <v>0</v>
      </c>
      <c r="Q37" s="194">
        <v>0</v>
      </c>
      <c r="R37" s="194">
        <v>0.31449631449631449</v>
      </c>
      <c r="S37" s="132">
        <v>0</v>
      </c>
      <c r="T37" s="132">
        <v>0</v>
      </c>
    </row>
    <row r="38" spans="1:20" ht="12" customHeight="1">
      <c r="B38" s="132" t="s">
        <v>55</v>
      </c>
      <c r="C38" s="132">
        <v>231</v>
      </c>
      <c r="D38" s="132">
        <v>0</v>
      </c>
      <c r="E38" s="132">
        <v>0</v>
      </c>
      <c r="F38" s="132">
        <v>56</v>
      </c>
      <c r="G38" s="132">
        <v>0</v>
      </c>
      <c r="H38" s="132">
        <v>0</v>
      </c>
      <c r="I38" s="191">
        <v>287</v>
      </c>
      <c r="J38" s="132">
        <v>0</v>
      </c>
      <c r="K38" s="191">
        <v>0</v>
      </c>
      <c r="L38" s="194">
        <v>0.22041984732824427</v>
      </c>
      <c r="M38" s="194">
        <v>0</v>
      </c>
      <c r="N38" s="194">
        <v>0</v>
      </c>
      <c r="O38" s="194">
        <v>0.32369942196531792</v>
      </c>
      <c r="P38" s="194">
        <v>0</v>
      </c>
      <c r="Q38" s="194">
        <v>0</v>
      </c>
      <c r="R38" s="194">
        <v>0.23505323505323505</v>
      </c>
      <c r="S38" s="132">
        <v>0</v>
      </c>
      <c r="T38" s="132">
        <v>0</v>
      </c>
    </row>
    <row r="39" spans="1:20" ht="12" customHeight="1">
      <c r="B39" s="132" t="s">
        <v>78</v>
      </c>
      <c r="C39" s="132">
        <v>94</v>
      </c>
      <c r="D39" s="132">
        <v>0</v>
      </c>
      <c r="E39" s="132">
        <v>0</v>
      </c>
      <c r="F39" s="132">
        <v>10</v>
      </c>
      <c r="G39" s="132">
        <v>0</v>
      </c>
      <c r="H39" s="132">
        <v>0</v>
      </c>
      <c r="I39" s="191">
        <v>104</v>
      </c>
      <c r="J39" s="132">
        <v>0</v>
      </c>
      <c r="K39" s="191">
        <v>0</v>
      </c>
      <c r="L39" s="194">
        <v>8.9694656488549615E-2</v>
      </c>
      <c r="M39" s="194">
        <v>0</v>
      </c>
      <c r="N39" s="194">
        <v>0</v>
      </c>
      <c r="O39" s="194">
        <v>5.7803468208092484E-2</v>
      </c>
      <c r="P39" s="194">
        <v>0</v>
      </c>
      <c r="Q39" s="194">
        <v>0</v>
      </c>
      <c r="R39" s="194">
        <v>8.5176085176085173E-2</v>
      </c>
      <c r="S39" s="132">
        <v>0</v>
      </c>
      <c r="T39" s="132">
        <v>0</v>
      </c>
    </row>
    <row r="40" spans="1:20" ht="12" customHeight="1">
      <c r="B40" s="132" t="s">
        <v>32</v>
      </c>
      <c r="C40" s="132">
        <v>0</v>
      </c>
      <c r="D40" s="132">
        <v>0</v>
      </c>
      <c r="E40" s="132">
        <v>0</v>
      </c>
      <c r="F40" s="132">
        <v>0</v>
      </c>
      <c r="G40" s="132">
        <v>0</v>
      </c>
      <c r="H40" s="132">
        <v>0</v>
      </c>
      <c r="I40" s="191">
        <v>0</v>
      </c>
      <c r="J40" s="132">
        <v>0</v>
      </c>
      <c r="K40" s="191">
        <v>0</v>
      </c>
      <c r="L40" s="194">
        <v>0</v>
      </c>
      <c r="M40" s="194">
        <v>0</v>
      </c>
      <c r="N40" s="194">
        <v>0</v>
      </c>
      <c r="O40" s="194">
        <v>0</v>
      </c>
      <c r="P40" s="194">
        <v>0</v>
      </c>
      <c r="Q40" s="194">
        <v>0</v>
      </c>
      <c r="R40" s="194">
        <v>0</v>
      </c>
      <c r="S40" s="132">
        <v>0</v>
      </c>
      <c r="T40" s="132">
        <v>0</v>
      </c>
    </row>
    <row r="41" spans="1:20" ht="12" customHeight="1">
      <c r="B41" s="132" t="s">
        <v>58</v>
      </c>
      <c r="C41" s="132">
        <v>0</v>
      </c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91">
        <v>0</v>
      </c>
      <c r="J41" s="132">
        <v>301</v>
      </c>
      <c r="K41" s="191">
        <v>0</v>
      </c>
      <c r="L41" s="194">
        <v>0</v>
      </c>
      <c r="M41" s="194">
        <v>0</v>
      </c>
      <c r="N41" s="194">
        <v>0</v>
      </c>
      <c r="O41" s="194">
        <v>0</v>
      </c>
      <c r="P41" s="194">
        <v>0</v>
      </c>
      <c r="Q41" s="194">
        <v>0</v>
      </c>
      <c r="R41" s="194">
        <v>0</v>
      </c>
      <c r="S41" s="132">
        <v>1</v>
      </c>
      <c r="T41" s="132">
        <v>0</v>
      </c>
    </row>
    <row r="42" spans="1:20" ht="12" customHeight="1">
      <c r="A42" s="187"/>
      <c r="B42" s="187" t="s">
        <v>59</v>
      </c>
      <c r="C42" s="187">
        <v>1048</v>
      </c>
      <c r="D42" s="187">
        <v>0</v>
      </c>
      <c r="E42" s="187">
        <v>0</v>
      </c>
      <c r="F42" s="187">
        <v>173</v>
      </c>
      <c r="G42" s="187">
        <v>0</v>
      </c>
      <c r="H42" s="187">
        <v>0</v>
      </c>
      <c r="I42" s="192">
        <v>1221</v>
      </c>
      <c r="J42" s="187">
        <v>301</v>
      </c>
      <c r="K42" s="192">
        <v>0</v>
      </c>
      <c r="L42" s="195">
        <v>1</v>
      </c>
      <c r="M42" s="195">
        <v>0</v>
      </c>
      <c r="N42" s="195">
        <v>0</v>
      </c>
      <c r="O42" s="195">
        <v>1</v>
      </c>
      <c r="P42" s="195">
        <v>0</v>
      </c>
      <c r="Q42" s="195">
        <v>0</v>
      </c>
      <c r="R42" s="195">
        <v>1</v>
      </c>
      <c r="S42" s="187">
        <v>1</v>
      </c>
      <c r="T42" s="187">
        <v>0</v>
      </c>
    </row>
    <row r="43" spans="1:20" ht="12" customHeight="1">
      <c r="A43" s="132" t="s">
        <v>6</v>
      </c>
      <c r="B43" s="132" t="s">
        <v>53</v>
      </c>
      <c r="C43" s="132">
        <v>1584</v>
      </c>
      <c r="D43" s="132">
        <v>666</v>
      </c>
      <c r="E43" s="132">
        <v>276</v>
      </c>
      <c r="F43" s="132">
        <v>0</v>
      </c>
      <c r="G43" s="132">
        <v>27</v>
      </c>
      <c r="H43" s="132">
        <v>0</v>
      </c>
      <c r="I43" s="191">
        <v>2553</v>
      </c>
      <c r="J43" s="132">
        <v>0</v>
      </c>
      <c r="K43" s="191">
        <v>0</v>
      </c>
      <c r="L43" s="194">
        <v>0.40532241555783011</v>
      </c>
      <c r="M43" s="194">
        <v>0.27139364303178481</v>
      </c>
      <c r="N43" s="194">
        <v>0.25321100917431194</v>
      </c>
      <c r="O43" s="194">
        <v>0</v>
      </c>
      <c r="P43" s="194">
        <v>0.16770186335403728</v>
      </c>
      <c r="Q43" s="194">
        <v>0</v>
      </c>
      <c r="R43" s="194">
        <v>0.33534743202416917</v>
      </c>
      <c r="S43" s="132">
        <v>0</v>
      </c>
      <c r="T43" s="132">
        <v>0</v>
      </c>
    </row>
    <row r="44" spans="1:20" ht="12" customHeight="1">
      <c r="B44" s="132" t="s">
        <v>93</v>
      </c>
      <c r="C44" s="132">
        <v>1101</v>
      </c>
      <c r="D44" s="132">
        <v>731</v>
      </c>
      <c r="E44" s="132">
        <v>301</v>
      </c>
      <c r="F44" s="132">
        <v>0</v>
      </c>
      <c r="G44" s="132">
        <v>46</v>
      </c>
      <c r="H44" s="132">
        <v>0</v>
      </c>
      <c r="I44" s="191">
        <v>2179</v>
      </c>
      <c r="J44" s="132">
        <v>0</v>
      </c>
      <c r="K44" s="191">
        <v>0</v>
      </c>
      <c r="L44" s="194">
        <v>0.28172978505629476</v>
      </c>
      <c r="M44" s="194">
        <v>0.29788101059494704</v>
      </c>
      <c r="N44" s="194">
        <v>0.27614678899082568</v>
      </c>
      <c r="O44" s="194">
        <v>0</v>
      </c>
      <c r="P44" s="194">
        <v>0.2857142857142857</v>
      </c>
      <c r="Q44" s="194">
        <v>0</v>
      </c>
      <c r="R44" s="194">
        <v>0.28622093786943387</v>
      </c>
      <c r="S44" s="132">
        <v>0</v>
      </c>
      <c r="T44" s="132">
        <v>0</v>
      </c>
    </row>
    <row r="45" spans="1:20" ht="12" customHeight="1">
      <c r="B45" s="132" t="s">
        <v>55</v>
      </c>
      <c r="C45" s="132">
        <v>979</v>
      </c>
      <c r="D45" s="132">
        <v>655</v>
      </c>
      <c r="E45" s="132">
        <v>359</v>
      </c>
      <c r="F45" s="132">
        <v>0</v>
      </c>
      <c r="G45" s="132">
        <v>67</v>
      </c>
      <c r="H45" s="132">
        <v>0</v>
      </c>
      <c r="I45" s="191">
        <v>2060</v>
      </c>
      <c r="J45" s="132">
        <v>0</v>
      </c>
      <c r="K45" s="191">
        <v>0</v>
      </c>
      <c r="L45" s="194">
        <v>0.25051177072671443</v>
      </c>
      <c r="M45" s="194">
        <v>0.26691116544417276</v>
      </c>
      <c r="N45" s="194">
        <v>0.32935779816513761</v>
      </c>
      <c r="O45" s="194">
        <v>0</v>
      </c>
      <c r="P45" s="194">
        <v>0.41614906832298137</v>
      </c>
      <c r="Q45" s="194">
        <v>0</v>
      </c>
      <c r="R45" s="194">
        <v>0.27058978063838174</v>
      </c>
      <c r="S45" s="132">
        <v>0</v>
      </c>
      <c r="T45" s="132">
        <v>0</v>
      </c>
    </row>
    <row r="46" spans="1:20" ht="12" customHeight="1">
      <c r="B46" s="132" t="s">
        <v>78</v>
      </c>
      <c r="C46" s="132">
        <v>190</v>
      </c>
      <c r="D46" s="132">
        <v>366</v>
      </c>
      <c r="E46" s="132">
        <v>120</v>
      </c>
      <c r="F46" s="132">
        <v>0</v>
      </c>
      <c r="G46" s="132">
        <v>20</v>
      </c>
      <c r="H46" s="132">
        <v>0</v>
      </c>
      <c r="I46" s="191">
        <v>696</v>
      </c>
      <c r="J46" s="132">
        <v>0</v>
      </c>
      <c r="K46" s="191">
        <v>0</v>
      </c>
      <c r="L46" s="194">
        <v>4.8618219037871037E-2</v>
      </c>
      <c r="M46" s="194">
        <v>0.1491442542787286</v>
      </c>
      <c r="N46" s="194">
        <v>0.11009174311926606</v>
      </c>
      <c r="O46" s="194">
        <v>0</v>
      </c>
      <c r="P46" s="194">
        <v>0.12422360248447205</v>
      </c>
      <c r="Q46" s="194">
        <v>0</v>
      </c>
      <c r="R46" s="194">
        <v>9.1422566662288193E-2</v>
      </c>
      <c r="S46" s="132">
        <v>0</v>
      </c>
      <c r="T46" s="132">
        <v>0</v>
      </c>
    </row>
    <row r="47" spans="1:20" ht="12" customHeight="1">
      <c r="B47" s="132" t="s">
        <v>32</v>
      </c>
      <c r="C47" s="132">
        <v>54</v>
      </c>
      <c r="D47" s="132">
        <v>36</v>
      </c>
      <c r="E47" s="132">
        <v>34</v>
      </c>
      <c r="F47" s="132">
        <v>0</v>
      </c>
      <c r="G47" s="132">
        <v>1</v>
      </c>
      <c r="H47" s="132">
        <v>0</v>
      </c>
      <c r="I47" s="191">
        <v>125</v>
      </c>
      <c r="J47" s="132">
        <v>0</v>
      </c>
      <c r="K47" s="191">
        <v>0</v>
      </c>
      <c r="L47" s="194">
        <v>1.3817809621289662E-2</v>
      </c>
      <c r="M47" s="194">
        <v>1.4669926650366748E-2</v>
      </c>
      <c r="N47" s="194">
        <v>3.1192660550458717E-2</v>
      </c>
      <c r="O47" s="194">
        <v>0</v>
      </c>
      <c r="P47" s="194">
        <v>6.2111801242236021E-3</v>
      </c>
      <c r="Q47" s="194">
        <v>0</v>
      </c>
      <c r="R47" s="194">
        <v>1.6419282805727044E-2</v>
      </c>
      <c r="S47" s="132">
        <v>0</v>
      </c>
      <c r="T47" s="132">
        <v>0</v>
      </c>
    </row>
    <row r="48" spans="1:20" ht="12" customHeight="1">
      <c r="B48" s="132" t="s">
        <v>58</v>
      </c>
      <c r="C48" s="132">
        <v>0</v>
      </c>
      <c r="D48" s="132">
        <v>0</v>
      </c>
      <c r="E48" s="132">
        <v>0</v>
      </c>
      <c r="F48" s="132">
        <v>0</v>
      </c>
      <c r="G48" s="132">
        <v>0</v>
      </c>
      <c r="H48" s="132">
        <v>0</v>
      </c>
      <c r="I48" s="191">
        <v>0</v>
      </c>
      <c r="J48" s="132">
        <v>4675</v>
      </c>
      <c r="K48" s="191">
        <v>0</v>
      </c>
      <c r="L48" s="194">
        <v>0</v>
      </c>
      <c r="M48" s="194">
        <v>0</v>
      </c>
      <c r="N48" s="194">
        <v>0</v>
      </c>
      <c r="O48" s="194">
        <v>0</v>
      </c>
      <c r="P48" s="194">
        <v>0</v>
      </c>
      <c r="Q48" s="194">
        <v>0</v>
      </c>
      <c r="R48" s="194">
        <v>0</v>
      </c>
      <c r="S48" s="132">
        <v>1</v>
      </c>
      <c r="T48" s="132">
        <v>0</v>
      </c>
    </row>
    <row r="49" spans="1:20" ht="12" customHeight="1">
      <c r="A49" s="187"/>
      <c r="B49" s="187" t="s">
        <v>59</v>
      </c>
      <c r="C49" s="187">
        <v>3908</v>
      </c>
      <c r="D49" s="187">
        <v>2454</v>
      </c>
      <c r="E49" s="187">
        <v>1090</v>
      </c>
      <c r="F49" s="187">
        <v>0</v>
      </c>
      <c r="G49" s="187">
        <v>161</v>
      </c>
      <c r="H49" s="187">
        <v>0</v>
      </c>
      <c r="I49" s="192">
        <v>7613</v>
      </c>
      <c r="J49" s="187">
        <v>4675</v>
      </c>
      <c r="K49" s="192">
        <v>0</v>
      </c>
      <c r="L49" s="195">
        <v>1</v>
      </c>
      <c r="M49" s="195">
        <v>1</v>
      </c>
      <c r="N49" s="195">
        <v>1</v>
      </c>
      <c r="O49" s="195">
        <v>0</v>
      </c>
      <c r="P49" s="195">
        <v>1</v>
      </c>
      <c r="Q49" s="195">
        <v>0</v>
      </c>
      <c r="R49" s="195">
        <v>1</v>
      </c>
      <c r="S49" s="187">
        <v>1</v>
      </c>
      <c r="T49" s="187">
        <v>0</v>
      </c>
    </row>
    <row r="50" spans="1:20" ht="12" customHeight="1">
      <c r="A50" s="132" t="s">
        <v>7</v>
      </c>
      <c r="B50" s="132" t="s">
        <v>53</v>
      </c>
      <c r="C50" s="132">
        <v>865</v>
      </c>
      <c r="D50" s="132">
        <v>319</v>
      </c>
      <c r="E50" s="132">
        <v>195</v>
      </c>
      <c r="F50" s="132">
        <v>295</v>
      </c>
      <c r="G50" s="132">
        <v>222</v>
      </c>
      <c r="H50" s="132">
        <v>66</v>
      </c>
      <c r="I50" s="191">
        <v>1962</v>
      </c>
      <c r="J50" s="132">
        <v>189</v>
      </c>
      <c r="K50" s="191">
        <v>0</v>
      </c>
      <c r="L50" s="194">
        <v>0.3425742574257426</v>
      </c>
      <c r="M50" s="194">
        <v>0.40949935815147626</v>
      </c>
      <c r="N50" s="194">
        <v>0.20207253886010362</v>
      </c>
      <c r="O50" s="194">
        <v>0.27467411545623838</v>
      </c>
      <c r="P50" s="194">
        <v>0.23819742489270387</v>
      </c>
      <c r="Q50" s="194">
        <v>0.27385892116182575</v>
      </c>
      <c r="R50" s="194">
        <v>0.30110497237569062</v>
      </c>
      <c r="S50" s="132">
        <v>0.15802675585284282</v>
      </c>
      <c r="T50" s="132">
        <v>0</v>
      </c>
    </row>
    <row r="51" spans="1:20" ht="12" customHeight="1">
      <c r="B51" s="132" t="s">
        <v>93</v>
      </c>
      <c r="C51" s="132">
        <v>758</v>
      </c>
      <c r="D51" s="132">
        <v>232</v>
      </c>
      <c r="E51" s="132">
        <v>222</v>
      </c>
      <c r="F51" s="132">
        <v>320</v>
      </c>
      <c r="G51" s="132">
        <v>306</v>
      </c>
      <c r="H51" s="132">
        <v>82</v>
      </c>
      <c r="I51" s="191">
        <v>1920</v>
      </c>
      <c r="J51" s="132">
        <v>345</v>
      </c>
      <c r="K51" s="191">
        <v>0</v>
      </c>
      <c r="L51" s="194">
        <v>0.30019801980198019</v>
      </c>
      <c r="M51" s="194">
        <v>0.29781771501925547</v>
      </c>
      <c r="N51" s="194">
        <v>0.23005181347150258</v>
      </c>
      <c r="O51" s="194">
        <v>0.297951582867784</v>
      </c>
      <c r="P51" s="194">
        <v>0.3283261802575107</v>
      </c>
      <c r="Q51" s="194">
        <v>0.34024896265560167</v>
      </c>
      <c r="R51" s="194">
        <v>0.29465930018416209</v>
      </c>
      <c r="S51" s="132">
        <v>0.28846153846153844</v>
      </c>
      <c r="T51" s="132">
        <v>0</v>
      </c>
    </row>
    <row r="52" spans="1:20" ht="12" customHeight="1">
      <c r="B52" s="132" t="s">
        <v>55</v>
      </c>
      <c r="C52" s="132">
        <v>737</v>
      </c>
      <c r="D52" s="132">
        <v>196</v>
      </c>
      <c r="E52" s="132">
        <v>411</v>
      </c>
      <c r="F52" s="132">
        <v>376</v>
      </c>
      <c r="G52" s="132">
        <v>373</v>
      </c>
      <c r="H52" s="132">
        <v>72</v>
      </c>
      <c r="I52" s="191">
        <v>2165</v>
      </c>
      <c r="J52" s="132">
        <v>487</v>
      </c>
      <c r="K52" s="191">
        <v>0</v>
      </c>
      <c r="L52" s="194">
        <v>0.29188118811881186</v>
      </c>
      <c r="M52" s="194">
        <v>0.251604621309371</v>
      </c>
      <c r="N52" s="194">
        <v>0.42590673575129534</v>
      </c>
      <c r="O52" s="194">
        <v>0.3500931098696462</v>
      </c>
      <c r="P52" s="194">
        <v>0.40021459227467809</v>
      </c>
      <c r="Q52" s="194">
        <v>0.29875518672199169</v>
      </c>
      <c r="R52" s="194">
        <v>0.33225905463474525</v>
      </c>
      <c r="S52" s="132">
        <v>0.40719063545150502</v>
      </c>
      <c r="T52" s="132">
        <v>0</v>
      </c>
    </row>
    <row r="53" spans="1:20" ht="12" customHeight="1">
      <c r="B53" s="132" t="s">
        <v>78</v>
      </c>
      <c r="C53" s="132">
        <v>103</v>
      </c>
      <c r="D53" s="132">
        <v>26</v>
      </c>
      <c r="E53" s="132">
        <v>137</v>
      </c>
      <c r="F53" s="132">
        <v>83</v>
      </c>
      <c r="G53" s="132">
        <v>31</v>
      </c>
      <c r="H53" s="132">
        <v>21</v>
      </c>
      <c r="I53" s="191">
        <v>401</v>
      </c>
      <c r="J53" s="132">
        <v>173</v>
      </c>
      <c r="K53" s="191">
        <v>0</v>
      </c>
      <c r="L53" s="194">
        <v>4.0792079207920794E-2</v>
      </c>
      <c r="M53" s="194">
        <v>3.3376123234916559E-2</v>
      </c>
      <c r="N53" s="194">
        <v>0.14196891191709846</v>
      </c>
      <c r="O53" s="194">
        <v>7.7281191806331473E-2</v>
      </c>
      <c r="P53" s="194">
        <v>3.3261802575107295E-2</v>
      </c>
      <c r="Q53" s="194">
        <v>8.7136929460580909E-2</v>
      </c>
      <c r="R53" s="194">
        <v>6.154082259054635E-2</v>
      </c>
      <c r="S53" s="132">
        <v>0.14464882943143811</v>
      </c>
      <c r="T53" s="132">
        <v>0</v>
      </c>
    </row>
    <row r="54" spans="1:20" ht="12" customHeight="1">
      <c r="B54" s="132" t="s">
        <v>32</v>
      </c>
      <c r="C54" s="132">
        <v>62</v>
      </c>
      <c r="D54" s="132">
        <v>6</v>
      </c>
      <c r="E54" s="132">
        <v>0</v>
      </c>
      <c r="F54" s="132">
        <v>0</v>
      </c>
      <c r="G54" s="132">
        <v>0</v>
      </c>
      <c r="H54" s="132">
        <v>0</v>
      </c>
      <c r="I54" s="191">
        <v>68</v>
      </c>
      <c r="J54" s="132">
        <v>2</v>
      </c>
      <c r="K54" s="191">
        <v>0</v>
      </c>
      <c r="L54" s="194">
        <v>2.4554455445544555E-2</v>
      </c>
      <c r="M54" s="194">
        <v>7.7021822849807449E-3</v>
      </c>
      <c r="N54" s="194">
        <v>0</v>
      </c>
      <c r="O54" s="194">
        <v>0</v>
      </c>
      <c r="P54" s="194">
        <v>0</v>
      </c>
      <c r="Q54" s="194">
        <v>0</v>
      </c>
      <c r="R54" s="194">
        <v>1.0435850214855739E-2</v>
      </c>
      <c r="S54" s="132">
        <v>1.6722408026755853E-3</v>
      </c>
      <c r="T54" s="132">
        <v>0</v>
      </c>
    </row>
    <row r="55" spans="1:20" ht="12" customHeight="1">
      <c r="B55" s="132" t="s">
        <v>58</v>
      </c>
      <c r="C55" s="132">
        <v>0</v>
      </c>
      <c r="D55" s="132">
        <v>0</v>
      </c>
      <c r="E55" s="132">
        <v>0</v>
      </c>
      <c r="F55" s="132">
        <v>0</v>
      </c>
      <c r="G55" s="132">
        <v>0</v>
      </c>
      <c r="H55" s="132">
        <v>0</v>
      </c>
      <c r="I55" s="191">
        <v>0</v>
      </c>
      <c r="J55" s="132">
        <v>0</v>
      </c>
      <c r="K55" s="191">
        <v>1924</v>
      </c>
      <c r="L55" s="194">
        <v>0</v>
      </c>
      <c r="M55" s="194">
        <v>0</v>
      </c>
      <c r="N55" s="194">
        <v>0</v>
      </c>
      <c r="O55" s="194">
        <v>0</v>
      </c>
      <c r="P55" s="194">
        <v>0</v>
      </c>
      <c r="Q55" s="194">
        <v>0</v>
      </c>
      <c r="R55" s="194">
        <v>0</v>
      </c>
      <c r="S55" s="132">
        <v>0</v>
      </c>
      <c r="T55" s="132">
        <v>1</v>
      </c>
    </row>
    <row r="56" spans="1:20" ht="12" customHeight="1">
      <c r="A56" s="187"/>
      <c r="B56" s="187" t="s">
        <v>59</v>
      </c>
      <c r="C56" s="187">
        <v>2525</v>
      </c>
      <c r="D56" s="187">
        <v>779</v>
      </c>
      <c r="E56" s="187">
        <v>965</v>
      </c>
      <c r="F56" s="187">
        <v>1074</v>
      </c>
      <c r="G56" s="187">
        <v>932</v>
      </c>
      <c r="H56" s="187">
        <v>241</v>
      </c>
      <c r="I56" s="192">
        <v>6516</v>
      </c>
      <c r="J56" s="187">
        <v>1196</v>
      </c>
      <c r="K56" s="192">
        <v>1924</v>
      </c>
      <c r="L56" s="195">
        <v>1</v>
      </c>
      <c r="M56" s="195">
        <v>1</v>
      </c>
      <c r="N56" s="195">
        <v>1</v>
      </c>
      <c r="O56" s="195">
        <v>1</v>
      </c>
      <c r="P56" s="195">
        <v>1</v>
      </c>
      <c r="Q56" s="195">
        <v>1</v>
      </c>
      <c r="R56" s="195">
        <v>1</v>
      </c>
      <c r="S56" s="187">
        <v>1</v>
      </c>
      <c r="T56" s="187">
        <v>1</v>
      </c>
    </row>
    <row r="57" spans="1:20" ht="12" customHeight="1">
      <c r="A57" s="132" t="s">
        <v>8</v>
      </c>
      <c r="B57" s="132" t="s">
        <v>53</v>
      </c>
      <c r="C57" s="132">
        <v>493</v>
      </c>
      <c r="D57" s="132">
        <v>286</v>
      </c>
      <c r="E57" s="132">
        <v>474</v>
      </c>
      <c r="F57" s="132">
        <v>60</v>
      </c>
      <c r="G57" s="132">
        <v>112</v>
      </c>
      <c r="H57" s="132">
        <v>28</v>
      </c>
      <c r="I57" s="191">
        <v>1453</v>
      </c>
      <c r="J57" s="132">
        <v>279</v>
      </c>
      <c r="K57" s="191">
        <v>0</v>
      </c>
      <c r="L57" s="194">
        <v>0.40048740861088544</v>
      </c>
      <c r="M57" s="194">
        <v>0.39124487004103969</v>
      </c>
      <c r="N57" s="194">
        <v>0.30759247242050619</v>
      </c>
      <c r="O57" s="194">
        <v>0.18867924528301888</v>
      </c>
      <c r="P57" s="194">
        <v>0.25282167042889392</v>
      </c>
      <c r="Q57" s="194">
        <v>0.224</v>
      </c>
      <c r="R57" s="194">
        <v>0.33105491000227844</v>
      </c>
      <c r="S57" s="132">
        <v>0.23684210526315788</v>
      </c>
      <c r="T57" s="132">
        <v>0</v>
      </c>
    </row>
    <row r="58" spans="1:20" ht="12" customHeight="1">
      <c r="B58" s="132" t="s">
        <v>93</v>
      </c>
      <c r="C58" s="132">
        <v>456</v>
      </c>
      <c r="D58" s="132">
        <v>217</v>
      </c>
      <c r="E58" s="132">
        <v>391</v>
      </c>
      <c r="F58" s="132">
        <v>94</v>
      </c>
      <c r="G58" s="132">
        <v>106</v>
      </c>
      <c r="H58" s="132">
        <v>38</v>
      </c>
      <c r="I58" s="191">
        <v>1302</v>
      </c>
      <c r="J58" s="132">
        <v>519</v>
      </c>
      <c r="K58" s="191">
        <v>183</v>
      </c>
      <c r="L58" s="194">
        <v>0.3704305442729488</v>
      </c>
      <c r="M58" s="194">
        <v>0.29685362517099861</v>
      </c>
      <c r="N58" s="194">
        <v>0.2537313432835821</v>
      </c>
      <c r="O58" s="194">
        <v>0.29559748427672955</v>
      </c>
      <c r="P58" s="194">
        <v>0.23927765237020315</v>
      </c>
      <c r="Q58" s="194">
        <v>0.30399999999999999</v>
      </c>
      <c r="R58" s="194">
        <v>0.29665071770334928</v>
      </c>
      <c r="S58" s="132">
        <v>0.44057724957555178</v>
      </c>
      <c r="T58" s="132">
        <v>0.30704697986577179</v>
      </c>
    </row>
    <row r="59" spans="1:20" ht="12" customHeight="1">
      <c r="B59" s="132" t="s">
        <v>55</v>
      </c>
      <c r="C59" s="132">
        <v>280</v>
      </c>
      <c r="D59" s="132">
        <v>165</v>
      </c>
      <c r="E59" s="132">
        <v>484</v>
      </c>
      <c r="F59" s="132">
        <v>124</v>
      </c>
      <c r="G59" s="132">
        <v>89</v>
      </c>
      <c r="H59" s="132">
        <v>43</v>
      </c>
      <c r="I59" s="191">
        <v>1185</v>
      </c>
      <c r="J59" s="132">
        <v>170</v>
      </c>
      <c r="K59" s="191">
        <v>201</v>
      </c>
      <c r="L59" s="194">
        <v>0.22745735174654752</v>
      </c>
      <c r="M59" s="194">
        <v>0.22571819425444598</v>
      </c>
      <c r="N59" s="194">
        <v>0.31408176508760544</v>
      </c>
      <c r="O59" s="194">
        <v>0.38993710691823902</v>
      </c>
      <c r="P59" s="194">
        <v>0.20090293453724606</v>
      </c>
      <c r="Q59" s="194">
        <v>0.34399999999999997</v>
      </c>
      <c r="R59" s="194">
        <v>0.26999316473000684</v>
      </c>
      <c r="S59" s="132">
        <v>0.14431239388794567</v>
      </c>
      <c r="T59" s="132">
        <v>0.33724832214765099</v>
      </c>
    </row>
    <row r="60" spans="1:20" ht="12" customHeight="1">
      <c r="B60" s="132" t="s">
        <v>78</v>
      </c>
      <c r="C60" s="132">
        <v>2</v>
      </c>
      <c r="D60" s="132">
        <v>36</v>
      </c>
      <c r="E60" s="132">
        <v>116</v>
      </c>
      <c r="F60" s="132">
        <v>40</v>
      </c>
      <c r="G60" s="132">
        <v>3</v>
      </c>
      <c r="H60" s="132">
        <v>12</v>
      </c>
      <c r="I60" s="191">
        <v>209</v>
      </c>
      <c r="J60" s="132">
        <v>210</v>
      </c>
      <c r="K60" s="191">
        <v>212</v>
      </c>
      <c r="L60" s="194">
        <v>1.6246953696181965E-3</v>
      </c>
      <c r="M60" s="194">
        <v>4.9247606019151846E-2</v>
      </c>
      <c r="N60" s="194">
        <v>7.5275794938351723E-2</v>
      </c>
      <c r="O60" s="194">
        <v>0.12578616352201258</v>
      </c>
      <c r="P60" s="194">
        <v>6.7720090293453723E-3</v>
      </c>
      <c r="Q60" s="194">
        <v>9.6000000000000002E-2</v>
      </c>
      <c r="R60" s="194">
        <v>4.7619047619047616E-2</v>
      </c>
      <c r="S60" s="132">
        <v>0.17826825127334464</v>
      </c>
      <c r="T60" s="132">
        <v>0.35570469798657717</v>
      </c>
    </row>
    <row r="61" spans="1:20" ht="12" customHeight="1">
      <c r="B61" s="132" t="s">
        <v>32</v>
      </c>
      <c r="C61" s="132">
        <v>0</v>
      </c>
      <c r="D61" s="132">
        <v>27</v>
      </c>
      <c r="E61" s="132">
        <v>76</v>
      </c>
      <c r="F61" s="132">
        <v>0</v>
      </c>
      <c r="G61" s="132">
        <v>133</v>
      </c>
      <c r="H61" s="132">
        <v>4</v>
      </c>
      <c r="I61" s="191">
        <v>240</v>
      </c>
      <c r="J61" s="132">
        <v>0</v>
      </c>
      <c r="K61" s="191">
        <v>0</v>
      </c>
      <c r="L61" s="194">
        <v>0</v>
      </c>
      <c r="M61" s="194">
        <v>3.6935704514363885E-2</v>
      </c>
      <c r="N61" s="194">
        <v>4.9318624269954578E-2</v>
      </c>
      <c r="O61" s="194">
        <v>0</v>
      </c>
      <c r="P61" s="194">
        <v>0.30022573363431149</v>
      </c>
      <c r="Q61" s="194">
        <v>3.2000000000000001E-2</v>
      </c>
      <c r="R61" s="194">
        <v>5.4682159945317839E-2</v>
      </c>
      <c r="S61" s="132">
        <v>0</v>
      </c>
      <c r="T61" s="132">
        <v>0</v>
      </c>
    </row>
    <row r="62" spans="1:20" ht="12" customHeight="1">
      <c r="B62" s="132" t="s">
        <v>58</v>
      </c>
      <c r="C62" s="132">
        <v>0</v>
      </c>
      <c r="D62" s="132">
        <v>0</v>
      </c>
      <c r="E62" s="132">
        <v>0</v>
      </c>
      <c r="F62" s="132">
        <v>0</v>
      </c>
      <c r="G62" s="132">
        <v>0</v>
      </c>
      <c r="H62" s="132">
        <v>0</v>
      </c>
      <c r="I62" s="191">
        <v>0</v>
      </c>
      <c r="J62" s="132">
        <v>0</v>
      </c>
      <c r="K62" s="191">
        <v>0</v>
      </c>
      <c r="L62" s="194">
        <v>0</v>
      </c>
      <c r="M62" s="194">
        <v>0</v>
      </c>
      <c r="N62" s="194">
        <v>0</v>
      </c>
      <c r="O62" s="194">
        <v>0</v>
      </c>
      <c r="P62" s="194">
        <v>0</v>
      </c>
      <c r="Q62" s="194">
        <v>0</v>
      </c>
      <c r="R62" s="194">
        <v>0</v>
      </c>
      <c r="S62" s="132">
        <v>0</v>
      </c>
      <c r="T62" s="132">
        <v>0</v>
      </c>
    </row>
    <row r="63" spans="1:20" ht="12" customHeight="1">
      <c r="A63" s="187"/>
      <c r="B63" s="187" t="s">
        <v>59</v>
      </c>
      <c r="C63" s="187">
        <v>1231</v>
      </c>
      <c r="D63" s="187">
        <v>731</v>
      </c>
      <c r="E63" s="187">
        <v>1541</v>
      </c>
      <c r="F63" s="187">
        <v>318</v>
      </c>
      <c r="G63" s="187">
        <v>443</v>
      </c>
      <c r="H63" s="187">
        <v>125</v>
      </c>
      <c r="I63" s="192">
        <v>4389</v>
      </c>
      <c r="J63" s="187">
        <v>1178</v>
      </c>
      <c r="K63" s="192">
        <v>596</v>
      </c>
      <c r="L63" s="195">
        <v>1</v>
      </c>
      <c r="M63" s="195">
        <v>1</v>
      </c>
      <c r="N63" s="195">
        <v>1</v>
      </c>
      <c r="O63" s="195">
        <v>1</v>
      </c>
      <c r="P63" s="195">
        <v>1</v>
      </c>
      <c r="Q63" s="195">
        <v>1</v>
      </c>
      <c r="R63" s="195">
        <v>1</v>
      </c>
      <c r="S63" s="187">
        <v>1</v>
      </c>
      <c r="T63" s="187">
        <v>1</v>
      </c>
    </row>
    <row r="64" spans="1:20" ht="12" customHeight="1">
      <c r="A64" s="132" t="s">
        <v>9</v>
      </c>
      <c r="B64" s="132" t="s">
        <v>53</v>
      </c>
      <c r="C64" s="132">
        <v>449</v>
      </c>
      <c r="D64" s="132">
        <v>363</v>
      </c>
      <c r="E64" s="132">
        <v>314</v>
      </c>
      <c r="F64" s="132">
        <v>264</v>
      </c>
      <c r="G64" s="132">
        <v>117</v>
      </c>
      <c r="H64" s="132">
        <v>0</v>
      </c>
      <c r="I64" s="191">
        <v>1507</v>
      </c>
      <c r="J64" s="132">
        <v>83</v>
      </c>
      <c r="K64" s="191">
        <v>0</v>
      </c>
      <c r="L64" s="194">
        <v>0.34671814671814671</v>
      </c>
      <c r="M64" s="194">
        <v>0.35483870967741937</v>
      </c>
      <c r="N64" s="194">
        <v>0.2520064205457464</v>
      </c>
      <c r="O64" s="194">
        <v>0.21273166800966961</v>
      </c>
      <c r="P64" s="194">
        <v>0.21272727272727274</v>
      </c>
      <c r="Q64" s="194">
        <v>0</v>
      </c>
      <c r="R64" s="194">
        <v>0.28141923436041083</v>
      </c>
      <c r="S64" s="132">
        <v>0.11369863013698631</v>
      </c>
      <c r="T64" s="132">
        <v>0</v>
      </c>
    </row>
    <row r="65" spans="1:20" ht="12" customHeight="1">
      <c r="B65" s="132" t="s">
        <v>93</v>
      </c>
      <c r="C65" s="132">
        <v>294</v>
      </c>
      <c r="D65" s="132">
        <v>270</v>
      </c>
      <c r="E65" s="132">
        <v>317</v>
      </c>
      <c r="F65" s="132">
        <v>250</v>
      </c>
      <c r="G65" s="132">
        <v>138</v>
      </c>
      <c r="H65" s="132">
        <v>0</v>
      </c>
      <c r="I65" s="191">
        <v>1269</v>
      </c>
      <c r="J65" s="132">
        <v>195</v>
      </c>
      <c r="K65" s="191">
        <v>0</v>
      </c>
      <c r="L65" s="194">
        <v>0.22702702702702704</v>
      </c>
      <c r="M65" s="194">
        <v>0.26392961876832843</v>
      </c>
      <c r="N65" s="194">
        <v>0.25441412520064205</v>
      </c>
      <c r="O65" s="194">
        <v>0.20145044319097502</v>
      </c>
      <c r="P65" s="194">
        <v>0.25090909090909091</v>
      </c>
      <c r="Q65" s="194">
        <v>0</v>
      </c>
      <c r="R65" s="194">
        <v>0.23697478991596638</v>
      </c>
      <c r="S65" s="132">
        <v>0.26712328767123289</v>
      </c>
      <c r="T65" s="132">
        <v>0</v>
      </c>
    </row>
    <row r="66" spans="1:20" ht="12" customHeight="1">
      <c r="B66" s="132" t="s">
        <v>55</v>
      </c>
      <c r="C66" s="132">
        <v>243</v>
      </c>
      <c r="D66" s="132">
        <v>211</v>
      </c>
      <c r="E66" s="132">
        <v>407</v>
      </c>
      <c r="F66" s="132">
        <v>463</v>
      </c>
      <c r="G66" s="132">
        <v>176</v>
      </c>
      <c r="H66" s="132">
        <v>0</v>
      </c>
      <c r="I66" s="191">
        <v>1500</v>
      </c>
      <c r="J66" s="132">
        <v>200</v>
      </c>
      <c r="K66" s="191">
        <v>0</v>
      </c>
      <c r="L66" s="194">
        <v>0.18764478764478765</v>
      </c>
      <c r="M66" s="194">
        <v>0.20625610948191594</v>
      </c>
      <c r="N66" s="194">
        <v>0.32664526484751205</v>
      </c>
      <c r="O66" s="194">
        <v>0.37308622078968573</v>
      </c>
      <c r="P66" s="194">
        <v>0.32</v>
      </c>
      <c r="Q66" s="194">
        <v>0</v>
      </c>
      <c r="R66" s="194">
        <v>0.28011204481792717</v>
      </c>
      <c r="S66" s="132">
        <v>0.27397260273972601</v>
      </c>
      <c r="T66" s="132">
        <v>0</v>
      </c>
    </row>
    <row r="67" spans="1:20" ht="12" customHeight="1">
      <c r="B67" s="132" t="s">
        <v>78</v>
      </c>
      <c r="C67" s="132">
        <v>309</v>
      </c>
      <c r="D67" s="132">
        <v>179</v>
      </c>
      <c r="E67" s="132">
        <v>208</v>
      </c>
      <c r="F67" s="132">
        <v>264</v>
      </c>
      <c r="G67" s="132">
        <v>103</v>
      </c>
      <c r="H67" s="132">
        <v>0</v>
      </c>
      <c r="I67" s="191">
        <v>1063</v>
      </c>
      <c r="J67" s="132">
        <v>252</v>
      </c>
      <c r="K67" s="191">
        <v>0</v>
      </c>
      <c r="L67" s="194">
        <v>0.2386100386100386</v>
      </c>
      <c r="M67" s="194">
        <v>0.17497556207233628</v>
      </c>
      <c r="N67" s="194">
        <v>0.16693418940609953</v>
      </c>
      <c r="O67" s="194">
        <v>0.21273166800966961</v>
      </c>
      <c r="P67" s="194">
        <v>0.18727272727272729</v>
      </c>
      <c r="Q67" s="194">
        <v>0</v>
      </c>
      <c r="R67" s="194">
        <v>0.19850606909430438</v>
      </c>
      <c r="S67" s="132">
        <v>0.34520547945205482</v>
      </c>
      <c r="T67" s="132">
        <v>0</v>
      </c>
    </row>
    <row r="68" spans="1:20" ht="12" customHeight="1">
      <c r="B68" s="132" t="s">
        <v>32</v>
      </c>
      <c r="C68" s="132">
        <v>0</v>
      </c>
      <c r="D68" s="132">
        <v>0</v>
      </c>
      <c r="E68" s="132">
        <v>0</v>
      </c>
      <c r="F68" s="132">
        <v>0</v>
      </c>
      <c r="G68" s="132">
        <v>16</v>
      </c>
      <c r="H68" s="132">
        <v>0</v>
      </c>
      <c r="I68" s="191">
        <v>16</v>
      </c>
      <c r="J68" s="132">
        <v>0</v>
      </c>
      <c r="K68" s="191">
        <v>0</v>
      </c>
      <c r="L68" s="194">
        <v>0</v>
      </c>
      <c r="M68" s="194">
        <v>0</v>
      </c>
      <c r="N68" s="194">
        <v>0</v>
      </c>
      <c r="O68" s="194">
        <v>0</v>
      </c>
      <c r="P68" s="194">
        <v>2.9090909090909091E-2</v>
      </c>
      <c r="Q68" s="194">
        <v>0</v>
      </c>
      <c r="R68" s="194">
        <v>2.9878618113912229E-3</v>
      </c>
      <c r="S68" s="132">
        <v>0</v>
      </c>
      <c r="T68" s="132">
        <v>0</v>
      </c>
    </row>
    <row r="69" spans="1:20" ht="12" customHeight="1">
      <c r="B69" s="132" t="s">
        <v>58</v>
      </c>
      <c r="C69" s="132">
        <v>0</v>
      </c>
      <c r="D69" s="132">
        <v>0</v>
      </c>
      <c r="E69" s="132">
        <v>0</v>
      </c>
      <c r="F69" s="132">
        <v>0</v>
      </c>
      <c r="G69" s="132">
        <v>0</v>
      </c>
      <c r="H69" s="132">
        <v>0</v>
      </c>
      <c r="I69" s="191">
        <v>0</v>
      </c>
      <c r="J69" s="132">
        <v>0</v>
      </c>
      <c r="K69" s="191">
        <v>824</v>
      </c>
      <c r="L69" s="194">
        <v>0</v>
      </c>
      <c r="M69" s="194">
        <v>0</v>
      </c>
      <c r="N69" s="194">
        <v>0</v>
      </c>
      <c r="O69" s="194">
        <v>0</v>
      </c>
      <c r="P69" s="194">
        <v>0</v>
      </c>
      <c r="Q69" s="194">
        <v>0</v>
      </c>
      <c r="R69" s="194">
        <v>0</v>
      </c>
      <c r="S69" s="132">
        <v>0</v>
      </c>
      <c r="T69" s="132">
        <v>1</v>
      </c>
    </row>
    <row r="70" spans="1:20" ht="12" customHeight="1">
      <c r="A70" s="187"/>
      <c r="B70" s="187" t="s">
        <v>59</v>
      </c>
      <c r="C70" s="187">
        <v>1295</v>
      </c>
      <c r="D70" s="187">
        <v>1023</v>
      </c>
      <c r="E70" s="187">
        <v>1246</v>
      </c>
      <c r="F70" s="187">
        <v>1241</v>
      </c>
      <c r="G70" s="187">
        <v>550</v>
      </c>
      <c r="H70" s="187">
        <v>0</v>
      </c>
      <c r="I70" s="192">
        <v>5355</v>
      </c>
      <c r="J70" s="187">
        <v>730</v>
      </c>
      <c r="K70" s="192">
        <v>824</v>
      </c>
      <c r="L70" s="195">
        <v>1</v>
      </c>
      <c r="M70" s="195">
        <v>1</v>
      </c>
      <c r="N70" s="195">
        <v>1</v>
      </c>
      <c r="O70" s="195">
        <v>1</v>
      </c>
      <c r="P70" s="195">
        <v>1</v>
      </c>
      <c r="Q70" s="195">
        <v>0</v>
      </c>
      <c r="R70" s="195">
        <v>1</v>
      </c>
      <c r="S70" s="187">
        <v>1</v>
      </c>
      <c r="T70" s="187">
        <v>1</v>
      </c>
    </row>
    <row r="71" spans="1:20" ht="12" customHeight="1">
      <c r="A71" s="132" t="s">
        <v>10</v>
      </c>
      <c r="B71" s="132" t="s">
        <v>53</v>
      </c>
      <c r="C71" s="132">
        <v>556</v>
      </c>
      <c r="D71" s="132">
        <v>120</v>
      </c>
      <c r="E71" s="132">
        <v>176</v>
      </c>
      <c r="F71" s="132">
        <v>269</v>
      </c>
      <c r="G71" s="132">
        <v>22</v>
      </c>
      <c r="H71" s="132">
        <v>31</v>
      </c>
      <c r="I71" s="191">
        <v>1174</v>
      </c>
      <c r="J71" s="132">
        <v>767</v>
      </c>
      <c r="K71" s="191">
        <v>0</v>
      </c>
      <c r="L71" s="194">
        <v>0.42057488653555219</v>
      </c>
      <c r="M71" s="194">
        <v>0.27459954233409611</v>
      </c>
      <c r="N71" s="194">
        <v>0.31597845601436264</v>
      </c>
      <c r="O71" s="194">
        <v>0.22605042016806723</v>
      </c>
      <c r="P71" s="194">
        <v>0.2</v>
      </c>
      <c r="Q71" s="194">
        <v>0.248</v>
      </c>
      <c r="R71" s="194">
        <v>0.31381983426891208</v>
      </c>
      <c r="S71" s="132">
        <v>0.38159203980099504</v>
      </c>
      <c r="T71" s="132">
        <v>0</v>
      </c>
    </row>
    <row r="72" spans="1:20" ht="12" customHeight="1">
      <c r="B72" s="132" t="s">
        <v>93</v>
      </c>
      <c r="C72" s="132">
        <v>347</v>
      </c>
      <c r="D72" s="132">
        <v>123</v>
      </c>
      <c r="E72" s="132">
        <v>124</v>
      </c>
      <c r="F72" s="132">
        <v>290</v>
      </c>
      <c r="G72" s="132">
        <v>24</v>
      </c>
      <c r="H72" s="132">
        <v>37</v>
      </c>
      <c r="I72" s="191">
        <v>945</v>
      </c>
      <c r="J72" s="132">
        <v>556</v>
      </c>
      <c r="K72" s="191">
        <v>0</v>
      </c>
      <c r="L72" s="194">
        <v>0.26248108925869895</v>
      </c>
      <c r="M72" s="194">
        <v>0.28146453089244849</v>
      </c>
      <c r="N72" s="194">
        <v>0.22262118491921004</v>
      </c>
      <c r="O72" s="194">
        <v>0.24369747899159663</v>
      </c>
      <c r="P72" s="194">
        <v>0.21818181818181817</v>
      </c>
      <c r="Q72" s="194">
        <v>0.29599999999999999</v>
      </c>
      <c r="R72" s="194">
        <v>0.25260625501202888</v>
      </c>
      <c r="S72" s="132">
        <v>0.27661691542288558</v>
      </c>
      <c r="T72" s="132">
        <v>0</v>
      </c>
    </row>
    <row r="73" spans="1:20" ht="12" customHeight="1">
      <c r="B73" s="132" t="s">
        <v>55</v>
      </c>
      <c r="C73" s="132">
        <v>250</v>
      </c>
      <c r="D73" s="132">
        <v>121</v>
      </c>
      <c r="E73" s="132">
        <v>173</v>
      </c>
      <c r="F73" s="132">
        <v>404</v>
      </c>
      <c r="G73" s="132">
        <v>44</v>
      </c>
      <c r="H73" s="132">
        <v>53</v>
      </c>
      <c r="I73" s="191">
        <v>1045</v>
      </c>
      <c r="J73" s="132">
        <v>516</v>
      </c>
      <c r="K73" s="191">
        <v>0</v>
      </c>
      <c r="L73" s="194">
        <v>0.18910741301059</v>
      </c>
      <c r="M73" s="194">
        <v>0.27688787185354691</v>
      </c>
      <c r="N73" s="194">
        <v>0.3105924596050269</v>
      </c>
      <c r="O73" s="194">
        <v>0.33949579831932775</v>
      </c>
      <c r="P73" s="194">
        <v>0.4</v>
      </c>
      <c r="Q73" s="194">
        <v>0.42399999999999999</v>
      </c>
      <c r="R73" s="194">
        <v>0.27933707564822241</v>
      </c>
      <c r="S73" s="132">
        <v>0.25671641791044775</v>
      </c>
      <c r="T73" s="132">
        <v>0</v>
      </c>
    </row>
    <row r="74" spans="1:20" ht="12" customHeight="1">
      <c r="B74" s="132" t="s">
        <v>78</v>
      </c>
      <c r="C74" s="132">
        <v>32</v>
      </c>
      <c r="D74" s="132">
        <v>25</v>
      </c>
      <c r="E74" s="132">
        <v>14</v>
      </c>
      <c r="F74" s="132">
        <v>54</v>
      </c>
      <c r="G74" s="132">
        <v>8</v>
      </c>
      <c r="H74" s="132">
        <v>4</v>
      </c>
      <c r="I74" s="191">
        <v>137</v>
      </c>
      <c r="J74" s="132">
        <v>163</v>
      </c>
      <c r="K74" s="191">
        <v>0</v>
      </c>
      <c r="L74" s="194">
        <v>2.4205748865355523E-2</v>
      </c>
      <c r="M74" s="194">
        <v>5.7208237986270026E-2</v>
      </c>
      <c r="N74" s="194">
        <v>2.5134649910233394E-2</v>
      </c>
      <c r="O74" s="194">
        <v>4.53781512605042E-2</v>
      </c>
      <c r="P74" s="194">
        <v>7.2727272727272724E-2</v>
      </c>
      <c r="Q74" s="194">
        <v>3.2000000000000001E-2</v>
      </c>
      <c r="R74" s="194">
        <v>3.6621224271585137E-2</v>
      </c>
      <c r="S74" s="132">
        <v>8.109452736318408E-2</v>
      </c>
      <c r="T74" s="132">
        <v>0</v>
      </c>
    </row>
    <row r="75" spans="1:20" ht="12" customHeight="1">
      <c r="B75" s="132" t="s">
        <v>32</v>
      </c>
      <c r="C75" s="132">
        <v>137</v>
      </c>
      <c r="D75" s="132">
        <v>48</v>
      </c>
      <c r="E75" s="132">
        <v>70</v>
      </c>
      <c r="F75" s="132">
        <v>173</v>
      </c>
      <c r="G75" s="132">
        <v>12</v>
      </c>
      <c r="H75" s="132">
        <v>0</v>
      </c>
      <c r="I75" s="191">
        <v>440</v>
      </c>
      <c r="J75" s="132">
        <v>8</v>
      </c>
      <c r="K75" s="191">
        <v>0</v>
      </c>
      <c r="L75" s="194">
        <v>0.10363086232980333</v>
      </c>
      <c r="M75" s="194">
        <v>0.10983981693363844</v>
      </c>
      <c r="N75" s="194">
        <v>0.12567324955116696</v>
      </c>
      <c r="O75" s="194">
        <v>0.14537815126050421</v>
      </c>
      <c r="P75" s="194">
        <v>0.10909090909090909</v>
      </c>
      <c r="Q75" s="194">
        <v>0</v>
      </c>
      <c r="R75" s="194">
        <v>0.11761561079925154</v>
      </c>
      <c r="S75" s="132">
        <v>3.9800995024875619E-3</v>
      </c>
      <c r="T75" s="132">
        <v>0</v>
      </c>
    </row>
    <row r="76" spans="1:20" ht="12" customHeight="1">
      <c r="B76" s="132" t="s">
        <v>58</v>
      </c>
      <c r="C76" s="132">
        <v>0</v>
      </c>
      <c r="D76" s="132">
        <v>0</v>
      </c>
      <c r="E76" s="132">
        <v>0</v>
      </c>
      <c r="F76" s="132">
        <v>0</v>
      </c>
      <c r="G76" s="132">
        <v>0</v>
      </c>
      <c r="H76" s="132">
        <v>0</v>
      </c>
      <c r="I76" s="191">
        <v>0</v>
      </c>
      <c r="J76" s="132">
        <v>0</v>
      </c>
      <c r="K76" s="191">
        <v>0</v>
      </c>
      <c r="L76" s="194">
        <v>0</v>
      </c>
      <c r="M76" s="194">
        <v>0</v>
      </c>
      <c r="N76" s="194">
        <v>0</v>
      </c>
      <c r="O76" s="194">
        <v>0</v>
      </c>
      <c r="P76" s="194">
        <v>0</v>
      </c>
      <c r="Q76" s="194">
        <v>0</v>
      </c>
      <c r="R76" s="194">
        <v>0</v>
      </c>
      <c r="S76" s="132">
        <v>0</v>
      </c>
      <c r="T76" s="132">
        <v>0</v>
      </c>
    </row>
    <row r="77" spans="1:20" ht="12" customHeight="1">
      <c r="A77" s="187"/>
      <c r="B77" s="187" t="s">
        <v>59</v>
      </c>
      <c r="C77" s="187">
        <v>1322</v>
      </c>
      <c r="D77" s="187">
        <v>437</v>
      </c>
      <c r="E77" s="187">
        <v>557</v>
      </c>
      <c r="F77" s="187">
        <v>1190</v>
      </c>
      <c r="G77" s="187">
        <v>110</v>
      </c>
      <c r="H77" s="187">
        <v>125</v>
      </c>
      <c r="I77" s="192">
        <v>3741</v>
      </c>
      <c r="J77" s="187">
        <v>2010</v>
      </c>
      <c r="K77" s="192">
        <v>0</v>
      </c>
      <c r="L77" s="195">
        <v>1</v>
      </c>
      <c r="M77" s="195">
        <v>1</v>
      </c>
      <c r="N77" s="195">
        <v>1</v>
      </c>
      <c r="O77" s="195">
        <v>1</v>
      </c>
      <c r="P77" s="195">
        <v>1</v>
      </c>
      <c r="Q77" s="195">
        <v>1</v>
      </c>
      <c r="R77" s="195">
        <v>1</v>
      </c>
      <c r="S77" s="187">
        <v>1</v>
      </c>
      <c r="T77" s="187">
        <v>0</v>
      </c>
    </row>
    <row r="78" spans="1:20" ht="12" customHeight="1">
      <c r="A78" s="132" t="s">
        <v>11</v>
      </c>
      <c r="B78" s="132" t="s">
        <v>53</v>
      </c>
      <c r="C78" s="132">
        <v>313</v>
      </c>
      <c r="D78" s="132">
        <v>342</v>
      </c>
      <c r="E78" s="132">
        <v>67</v>
      </c>
      <c r="F78" s="132">
        <v>114</v>
      </c>
      <c r="G78" s="132">
        <v>50</v>
      </c>
      <c r="H78" s="132">
        <v>0</v>
      </c>
      <c r="I78" s="191">
        <v>886</v>
      </c>
      <c r="J78" s="132">
        <v>0</v>
      </c>
      <c r="K78" s="191">
        <v>0</v>
      </c>
      <c r="L78" s="194">
        <v>0.35327313769751695</v>
      </c>
      <c r="M78" s="194">
        <v>0.29868995633187773</v>
      </c>
      <c r="N78" s="194">
        <v>0.2</v>
      </c>
      <c r="O78" s="194">
        <v>0.32203389830508472</v>
      </c>
      <c r="P78" s="194">
        <v>0.19920318725099601</v>
      </c>
      <c r="Q78" s="194">
        <v>0</v>
      </c>
      <c r="R78" s="194">
        <v>0.29821608885897005</v>
      </c>
      <c r="S78" s="132">
        <v>0</v>
      </c>
      <c r="T78" s="132">
        <v>0</v>
      </c>
    </row>
    <row r="79" spans="1:20" ht="12" customHeight="1">
      <c r="B79" s="132" t="s">
        <v>93</v>
      </c>
      <c r="C79" s="132">
        <v>224</v>
      </c>
      <c r="D79" s="132">
        <v>314</v>
      </c>
      <c r="E79" s="132">
        <v>74</v>
      </c>
      <c r="F79" s="132">
        <v>55</v>
      </c>
      <c r="G79" s="132">
        <v>46</v>
      </c>
      <c r="H79" s="132">
        <v>0</v>
      </c>
      <c r="I79" s="191">
        <v>713</v>
      </c>
      <c r="J79" s="132">
        <v>0</v>
      </c>
      <c r="K79" s="191">
        <v>0</v>
      </c>
      <c r="L79" s="194">
        <v>0.25282167042889392</v>
      </c>
      <c r="M79" s="194">
        <v>0.27423580786026203</v>
      </c>
      <c r="N79" s="194">
        <v>0.22089552238805971</v>
      </c>
      <c r="O79" s="194">
        <v>0.15536723163841809</v>
      </c>
      <c r="P79" s="194">
        <v>0.18326693227091634</v>
      </c>
      <c r="Q79" s="194">
        <v>0</v>
      </c>
      <c r="R79" s="194">
        <v>0.23998653651969035</v>
      </c>
      <c r="S79" s="132">
        <v>0</v>
      </c>
      <c r="T79" s="132">
        <v>0</v>
      </c>
    </row>
    <row r="80" spans="1:20" ht="12" customHeight="1">
      <c r="B80" s="132" t="s">
        <v>55</v>
      </c>
      <c r="C80" s="132">
        <v>216</v>
      </c>
      <c r="D80" s="132">
        <v>361</v>
      </c>
      <c r="E80" s="132">
        <v>130</v>
      </c>
      <c r="F80" s="132">
        <v>111</v>
      </c>
      <c r="G80" s="132">
        <v>110</v>
      </c>
      <c r="H80" s="132">
        <v>0</v>
      </c>
      <c r="I80" s="191">
        <v>928</v>
      </c>
      <c r="J80" s="132">
        <v>0</v>
      </c>
      <c r="K80" s="191">
        <v>0</v>
      </c>
      <c r="L80" s="194">
        <v>0.24379232505643342</v>
      </c>
      <c r="M80" s="194">
        <v>0.31528384279475985</v>
      </c>
      <c r="N80" s="194">
        <v>0.38805970149253732</v>
      </c>
      <c r="O80" s="194">
        <v>0.3135593220338983</v>
      </c>
      <c r="P80" s="194">
        <v>0.43824701195219123</v>
      </c>
      <c r="Q80" s="194">
        <v>0</v>
      </c>
      <c r="R80" s="194">
        <v>0.3123527431841131</v>
      </c>
      <c r="S80" s="132">
        <v>0</v>
      </c>
      <c r="T80" s="132">
        <v>0</v>
      </c>
    </row>
    <row r="81" spans="1:20" ht="12" customHeight="1">
      <c r="B81" s="132" t="s">
        <v>78</v>
      </c>
      <c r="C81" s="132">
        <v>62</v>
      </c>
      <c r="D81" s="132">
        <v>125</v>
      </c>
      <c r="E81" s="132">
        <v>61</v>
      </c>
      <c r="F81" s="132">
        <v>74</v>
      </c>
      <c r="G81" s="132">
        <v>45</v>
      </c>
      <c r="H81" s="132">
        <v>0</v>
      </c>
      <c r="I81" s="191">
        <v>367</v>
      </c>
      <c r="J81" s="132">
        <v>0</v>
      </c>
      <c r="K81" s="191">
        <v>0</v>
      </c>
      <c r="L81" s="194">
        <v>6.9977426636568849E-2</v>
      </c>
      <c r="M81" s="194">
        <v>0.1091703056768559</v>
      </c>
      <c r="N81" s="194">
        <v>0.18208955223880596</v>
      </c>
      <c r="O81" s="194">
        <v>0.20903954802259886</v>
      </c>
      <c r="P81" s="194">
        <v>0.17928286852589642</v>
      </c>
      <c r="Q81" s="194">
        <v>0</v>
      </c>
      <c r="R81" s="194">
        <v>0.12352743184113094</v>
      </c>
      <c r="S81" s="132">
        <v>0</v>
      </c>
      <c r="T81" s="132">
        <v>0</v>
      </c>
    </row>
    <row r="82" spans="1:20" ht="12" customHeight="1">
      <c r="B82" s="132" t="s">
        <v>32</v>
      </c>
      <c r="C82" s="132">
        <v>71</v>
      </c>
      <c r="D82" s="132">
        <v>3</v>
      </c>
      <c r="E82" s="132">
        <v>3</v>
      </c>
      <c r="F82" s="132">
        <v>0</v>
      </c>
      <c r="G82" s="132">
        <v>0</v>
      </c>
      <c r="H82" s="132">
        <v>0</v>
      </c>
      <c r="I82" s="191">
        <v>77</v>
      </c>
      <c r="J82" s="132">
        <v>0</v>
      </c>
      <c r="K82" s="191">
        <v>0</v>
      </c>
      <c r="L82" s="194">
        <v>8.0135440180586909E-2</v>
      </c>
      <c r="M82" s="194">
        <v>2.6200873362445414E-3</v>
      </c>
      <c r="N82" s="194">
        <v>8.9552238805970154E-3</v>
      </c>
      <c r="O82" s="194">
        <v>0</v>
      </c>
      <c r="P82" s="194">
        <v>0</v>
      </c>
      <c r="Q82" s="194">
        <v>0</v>
      </c>
      <c r="R82" s="194">
        <v>2.5917199596095591E-2</v>
      </c>
      <c r="S82" s="132">
        <v>0</v>
      </c>
      <c r="T82" s="132">
        <v>0</v>
      </c>
    </row>
    <row r="83" spans="1:20" ht="12" customHeight="1">
      <c r="B83" s="132" t="s">
        <v>58</v>
      </c>
      <c r="C83" s="132">
        <v>0</v>
      </c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91">
        <v>0</v>
      </c>
      <c r="J83" s="132">
        <v>2298.85</v>
      </c>
      <c r="K83" s="191">
        <v>0</v>
      </c>
      <c r="L83" s="194">
        <v>0</v>
      </c>
      <c r="M83" s="194">
        <v>0</v>
      </c>
      <c r="N83" s="194">
        <v>0</v>
      </c>
      <c r="O83" s="194">
        <v>0</v>
      </c>
      <c r="P83" s="194">
        <v>0</v>
      </c>
      <c r="Q83" s="194">
        <v>0</v>
      </c>
      <c r="R83" s="194">
        <v>0</v>
      </c>
      <c r="S83" s="132">
        <v>1</v>
      </c>
      <c r="T83" s="132">
        <v>0</v>
      </c>
    </row>
    <row r="84" spans="1:20" ht="12" customHeight="1">
      <c r="A84" s="187"/>
      <c r="B84" s="187" t="s">
        <v>59</v>
      </c>
      <c r="C84" s="187">
        <v>886</v>
      </c>
      <c r="D84" s="187">
        <v>1145</v>
      </c>
      <c r="E84" s="187">
        <v>335</v>
      </c>
      <c r="F84" s="187">
        <v>354</v>
      </c>
      <c r="G84" s="187">
        <v>251</v>
      </c>
      <c r="H84" s="187">
        <v>0</v>
      </c>
      <c r="I84" s="192">
        <v>2971</v>
      </c>
      <c r="J84" s="187">
        <v>2298.85</v>
      </c>
      <c r="K84" s="192">
        <v>0</v>
      </c>
      <c r="L84" s="195">
        <v>1</v>
      </c>
      <c r="M84" s="195">
        <v>1</v>
      </c>
      <c r="N84" s="195">
        <v>1</v>
      </c>
      <c r="O84" s="195">
        <v>1</v>
      </c>
      <c r="P84" s="195">
        <v>1</v>
      </c>
      <c r="Q84" s="195">
        <v>0</v>
      </c>
      <c r="R84" s="195">
        <v>1</v>
      </c>
      <c r="S84" s="187">
        <v>1</v>
      </c>
      <c r="T84" s="187">
        <v>0</v>
      </c>
    </row>
    <row r="85" spans="1:20" ht="12" customHeight="1">
      <c r="A85" s="132" t="s">
        <v>12</v>
      </c>
      <c r="B85" s="132" t="s">
        <v>53</v>
      </c>
      <c r="C85" s="132">
        <v>1032</v>
      </c>
      <c r="D85" s="132">
        <v>146</v>
      </c>
      <c r="E85" s="132">
        <v>803</v>
      </c>
      <c r="F85" s="132">
        <v>172</v>
      </c>
      <c r="G85" s="132">
        <v>42</v>
      </c>
      <c r="H85" s="132">
        <v>132</v>
      </c>
      <c r="I85" s="191">
        <v>2327</v>
      </c>
      <c r="J85" s="132">
        <v>0</v>
      </c>
      <c r="K85" s="191">
        <v>0</v>
      </c>
      <c r="L85" s="194">
        <v>0.41099163679808842</v>
      </c>
      <c r="M85" s="194">
        <v>0.24013157894736842</v>
      </c>
      <c r="N85" s="194">
        <v>0.27220338983050846</v>
      </c>
      <c r="O85" s="194">
        <v>0.27388535031847133</v>
      </c>
      <c r="P85" s="194">
        <v>0.27631578947368424</v>
      </c>
      <c r="Q85" s="194">
        <v>0.30205949656750575</v>
      </c>
      <c r="R85" s="194">
        <v>0.3193796321712874</v>
      </c>
      <c r="S85" s="132">
        <v>0</v>
      </c>
      <c r="T85" s="132">
        <v>0</v>
      </c>
    </row>
    <row r="86" spans="1:20" ht="12" customHeight="1">
      <c r="B86" s="132" t="s">
        <v>93</v>
      </c>
      <c r="C86" s="132">
        <v>606</v>
      </c>
      <c r="D86" s="132">
        <v>166</v>
      </c>
      <c r="E86" s="132">
        <v>913</v>
      </c>
      <c r="F86" s="132">
        <v>189</v>
      </c>
      <c r="G86" s="132">
        <v>27</v>
      </c>
      <c r="H86" s="132">
        <v>105</v>
      </c>
      <c r="I86" s="191">
        <v>2006</v>
      </c>
      <c r="J86" s="132">
        <v>0</v>
      </c>
      <c r="K86" s="191">
        <v>0</v>
      </c>
      <c r="L86" s="194">
        <v>0.24133811230585425</v>
      </c>
      <c r="M86" s="194">
        <v>0.27302631578947367</v>
      </c>
      <c r="N86" s="194">
        <v>0.30949152542372882</v>
      </c>
      <c r="O86" s="194">
        <v>0.30095541401273884</v>
      </c>
      <c r="P86" s="194">
        <v>0.17763157894736842</v>
      </c>
      <c r="Q86" s="194">
        <v>0.2402745995423341</v>
      </c>
      <c r="R86" s="194">
        <v>0.27532253637112269</v>
      </c>
      <c r="S86" s="132">
        <v>0</v>
      </c>
      <c r="T86" s="132">
        <v>0</v>
      </c>
    </row>
    <row r="87" spans="1:20" ht="12" customHeight="1">
      <c r="B87" s="132" t="s">
        <v>55</v>
      </c>
      <c r="C87" s="132">
        <v>428</v>
      </c>
      <c r="D87" s="132">
        <v>130</v>
      </c>
      <c r="E87" s="132">
        <v>660</v>
      </c>
      <c r="F87" s="132">
        <v>144</v>
      </c>
      <c r="G87" s="132">
        <v>41</v>
      </c>
      <c r="H87" s="132">
        <v>115</v>
      </c>
      <c r="I87" s="191">
        <v>1518</v>
      </c>
      <c r="J87" s="132">
        <v>0</v>
      </c>
      <c r="K87" s="191">
        <v>0</v>
      </c>
      <c r="L87" s="194">
        <v>0.17045001991238551</v>
      </c>
      <c r="M87" s="194">
        <v>0.21381578947368421</v>
      </c>
      <c r="N87" s="194">
        <v>0.22372881355932203</v>
      </c>
      <c r="O87" s="194">
        <v>0.22929936305732485</v>
      </c>
      <c r="P87" s="194">
        <v>0.26973684210526316</v>
      </c>
      <c r="Q87" s="194">
        <v>0.26315789473684209</v>
      </c>
      <c r="R87" s="194">
        <v>0.20834477079330221</v>
      </c>
      <c r="S87" s="132">
        <v>0</v>
      </c>
      <c r="T87" s="132">
        <v>0</v>
      </c>
    </row>
    <row r="88" spans="1:20" ht="12" customHeight="1">
      <c r="B88" s="132" t="s">
        <v>78</v>
      </c>
      <c r="C88" s="132">
        <v>16</v>
      </c>
      <c r="D88" s="132">
        <v>8</v>
      </c>
      <c r="E88" s="132">
        <v>37</v>
      </c>
      <c r="F88" s="132">
        <v>7</v>
      </c>
      <c r="G88" s="132">
        <v>4</v>
      </c>
      <c r="H88" s="132">
        <v>13</v>
      </c>
      <c r="I88" s="191">
        <v>85</v>
      </c>
      <c r="J88" s="132">
        <v>0</v>
      </c>
      <c r="K88" s="191">
        <v>0</v>
      </c>
      <c r="L88" s="194">
        <v>6.3719633612106729E-3</v>
      </c>
      <c r="M88" s="194">
        <v>1.3157894736842105E-2</v>
      </c>
      <c r="N88" s="194">
        <v>1.2542372881355932E-2</v>
      </c>
      <c r="O88" s="194">
        <v>1.1146496815286623E-2</v>
      </c>
      <c r="P88" s="194">
        <v>2.6315789473684209E-2</v>
      </c>
      <c r="Q88" s="194">
        <v>2.9748283752860413E-2</v>
      </c>
      <c r="R88" s="194">
        <v>1.166620916826791E-2</v>
      </c>
      <c r="S88" s="132">
        <v>0</v>
      </c>
      <c r="T88" s="132">
        <v>0</v>
      </c>
    </row>
    <row r="89" spans="1:20" ht="12" customHeight="1">
      <c r="B89" s="132" t="s">
        <v>32</v>
      </c>
      <c r="C89" s="132">
        <v>429</v>
      </c>
      <c r="D89" s="132">
        <v>158</v>
      </c>
      <c r="E89" s="132">
        <v>537</v>
      </c>
      <c r="F89" s="132">
        <v>116</v>
      </c>
      <c r="G89" s="132">
        <v>38</v>
      </c>
      <c r="H89" s="132">
        <v>72</v>
      </c>
      <c r="I89" s="191">
        <v>1350</v>
      </c>
      <c r="J89" s="132">
        <v>0</v>
      </c>
      <c r="K89" s="191">
        <v>0</v>
      </c>
      <c r="L89" s="194">
        <v>0.17084826762246116</v>
      </c>
      <c r="M89" s="194">
        <v>0.25986842105263158</v>
      </c>
      <c r="N89" s="194">
        <v>0.18203389830508473</v>
      </c>
      <c r="O89" s="194">
        <v>0.18471337579617833</v>
      </c>
      <c r="P89" s="194">
        <v>0.25</v>
      </c>
      <c r="Q89" s="194">
        <v>0.16475972540045766</v>
      </c>
      <c r="R89" s="194">
        <v>0.18528685149601976</v>
      </c>
      <c r="S89" s="132">
        <v>0</v>
      </c>
      <c r="T89" s="132">
        <v>0</v>
      </c>
    </row>
    <row r="90" spans="1:20" ht="12" customHeight="1">
      <c r="B90" s="132" t="s">
        <v>58</v>
      </c>
      <c r="C90" s="132">
        <v>0</v>
      </c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91">
        <v>0</v>
      </c>
      <c r="J90" s="132">
        <v>4611</v>
      </c>
      <c r="K90" s="191">
        <v>0</v>
      </c>
      <c r="L90" s="194">
        <v>0</v>
      </c>
      <c r="M90" s="194">
        <v>0</v>
      </c>
      <c r="N90" s="194">
        <v>0</v>
      </c>
      <c r="O90" s="194">
        <v>0</v>
      </c>
      <c r="P90" s="194">
        <v>0</v>
      </c>
      <c r="Q90" s="194">
        <v>0</v>
      </c>
      <c r="R90" s="194">
        <v>0</v>
      </c>
      <c r="S90" s="132">
        <v>1</v>
      </c>
      <c r="T90" s="132">
        <v>0</v>
      </c>
    </row>
    <row r="91" spans="1:20" ht="12" customHeight="1">
      <c r="A91" s="187"/>
      <c r="B91" s="187" t="s">
        <v>59</v>
      </c>
      <c r="C91" s="187">
        <v>2511</v>
      </c>
      <c r="D91" s="187">
        <v>608</v>
      </c>
      <c r="E91" s="187">
        <v>2950</v>
      </c>
      <c r="F91" s="187">
        <v>628</v>
      </c>
      <c r="G91" s="187">
        <v>152</v>
      </c>
      <c r="H91" s="187">
        <v>437</v>
      </c>
      <c r="I91" s="192">
        <v>7286</v>
      </c>
      <c r="J91" s="187">
        <v>4611</v>
      </c>
      <c r="K91" s="192">
        <v>0</v>
      </c>
      <c r="L91" s="195">
        <v>1</v>
      </c>
      <c r="M91" s="195">
        <v>1</v>
      </c>
      <c r="N91" s="195">
        <v>1</v>
      </c>
      <c r="O91" s="195">
        <v>1</v>
      </c>
      <c r="P91" s="195">
        <v>1</v>
      </c>
      <c r="Q91" s="195">
        <v>1</v>
      </c>
      <c r="R91" s="195">
        <v>1</v>
      </c>
      <c r="S91" s="187">
        <v>1</v>
      </c>
      <c r="T91" s="187">
        <v>0</v>
      </c>
    </row>
    <row r="92" spans="1:20" ht="12" customHeight="1">
      <c r="A92" s="132" t="s">
        <v>13</v>
      </c>
      <c r="B92" s="132" t="s">
        <v>53</v>
      </c>
      <c r="C92" s="132">
        <v>590</v>
      </c>
      <c r="D92" s="132">
        <v>0</v>
      </c>
      <c r="E92" s="132">
        <v>114</v>
      </c>
      <c r="F92" s="132">
        <v>126</v>
      </c>
      <c r="G92" s="132">
        <v>130</v>
      </c>
      <c r="H92" s="132">
        <v>31</v>
      </c>
      <c r="I92" s="191">
        <v>991</v>
      </c>
      <c r="J92" s="132">
        <v>0</v>
      </c>
      <c r="K92" s="191">
        <v>0</v>
      </c>
      <c r="L92" s="194">
        <v>0.37942122186495175</v>
      </c>
      <c r="M92" s="194">
        <v>0</v>
      </c>
      <c r="N92" s="194">
        <v>0.30645161290322581</v>
      </c>
      <c r="O92" s="194">
        <v>0.26033057851239672</v>
      </c>
      <c r="P92" s="194">
        <v>0.23214285714285715</v>
      </c>
      <c r="Q92" s="194">
        <v>0.128099173553719</v>
      </c>
      <c r="R92" s="194">
        <v>0.30843448490507314</v>
      </c>
      <c r="S92" s="132">
        <v>0</v>
      </c>
      <c r="T92" s="132">
        <v>0</v>
      </c>
    </row>
    <row r="93" spans="1:20" ht="12" customHeight="1">
      <c r="B93" s="132" t="s">
        <v>93</v>
      </c>
      <c r="C93" s="132">
        <v>479</v>
      </c>
      <c r="D93" s="132">
        <v>0</v>
      </c>
      <c r="E93" s="132">
        <v>91</v>
      </c>
      <c r="F93" s="132">
        <v>84</v>
      </c>
      <c r="G93" s="132">
        <v>117</v>
      </c>
      <c r="H93" s="132">
        <v>53</v>
      </c>
      <c r="I93" s="191">
        <v>824</v>
      </c>
      <c r="J93" s="132">
        <v>0</v>
      </c>
      <c r="K93" s="191">
        <v>0</v>
      </c>
      <c r="L93" s="194">
        <v>0.30803858520900324</v>
      </c>
      <c r="M93" s="194">
        <v>0</v>
      </c>
      <c r="N93" s="194">
        <v>0.2446236559139785</v>
      </c>
      <c r="O93" s="194">
        <v>0.17355371900826447</v>
      </c>
      <c r="P93" s="194">
        <v>0.20892857142857144</v>
      </c>
      <c r="Q93" s="194">
        <v>0.21900826446280991</v>
      </c>
      <c r="R93" s="194">
        <v>0.25645813881107998</v>
      </c>
      <c r="S93" s="132">
        <v>0</v>
      </c>
      <c r="T93" s="132">
        <v>0</v>
      </c>
    </row>
    <row r="94" spans="1:20" ht="12" customHeight="1">
      <c r="B94" s="132" t="s">
        <v>55</v>
      </c>
      <c r="C94" s="132">
        <v>417</v>
      </c>
      <c r="D94" s="132">
        <v>0</v>
      </c>
      <c r="E94" s="132">
        <v>116</v>
      </c>
      <c r="F94" s="132">
        <v>164</v>
      </c>
      <c r="G94" s="132">
        <v>199</v>
      </c>
      <c r="H94" s="132">
        <v>85</v>
      </c>
      <c r="I94" s="191">
        <v>981</v>
      </c>
      <c r="J94" s="132">
        <v>0</v>
      </c>
      <c r="K94" s="191">
        <v>0</v>
      </c>
      <c r="L94" s="194">
        <v>0.26816720257234727</v>
      </c>
      <c r="M94" s="194">
        <v>0</v>
      </c>
      <c r="N94" s="194">
        <v>0.31182795698924731</v>
      </c>
      <c r="O94" s="194">
        <v>0.33884297520661155</v>
      </c>
      <c r="P94" s="194">
        <v>0.35535714285714287</v>
      </c>
      <c r="Q94" s="194">
        <v>0.3512396694214876</v>
      </c>
      <c r="R94" s="194">
        <v>0.30532212885154064</v>
      </c>
      <c r="S94" s="132">
        <v>0</v>
      </c>
      <c r="T94" s="132">
        <v>0</v>
      </c>
    </row>
    <row r="95" spans="1:20" ht="12" customHeight="1">
      <c r="B95" s="132" t="s">
        <v>78</v>
      </c>
      <c r="C95" s="132">
        <v>69</v>
      </c>
      <c r="D95" s="132">
        <v>0</v>
      </c>
      <c r="E95" s="132">
        <v>51</v>
      </c>
      <c r="F95" s="132">
        <v>110</v>
      </c>
      <c r="G95" s="132">
        <v>114</v>
      </c>
      <c r="H95" s="132">
        <v>73</v>
      </c>
      <c r="I95" s="191">
        <v>417</v>
      </c>
      <c r="J95" s="132">
        <v>0</v>
      </c>
      <c r="K95" s="191">
        <v>0</v>
      </c>
      <c r="L95" s="194">
        <v>4.4372990353697746E-2</v>
      </c>
      <c r="M95" s="194">
        <v>0</v>
      </c>
      <c r="N95" s="194">
        <v>0.13709677419354838</v>
      </c>
      <c r="O95" s="194">
        <v>0.22727272727272727</v>
      </c>
      <c r="P95" s="194">
        <v>0.20357142857142857</v>
      </c>
      <c r="Q95" s="194">
        <v>0.30165289256198347</v>
      </c>
      <c r="R95" s="194">
        <v>0.12978524743230627</v>
      </c>
      <c r="S95" s="132">
        <v>0</v>
      </c>
      <c r="T95" s="132">
        <v>0</v>
      </c>
    </row>
    <row r="96" spans="1:20" ht="12" customHeight="1">
      <c r="B96" s="132" t="s">
        <v>32</v>
      </c>
      <c r="C96" s="132">
        <v>0</v>
      </c>
      <c r="D96" s="132">
        <v>0</v>
      </c>
      <c r="E96" s="132">
        <v>0</v>
      </c>
      <c r="F96" s="132">
        <v>0</v>
      </c>
      <c r="G96" s="132">
        <v>0</v>
      </c>
      <c r="H96" s="132">
        <v>0</v>
      </c>
      <c r="I96" s="191">
        <v>0</v>
      </c>
      <c r="J96" s="132">
        <v>0</v>
      </c>
      <c r="K96" s="191">
        <v>0</v>
      </c>
      <c r="L96" s="194">
        <v>0</v>
      </c>
      <c r="M96" s="194">
        <v>0</v>
      </c>
      <c r="N96" s="194">
        <v>0</v>
      </c>
      <c r="O96" s="194">
        <v>0</v>
      </c>
      <c r="P96" s="194">
        <v>0</v>
      </c>
      <c r="Q96" s="194">
        <v>0</v>
      </c>
      <c r="R96" s="194">
        <v>0</v>
      </c>
      <c r="S96" s="132">
        <v>0</v>
      </c>
      <c r="T96" s="132">
        <v>0</v>
      </c>
    </row>
    <row r="97" spans="1:20" ht="12" customHeight="1">
      <c r="B97" s="132" t="s">
        <v>58</v>
      </c>
      <c r="C97" s="132">
        <v>0</v>
      </c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91">
        <v>0</v>
      </c>
      <c r="J97" s="132">
        <v>1221</v>
      </c>
      <c r="K97" s="191">
        <v>0</v>
      </c>
      <c r="L97" s="194">
        <v>0</v>
      </c>
      <c r="M97" s="194">
        <v>0</v>
      </c>
      <c r="N97" s="194">
        <v>0</v>
      </c>
      <c r="O97" s="194">
        <v>0</v>
      </c>
      <c r="P97" s="194">
        <v>0</v>
      </c>
      <c r="Q97" s="194">
        <v>0</v>
      </c>
      <c r="R97" s="194">
        <v>0</v>
      </c>
      <c r="S97" s="132">
        <v>1</v>
      </c>
      <c r="T97" s="132">
        <v>0</v>
      </c>
    </row>
    <row r="98" spans="1:20" ht="12" customHeight="1">
      <c r="A98" s="187"/>
      <c r="B98" s="187" t="s">
        <v>59</v>
      </c>
      <c r="C98" s="187">
        <v>1555</v>
      </c>
      <c r="D98" s="187">
        <v>0</v>
      </c>
      <c r="E98" s="187">
        <v>372</v>
      </c>
      <c r="F98" s="187">
        <v>484</v>
      </c>
      <c r="G98" s="187">
        <v>560</v>
      </c>
      <c r="H98" s="187">
        <v>242</v>
      </c>
      <c r="I98" s="192">
        <v>3213</v>
      </c>
      <c r="J98" s="187">
        <v>1221</v>
      </c>
      <c r="K98" s="192">
        <v>0</v>
      </c>
      <c r="L98" s="195">
        <v>1</v>
      </c>
      <c r="M98" s="195">
        <v>0</v>
      </c>
      <c r="N98" s="195">
        <v>1</v>
      </c>
      <c r="O98" s="195">
        <v>1</v>
      </c>
      <c r="P98" s="195">
        <v>1</v>
      </c>
      <c r="Q98" s="195">
        <v>1</v>
      </c>
      <c r="R98" s="195">
        <v>1</v>
      </c>
      <c r="S98" s="187">
        <v>1</v>
      </c>
      <c r="T98" s="187">
        <v>0</v>
      </c>
    </row>
    <row r="99" spans="1:20" ht="12" customHeight="1">
      <c r="A99" s="132" t="s">
        <v>14</v>
      </c>
      <c r="B99" s="132" t="s">
        <v>53</v>
      </c>
      <c r="C99" s="132">
        <v>799</v>
      </c>
      <c r="D99" s="132">
        <v>0</v>
      </c>
      <c r="E99" s="132">
        <v>76</v>
      </c>
      <c r="F99" s="132">
        <v>159</v>
      </c>
      <c r="G99" s="132">
        <v>161</v>
      </c>
      <c r="H99" s="132">
        <v>119</v>
      </c>
      <c r="I99" s="191">
        <v>1314</v>
      </c>
      <c r="J99" s="132">
        <v>43</v>
      </c>
      <c r="K99" s="191">
        <v>0</v>
      </c>
      <c r="L99" s="194">
        <v>0.41484942886812048</v>
      </c>
      <c r="M99" s="194">
        <v>0</v>
      </c>
      <c r="N99" s="194">
        <v>0.29230769230769232</v>
      </c>
      <c r="O99" s="194">
        <v>0.27748691099476441</v>
      </c>
      <c r="P99" s="194">
        <v>0.32264529058116231</v>
      </c>
      <c r="Q99" s="194">
        <v>0.26153846153846155</v>
      </c>
      <c r="R99" s="194">
        <v>0.35389173175329924</v>
      </c>
      <c r="S99" s="132">
        <v>2.505827505827506E-2</v>
      </c>
      <c r="T99" s="132">
        <v>0</v>
      </c>
    </row>
    <row r="100" spans="1:20" ht="12" customHeight="1">
      <c r="B100" s="132" t="s">
        <v>93</v>
      </c>
      <c r="C100" s="132">
        <v>553</v>
      </c>
      <c r="D100" s="132">
        <v>0</v>
      </c>
      <c r="E100" s="132">
        <v>82</v>
      </c>
      <c r="F100" s="132">
        <v>182</v>
      </c>
      <c r="G100" s="132">
        <v>127</v>
      </c>
      <c r="H100" s="132">
        <v>137</v>
      </c>
      <c r="I100" s="191">
        <v>1081</v>
      </c>
      <c r="J100" s="132">
        <v>32</v>
      </c>
      <c r="K100" s="191">
        <v>0</v>
      </c>
      <c r="L100" s="194">
        <v>0.28712357217030116</v>
      </c>
      <c r="M100" s="194">
        <v>0</v>
      </c>
      <c r="N100" s="194">
        <v>0.31538461538461537</v>
      </c>
      <c r="O100" s="194">
        <v>0.31762652705061084</v>
      </c>
      <c r="P100" s="194">
        <v>0.25450901803607212</v>
      </c>
      <c r="Q100" s="194">
        <v>0.30109890109890108</v>
      </c>
      <c r="R100" s="194">
        <v>0.29113924050632911</v>
      </c>
      <c r="S100" s="132">
        <v>1.8648018648018648E-2</v>
      </c>
      <c r="T100" s="132">
        <v>0</v>
      </c>
    </row>
    <row r="101" spans="1:20" ht="12" customHeight="1">
      <c r="B101" s="132" t="s">
        <v>55</v>
      </c>
      <c r="C101" s="132">
        <v>428</v>
      </c>
      <c r="D101" s="132">
        <v>0</v>
      </c>
      <c r="E101" s="132">
        <v>75</v>
      </c>
      <c r="F101" s="132">
        <v>172</v>
      </c>
      <c r="G101" s="132">
        <v>160</v>
      </c>
      <c r="H101" s="132">
        <v>118</v>
      </c>
      <c r="I101" s="191">
        <v>953</v>
      </c>
      <c r="J101" s="132">
        <v>28</v>
      </c>
      <c r="K101" s="191">
        <v>0</v>
      </c>
      <c r="L101" s="194">
        <v>0.22222222222222221</v>
      </c>
      <c r="M101" s="194">
        <v>0</v>
      </c>
      <c r="N101" s="194">
        <v>0.28846153846153844</v>
      </c>
      <c r="O101" s="194">
        <v>0.30017452006980805</v>
      </c>
      <c r="P101" s="194">
        <v>0.32064128256513025</v>
      </c>
      <c r="Q101" s="194">
        <v>0.25934065934065936</v>
      </c>
      <c r="R101" s="194">
        <v>0.25666576892001075</v>
      </c>
      <c r="S101" s="132">
        <v>1.6317016317016316E-2</v>
      </c>
      <c r="T101" s="132">
        <v>0</v>
      </c>
    </row>
    <row r="102" spans="1:20" ht="12" customHeight="1">
      <c r="B102" s="132" t="s">
        <v>78</v>
      </c>
      <c r="C102" s="132">
        <v>115</v>
      </c>
      <c r="D102" s="132">
        <v>0</v>
      </c>
      <c r="E102" s="132">
        <v>25</v>
      </c>
      <c r="F102" s="132">
        <v>60</v>
      </c>
      <c r="G102" s="132">
        <v>47</v>
      </c>
      <c r="H102" s="132">
        <v>79</v>
      </c>
      <c r="I102" s="191">
        <v>326</v>
      </c>
      <c r="J102" s="132">
        <v>16</v>
      </c>
      <c r="K102" s="191">
        <v>0</v>
      </c>
      <c r="L102" s="194">
        <v>5.9709241952232608E-2</v>
      </c>
      <c r="M102" s="194">
        <v>0</v>
      </c>
      <c r="N102" s="194">
        <v>9.6153846153846159E-2</v>
      </c>
      <c r="O102" s="194">
        <v>0.10471204188481675</v>
      </c>
      <c r="P102" s="194">
        <v>9.4188376753507011E-2</v>
      </c>
      <c r="Q102" s="194">
        <v>0.17362637362637362</v>
      </c>
      <c r="R102" s="194">
        <v>8.7799622946404518E-2</v>
      </c>
      <c r="S102" s="132">
        <v>9.324009324009324E-3</v>
      </c>
      <c r="T102" s="132">
        <v>0</v>
      </c>
    </row>
    <row r="103" spans="1:20" ht="12" customHeight="1">
      <c r="B103" s="132" t="s">
        <v>32</v>
      </c>
      <c r="C103" s="132">
        <v>31</v>
      </c>
      <c r="D103" s="132">
        <v>0</v>
      </c>
      <c r="E103" s="132">
        <v>2</v>
      </c>
      <c r="F103" s="132">
        <v>0</v>
      </c>
      <c r="G103" s="132">
        <v>4</v>
      </c>
      <c r="H103" s="132">
        <v>2</v>
      </c>
      <c r="I103" s="191">
        <v>39</v>
      </c>
      <c r="J103" s="132">
        <v>1597</v>
      </c>
      <c r="K103" s="191">
        <v>0</v>
      </c>
      <c r="L103" s="194">
        <v>1.6095534787123573E-2</v>
      </c>
      <c r="M103" s="194">
        <v>0</v>
      </c>
      <c r="N103" s="194">
        <v>7.6923076923076927E-3</v>
      </c>
      <c r="O103" s="194">
        <v>0</v>
      </c>
      <c r="P103" s="194">
        <v>8.0160320641282558E-3</v>
      </c>
      <c r="Q103" s="194">
        <v>4.3956043956043956E-3</v>
      </c>
      <c r="R103" s="194">
        <v>1.050363587395637E-2</v>
      </c>
      <c r="S103" s="132">
        <v>0.9306526806526807</v>
      </c>
      <c r="T103" s="132">
        <v>0</v>
      </c>
    </row>
    <row r="104" spans="1:20" ht="12" customHeight="1">
      <c r="B104" s="132" t="s">
        <v>58</v>
      </c>
      <c r="C104" s="132">
        <v>0</v>
      </c>
      <c r="D104" s="132">
        <v>0</v>
      </c>
      <c r="E104" s="132">
        <v>0</v>
      </c>
      <c r="F104" s="132">
        <v>0</v>
      </c>
      <c r="G104" s="132">
        <v>0</v>
      </c>
      <c r="H104" s="132">
        <v>0</v>
      </c>
      <c r="I104" s="191">
        <v>0</v>
      </c>
      <c r="J104" s="132">
        <v>0</v>
      </c>
      <c r="K104" s="191">
        <v>0</v>
      </c>
      <c r="L104" s="194">
        <v>0</v>
      </c>
      <c r="M104" s="194">
        <v>0</v>
      </c>
      <c r="N104" s="194">
        <v>0</v>
      </c>
      <c r="O104" s="194">
        <v>0</v>
      </c>
      <c r="P104" s="194">
        <v>0</v>
      </c>
      <c r="Q104" s="194">
        <v>0</v>
      </c>
      <c r="R104" s="194">
        <v>0</v>
      </c>
      <c r="S104" s="132">
        <v>0</v>
      </c>
      <c r="T104" s="132">
        <v>0</v>
      </c>
    </row>
    <row r="105" spans="1:20" ht="12" customHeight="1">
      <c r="A105" s="187"/>
      <c r="B105" s="187" t="s">
        <v>59</v>
      </c>
      <c r="C105" s="187">
        <v>1926</v>
      </c>
      <c r="D105" s="187">
        <v>0</v>
      </c>
      <c r="E105" s="187">
        <v>260</v>
      </c>
      <c r="F105" s="187">
        <v>573</v>
      </c>
      <c r="G105" s="187">
        <v>499</v>
      </c>
      <c r="H105" s="187">
        <v>455</v>
      </c>
      <c r="I105" s="192">
        <v>3713</v>
      </c>
      <c r="J105" s="187">
        <v>1716</v>
      </c>
      <c r="K105" s="192">
        <v>0</v>
      </c>
      <c r="L105" s="195">
        <v>1</v>
      </c>
      <c r="M105" s="195">
        <v>0</v>
      </c>
      <c r="N105" s="195">
        <v>1</v>
      </c>
      <c r="O105" s="195">
        <v>1</v>
      </c>
      <c r="P105" s="195">
        <v>1</v>
      </c>
      <c r="Q105" s="195">
        <v>1</v>
      </c>
      <c r="R105" s="195">
        <v>1</v>
      </c>
      <c r="S105" s="187">
        <v>1</v>
      </c>
      <c r="T105" s="187">
        <v>0</v>
      </c>
    </row>
    <row r="106" spans="1:20" ht="12" customHeight="1">
      <c r="A106" s="132" t="s">
        <v>15</v>
      </c>
      <c r="B106" s="132" t="s">
        <v>53</v>
      </c>
      <c r="C106" s="132">
        <v>478</v>
      </c>
      <c r="D106" s="132">
        <v>225</v>
      </c>
      <c r="E106" s="132">
        <v>602</v>
      </c>
      <c r="F106" s="132">
        <v>247</v>
      </c>
      <c r="G106" s="132">
        <v>92</v>
      </c>
      <c r="H106" s="132">
        <v>0</v>
      </c>
      <c r="I106" s="191">
        <v>1644</v>
      </c>
      <c r="J106" s="132">
        <v>179</v>
      </c>
      <c r="K106" s="191">
        <v>0</v>
      </c>
      <c r="L106" s="194">
        <v>0.43772893772893773</v>
      </c>
      <c r="M106" s="194">
        <v>0.30080213903743314</v>
      </c>
      <c r="N106" s="194">
        <v>0.31734317343173429</v>
      </c>
      <c r="O106" s="194">
        <v>0.39144215530903326</v>
      </c>
      <c r="P106" s="194">
        <v>0.44444444444444442</v>
      </c>
      <c r="Q106" s="194">
        <v>0</v>
      </c>
      <c r="R106" s="194">
        <v>0.35934426229508198</v>
      </c>
      <c r="S106" s="132">
        <v>0.10881458966565349</v>
      </c>
      <c r="T106" s="132">
        <v>0</v>
      </c>
    </row>
    <row r="107" spans="1:20" ht="12" customHeight="1">
      <c r="B107" s="132" t="s">
        <v>93</v>
      </c>
      <c r="C107" s="132">
        <v>315</v>
      </c>
      <c r="D107" s="132">
        <v>200</v>
      </c>
      <c r="E107" s="132">
        <v>499</v>
      </c>
      <c r="F107" s="132">
        <v>185</v>
      </c>
      <c r="G107" s="132">
        <v>39</v>
      </c>
      <c r="H107" s="132">
        <v>0</v>
      </c>
      <c r="I107" s="191">
        <v>1238</v>
      </c>
      <c r="J107" s="132">
        <v>749</v>
      </c>
      <c r="K107" s="191">
        <v>0</v>
      </c>
      <c r="L107" s="194">
        <v>0.28846153846153844</v>
      </c>
      <c r="M107" s="194">
        <v>0.26737967914438504</v>
      </c>
      <c r="N107" s="194">
        <v>0.26304691618344755</v>
      </c>
      <c r="O107" s="194">
        <v>0.29318541996830427</v>
      </c>
      <c r="P107" s="194">
        <v>0.18840579710144928</v>
      </c>
      <c r="Q107" s="194">
        <v>0</v>
      </c>
      <c r="R107" s="194">
        <v>0.27060109289617484</v>
      </c>
      <c r="S107" s="132">
        <v>0.4553191489361702</v>
      </c>
      <c r="T107" s="132">
        <v>0</v>
      </c>
    </row>
    <row r="108" spans="1:20" ht="12" customHeight="1">
      <c r="B108" s="132" t="s">
        <v>55</v>
      </c>
      <c r="C108" s="132">
        <v>192</v>
      </c>
      <c r="D108" s="132">
        <v>190</v>
      </c>
      <c r="E108" s="132">
        <v>609</v>
      </c>
      <c r="F108" s="132">
        <v>158</v>
      </c>
      <c r="G108" s="132">
        <v>51</v>
      </c>
      <c r="H108" s="132">
        <v>0</v>
      </c>
      <c r="I108" s="191">
        <v>1200</v>
      </c>
      <c r="J108" s="132">
        <v>342</v>
      </c>
      <c r="K108" s="191">
        <v>0</v>
      </c>
      <c r="L108" s="194">
        <v>0.17582417582417584</v>
      </c>
      <c r="M108" s="194">
        <v>0.25401069518716579</v>
      </c>
      <c r="N108" s="194">
        <v>0.3210332103321033</v>
      </c>
      <c r="O108" s="194">
        <v>0.25039619651347067</v>
      </c>
      <c r="P108" s="194">
        <v>0.24637681159420291</v>
      </c>
      <c r="Q108" s="194">
        <v>0</v>
      </c>
      <c r="R108" s="194">
        <v>0.26229508196721313</v>
      </c>
      <c r="S108" s="132">
        <v>0.20790273556231004</v>
      </c>
      <c r="T108" s="132">
        <v>0</v>
      </c>
    </row>
    <row r="109" spans="1:20" ht="12" customHeight="1">
      <c r="B109" s="132" t="s">
        <v>78</v>
      </c>
      <c r="C109" s="132">
        <v>98</v>
      </c>
      <c r="D109" s="132">
        <v>84</v>
      </c>
      <c r="E109" s="132">
        <v>186</v>
      </c>
      <c r="F109" s="132">
        <v>41</v>
      </c>
      <c r="G109" s="132">
        <v>25</v>
      </c>
      <c r="H109" s="132">
        <v>0</v>
      </c>
      <c r="I109" s="191">
        <v>434</v>
      </c>
      <c r="J109" s="132">
        <v>374</v>
      </c>
      <c r="K109" s="191">
        <v>0</v>
      </c>
      <c r="L109" s="194">
        <v>8.9743589743589744E-2</v>
      </c>
      <c r="M109" s="194">
        <v>0.11229946524064172</v>
      </c>
      <c r="N109" s="194">
        <v>9.8049551924090664E-2</v>
      </c>
      <c r="O109" s="194">
        <v>6.4976228209191758E-2</v>
      </c>
      <c r="P109" s="194">
        <v>0.12077294685990338</v>
      </c>
      <c r="Q109" s="194">
        <v>0</v>
      </c>
      <c r="R109" s="194">
        <v>9.4863387978142075E-2</v>
      </c>
      <c r="S109" s="132">
        <v>0.22735562310030394</v>
      </c>
      <c r="T109" s="132">
        <v>0</v>
      </c>
    </row>
    <row r="110" spans="1:20" ht="12" customHeight="1">
      <c r="B110" s="132" t="s">
        <v>32</v>
      </c>
      <c r="C110" s="132">
        <v>9</v>
      </c>
      <c r="D110" s="132">
        <v>49</v>
      </c>
      <c r="E110" s="132">
        <v>1</v>
      </c>
      <c r="F110" s="132">
        <v>0</v>
      </c>
      <c r="G110" s="132">
        <v>0</v>
      </c>
      <c r="H110" s="132">
        <v>0</v>
      </c>
      <c r="I110" s="191">
        <v>59</v>
      </c>
      <c r="J110" s="132">
        <v>1</v>
      </c>
      <c r="K110" s="191">
        <v>0</v>
      </c>
      <c r="L110" s="194">
        <v>8.241758241758242E-3</v>
      </c>
      <c r="M110" s="194">
        <v>6.550802139037433E-2</v>
      </c>
      <c r="N110" s="194">
        <v>5.2714812862414342E-4</v>
      </c>
      <c r="O110" s="194">
        <v>0</v>
      </c>
      <c r="P110" s="194">
        <v>0</v>
      </c>
      <c r="Q110" s="194">
        <v>0</v>
      </c>
      <c r="R110" s="194">
        <v>1.2896174863387979E-2</v>
      </c>
      <c r="S110" s="132">
        <v>6.0790273556231007E-4</v>
      </c>
      <c r="T110" s="132">
        <v>0</v>
      </c>
    </row>
    <row r="111" spans="1:20" ht="12" customHeight="1">
      <c r="B111" s="132" t="s">
        <v>58</v>
      </c>
      <c r="C111" s="132">
        <v>0</v>
      </c>
      <c r="D111" s="132">
        <v>0</v>
      </c>
      <c r="E111" s="132">
        <v>0</v>
      </c>
      <c r="F111" s="132">
        <v>0</v>
      </c>
      <c r="G111" s="132">
        <v>0</v>
      </c>
      <c r="H111" s="132">
        <v>0</v>
      </c>
      <c r="I111" s="191">
        <v>0</v>
      </c>
      <c r="J111" s="132">
        <v>0</v>
      </c>
      <c r="K111" s="191">
        <v>267</v>
      </c>
      <c r="L111" s="194">
        <v>0</v>
      </c>
      <c r="M111" s="194">
        <v>0</v>
      </c>
      <c r="N111" s="194">
        <v>0</v>
      </c>
      <c r="O111" s="194">
        <v>0</v>
      </c>
      <c r="P111" s="194">
        <v>0</v>
      </c>
      <c r="Q111" s="194">
        <v>0</v>
      </c>
      <c r="R111" s="194">
        <v>0</v>
      </c>
      <c r="S111" s="132">
        <v>0</v>
      </c>
      <c r="T111" s="132">
        <v>1</v>
      </c>
    </row>
    <row r="112" spans="1:20" ht="12" customHeight="1">
      <c r="A112" s="187"/>
      <c r="B112" s="187" t="s">
        <v>59</v>
      </c>
      <c r="C112" s="187">
        <v>1092</v>
      </c>
      <c r="D112" s="187">
        <v>748</v>
      </c>
      <c r="E112" s="187">
        <v>1897</v>
      </c>
      <c r="F112" s="187">
        <v>631</v>
      </c>
      <c r="G112" s="187">
        <v>207</v>
      </c>
      <c r="H112" s="187">
        <v>0</v>
      </c>
      <c r="I112" s="192">
        <v>4575</v>
      </c>
      <c r="J112" s="187">
        <v>1645</v>
      </c>
      <c r="K112" s="192">
        <v>267</v>
      </c>
      <c r="L112" s="195">
        <v>1</v>
      </c>
      <c r="M112" s="195">
        <v>1</v>
      </c>
      <c r="N112" s="195">
        <v>1</v>
      </c>
      <c r="O112" s="195">
        <v>1</v>
      </c>
      <c r="P112" s="195">
        <v>1</v>
      </c>
      <c r="Q112" s="195">
        <v>0</v>
      </c>
      <c r="R112" s="195">
        <v>1</v>
      </c>
      <c r="S112" s="187">
        <v>1</v>
      </c>
      <c r="T112" s="187">
        <v>1</v>
      </c>
    </row>
    <row r="113" spans="1:20" ht="12" customHeight="1">
      <c r="A113" s="132" t="s">
        <v>16</v>
      </c>
      <c r="B113" s="132" t="s">
        <v>53</v>
      </c>
      <c r="C113" s="132">
        <v>2476</v>
      </c>
      <c r="D113" s="132">
        <v>418</v>
      </c>
      <c r="E113" s="132">
        <v>1071</v>
      </c>
      <c r="F113" s="132">
        <v>109</v>
      </c>
      <c r="G113" s="132">
        <v>11</v>
      </c>
      <c r="H113" s="132">
        <v>25</v>
      </c>
      <c r="I113" s="191">
        <v>4110</v>
      </c>
      <c r="J113" s="132">
        <v>0</v>
      </c>
      <c r="K113" s="191">
        <v>0</v>
      </c>
      <c r="L113" s="194">
        <v>0.38869701726844585</v>
      </c>
      <c r="M113" s="194">
        <v>0.31811263318112631</v>
      </c>
      <c r="N113" s="194">
        <v>0.27045454545454545</v>
      </c>
      <c r="O113" s="194">
        <v>0.15138888888888888</v>
      </c>
      <c r="P113" s="194">
        <v>0.25</v>
      </c>
      <c r="Q113" s="194">
        <v>0.12562814070351758</v>
      </c>
      <c r="R113" s="194">
        <v>0.32600935987943208</v>
      </c>
      <c r="S113" s="132">
        <v>0</v>
      </c>
      <c r="T113" s="132">
        <v>0</v>
      </c>
    </row>
    <row r="114" spans="1:20" ht="12" customHeight="1">
      <c r="B114" s="132" t="s">
        <v>93</v>
      </c>
      <c r="C114" s="132">
        <v>1553</v>
      </c>
      <c r="D114" s="132">
        <v>345</v>
      </c>
      <c r="E114" s="132">
        <v>999</v>
      </c>
      <c r="F114" s="132">
        <v>182</v>
      </c>
      <c r="G114" s="132">
        <v>8</v>
      </c>
      <c r="H114" s="132">
        <v>63</v>
      </c>
      <c r="I114" s="191">
        <v>3150</v>
      </c>
      <c r="J114" s="132">
        <v>0</v>
      </c>
      <c r="K114" s="191">
        <v>0</v>
      </c>
      <c r="L114" s="194">
        <v>0.24379905808477237</v>
      </c>
      <c r="M114" s="194">
        <v>0.26255707762557079</v>
      </c>
      <c r="N114" s="194">
        <v>0.25227272727272726</v>
      </c>
      <c r="O114" s="194">
        <v>0.25277777777777777</v>
      </c>
      <c r="P114" s="194">
        <v>0.18181818181818182</v>
      </c>
      <c r="Q114" s="194">
        <v>0.3165829145728643</v>
      </c>
      <c r="R114" s="194">
        <v>0.2498611882287618</v>
      </c>
      <c r="S114" s="132">
        <v>0</v>
      </c>
      <c r="T114" s="132">
        <v>0</v>
      </c>
    </row>
    <row r="115" spans="1:20" ht="12" customHeight="1">
      <c r="B115" s="132" t="s">
        <v>55</v>
      </c>
      <c r="C115" s="132">
        <v>1269</v>
      </c>
      <c r="D115" s="132">
        <v>329</v>
      </c>
      <c r="E115" s="132">
        <v>1114</v>
      </c>
      <c r="F115" s="132">
        <v>262</v>
      </c>
      <c r="G115" s="132">
        <v>25</v>
      </c>
      <c r="H115" s="132">
        <v>65</v>
      </c>
      <c r="I115" s="191">
        <v>3064</v>
      </c>
      <c r="J115" s="132">
        <v>0</v>
      </c>
      <c r="K115" s="191">
        <v>0</v>
      </c>
      <c r="L115" s="194">
        <v>0.19921507064364208</v>
      </c>
      <c r="M115" s="194">
        <v>0.25038051750380519</v>
      </c>
      <c r="N115" s="194">
        <v>0.28131313131313129</v>
      </c>
      <c r="O115" s="194">
        <v>0.36388888888888887</v>
      </c>
      <c r="P115" s="194">
        <v>0.56818181818181823</v>
      </c>
      <c r="Q115" s="194">
        <v>0.32663316582914576</v>
      </c>
      <c r="R115" s="194">
        <v>0.24303958118505592</v>
      </c>
      <c r="S115" s="132">
        <v>0</v>
      </c>
      <c r="T115" s="132">
        <v>0</v>
      </c>
    </row>
    <row r="116" spans="1:20" ht="12" customHeight="1">
      <c r="B116" s="132" t="s">
        <v>78</v>
      </c>
      <c r="C116" s="132">
        <v>60</v>
      </c>
      <c r="D116" s="132">
        <v>32</v>
      </c>
      <c r="E116" s="132">
        <v>223</v>
      </c>
      <c r="F116" s="132">
        <v>111</v>
      </c>
      <c r="G116" s="132">
        <v>0</v>
      </c>
      <c r="H116" s="132">
        <v>10</v>
      </c>
      <c r="I116" s="191">
        <v>436</v>
      </c>
      <c r="J116" s="132">
        <v>0</v>
      </c>
      <c r="K116" s="191">
        <v>0</v>
      </c>
      <c r="L116" s="194">
        <v>9.4191522762951327E-3</v>
      </c>
      <c r="M116" s="194">
        <v>2.4353120243531201E-2</v>
      </c>
      <c r="N116" s="194">
        <v>5.6313131313131315E-2</v>
      </c>
      <c r="O116" s="194">
        <v>0.15416666666666667</v>
      </c>
      <c r="P116" s="194">
        <v>0</v>
      </c>
      <c r="Q116" s="194">
        <v>5.0251256281407038E-2</v>
      </c>
      <c r="R116" s="194">
        <v>3.4583961291346076E-2</v>
      </c>
      <c r="S116" s="132">
        <v>0</v>
      </c>
      <c r="T116" s="132">
        <v>0</v>
      </c>
    </row>
    <row r="117" spans="1:20" ht="12" customHeight="1">
      <c r="B117" s="132" t="s">
        <v>32</v>
      </c>
      <c r="C117" s="132">
        <v>1012</v>
      </c>
      <c r="D117" s="132">
        <v>190</v>
      </c>
      <c r="E117" s="132">
        <v>553</v>
      </c>
      <c r="F117" s="132">
        <v>56</v>
      </c>
      <c r="G117" s="132">
        <v>0</v>
      </c>
      <c r="H117" s="132">
        <v>36</v>
      </c>
      <c r="I117" s="191">
        <v>1847</v>
      </c>
      <c r="J117" s="132">
        <v>0</v>
      </c>
      <c r="K117" s="191">
        <v>0</v>
      </c>
      <c r="L117" s="194">
        <v>0.15886970172684459</v>
      </c>
      <c r="M117" s="194">
        <v>0.14459665144596651</v>
      </c>
      <c r="N117" s="194">
        <v>0.13964646464646466</v>
      </c>
      <c r="O117" s="194">
        <v>7.7777777777777779E-2</v>
      </c>
      <c r="P117" s="194">
        <v>0</v>
      </c>
      <c r="Q117" s="194">
        <v>0.18090452261306533</v>
      </c>
      <c r="R117" s="194">
        <v>0.14650590941540415</v>
      </c>
      <c r="S117" s="132">
        <v>0</v>
      </c>
      <c r="T117" s="132">
        <v>0</v>
      </c>
    </row>
    <row r="118" spans="1:20" ht="12" customHeight="1">
      <c r="B118" s="132" t="s">
        <v>58</v>
      </c>
      <c r="C118" s="132">
        <v>0</v>
      </c>
      <c r="D118" s="132">
        <v>0</v>
      </c>
      <c r="E118" s="132">
        <v>0</v>
      </c>
      <c r="F118" s="132">
        <v>0</v>
      </c>
      <c r="G118" s="132">
        <v>0</v>
      </c>
      <c r="H118" s="132">
        <v>0</v>
      </c>
      <c r="I118" s="191">
        <v>0</v>
      </c>
      <c r="J118" s="132">
        <v>5882</v>
      </c>
      <c r="K118" s="191">
        <v>0</v>
      </c>
      <c r="L118" s="194">
        <v>0</v>
      </c>
      <c r="M118" s="194">
        <v>0</v>
      </c>
      <c r="N118" s="194">
        <v>0</v>
      </c>
      <c r="O118" s="194">
        <v>0</v>
      </c>
      <c r="P118" s="194">
        <v>0</v>
      </c>
      <c r="Q118" s="194">
        <v>0</v>
      </c>
      <c r="R118" s="194">
        <v>0</v>
      </c>
      <c r="S118" s="132">
        <v>1</v>
      </c>
      <c r="T118" s="132">
        <v>0</v>
      </c>
    </row>
    <row r="119" spans="1:20" ht="12" customHeight="1">
      <c r="A119" s="187"/>
      <c r="B119" s="187" t="s">
        <v>59</v>
      </c>
      <c r="C119" s="187">
        <v>6370</v>
      </c>
      <c r="D119" s="187">
        <v>1314</v>
      </c>
      <c r="E119" s="187">
        <v>3960</v>
      </c>
      <c r="F119" s="187">
        <v>720</v>
      </c>
      <c r="G119" s="187">
        <v>44</v>
      </c>
      <c r="H119" s="187">
        <v>199</v>
      </c>
      <c r="I119" s="192">
        <v>12607</v>
      </c>
      <c r="J119" s="187">
        <v>5882</v>
      </c>
      <c r="K119" s="192">
        <v>0</v>
      </c>
      <c r="L119" s="195">
        <v>1</v>
      </c>
      <c r="M119" s="195">
        <v>1</v>
      </c>
      <c r="N119" s="195">
        <v>1</v>
      </c>
      <c r="O119" s="195">
        <v>1</v>
      </c>
      <c r="P119" s="195">
        <v>1</v>
      </c>
      <c r="Q119" s="195">
        <v>1</v>
      </c>
      <c r="R119" s="195">
        <v>1</v>
      </c>
      <c r="S119" s="187">
        <v>1</v>
      </c>
      <c r="T119" s="187">
        <v>0</v>
      </c>
    </row>
    <row r="120" spans="1:20" ht="12" customHeight="1">
      <c r="A120" s="132" t="s">
        <v>17</v>
      </c>
      <c r="B120" s="132" t="s">
        <v>53</v>
      </c>
      <c r="C120" s="132">
        <v>974</v>
      </c>
      <c r="D120" s="132">
        <v>855</v>
      </c>
      <c r="E120" s="132">
        <v>350</v>
      </c>
      <c r="F120" s="132">
        <v>136</v>
      </c>
      <c r="G120" s="132">
        <v>30</v>
      </c>
      <c r="H120" s="132">
        <v>130</v>
      </c>
      <c r="I120" s="191">
        <v>2475</v>
      </c>
      <c r="J120" s="132">
        <v>437</v>
      </c>
      <c r="K120" s="191">
        <v>0</v>
      </c>
      <c r="L120" s="194">
        <v>0.42477104230266027</v>
      </c>
      <c r="M120" s="194">
        <v>0.30933429811866858</v>
      </c>
      <c r="N120" s="194">
        <v>0.34046692607003892</v>
      </c>
      <c r="O120" s="194">
        <v>0.28936170212765955</v>
      </c>
      <c r="P120" s="194">
        <v>0.18292682926829268</v>
      </c>
      <c r="Q120" s="194">
        <v>0.28322440087145967</v>
      </c>
      <c r="R120" s="194">
        <v>0.34480356645305099</v>
      </c>
      <c r="S120" s="132">
        <v>0.22677737415672028</v>
      </c>
      <c r="T120" s="132">
        <v>0</v>
      </c>
    </row>
    <row r="121" spans="1:20" ht="12" customHeight="1">
      <c r="B121" s="132" t="s">
        <v>93</v>
      </c>
      <c r="C121" s="132">
        <v>679</v>
      </c>
      <c r="D121" s="132">
        <v>983</v>
      </c>
      <c r="E121" s="132">
        <v>292</v>
      </c>
      <c r="F121" s="132">
        <v>114</v>
      </c>
      <c r="G121" s="132">
        <v>55</v>
      </c>
      <c r="H121" s="132">
        <v>134</v>
      </c>
      <c r="I121" s="191">
        <v>2257</v>
      </c>
      <c r="J121" s="132">
        <v>631</v>
      </c>
      <c r="K121" s="191">
        <v>0</v>
      </c>
      <c r="L121" s="194">
        <v>0.29611862189271698</v>
      </c>
      <c r="M121" s="194">
        <v>0.35564399421128801</v>
      </c>
      <c r="N121" s="194">
        <v>0.28404669260700388</v>
      </c>
      <c r="O121" s="194">
        <v>0.24255319148936169</v>
      </c>
      <c r="P121" s="194">
        <v>0.33536585365853661</v>
      </c>
      <c r="Q121" s="194">
        <v>0.29193899782135074</v>
      </c>
      <c r="R121" s="194">
        <v>0.31443298969072164</v>
      </c>
      <c r="S121" s="132">
        <v>0.32745199792423457</v>
      </c>
      <c r="T121" s="132">
        <v>0</v>
      </c>
    </row>
    <row r="122" spans="1:20" ht="12" customHeight="1">
      <c r="B122" s="132" t="s">
        <v>55</v>
      </c>
      <c r="C122" s="132">
        <v>440</v>
      </c>
      <c r="D122" s="132">
        <v>667</v>
      </c>
      <c r="E122" s="132">
        <v>304</v>
      </c>
      <c r="F122" s="132">
        <v>168</v>
      </c>
      <c r="G122" s="132">
        <v>60</v>
      </c>
      <c r="H122" s="132">
        <v>131</v>
      </c>
      <c r="I122" s="191">
        <v>1770</v>
      </c>
      <c r="J122" s="132">
        <v>567</v>
      </c>
      <c r="K122" s="191">
        <v>0</v>
      </c>
      <c r="L122" s="194">
        <v>0.19188835586567815</v>
      </c>
      <c r="M122" s="194">
        <v>0.24131693198263388</v>
      </c>
      <c r="N122" s="194">
        <v>0.29571984435797666</v>
      </c>
      <c r="O122" s="194">
        <v>0.35744680851063831</v>
      </c>
      <c r="P122" s="194">
        <v>0.36585365853658536</v>
      </c>
      <c r="Q122" s="194">
        <v>0.28540305010893247</v>
      </c>
      <c r="R122" s="194">
        <v>0.24658679297854555</v>
      </c>
      <c r="S122" s="132">
        <v>0.29423975090814736</v>
      </c>
      <c r="T122" s="132">
        <v>0</v>
      </c>
    </row>
    <row r="123" spans="1:20" ht="12" customHeight="1">
      <c r="B123" s="132" t="s">
        <v>78</v>
      </c>
      <c r="C123" s="132">
        <v>120</v>
      </c>
      <c r="D123" s="132">
        <v>187</v>
      </c>
      <c r="E123" s="132">
        <v>82</v>
      </c>
      <c r="F123" s="132">
        <v>52</v>
      </c>
      <c r="G123" s="132">
        <v>4</v>
      </c>
      <c r="H123" s="132">
        <v>36</v>
      </c>
      <c r="I123" s="191">
        <v>481</v>
      </c>
      <c r="J123" s="132">
        <v>286</v>
      </c>
      <c r="K123" s="191">
        <v>0</v>
      </c>
      <c r="L123" s="194">
        <v>5.2333187963366772E-2</v>
      </c>
      <c r="M123" s="194">
        <v>6.7655571635311149E-2</v>
      </c>
      <c r="N123" s="194">
        <v>7.9766536964980539E-2</v>
      </c>
      <c r="O123" s="194">
        <v>0.11063829787234042</v>
      </c>
      <c r="P123" s="194">
        <v>2.4390243902439025E-2</v>
      </c>
      <c r="Q123" s="194">
        <v>7.8431372549019607E-2</v>
      </c>
      <c r="R123" s="194">
        <v>6.7010309278350513E-2</v>
      </c>
      <c r="S123" s="132">
        <v>0.1484172288531396</v>
      </c>
      <c r="T123" s="132">
        <v>0</v>
      </c>
    </row>
    <row r="124" spans="1:20" ht="12" customHeight="1">
      <c r="B124" s="132" t="s">
        <v>32</v>
      </c>
      <c r="C124" s="132">
        <v>80</v>
      </c>
      <c r="D124" s="132">
        <v>72</v>
      </c>
      <c r="E124" s="132">
        <v>0</v>
      </c>
      <c r="F124" s="132">
        <v>0</v>
      </c>
      <c r="G124" s="132">
        <v>15</v>
      </c>
      <c r="H124" s="132">
        <v>28</v>
      </c>
      <c r="I124" s="191">
        <v>195</v>
      </c>
      <c r="J124" s="132">
        <v>6</v>
      </c>
      <c r="K124" s="191">
        <v>0</v>
      </c>
      <c r="L124" s="194">
        <v>3.4888791975577843E-2</v>
      </c>
      <c r="M124" s="194">
        <v>2.6049204052098408E-2</v>
      </c>
      <c r="N124" s="194">
        <v>0</v>
      </c>
      <c r="O124" s="194">
        <v>0</v>
      </c>
      <c r="P124" s="194">
        <v>9.1463414634146339E-2</v>
      </c>
      <c r="Q124" s="194">
        <v>6.1002178649237473E-2</v>
      </c>
      <c r="R124" s="194">
        <v>2.716634159933129E-2</v>
      </c>
      <c r="S124" s="132">
        <v>3.1136481577581734E-3</v>
      </c>
      <c r="T124" s="132">
        <v>0</v>
      </c>
    </row>
    <row r="125" spans="1:20" ht="12" customHeight="1">
      <c r="B125" s="132" t="s">
        <v>58</v>
      </c>
      <c r="C125" s="132">
        <v>0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91">
        <v>0</v>
      </c>
      <c r="J125" s="132">
        <v>0</v>
      </c>
      <c r="K125" s="191">
        <v>0</v>
      </c>
      <c r="L125" s="194">
        <v>0</v>
      </c>
      <c r="M125" s="194">
        <v>0</v>
      </c>
      <c r="N125" s="194">
        <v>0</v>
      </c>
      <c r="O125" s="194">
        <v>0</v>
      </c>
      <c r="P125" s="194">
        <v>0</v>
      </c>
      <c r="Q125" s="194">
        <v>0</v>
      </c>
      <c r="R125" s="194">
        <v>0</v>
      </c>
      <c r="S125" s="132">
        <v>0</v>
      </c>
      <c r="T125" s="132">
        <v>0</v>
      </c>
    </row>
    <row r="126" spans="1:20" ht="12" customHeight="1">
      <c r="A126" s="187"/>
      <c r="B126" s="187" t="s">
        <v>59</v>
      </c>
      <c r="C126" s="187">
        <v>2293</v>
      </c>
      <c r="D126" s="187">
        <v>2764</v>
      </c>
      <c r="E126" s="187">
        <v>1028</v>
      </c>
      <c r="F126" s="187">
        <v>470</v>
      </c>
      <c r="G126" s="187">
        <v>164</v>
      </c>
      <c r="H126" s="187">
        <v>459</v>
      </c>
      <c r="I126" s="192">
        <v>7178</v>
      </c>
      <c r="J126" s="187">
        <v>1927</v>
      </c>
      <c r="K126" s="192">
        <v>0</v>
      </c>
      <c r="L126" s="195">
        <v>1</v>
      </c>
      <c r="M126" s="195">
        <v>1</v>
      </c>
      <c r="N126" s="195">
        <v>1</v>
      </c>
      <c r="O126" s="195">
        <v>1</v>
      </c>
      <c r="P126" s="195">
        <v>1</v>
      </c>
      <c r="Q126" s="195">
        <v>1</v>
      </c>
      <c r="R126" s="195">
        <v>1</v>
      </c>
      <c r="S126" s="187">
        <v>1</v>
      </c>
      <c r="T126" s="187">
        <v>0</v>
      </c>
    </row>
    <row r="127" spans="1:20" ht="12" customHeight="1">
      <c r="A127" s="132" t="s">
        <v>18</v>
      </c>
      <c r="B127" s="132" t="s">
        <v>53</v>
      </c>
      <c r="C127" s="132">
        <v>330</v>
      </c>
      <c r="D127" s="132">
        <v>0</v>
      </c>
      <c r="E127" s="132">
        <v>196</v>
      </c>
      <c r="F127" s="132">
        <v>0</v>
      </c>
      <c r="G127" s="132">
        <v>0</v>
      </c>
      <c r="H127" s="132">
        <v>248</v>
      </c>
      <c r="I127" s="191">
        <v>774</v>
      </c>
      <c r="J127" s="132">
        <v>90</v>
      </c>
      <c r="K127" s="191">
        <v>0</v>
      </c>
      <c r="L127" s="194">
        <v>0.43307086614173229</v>
      </c>
      <c r="M127" s="194">
        <v>0</v>
      </c>
      <c r="N127" s="194">
        <v>0.40663900414937759</v>
      </c>
      <c r="O127" s="194">
        <v>0</v>
      </c>
      <c r="P127" s="194">
        <v>0</v>
      </c>
      <c r="Q127" s="194">
        <v>0.2722283205268935</v>
      </c>
      <c r="R127" s="194">
        <v>0.35916473317865427</v>
      </c>
      <c r="S127" s="132">
        <v>0.4</v>
      </c>
      <c r="T127" s="132">
        <v>0</v>
      </c>
    </row>
    <row r="128" spans="1:20" ht="12" customHeight="1">
      <c r="B128" s="132" t="s">
        <v>93</v>
      </c>
      <c r="C128" s="132">
        <v>220</v>
      </c>
      <c r="D128" s="132">
        <v>0</v>
      </c>
      <c r="E128" s="132">
        <v>131</v>
      </c>
      <c r="F128" s="132">
        <v>0</v>
      </c>
      <c r="G128" s="132">
        <v>0</v>
      </c>
      <c r="H128" s="132">
        <v>267</v>
      </c>
      <c r="I128" s="191">
        <v>618</v>
      </c>
      <c r="J128" s="132">
        <v>55</v>
      </c>
      <c r="K128" s="191">
        <v>0</v>
      </c>
      <c r="L128" s="194">
        <v>0.28871391076115488</v>
      </c>
      <c r="M128" s="194">
        <v>0</v>
      </c>
      <c r="N128" s="194">
        <v>0.27178423236514521</v>
      </c>
      <c r="O128" s="194">
        <v>0</v>
      </c>
      <c r="P128" s="194">
        <v>0</v>
      </c>
      <c r="Q128" s="194">
        <v>0.29308452250274425</v>
      </c>
      <c r="R128" s="194">
        <v>0.28677494199535963</v>
      </c>
      <c r="S128" s="132">
        <v>0.24444444444444444</v>
      </c>
      <c r="T128" s="132">
        <v>0</v>
      </c>
    </row>
    <row r="129" spans="2:20" ht="12" customHeight="1">
      <c r="B129" s="132" t="s">
        <v>55</v>
      </c>
      <c r="C129" s="132">
        <v>192</v>
      </c>
      <c r="D129" s="132">
        <v>0</v>
      </c>
      <c r="E129" s="132">
        <v>119</v>
      </c>
      <c r="F129" s="132">
        <v>0</v>
      </c>
      <c r="G129" s="132">
        <v>0</v>
      </c>
      <c r="H129" s="132">
        <v>286</v>
      </c>
      <c r="I129" s="191">
        <v>597</v>
      </c>
      <c r="J129" s="132">
        <v>39</v>
      </c>
      <c r="K129" s="191">
        <v>0</v>
      </c>
      <c r="L129" s="194">
        <v>0.25196850393700787</v>
      </c>
      <c r="M129" s="194">
        <v>0</v>
      </c>
      <c r="N129" s="194">
        <v>0.24688796680497926</v>
      </c>
      <c r="O129" s="194">
        <v>0</v>
      </c>
      <c r="P129" s="194">
        <v>0</v>
      </c>
      <c r="Q129" s="194">
        <v>0.31394072447859495</v>
      </c>
      <c r="R129" s="194">
        <v>0.27703016241299305</v>
      </c>
      <c r="S129" s="132">
        <v>0.17333333333333334</v>
      </c>
      <c r="T129" s="132">
        <v>0</v>
      </c>
    </row>
    <row r="130" spans="2:20" ht="12" customHeight="1">
      <c r="B130" s="132" t="s">
        <v>78</v>
      </c>
      <c r="C130" s="132">
        <v>2</v>
      </c>
      <c r="D130" s="132">
        <v>0</v>
      </c>
      <c r="E130" s="132">
        <v>36</v>
      </c>
      <c r="F130" s="132">
        <v>0</v>
      </c>
      <c r="G130" s="132">
        <v>0</v>
      </c>
      <c r="H130" s="132">
        <v>98</v>
      </c>
      <c r="I130" s="191">
        <v>136</v>
      </c>
      <c r="J130" s="132">
        <v>28</v>
      </c>
      <c r="K130" s="191">
        <v>0</v>
      </c>
      <c r="L130" s="194">
        <v>2.6246719160104987E-3</v>
      </c>
      <c r="M130" s="194">
        <v>0</v>
      </c>
      <c r="N130" s="194">
        <v>7.4688796680497924E-2</v>
      </c>
      <c r="O130" s="194">
        <v>0</v>
      </c>
      <c r="P130" s="194">
        <v>0</v>
      </c>
      <c r="Q130" s="194">
        <v>0.10757409440175632</v>
      </c>
      <c r="R130" s="194">
        <v>6.3109048723897915E-2</v>
      </c>
      <c r="S130" s="132">
        <v>0.12444444444444444</v>
      </c>
      <c r="T130" s="132">
        <v>0</v>
      </c>
    </row>
    <row r="131" spans="2:20" ht="12" customHeight="1">
      <c r="B131" s="132" t="s">
        <v>32</v>
      </c>
      <c r="C131" s="132">
        <v>18</v>
      </c>
      <c r="D131" s="132">
        <v>0</v>
      </c>
      <c r="E131" s="132">
        <v>0</v>
      </c>
      <c r="F131" s="132">
        <v>0</v>
      </c>
      <c r="G131" s="132">
        <v>0</v>
      </c>
      <c r="H131" s="132">
        <v>12</v>
      </c>
      <c r="I131" s="191">
        <v>30</v>
      </c>
      <c r="J131" s="132">
        <v>13</v>
      </c>
      <c r="K131" s="191">
        <v>0</v>
      </c>
      <c r="L131" s="194">
        <v>2.3622047244094488E-2</v>
      </c>
      <c r="M131" s="194">
        <v>0</v>
      </c>
      <c r="N131" s="194">
        <v>0</v>
      </c>
      <c r="O131" s="194">
        <v>0</v>
      </c>
      <c r="P131" s="194">
        <v>0</v>
      </c>
      <c r="Q131" s="194">
        <v>1.3172338090010977E-2</v>
      </c>
      <c r="R131" s="194">
        <v>1.3921113689095127E-2</v>
      </c>
      <c r="S131" s="132">
        <v>5.7777777777777775E-2</v>
      </c>
      <c r="T131" s="132">
        <v>0</v>
      </c>
    </row>
    <row r="132" spans="2:20" ht="12" customHeight="1">
      <c r="B132" s="132" t="s">
        <v>58</v>
      </c>
      <c r="C132" s="132">
        <v>0</v>
      </c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91">
        <v>0</v>
      </c>
      <c r="J132" s="132">
        <v>0</v>
      </c>
      <c r="K132" s="191">
        <v>0</v>
      </c>
      <c r="L132" s="194">
        <v>0</v>
      </c>
      <c r="M132" s="194">
        <v>0</v>
      </c>
      <c r="N132" s="194">
        <v>0</v>
      </c>
      <c r="O132" s="194">
        <v>0</v>
      </c>
      <c r="P132" s="194">
        <v>0</v>
      </c>
      <c r="Q132" s="194">
        <v>0</v>
      </c>
      <c r="R132" s="194">
        <v>0</v>
      </c>
      <c r="S132" s="132">
        <v>0</v>
      </c>
      <c r="T132" s="132">
        <v>0</v>
      </c>
    </row>
    <row r="133" spans="2:20" ht="12" customHeight="1">
      <c r="B133" s="132" t="s">
        <v>59</v>
      </c>
      <c r="C133" s="132">
        <v>762</v>
      </c>
      <c r="D133" s="132">
        <v>0</v>
      </c>
      <c r="E133" s="132">
        <v>482</v>
      </c>
      <c r="F133" s="132">
        <v>0</v>
      </c>
      <c r="G133" s="132">
        <v>0</v>
      </c>
      <c r="H133" s="132">
        <v>911</v>
      </c>
      <c r="I133" s="191">
        <v>2155</v>
      </c>
      <c r="J133" s="132">
        <v>225</v>
      </c>
      <c r="K133" s="191">
        <v>0</v>
      </c>
      <c r="L133" s="194">
        <v>1</v>
      </c>
      <c r="M133" s="194">
        <v>0</v>
      </c>
      <c r="N133" s="194">
        <v>1</v>
      </c>
      <c r="O133" s="194">
        <v>0</v>
      </c>
      <c r="P133" s="194">
        <v>0</v>
      </c>
      <c r="Q133" s="194">
        <v>1</v>
      </c>
      <c r="R133" s="194">
        <v>1</v>
      </c>
      <c r="S133" s="132">
        <v>1</v>
      </c>
      <c r="T133" s="132">
        <v>0</v>
      </c>
    </row>
    <row r="135" spans="2:20" ht="12" customHeight="1">
      <c r="K135" s="101" t="s">
        <v>99</v>
      </c>
      <c r="L135" s="104"/>
      <c r="M135" s="101"/>
      <c r="N135" s="101"/>
      <c r="O135" s="101"/>
      <c r="P135" s="101"/>
      <c r="Q135" s="101"/>
      <c r="R135" s="101"/>
      <c r="S135" s="101"/>
      <c r="T135" s="101"/>
    </row>
    <row r="136" spans="2:20" ht="12" customHeight="1">
      <c r="B136" s="194"/>
      <c r="C136" s="194"/>
      <c r="D136" s="194"/>
      <c r="E136" s="194"/>
      <c r="F136" s="194"/>
      <c r="G136" s="194"/>
      <c r="H136" s="194"/>
      <c r="K136" s="101" t="s">
        <v>3</v>
      </c>
      <c r="L136" s="102">
        <f>SUM(L15:L20)</f>
        <v>1</v>
      </c>
      <c r="M136" s="102">
        <f t="shared" ref="M136:R136" si="3">SUM(M15:M20)</f>
        <v>0.99999999999999989</v>
      </c>
      <c r="N136" s="102">
        <f t="shared" si="3"/>
        <v>1</v>
      </c>
      <c r="O136" s="102">
        <f t="shared" si="3"/>
        <v>1</v>
      </c>
      <c r="P136" s="102">
        <f t="shared" si="3"/>
        <v>1</v>
      </c>
      <c r="Q136" s="102">
        <f t="shared" si="3"/>
        <v>1</v>
      </c>
      <c r="R136" s="102">
        <f t="shared" si="3"/>
        <v>1</v>
      </c>
      <c r="S136" s="102">
        <f>SUM(S34:S39)</f>
        <v>2</v>
      </c>
      <c r="T136" s="102">
        <f>SUM(T34:T39)</f>
        <v>0</v>
      </c>
    </row>
    <row r="137" spans="2:20" ht="12" customHeight="1">
      <c r="B137" s="194"/>
      <c r="C137" s="194"/>
      <c r="D137" s="194"/>
      <c r="E137" s="194"/>
      <c r="F137" s="194"/>
      <c r="G137" s="194"/>
      <c r="H137" s="194"/>
      <c r="K137" s="101" t="s">
        <v>4</v>
      </c>
      <c r="L137" s="102">
        <f>SUM(L22:L27)</f>
        <v>1</v>
      </c>
      <c r="M137" s="102">
        <f t="shared" ref="M137:R137" si="4">SUM(M22:M27)</f>
        <v>1</v>
      </c>
      <c r="N137" s="102">
        <f t="shared" si="4"/>
        <v>1</v>
      </c>
      <c r="O137" s="102">
        <f t="shared" si="4"/>
        <v>1</v>
      </c>
      <c r="P137" s="102">
        <f t="shared" si="4"/>
        <v>0.99999999999999989</v>
      </c>
      <c r="Q137" s="102">
        <f t="shared" si="4"/>
        <v>0.99999999999999989</v>
      </c>
      <c r="R137" s="102">
        <f t="shared" si="4"/>
        <v>1</v>
      </c>
      <c r="S137" s="102">
        <f>SUM(S41:S46)</f>
        <v>2</v>
      </c>
      <c r="T137" s="102">
        <f>SUM(T41:T46)</f>
        <v>0</v>
      </c>
    </row>
    <row r="138" spans="2:20" ht="12" customHeight="1">
      <c r="B138" s="194"/>
      <c r="C138" s="194"/>
      <c r="D138" s="194"/>
      <c r="E138" s="194"/>
      <c r="F138" s="194"/>
      <c r="G138" s="194"/>
      <c r="H138" s="194"/>
      <c r="K138" s="101" t="s">
        <v>5</v>
      </c>
      <c r="L138" s="102">
        <f>SUM(L29:L34)</f>
        <v>1</v>
      </c>
      <c r="M138" s="102">
        <f t="shared" ref="M138:R138" si="5">SUM(M29:M34)</f>
        <v>0</v>
      </c>
      <c r="N138" s="102">
        <f t="shared" si="5"/>
        <v>1</v>
      </c>
      <c r="O138" s="102">
        <f t="shared" si="5"/>
        <v>0</v>
      </c>
      <c r="P138" s="102">
        <f t="shared" si="5"/>
        <v>1</v>
      </c>
      <c r="Q138" s="102">
        <f t="shared" si="5"/>
        <v>1</v>
      </c>
      <c r="R138" s="102">
        <f t="shared" si="5"/>
        <v>1.0000000000000002</v>
      </c>
      <c r="S138" s="102">
        <f>SUM(S48:S53)</f>
        <v>2.9983277591973247</v>
      </c>
      <c r="T138" s="102">
        <f>SUM(T48:T53)</f>
        <v>0</v>
      </c>
    </row>
    <row r="139" spans="2:20" ht="12" customHeight="1">
      <c r="B139" s="194"/>
      <c r="C139" s="194"/>
      <c r="D139" s="194"/>
      <c r="E139" s="194"/>
      <c r="F139" s="194"/>
      <c r="G139" s="194"/>
      <c r="H139" s="194"/>
      <c r="K139" s="101" t="s">
        <v>82</v>
      </c>
      <c r="L139" s="102">
        <f>SUM(L36:L41)</f>
        <v>1</v>
      </c>
      <c r="M139" s="102">
        <f t="shared" ref="M139:R139" si="6">SUM(M36:M41)</f>
        <v>0</v>
      </c>
      <c r="N139" s="102">
        <f t="shared" si="6"/>
        <v>0</v>
      </c>
      <c r="O139" s="102">
        <f t="shared" si="6"/>
        <v>0.99999999999999989</v>
      </c>
      <c r="P139" s="102">
        <f t="shared" si="6"/>
        <v>0</v>
      </c>
      <c r="Q139" s="102">
        <f t="shared" si="6"/>
        <v>0</v>
      </c>
      <c r="R139" s="102">
        <f t="shared" si="6"/>
        <v>1</v>
      </c>
      <c r="S139" s="102">
        <f>SUM(S55:S60)</f>
        <v>2</v>
      </c>
      <c r="T139" s="102">
        <f>SUM(T55:T60)</f>
        <v>3</v>
      </c>
    </row>
    <row r="140" spans="2:20" ht="12" customHeight="1">
      <c r="B140" s="194"/>
      <c r="C140" s="194"/>
      <c r="D140" s="194"/>
      <c r="E140" s="194"/>
      <c r="F140" s="194"/>
      <c r="G140" s="194"/>
      <c r="H140" s="194"/>
      <c r="K140" s="101" t="s">
        <v>6</v>
      </c>
      <c r="L140" s="102">
        <f>SUM(L43:L48)</f>
        <v>0.99999999999999989</v>
      </c>
      <c r="M140" s="102">
        <f t="shared" ref="M140:R140" si="7">SUM(M43:M48)</f>
        <v>0.99999999999999989</v>
      </c>
      <c r="N140" s="102">
        <f t="shared" si="7"/>
        <v>1</v>
      </c>
      <c r="O140" s="102">
        <f t="shared" si="7"/>
        <v>0</v>
      </c>
      <c r="P140" s="102">
        <f t="shared" si="7"/>
        <v>1</v>
      </c>
      <c r="Q140" s="102">
        <f t="shared" si="7"/>
        <v>0</v>
      </c>
      <c r="R140" s="102">
        <f t="shared" si="7"/>
        <v>0.99999999999999989</v>
      </c>
      <c r="S140" s="102">
        <f>SUM(S62:S67)</f>
        <v>2</v>
      </c>
      <c r="T140" s="102">
        <f>SUM(T62:T67)</f>
        <v>1</v>
      </c>
    </row>
    <row r="141" spans="2:20" ht="12" customHeight="1">
      <c r="B141" s="194"/>
      <c r="C141" s="194"/>
      <c r="D141" s="194"/>
      <c r="E141" s="194"/>
      <c r="F141" s="194"/>
      <c r="G141" s="194"/>
      <c r="H141" s="194"/>
      <c r="K141" s="101" t="s">
        <v>7</v>
      </c>
      <c r="L141" s="102">
        <f>SUM(L50:L55)</f>
        <v>1</v>
      </c>
      <c r="M141" s="102">
        <f t="shared" ref="M141:R141" si="8">SUM(M50:M55)</f>
        <v>1</v>
      </c>
      <c r="N141" s="102">
        <f t="shared" si="8"/>
        <v>1</v>
      </c>
      <c r="O141" s="102">
        <f t="shared" si="8"/>
        <v>1</v>
      </c>
      <c r="P141" s="102">
        <f t="shared" si="8"/>
        <v>1</v>
      </c>
      <c r="Q141" s="102">
        <f t="shared" si="8"/>
        <v>1</v>
      </c>
      <c r="R141" s="102">
        <f t="shared" si="8"/>
        <v>1</v>
      </c>
      <c r="S141" s="102">
        <f>SUM(S69:S74)</f>
        <v>1.9960199004975123</v>
      </c>
      <c r="T141" s="102">
        <f>SUM(T69:T74)</f>
        <v>2</v>
      </c>
    </row>
    <row r="142" spans="2:20" ht="12" customHeight="1">
      <c r="B142" s="194"/>
      <c r="C142" s="194"/>
      <c r="D142" s="194"/>
      <c r="E142" s="194"/>
      <c r="F142" s="194"/>
      <c r="G142" s="194"/>
      <c r="H142" s="194"/>
      <c r="K142" s="101" t="s">
        <v>8</v>
      </c>
      <c r="L142" s="102">
        <f>SUM(L57:L62)</f>
        <v>1</v>
      </c>
      <c r="M142" s="102">
        <f t="shared" ref="M142:R142" si="9">SUM(M57:M62)</f>
        <v>1</v>
      </c>
      <c r="N142" s="102">
        <f t="shared" si="9"/>
        <v>1</v>
      </c>
      <c r="O142" s="102">
        <f t="shared" si="9"/>
        <v>1</v>
      </c>
      <c r="P142" s="102">
        <f t="shared" si="9"/>
        <v>1</v>
      </c>
      <c r="Q142" s="102">
        <f t="shared" si="9"/>
        <v>1</v>
      </c>
      <c r="R142" s="102">
        <f t="shared" si="9"/>
        <v>1</v>
      </c>
      <c r="S142" s="102">
        <f>SUM(S76:S81)</f>
        <v>1</v>
      </c>
      <c r="T142" s="102">
        <f>SUM(T76:T81)</f>
        <v>0</v>
      </c>
    </row>
    <row r="143" spans="2:20" ht="12" customHeight="1">
      <c r="B143" s="194"/>
      <c r="C143" s="194"/>
      <c r="D143" s="194"/>
      <c r="E143" s="194"/>
      <c r="F143" s="194"/>
      <c r="G143" s="194"/>
      <c r="H143" s="194"/>
      <c r="K143" s="101" t="s">
        <v>9</v>
      </c>
      <c r="L143" s="102">
        <f>SUM(L64:L69)</f>
        <v>1</v>
      </c>
      <c r="M143" s="102">
        <f t="shared" ref="M143:R143" si="10">SUM(M64:M69)</f>
        <v>1</v>
      </c>
      <c r="N143" s="102">
        <f t="shared" si="10"/>
        <v>0.99999999999999989</v>
      </c>
      <c r="O143" s="102">
        <f t="shared" si="10"/>
        <v>1</v>
      </c>
      <c r="P143" s="102">
        <f t="shared" si="10"/>
        <v>1</v>
      </c>
      <c r="Q143" s="102">
        <f t="shared" si="10"/>
        <v>0</v>
      </c>
      <c r="R143" s="102">
        <f t="shared" si="10"/>
        <v>0.99999999999999989</v>
      </c>
      <c r="S143" s="102">
        <f>SUM(S83:S88)</f>
        <v>2</v>
      </c>
      <c r="T143" s="102">
        <f>SUM(T83:T88)</f>
        <v>0</v>
      </c>
    </row>
    <row r="144" spans="2:20" ht="12" customHeight="1">
      <c r="B144" s="194"/>
      <c r="C144" s="194"/>
      <c r="D144" s="194"/>
      <c r="E144" s="194"/>
      <c r="F144" s="194"/>
      <c r="G144" s="194"/>
      <c r="H144" s="194"/>
      <c r="K144" s="101" t="s">
        <v>10</v>
      </c>
      <c r="L144" s="102">
        <f>SUM(L71:L76)</f>
        <v>1</v>
      </c>
      <c r="M144" s="102">
        <f t="shared" ref="M144:R144" si="11">SUM(M71:M76)</f>
        <v>1</v>
      </c>
      <c r="N144" s="102">
        <f t="shared" si="11"/>
        <v>1</v>
      </c>
      <c r="O144" s="102">
        <f t="shared" si="11"/>
        <v>1</v>
      </c>
      <c r="P144" s="102">
        <f t="shared" si="11"/>
        <v>1</v>
      </c>
      <c r="Q144" s="102">
        <f t="shared" si="11"/>
        <v>1</v>
      </c>
      <c r="R144" s="102">
        <f t="shared" si="11"/>
        <v>1</v>
      </c>
      <c r="S144" s="102">
        <f>SUM(S90:S95)</f>
        <v>2</v>
      </c>
      <c r="T144" s="102">
        <f>SUM(T90:T95)</f>
        <v>0</v>
      </c>
    </row>
    <row r="145" spans="2:20" ht="12" customHeight="1">
      <c r="B145" s="194"/>
      <c r="C145" s="194"/>
      <c r="D145" s="194"/>
      <c r="E145" s="194"/>
      <c r="F145" s="194"/>
      <c r="G145" s="194"/>
      <c r="H145" s="194"/>
      <c r="K145" s="101" t="s">
        <v>11</v>
      </c>
      <c r="L145" s="102">
        <f>SUM(L78:L83)</f>
        <v>1</v>
      </c>
      <c r="M145" s="102">
        <f t="shared" ref="M145:R145" si="12">SUM(M78:M83)</f>
        <v>1</v>
      </c>
      <c r="N145" s="102">
        <f t="shared" si="12"/>
        <v>1</v>
      </c>
      <c r="O145" s="102">
        <f t="shared" si="12"/>
        <v>1</v>
      </c>
      <c r="P145" s="102">
        <f t="shared" si="12"/>
        <v>1</v>
      </c>
      <c r="Q145" s="102">
        <f t="shared" si="12"/>
        <v>0</v>
      </c>
      <c r="R145" s="102">
        <f t="shared" si="12"/>
        <v>1</v>
      </c>
      <c r="S145" s="102">
        <f>SUM(S97:S102)</f>
        <v>2.0693473193473189</v>
      </c>
      <c r="T145" s="102">
        <f>SUM(T97:T102)</f>
        <v>0</v>
      </c>
    </row>
    <row r="146" spans="2:20" ht="12" customHeight="1">
      <c r="B146" s="194"/>
      <c r="C146" s="194"/>
      <c r="D146" s="194"/>
      <c r="E146" s="194"/>
      <c r="F146" s="194"/>
      <c r="G146" s="194"/>
      <c r="H146" s="194"/>
      <c r="K146" s="104" t="s">
        <v>12</v>
      </c>
      <c r="L146" s="102">
        <f>SUM(L85:L90)</f>
        <v>1</v>
      </c>
      <c r="M146" s="102">
        <f t="shared" ref="M146:R146" si="13">SUM(M85:M90)</f>
        <v>1</v>
      </c>
      <c r="N146" s="102">
        <f t="shared" si="13"/>
        <v>1</v>
      </c>
      <c r="O146" s="102">
        <f t="shared" si="13"/>
        <v>0.99999999999999989</v>
      </c>
      <c r="P146" s="102">
        <f t="shared" si="13"/>
        <v>1</v>
      </c>
      <c r="Q146" s="102">
        <f t="shared" si="13"/>
        <v>1</v>
      </c>
      <c r="R146" s="102">
        <f t="shared" si="13"/>
        <v>0.99999999999999989</v>
      </c>
      <c r="S146" s="105">
        <f>SUM(S104:S109)</f>
        <v>1.9993920972644377</v>
      </c>
      <c r="T146" s="105">
        <f>SUM(T104:T109)</f>
        <v>0</v>
      </c>
    </row>
    <row r="147" spans="2:20" ht="12" customHeight="1">
      <c r="B147" s="194"/>
      <c r="C147" s="194"/>
      <c r="D147" s="194"/>
      <c r="E147" s="194"/>
      <c r="F147" s="194"/>
      <c r="G147" s="194"/>
      <c r="H147" s="194"/>
      <c r="K147" s="104" t="s">
        <v>13</v>
      </c>
      <c r="L147" s="102">
        <f>SUM(L92:L97)</f>
        <v>1</v>
      </c>
      <c r="M147" s="102">
        <f t="shared" ref="M147:R147" si="14">SUM(M92:M97)</f>
        <v>0</v>
      </c>
      <c r="N147" s="102">
        <f t="shared" si="14"/>
        <v>0.99999999999999989</v>
      </c>
      <c r="O147" s="102">
        <f t="shared" si="14"/>
        <v>1</v>
      </c>
      <c r="P147" s="102">
        <f t="shared" si="14"/>
        <v>1</v>
      </c>
      <c r="Q147" s="102">
        <f t="shared" si="14"/>
        <v>1</v>
      </c>
      <c r="R147" s="102">
        <f t="shared" si="14"/>
        <v>1</v>
      </c>
      <c r="S147" s="105">
        <f>SUM(S111:S116)</f>
        <v>1</v>
      </c>
      <c r="T147" s="105">
        <f>SUM(T111:T116)</f>
        <v>2</v>
      </c>
    </row>
    <row r="148" spans="2:20" ht="12" customHeight="1">
      <c r="B148" s="194"/>
      <c r="C148" s="194"/>
      <c r="D148" s="194"/>
      <c r="E148" s="194"/>
      <c r="F148" s="194"/>
      <c r="G148" s="194"/>
      <c r="H148" s="194"/>
      <c r="K148" s="104" t="s">
        <v>14</v>
      </c>
      <c r="L148" s="102">
        <f>SUM(L99:L104)</f>
        <v>1</v>
      </c>
      <c r="M148" s="102">
        <f t="shared" ref="M148:R148" si="15">SUM(M99:M104)</f>
        <v>0</v>
      </c>
      <c r="N148" s="102">
        <f t="shared" si="15"/>
        <v>1</v>
      </c>
      <c r="O148" s="102">
        <f t="shared" si="15"/>
        <v>1</v>
      </c>
      <c r="P148" s="102">
        <f t="shared" si="15"/>
        <v>0.99999999999999989</v>
      </c>
      <c r="Q148" s="102">
        <f t="shared" si="15"/>
        <v>1</v>
      </c>
      <c r="R148" s="102">
        <f t="shared" si="15"/>
        <v>1</v>
      </c>
      <c r="S148" s="105">
        <f>SUM(S118:S123)</f>
        <v>2.9968863518422419</v>
      </c>
      <c r="T148" s="105">
        <f>SUM(T118:T123)</f>
        <v>0</v>
      </c>
    </row>
    <row r="149" spans="2:20" ht="12" customHeight="1">
      <c r="B149" s="194"/>
      <c r="C149" s="194"/>
      <c r="D149" s="194"/>
      <c r="E149" s="194"/>
      <c r="F149" s="194"/>
      <c r="G149" s="194"/>
      <c r="H149" s="194"/>
      <c r="K149" s="104" t="s">
        <v>15</v>
      </c>
      <c r="L149" s="102">
        <f>SUM(L106:L111)</f>
        <v>1</v>
      </c>
      <c r="M149" s="102">
        <f t="shared" ref="M149:R149" si="16">SUM(M106:M111)</f>
        <v>1</v>
      </c>
      <c r="N149" s="102">
        <f t="shared" si="16"/>
        <v>1</v>
      </c>
      <c r="O149" s="102">
        <f t="shared" si="16"/>
        <v>1</v>
      </c>
      <c r="P149" s="102">
        <f t="shared" si="16"/>
        <v>0.99999999999999989</v>
      </c>
      <c r="Q149" s="102">
        <f t="shared" si="16"/>
        <v>0</v>
      </c>
      <c r="R149" s="102">
        <f t="shared" si="16"/>
        <v>1</v>
      </c>
      <c r="S149" s="105">
        <f>SUM(S125:S130)</f>
        <v>1.9422222222222221</v>
      </c>
      <c r="T149" s="105">
        <f>SUM(T125:T130)</f>
        <v>0</v>
      </c>
    </row>
    <row r="150" spans="2:20" ht="12" customHeight="1">
      <c r="B150" s="194"/>
      <c r="C150" s="194"/>
      <c r="D150" s="194"/>
      <c r="E150" s="194"/>
      <c r="F150" s="194"/>
      <c r="G150" s="194"/>
      <c r="H150" s="194"/>
      <c r="K150" s="104" t="s">
        <v>16</v>
      </c>
      <c r="L150" s="102">
        <f>SUM(L113:L118)</f>
        <v>1</v>
      </c>
      <c r="M150" s="102">
        <f t="shared" ref="M150:R150" si="17">SUM(M113:M118)</f>
        <v>1</v>
      </c>
      <c r="N150" s="102">
        <f t="shared" si="17"/>
        <v>1</v>
      </c>
      <c r="O150" s="102">
        <f t="shared" si="17"/>
        <v>1</v>
      </c>
      <c r="P150" s="102">
        <f t="shared" si="17"/>
        <v>1</v>
      </c>
      <c r="Q150" s="102">
        <f t="shared" si="17"/>
        <v>1</v>
      </c>
      <c r="R150" s="102">
        <f t="shared" si="17"/>
        <v>1</v>
      </c>
      <c r="S150" s="105">
        <f>SUM(S132:S133)</f>
        <v>1</v>
      </c>
      <c r="T150" s="105">
        <f>SUM(T132:T133)</f>
        <v>0</v>
      </c>
    </row>
    <row r="151" spans="2:20" ht="12" customHeight="1">
      <c r="B151" s="194"/>
      <c r="C151" s="194"/>
      <c r="D151" s="194"/>
      <c r="E151" s="194"/>
      <c r="F151" s="194"/>
      <c r="G151" s="194"/>
      <c r="H151" s="194"/>
      <c r="K151" s="104" t="s">
        <v>17</v>
      </c>
      <c r="L151" s="102">
        <f>SUM(L120:L125)</f>
        <v>0.99999999999999989</v>
      </c>
      <c r="M151" s="102">
        <f t="shared" ref="M151:R151" si="18">SUM(M120:M125)</f>
        <v>0.99999999999999989</v>
      </c>
      <c r="N151" s="102">
        <f t="shared" si="18"/>
        <v>1</v>
      </c>
      <c r="O151" s="102">
        <f t="shared" si="18"/>
        <v>1</v>
      </c>
      <c r="P151" s="102">
        <f t="shared" si="18"/>
        <v>1</v>
      </c>
      <c r="Q151" s="102">
        <f t="shared" si="18"/>
        <v>0.99999999999999989</v>
      </c>
      <c r="R151" s="102">
        <f t="shared" si="18"/>
        <v>1</v>
      </c>
      <c r="S151" s="105" t="e">
        <f>SUM(#REF!)</f>
        <v>#REF!</v>
      </c>
      <c r="T151" s="105" t="e">
        <f>SUM(#REF!)</f>
        <v>#REF!</v>
      </c>
    </row>
    <row r="152" spans="2:20" ht="12" customHeight="1">
      <c r="B152" s="194"/>
      <c r="C152" s="194"/>
      <c r="D152" s="194"/>
      <c r="E152" s="194"/>
      <c r="F152" s="194"/>
      <c r="G152" s="194"/>
      <c r="H152" s="194"/>
      <c r="K152" s="104" t="s">
        <v>18</v>
      </c>
      <c r="L152" s="102">
        <f>SUM(L127:L132)</f>
        <v>0.99999999999999989</v>
      </c>
      <c r="M152" s="102">
        <f t="shared" ref="M152:R152" si="19">SUM(M127:M132)</f>
        <v>0</v>
      </c>
      <c r="N152" s="102">
        <f t="shared" si="19"/>
        <v>1</v>
      </c>
      <c r="O152" s="102">
        <f t="shared" si="19"/>
        <v>0</v>
      </c>
      <c r="P152" s="102">
        <f t="shared" si="19"/>
        <v>0</v>
      </c>
      <c r="Q152" s="102">
        <f t="shared" si="19"/>
        <v>1</v>
      </c>
      <c r="R152" s="102">
        <f t="shared" si="19"/>
        <v>0.99999999999999989</v>
      </c>
      <c r="S152" s="105" t="e">
        <f>SUM(#REF!)</f>
        <v>#REF!</v>
      </c>
      <c r="T152" s="105" t="e">
        <f>SUM(#REF!)</f>
        <v>#REF!</v>
      </c>
    </row>
  </sheetData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AA126"/>
  <sheetViews>
    <sheetView showGridLines="0" view="pageBreakPreview" zoomScaleNormal="100" zoomScaleSheetLayoutView="100" workbookViewId="0">
      <selection activeCell="E37" sqref="E37"/>
    </sheetView>
  </sheetViews>
  <sheetFormatPr defaultColWidth="8.6640625" defaultRowHeight="12.75"/>
  <cols>
    <col min="1" max="1" width="8.6640625" style="740"/>
    <col min="2" max="2" width="8.6640625" style="740" customWidth="1"/>
    <col min="3" max="3" width="8.6640625" style="773" customWidth="1"/>
    <col min="4" max="7" width="8.6640625" style="772" customWidth="1"/>
    <col min="8" max="8" width="8.6640625" style="712" customWidth="1"/>
    <col min="9" max="13" width="8.6640625" style="772" customWidth="1"/>
    <col min="14" max="14" width="8.6640625" style="712" customWidth="1"/>
    <col min="15" max="15" width="8.6640625" style="740" customWidth="1"/>
    <col min="16" max="16" width="8.6640625" style="741" customWidth="1"/>
    <col min="17" max="21" width="8.6640625" style="740" customWidth="1"/>
    <col min="22" max="25" width="8.6640625" style="666" customWidth="1"/>
    <col min="26" max="26" width="8.109375" style="666" customWidth="1"/>
    <col min="27" max="16384" width="8.6640625" style="740"/>
  </cols>
  <sheetData>
    <row r="1" spans="1:27" s="9" customFormat="1">
      <c r="A1" s="662" t="s">
        <v>237</v>
      </c>
      <c r="B1" s="663"/>
      <c r="C1" s="664"/>
      <c r="D1" s="665"/>
      <c r="E1" s="665"/>
      <c r="F1" s="665"/>
      <c r="G1" s="665"/>
      <c r="H1" s="665"/>
      <c r="I1" s="665"/>
      <c r="J1" s="665"/>
      <c r="K1" s="665"/>
      <c r="L1" s="665"/>
      <c r="M1" s="665"/>
      <c r="N1" s="665"/>
      <c r="O1" s="642"/>
      <c r="P1" s="643"/>
      <c r="Q1" s="340"/>
      <c r="V1" s="666"/>
      <c r="W1" s="666"/>
      <c r="X1" s="666"/>
      <c r="Y1" s="666"/>
      <c r="Z1" s="666"/>
    </row>
    <row r="2" spans="1:27" s="9" customFormat="1">
      <c r="A2" s="667" t="s">
        <v>214</v>
      </c>
      <c r="B2" s="340"/>
      <c r="C2" s="668"/>
      <c r="D2" s="669"/>
      <c r="E2" s="669"/>
      <c r="F2" s="669"/>
      <c r="G2" s="669"/>
      <c r="H2" s="176"/>
      <c r="I2" s="176"/>
      <c r="J2" s="176"/>
      <c r="K2" s="176"/>
      <c r="L2" s="176"/>
      <c r="M2" s="669"/>
      <c r="N2" s="670"/>
      <c r="O2" s="642"/>
      <c r="P2" s="671"/>
      <c r="Q2" s="340"/>
      <c r="V2" s="666"/>
      <c r="W2" s="666"/>
      <c r="X2" s="666"/>
      <c r="Y2" s="666"/>
      <c r="Z2" s="666"/>
    </row>
    <row r="3" spans="1:27" s="9" customFormat="1">
      <c r="A3" s="663"/>
      <c r="B3" s="663"/>
      <c r="C3" s="664"/>
      <c r="D3" s="665"/>
      <c r="E3" s="665"/>
      <c r="F3" s="672"/>
      <c r="G3" s="665"/>
      <c r="H3" s="665"/>
      <c r="I3" s="665"/>
      <c r="J3" s="665"/>
      <c r="K3" s="672"/>
      <c r="L3" s="665"/>
      <c r="M3" s="665"/>
      <c r="N3" s="665"/>
      <c r="O3" s="673" t="s">
        <v>210</v>
      </c>
      <c r="P3" s="674"/>
      <c r="Q3" s="675"/>
      <c r="V3" s="666"/>
      <c r="W3" s="666"/>
      <c r="X3" s="666"/>
      <c r="Y3" s="666"/>
      <c r="Z3" s="666"/>
    </row>
    <row r="4" spans="1:27" s="9" customFormat="1" ht="12.75" customHeight="1">
      <c r="A4" s="676"/>
      <c r="B4" s="676"/>
      <c r="C4" s="677" t="s">
        <v>230</v>
      </c>
      <c r="D4" s="677"/>
      <c r="E4" s="677"/>
      <c r="F4" s="678"/>
      <c r="G4" s="677"/>
      <c r="H4" s="679" t="s">
        <v>231</v>
      </c>
      <c r="I4" s="677"/>
      <c r="J4" s="677"/>
      <c r="K4" s="678"/>
      <c r="L4" s="677"/>
      <c r="M4" s="664" t="s">
        <v>86</v>
      </c>
      <c r="N4" s="664"/>
      <c r="O4" s="642"/>
      <c r="P4" s="671" t="s">
        <v>86</v>
      </c>
      <c r="Q4" s="867" t="s">
        <v>224</v>
      </c>
      <c r="V4" s="877" t="s">
        <v>135</v>
      </c>
      <c r="W4" s="666"/>
      <c r="X4" s="666"/>
      <c r="Y4" s="666"/>
      <c r="Z4" s="666"/>
    </row>
    <row r="5" spans="1:27" s="9" customFormat="1" ht="12.75" customHeight="1">
      <c r="A5" s="663"/>
      <c r="B5" s="663"/>
      <c r="C5" s="680"/>
      <c r="D5" s="680" t="s">
        <v>76</v>
      </c>
      <c r="E5" s="680" t="s">
        <v>77</v>
      </c>
      <c r="F5" s="680" t="s">
        <v>86</v>
      </c>
      <c r="G5" s="680"/>
      <c r="H5" s="681"/>
      <c r="I5" s="680" t="s">
        <v>76</v>
      </c>
      <c r="J5" s="680" t="s">
        <v>77</v>
      </c>
      <c r="K5" s="680" t="s">
        <v>86</v>
      </c>
      <c r="L5" s="680"/>
      <c r="M5" s="682" t="s">
        <v>211</v>
      </c>
      <c r="N5" s="682"/>
      <c r="O5" s="683" t="s">
        <v>79</v>
      </c>
      <c r="P5" s="684"/>
      <c r="Q5" s="685"/>
      <c r="R5" s="686" t="s">
        <v>76</v>
      </c>
      <c r="S5" s="686" t="s">
        <v>77</v>
      </c>
      <c r="T5" s="686"/>
      <c r="U5" s="686"/>
      <c r="V5" s="687"/>
      <c r="W5" s="688" t="s">
        <v>76</v>
      </c>
      <c r="X5" s="688" t="s">
        <v>77</v>
      </c>
      <c r="Y5" s="688"/>
      <c r="Z5" s="688"/>
    </row>
    <row r="6" spans="1:27" s="9" customFormat="1" ht="13.5" customHeight="1">
      <c r="A6" s="689"/>
      <c r="B6" s="689"/>
      <c r="C6" s="690" t="s">
        <v>53</v>
      </c>
      <c r="D6" s="690" t="s">
        <v>53</v>
      </c>
      <c r="E6" s="690" t="s">
        <v>53</v>
      </c>
      <c r="F6" s="690" t="s">
        <v>78</v>
      </c>
      <c r="G6" s="691" t="s">
        <v>212</v>
      </c>
      <c r="H6" s="692" t="s">
        <v>53</v>
      </c>
      <c r="I6" s="690" t="s">
        <v>53</v>
      </c>
      <c r="J6" s="690" t="s">
        <v>53</v>
      </c>
      <c r="K6" s="690" t="s">
        <v>78</v>
      </c>
      <c r="L6" s="691" t="s">
        <v>212</v>
      </c>
      <c r="M6" s="693" t="s">
        <v>230</v>
      </c>
      <c r="N6" s="693" t="s">
        <v>231</v>
      </c>
      <c r="O6" s="694" t="s">
        <v>125</v>
      </c>
      <c r="P6" s="695" t="s">
        <v>126</v>
      </c>
      <c r="Q6" s="696" t="s">
        <v>53</v>
      </c>
      <c r="R6" s="697" t="s">
        <v>53</v>
      </c>
      <c r="S6" s="697" t="s">
        <v>53</v>
      </c>
      <c r="T6" s="697" t="s">
        <v>78</v>
      </c>
      <c r="U6" s="697" t="s">
        <v>212</v>
      </c>
      <c r="V6" s="698" t="s">
        <v>53</v>
      </c>
      <c r="W6" s="699" t="s">
        <v>53</v>
      </c>
      <c r="X6" s="699" t="s">
        <v>53</v>
      </c>
      <c r="Y6" s="699" t="s">
        <v>78</v>
      </c>
      <c r="Z6" s="699" t="s">
        <v>212</v>
      </c>
    </row>
    <row r="7" spans="1:27" s="9" customFormat="1" ht="12.75" customHeight="1">
      <c r="A7" s="700" t="s">
        <v>213</v>
      </c>
      <c r="B7" s="700"/>
      <c r="C7" s="701">
        <f>+Q7*100</f>
        <v>34.056597764117591</v>
      </c>
      <c r="D7" s="701">
        <f t="shared" ref="D7:H22" si="0">+R7*100</f>
        <v>26.463515622511707</v>
      </c>
      <c r="E7" s="701">
        <f t="shared" si="0"/>
        <v>21.700321686785362</v>
      </c>
      <c r="F7" s="701">
        <f t="shared" si="0"/>
        <v>5.9177628435837821</v>
      </c>
      <c r="G7" s="702">
        <f t="shared" si="0"/>
        <v>11.86180208300156</v>
      </c>
      <c r="H7" s="703">
        <f>+V7*100</f>
        <v>30.26567758721923</v>
      </c>
      <c r="I7" s="704">
        <f t="shared" ref="I7:L22" si="1">+W7*100</f>
        <v>25.736916635646001</v>
      </c>
      <c r="J7" s="704">
        <f t="shared" si="1"/>
        <v>27.195207595393335</v>
      </c>
      <c r="K7" s="704">
        <f t="shared" si="1"/>
        <v>7.1675000671581364</v>
      </c>
      <c r="L7" s="704">
        <f t="shared" si="1"/>
        <v>9.6346981145832924</v>
      </c>
      <c r="M7" s="705">
        <f>+D7+C7</f>
        <v>60.520113386629298</v>
      </c>
      <c r="N7" s="705">
        <f>+I7+H7</f>
        <v>56.002594222865227</v>
      </c>
      <c r="O7" s="706">
        <f>SUM(H7:L7)</f>
        <v>99.999999999999986</v>
      </c>
      <c r="P7" s="707">
        <f>SUM(C7:G7)</f>
        <v>100.00000000000001</v>
      </c>
      <c r="Q7" s="865">
        <v>0.34056597764117591</v>
      </c>
      <c r="R7" s="866">
        <v>0.26463515622511707</v>
      </c>
      <c r="S7" s="866">
        <v>0.21700321686785362</v>
      </c>
      <c r="T7" s="866">
        <v>5.917762843583782E-2</v>
      </c>
      <c r="U7" s="866">
        <v>0.1186180208300156</v>
      </c>
      <c r="V7" s="844">
        <v>0.30265677587219231</v>
      </c>
      <c r="W7" s="845">
        <v>0.25736916635646001</v>
      </c>
      <c r="X7" s="845">
        <v>0.27195207595393334</v>
      </c>
      <c r="Y7" s="845">
        <v>7.1675000671581363E-2</v>
      </c>
      <c r="Z7" s="845">
        <v>9.6346981145832927E-2</v>
      </c>
      <c r="AA7" s="9" t="s">
        <v>221</v>
      </c>
    </row>
    <row r="8" spans="1:27" s="9" customFormat="1" ht="12.75" customHeight="1">
      <c r="A8" s="712" t="s">
        <v>88</v>
      </c>
      <c r="B8" s="712"/>
      <c r="C8" s="705">
        <f>+Q8*100</f>
        <v>27.006902082080366</v>
      </c>
      <c r="D8" s="713">
        <f t="shared" si="0"/>
        <v>27.184466019417474</v>
      </c>
      <c r="E8" s="713">
        <f t="shared" si="0"/>
        <v>25.139616805567488</v>
      </c>
      <c r="F8" s="713">
        <f t="shared" si="0"/>
        <v>9.2352340311787007</v>
      </c>
      <c r="G8" s="705">
        <f t="shared" si="0"/>
        <v>11.433781061755974</v>
      </c>
      <c r="H8" s="714">
        <f t="shared" si="0"/>
        <v>27.390453176898067</v>
      </c>
      <c r="I8" s="705">
        <f t="shared" si="1"/>
        <v>25.336169188630709</v>
      </c>
      <c r="J8" s="705">
        <f t="shared" si="1"/>
        <v>28.623818350563674</v>
      </c>
      <c r="K8" s="705">
        <f t="shared" si="1"/>
        <v>9.1573162399106955</v>
      </c>
      <c r="L8" s="705">
        <f t="shared" si="1"/>
        <v>9.4922430439968597</v>
      </c>
      <c r="M8" s="705">
        <f>+D8+C8</f>
        <v>54.191368101497844</v>
      </c>
      <c r="N8" s="705">
        <f>+I8+H8</f>
        <v>52.726622365528776</v>
      </c>
      <c r="O8" s="706">
        <f>SUM(H8:L8)</f>
        <v>100.00000000000001</v>
      </c>
      <c r="P8" s="707">
        <f>SUM(C8:G8)</f>
        <v>100.00000000000001</v>
      </c>
      <c r="Q8" s="865">
        <v>0.27006902082080364</v>
      </c>
      <c r="R8" s="866">
        <v>0.27184466019417475</v>
      </c>
      <c r="S8" s="866">
        <v>0.25139616805567488</v>
      </c>
      <c r="T8" s="866">
        <v>9.2352340311787004E-2</v>
      </c>
      <c r="U8" s="866">
        <v>0.11433781061755974</v>
      </c>
      <c r="V8" s="710">
        <v>0.27390453176898066</v>
      </c>
      <c r="W8" s="711">
        <v>0.25336169188630708</v>
      </c>
      <c r="X8" s="711">
        <v>0.28623818350563673</v>
      </c>
      <c r="Y8" s="711">
        <v>9.1573162399106955E-2</v>
      </c>
      <c r="Z8" s="711">
        <v>9.4922430439968591E-2</v>
      </c>
      <c r="AA8" s="9" t="s">
        <v>221</v>
      </c>
    </row>
    <row r="9" spans="1:27" s="9" customFormat="1" ht="12.75" customHeight="1">
      <c r="A9" s="712"/>
      <c r="B9" s="712"/>
      <c r="C9" s="705"/>
      <c r="D9" s="713"/>
      <c r="E9" s="713"/>
      <c r="F9" s="713"/>
      <c r="G9" s="705"/>
      <c r="H9" s="714"/>
      <c r="I9" s="705"/>
      <c r="J9" s="705"/>
      <c r="K9" s="705"/>
      <c r="L9" s="705"/>
      <c r="M9" s="705"/>
      <c r="N9" s="693"/>
      <c r="O9" s="706"/>
      <c r="P9" s="707"/>
      <c r="Q9" s="708"/>
      <c r="R9" s="709"/>
      <c r="S9" s="709"/>
      <c r="T9" s="709"/>
      <c r="U9" s="709"/>
      <c r="V9" s="710"/>
      <c r="W9" s="711"/>
      <c r="X9" s="711"/>
      <c r="Y9" s="711"/>
      <c r="Z9" s="711"/>
    </row>
    <row r="10" spans="1:27" s="9" customFormat="1" ht="12.75" customHeight="1">
      <c r="A10" s="715" t="s">
        <v>61</v>
      </c>
      <c r="B10" s="715"/>
      <c r="C10" s="716">
        <f t="shared" ref="C10:L25" si="2">+Q10*100</f>
        <v>27.583232706572364</v>
      </c>
      <c r="D10" s="717">
        <f t="shared" si="0"/>
        <v>27.755735725375192</v>
      </c>
      <c r="E10" s="717">
        <f t="shared" si="0"/>
        <v>28.670001725030186</v>
      </c>
      <c r="F10" s="717">
        <f t="shared" si="0"/>
        <v>14.335000862515093</v>
      </c>
      <c r="G10" s="716">
        <f t="shared" si="0"/>
        <v>1.6560289805071589</v>
      </c>
      <c r="H10" s="718">
        <f t="shared" si="0"/>
        <v>28.120759837177751</v>
      </c>
      <c r="I10" s="716">
        <f t="shared" si="1"/>
        <v>26.221166892808682</v>
      </c>
      <c r="J10" s="716">
        <f t="shared" si="1"/>
        <v>30.240841248303933</v>
      </c>
      <c r="K10" s="716">
        <f t="shared" si="1"/>
        <v>13.314111261872455</v>
      </c>
      <c r="L10" s="716">
        <f t="shared" si="1"/>
        <v>2.1031207598371777</v>
      </c>
      <c r="M10" s="705"/>
      <c r="N10" s="693"/>
      <c r="O10" s="706">
        <f t="shared" ref="O10:O66" si="3">SUM(H10:L10)</f>
        <v>100</v>
      </c>
      <c r="P10" s="707">
        <f t="shared" ref="P10:P66" si="4">SUM(C10:G10)</f>
        <v>99.999999999999986</v>
      </c>
      <c r="Q10" s="708">
        <v>0.27583232706572364</v>
      </c>
      <c r="R10" s="709">
        <v>0.27755735725375191</v>
      </c>
      <c r="S10" s="709">
        <v>0.28670001725030186</v>
      </c>
      <c r="T10" s="709">
        <v>0.14335000862515093</v>
      </c>
      <c r="U10" s="709">
        <v>1.6560289805071588E-2</v>
      </c>
      <c r="V10" s="710">
        <v>0.2812075983717775</v>
      </c>
      <c r="W10" s="711">
        <v>0.26221166892808684</v>
      </c>
      <c r="X10" s="711">
        <v>0.30240841248303935</v>
      </c>
      <c r="Y10" s="711">
        <v>0.13314111261872455</v>
      </c>
      <c r="Z10" s="711">
        <v>2.1031207598371779E-2</v>
      </c>
      <c r="AA10" s="9" t="s">
        <v>221</v>
      </c>
    </row>
    <row r="11" spans="1:27" s="9" customFormat="1" ht="12.75" customHeight="1">
      <c r="A11" s="715" t="s">
        <v>62</v>
      </c>
      <c r="B11" s="715"/>
      <c r="C11" s="716">
        <f t="shared" si="2"/>
        <v>23.596972069955623</v>
      </c>
      <c r="D11" s="717">
        <f t="shared" si="0"/>
        <v>23.936309057687289</v>
      </c>
      <c r="E11" s="717">
        <f t="shared" si="0"/>
        <v>25.476376925084832</v>
      </c>
      <c r="F11" s="717">
        <f t="shared" si="0"/>
        <v>18.506917253980685</v>
      </c>
      <c r="G11" s="716">
        <f t="shared" si="0"/>
        <v>8.4834246932915693</v>
      </c>
      <c r="H11" s="718">
        <f t="shared" si="0"/>
        <v>25.457717996875889</v>
      </c>
      <c r="I11" s="716">
        <f t="shared" si="1"/>
        <v>22.84219902459412</v>
      </c>
      <c r="J11" s="716">
        <f t="shared" si="1"/>
        <v>28.799761310107392</v>
      </c>
      <c r="K11" s="716">
        <f t="shared" si="1"/>
        <v>20.459170627626285</v>
      </c>
      <c r="L11" s="716">
        <f t="shared" si="1"/>
        <v>2.441151040796318</v>
      </c>
      <c r="M11" s="705"/>
      <c r="N11" s="693"/>
      <c r="O11" s="706">
        <f t="shared" si="3"/>
        <v>100</v>
      </c>
      <c r="P11" s="707">
        <f>SUM(C11:G11)</f>
        <v>100</v>
      </c>
      <c r="Q11" s="708">
        <v>0.23596972069955624</v>
      </c>
      <c r="R11" s="709">
        <v>0.23936309057687288</v>
      </c>
      <c r="S11" s="709">
        <v>0.25476376925084832</v>
      </c>
      <c r="T11" s="709">
        <v>0.18506917253980684</v>
      </c>
      <c r="U11" s="709">
        <v>8.4834246932915691E-2</v>
      </c>
      <c r="V11" s="710">
        <v>0.25457717996875889</v>
      </c>
      <c r="W11" s="711">
        <v>0.2284219902459412</v>
      </c>
      <c r="X11" s="711">
        <v>0.28799761310107391</v>
      </c>
      <c r="Y11" s="711">
        <v>0.20459170627626286</v>
      </c>
      <c r="Z11" s="711">
        <v>2.4411510407963181E-2</v>
      </c>
      <c r="AA11" s="9" t="s">
        <v>221</v>
      </c>
    </row>
    <row r="12" spans="1:27" s="9" customFormat="1" ht="12.75" customHeight="1">
      <c r="A12" s="715" t="s">
        <v>87</v>
      </c>
      <c r="B12" s="715"/>
      <c r="C12" s="716">
        <f t="shared" si="2"/>
        <v>32.629992464204975</v>
      </c>
      <c r="D12" s="717">
        <f t="shared" si="0"/>
        <v>33.534287867370004</v>
      </c>
      <c r="E12" s="717">
        <f t="shared" si="0"/>
        <v>25.621703089675961</v>
      </c>
      <c r="F12" s="717">
        <f t="shared" si="0"/>
        <v>7.8372268274302934</v>
      </c>
      <c r="G12" s="716">
        <f t="shared" si="0"/>
        <v>0.37678975131876413</v>
      </c>
      <c r="H12" s="718">
        <f t="shared" si="0"/>
        <v>32.137404580152676</v>
      </c>
      <c r="I12" s="716">
        <f t="shared" si="1"/>
        <v>31.52671755725191</v>
      </c>
      <c r="J12" s="716">
        <f t="shared" si="1"/>
        <v>27.709923664122137</v>
      </c>
      <c r="K12" s="716">
        <f t="shared" si="1"/>
        <v>8.5496183206106871</v>
      </c>
      <c r="L12" s="716">
        <f t="shared" si="1"/>
        <v>7.6335877862595422E-2</v>
      </c>
      <c r="M12" s="705"/>
      <c r="N12" s="693"/>
      <c r="O12" s="706">
        <f t="shared" si="3"/>
        <v>100.00000000000001</v>
      </c>
      <c r="P12" s="707">
        <f t="shared" si="4"/>
        <v>100.00000000000001</v>
      </c>
      <c r="Q12" s="708">
        <v>0.32629992464204971</v>
      </c>
      <c r="R12" s="709">
        <v>0.33534287867370005</v>
      </c>
      <c r="S12" s="709">
        <v>0.25621703089675962</v>
      </c>
      <c r="T12" s="709">
        <v>7.8372268274302936E-2</v>
      </c>
      <c r="U12" s="709">
        <v>3.7678975131876413E-3</v>
      </c>
      <c r="V12" s="710">
        <v>0.32137404580152673</v>
      </c>
      <c r="W12" s="711">
        <v>0.3152671755725191</v>
      </c>
      <c r="X12" s="711">
        <v>0.27709923664122138</v>
      </c>
      <c r="Y12" s="711">
        <v>8.5496183206106871E-2</v>
      </c>
      <c r="Z12" s="711">
        <v>7.6335877862595419E-4</v>
      </c>
      <c r="AA12" s="9" t="s">
        <v>221</v>
      </c>
    </row>
    <row r="13" spans="1:27" s="9" customFormat="1" ht="12.75" customHeight="1">
      <c r="A13" s="715" t="s">
        <v>63</v>
      </c>
      <c r="B13" s="715"/>
      <c r="C13" s="716">
        <f t="shared" si="2"/>
        <v>27.844984477036721</v>
      </c>
      <c r="D13" s="717">
        <f t="shared" si="0"/>
        <v>28.40167005673911</v>
      </c>
      <c r="E13" s="717">
        <f t="shared" si="0"/>
        <v>22.631409913285516</v>
      </c>
      <c r="F13" s="717">
        <f t="shared" si="0"/>
        <v>13.157049566427578</v>
      </c>
      <c r="G13" s="716">
        <f t="shared" si="0"/>
        <v>7.9648859865110806</v>
      </c>
      <c r="H13" s="718">
        <f t="shared" si="0"/>
        <v>26.83466891606917</v>
      </c>
      <c r="I13" s="716">
        <f t="shared" si="1"/>
        <v>28.131590046393928</v>
      </c>
      <c r="J13" s="716">
        <f t="shared" si="1"/>
        <v>27.235343736819907</v>
      </c>
      <c r="K13" s="716">
        <f t="shared" si="1"/>
        <v>11.883171657528468</v>
      </c>
      <c r="L13" s="716">
        <f t="shared" si="1"/>
        <v>5.9152256431885277</v>
      </c>
      <c r="M13" s="705"/>
      <c r="N13" s="693"/>
      <c r="O13" s="706">
        <f t="shared" si="3"/>
        <v>100</v>
      </c>
      <c r="P13" s="707">
        <f t="shared" si="4"/>
        <v>100</v>
      </c>
      <c r="Q13" s="708">
        <v>0.27844984477036722</v>
      </c>
      <c r="R13" s="709">
        <v>0.28401670056739109</v>
      </c>
      <c r="S13" s="709">
        <v>0.22631409913285516</v>
      </c>
      <c r="T13" s="709">
        <v>0.13157049566427578</v>
      </c>
      <c r="U13" s="709">
        <v>7.9648859865110805E-2</v>
      </c>
      <c r="V13" s="710">
        <v>0.26834668916069171</v>
      </c>
      <c r="W13" s="711">
        <v>0.28131590046393928</v>
      </c>
      <c r="X13" s="711">
        <v>0.27235343736819906</v>
      </c>
      <c r="Y13" s="711">
        <v>0.11883171657528468</v>
      </c>
      <c r="Z13" s="711">
        <v>5.9152256431885278E-2</v>
      </c>
      <c r="AA13" s="9" t="s">
        <v>221</v>
      </c>
    </row>
    <row r="14" spans="1:27" s="9" customFormat="1" ht="12.75" customHeight="1">
      <c r="A14" s="642" t="s">
        <v>64</v>
      </c>
      <c r="B14" s="642"/>
      <c r="C14" s="705">
        <f t="shared" si="2"/>
        <v>25.046574208238461</v>
      </c>
      <c r="D14" s="713">
        <f t="shared" si="0"/>
        <v>26.599047816187127</v>
      </c>
      <c r="E14" s="713">
        <f t="shared" si="0"/>
        <v>30.863175326019459</v>
      </c>
      <c r="F14" s="713">
        <f t="shared" si="0"/>
        <v>7.5036224384185477</v>
      </c>
      <c r="G14" s="705">
        <f t="shared" si="0"/>
        <v>9.9875802111364109</v>
      </c>
      <c r="H14" s="714">
        <f t="shared" si="0"/>
        <v>28.066476497581544</v>
      </c>
      <c r="I14" s="705">
        <f t="shared" si="1"/>
        <v>26.578196700979785</v>
      </c>
      <c r="J14" s="705">
        <f t="shared" si="1"/>
        <v>33.275455785687704</v>
      </c>
      <c r="K14" s="705">
        <f t="shared" si="1"/>
        <v>7.0817313654967133</v>
      </c>
      <c r="L14" s="705">
        <f t="shared" si="1"/>
        <v>4.9981396502542479</v>
      </c>
      <c r="M14" s="705"/>
      <c r="N14" s="693"/>
      <c r="O14" s="706">
        <f t="shared" si="3"/>
        <v>99.999999999999986</v>
      </c>
      <c r="P14" s="707">
        <f t="shared" si="4"/>
        <v>100</v>
      </c>
      <c r="Q14" s="708">
        <v>0.25046574208238459</v>
      </c>
      <c r="R14" s="709">
        <v>0.26599047816187127</v>
      </c>
      <c r="S14" s="709">
        <v>0.3086317532601946</v>
      </c>
      <c r="T14" s="709">
        <v>7.5036224384185474E-2</v>
      </c>
      <c r="U14" s="709">
        <v>9.9875802111364112E-2</v>
      </c>
      <c r="V14" s="710">
        <v>0.28066476497581544</v>
      </c>
      <c r="W14" s="711">
        <v>0.26578196700979784</v>
      </c>
      <c r="X14" s="711">
        <v>0.33275455785687708</v>
      </c>
      <c r="Y14" s="711">
        <v>7.0817313654967129E-2</v>
      </c>
      <c r="Z14" s="711">
        <v>4.9981396502542477E-2</v>
      </c>
      <c r="AA14" s="9" t="s">
        <v>221</v>
      </c>
    </row>
    <row r="15" spans="1:27" s="9" customFormat="1" ht="12.75" customHeight="1">
      <c r="A15" s="642" t="s">
        <v>65</v>
      </c>
      <c r="B15" s="642"/>
      <c r="C15" s="705">
        <f t="shared" si="2"/>
        <v>26.670574443141852</v>
      </c>
      <c r="D15" s="713">
        <f t="shared" si="0"/>
        <v>28.800312622118014</v>
      </c>
      <c r="E15" s="713">
        <f t="shared" si="0"/>
        <v>25.068386088315748</v>
      </c>
      <c r="F15" s="713">
        <f t="shared" si="0"/>
        <v>6.9558421258304026</v>
      </c>
      <c r="G15" s="705">
        <f t="shared" si="0"/>
        <v>12.504884720593981</v>
      </c>
      <c r="H15" s="714">
        <f t="shared" si="0"/>
        <v>26.195341234164282</v>
      </c>
      <c r="I15" s="705">
        <f t="shared" si="1"/>
        <v>27.441765427053532</v>
      </c>
      <c r="J15" s="705">
        <f t="shared" si="1"/>
        <v>27.482631794033512</v>
      </c>
      <c r="K15" s="705">
        <f t="shared" si="1"/>
        <v>7.9076420106252554</v>
      </c>
      <c r="L15" s="705">
        <f t="shared" si="1"/>
        <v>10.972619534123416</v>
      </c>
      <c r="M15" s="705"/>
      <c r="N15" s="693"/>
      <c r="O15" s="706">
        <f t="shared" si="3"/>
        <v>99.999999999999986</v>
      </c>
      <c r="P15" s="707">
        <f t="shared" si="4"/>
        <v>99.999999999999986</v>
      </c>
      <c r="Q15" s="708">
        <v>0.26670574443141853</v>
      </c>
      <c r="R15" s="709">
        <v>0.28800312622118013</v>
      </c>
      <c r="S15" s="709">
        <v>0.25068386088315747</v>
      </c>
      <c r="T15" s="709">
        <v>6.9558421258304026E-2</v>
      </c>
      <c r="U15" s="709">
        <v>0.12504884720593981</v>
      </c>
      <c r="V15" s="710">
        <v>0.26195341234164282</v>
      </c>
      <c r="W15" s="711">
        <v>0.27441765427053533</v>
      </c>
      <c r="X15" s="711">
        <v>0.27482631794033513</v>
      </c>
      <c r="Y15" s="711">
        <v>7.9076420106252557E-2</v>
      </c>
      <c r="Z15" s="711">
        <v>0.10972619534123416</v>
      </c>
      <c r="AA15" s="9" t="s">
        <v>221</v>
      </c>
    </row>
    <row r="16" spans="1:27" s="9" customFormat="1" ht="12.75" customHeight="1">
      <c r="A16" s="642" t="s">
        <v>66</v>
      </c>
      <c r="B16" s="642"/>
      <c r="C16" s="705">
        <f t="shared" si="2"/>
        <v>24.797675866362315</v>
      </c>
      <c r="D16" s="713">
        <f t="shared" si="0"/>
        <v>25.772981946461922</v>
      </c>
      <c r="E16" s="713">
        <f t="shared" si="0"/>
        <v>25.295704503008924</v>
      </c>
      <c r="F16" s="713">
        <f t="shared" si="0"/>
        <v>22.14152313758041</v>
      </c>
      <c r="G16" s="705">
        <f t="shared" si="0"/>
        <v>1.9921145465864285</v>
      </c>
      <c r="H16" s="714">
        <f t="shared" si="0"/>
        <v>23.687466855223615</v>
      </c>
      <c r="I16" s="705">
        <f t="shared" si="1"/>
        <v>20.876789817924696</v>
      </c>
      <c r="J16" s="705">
        <f t="shared" si="1"/>
        <v>31.37705497613576</v>
      </c>
      <c r="K16" s="705">
        <f t="shared" si="1"/>
        <v>21.972777090330563</v>
      </c>
      <c r="L16" s="705">
        <f t="shared" si="1"/>
        <v>2.0859112603853633</v>
      </c>
      <c r="M16" s="705"/>
      <c r="N16" s="693"/>
      <c r="O16" s="706">
        <f t="shared" si="3"/>
        <v>100</v>
      </c>
      <c r="P16" s="707">
        <f t="shared" si="4"/>
        <v>100</v>
      </c>
      <c r="Q16" s="708">
        <v>0.24797675866362315</v>
      </c>
      <c r="R16" s="709">
        <v>0.2577298194646192</v>
      </c>
      <c r="S16" s="709">
        <v>0.25295704503008926</v>
      </c>
      <c r="T16" s="709">
        <v>0.2214152313758041</v>
      </c>
      <c r="U16" s="709">
        <v>1.9921145465864286E-2</v>
      </c>
      <c r="V16" s="710">
        <v>0.23687466855223616</v>
      </c>
      <c r="W16" s="711">
        <v>0.20876789817924696</v>
      </c>
      <c r="X16" s="711">
        <v>0.3137705497613576</v>
      </c>
      <c r="Y16" s="711">
        <v>0.21972777090330564</v>
      </c>
      <c r="Z16" s="711">
        <v>2.0859112603853633E-2</v>
      </c>
      <c r="AA16" s="9" t="s">
        <v>221</v>
      </c>
    </row>
    <row r="17" spans="1:27" s="9" customFormat="1" ht="12.75" customHeight="1">
      <c r="A17" s="642" t="s">
        <v>67</v>
      </c>
      <c r="B17" s="642"/>
      <c r="C17" s="705">
        <f t="shared" si="2"/>
        <v>27.985668789808916</v>
      </c>
      <c r="D17" s="713">
        <f t="shared" si="0"/>
        <v>26.612261146496813</v>
      </c>
      <c r="E17" s="713">
        <f t="shared" si="0"/>
        <v>25.119426751592357</v>
      </c>
      <c r="F17" s="713">
        <f t="shared" si="0"/>
        <v>1.3535031847133758</v>
      </c>
      <c r="G17" s="705">
        <f t="shared" si="0"/>
        <v>18.929140127388536</v>
      </c>
      <c r="H17" s="714">
        <f t="shared" si="0"/>
        <v>27.743399339933994</v>
      </c>
      <c r="I17" s="705">
        <f t="shared" si="1"/>
        <v>24.876237623762375</v>
      </c>
      <c r="J17" s="705">
        <f t="shared" si="1"/>
        <v>27.00082508250825</v>
      </c>
      <c r="K17" s="705">
        <f t="shared" si="1"/>
        <v>2.1864686468646868</v>
      </c>
      <c r="L17" s="705">
        <f t="shared" si="1"/>
        <v>18.193069306930692</v>
      </c>
      <c r="M17" s="705"/>
      <c r="N17" s="693"/>
      <c r="O17" s="706">
        <f t="shared" si="3"/>
        <v>99.999999999999986</v>
      </c>
      <c r="P17" s="707">
        <f t="shared" si="4"/>
        <v>100</v>
      </c>
      <c r="Q17" s="708">
        <v>0.27985668789808915</v>
      </c>
      <c r="R17" s="709">
        <v>0.26612261146496813</v>
      </c>
      <c r="S17" s="709">
        <v>0.25119426751592355</v>
      </c>
      <c r="T17" s="709">
        <v>1.3535031847133758E-2</v>
      </c>
      <c r="U17" s="709">
        <v>0.18929140127388536</v>
      </c>
      <c r="V17" s="710">
        <v>0.27743399339933994</v>
      </c>
      <c r="W17" s="711">
        <v>0.24876237623762376</v>
      </c>
      <c r="X17" s="711">
        <v>0.27000825082508251</v>
      </c>
      <c r="Y17" s="711">
        <v>2.1864686468646866E-2</v>
      </c>
      <c r="Z17" s="711">
        <v>0.18193069306930693</v>
      </c>
      <c r="AA17" s="9" t="s">
        <v>221</v>
      </c>
    </row>
    <row r="18" spans="1:27" s="9" customFormat="1" ht="12.75" customHeight="1">
      <c r="A18" s="719" t="s">
        <v>68</v>
      </c>
      <c r="B18" s="719"/>
      <c r="C18" s="716">
        <f t="shared" si="2"/>
        <v>21.322023983620941</v>
      </c>
      <c r="D18" s="717">
        <f t="shared" si="0"/>
        <v>25.972506580871602</v>
      </c>
      <c r="E18" s="717">
        <f t="shared" si="0"/>
        <v>30.447499268792043</v>
      </c>
      <c r="F18" s="717">
        <f t="shared" si="0"/>
        <v>19.4793799356537</v>
      </c>
      <c r="G18" s="716">
        <f t="shared" si="0"/>
        <v>2.7785902310617141</v>
      </c>
      <c r="H18" s="718">
        <f t="shared" si="0"/>
        <v>22.205300030459945</v>
      </c>
      <c r="I18" s="716">
        <f t="shared" si="1"/>
        <v>22.296679865976241</v>
      </c>
      <c r="J18" s="716">
        <f t="shared" si="1"/>
        <v>34.998477002741396</v>
      </c>
      <c r="K18" s="716">
        <f t="shared" si="1"/>
        <v>18.702406335668595</v>
      </c>
      <c r="L18" s="716">
        <f t="shared" si="1"/>
        <v>1.7971367651538228</v>
      </c>
      <c r="M18" s="705"/>
      <c r="N18" s="693"/>
      <c r="O18" s="706">
        <f t="shared" si="3"/>
        <v>100</v>
      </c>
      <c r="P18" s="707">
        <f t="shared" si="4"/>
        <v>100</v>
      </c>
      <c r="Q18" s="708">
        <v>0.21322023983620941</v>
      </c>
      <c r="R18" s="709">
        <v>0.25972506580871602</v>
      </c>
      <c r="S18" s="709">
        <v>0.30447499268792044</v>
      </c>
      <c r="T18" s="709">
        <v>0.19479379935653701</v>
      </c>
      <c r="U18" s="709">
        <v>2.7785902310617141E-2</v>
      </c>
      <c r="V18" s="710">
        <v>0.22205300030459946</v>
      </c>
      <c r="W18" s="711">
        <v>0.22296679865976241</v>
      </c>
      <c r="X18" s="711">
        <v>0.34998477002741396</v>
      </c>
      <c r="Y18" s="711">
        <v>0.18702406335668595</v>
      </c>
      <c r="Z18" s="711">
        <v>1.7971367651538228E-2</v>
      </c>
      <c r="AA18" s="9" t="s">
        <v>221</v>
      </c>
    </row>
    <row r="19" spans="1:27" s="9" customFormat="1" ht="12.75" customHeight="1">
      <c r="A19" s="719" t="s">
        <v>69</v>
      </c>
      <c r="B19" s="719"/>
      <c r="C19" s="716">
        <f t="shared" si="2"/>
        <v>25.004864759680874</v>
      </c>
      <c r="D19" s="717">
        <f t="shared" si="0"/>
        <v>29.256664720762792</v>
      </c>
      <c r="E19" s="717">
        <f t="shared" si="0"/>
        <v>21.288188363494843</v>
      </c>
      <c r="F19" s="717">
        <f t="shared" si="0"/>
        <v>1.3815917493675813</v>
      </c>
      <c r="G19" s="716">
        <f t="shared" si="0"/>
        <v>23.068690406693911</v>
      </c>
      <c r="H19" s="718">
        <f t="shared" si="0"/>
        <v>26.234716472513718</v>
      </c>
      <c r="I19" s="716">
        <f t="shared" si="1"/>
        <v>25.320111678059114</v>
      </c>
      <c r="J19" s="716">
        <f t="shared" si="1"/>
        <v>26.234716472513718</v>
      </c>
      <c r="K19" s="716">
        <f t="shared" si="1"/>
        <v>1.6751708866852799</v>
      </c>
      <c r="L19" s="716">
        <f t="shared" si="1"/>
        <v>20.535284490228172</v>
      </c>
      <c r="M19" s="705"/>
      <c r="N19" s="693"/>
      <c r="O19" s="706">
        <f t="shared" si="3"/>
        <v>100</v>
      </c>
      <c r="P19" s="707">
        <f t="shared" si="4"/>
        <v>100</v>
      </c>
      <c r="Q19" s="708">
        <v>0.25004864759680873</v>
      </c>
      <c r="R19" s="709">
        <v>0.29256664720762793</v>
      </c>
      <c r="S19" s="709">
        <v>0.21288188363494842</v>
      </c>
      <c r="T19" s="709">
        <v>1.3815917493675813E-2</v>
      </c>
      <c r="U19" s="709">
        <v>0.23068690406693909</v>
      </c>
      <c r="V19" s="710">
        <v>0.26234716472513719</v>
      </c>
      <c r="W19" s="711">
        <v>0.25320111678059115</v>
      </c>
      <c r="X19" s="711">
        <v>0.26234716472513719</v>
      </c>
      <c r="Y19" s="711">
        <v>1.6751708866852798E-2</v>
      </c>
      <c r="Z19" s="711">
        <v>0.2053528449022817</v>
      </c>
      <c r="AA19" s="9" t="s">
        <v>221</v>
      </c>
    </row>
    <row r="20" spans="1:27" s="9" customFormat="1" ht="12.75" customHeight="1">
      <c r="A20" s="719" t="s">
        <v>70</v>
      </c>
      <c r="B20" s="719"/>
      <c r="C20" s="716">
        <f t="shared" si="2"/>
        <v>29.755736491487788</v>
      </c>
      <c r="D20" s="717">
        <f t="shared" si="0"/>
        <v>24.302985442881816</v>
      </c>
      <c r="E20" s="717">
        <f t="shared" si="0"/>
        <v>24.525043177892918</v>
      </c>
      <c r="F20" s="717">
        <f t="shared" si="0"/>
        <v>21.416234887737478</v>
      </c>
      <c r="G20" s="716">
        <f t="shared" si="0"/>
        <v>0</v>
      </c>
      <c r="H20" s="718">
        <f t="shared" si="0"/>
        <v>29.540763673890609</v>
      </c>
      <c r="I20" s="716">
        <f t="shared" si="1"/>
        <v>23.090815273477812</v>
      </c>
      <c r="J20" s="716">
        <f t="shared" si="1"/>
        <v>27.86377708978328</v>
      </c>
      <c r="K20" s="716">
        <f t="shared" si="1"/>
        <v>19.504643962848299</v>
      </c>
      <c r="L20" s="716">
        <f t="shared" si="1"/>
        <v>0</v>
      </c>
      <c r="M20" s="705"/>
      <c r="N20" s="693"/>
      <c r="O20" s="706">
        <f t="shared" si="3"/>
        <v>100</v>
      </c>
      <c r="P20" s="707">
        <f t="shared" si="4"/>
        <v>99.999999999999986</v>
      </c>
      <c r="Q20" s="708">
        <v>0.29755736491487789</v>
      </c>
      <c r="R20" s="709">
        <v>0.24302985442881817</v>
      </c>
      <c r="S20" s="709">
        <v>0.24525043177892919</v>
      </c>
      <c r="T20" s="709">
        <v>0.21416234887737479</v>
      </c>
      <c r="U20" s="709">
        <v>0</v>
      </c>
      <c r="V20" s="710">
        <v>0.29540763673890608</v>
      </c>
      <c r="W20" s="711">
        <v>0.23090815273477813</v>
      </c>
      <c r="X20" s="711">
        <v>0.27863777089783281</v>
      </c>
      <c r="Y20" s="711">
        <v>0.19504643962848298</v>
      </c>
      <c r="Z20" s="711">
        <v>0</v>
      </c>
      <c r="AA20" s="9" t="s">
        <v>221</v>
      </c>
    </row>
    <row r="21" spans="1:27" s="9" customFormat="1" ht="12.75" customHeight="1">
      <c r="A21" s="719" t="s">
        <v>71</v>
      </c>
      <c r="B21" s="719"/>
      <c r="C21" s="716">
        <f t="shared" si="2"/>
        <v>24.393305439330543</v>
      </c>
      <c r="D21" s="717">
        <f t="shared" si="0"/>
        <v>29.372384937238493</v>
      </c>
      <c r="E21" s="717">
        <f t="shared" si="0"/>
        <v>27.719665271966527</v>
      </c>
      <c r="F21" s="717">
        <f t="shared" si="0"/>
        <v>9.8117154811715483</v>
      </c>
      <c r="G21" s="716">
        <f t="shared" si="0"/>
        <v>8.7029288702928866</v>
      </c>
      <c r="H21" s="718">
        <f t="shared" si="0"/>
        <v>25.623885918003563</v>
      </c>
      <c r="I21" s="716">
        <f t="shared" si="1"/>
        <v>25.178253119429588</v>
      </c>
      <c r="J21" s="716">
        <f t="shared" si="1"/>
        <v>32.219251336898395</v>
      </c>
      <c r="K21" s="716">
        <f t="shared" si="1"/>
        <v>10.450089126559716</v>
      </c>
      <c r="L21" s="716">
        <f t="shared" si="1"/>
        <v>6.5285204991087351</v>
      </c>
      <c r="M21" s="705"/>
      <c r="N21" s="693"/>
      <c r="O21" s="706">
        <f t="shared" si="3"/>
        <v>100</v>
      </c>
      <c r="P21" s="707">
        <f t="shared" si="4"/>
        <v>100</v>
      </c>
      <c r="Q21" s="708">
        <v>0.24393305439330543</v>
      </c>
      <c r="R21" s="709">
        <v>0.29372384937238494</v>
      </c>
      <c r="S21" s="709">
        <v>0.27719665271966526</v>
      </c>
      <c r="T21" s="709">
        <v>9.8117154811715485E-2</v>
      </c>
      <c r="U21" s="709">
        <v>8.7029288702928864E-2</v>
      </c>
      <c r="V21" s="710">
        <v>0.25623885918003564</v>
      </c>
      <c r="W21" s="711">
        <v>0.25178253119429589</v>
      </c>
      <c r="X21" s="711">
        <v>0.32219251336898397</v>
      </c>
      <c r="Y21" s="711">
        <v>0.10450089126559715</v>
      </c>
      <c r="Z21" s="711">
        <v>6.5285204991087351E-2</v>
      </c>
      <c r="AA21" s="9" t="s">
        <v>221</v>
      </c>
    </row>
    <row r="22" spans="1:27" s="153" customFormat="1" ht="12.75" customHeight="1">
      <c r="A22" s="642" t="s">
        <v>72</v>
      </c>
      <c r="B22" s="642"/>
      <c r="C22" s="705">
        <f t="shared" si="2"/>
        <v>31.648757555406316</v>
      </c>
      <c r="D22" s="713">
        <f t="shared" si="0"/>
        <v>26.074546675621225</v>
      </c>
      <c r="E22" s="713">
        <f t="shared" si="0"/>
        <v>24.748153122901275</v>
      </c>
      <c r="F22" s="713">
        <f t="shared" si="0"/>
        <v>6.9509738079247816</v>
      </c>
      <c r="G22" s="705">
        <f t="shared" si="0"/>
        <v>10.577568838146407</v>
      </c>
      <c r="H22" s="714">
        <f t="shared" si="0"/>
        <v>31.732664397061463</v>
      </c>
      <c r="I22" s="705">
        <f t="shared" si="1"/>
        <v>25.533058591650242</v>
      </c>
      <c r="J22" s="705">
        <f t="shared" si="1"/>
        <v>28.382010392402794</v>
      </c>
      <c r="K22" s="705">
        <f t="shared" si="1"/>
        <v>7.0417487905393301</v>
      </c>
      <c r="L22" s="705">
        <f t="shared" si="1"/>
        <v>7.3105178283461747</v>
      </c>
      <c r="M22" s="705"/>
      <c r="N22" s="693"/>
      <c r="O22" s="706">
        <f t="shared" si="3"/>
        <v>100</v>
      </c>
      <c r="P22" s="707">
        <f t="shared" si="4"/>
        <v>100</v>
      </c>
      <c r="Q22" s="708">
        <v>0.31648757555406315</v>
      </c>
      <c r="R22" s="709">
        <v>0.26074546675621224</v>
      </c>
      <c r="S22" s="709">
        <v>0.24748153122901276</v>
      </c>
      <c r="T22" s="709">
        <v>6.9509738079247818E-2</v>
      </c>
      <c r="U22" s="709">
        <v>0.10577568838146408</v>
      </c>
      <c r="V22" s="710">
        <v>0.31732664397061461</v>
      </c>
      <c r="W22" s="711">
        <v>0.25533058591650243</v>
      </c>
      <c r="X22" s="711">
        <v>0.28382010392402796</v>
      </c>
      <c r="Y22" s="711">
        <v>7.0417487905393303E-2</v>
      </c>
      <c r="Z22" s="711">
        <v>7.3105178283461747E-2</v>
      </c>
      <c r="AA22" s="153" t="s">
        <v>221</v>
      </c>
    </row>
    <row r="23" spans="1:27" s="153" customFormat="1" ht="12.75" customHeight="1">
      <c r="A23" s="642" t="s">
        <v>73</v>
      </c>
      <c r="B23" s="642"/>
      <c r="C23" s="705">
        <f t="shared" si="2"/>
        <v>27.219253958139305</v>
      </c>
      <c r="D23" s="713">
        <f t="shared" si="2"/>
        <v>25.586981030341647</v>
      </c>
      <c r="E23" s="713">
        <f t="shared" si="2"/>
        <v>22.043037106024215</v>
      </c>
      <c r="F23" s="713">
        <f t="shared" si="2"/>
        <v>4.8478015783540025</v>
      </c>
      <c r="G23" s="705">
        <f t="shared" si="2"/>
        <v>20.302926327140828</v>
      </c>
      <c r="H23" s="714">
        <f t="shared" si="2"/>
        <v>27.003945732663098</v>
      </c>
      <c r="I23" s="705">
        <f t="shared" si="2"/>
        <v>23.587914166801795</v>
      </c>
      <c r="J23" s="705">
        <f t="shared" si="2"/>
        <v>25.712123668990866</v>
      </c>
      <c r="K23" s="705">
        <f t="shared" si="2"/>
        <v>4.1132911734500839</v>
      </c>
      <c r="L23" s="705">
        <f t="shared" si="2"/>
        <v>19.582725258094158</v>
      </c>
      <c r="M23" s="705"/>
      <c r="N23" s="693"/>
      <c r="O23" s="706">
        <f t="shared" si="3"/>
        <v>100</v>
      </c>
      <c r="P23" s="707">
        <f t="shared" si="4"/>
        <v>100</v>
      </c>
      <c r="Q23" s="708">
        <v>0.27219253958139306</v>
      </c>
      <c r="R23" s="709">
        <v>0.25586981030341649</v>
      </c>
      <c r="S23" s="709">
        <v>0.22043037106024216</v>
      </c>
      <c r="T23" s="709">
        <v>4.8478015783540024E-2</v>
      </c>
      <c r="U23" s="709">
        <v>0.20302926327140827</v>
      </c>
      <c r="V23" s="710">
        <v>0.27003945732663098</v>
      </c>
      <c r="W23" s="711">
        <v>0.23587914166801793</v>
      </c>
      <c r="X23" s="711">
        <v>0.25712123668990866</v>
      </c>
      <c r="Y23" s="711">
        <v>4.1132911734500836E-2</v>
      </c>
      <c r="Z23" s="711">
        <v>0.19582725258094158</v>
      </c>
      <c r="AA23" s="153" t="s">
        <v>221</v>
      </c>
    </row>
    <row r="24" spans="1:27" s="153" customFormat="1" ht="12.75" customHeight="1">
      <c r="A24" s="642" t="s">
        <v>74</v>
      </c>
      <c r="B24" s="642"/>
      <c r="C24" s="705">
        <f t="shared" si="2"/>
        <v>30.329125870001178</v>
      </c>
      <c r="D24" s="713">
        <f t="shared" si="2"/>
        <v>29.17305650583933</v>
      </c>
      <c r="E24" s="713">
        <f t="shared" si="2"/>
        <v>25.421729385395775</v>
      </c>
      <c r="F24" s="713">
        <f t="shared" si="2"/>
        <v>9.8501828477055557</v>
      </c>
      <c r="G24" s="705">
        <f t="shared" si="2"/>
        <v>5.2259053910581574</v>
      </c>
      <c r="H24" s="714">
        <f t="shared" si="2"/>
        <v>30.049317582291547</v>
      </c>
      <c r="I24" s="705">
        <f t="shared" si="2"/>
        <v>28.294529189127193</v>
      </c>
      <c r="J24" s="705">
        <f t="shared" si="2"/>
        <v>28.74182819130634</v>
      </c>
      <c r="K24" s="705">
        <f t="shared" si="2"/>
        <v>9.7947012272049552</v>
      </c>
      <c r="L24" s="705">
        <f t="shared" si="2"/>
        <v>3.119623810069962</v>
      </c>
      <c r="M24" s="705"/>
      <c r="N24" s="693"/>
      <c r="O24" s="706">
        <f t="shared" si="3"/>
        <v>100</v>
      </c>
      <c r="P24" s="707">
        <f t="shared" si="4"/>
        <v>100</v>
      </c>
      <c r="Q24" s="708">
        <v>0.30329125870001178</v>
      </c>
      <c r="R24" s="709">
        <v>0.29173056505839329</v>
      </c>
      <c r="S24" s="709">
        <v>0.25421729385395775</v>
      </c>
      <c r="T24" s="709">
        <v>9.8501828477055561E-2</v>
      </c>
      <c r="U24" s="709">
        <v>5.2259053910581575E-2</v>
      </c>
      <c r="V24" s="710">
        <v>0.30049317582291546</v>
      </c>
      <c r="W24" s="711">
        <v>0.28294529189127193</v>
      </c>
      <c r="X24" s="711">
        <v>0.2874182819130634</v>
      </c>
      <c r="Y24" s="711">
        <v>9.794701227204955E-2</v>
      </c>
      <c r="Z24" s="711">
        <v>3.119623810069962E-2</v>
      </c>
      <c r="AA24" s="153" t="s">
        <v>221</v>
      </c>
    </row>
    <row r="25" spans="1:27" s="176" customFormat="1" ht="12.75" customHeight="1">
      <c r="A25" s="645" t="s">
        <v>75</v>
      </c>
      <c r="B25" s="645"/>
      <c r="C25" s="701">
        <f t="shared" si="2"/>
        <v>27.836304700162074</v>
      </c>
      <c r="D25" s="701">
        <f t="shared" si="2"/>
        <v>28.322528363046999</v>
      </c>
      <c r="E25" s="701">
        <f t="shared" si="2"/>
        <v>33.306320907617504</v>
      </c>
      <c r="F25" s="701">
        <f t="shared" si="2"/>
        <v>8.1847649918962713</v>
      </c>
      <c r="G25" s="701">
        <f t="shared" si="2"/>
        <v>2.3500810372771475</v>
      </c>
      <c r="H25" s="720">
        <f t="shared" si="2"/>
        <v>31.675034230944775</v>
      </c>
      <c r="I25" s="701">
        <f t="shared" si="2"/>
        <v>25.741670470104978</v>
      </c>
      <c r="J25" s="701">
        <f t="shared" si="2"/>
        <v>32.95298950251027</v>
      </c>
      <c r="K25" s="701">
        <f t="shared" si="2"/>
        <v>7.211319032405294</v>
      </c>
      <c r="L25" s="701">
        <f t="shared" si="2"/>
        <v>2.4189867640346874</v>
      </c>
      <c r="M25" s="705"/>
      <c r="N25" s="693"/>
      <c r="O25" s="721">
        <f t="shared" si="3"/>
        <v>100</v>
      </c>
      <c r="P25" s="722">
        <f t="shared" si="4"/>
        <v>100</v>
      </c>
      <c r="Q25" s="723">
        <v>0.27836304700162073</v>
      </c>
      <c r="R25" s="724">
        <v>0.28322528363047</v>
      </c>
      <c r="S25" s="724">
        <v>0.33306320907617504</v>
      </c>
      <c r="T25" s="724">
        <v>8.184764991896272E-2</v>
      </c>
      <c r="U25" s="725">
        <v>2.3500810372771474E-2</v>
      </c>
      <c r="V25" s="726">
        <v>0.31675034230944776</v>
      </c>
      <c r="W25" s="727">
        <v>0.25741670470104977</v>
      </c>
      <c r="X25" s="727">
        <v>0.32952989502510271</v>
      </c>
      <c r="Y25" s="727">
        <v>7.2113190324052945E-2</v>
      </c>
      <c r="Z25" s="727">
        <v>2.4189867640346873E-2</v>
      </c>
      <c r="AA25" s="176" t="s">
        <v>221</v>
      </c>
    </row>
    <row r="26" spans="1:27" s="340" customFormat="1" ht="12.75" customHeight="1">
      <c r="A26" s="712" t="s">
        <v>171</v>
      </c>
      <c r="B26" s="712"/>
      <c r="C26" s="728">
        <f t="shared" ref="C26:L53" si="5">+Q26*100</f>
        <v>39.158024512292407</v>
      </c>
      <c r="D26" s="729">
        <f t="shared" si="5"/>
        <v>23.700050765102617</v>
      </c>
      <c r="E26" s="729">
        <f t="shared" si="5"/>
        <v>17.999854956849664</v>
      </c>
      <c r="F26" s="729">
        <f t="shared" si="5"/>
        <v>6.936688664877801</v>
      </c>
      <c r="G26" s="728">
        <f t="shared" si="5"/>
        <v>12.20538110087751</v>
      </c>
      <c r="H26" s="730">
        <f t="shared" si="5"/>
        <v>35.370616261813637</v>
      </c>
      <c r="I26" s="728">
        <f t="shared" si="5"/>
        <v>23.406623447629464</v>
      </c>
      <c r="J26" s="728">
        <f t="shared" si="5"/>
        <v>24.513785831445755</v>
      </c>
      <c r="K26" s="728">
        <f t="shared" si="5"/>
        <v>5.264391158322268</v>
      </c>
      <c r="L26" s="728">
        <f t="shared" si="5"/>
        <v>11.444583300788876</v>
      </c>
      <c r="M26" s="705">
        <f>+D26+C26</f>
        <v>62.858075277395024</v>
      </c>
      <c r="N26" s="705">
        <f>+I26+H26</f>
        <v>58.777239709443101</v>
      </c>
      <c r="O26" s="706">
        <f t="shared" si="3"/>
        <v>100</v>
      </c>
      <c r="P26" s="707">
        <f t="shared" si="4"/>
        <v>100</v>
      </c>
      <c r="Q26" s="708">
        <v>0.39158024512292405</v>
      </c>
      <c r="R26" s="709">
        <v>0.23700050765102618</v>
      </c>
      <c r="S26" s="709">
        <v>0.17999854956849662</v>
      </c>
      <c r="T26" s="709">
        <v>6.9366886648778006E-2</v>
      </c>
      <c r="U26" s="709">
        <v>0.1220538110087751</v>
      </c>
      <c r="V26" s="710">
        <v>0.35370616261813637</v>
      </c>
      <c r="W26" s="711">
        <v>0.23406623447629463</v>
      </c>
      <c r="X26" s="711">
        <v>0.24513785831445756</v>
      </c>
      <c r="Y26" s="711">
        <v>5.264391158322268E-2</v>
      </c>
      <c r="Z26" s="711">
        <v>0.11444583300788877</v>
      </c>
    </row>
    <row r="27" spans="1:27" s="340" customFormat="1" ht="12.75" customHeight="1">
      <c r="A27" s="712"/>
      <c r="B27" s="712"/>
      <c r="C27" s="728"/>
      <c r="D27" s="729"/>
      <c r="E27" s="729"/>
      <c r="F27" s="729"/>
      <c r="G27" s="728"/>
      <c r="H27" s="730"/>
      <c r="I27" s="728"/>
      <c r="J27" s="728"/>
      <c r="K27" s="728"/>
      <c r="L27" s="728"/>
      <c r="M27" s="731"/>
      <c r="N27" s="693"/>
      <c r="O27" s="706"/>
      <c r="P27" s="707"/>
      <c r="Q27" s="708"/>
      <c r="R27" s="709"/>
      <c r="S27" s="709"/>
      <c r="T27" s="709"/>
      <c r="U27" s="709"/>
      <c r="V27" s="710"/>
      <c r="W27" s="711"/>
      <c r="X27" s="711"/>
      <c r="Y27" s="711"/>
      <c r="Z27" s="711"/>
    </row>
    <row r="28" spans="1:27" s="735" customFormat="1">
      <c r="A28" s="732" t="s">
        <v>174</v>
      </c>
      <c r="B28" s="733"/>
      <c r="C28" s="716">
        <f t="shared" si="5"/>
        <v>19.201520912547529</v>
      </c>
      <c r="D28" s="717">
        <f t="shared" si="5"/>
        <v>26.901140684410645</v>
      </c>
      <c r="E28" s="717">
        <f t="shared" si="5"/>
        <v>43.916349809885929</v>
      </c>
      <c r="F28" s="717">
        <f t="shared" si="5"/>
        <v>9.3155893536121681</v>
      </c>
      <c r="G28" s="716">
        <f t="shared" si="5"/>
        <v>0.66539923954372615</v>
      </c>
      <c r="H28" s="718">
        <f t="shared" si="5"/>
        <v>20.735444330949949</v>
      </c>
      <c r="I28" s="716">
        <f t="shared" si="5"/>
        <v>27.068437180796735</v>
      </c>
      <c r="J28" s="716">
        <f t="shared" si="5"/>
        <v>43.820224719101127</v>
      </c>
      <c r="K28" s="716">
        <f t="shared" si="5"/>
        <v>7.6608784473953015</v>
      </c>
      <c r="L28" s="716">
        <f t="shared" si="5"/>
        <v>0.71501532175689486</v>
      </c>
      <c r="M28" s="734"/>
      <c r="N28" s="664"/>
      <c r="O28" s="706">
        <f t="shared" si="3"/>
        <v>100.00000000000001</v>
      </c>
      <c r="P28" s="707">
        <f t="shared" si="4"/>
        <v>100</v>
      </c>
      <c r="Q28" s="708">
        <v>0.19201520912547529</v>
      </c>
      <c r="R28" s="709">
        <v>0.26901140684410646</v>
      </c>
      <c r="S28" s="709">
        <v>0.4391634980988593</v>
      </c>
      <c r="T28" s="709">
        <v>9.3155893536121678E-2</v>
      </c>
      <c r="U28" s="709">
        <v>6.653992395437262E-3</v>
      </c>
      <c r="V28" s="710">
        <v>0.20735444330949948</v>
      </c>
      <c r="W28" s="711">
        <v>0.27068437180796734</v>
      </c>
      <c r="X28" s="711">
        <v>0.43820224719101125</v>
      </c>
      <c r="Y28" s="711">
        <v>7.6608784473953015E-2</v>
      </c>
      <c r="Z28" s="711">
        <v>7.1501532175689483E-3</v>
      </c>
    </row>
    <row r="29" spans="1:27">
      <c r="A29" s="715" t="s">
        <v>175</v>
      </c>
      <c r="B29" s="715"/>
      <c r="C29" s="736">
        <f t="shared" si="5"/>
        <v>31.303357996585092</v>
      </c>
      <c r="D29" s="737">
        <f t="shared" si="5"/>
        <v>25.441092771770062</v>
      </c>
      <c r="E29" s="737">
        <f t="shared" si="5"/>
        <v>19.142477708214763</v>
      </c>
      <c r="F29" s="737">
        <f t="shared" si="5"/>
        <v>8.4044773287801178</v>
      </c>
      <c r="G29" s="736">
        <f t="shared" si="5"/>
        <v>15.708594194649972</v>
      </c>
      <c r="H29" s="738">
        <f t="shared" si="5"/>
        <v>34.781700438688112</v>
      </c>
      <c r="I29" s="736">
        <f t="shared" si="5"/>
        <v>24.587424274075623</v>
      </c>
      <c r="J29" s="736">
        <f t="shared" si="5"/>
        <v>23.104240651765199</v>
      </c>
      <c r="K29" s="736">
        <f t="shared" si="5"/>
        <v>4.4704407771046579</v>
      </c>
      <c r="L29" s="736">
        <f t="shared" si="5"/>
        <v>13.056193858366408</v>
      </c>
      <c r="M29" s="739"/>
      <c r="N29" s="693"/>
      <c r="O29" s="706">
        <f t="shared" si="3"/>
        <v>100</v>
      </c>
      <c r="P29" s="707">
        <f t="shared" si="4"/>
        <v>100.00000000000001</v>
      </c>
      <c r="Q29" s="708">
        <v>0.31303357996585091</v>
      </c>
      <c r="R29" s="709">
        <v>0.25441092771770063</v>
      </c>
      <c r="S29" s="709">
        <v>0.19142477708214761</v>
      </c>
      <c r="T29" s="709">
        <v>8.4044773287801175E-2</v>
      </c>
      <c r="U29" s="709">
        <v>0.15708594194649972</v>
      </c>
      <c r="V29" s="710">
        <v>0.34781700438688112</v>
      </c>
      <c r="W29" s="711">
        <v>0.24587424274075623</v>
      </c>
      <c r="X29" s="711">
        <v>0.23104240651765198</v>
      </c>
      <c r="Y29" s="711">
        <v>4.4704407771046582E-2</v>
      </c>
      <c r="Z29" s="711">
        <v>0.13056193858366408</v>
      </c>
    </row>
    <row r="30" spans="1:27">
      <c r="A30" s="715" t="s">
        <v>176</v>
      </c>
      <c r="B30" s="715"/>
      <c r="C30" s="736">
        <f t="shared" si="5"/>
        <v>46.019277108433734</v>
      </c>
      <c r="D30" s="737">
        <f t="shared" si="5"/>
        <v>21.88433734939759</v>
      </c>
      <c r="E30" s="737">
        <f t="shared" si="5"/>
        <v>16.086746987951809</v>
      </c>
      <c r="F30" s="737">
        <f t="shared" si="5"/>
        <v>3.8554216867469876E-2</v>
      </c>
      <c r="G30" s="736">
        <f t="shared" si="5"/>
        <v>15.971084337349398</v>
      </c>
      <c r="H30" s="738">
        <f t="shared" si="5"/>
        <v>42.95795947172094</v>
      </c>
      <c r="I30" s="736">
        <f t="shared" si="5"/>
        <v>20.59683435830225</v>
      </c>
      <c r="J30" s="736">
        <f t="shared" si="5"/>
        <v>22.265349329569514</v>
      </c>
      <c r="K30" s="736">
        <f t="shared" si="5"/>
        <v>3.0244984373424738E-2</v>
      </c>
      <c r="L30" s="736">
        <f t="shared" si="5"/>
        <v>14.149611856033875</v>
      </c>
      <c r="M30" s="739"/>
      <c r="N30" s="693"/>
      <c r="O30" s="706">
        <f t="shared" si="3"/>
        <v>100</v>
      </c>
      <c r="P30" s="707">
        <f t="shared" si="4"/>
        <v>100</v>
      </c>
      <c r="Q30" s="708">
        <v>0.46019277108433737</v>
      </c>
      <c r="R30" s="709">
        <v>0.2188433734939759</v>
      </c>
      <c r="S30" s="709">
        <v>0.16086746987951808</v>
      </c>
      <c r="T30" s="709">
        <v>3.8554216867469878E-4</v>
      </c>
      <c r="U30" s="709">
        <v>0.15971084337349398</v>
      </c>
      <c r="V30" s="710">
        <v>0.42957959471720941</v>
      </c>
      <c r="W30" s="711">
        <v>0.20596834358302249</v>
      </c>
      <c r="X30" s="711">
        <v>0.22265349329569514</v>
      </c>
      <c r="Y30" s="711">
        <v>3.0244984373424739E-4</v>
      </c>
      <c r="Z30" s="711">
        <v>0.14149611856033875</v>
      </c>
    </row>
    <row r="31" spans="1:27">
      <c r="A31" s="715" t="s">
        <v>177</v>
      </c>
      <c r="B31" s="715"/>
      <c r="C31" s="736">
        <f t="shared" si="5"/>
        <v>27.19932716568545</v>
      </c>
      <c r="D31" s="737">
        <f t="shared" si="5"/>
        <v>24.79394449116905</v>
      </c>
      <c r="E31" s="737">
        <f t="shared" si="5"/>
        <v>23.902439024390244</v>
      </c>
      <c r="F31" s="737">
        <f t="shared" si="5"/>
        <v>17.611438183347349</v>
      </c>
      <c r="G31" s="736">
        <f t="shared" si="5"/>
        <v>6.4928511354079053</v>
      </c>
      <c r="H31" s="738">
        <f t="shared" si="5"/>
        <v>28.699887598351442</v>
      </c>
      <c r="I31" s="736">
        <f t="shared" si="5"/>
        <v>22.555264143874108</v>
      </c>
      <c r="J31" s="736">
        <f t="shared" si="5"/>
        <v>28.475084301236421</v>
      </c>
      <c r="K31" s="736">
        <f t="shared" si="5"/>
        <v>16.035968527538405</v>
      </c>
      <c r="L31" s="736">
        <f t="shared" si="5"/>
        <v>4.2337954289996249</v>
      </c>
      <c r="M31" s="739"/>
      <c r="N31" s="693"/>
      <c r="O31" s="706">
        <f t="shared" si="3"/>
        <v>100</v>
      </c>
      <c r="P31" s="707">
        <f t="shared" si="4"/>
        <v>100</v>
      </c>
      <c r="Q31" s="708">
        <v>0.2719932716568545</v>
      </c>
      <c r="R31" s="709">
        <v>0.24793944491169051</v>
      </c>
      <c r="S31" s="709">
        <v>0.23902439024390243</v>
      </c>
      <c r="T31" s="709">
        <v>0.1761143818334735</v>
      </c>
      <c r="U31" s="709">
        <v>6.4928511354079052E-2</v>
      </c>
      <c r="V31" s="710">
        <v>0.28699887598351442</v>
      </c>
      <c r="W31" s="711">
        <v>0.2255526414387411</v>
      </c>
      <c r="X31" s="711">
        <v>0.2847508430123642</v>
      </c>
      <c r="Y31" s="711">
        <v>0.16035968527538405</v>
      </c>
      <c r="Z31" s="711">
        <v>4.2337954289996253E-2</v>
      </c>
    </row>
    <row r="32" spans="1:27">
      <c r="A32" s="642" t="s">
        <v>178</v>
      </c>
      <c r="B32" s="642"/>
      <c r="C32" s="728">
        <f t="shared" si="5"/>
        <v>35.091420534458514</v>
      </c>
      <c r="D32" s="729">
        <f t="shared" si="5"/>
        <v>29.324894514767934</v>
      </c>
      <c r="E32" s="729">
        <f t="shared" si="5"/>
        <v>23.699015471167371</v>
      </c>
      <c r="F32" s="729">
        <f t="shared" si="5"/>
        <v>11.884669479606188</v>
      </c>
      <c r="G32" s="728">
        <f t="shared" si="5"/>
        <v>0</v>
      </c>
      <c r="H32" s="730">
        <f t="shared" si="5"/>
        <v>38.36964160224877</v>
      </c>
      <c r="I32" s="728">
        <f t="shared" si="5"/>
        <v>24.595924104005622</v>
      </c>
      <c r="J32" s="728">
        <f t="shared" si="5"/>
        <v>27.47716092761771</v>
      </c>
      <c r="K32" s="728">
        <f t="shared" si="5"/>
        <v>9.5572733661278981</v>
      </c>
      <c r="L32" s="728">
        <f t="shared" si="5"/>
        <v>0</v>
      </c>
      <c r="M32" s="739"/>
      <c r="N32" s="693"/>
      <c r="O32" s="706">
        <f t="shared" si="3"/>
        <v>100</v>
      </c>
      <c r="P32" s="707">
        <f t="shared" si="4"/>
        <v>100.00000000000001</v>
      </c>
      <c r="Q32" s="708">
        <v>0.35091420534458512</v>
      </c>
      <c r="R32" s="709">
        <v>0.29324894514767935</v>
      </c>
      <c r="S32" s="709">
        <v>0.2369901547116737</v>
      </c>
      <c r="T32" s="709">
        <v>0.11884669479606189</v>
      </c>
      <c r="U32" s="709">
        <v>0</v>
      </c>
      <c r="V32" s="710">
        <v>0.38369641602248772</v>
      </c>
      <c r="W32" s="711">
        <v>0.24595924104005623</v>
      </c>
      <c r="X32" s="711">
        <v>0.27477160927617711</v>
      </c>
      <c r="Y32" s="711">
        <v>9.5572733661278983E-2</v>
      </c>
      <c r="Z32" s="711">
        <v>0</v>
      </c>
    </row>
    <row r="33" spans="1:26">
      <c r="A33" s="642" t="s">
        <v>179</v>
      </c>
      <c r="B33" s="642"/>
      <c r="C33" s="728">
        <f t="shared" si="5"/>
        <v>28.503937007874015</v>
      </c>
      <c r="D33" s="729">
        <f t="shared" si="5"/>
        <v>24.986876640419947</v>
      </c>
      <c r="E33" s="729">
        <f t="shared" si="5"/>
        <v>23.517060367454068</v>
      </c>
      <c r="F33" s="729">
        <f t="shared" si="5"/>
        <v>6.9816272965879262</v>
      </c>
      <c r="G33" s="728">
        <f t="shared" si="5"/>
        <v>16.010498687664043</v>
      </c>
      <c r="H33" s="730">
        <f t="shared" si="5"/>
        <v>27.129817444219068</v>
      </c>
      <c r="I33" s="728">
        <f t="shared" si="5"/>
        <v>24.594320486815416</v>
      </c>
      <c r="J33" s="728">
        <f t="shared" si="5"/>
        <v>23.427991886409735</v>
      </c>
      <c r="K33" s="728">
        <f t="shared" si="5"/>
        <v>10.649087221095336</v>
      </c>
      <c r="L33" s="728">
        <f t="shared" si="5"/>
        <v>14.198782961460447</v>
      </c>
      <c r="M33" s="739"/>
      <c r="N33" s="693"/>
      <c r="O33" s="706">
        <f t="shared" si="3"/>
        <v>100.00000000000001</v>
      </c>
      <c r="P33" s="707">
        <f t="shared" si="4"/>
        <v>100</v>
      </c>
      <c r="Q33" s="708">
        <v>0.28503937007874014</v>
      </c>
      <c r="R33" s="709">
        <v>0.24986876640419947</v>
      </c>
      <c r="S33" s="709">
        <v>0.23517060367454068</v>
      </c>
      <c r="T33" s="709">
        <v>6.9816272965879264E-2</v>
      </c>
      <c r="U33" s="709">
        <v>0.16010498687664043</v>
      </c>
      <c r="V33" s="710">
        <v>0.27129817444219068</v>
      </c>
      <c r="W33" s="711">
        <v>0.24594320486815416</v>
      </c>
      <c r="X33" s="711">
        <v>0.23427991886409735</v>
      </c>
      <c r="Y33" s="711">
        <v>0.10649087221095335</v>
      </c>
      <c r="Z33" s="711">
        <v>0.14198782961460446</v>
      </c>
    </row>
    <row r="34" spans="1:26">
      <c r="A34" s="642" t="s">
        <v>180</v>
      </c>
      <c r="B34" s="642"/>
      <c r="C34" s="728">
        <f t="shared" si="5"/>
        <v>33.099041533546327</v>
      </c>
      <c r="D34" s="729">
        <f t="shared" si="5"/>
        <v>24.536741214057507</v>
      </c>
      <c r="E34" s="729">
        <f t="shared" si="5"/>
        <v>22.492012779552716</v>
      </c>
      <c r="F34" s="729">
        <f t="shared" si="5"/>
        <v>13.738019169329075</v>
      </c>
      <c r="G34" s="728">
        <f t="shared" si="5"/>
        <v>6.1341853035143767</v>
      </c>
      <c r="H34" s="730">
        <f t="shared" si="5"/>
        <v>30.824140168721609</v>
      </c>
      <c r="I34" s="728">
        <f t="shared" si="5"/>
        <v>21.739130434782609</v>
      </c>
      <c r="J34" s="728">
        <f t="shared" si="5"/>
        <v>27.579493835171963</v>
      </c>
      <c r="K34" s="728">
        <f t="shared" si="5"/>
        <v>14.406229720960415</v>
      </c>
      <c r="L34" s="728">
        <f t="shared" si="5"/>
        <v>5.4510058403634005</v>
      </c>
      <c r="M34" s="739"/>
      <c r="N34" s="693"/>
      <c r="O34" s="706">
        <f t="shared" si="3"/>
        <v>100</v>
      </c>
      <c r="P34" s="707">
        <f t="shared" si="4"/>
        <v>100</v>
      </c>
      <c r="Q34" s="708">
        <v>0.33099041533546325</v>
      </c>
      <c r="R34" s="709">
        <v>0.24536741214057509</v>
      </c>
      <c r="S34" s="709">
        <v>0.22492012779552717</v>
      </c>
      <c r="T34" s="709">
        <v>0.13738019169329074</v>
      </c>
      <c r="U34" s="709">
        <v>6.1341853035143772E-2</v>
      </c>
      <c r="V34" s="710">
        <v>0.30824140168721609</v>
      </c>
      <c r="W34" s="711">
        <v>0.21739130434782608</v>
      </c>
      <c r="X34" s="711">
        <v>0.27579493835171964</v>
      </c>
      <c r="Y34" s="711">
        <v>0.14406229720960415</v>
      </c>
      <c r="Z34" s="711">
        <v>5.4510058403634001E-2</v>
      </c>
    </row>
    <row r="35" spans="1:26">
      <c r="A35" s="642" t="s">
        <v>181</v>
      </c>
      <c r="B35" s="642"/>
      <c r="C35" s="728">
        <f t="shared" si="5"/>
        <v>29.017857142857146</v>
      </c>
      <c r="D35" s="729">
        <f t="shared" si="5"/>
        <v>32.461734693877553</v>
      </c>
      <c r="E35" s="729">
        <f t="shared" si="5"/>
        <v>25.318877551020407</v>
      </c>
      <c r="F35" s="729">
        <f t="shared" si="5"/>
        <v>6.9515306122448983</v>
      </c>
      <c r="G35" s="728">
        <f t="shared" si="5"/>
        <v>6.25</v>
      </c>
      <c r="H35" s="730">
        <f t="shared" si="5"/>
        <v>27.127003699136871</v>
      </c>
      <c r="I35" s="728">
        <f t="shared" si="5"/>
        <v>32.244143033292232</v>
      </c>
      <c r="J35" s="728">
        <f t="shared" si="5"/>
        <v>28.606658446362516</v>
      </c>
      <c r="K35" s="728">
        <f t="shared" si="5"/>
        <v>5.4870530209617758</v>
      </c>
      <c r="L35" s="728">
        <f t="shared" si="5"/>
        <v>6.5351418002466088</v>
      </c>
      <c r="M35" s="739"/>
      <c r="N35" s="693"/>
      <c r="O35" s="706">
        <f t="shared" si="3"/>
        <v>100</v>
      </c>
      <c r="P35" s="707">
        <f t="shared" si="4"/>
        <v>100</v>
      </c>
      <c r="Q35" s="708">
        <v>0.29017857142857145</v>
      </c>
      <c r="R35" s="709">
        <v>0.32461734693877553</v>
      </c>
      <c r="S35" s="709">
        <v>0.25318877551020408</v>
      </c>
      <c r="T35" s="709">
        <v>6.951530612244898E-2</v>
      </c>
      <c r="U35" s="709">
        <v>6.25E-2</v>
      </c>
      <c r="V35" s="710">
        <v>0.2712700369913687</v>
      </c>
      <c r="W35" s="711">
        <v>0.32244143033292233</v>
      </c>
      <c r="X35" s="711">
        <v>0.28606658446362515</v>
      </c>
      <c r="Y35" s="711">
        <v>5.4870530209617754E-2</v>
      </c>
      <c r="Z35" s="711">
        <v>6.5351418002466091E-2</v>
      </c>
    </row>
    <row r="36" spans="1:26" s="741" customFormat="1">
      <c r="A36" s="719" t="s">
        <v>182</v>
      </c>
      <c r="B36" s="719"/>
      <c r="C36" s="736">
        <f t="shared" si="5"/>
        <v>40.989559691330001</v>
      </c>
      <c r="D36" s="737">
        <f t="shared" si="5"/>
        <v>26.5546981389015</v>
      </c>
      <c r="E36" s="737">
        <f t="shared" si="5"/>
        <v>17.339990921470722</v>
      </c>
      <c r="F36" s="737">
        <f t="shared" si="5"/>
        <v>13.663186563776669</v>
      </c>
      <c r="G36" s="736">
        <f t="shared" si="5"/>
        <v>1.4525646845211075</v>
      </c>
      <c r="H36" s="738">
        <f t="shared" si="5"/>
        <v>31.29048330842053</v>
      </c>
      <c r="I36" s="736">
        <f t="shared" si="5"/>
        <v>29.845540607872444</v>
      </c>
      <c r="J36" s="736">
        <f t="shared" si="5"/>
        <v>28.849028400597909</v>
      </c>
      <c r="K36" s="736">
        <f t="shared" si="5"/>
        <v>3.3881415047334329</v>
      </c>
      <c r="L36" s="736">
        <f t="shared" si="5"/>
        <v>6.6268061783756851</v>
      </c>
      <c r="M36" s="739"/>
      <c r="N36" s="693"/>
      <c r="O36" s="706">
        <f t="shared" si="3"/>
        <v>100</v>
      </c>
      <c r="P36" s="707">
        <f t="shared" si="4"/>
        <v>99.999999999999986</v>
      </c>
      <c r="Q36" s="708">
        <v>0.40989559691330002</v>
      </c>
      <c r="R36" s="709">
        <v>0.265546981389015</v>
      </c>
      <c r="S36" s="709">
        <v>0.17339990921470722</v>
      </c>
      <c r="T36" s="709">
        <v>0.13663186563776669</v>
      </c>
      <c r="U36" s="709">
        <v>1.4525646845211076E-2</v>
      </c>
      <c r="V36" s="710">
        <v>0.3129048330842053</v>
      </c>
      <c r="W36" s="711">
        <v>0.29845540607872445</v>
      </c>
      <c r="X36" s="711">
        <v>0.28849028400597909</v>
      </c>
      <c r="Y36" s="711">
        <v>3.3881415047334329E-2</v>
      </c>
      <c r="Z36" s="711">
        <v>6.6268061783756854E-2</v>
      </c>
    </row>
    <row r="37" spans="1:26">
      <c r="A37" s="719" t="s">
        <v>183</v>
      </c>
      <c r="B37" s="719"/>
      <c r="C37" s="736">
        <f t="shared" si="5"/>
        <v>26.278928136419001</v>
      </c>
      <c r="D37" s="737">
        <f t="shared" si="5"/>
        <v>24.390986601705237</v>
      </c>
      <c r="E37" s="737">
        <f t="shared" si="5"/>
        <v>24.939098660170526</v>
      </c>
      <c r="F37" s="737">
        <f t="shared" si="5"/>
        <v>21.985383678440925</v>
      </c>
      <c r="G37" s="736">
        <f t="shared" si="5"/>
        <v>2.4056029232643121</v>
      </c>
      <c r="H37" s="738">
        <f t="shared" si="5"/>
        <v>28.690909090909088</v>
      </c>
      <c r="I37" s="736">
        <f t="shared" si="5"/>
        <v>28.472727272727273</v>
      </c>
      <c r="J37" s="736">
        <f t="shared" si="5"/>
        <v>24.145454545454545</v>
      </c>
      <c r="K37" s="736">
        <f t="shared" si="5"/>
        <v>16.836363636363636</v>
      </c>
      <c r="L37" s="736">
        <f t="shared" si="5"/>
        <v>1.8545454545454545</v>
      </c>
      <c r="M37" s="739"/>
      <c r="N37" s="693"/>
      <c r="O37" s="706">
        <f t="shared" si="3"/>
        <v>99.999999999999986</v>
      </c>
      <c r="P37" s="707">
        <f t="shared" si="4"/>
        <v>100</v>
      </c>
      <c r="Q37" s="708">
        <v>0.26278928136419</v>
      </c>
      <c r="R37" s="709">
        <v>0.24390986601705236</v>
      </c>
      <c r="S37" s="709">
        <v>0.24939098660170525</v>
      </c>
      <c r="T37" s="709">
        <v>0.21985383678440926</v>
      </c>
      <c r="U37" s="709">
        <v>2.405602923264312E-2</v>
      </c>
      <c r="V37" s="710">
        <v>0.28690909090909089</v>
      </c>
      <c r="W37" s="711">
        <v>0.28472727272727272</v>
      </c>
      <c r="X37" s="711">
        <v>0.24145454545454545</v>
      </c>
      <c r="Y37" s="711">
        <v>0.16836363636363635</v>
      </c>
      <c r="Z37" s="711">
        <v>1.8545454545454546E-2</v>
      </c>
    </row>
    <row r="38" spans="1:26">
      <c r="A38" s="719" t="s">
        <v>184</v>
      </c>
      <c r="B38" s="719"/>
      <c r="C38" s="736">
        <f t="shared" si="5"/>
        <v>23.177175061641421</v>
      </c>
      <c r="D38" s="737">
        <f t="shared" si="5"/>
        <v>20.641070799577317</v>
      </c>
      <c r="E38" s="737">
        <f t="shared" si="5"/>
        <v>16.731243395561819</v>
      </c>
      <c r="F38" s="737">
        <f t="shared" si="5"/>
        <v>1.1623811201127159</v>
      </c>
      <c r="G38" s="736">
        <f t="shared" si="5"/>
        <v>38.288129623106727</v>
      </c>
      <c r="H38" s="738">
        <f t="shared" si="5"/>
        <v>28.652019002375294</v>
      </c>
      <c r="I38" s="736">
        <f t="shared" si="5"/>
        <v>25.475059382422806</v>
      </c>
      <c r="J38" s="736">
        <f t="shared" si="5"/>
        <v>25.653206650831358</v>
      </c>
      <c r="K38" s="736">
        <f t="shared" si="5"/>
        <v>3.7114014251781473</v>
      </c>
      <c r="L38" s="736">
        <f t="shared" si="5"/>
        <v>16.5083135391924</v>
      </c>
      <c r="M38" s="739"/>
      <c r="N38" s="693"/>
      <c r="O38" s="706">
        <f t="shared" si="3"/>
        <v>100</v>
      </c>
      <c r="P38" s="707">
        <f t="shared" si="4"/>
        <v>100</v>
      </c>
      <c r="Q38" s="708">
        <v>0.23177175061641422</v>
      </c>
      <c r="R38" s="709">
        <v>0.20641070799577316</v>
      </c>
      <c r="S38" s="709">
        <v>0.16731243395561818</v>
      </c>
      <c r="T38" s="709">
        <v>1.1623811201127158E-2</v>
      </c>
      <c r="U38" s="709">
        <v>0.38288129623106726</v>
      </c>
      <c r="V38" s="710">
        <v>0.28652019002375295</v>
      </c>
      <c r="W38" s="711">
        <v>0.25475059382422804</v>
      </c>
      <c r="X38" s="711">
        <v>0.25653206650831356</v>
      </c>
      <c r="Y38" s="711">
        <v>3.7114014251781471E-2</v>
      </c>
      <c r="Z38" s="711">
        <v>0.16508313539192399</v>
      </c>
    </row>
    <row r="39" spans="1:26">
      <c r="A39" s="719" t="s">
        <v>185</v>
      </c>
      <c r="B39" s="719"/>
      <c r="C39" s="736">
        <f t="shared" si="5"/>
        <v>31.128782001551592</v>
      </c>
      <c r="D39" s="737">
        <f t="shared" si="5"/>
        <v>23.448409619860357</v>
      </c>
      <c r="E39" s="737">
        <f t="shared" si="5"/>
        <v>17.940263770364623</v>
      </c>
      <c r="F39" s="737">
        <f t="shared" si="5"/>
        <v>5.9154383242823894</v>
      </c>
      <c r="G39" s="736">
        <f t="shared" si="5"/>
        <v>21.56710628394104</v>
      </c>
      <c r="H39" s="738">
        <f t="shared" si="5"/>
        <v>32.820197044334975</v>
      </c>
      <c r="I39" s="736">
        <f t="shared" si="5"/>
        <v>23.460591133004925</v>
      </c>
      <c r="J39" s="736">
        <f t="shared" si="5"/>
        <v>21.756978653530378</v>
      </c>
      <c r="K39" s="736">
        <f t="shared" si="5"/>
        <v>4.6798029556650249</v>
      </c>
      <c r="L39" s="736">
        <f t="shared" si="5"/>
        <v>17.282430213464696</v>
      </c>
      <c r="M39" s="739"/>
      <c r="N39" s="693"/>
      <c r="O39" s="706">
        <f t="shared" si="3"/>
        <v>100</v>
      </c>
      <c r="P39" s="707">
        <f t="shared" si="4"/>
        <v>100</v>
      </c>
      <c r="Q39" s="708">
        <v>0.31128782001551591</v>
      </c>
      <c r="R39" s="709">
        <v>0.23448409619860358</v>
      </c>
      <c r="S39" s="709">
        <v>0.17940263770364623</v>
      </c>
      <c r="T39" s="709">
        <v>5.9154383242823898E-2</v>
      </c>
      <c r="U39" s="709">
        <v>0.2156710628394104</v>
      </c>
      <c r="V39" s="710">
        <v>0.32820197044334976</v>
      </c>
      <c r="W39" s="711">
        <v>0.23460591133004927</v>
      </c>
      <c r="X39" s="711">
        <v>0.21756978653530379</v>
      </c>
      <c r="Y39" s="711">
        <v>4.6798029556650245E-2</v>
      </c>
      <c r="Z39" s="711">
        <v>0.17282430213464697</v>
      </c>
    </row>
    <row r="40" spans="1:26">
      <c r="A40" s="742" t="s">
        <v>186</v>
      </c>
      <c r="B40" s="742"/>
      <c r="C40" s="743">
        <f t="shared" si="5"/>
        <v>28.137384412153239</v>
      </c>
      <c r="D40" s="744">
        <f t="shared" si="5"/>
        <v>28.66578599735799</v>
      </c>
      <c r="E40" s="744">
        <f t="shared" si="5"/>
        <v>22.192866578599734</v>
      </c>
      <c r="F40" s="744">
        <f t="shared" si="5"/>
        <v>0.52840158520475566</v>
      </c>
      <c r="G40" s="745">
        <f t="shared" si="5"/>
        <v>20.47556142668428</v>
      </c>
      <c r="H40" s="746">
        <f t="shared" si="5"/>
        <v>30.069930069930066</v>
      </c>
      <c r="I40" s="745">
        <f t="shared" si="5"/>
        <v>25.034965034965033</v>
      </c>
      <c r="J40" s="745">
        <f t="shared" si="5"/>
        <v>24.195804195804197</v>
      </c>
      <c r="K40" s="745">
        <f t="shared" si="5"/>
        <v>0.55944055944055948</v>
      </c>
      <c r="L40" s="745">
        <f t="shared" si="5"/>
        <v>20.13986013986014</v>
      </c>
      <c r="M40" s="739"/>
      <c r="N40" s="693"/>
      <c r="O40" s="721">
        <f t="shared" si="3"/>
        <v>100</v>
      </c>
      <c r="P40" s="722">
        <f t="shared" si="4"/>
        <v>100</v>
      </c>
      <c r="Q40" s="723">
        <v>0.28137384412153238</v>
      </c>
      <c r="R40" s="724">
        <v>0.2866578599735799</v>
      </c>
      <c r="S40" s="724">
        <v>0.22192866578599735</v>
      </c>
      <c r="T40" s="724">
        <v>5.2840158520475562E-3</v>
      </c>
      <c r="U40" s="724">
        <v>0.2047556142668428</v>
      </c>
      <c r="V40" s="726">
        <v>0.30069930069930068</v>
      </c>
      <c r="W40" s="727">
        <v>0.25034965034965034</v>
      </c>
      <c r="X40" s="727">
        <v>0.24195804195804196</v>
      </c>
      <c r="Y40" s="727">
        <v>5.5944055944055944E-3</v>
      </c>
      <c r="Z40" s="727">
        <v>0.20139860139860141</v>
      </c>
    </row>
    <row r="41" spans="1:26">
      <c r="A41" s="712" t="s">
        <v>172</v>
      </c>
      <c r="B41" s="712"/>
      <c r="C41" s="747">
        <f t="shared" si="5"/>
        <v>30.388712763830579</v>
      </c>
      <c r="D41" s="728">
        <f t="shared" si="5"/>
        <v>27.345557364407508</v>
      </c>
      <c r="E41" s="728">
        <f t="shared" si="5"/>
        <v>24.246708365464258</v>
      </c>
      <c r="F41" s="728">
        <f t="shared" si="5"/>
        <v>6.1020192499928596</v>
      </c>
      <c r="G41" s="728">
        <f t="shared" si="5"/>
        <v>11.917002256304801</v>
      </c>
      <c r="H41" s="748">
        <f t="shared" si="5"/>
        <v>30.513316339984183</v>
      </c>
      <c r="I41" s="728">
        <f t="shared" si="5"/>
        <v>26.897834812926664</v>
      </c>
      <c r="J41" s="728">
        <f t="shared" si="5"/>
        <v>26.519879288623244</v>
      </c>
      <c r="K41" s="728">
        <f t="shared" si="5"/>
        <v>7.0317306847147751</v>
      </c>
      <c r="L41" s="728">
        <f t="shared" si="5"/>
        <v>9.0372388737511358</v>
      </c>
      <c r="M41" s="705">
        <f>+D41+C41</f>
        <v>57.734270128238087</v>
      </c>
      <c r="N41" s="705">
        <f>+I41+H41</f>
        <v>57.411151152910847</v>
      </c>
      <c r="O41" s="706">
        <f t="shared" si="3"/>
        <v>100</v>
      </c>
      <c r="P41" s="707">
        <f t="shared" si="4"/>
        <v>100</v>
      </c>
      <c r="Q41" s="810">
        <v>0.30388712763830578</v>
      </c>
      <c r="R41" s="811">
        <v>0.27345557364407508</v>
      </c>
      <c r="S41" s="811">
        <v>0.24246708365464256</v>
      </c>
      <c r="T41" s="811">
        <v>6.1020192499928599E-2</v>
      </c>
      <c r="U41" s="811">
        <v>0.11917002256304801</v>
      </c>
      <c r="V41" s="710">
        <v>0.30513316339984181</v>
      </c>
      <c r="W41" s="711">
        <v>0.26897834812926663</v>
      </c>
      <c r="X41" s="711">
        <v>0.26519879288623244</v>
      </c>
      <c r="Y41" s="711">
        <v>7.0317306847147751E-2</v>
      </c>
      <c r="Z41" s="711">
        <v>9.0372388737511355E-2</v>
      </c>
    </row>
    <row r="42" spans="1:26">
      <c r="A42" s="712"/>
      <c r="B42" s="712"/>
      <c r="C42" s="747"/>
      <c r="D42" s="728"/>
      <c r="E42" s="728"/>
      <c r="F42" s="728"/>
      <c r="G42" s="728"/>
      <c r="H42" s="730"/>
      <c r="I42" s="728"/>
      <c r="J42" s="728"/>
      <c r="K42" s="728"/>
      <c r="L42" s="728"/>
      <c r="M42" s="739"/>
      <c r="N42" s="693"/>
      <c r="O42" s="706"/>
      <c r="P42" s="707"/>
      <c r="Q42" s="708"/>
      <c r="R42" s="709"/>
      <c r="S42" s="709"/>
      <c r="T42" s="709"/>
      <c r="U42" s="709"/>
      <c r="V42" s="710"/>
      <c r="W42" s="711"/>
      <c r="X42" s="711"/>
      <c r="Y42" s="711"/>
      <c r="Z42" s="711"/>
    </row>
    <row r="43" spans="1:26">
      <c r="A43" s="715" t="s">
        <v>187</v>
      </c>
      <c r="B43" s="715"/>
      <c r="C43" s="736">
        <f t="shared" si="5"/>
        <v>27.128886935501594</v>
      </c>
      <c r="D43" s="737">
        <f t="shared" si="5"/>
        <v>27.667289308867161</v>
      </c>
      <c r="E43" s="737">
        <f t="shared" si="5"/>
        <v>25.568618833095265</v>
      </c>
      <c r="F43" s="737">
        <f t="shared" si="5"/>
        <v>10.416437754092957</v>
      </c>
      <c r="G43" s="736">
        <f t="shared" si="5"/>
        <v>9.2187671684430281</v>
      </c>
      <c r="H43" s="738">
        <f t="shared" si="5"/>
        <v>27.746984023475708</v>
      </c>
      <c r="I43" s="736">
        <f t="shared" si="5"/>
        <v>26.703619171829153</v>
      </c>
      <c r="J43" s="736">
        <f t="shared" si="5"/>
        <v>27.399195739593523</v>
      </c>
      <c r="K43" s="736">
        <f t="shared" si="5"/>
        <v>9.9445712422562771</v>
      </c>
      <c r="L43" s="736">
        <f t="shared" si="5"/>
        <v>8.2056298228453421</v>
      </c>
      <c r="M43" s="739"/>
      <c r="N43" s="693"/>
      <c r="O43" s="706">
        <f t="shared" si="3"/>
        <v>100</v>
      </c>
      <c r="P43" s="707">
        <f t="shared" si="4"/>
        <v>99.999999999999986</v>
      </c>
      <c r="Q43" s="708">
        <v>0.27128886935501595</v>
      </c>
      <c r="R43" s="709">
        <v>0.2766728930886716</v>
      </c>
      <c r="S43" s="709">
        <v>0.25568618833095264</v>
      </c>
      <c r="T43" s="709">
        <v>0.10416437754092957</v>
      </c>
      <c r="U43" s="709">
        <v>9.2187671684430289E-2</v>
      </c>
      <c r="V43" s="710">
        <v>0.27746984023475707</v>
      </c>
      <c r="W43" s="711">
        <v>0.26703619171829152</v>
      </c>
      <c r="X43" s="711">
        <v>0.27399195739593524</v>
      </c>
      <c r="Y43" s="711">
        <v>9.9445712422562768E-2</v>
      </c>
      <c r="Z43" s="711">
        <v>8.2056298228453423E-2</v>
      </c>
    </row>
    <row r="44" spans="1:26">
      <c r="A44" s="715" t="s">
        <v>188</v>
      </c>
      <c r="B44" s="715"/>
      <c r="C44" s="736">
        <f t="shared" si="5"/>
        <v>27.536413862380716</v>
      </c>
      <c r="D44" s="737">
        <f t="shared" si="5"/>
        <v>28.026117528879961</v>
      </c>
      <c r="E44" s="737">
        <f t="shared" si="5"/>
        <v>24.849321948769461</v>
      </c>
      <c r="F44" s="737">
        <f t="shared" si="5"/>
        <v>5.3239578101456555</v>
      </c>
      <c r="G44" s="736">
        <f t="shared" si="5"/>
        <v>14.264188849824208</v>
      </c>
      <c r="H44" s="738">
        <f t="shared" si="5"/>
        <v>28.185035389282103</v>
      </c>
      <c r="I44" s="736">
        <f t="shared" si="5"/>
        <v>26.099595551061679</v>
      </c>
      <c r="J44" s="736">
        <f t="shared" si="5"/>
        <v>27.48988877654196</v>
      </c>
      <c r="K44" s="736">
        <f t="shared" si="5"/>
        <v>4.8281092012133469</v>
      </c>
      <c r="L44" s="736">
        <f t="shared" si="5"/>
        <v>13.397371081900911</v>
      </c>
      <c r="M44" s="739"/>
      <c r="N44" s="693"/>
      <c r="O44" s="706">
        <f t="shared" si="3"/>
        <v>100.00000000000001</v>
      </c>
      <c r="P44" s="707">
        <f t="shared" si="4"/>
        <v>100</v>
      </c>
      <c r="Q44" s="708">
        <v>0.27536413862380715</v>
      </c>
      <c r="R44" s="709">
        <v>0.28026117528879962</v>
      </c>
      <c r="S44" s="709">
        <v>0.24849321948769462</v>
      </c>
      <c r="T44" s="709">
        <v>5.3239578101456554E-2</v>
      </c>
      <c r="U44" s="709">
        <v>0.14264188849824208</v>
      </c>
      <c r="V44" s="710">
        <v>0.28185035389282104</v>
      </c>
      <c r="W44" s="711">
        <v>0.26099595551061677</v>
      </c>
      <c r="X44" s="711">
        <v>0.2748988877654196</v>
      </c>
      <c r="Y44" s="711">
        <v>4.8281092012133466E-2</v>
      </c>
      <c r="Z44" s="711">
        <v>0.13397371081900911</v>
      </c>
    </row>
    <row r="45" spans="1:26">
      <c r="A45" s="715" t="s">
        <v>189</v>
      </c>
      <c r="B45" s="715"/>
      <c r="C45" s="736">
        <f t="shared" si="5"/>
        <v>34.287435974691171</v>
      </c>
      <c r="D45" s="737">
        <f t="shared" si="5"/>
        <v>29.707743296173543</v>
      </c>
      <c r="E45" s="737">
        <f t="shared" si="5"/>
        <v>22.687556492919551</v>
      </c>
      <c r="F45" s="737">
        <f t="shared" si="5"/>
        <v>3.4347695088882189</v>
      </c>
      <c r="G45" s="736">
        <f t="shared" si="5"/>
        <v>9.8824947273275079</v>
      </c>
      <c r="H45" s="738">
        <f t="shared" si="5"/>
        <v>33.626974483596598</v>
      </c>
      <c r="I45" s="736">
        <f t="shared" si="5"/>
        <v>29.526123936816521</v>
      </c>
      <c r="J45" s="736">
        <f t="shared" si="5"/>
        <v>23.815309842041312</v>
      </c>
      <c r="K45" s="736">
        <f t="shared" si="5"/>
        <v>3.9489671931956258</v>
      </c>
      <c r="L45" s="736">
        <f t="shared" si="5"/>
        <v>9.0826245443499385</v>
      </c>
      <c r="M45" s="739"/>
      <c r="N45" s="693"/>
      <c r="O45" s="706">
        <f t="shared" si="3"/>
        <v>100</v>
      </c>
      <c r="P45" s="707">
        <f t="shared" si="4"/>
        <v>100</v>
      </c>
      <c r="Q45" s="708">
        <v>0.34287435974691172</v>
      </c>
      <c r="R45" s="709">
        <v>0.29707743296173544</v>
      </c>
      <c r="S45" s="709">
        <v>0.22687556492919553</v>
      </c>
      <c r="T45" s="709">
        <v>3.4347695088882191E-2</v>
      </c>
      <c r="U45" s="709">
        <v>9.8824947273275079E-2</v>
      </c>
      <c r="V45" s="710">
        <v>0.336269744835966</v>
      </c>
      <c r="W45" s="711">
        <v>0.29526123936816523</v>
      </c>
      <c r="X45" s="711">
        <v>0.23815309842041313</v>
      </c>
      <c r="Y45" s="711">
        <v>3.9489671931956259E-2</v>
      </c>
      <c r="Z45" s="711">
        <v>9.082624544349939E-2</v>
      </c>
    </row>
    <row r="46" spans="1:26">
      <c r="A46" s="715" t="s">
        <v>190</v>
      </c>
      <c r="B46" s="715"/>
      <c r="C46" s="736">
        <f t="shared" si="5"/>
        <v>28.790199081163859</v>
      </c>
      <c r="D46" s="737">
        <f t="shared" si="5"/>
        <v>28.688106176620725</v>
      </c>
      <c r="E46" s="737">
        <f t="shared" si="5"/>
        <v>24.017355793772332</v>
      </c>
      <c r="F46" s="737">
        <f t="shared" si="5"/>
        <v>11.153649821337417</v>
      </c>
      <c r="G46" s="736">
        <f t="shared" si="5"/>
        <v>7.3506891271056665</v>
      </c>
      <c r="H46" s="738">
        <f t="shared" si="5"/>
        <v>29.138202837624803</v>
      </c>
      <c r="I46" s="736">
        <f t="shared" si="5"/>
        <v>28.428796636889121</v>
      </c>
      <c r="J46" s="736">
        <f t="shared" si="5"/>
        <v>27.220178665265372</v>
      </c>
      <c r="K46" s="736">
        <f t="shared" si="5"/>
        <v>10.851287440882816</v>
      </c>
      <c r="L46" s="736">
        <f t="shared" si="5"/>
        <v>4.3615344193378878</v>
      </c>
      <c r="M46" s="739"/>
      <c r="N46" s="693"/>
      <c r="O46" s="706">
        <f t="shared" si="3"/>
        <v>99.999999999999986</v>
      </c>
      <c r="P46" s="707">
        <f t="shared" si="4"/>
        <v>99.999999999999986</v>
      </c>
      <c r="Q46" s="708">
        <v>0.28790199081163859</v>
      </c>
      <c r="R46" s="709">
        <v>0.28688106176620726</v>
      </c>
      <c r="S46" s="709">
        <v>0.24017355793772333</v>
      </c>
      <c r="T46" s="709">
        <v>0.11153649821337418</v>
      </c>
      <c r="U46" s="709">
        <v>7.3506891271056668E-2</v>
      </c>
      <c r="V46" s="710">
        <v>0.29138202837624805</v>
      </c>
      <c r="W46" s="711">
        <v>0.2842879663688912</v>
      </c>
      <c r="X46" s="711">
        <v>0.27220178665265371</v>
      </c>
      <c r="Y46" s="711">
        <v>0.10851287440882816</v>
      </c>
      <c r="Z46" s="711">
        <v>4.3615344193378876E-2</v>
      </c>
    </row>
    <row r="47" spans="1:26">
      <c r="A47" s="642" t="s">
        <v>191</v>
      </c>
      <c r="B47" s="642"/>
      <c r="C47" s="728">
        <f t="shared" si="5"/>
        <v>31.475787855495774</v>
      </c>
      <c r="D47" s="729">
        <f t="shared" si="5"/>
        <v>24.17371252882398</v>
      </c>
      <c r="E47" s="729">
        <f t="shared" si="5"/>
        <v>21.714066102997695</v>
      </c>
      <c r="F47" s="729">
        <f t="shared" si="5"/>
        <v>3.2513451191391236</v>
      </c>
      <c r="G47" s="728">
        <f t="shared" si="5"/>
        <v>19.38508839354343</v>
      </c>
      <c r="H47" s="730">
        <f t="shared" si="5"/>
        <v>32.096192384769537</v>
      </c>
      <c r="I47" s="728">
        <f t="shared" si="5"/>
        <v>24.937875751503004</v>
      </c>
      <c r="J47" s="728">
        <f t="shared" si="5"/>
        <v>25.018036072144291</v>
      </c>
      <c r="K47" s="728">
        <f t="shared" si="5"/>
        <v>5.4428857715430867</v>
      </c>
      <c r="L47" s="728">
        <f t="shared" si="5"/>
        <v>12.50501002004008</v>
      </c>
      <c r="M47" s="739"/>
      <c r="N47" s="693"/>
      <c r="O47" s="706">
        <f t="shared" si="3"/>
        <v>100</v>
      </c>
      <c r="P47" s="707">
        <f t="shared" si="4"/>
        <v>99.999999999999986</v>
      </c>
      <c r="Q47" s="708">
        <v>0.31475787855495774</v>
      </c>
      <c r="R47" s="709">
        <v>0.24173712528823982</v>
      </c>
      <c r="S47" s="709">
        <v>0.21714066102997695</v>
      </c>
      <c r="T47" s="709">
        <v>3.2513451191391235E-2</v>
      </c>
      <c r="U47" s="709">
        <v>0.19385088393543429</v>
      </c>
      <c r="V47" s="710">
        <v>0.3209619238476954</v>
      </c>
      <c r="W47" s="711">
        <v>0.24937875751503005</v>
      </c>
      <c r="X47" s="711">
        <v>0.2501803607214429</v>
      </c>
      <c r="Y47" s="711">
        <v>5.4428857715430864E-2</v>
      </c>
      <c r="Z47" s="711">
        <v>0.1250501002004008</v>
      </c>
    </row>
    <row r="48" spans="1:26">
      <c r="A48" s="642" t="s">
        <v>192</v>
      </c>
      <c r="B48" s="642"/>
      <c r="C48" s="728">
        <f t="shared" si="5"/>
        <v>35.114965711980638</v>
      </c>
      <c r="D48" s="729">
        <f t="shared" si="5"/>
        <v>27.833803953206939</v>
      </c>
      <c r="E48" s="729">
        <f t="shared" si="5"/>
        <v>24.122630092779346</v>
      </c>
      <c r="F48" s="729">
        <f t="shared" si="5"/>
        <v>3.8926986688180718</v>
      </c>
      <c r="G48" s="728">
        <f t="shared" si="5"/>
        <v>9.035901573215007</v>
      </c>
      <c r="H48" s="730">
        <f t="shared" si="5"/>
        <v>34.099284630392368</v>
      </c>
      <c r="I48" s="728">
        <f t="shared" si="5"/>
        <v>26.490353349230432</v>
      </c>
      <c r="J48" s="728">
        <f t="shared" si="5"/>
        <v>28.029481898981139</v>
      </c>
      <c r="K48" s="728">
        <f t="shared" si="5"/>
        <v>8.1075222198135712</v>
      </c>
      <c r="L48" s="728">
        <f t="shared" si="5"/>
        <v>3.2733579015824841</v>
      </c>
      <c r="M48" s="739"/>
      <c r="N48" s="693"/>
      <c r="O48" s="706">
        <f t="shared" si="3"/>
        <v>100</v>
      </c>
      <c r="P48" s="707">
        <f t="shared" si="4"/>
        <v>100</v>
      </c>
      <c r="Q48" s="708">
        <v>0.35114965711980639</v>
      </c>
      <c r="R48" s="709">
        <v>0.27833803953206937</v>
      </c>
      <c r="S48" s="709">
        <v>0.24122630092779346</v>
      </c>
      <c r="T48" s="709">
        <v>3.8926986688180717E-2</v>
      </c>
      <c r="U48" s="709">
        <v>9.0359015732150064E-2</v>
      </c>
      <c r="V48" s="710">
        <v>0.34099284630392368</v>
      </c>
      <c r="W48" s="711">
        <v>0.26490353349230433</v>
      </c>
      <c r="X48" s="711">
        <v>0.2802948189898114</v>
      </c>
      <c r="Y48" s="711">
        <v>8.1075222198135705E-2</v>
      </c>
      <c r="Z48" s="711">
        <v>3.273357901582484E-2</v>
      </c>
    </row>
    <row r="49" spans="1:26">
      <c r="A49" s="642" t="s">
        <v>193</v>
      </c>
      <c r="B49" s="642"/>
      <c r="C49" s="728">
        <f t="shared" si="5"/>
        <v>31.387645478961506</v>
      </c>
      <c r="D49" s="729">
        <f t="shared" si="5"/>
        <v>27.179946284691137</v>
      </c>
      <c r="E49" s="729">
        <f t="shared" si="5"/>
        <v>25.532676812891676</v>
      </c>
      <c r="F49" s="729">
        <f t="shared" si="5"/>
        <v>11.065353625783349</v>
      </c>
      <c r="G49" s="728">
        <f t="shared" si="5"/>
        <v>4.834377797672337</v>
      </c>
      <c r="H49" s="730">
        <f t="shared" si="5"/>
        <v>28.217383607718183</v>
      </c>
      <c r="I49" s="728">
        <f t="shared" si="5"/>
        <v>26.287838555496545</v>
      </c>
      <c r="J49" s="728">
        <f t="shared" si="5"/>
        <v>28.25278810408922</v>
      </c>
      <c r="K49" s="728">
        <f t="shared" si="5"/>
        <v>11.789697291556028</v>
      </c>
      <c r="L49" s="728">
        <f t="shared" si="5"/>
        <v>5.4522924411400249</v>
      </c>
      <c r="M49" s="739"/>
      <c r="N49" s="693"/>
      <c r="O49" s="706">
        <f t="shared" si="3"/>
        <v>100</v>
      </c>
      <c r="P49" s="707">
        <f t="shared" si="4"/>
        <v>100</v>
      </c>
      <c r="Q49" s="708">
        <v>0.31387645478961507</v>
      </c>
      <c r="R49" s="709">
        <v>0.27179946284691137</v>
      </c>
      <c r="S49" s="709">
        <v>0.25532676812891675</v>
      </c>
      <c r="T49" s="709">
        <v>0.11065353625783349</v>
      </c>
      <c r="U49" s="709">
        <v>4.8343777976723366E-2</v>
      </c>
      <c r="V49" s="710">
        <v>0.28217383607718183</v>
      </c>
      <c r="W49" s="711">
        <v>0.26287838555496545</v>
      </c>
      <c r="X49" s="711">
        <v>0.28252788104089221</v>
      </c>
      <c r="Y49" s="711">
        <v>0.11789697291556028</v>
      </c>
      <c r="Z49" s="711">
        <v>5.4522924411400248E-2</v>
      </c>
    </row>
    <row r="50" spans="1:26">
      <c r="A50" s="642" t="s">
        <v>194</v>
      </c>
      <c r="B50" s="642"/>
      <c r="C50" s="728">
        <f t="shared" si="5"/>
        <v>36.371453138435086</v>
      </c>
      <c r="D50" s="729">
        <f t="shared" si="5"/>
        <v>26.397248495270851</v>
      </c>
      <c r="E50" s="729">
        <f t="shared" si="5"/>
        <v>20.6792777300086</v>
      </c>
      <c r="F50" s="729">
        <f t="shared" si="5"/>
        <v>3.3533963886500429</v>
      </c>
      <c r="G50" s="728">
        <f t="shared" si="5"/>
        <v>13.198624247635426</v>
      </c>
      <c r="H50" s="730">
        <f t="shared" si="5"/>
        <v>37.79882724402345</v>
      </c>
      <c r="I50" s="728">
        <f t="shared" si="5"/>
        <v>26.477221470455568</v>
      </c>
      <c r="J50" s="728">
        <f t="shared" si="5"/>
        <v>23.590437528191249</v>
      </c>
      <c r="K50" s="728">
        <f t="shared" si="5"/>
        <v>3.5182679296346415</v>
      </c>
      <c r="L50" s="728">
        <f t="shared" si="5"/>
        <v>8.6152458276950838</v>
      </c>
      <c r="M50" s="739"/>
      <c r="N50" s="693"/>
      <c r="O50" s="706">
        <f t="shared" si="3"/>
        <v>100</v>
      </c>
      <c r="P50" s="707">
        <f t="shared" si="4"/>
        <v>100</v>
      </c>
      <c r="Q50" s="708">
        <v>0.36371453138435084</v>
      </c>
      <c r="R50" s="709">
        <v>0.26397248495270853</v>
      </c>
      <c r="S50" s="709">
        <v>0.20679277730008599</v>
      </c>
      <c r="T50" s="709">
        <v>3.3533963886500429E-2</v>
      </c>
      <c r="U50" s="709">
        <v>0.13198624247635427</v>
      </c>
      <c r="V50" s="837">
        <v>0.37798827244023453</v>
      </c>
      <c r="W50" s="838">
        <v>0.2647722147045557</v>
      </c>
      <c r="X50" s="838">
        <v>0.23590437528191249</v>
      </c>
      <c r="Y50" s="838">
        <v>3.5182679296346414E-2</v>
      </c>
      <c r="Z50" s="838">
        <v>8.6152458276950838E-2</v>
      </c>
    </row>
    <row r="51" spans="1:26">
      <c r="A51" s="715" t="s">
        <v>195</v>
      </c>
      <c r="B51" s="715"/>
      <c r="C51" s="736">
        <f t="shared" si="5"/>
        <v>21.076233183856502</v>
      </c>
      <c r="D51" s="737">
        <f t="shared" si="5"/>
        <v>26.00896860986547</v>
      </c>
      <c r="E51" s="737">
        <f t="shared" si="5"/>
        <v>34.080717488789233</v>
      </c>
      <c r="F51" s="737">
        <f t="shared" si="5"/>
        <v>5.9577194106342084</v>
      </c>
      <c r="G51" s="736">
        <f t="shared" si="5"/>
        <v>12.87636130685458</v>
      </c>
      <c r="H51" s="738">
        <f t="shared" si="5"/>
        <v>19.760900140646974</v>
      </c>
      <c r="I51" s="736">
        <f t="shared" si="5"/>
        <v>25.035161744022506</v>
      </c>
      <c r="J51" s="736">
        <f t="shared" si="5"/>
        <v>36.427566807313646</v>
      </c>
      <c r="K51" s="736">
        <f t="shared" si="5"/>
        <v>7.243319268635724</v>
      </c>
      <c r="L51" s="736">
        <f t="shared" si="5"/>
        <v>11.533052039381154</v>
      </c>
      <c r="M51" s="739"/>
      <c r="N51" s="693"/>
      <c r="O51" s="706">
        <f t="shared" si="3"/>
        <v>100</v>
      </c>
      <c r="P51" s="707">
        <f t="shared" si="4"/>
        <v>99.999999999999986</v>
      </c>
      <c r="Q51" s="708">
        <v>0.21076233183856502</v>
      </c>
      <c r="R51" s="709">
        <v>0.26008968609865468</v>
      </c>
      <c r="S51" s="709">
        <v>0.34080717488789236</v>
      </c>
      <c r="T51" s="709">
        <v>5.9577194106342088E-2</v>
      </c>
      <c r="U51" s="709">
        <v>0.12876361306854581</v>
      </c>
      <c r="V51" s="837">
        <v>0.19760900140646975</v>
      </c>
      <c r="W51" s="838">
        <v>0.25035161744022505</v>
      </c>
      <c r="X51" s="838">
        <v>0.36427566807313644</v>
      </c>
      <c r="Y51" s="838">
        <v>7.2433192686357242E-2</v>
      </c>
      <c r="Z51" s="838">
        <v>0.11533052039381153</v>
      </c>
    </row>
    <row r="52" spans="1:26">
      <c r="A52" s="715" t="s">
        <v>196</v>
      </c>
      <c r="B52" s="715"/>
      <c r="C52" s="736">
        <f t="shared" si="5"/>
        <v>29.018338727076593</v>
      </c>
      <c r="D52" s="737">
        <f t="shared" si="5"/>
        <v>32.784152201627933</v>
      </c>
      <c r="E52" s="737">
        <f t="shared" si="5"/>
        <v>23.242130038246543</v>
      </c>
      <c r="F52" s="737">
        <f t="shared" si="5"/>
        <v>6.3057762086888305</v>
      </c>
      <c r="G52" s="736">
        <f t="shared" si="5"/>
        <v>8.6496028243601053</v>
      </c>
      <c r="H52" s="738">
        <f t="shared" si="5"/>
        <v>30.594767551289294</v>
      </c>
      <c r="I52" s="736">
        <f t="shared" si="5"/>
        <v>30.726519856954638</v>
      </c>
      <c r="J52" s="736">
        <f t="shared" si="5"/>
        <v>25.691699604743086</v>
      </c>
      <c r="K52" s="736">
        <f t="shared" si="5"/>
        <v>7.2934312064746845</v>
      </c>
      <c r="L52" s="736">
        <f t="shared" si="5"/>
        <v>5.6935817805383024</v>
      </c>
      <c r="M52" s="739"/>
      <c r="N52" s="693"/>
      <c r="O52" s="706">
        <f t="shared" si="3"/>
        <v>100</v>
      </c>
      <c r="P52" s="707">
        <f t="shared" si="4"/>
        <v>100</v>
      </c>
      <c r="Q52" s="708">
        <v>0.29018338727076592</v>
      </c>
      <c r="R52" s="709">
        <v>0.32784152201627931</v>
      </c>
      <c r="S52" s="709">
        <v>0.23242130038246542</v>
      </c>
      <c r="T52" s="709">
        <v>6.3057762086888305E-2</v>
      </c>
      <c r="U52" s="709">
        <v>8.6496028243601059E-2</v>
      </c>
      <c r="V52" s="837">
        <v>0.30594767551289292</v>
      </c>
      <c r="W52" s="838">
        <v>0.30726519856954637</v>
      </c>
      <c r="X52" s="838">
        <v>0.25691699604743085</v>
      </c>
      <c r="Y52" s="838">
        <v>7.2934312064746848E-2</v>
      </c>
      <c r="Z52" s="838">
        <v>5.6935817805383024E-2</v>
      </c>
    </row>
    <row r="53" spans="1:26">
      <c r="A53" s="715" t="s">
        <v>197</v>
      </c>
      <c r="B53" s="715"/>
      <c r="C53" s="736">
        <f t="shared" si="5"/>
        <v>26.453243470935128</v>
      </c>
      <c r="D53" s="737">
        <f t="shared" si="5"/>
        <v>20.55602358887953</v>
      </c>
      <c r="E53" s="737">
        <f t="shared" si="5"/>
        <v>28.053917438921651</v>
      </c>
      <c r="F53" s="737">
        <f t="shared" si="5"/>
        <v>20.219039595619208</v>
      </c>
      <c r="G53" s="736">
        <f t="shared" si="5"/>
        <v>4.7177759056444817</v>
      </c>
      <c r="H53" s="738">
        <f t="shared" ref="H53:L66" si="6">+V53*100</f>
        <v>25.431425976385103</v>
      </c>
      <c r="I53" s="736">
        <f t="shared" si="6"/>
        <v>23.887375113533153</v>
      </c>
      <c r="J53" s="736">
        <f t="shared" si="6"/>
        <v>29.155313351498634</v>
      </c>
      <c r="K53" s="736">
        <f t="shared" si="6"/>
        <v>20.435967302452315</v>
      </c>
      <c r="L53" s="736">
        <f t="shared" si="6"/>
        <v>1.0899182561307901</v>
      </c>
      <c r="M53" s="739"/>
      <c r="N53" s="693"/>
      <c r="O53" s="706">
        <f t="shared" si="3"/>
        <v>99.999999999999986</v>
      </c>
      <c r="P53" s="707">
        <f t="shared" si="4"/>
        <v>100.00000000000001</v>
      </c>
      <c r="Q53" s="708">
        <v>0.26453243470935128</v>
      </c>
      <c r="R53" s="749">
        <v>0.2055602358887953</v>
      </c>
      <c r="S53" s="749">
        <v>0.28053917438921649</v>
      </c>
      <c r="T53" s="749">
        <v>0.20219039595619209</v>
      </c>
      <c r="U53" s="750">
        <v>4.7177759056444821E-2</v>
      </c>
      <c r="V53" s="837">
        <v>0.25431425976385102</v>
      </c>
      <c r="W53" s="838">
        <v>0.23887375113533152</v>
      </c>
      <c r="X53" s="838">
        <v>0.29155313351498635</v>
      </c>
      <c r="Y53" s="838">
        <v>0.20435967302452315</v>
      </c>
      <c r="Z53" s="838">
        <v>1.0899182561307902E-2</v>
      </c>
    </row>
    <row r="54" spans="1:26">
      <c r="A54" s="751" t="s">
        <v>198</v>
      </c>
      <c r="B54" s="751"/>
      <c r="C54" s="745">
        <f t="shared" ref="C54:G66" si="7">+Q54*100</f>
        <v>33.550724637681164</v>
      </c>
      <c r="D54" s="745">
        <f t="shared" si="7"/>
        <v>23.753623188405797</v>
      </c>
      <c r="E54" s="745">
        <f t="shared" si="7"/>
        <v>26.318840579710145</v>
      </c>
      <c r="F54" s="745">
        <f t="shared" si="7"/>
        <v>0.89855072463768115</v>
      </c>
      <c r="G54" s="745">
        <f t="shared" si="7"/>
        <v>15.478260869565217</v>
      </c>
      <c r="H54" s="746">
        <f t="shared" si="6"/>
        <v>33.776059179556157</v>
      </c>
      <c r="I54" s="745">
        <f t="shared" si="6"/>
        <v>25.151311365164762</v>
      </c>
      <c r="J54" s="745">
        <f t="shared" si="6"/>
        <v>24.966375252185607</v>
      </c>
      <c r="K54" s="745">
        <f t="shared" si="6"/>
        <v>1.0087424344317417</v>
      </c>
      <c r="L54" s="745">
        <f t="shared" si="6"/>
        <v>15.097511768661734</v>
      </c>
      <c r="M54" s="739"/>
      <c r="N54" s="693"/>
      <c r="O54" s="721">
        <f t="shared" si="3"/>
        <v>100</v>
      </c>
      <c r="P54" s="722">
        <f t="shared" si="4"/>
        <v>100.00000000000001</v>
      </c>
      <c r="Q54" s="723">
        <v>0.33550724637681162</v>
      </c>
      <c r="R54" s="724">
        <v>0.23753623188405798</v>
      </c>
      <c r="S54" s="724">
        <v>0.26318840579710145</v>
      </c>
      <c r="T54" s="724">
        <v>8.9855072463768115E-3</v>
      </c>
      <c r="U54" s="725">
        <v>0.15478260869565216</v>
      </c>
      <c r="V54" s="839">
        <v>0.33776059179556156</v>
      </c>
      <c r="W54" s="840">
        <v>0.25151311365164764</v>
      </c>
      <c r="X54" s="840">
        <v>0.24966375252185607</v>
      </c>
      <c r="Y54" s="840">
        <v>1.0087424344317418E-2</v>
      </c>
      <c r="Z54" s="840">
        <v>0.15097511768661734</v>
      </c>
    </row>
    <row r="55" spans="1:26">
      <c r="A55" s="642" t="s">
        <v>173</v>
      </c>
      <c r="B55" s="642"/>
      <c r="C55" s="747">
        <f t="shared" si="7"/>
        <v>30.934693685645776</v>
      </c>
      <c r="D55" s="752">
        <f t="shared" si="7"/>
        <v>29.084583196201041</v>
      </c>
      <c r="E55" s="752">
        <f t="shared" si="7"/>
        <v>26.613851144858714</v>
      </c>
      <c r="F55" s="752">
        <f t="shared" si="7"/>
        <v>5.2776341153791897</v>
      </c>
      <c r="G55" s="752">
        <f t="shared" si="7"/>
        <v>8.0892378579152755</v>
      </c>
      <c r="H55" s="748">
        <f t="shared" si="6"/>
        <v>31.203187652888808</v>
      </c>
      <c r="I55" s="729">
        <f t="shared" si="6"/>
        <v>28.297985020048927</v>
      </c>
      <c r="J55" s="729">
        <f t="shared" si="6"/>
        <v>28.570347766877664</v>
      </c>
      <c r="K55" s="729">
        <f t="shared" si="6"/>
        <v>5.3993392681512118</v>
      </c>
      <c r="L55" s="729">
        <f t="shared" si="6"/>
        <v>6.5291402920333894</v>
      </c>
      <c r="M55" s="705">
        <f>+D55+C55</f>
        <v>60.019276881846821</v>
      </c>
      <c r="N55" s="705">
        <f>+I55+H55</f>
        <v>59.501172672937734</v>
      </c>
      <c r="O55" s="706">
        <f t="shared" si="3"/>
        <v>100</v>
      </c>
      <c r="P55" s="707">
        <f t="shared" si="4"/>
        <v>100</v>
      </c>
      <c r="Q55" s="708">
        <v>0.30934693685645775</v>
      </c>
      <c r="R55" s="709">
        <v>0.29084583196201041</v>
      </c>
      <c r="S55" s="709">
        <v>0.26613851144858713</v>
      </c>
      <c r="T55" s="709">
        <v>5.27763411537919E-2</v>
      </c>
      <c r="U55" s="709">
        <v>8.0892378579152754E-2</v>
      </c>
      <c r="V55" s="837">
        <v>0.31203187652888809</v>
      </c>
      <c r="W55" s="838">
        <v>0.28297985020048927</v>
      </c>
      <c r="X55" s="838">
        <v>0.28570347766877663</v>
      </c>
      <c r="Y55" s="838">
        <v>5.3993392681512119E-2</v>
      </c>
      <c r="Z55" s="838">
        <v>6.5291402920333891E-2</v>
      </c>
    </row>
    <row r="56" spans="1:26">
      <c r="A56" s="642"/>
      <c r="B56" s="642"/>
      <c r="C56" s="747"/>
      <c r="D56" s="752"/>
      <c r="E56" s="752"/>
      <c r="F56" s="752"/>
      <c r="G56" s="752"/>
      <c r="H56" s="730"/>
      <c r="I56" s="729"/>
      <c r="J56" s="729"/>
      <c r="K56" s="729"/>
      <c r="L56" s="729"/>
      <c r="M56" s="739"/>
      <c r="N56" s="693"/>
      <c r="O56" s="706"/>
      <c r="P56" s="707"/>
      <c r="Q56" s="708"/>
      <c r="R56" s="709"/>
      <c r="S56" s="709"/>
      <c r="T56" s="709"/>
      <c r="U56" s="709"/>
      <c r="V56" s="837"/>
      <c r="W56" s="838"/>
      <c r="X56" s="838"/>
      <c r="Y56" s="838"/>
      <c r="Z56" s="838"/>
    </row>
    <row r="57" spans="1:26">
      <c r="A57" s="715" t="s">
        <v>199</v>
      </c>
      <c r="B57" s="715"/>
      <c r="C57" s="753">
        <f t="shared" si="7"/>
        <v>38.609898107714699</v>
      </c>
      <c r="D57" s="754">
        <f t="shared" si="7"/>
        <v>30.31295487627365</v>
      </c>
      <c r="E57" s="754">
        <f t="shared" si="7"/>
        <v>26.346433770014556</v>
      </c>
      <c r="F57" s="754">
        <f t="shared" si="7"/>
        <v>2.4381368267831149</v>
      </c>
      <c r="G57" s="754">
        <f t="shared" si="7"/>
        <v>2.2925764192139741</v>
      </c>
      <c r="H57" s="738">
        <f t="shared" si="6"/>
        <v>37.807257120561843</v>
      </c>
      <c r="I57" s="737">
        <f t="shared" si="6"/>
        <v>30.589153335934448</v>
      </c>
      <c r="J57" s="737">
        <f t="shared" si="6"/>
        <v>26.687475614514238</v>
      </c>
      <c r="K57" s="737">
        <f t="shared" si="6"/>
        <v>2.96527506827936</v>
      </c>
      <c r="L57" s="737">
        <f t="shared" si="6"/>
        <v>1.9508388607101055</v>
      </c>
      <c r="M57" s="739"/>
      <c r="N57" s="693"/>
      <c r="O57" s="706">
        <f t="shared" si="3"/>
        <v>99.999999999999986</v>
      </c>
      <c r="P57" s="707">
        <f t="shared" si="4"/>
        <v>99.999999999999986</v>
      </c>
      <c r="Q57" s="708">
        <v>0.38609898107714702</v>
      </c>
      <c r="R57" s="709">
        <v>0.30312954876273651</v>
      </c>
      <c r="S57" s="709">
        <v>0.26346433770014555</v>
      </c>
      <c r="T57" s="709">
        <v>2.438136826783115E-2</v>
      </c>
      <c r="U57" s="709">
        <v>2.2925764192139739E-2</v>
      </c>
      <c r="V57" s="837">
        <v>0.37807257120561844</v>
      </c>
      <c r="W57" s="838">
        <v>0.30589153335934449</v>
      </c>
      <c r="X57" s="838">
        <v>0.26687475614514239</v>
      </c>
      <c r="Y57" s="838">
        <v>2.9652750682793601E-2</v>
      </c>
      <c r="Z57" s="838">
        <v>1.9508388607101055E-2</v>
      </c>
    </row>
    <row r="58" spans="1:26">
      <c r="A58" s="715" t="s">
        <v>200</v>
      </c>
      <c r="B58" s="715"/>
      <c r="C58" s="753">
        <f t="shared" si="7"/>
        <v>34.778837814397221</v>
      </c>
      <c r="D58" s="754">
        <f t="shared" si="7"/>
        <v>33.130962705984388</v>
      </c>
      <c r="E58" s="754">
        <f t="shared" si="7"/>
        <v>14.22376409366869</v>
      </c>
      <c r="F58" s="754">
        <f t="shared" si="7"/>
        <v>1.9080659150043366</v>
      </c>
      <c r="G58" s="754">
        <f t="shared" si="7"/>
        <v>15.95836947094536</v>
      </c>
      <c r="H58" s="738">
        <f t="shared" si="6"/>
        <v>31.955719557195572</v>
      </c>
      <c r="I58" s="737">
        <f t="shared" si="6"/>
        <v>35.9409594095941</v>
      </c>
      <c r="J58" s="737">
        <f t="shared" si="6"/>
        <v>18.523985239852397</v>
      </c>
      <c r="K58" s="737">
        <f t="shared" si="6"/>
        <v>3.6162361623616239</v>
      </c>
      <c r="L58" s="737">
        <f t="shared" si="6"/>
        <v>9.9630996309963091</v>
      </c>
      <c r="M58" s="739"/>
      <c r="N58" s="693"/>
      <c r="O58" s="706">
        <f t="shared" si="3"/>
        <v>100</v>
      </c>
      <c r="P58" s="707">
        <f t="shared" si="4"/>
        <v>100</v>
      </c>
      <c r="Q58" s="708">
        <v>0.34778837814397223</v>
      </c>
      <c r="R58" s="709">
        <v>0.3313096270598439</v>
      </c>
      <c r="S58" s="709">
        <v>0.14223764093668689</v>
      </c>
      <c r="T58" s="709">
        <v>1.9080659150043366E-2</v>
      </c>
      <c r="U58" s="709">
        <v>0.15958369470945361</v>
      </c>
      <c r="V58" s="837">
        <v>0.31955719557195572</v>
      </c>
      <c r="W58" s="838">
        <v>0.35940959409594098</v>
      </c>
      <c r="X58" s="838">
        <v>0.18523985239852397</v>
      </c>
      <c r="Y58" s="838">
        <v>3.6162361623616239E-2</v>
      </c>
      <c r="Z58" s="838">
        <v>9.9630996309963096E-2</v>
      </c>
    </row>
    <row r="59" spans="1:26">
      <c r="A59" s="715" t="s">
        <v>201</v>
      </c>
      <c r="B59" s="715"/>
      <c r="C59" s="753">
        <f t="shared" si="7"/>
        <v>33.64274394385329</v>
      </c>
      <c r="D59" s="754">
        <f t="shared" si="7"/>
        <v>26.307448494453251</v>
      </c>
      <c r="E59" s="754">
        <f t="shared" si="7"/>
        <v>26.126330088295223</v>
      </c>
      <c r="F59" s="754">
        <f t="shared" si="7"/>
        <v>1.4715870500339596</v>
      </c>
      <c r="G59" s="754">
        <f t="shared" si="7"/>
        <v>12.451890423364274</v>
      </c>
      <c r="H59" s="738">
        <f t="shared" si="6"/>
        <v>35.752895752895753</v>
      </c>
      <c r="I59" s="737">
        <f t="shared" si="6"/>
        <v>25.405405405405407</v>
      </c>
      <c r="J59" s="737">
        <f t="shared" si="6"/>
        <v>28.777348777348777</v>
      </c>
      <c r="K59" s="737">
        <f t="shared" si="6"/>
        <v>1.7503217503217503</v>
      </c>
      <c r="L59" s="737">
        <f t="shared" si="6"/>
        <v>8.3140283140283149</v>
      </c>
      <c r="M59" s="739"/>
      <c r="N59" s="693"/>
      <c r="O59" s="706">
        <f t="shared" si="3"/>
        <v>100</v>
      </c>
      <c r="P59" s="707">
        <f t="shared" si="4"/>
        <v>100</v>
      </c>
      <c r="Q59" s="708">
        <v>0.33642743943853293</v>
      </c>
      <c r="R59" s="709">
        <v>0.26307448494453251</v>
      </c>
      <c r="S59" s="709">
        <v>0.26126330088295224</v>
      </c>
      <c r="T59" s="709">
        <v>1.4715870500339597E-2</v>
      </c>
      <c r="U59" s="709">
        <v>0.12451890423364274</v>
      </c>
      <c r="V59" s="837">
        <v>0.35752895752895753</v>
      </c>
      <c r="W59" s="838">
        <v>0.25405405405405407</v>
      </c>
      <c r="X59" s="838">
        <v>0.28777348777348777</v>
      </c>
      <c r="Y59" s="838">
        <v>1.7503217503217504E-2</v>
      </c>
      <c r="Z59" s="838">
        <v>8.3140283140283142E-2</v>
      </c>
    </row>
    <row r="60" spans="1:26">
      <c r="A60" s="715" t="s">
        <v>202</v>
      </c>
      <c r="B60" s="715"/>
      <c r="C60" s="753">
        <f t="shared" si="7"/>
        <v>37.693798449612402</v>
      </c>
      <c r="D60" s="754">
        <f t="shared" si="7"/>
        <v>35.271317829457367</v>
      </c>
      <c r="E60" s="754">
        <f t="shared" si="7"/>
        <v>22.093023255813954</v>
      </c>
      <c r="F60" s="754">
        <f t="shared" si="7"/>
        <v>0.77519379844961245</v>
      </c>
      <c r="G60" s="754">
        <f t="shared" si="7"/>
        <v>4.1666666666666661</v>
      </c>
      <c r="H60" s="738">
        <f t="shared" si="6"/>
        <v>37.866927592954994</v>
      </c>
      <c r="I60" s="737">
        <f t="shared" si="6"/>
        <v>35.225048923679061</v>
      </c>
      <c r="J60" s="737">
        <f t="shared" si="6"/>
        <v>21.722113502935418</v>
      </c>
      <c r="K60" s="737">
        <f t="shared" si="6"/>
        <v>0.88062622309197647</v>
      </c>
      <c r="L60" s="737">
        <f t="shared" si="6"/>
        <v>4.3052837573385521</v>
      </c>
      <c r="M60" s="739"/>
      <c r="N60" s="693"/>
      <c r="O60" s="706">
        <f t="shared" si="3"/>
        <v>100</v>
      </c>
      <c r="P60" s="707">
        <f t="shared" si="4"/>
        <v>100.00000000000001</v>
      </c>
      <c r="Q60" s="708">
        <v>0.37693798449612403</v>
      </c>
      <c r="R60" s="709">
        <v>0.35271317829457366</v>
      </c>
      <c r="S60" s="709">
        <v>0.22093023255813954</v>
      </c>
      <c r="T60" s="709">
        <v>7.7519379844961239E-3</v>
      </c>
      <c r="U60" s="709">
        <v>4.1666666666666664E-2</v>
      </c>
      <c r="V60" s="837">
        <v>0.37866927592954991</v>
      </c>
      <c r="W60" s="838">
        <v>0.35225048923679059</v>
      </c>
      <c r="X60" s="838">
        <v>0.2172211350293542</v>
      </c>
      <c r="Y60" s="838">
        <v>8.8062622309197647E-3</v>
      </c>
      <c r="Z60" s="838">
        <v>4.3052837573385516E-2</v>
      </c>
    </row>
    <row r="61" spans="1:26">
      <c r="A61" s="642" t="s">
        <v>203</v>
      </c>
      <c r="B61" s="642"/>
      <c r="C61" s="747">
        <f t="shared" si="7"/>
        <v>34.14273995077933</v>
      </c>
      <c r="D61" s="752">
        <f t="shared" si="7"/>
        <v>29.548810500410173</v>
      </c>
      <c r="E61" s="752">
        <f t="shared" si="7"/>
        <v>24.593929450369156</v>
      </c>
      <c r="F61" s="752">
        <f t="shared" si="7"/>
        <v>7.2518457752255943</v>
      </c>
      <c r="G61" s="752">
        <f t="shared" si="7"/>
        <v>4.4626743232157509</v>
      </c>
      <c r="H61" s="730">
        <f t="shared" si="6"/>
        <v>36.779692421715772</v>
      </c>
      <c r="I61" s="729">
        <f t="shared" si="6"/>
        <v>29.442282749675748</v>
      </c>
      <c r="J61" s="729">
        <f t="shared" si="6"/>
        <v>25.625347415230681</v>
      </c>
      <c r="K61" s="729">
        <f t="shared" si="6"/>
        <v>5.2807115063924401</v>
      </c>
      <c r="L61" s="729">
        <f t="shared" si="6"/>
        <v>2.8719659069853622</v>
      </c>
      <c r="M61" s="739"/>
      <c r="N61" s="693"/>
      <c r="O61" s="706">
        <f t="shared" si="3"/>
        <v>100</v>
      </c>
      <c r="P61" s="707">
        <f t="shared" si="4"/>
        <v>100</v>
      </c>
      <c r="Q61" s="708">
        <v>0.34142739950779327</v>
      </c>
      <c r="R61" s="709">
        <v>0.29548810500410172</v>
      </c>
      <c r="S61" s="709">
        <v>0.24593929450369156</v>
      </c>
      <c r="T61" s="709">
        <v>7.2518457752255946E-2</v>
      </c>
      <c r="U61" s="709">
        <v>4.4626743232157505E-2</v>
      </c>
      <c r="V61" s="837">
        <v>0.36779692421715771</v>
      </c>
      <c r="W61" s="838">
        <v>0.29442282749675747</v>
      </c>
      <c r="X61" s="838">
        <v>0.25625347415230681</v>
      </c>
      <c r="Y61" s="838">
        <v>5.2807115063924402E-2</v>
      </c>
      <c r="Z61" s="838">
        <v>2.8719659069853621E-2</v>
      </c>
    </row>
    <row r="62" spans="1:26">
      <c r="A62" s="642" t="s">
        <v>204</v>
      </c>
      <c r="B62" s="642"/>
      <c r="C62" s="747">
        <f t="shared" si="7"/>
        <v>29.866933312822091</v>
      </c>
      <c r="D62" s="752">
        <f t="shared" si="7"/>
        <v>30.774555803399739</v>
      </c>
      <c r="E62" s="752">
        <f t="shared" si="7"/>
        <v>28.636258749326977</v>
      </c>
      <c r="F62" s="752">
        <f t="shared" si="7"/>
        <v>1.7306361049150065</v>
      </c>
      <c r="G62" s="752">
        <f t="shared" si="7"/>
        <v>8.9916160295361891</v>
      </c>
      <c r="H62" s="730">
        <f t="shared" si="6"/>
        <v>29.373021982721752</v>
      </c>
      <c r="I62" s="729">
        <f t="shared" si="6"/>
        <v>28.859806688905998</v>
      </c>
      <c r="J62" s="729">
        <f t="shared" si="6"/>
        <v>31.212043452228212</v>
      </c>
      <c r="K62" s="729">
        <f t="shared" si="6"/>
        <v>2.1469506457959113</v>
      </c>
      <c r="L62" s="729">
        <f t="shared" si="6"/>
        <v>8.4081772303481301</v>
      </c>
      <c r="M62" s="739"/>
      <c r="N62" s="693"/>
      <c r="O62" s="706">
        <f t="shared" si="3"/>
        <v>100</v>
      </c>
      <c r="P62" s="707">
        <f t="shared" si="4"/>
        <v>100</v>
      </c>
      <c r="Q62" s="708">
        <v>0.29866933312822092</v>
      </c>
      <c r="R62" s="709">
        <v>0.30774555803399739</v>
      </c>
      <c r="S62" s="709">
        <v>0.28636258749326976</v>
      </c>
      <c r="T62" s="709">
        <v>1.7306361049150065E-2</v>
      </c>
      <c r="U62" s="709">
        <v>8.9916160295361897E-2</v>
      </c>
      <c r="V62" s="837">
        <v>0.29373021982721753</v>
      </c>
      <c r="W62" s="838">
        <v>0.28859806688905998</v>
      </c>
      <c r="X62" s="838">
        <v>0.31212043452228211</v>
      </c>
      <c r="Y62" s="838">
        <v>2.1469506457959114E-2</v>
      </c>
      <c r="Z62" s="838">
        <v>8.4081772303481309E-2</v>
      </c>
    </row>
    <row r="63" spans="1:26">
      <c r="A63" s="755" t="s">
        <v>205</v>
      </c>
      <c r="B63" s="755"/>
      <c r="C63" s="756">
        <f t="shared" si="7"/>
        <v>25.975401156634359</v>
      </c>
      <c r="D63" s="752">
        <f t="shared" si="7"/>
        <v>26.732915207298202</v>
      </c>
      <c r="E63" s="752">
        <f t="shared" si="7"/>
        <v>28.223507371507701</v>
      </c>
      <c r="F63" s="752">
        <f t="shared" si="7"/>
        <v>11.395292009448562</v>
      </c>
      <c r="G63" s="752">
        <f t="shared" si="7"/>
        <v>7.6728842551111827</v>
      </c>
      <c r="H63" s="730">
        <f t="shared" si="6"/>
        <v>26.057104580088751</v>
      </c>
      <c r="I63" s="729">
        <f t="shared" si="6"/>
        <v>26.710206815707949</v>
      </c>
      <c r="J63" s="729">
        <f t="shared" si="6"/>
        <v>29.79150967093695</v>
      </c>
      <c r="K63" s="729">
        <f t="shared" si="6"/>
        <v>11.554885707108767</v>
      </c>
      <c r="L63" s="729">
        <f t="shared" si="6"/>
        <v>5.8862932261575818</v>
      </c>
      <c r="M63" s="739"/>
      <c r="N63" s="693"/>
      <c r="O63" s="706">
        <f t="shared" si="3"/>
        <v>99.999999999999986</v>
      </c>
      <c r="P63" s="707">
        <f t="shared" si="4"/>
        <v>100.00000000000001</v>
      </c>
      <c r="Q63" s="708">
        <v>0.25975401156634359</v>
      </c>
      <c r="R63" s="709">
        <v>0.26732915207298202</v>
      </c>
      <c r="S63" s="709">
        <v>0.282235073715077</v>
      </c>
      <c r="T63" s="709">
        <v>0.11395292009448563</v>
      </c>
      <c r="U63" s="709">
        <v>7.6728842551111828E-2</v>
      </c>
      <c r="V63" s="837">
        <v>0.26057104580088752</v>
      </c>
      <c r="W63" s="838">
        <v>0.26710206815707949</v>
      </c>
      <c r="X63" s="838">
        <v>0.2979150967093695</v>
      </c>
      <c r="Y63" s="838">
        <v>0.11554885707108767</v>
      </c>
      <c r="Z63" s="838">
        <v>5.8862932261575816E-2</v>
      </c>
    </row>
    <row r="64" spans="1:26">
      <c r="A64" s="755" t="s">
        <v>206</v>
      </c>
      <c r="B64" s="755"/>
      <c r="C64" s="756">
        <f t="shared" si="7"/>
        <v>40.609636184857422</v>
      </c>
      <c r="D64" s="752">
        <f t="shared" si="7"/>
        <v>29.105211406096359</v>
      </c>
      <c r="E64" s="752">
        <f t="shared" si="7"/>
        <v>19.665683382497541</v>
      </c>
      <c r="F64" s="752">
        <f t="shared" si="7"/>
        <v>0.7866273352999017</v>
      </c>
      <c r="G64" s="752">
        <f t="shared" si="7"/>
        <v>9.8328416912487704</v>
      </c>
      <c r="H64" s="730">
        <f t="shared" si="6"/>
        <v>42.842741935483872</v>
      </c>
      <c r="I64" s="729">
        <f t="shared" si="6"/>
        <v>23.286290322580644</v>
      </c>
      <c r="J64" s="729">
        <f t="shared" si="6"/>
        <v>25.302419354838712</v>
      </c>
      <c r="K64" s="729">
        <f t="shared" si="6"/>
        <v>1.9153225806451613</v>
      </c>
      <c r="L64" s="729">
        <f t="shared" si="6"/>
        <v>6.6532258064516121</v>
      </c>
      <c r="M64" s="739"/>
      <c r="N64" s="693"/>
      <c r="O64" s="706">
        <f t="shared" si="3"/>
        <v>100.00000000000001</v>
      </c>
      <c r="P64" s="707">
        <f t="shared" si="4"/>
        <v>100</v>
      </c>
      <c r="Q64" s="708">
        <v>0.40609636184857423</v>
      </c>
      <c r="R64" s="709">
        <v>0.2910521140609636</v>
      </c>
      <c r="S64" s="709">
        <v>0.19665683382497542</v>
      </c>
      <c r="T64" s="709">
        <v>7.8662733529990172E-3</v>
      </c>
      <c r="U64" s="709">
        <v>9.8328416912487712E-2</v>
      </c>
      <c r="V64" s="837">
        <v>0.42842741935483869</v>
      </c>
      <c r="W64" s="838">
        <v>0.23286290322580644</v>
      </c>
      <c r="X64" s="838">
        <v>0.25302419354838712</v>
      </c>
      <c r="Y64" s="838">
        <v>1.9153225806451613E-2</v>
      </c>
      <c r="Z64" s="838">
        <v>6.6532258064516125E-2</v>
      </c>
    </row>
    <row r="65" spans="1:26">
      <c r="A65" s="700" t="s">
        <v>207</v>
      </c>
      <c r="B65" s="700"/>
      <c r="C65" s="757">
        <f t="shared" si="7"/>
        <v>32.080200501253131</v>
      </c>
      <c r="D65" s="758">
        <f t="shared" si="7"/>
        <v>31.453634085213032</v>
      </c>
      <c r="E65" s="758">
        <f t="shared" si="7"/>
        <v>20.551378446115287</v>
      </c>
      <c r="F65" s="758">
        <f t="shared" si="7"/>
        <v>1.1278195488721803</v>
      </c>
      <c r="G65" s="758">
        <f t="shared" si="7"/>
        <v>14.786967418546364</v>
      </c>
      <c r="H65" s="759">
        <f t="shared" si="6"/>
        <v>29.689440993788818</v>
      </c>
      <c r="I65" s="760">
        <f t="shared" si="6"/>
        <v>27.204968944099377</v>
      </c>
      <c r="J65" s="760">
        <f t="shared" si="6"/>
        <v>26.459627329192546</v>
      </c>
      <c r="K65" s="760">
        <f t="shared" si="6"/>
        <v>0.49689440993788819</v>
      </c>
      <c r="L65" s="760">
        <f t="shared" si="6"/>
        <v>16.149068322981368</v>
      </c>
      <c r="M65" s="739"/>
      <c r="N65" s="693"/>
      <c r="O65" s="721">
        <f t="shared" si="3"/>
        <v>100</v>
      </c>
      <c r="P65" s="722">
        <f t="shared" si="4"/>
        <v>100</v>
      </c>
      <c r="Q65" s="723">
        <v>0.32080200501253131</v>
      </c>
      <c r="R65" s="724">
        <v>0.31453634085213034</v>
      </c>
      <c r="S65" s="724">
        <v>0.20551378446115287</v>
      </c>
      <c r="T65" s="724">
        <v>1.1278195488721804E-2</v>
      </c>
      <c r="U65" s="725">
        <v>0.14786967418546365</v>
      </c>
      <c r="V65" s="839">
        <v>0.29689440993788818</v>
      </c>
      <c r="W65" s="840">
        <v>0.27204968944099378</v>
      </c>
      <c r="X65" s="840">
        <v>0.26459627329192548</v>
      </c>
      <c r="Y65" s="840">
        <v>4.9689440993788822E-3</v>
      </c>
      <c r="Z65" s="840">
        <v>0.16149068322981366</v>
      </c>
    </row>
    <row r="66" spans="1:26">
      <c r="A66" s="761" t="s">
        <v>208</v>
      </c>
      <c r="B66" s="761"/>
      <c r="C66" s="762">
        <f t="shared" si="7"/>
        <v>28.35249042145594</v>
      </c>
      <c r="D66" s="763">
        <f t="shared" si="7"/>
        <v>29.885057471264371</v>
      </c>
      <c r="E66" s="763">
        <f t="shared" si="7"/>
        <v>30.651340996168582</v>
      </c>
      <c r="F66" s="763">
        <f t="shared" si="7"/>
        <v>6.5134099616858236</v>
      </c>
      <c r="G66" s="763">
        <f t="shared" si="7"/>
        <v>4.5977011494252871</v>
      </c>
      <c r="H66" s="764">
        <f t="shared" si="6"/>
        <v>38.866396761133601</v>
      </c>
      <c r="I66" s="765">
        <f t="shared" si="6"/>
        <v>35.627530364372468</v>
      </c>
      <c r="J66" s="765">
        <f t="shared" si="6"/>
        <v>21.862348178137651</v>
      </c>
      <c r="K66" s="765">
        <f t="shared" si="6"/>
        <v>3.6437246963562751</v>
      </c>
      <c r="L66" s="765">
        <f t="shared" si="6"/>
        <v>0</v>
      </c>
      <c r="M66" s="739"/>
      <c r="N66" s="766"/>
      <c r="O66" s="767">
        <f t="shared" si="3"/>
        <v>100</v>
      </c>
      <c r="P66" s="768">
        <f t="shared" si="4"/>
        <v>100.00000000000001</v>
      </c>
      <c r="Q66" s="769">
        <v>0.28352490421455939</v>
      </c>
      <c r="R66" s="770">
        <v>0.2988505747126437</v>
      </c>
      <c r="S66" s="770">
        <v>0.3065134099616858</v>
      </c>
      <c r="T66" s="770">
        <v>6.5134099616858232E-2</v>
      </c>
      <c r="U66" s="771">
        <v>4.5977011494252873E-2</v>
      </c>
      <c r="V66" s="841">
        <v>0.38866396761133604</v>
      </c>
      <c r="W66" s="842">
        <v>0.35627530364372467</v>
      </c>
      <c r="X66" s="842">
        <v>0.21862348178137653</v>
      </c>
      <c r="Y66" s="842">
        <v>3.643724696356275E-2</v>
      </c>
      <c r="Z66" s="842">
        <v>0</v>
      </c>
    </row>
    <row r="67" spans="1:26" customFormat="1" ht="33" customHeight="1">
      <c r="A67" s="779" t="s">
        <v>226</v>
      </c>
      <c r="B67" s="1044" t="s">
        <v>219</v>
      </c>
      <c r="C67" s="1044"/>
      <c r="D67" s="1044"/>
      <c r="E67" s="1044"/>
      <c r="F67" s="1044"/>
      <c r="G67" s="1044"/>
      <c r="H67" s="1044"/>
      <c r="I67" s="1044"/>
      <c r="J67" s="1044"/>
      <c r="K67" s="1044"/>
      <c r="L67" s="1044"/>
      <c r="M67" s="878"/>
      <c r="N67" s="878"/>
    </row>
    <row r="68" spans="1:26" customFormat="1" ht="44.25" customHeight="1">
      <c r="A68" s="779"/>
      <c r="B68" s="1045" t="s">
        <v>220</v>
      </c>
      <c r="C68" s="1045"/>
      <c r="D68" s="1045"/>
      <c r="E68" s="1045"/>
      <c r="F68" s="1045"/>
      <c r="G68" s="1045"/>
      <c r="H68" s="1045"/>
      <c r="I68" s="1045"/>
      <c r="J68" s="1045"/>
      <c r="K68" s="1045"/>
      <c r="L68" s="1045"/>
      <c r="M68" s="878"/>
      <c r="N68" s="878"/>
    </row>
    <row r="69" spans="1:26" s="772" customFormat="1" ht="14.25">
      <c r="A69" s="755" t="s">
        <v>218</v>
      </c>
      <c r="B69" s="755"/>
      <c r="C69" s="756"/>
      <c r="D69" s="752"/>
      <c r="E69" s="752"/>
      <c r="F69" s="752"/>
      <c r="G69" s="752"/>
      <c r="H69" s="728"/>
      <c r="I69" s="728"/>
      <c r="J69" s="728"/>
      <c r="K69" s="728"/>
      <c r="L69" s="728"/>
      <c r="M69" s="739"/>
      <c r="N69" s="766"/>
      <c r="P69" s="773"/>
      <c r="V69" s="774"/>
      <c r="W69" s="774"/>
      <c r="X69" s="774"/>
      <c r="Y69" s="774"/>
      <c r="Z69" s="774"/>
    </row>
    <row r="70" spans="1:26" s="772" customFormat="1">
      <c r="A70" s="755"/>
      <c r="B70" s="755"/>
      <c r="C70" s="756"/>
      <c r="D70" s="752"/>
      <c r="E70" s="752"/>
      <c r="F70" s="752"/>
      <c r="G70" s="752"/>
      <c r="H70" s="728"/>
      <c r="I70" s="728"/>
      <c r="J70" s="728"/>
      <c r="K70" s="728"/>
      <c r="L70" s="728"/>
      <c r="M70" s="739"/>
      <c r="N70" s="766"/>
      <c r="P70" s="773"/>
      <c r="V70" s="774"/>
      <c r="W70" s="774"/>
      <c r="X70" s="774"/>
      <c r="Y70" s="774"/>
      <c r="Z70" s="774"/>
    </row>
    <row r="71" spans="1:26" ht="16.5" customHeight="1">
      <c r="A71" s="843" t="s">
        <v>89</v>
      </c>
      <c r="B71" s="843" t="s">
        <v>122</v>
      </c>
      <c r="C71" s="739"/>
      <c r="D71" s="739"/>
      <c r="E71" s="739"/>
      <c r="F71" s="739"/>
      <c r="G71" s="739"/>
      <c r="M71" s="739"/>
      <c r="N71" s="766"/>
    </row>
    <row r="72" spans="1:26">
      <c r="A72" s="775"/>
      <c r="B72" s="776" t="s">
        <v>227</v>
      </c>
      <c r="C72" s="739"/>
      <c r="D72" s="739"/>
      <c r="E72" s="739"/>
      <c r="F72" s="739"/>
      <c r="G72" s="739"/>
      <c r="M72" s="739"/>
      <c r="N72" s="766"/>
    </row>
    <row r="73" spans="1:26">
      <c r="C73" s="739"/>
      <c r="D73" s="739"/>
      <c r="E73" s="739"/>
      <c r="F73" s="739"/>
      <c r="G73" s="739"/>
      <c r="L73" s="780" t="s">
        <v>225</v>
      </c>
      <c r="M73" s="740"/>
      <c r="N73" s="777"/>
    </row>
    <row r="74" spans="1:26">
      <c r="C74" s="739"/>
      <c r="D74" s="739"/>
      <c r="E74" s="739"/>
      <c r="F74" s="739"/>
      <c r="G74" s="739"/>
      <c r="M74" s="739"/>
      <c r="N74" s="766"/>
    </row>
    <row r="75" spans="1:26">
      <c r="C75" s="739"/>
      <c r="D75" s="739"/>
      <c r="E75" s="739"/>
      <c r="F75" s="739"/>
      <c r="G75" s="739"/>
      <c r="M75" s="739"/>
      <c r="N75" s="766"/>
    </row>
    <row r="76" spans="1:26">
      <c r="C76" s="739"/>
      <c r="D76" s="739"/>
      <c r="E76" s="739"/>
      <c r="F76" s="739"/>
      <c r="G76" s="739"/>
      <c r="M76" s="739"/>
      <c r="N76" s="766"/>
    </row>
    <row r="77" spans="1:26">
      <c r="C77" s="739"/>
      <c r="D77" s="739"/>
      <c r="E77" s="739"/>
      <c r="F77" s="739"/>
      <c r="G77" s="739"/>
      <c r="M77" s="739"/>
      <c r="N77" s="766"/>
    </row>
    <row r="78" spans="1:26">
      <c r="C78" s="739"/>
      <c r="D78" s="739"/>
      <c r="E78" s="739"/>
      <c r="F78" s="739"/>
      <c r="G78" s="739"/>
      <c r="M78" s="739"/>
      <c r="N78" s="766"/>
    </row>
    <row r="79" spans="1:26">
      <c r="C79" s="739"/>
      <c r="D79" s="739"/>
      <c r="E79" s="739"/>
      <c r="F79" s="739"/>
      <c r="G79" s="739"/>
      <c r="M79" s="739"/>
      <c r="N79" s="766"/>
    </row>
    <row r="80" spans="1:26">
      <c r="C80" s="739"/>
      <c r="D80" s="739"/>
      <c r="E80" s="739"/>
      <c r="F80" s="739"/>
      <c r="G80" s="739"/>
      <c r="M80" s="739"/>
      <c r="N80" s="766"/>
    </row>
    <row r="81" spans="3:14">
      <c r="C81" s="739"/>
      <c r="D81" s="739"/>
      <c r="E81" s="739"/>
      <c r="F81" s="739"/>
      <c r="G81" s="739"/>
      <c r="M81" s="739"/>
      <c r="N81" s="766"/>
    </row>
    <row r="82" spans="3:14">
      <c r="C82" s="739"/>
      <c r="D82" s="739"/>
      <c r="E82" s="739"/>
      <c r="F82" s="739"/>
      <c r="G82" s="739"/>
      <c r="M82" s="739"/>
      <c r="N82" s="766"/>
    </row>
    <row r="83" spans="3:14">
      <c r="C83" s="739"/>
      <c r="D83" s="739"/>
      <c r="E83" s="739"/>
      <c r="F83" s="739"/>
      <c r="G83" s="739"/>
      <c r="M83" s="739"/>
      <c r="N83" s="766"/>
    </row>
    <row r="84" spans="3:14">
      <c r="C84" s="739"/>
      <c r="D84" s="739"/>
      <c r="E84" s="739"/>
      <c r="F84" s="739"/>
      <c r="G84" s="739"/>
      <c r="M84" s="739"/>
      <c r="N84" s="766"/>
    </row>
    <row r="85" spans="3:14">
      <c r="C85" s="739"/>
      <c r="D85" s="739"/>
      <c r="E85" s="739"/>
      <c r="F85" s="739"/>
      <c r="G85" s="739"/>
      <c r="M85" s="739"/>
      <c r="N85" s="766"/>
    </row>
    <row r="86" spans="3:14">
      <c r="C86" s="739"/>
    </row>
    <row r="87" spans="3:14">
      <c r="C87" s="739"/>
    </row>
    <row r="88" spans="3:14">
      <c r="C88" s="739"/>
    </row>
    <row r="89" spans="3:14">
      <c r="C89" s="739"/>
    </row>
    <row r="90" spans="3:14">
      <c r="C90" s="739"/>
    </row>
    <row r="91" spans="3:14">
      <c r="C91" s="739"/>
    </row>
    <row r="92" spans="3:14">
      <c r="C92" s="739"/>
    </row>
    <row r="93" spans="3:14">
      <c r="C93" s="739"/>
    </row>
    <row r="94" spans="3:14">
      <c r="C94" s="739"/>
    </row>
    <row r="95" spans="3:14">
      <c r="C95" s="739"/>
    </row>
    <row r="96" spans="3:14">
      <c r="C96" s="739"/>
    </row>
    <row r="97" spans="3:3">
      <c r="C97" s="739"/>
    </row>
    <row r="98" spans="3:3">
      <c r="C98" s="739"/>
    </row>
    <row r="99" spans="3:3">
      <c r="C99" s="778"/>
    </row>
    <row r="100" spans="3:3">
      <c r="C100" s="778"/>
    </row>
    <row r="101" spans="3:3">
      <c r="C101" s="778"/>
    </row>
    <row r="102" spans="3:3">
      <c r="C102" s="778"/>
    </row>
    <row r="103" spans="3:3">
      <c r="C103" s="778"/>
    </row>
    <row r="104" spans="3:3">
      <c r="C104" s="778"/>
    </row>
    <row r="105" spans="3:3">
      <c r="C105" s="778"/>
    </row>
    <row r="106" spans="3:3">
      <c r="C106" s="778"/>
    </row>
    <row r="107" spans="3:3">
      <c r="C107" s="778"/>
    </row>
    <row r="108" spans="3:3">
      <c r="C108" s="778"/>
    </row>
    <row r="109" spans="3:3">
      <c r="C109" s="778"/>
    </row>
    <row r="110" spans="3:3">
      <c r="C110" s="739"/>
    </row>
    <row r="111" spans="3:3">
      <c r="C111" s="739"/>
    </row>
    <row r="112" spans="3:3">
      <c r="C112" s="739"/>
    </row>
    <row r="113" spans="3:3">
      <c r="C113" s="739"/>
    </row>
    <row r="114" spans="3:3">
      <c r="C114" s="739"/>
    </row>
    <row r="115" spans="3:3">
      <c r="C115" s="739"/>
    </row>
    <row r="116" spans="3:3">
      <c r="C116" s="739"/>
    </row>
    <row r="117" spans="3:3">
      <c r="C117" s="739"/>
    </row>
    <row r="118" spans="3:3">
      <c r="C118" s="739"/>
    </row>
    <row r="119" spans="3:3">
      <c r="C119" s="739"/>
    </row>
    <row r="120" spans="3:3">
      <c r="C120" s="739"/>
    </row>
    <row r="121" spans="3:3">
      <c r="C121" s="739"/>
    </row>
    <row r="122" spans="3:3">
      <c r="C122" s="739"/>
    </row>
    <row r="123" spans="3:3">
      <c r="C123" s="739"/>
    </row>
    <row r="124" spans="3:3">
      <c r="C124" s="739"/>
    </row>
    <row r="125" spans="3:3">
      <c r="C125" s="739"/>
    </row>
    <row r="126" spans="3:3">
      <c r="C126" s="739"/>
    </row>
  </sheetData>
  <mergeCells count="2">
    <mergeCell ref="B67:L67"/>
    <mergeCell ref="B68:L68"/>
  </mergeCells>
  <conditionalFormatting sqref="O7:P68">
    <cfRule type="cellIs" dxfId="3" priority="1" stopIfTrue="1" operator="notEqual">
      <formula>100</formula>
    </cfRule>
  </conditionalFormatting>
  <pageMargins left="0.5" right="0.5" top="0.75" bottom="0.75" header="0.5" footer="0.5"/>
  <pageSetup scale="69" orientation="portrait" r:id="rId1"/>
  <headerFooter alignWithMargins="0">
    <oddFooter>&amp;L&amp;8SREB Fact Book&amp;R&amp;8&amp;D</oddFooter>
  </headerFooter>
  <rowBreaks count="1" manualBreakCount="1">
    <brk id="73" max="11" man="1"/>
  </rowBreaks>
  <colBreaks count="1" manualBreakCount="1">
    <brk id="15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V160"/>
  <sheetViews>
    <sheetView workbookViewId="0"/>
  </sheetViews>
  <sheetFormatPr defaultRowHeight="15"/>
  <cols>
    <col min="1" max="1" width="4.77734375" style="80" customWidth="1"/>
    <col min="2" max="2" width="12.109375" style="84" customWidth="1"/>
    <col min="3" max="3" width="6.44140625" style="80" customWidth="1"/>
    <col min="4" max="4" width="6.6640625" style="80" customWidth="1"/>
    <col min="5" max="5" width="6" style="80" customWidth="1"/>
    <col min="6" max="8" width="5.21875" style="80" customWidth="1"/>
    <col min="9" max="9" width="6.21875" style="80" customWidth="1"/>
    <col min="10" max="10" width="6.44140625" style="84" customWidth="1"/>
    <col min="11" max="11" width="5.21875" style="84" customWidth="1"/>
    <col min="12" max="17" width="4.77734375" style="80" customWidth="1"/>
    <col min="18" max="18" width="6.21875" style="80" customWidth="1"/>
    <col min="19" max="20" width="4.77734375" style="80" customWidth="1"/>
    <col min="21" max="16384" width="8.88671875" style="80"/>
  </cols>
  <sheetData>
    <row r="1" spans="1:21" ht="15.75">
      <c r="A1" s="139" t="s">
        <v>49</v>
      </c>
      <c r="B1" s="140"/>
      <c r="C1" s="141"/>
      <c r="D1" s="141"/>
      <c r="E1" s="142"/>
      <c r="F1" s="141"/>
      <c r="G1" s="141"/>
      <c r="H1" s="141"/>
      <c r="I1" s="141"/>
      <c r="J1" s="140"/>
      <c r="K1" s="140"/>
      <c r="L1" s="141"/>
      <c r="M1" s="141"/>
      <c r="N1" s="141"/>
      <c r="O1" s="141"/>
      <c r="P1" s="141"/>
      <c r="Q1" s="141"/>
      <c r="R1" s="141"/>
      <c r="S1" s="141"/>
      <c r="T1" s="141"/>
    </row>
    <row r="2" spans="1:21" ht="15.75">
      <c r="A2" s="139" t="s">
        <v>94</v>
      </c>
      <c r="B2" s="140"/>
      <c r="C2" s="141"/>
      <c r="D2" s="141"/>
      <c r="E2" s="141"/>
      <c r="F2" s="141"/>
      <c r="G2" s="141"/>
      <c r="H2" s="141"/>
      <c r="I2" s="141"/>
      <c r="J2" s="140"/>
      <c r="K2" s="140"/>
      <c r="L2" s="141"/>
      <c r="M2" s="141"/>
      <c r="N2" s="141"/>
      <c r="O2" s="141"/>
      <c r="P2" s="141"/>
      <c r="Q2" s="141"/>
      <c r="R2" s="141"/>
      <c r="S2" s="141"/>
      <c r="T2" s="141"/>
    </row>
    <row r="3" spans="1:21" ht="18" customHeight="1">
      <c r="A3" s="143" t="s">
        <v>129</v>
      </c>
      <c r="B3" s="144"/>
      <c r="C3" s="145"/>
      <c r="D3" s="145"/>
      <c r="E3" s="145"/>
      <c r="F3" s="145"/>
      <c r="G3" s="145"/>
      <c r="H3" s="145"/>
      <c r="I3" s="145"/>
      <c r="J3" s="144"/>
      <c r="K3" s="144"/>
      <c r="L3" s="145"/>
      <c r="M3" s="145"/>
      <c r="N3" s="145"/>
      <c r="O3" s="145"/>
      <c r="P3" s="145"/>
      <c r="Q3" s="145"/>
      <c r="R3" s="145"/>
      <c r="S3" s="145"/>
      <c r="T3" s="145"/>
    </row>
    <row r="4" spans="1:21" s="55" customFormat="1" ht="15.75" customHeight="1">
      <c r="A4" s="81"/>
      <c r="B4" s="82"/>
      <c r="C4" s="83"/>
      <c r="D4" s="83"/>
      <c r="E4" s="83"/>
      <c r="F4" s="83"/>
      <c r="G4" s="83"/>
      <c r="H4" s="83"/>
      <c r="I4" s="83"/>
      <c r="J4" s="82"/>
      <c r="K4" s="82"/>
      <c r="L4" s="83"/>
      <c r="M4" s="83"/>
      <c r="N4" s="83"/>
      <c r="O4" s="83"/>
      <c r="P4" s="83"/>
      <c r="Q4" s="83"/>
      <c r="R4" s="83"/>
      <c r="S4" s="83"/>
      <c r="T4" s="83"/>
    </row>
    <row r="5" spans="1:21" ht="15.75" customHeight="1">
      <c r="A5" s="57"/>
    </row>
    <row r="6" spans="1:21" s="135" customFormat="1" ht="12">
      <c r="A6" s="133"/>
      <c r="B6" s="134"/>
      <c r="C6" s="85" t="s">
        <v>52</v>
      </c>
      <c r="D6" s="86"/>
      <c r="E6" s="86"/>
      <c r="F6" s="86"/>
      <c r="G6" s="86"/>
      <c r="H6" s="86"/>
      <c r="I6" s="86"/>
      <c r="J6" s="86"/>
      <c r="K6" s="86"/>
      <c r="L6" s="87" t="s">
        <v>95</v>
      </c>
      <c r="M6" s="86"/>
      <c r="N6" s="86"/>
      <c r="O6" s="86"/>
      <c r="P6" s="86"/>
      <c r="Q6" s="86"/>
      <c r="R6" s="86"/>
      <c r="S6" s="86"/>
      <c r="T6" s="86"/>
    </row>
    <row r="7" spans="1:21" s="135" customFormat="1" ht="12">
      <c r="A7" s="136"/>
      <c r="B7" s="137"/>
      <c r="C7" s="85" t="s">
        <v>96</v>
      </c>
      <c r="D7" s="86"/>
      <c r="E7" s="86"/>
      <c r="F7" s="86"/>
      <c r="G7" s="86"/>
      <c r="H7" s="86"/>
      <c r="I7" s="86"/>
      <c r="J7" s="88" t="s">
        <v>97</v>
      </c>
      <c r="K7" s="89"/>
      <c r="L7" s="90" t="s">
        <v>96</v>
      </c>
      <c r="M7" s="91"/>
      <c r="N7" s="91"/>
      <c r="O7" s="91"/>
      <c r="P7" s="91"/>
      <c r="Q7" s="91"/>
      <c r="R7" s="91"/>
      <c r="S7" s="92" t="s">
        <v>97</v>
      </c>
      <c r="T7" s="91"/>
    </row>
    <row r="8" spans="1:21" s="135" customFormat="1" ht="12">
      <c r="A8" s="138"/>
      <c r="B8" s="146"/>
      <c r="C8" s="93">
        <v>1</v>
      </c>
      <c r="D8" s="93">
        <v>2</v>
      </c>
      <c r="E8" s="93">
        <v>3</v>
      </c>
      <c r="F8" s="93">
        <v>4</v>
      </c>
      <c r="G8" s="93">
        <v>5</v>
      </c>
      <c r="H8" s="93">
        <v>6</v>
      </c>
      <c r="I8" s="554" t="s">
        <v>98</v>
      </c>
      <c r="J8" s="94">
        <v>1</v>
      </c>
      <c r="K8" s="95">
        <v>2</v>
      </c>
      <c r="L8" s="94">
        <v>1</v>
      </c>
      <c r="M8" s="93">
        <v>2</v>
      </c>
      <c r="N8" s="93">
        <v>3</v>
      </c>
      <c r="O8" s="93">
        <v>4</v>
      </c>
      <c r="P8" s="93">
        <v>5</v>
      </c>
      <c r="Q8" s="93">
        <v>6</v>
      </c>
      <c r="R8" s="562" t="s">
        <v>98</v>
      </c>
      <c r="S8" s="94">
        <v>1</v>
      </c>
      <c r="T8" s="96">
        <v>2</v>
      </c>
    </row>
    <row r="9" spans="1:21" s="135" customFormat="1" ht="12">
      <c r="A9" s="136" t="s">
        <v>2</v>
      </c>
      <c r="B9" s="106" t="s">
        <v>53</v>
      </c>
      <c r="C9" s="147">
        <v>34543</v>
      </c>
      <c r="D9" s="147">
        <v>11648</v>
      </c>
      <c r="E9" s="147">
        <v>15586</v>
      </c>
      <c r="F9" s="147">
        <v>9073</v>
      </c>
      <c r="G9" s="147">
        <v>3519</v>
      </c>
      <c r="H9" s="147">
        <v>2069</v>
      </c>
      <c r="I9" s="555">
        <v>76438</v>
      </c>
      <c r="J9" s="149">
        <v>8621</v>
      </c>
      <c r="K9" s="148">
        <v>111</v>
      </c>
      <c r="L9" s="602">
        <f>+C9/C$15</f>
        <v>0.42890845201584366</v>
      </c>
      <c r="M9" s="603">
        <f>+D9/D$15</f>
        <v>0.34613098775704265</v>
      </c>
      <c r="N9" s="603">
        <f t="shared" ref="N9:T9" si="0">+E9/E$15</f>
        <v>0.3708480060911773</v>
      </c>
      <c r="O9" s="603">
        <f t="shared" si="0"/>
        <v>0.32476643877295341</v>
      </c>
      <c r="P9" s="603">
        <f t="shared" si="0"/>
        <v>0.28948667324777888</v>
      </c>
      <c r="Q9" s="603">
        <f t="shared" si="0"/>
        <v>0.27429404746122232</v>
      </c>
      <c r="R9" s="604">
        <f t="shared" si="0"/>
        <v>0.37496627471756611</v>
      </c>
      <c r="S9" s="605">
        <f t="shared" si="0"/>
        <v>0.20953237410071943</v>
      </c>
      <c r="T9" s="603">
        <f t="shared" si="0"/>
        <v>2.3275319773537428E-2</v>
      </c>
      <c r="U9" s="136"/>
    </row>
    <row r="10" spans="1:21" s="135" customFormat="1" ht="12">
      <c r="A10" s="136"/>
      <c r="B10" s="106" t="s">
        <v>93</v>
      </c>
      <c r="C10" s="147">
        <v>22056</v>
      </c>
      <c r="D10" s="147">
        <v>10288</v>
      </c>
      <c r="E10" s="147">
        <v>10743</v>
      </c>
      <c r="F10" s="147">
        <v>7618</v>
      </c>
      <c r="G10" s="147">
        <v>3264</v>
      </c>
      <c r="H10" s="147">
        <v>2205</v>
      </c>
      <c r="I10" s="555">
        <v>56174</v>
      </c>
      <c r="J10" s="149">
        <v>6740</v>
      </c>
      <c r="K10" s="148">
        <v>138</v>
      </c>
      <c r="L10" s="602">
        <f t="shared" ref="L10:L15" si="1">+C10/C$15</f>
        <v>0.27386170331648807</v>
      </c>
      <c r="M10" s="606">
        <f t="shared" ref="M10:M15" si="2">+D10/D$15</f>
        <v>0.30571734220848684</v>
      </c>
      <c r="N10" s="606">
        <f t="shared" ref="N10:N15" si="3">+E10/E$15</f>
        <v>0.25561530408299227</v>
      </c>
      <c r="O10" s="606">
        <f t="shared" ref="O10:O15" si="4">+F10/F$15</f>
        <v>0.27268496975337364</v>
      </c>
      <c r="P10" s="606">
        <f t="shared" ref="P10:P15" si="5">+G10/G$15</f>
        <v>0.26850937808489633</v>
      </c>
      <c r="Q10" s="606">
        <f t="shared" ref="Q10:Q15" si="6">+H10/H$15</f>
        <v>0.29232400901498079</v>
      </c>
      <c r="R10" s="607">
        <f t="shared" ref="R10:R15" si="7">+I10/I$15</f>
        <v>0.27556131133709094</v>
      </c>
      <c r="S10" s="602">
        <f t="shared" ref="S10:S15" si="8">+J10/J$15</f>
        <v>0.16381489403072136</v>
      </c>
      <c r="T10" s="606">
        <f t="shared" ref="T10:T15" si="9">+K10/K$15</f>
        <v>2.8936884042776265E-2</v>
      </c>
      <c r="U10" s="136"/>
    </row>
    <row r="11" spans="1:21" s="135" customFormat="1" ht="12">
      <c r="A11" s="136"/>
      <c r="B11" s="106" t="s">
        <v>55</v>
      </c>
      <c r="C11" s="147">
        <v>16763</v>
      </c>
      <c r="D11" s="147">
        <v>8400</v>
      </c>
      <c r="E11" s="147">
        <v>10946</v>
      </c>
      <c r="F11" s="147">
        <v>8275</v>
      </c>
      <c r="G11" s="147">
        <v>3766</v>
      </c>
      <c r="H11" s="147">
        <v>2303</v>
      </c>
      <c r="I11" s="555">
        <v>50453</v>
      </c>
      <c r="J11" s="149">
        <v>5972</v>
      </c>
      <c r="K11" s="148">
        <v>116</v>
      </c>
      <c r="L11" s="602">
        <f t="shared" si="1"/>
        <v>0.20814035784794566</v>
      </c>
      <c r="M11" s="606">
        <f t="shared" si="2"/>
        <v>0.24961369309402115</v>
      </c>
      <c r="N11" s="606">
        <f t="shared" si="3"/>
        <v>0.26044541734082038</v>
      </c>
      <c r="O11" s="606">
        <f t="shared" si="4"/>
        <v>0.29620216916633857</v>
      </c>
      <c r="P11" s="606">
        <f t="shared" si="5"/>
        <v>0.30980585718986509</v>
      </c>
      <c r="Q11" s="606">
        <f t="shared" si="6"/>
        <v>0.30531618719342435</v>
      </c>
      <c r="R11" s="607">
        <f t="shared" si="7"/>
        <v>0.24749697085645048</v>
      </c>
      <c r="S11" s="602">
        <f t="shared" si="8"/>
        <v>0.14514874586817034</v>
      </c>
      <c r="T11" s="606">
        <f t="shared" si="9"/>
        <v>2.4323757601174251E-2</v>
      </c>
      <c r="U11" s="136"/>
    </row>
    <row r="12" spans="1:21" s="135" customFormat="1" ht="12">
      <c r="A12" s="136"/>
      <c r="B12" s="106" t="s">
        <v>78</v>
      </c>
      <c r="C12" s="147">
        <v>2871</v>
      </c>
      <c r="D12" s="147">
        <v>1968</v>
      </c>
      <c r="E12" s="147">
        <v>3008</v>
      </c>
      <c r="F12" s="147">
        <v>1751</v>
      </c>
      <c r="G12" s="147">
        <v>904</v>
      </c>
      <c r="H12" s="147">
        <v>635</v>
      </c>
      <c r="I12" s="555">
        <v>11137</v>
      </c>
      <c r="J12" s="149">
        <v>4419</v>
      </c>
      <c r="K12" s="148">
        <v>215</v>
      </c>
      <c r="L12" s="602">
        <f t="shared" si="1"/>
        <v>3.5648211381104335E-2</v>
      </c>
      <c r="M12" s="606">
        <f t="shared" si="2"/>
        <v>5.8480922382027817E-2</v>
      </c>
      <c r="N12" s="606">
        <f t="shared" si="3"/>
        <v>7.1571333396783093E-2</v>
      </c>
      <c r="O12" s="606">
        <f t="shared" si="4"/>
        <v>6.2676736943837921E-2</v>
      </c>
      <c r="P12" s="606">
        <f t="shared" si="5"/>
        <v>7.4366567949983545E-2</v>
      </c>
      <c r="Q12" s="606">
        <f t="shared" si="6"/>
        <v>8.4184011666445707E-2</v>
      </c>
      <c r="R12" s="607">
        <f t="shared" si="7"/>
        <v>5.4632504795121974E-2</v>
      </c>
      <c r="S12" s="602">
        <f t="shared" si="8"/>
        <v>0.10740326657592844</v>
      </c>
      <c r="T12" s="606">
        <f t="shared" si="9"/>
        <v>4.5082826588383307E-2</v>
      </c>
      <c r="U12" s="136"/>
    </row>
    <row r="13" spans="1:21" s="135" customFormat="1" ht="12">
      <c r="A13" s="136"/>
      <c r="B13" s="106" t="s">
        <v>32</v>
      </c>
      <c r="C13" s="147">
        <v>4304</v>
      </c>
      <c r="D13" s="147">
        <v>1348</v>
      </c>
      <c r="E13" s="147">
        <v>1745</v>
      </c>
      <c r="F13" s="147">
        <v>1220</v>
      </c>
      <c r="G13" s="147">
        <v>703</v>
      </c>
      <c r="H13" s="147">
        <v>331</v>
      </c>
      <c r="I13" s="555">
        <v>9651</v>
      </c>
      <c r="J13" s="149">
        <f>498+238</f>
        <v>736</v>
      </c>
      <c r="K13" s="148">
        <v>178</v>
      </c>
      <c r="L13" s="602">
        <f t="shared" si="1"/>
        <v>5.3441275438618277E-2</v>
      </c>
      <c r="M13" s="606">
        <f t="shared" si="2"/>
        <v>4.0057054558421491E-2</v>
      </c>
      <c r="N13" s="606">
        <f t="shared" si="3"/>
        <v>4.1519939088226897E-2</v>
      </c>
      <c r="O13" s="606">
        <f t="shared" si="4"/>
        <v>4.3669685363496441E-2</v>
      </c>
      <c r="P13" s="606">
        <f t="shared" si="5"/>
        <v>5.7831523527476142E-2</v>
      </c>
      <c r="Q13" s="606">
        <f t="shared" si="6"/>
        <v>4.3881744663926817E-2</v>
      </c>
      <c r="R13" s="607">
        <f t="shared" si="7"/>
        <v>4.7342938293770509E-2</v>
      </c>
      <c r="S13" s="602">
        <f t="shared" si="8"/>
        <v>1.7888391989111414E-2</v>
      </c>
      <c r="T13" s="606">
        <f t="shared" si="9"/>
        <v>3.7324386663870834E-2</v>
      </c>
      <c r="U13" s="136"/>
    </row>
    <row r="14" spans="1:21" s="135" customFormat="1" ht="12">
      <c r="A14" s="136"/>
      <c r="B14" s="106" t="s">
        <v>58</v>
      </c>
      <c r="C14" s="147"/>
      <c r="D14" s="147"/>
      <c r="E14" s="147"/>
      <c r="F14" s="147"/>
      <c r="G14" s="147"/>
      <c r="H14" s="147"/>
      <c r="I14" s="555"/>
      <c r="J14" s="149">
        <v>14656</v>
      </c>
      <c r="K14" s="148">
        <v>4011</v>
      </c>
      <c r="L14" s="602">
        <f t="shared" si="1"/>
        <v>0</v>
      </c>
      <c r="M14" s="606">
        <f t="shared" si="2"/>
        <v>0</v>
      </c>
      <c r="N14" s="606">
        <f t="shared" si="3"/>
        <v>0</v>
      </c>
      <c r="O14" s="606">
        <f t="shared" si="4"/>
        <v>0</v>
      </c>
      <c r="P14" s="606">
        <f t="shared" si="5"/>
        <v>0</v>
      </c>
      <c r="Q14" s="606">
        <f t="shared" si="6"/>
        <v>0</v>
      </c>
      <c r="R14" s="607">
        <f t="shared" si="7"/>
        <v>0</v>
      </c>
      <c r="S14" s="602">
        <f t="shared" si="8"/>
        <v>0.35621232743534903</v>
      </c>
      <c r="T14" s="606">
        <f t="shared" si="9"/>
        <v>0.84105682533025794</v>
      </c>
      <c r="U14" s="136"/>
    </row>
    <row r="15" spans="1:21" s="135" customFormat="1" ht="18" customHeight="1">
      <c r="A15" s="138"/>
      <c r="B15" s="114" t="s">
        <v>59</v>
      </c>
      <c r="C15" s="150">
        <f>SUM(C9:C13)</f>
        <v>80537</v>
      </c>
      <c r="D15" s="150">
        <f t="shared" ref="D15:I15" si="10">SUM(D9:D13)</f>
        <v>33652</v>
      </c>
      <c r="E15" s="150">
        <f t="shared" si="10"/>
        <v>42028</v>
      </c>
      <c r="F15" s="150">
        <f t="shared" si="10"/>
        <v>27937</v>
      </c>
      <c r="G15" s="150">
        <f t="shared" si="10"/>
        <v>12156</v>
      </c>
      <c r="H15" s="150">
        <f t="shared" si="10"/>
        <v>7543</v>
      </c>
      <c r="I15" s="556">
        <f t="shared" si="10"/>
        <v>203853</v>
      </c>
      <c r="J15" s="150">
        <f>SUM(J9:J14)</f>
        <v>41144</v>
      </c>
      <c r="K15" s="150">
        <f>SUM(K9:K14)</f>
        <v>4769</v>
      </c>
      <c r="L15" s="608">
        <f t="shared" si="1"/>
        <v>1</v>
      </c>
      <c r="M15" s="609">
        <f t="shared" si="2"/>
        <v>1</v>
      </c>
      <c r="N15" s="609">
        <f t="shared" si="3"/>
        <v>1</v>
      </c>
      <c r="O15" s="609">
        <f t="shared" si="4"/>
        <v>1</v>
      </c>
      <c r="P15" s="609">
        <f t="shared" si="5"/>
        <v>1</v>
      </c>
      <c r="Q15" s="609">
        <f t="shared" si="6"/>
        <v>1</v>
      </c>
      <c r="R15" s="610">
        <f t="shared" si="7"/>
        <v>1</v>
      </c>
      <c r="S15" s="608">
        <f t="shared" si="8"/>
        <v>1</v>
      </c>
      <c r="T15" s="609">
        <f t="shared" si="9"/>
        <v>1</v>
      </c>
      <c r="U15" s="136"/>
    </row>
    <row r="16" spans="1:21" s="55" customFormat="1" ht="13.9" customHeight="1">
      <c r="A16" s="106" t="s">
        <v>3</v>
      </c>
      <c r="B16" s="106" t="s">
        <v>53</v>
      </c>
      <c r="C16" s="108">
        <v>12082</v>
      </c>
      <c r="D16" s="108">
        <v>4211</v>
      </c>
      <c r="E16" s="108">
        <v>5461</v>
      </c>
      <c r="F16" s="108">
        <v>2347</v>
      </c>
      <c r="G16" s="108">
        <v>1235</v>
      </c>
      <c r="H16" s="108">
        <v>993</v>
      </c>
      <c r="I16" s="557">
        <v>26329</v>
      </c>
      <c r="J16" s="109">
        <v>2976</v>
      </c>
      <c r="K16" s="108">
        <v>0</v>
      </c>
      <c r="L16" s="602">
        <f>+C16/C$22</f>
        <v>0.39390975482524776</v>
      </c>
      <c r="M16" s="606">
        <f>+D16/D$22</f>
        <v>0.32322689591648757</v>
      </c>
      <c r="N16" s="606">
        <f t="shared" ref="N16:T22" si="11">+E16/E$22</f>
        <v>0.28210558942039465</v>
      </c>
      <c r="O16" s="606">
        <f t="shared" si="11"/>
        <v>0.26182507809013833</v>
      </c>
      <c r="P16" s="606">
        <f t="shared" si="11"/>
        <v>0.25505989260636103</v>
      </c>
      <c r="Q16" s="606">
        <f t="shared" si="11"/>
        <v>0.26353503184713378</v>
      </c>
      <c r="R16" s="607">
        <f t="shared" si="11"/>
        <v>0.32653289016767534</v>
      </c>
      <c r="S16" s="602">
        <f t="shared" si="11"/>
        <v>8.6114101184068884E-2</v>
      </c>
      <c r="T16" s="606">
        <f t="shared" si="11"/>
        <v>0</v>
      </c>
    </row>
    <row r="17" spans="1:20" s="55" customFormat="1" ht="13.9" customHeight="1">
      <c r="A17" s="112"/>
      <c r="B17" s="106" t="s">
        <v>93</v>
      </c>
      <c r="C17" s="108">
        <v>8759</v>
      </c>
      <c r="D17" s="108">
        <v>3935</v>
      </c>
      <c r="E17" s="108">
        <v>5176</v>
      </c>
      <c r="F17" s="108">
        <v>2312</v>
      </c>
      <c r="G17" s="108">
        <v>1246</v>
      </c>
      <c r="H17" s="108">
        <v>1032</v>
      </c>
      <c r="I17" s="557">
        <v>22460</v>
      </c>
      <c r="J17" s="109">
        <v>3691</v>
      </c>
      <c r="K17" s="108">
        <v>0</v>
      </c>
      <c r="L17" s="602">
        <f t="shared" ref="L17:M22" si="12">+C17/C$22</f>
        <v>0.28556990088680229</v>
      </c>
      <c r="M17" s="606">
        <f t="shared" si="12"/>
        <v>0.30204175621737794</v>
      </c>
      <c r="N17" s="606">
        <f t="shared" si="11"/>
        <v>0.26738299411096189</v>
      </c>
      <c r="O17" s="606">
        <f t="shared" si="11"/>
        <v>0.25792057117358325</v>
      </c>
      <c r="P17" s="606">
        <f t="shared" si="11"/>
        <v>0.25733168112350269</v>
      </c>
      <c r="Q17" s="606">
        <f t="shared" si="11"/>
        <v>0.27388535031847133</v>
      </c>
      <c r="R17" s="607">
        <f t="shared" si="11"/>
        <v>0.27854945927175317</v>
      </c>
      <c r="S17" s="602">
        <f t="shared" si="11"/>
        <v>0.10680347697258005</v>
      </c>
      <c r="T17" s="606">
        <f t="shared" si="11"/>
        <v>0</v>
      </c>
    </row>
    <row r="18" spans="1:20" s="55" customFormat="1" ht="13.9" customHeight="1">
      <c r="A18" s="112"/>
      <c r="B18" s="106" t="s">
        <v>55</v>
      </c>
      <c r="C18" s="108">
        <v>6574</v>
      </c>
      <c r="D18" s="108">
        <v>3212</v>
      </c>
      <c r="E18" s="108">
        <v>5670</v>
      </c>
      <c r="F18" s="108">
        <v>2981</v>
      </c>
      <c r="G18" s="108">
        <v>1629</v>
      </c>
      <c r="H18" s="108">
        <v>1141</v>
      </c>
      <c r="I18" s="557">
        <v>21207</v>
      </c>
      <c r="J18" s="109">
        <v>3079</v>
      </c>
      <c r="K18" s="108">
        <v>0</v>
      </c>
      <c r="L18" s="602">
        <f t="shared" si="12"/>
        <v>0.21433229003651538</v>
      </c>
      <c r="M18" s="606">
        <f t="shared" si="12"/>
        <v>0.24654590113601474</v>
      </c>
      <c r="N18" s="606">
        <f t="shared" si="11"/>
        <v>0.29290215931397873</v>
      </c>
      <c r="O18" s="606">
        <f t="shared" si="11"/>
        <v>0.33255243195002232</v>
      </c>
      <c r="P18" s="606">
        <f t="shared" si="11"/>
        <v>0.33643122676579923</v>
      </c>
      <c r="Q18" s="606">
        <f t="shared" si="11"/>
        <v>0.30281316348195331</v>
      </c>
      <c r="R18" s="607">
        <f t="shared" si="11"/>
        <v>0.26300972318682408</v>
      </c>
      <c r="S18" s="602">
        <f t="shared" si="11"/>
        <v>8.9094528745211052E-2</v>
      </c>
      <c r="T18" s="606">
        <f t="shared" si="11"/>
        <v>0</v>
      </c>
    </row>
    <row r="19" spans="1:20" s="55" customFormat="1" ht="13.9" customHeight="1">
      <c r="A19" s="112"/>
      <c r="B19" s="106" t="s">
        <v>78</v>
      </c>
      <c r="C19" s="108">
        <v>1564</v>
      </c>
      <c r="D19" s="108">
        <v>1104</v>
      </c>
      <c r="E19" s="108">
        <v>1779</v>
      </c>
      <c r="F19" s="108">
        <v>1015</v>
      </c>
      <c r="G19" s="108">
        <v>564</v>
      </c>
      <c r="H19" s="108">
        <v>431</v>
      </c>
      <c r="I19" s="557">
        <v>6457</v>
      </c>
      <c r="J19" s="109">
        <v>2205</v>
      </c>
      <c r="K19" s="108">
        <v>0</v>
      </c>
      <c r="L19" s="602">
        <f t="shared" si="12"/>
        <v>5.0991131977047473E-2</v>
      </c>
      <c r="M19" s="606">
        <f t="shared" si="12"/>
        <v>8.4740558796438437E-2</v>
      </c>
      <c r="N19" s="606">
        <f t="shared" si="11"/>
        <v>9.1899989668354165E-2</v>
      </c>
      <c r="O19" s="606">
        <f t="shared" si="11"/>
        <v>0.11323070058009817</v>
      </c>
      <c r="P19" s="606">
        <f t="shared" si="11"/>
        <v>0.11648079306071871</v>
      </c>
      <c r="Q19" s="606">
        <f t="shared" si="11"/>
        <v>0.11438428874734607</v>
      </c>
      <c r="R19" s="607">
        <f t="shared" si="11"/>
        <v>8.0079869034626452E-2</v>
      </c>
      <c r="S19" s="602">
        <f t="shared" si="11"/>
        <v>6.3804298760373621E-2</v>
      </c>
      <c r="T19" s="606">
        <f t="shared" si="11"/>
        <v>0</v>
      </c>
    </row>
    <row r="20" spans="1:20" s="55" customFormat="1" ht="13.9" customHeight="1">
      <c r="A20" s="112"/>
      <c r="B20" s="106" t="s">
        <v>32</v>
      </c>
      <c r="C20" s="108">
        <v>1693</v>
      </c>
      <c r="D20" s="108">
        <v>566</v>
      </c>
      <c r="E20" s="108">
        <v>1272</v>
      </c>
      <c r="F20" s="108">
        <v>309</v>
      </c>
      <c r="G20" s="108">
        <v>168</v>
      </c>
      <c r="H20" s="108">
        <v>171</v>
      </c>
      <c r="I20" s="557">
        <v>4179</v>
      </c>
      <c r="J20" s="109">
        <v>1700</v>
      </c>
      <c r="K20" s="108">
        <v>0</v>
      </c>
      <c r="L20" s="602">
        <f t="shared" si="12"/>
        <v>5.5196922274387064E-2</v>
      </c>
      <c r="M20" s="606">
        <f t="shared" si="12"/>
        <v>4.34448879336813E-2</v>
      </c>
      <c r="N20" s="606">
        <f t="shared" si="11"/>
        <v>6.5709267486310563E-2</v>
      </c>
      <c r="O20" s="606">
        <f t="shared" si="11"/>
        <v>3.4471218206157964E-2</v>
      </c>
      <c r="P20" s="606">
        <f t="shared" si="11"/>
        <v>3.4696406443618343E-2</v>
      </c>
      <c r="Q20" s="606">
        <f t="shared" si="11"/>
        <v>4.5382165605095538E-2</v>
      </c>
      <c r="R20" s="607">
        <f t="shared" si="11"/>
        <v>5.1828058339120943E-2</v>
      </c>
      <c r="S20" s="602">
        <f t="shared" si="11"/>
        <v>4.9191522853802787E-2</v>
      </c>
      <c r="T20" s="606">
        <f t="shared" si="11"/>
        <v>0</v>
      </c>
    </row>
    <row r="21" spans="1:20" s="55" customFormat="1" ht="13.5" customHeight="1">
      <c r="A21" s="112"/>
      <c r="B21" s="106" t="s">
        <v>58</v>
      </c>
      <c r="C21" s="108">
        <v>0</v>
      </c>
      <c r="D21" s="108">
        <v>0</v>
      </c>
      <c r="E21" s="108">
        <v>0</v>
      </c>
      <c r="F21" s="108">
        <v>0</v>
      </c>
      <c r="G21" s="108">
        <v>0</v>
      </c>
      <c r="H21" s="108">
        <v>0</v>
      </c>
      <c r="I21" s="557">
        <v>0</v>
      </c>
      <c r="J21" s="109">
        <v>20907.8</v>
      </c>
      <c r="K21" s="108">
        <v>2815</v>
      </c>
      <c r="L21" s="602">
        <f t="shared" si="12"/>
        <v>0</v>
      </c>
      <c r="M21" s="606">
        <f t="shared" si="12"/>
        <v>0</v>
      </c>
      <c r="N21" s="606">
        <f t="shared" si="11"/>
        <v>0</v>
      </c>
      <c r="O21" s="606">
        <f t="shared" si="11"/>
        <v>0</v>
      </c>
      <c r="P21" s="606">
        <f t="shared" si="11"/>
        <v>0</v>
      </c>
      <c r="Q21" s="606">
        <f t="shared" si="11"/>
        <v>0</v>
      </c>
      <c r="R21" s="607">
        <f t="shared" si="11"/>
        <v>0</v>
      </c>
      <c r="S21" s="602">
        <f t="shared" si="11"/>
        <v>0.6049920714839635</v>
      </c>
      <c r="T21" s="606">
        <f t="shared" si="11"/>
        <v>1</v>
      </c>
    </row>
    <row r="22" spans="1:20" s="97" customFormat="1" ht="22.15" customHeight="1">
      <c r="A22" s="113"/>
      <c r="B22" s="114" t="s">
        <v>59</v>
      </c>
      <c r="C22" s="115">
        <v>30672</v>
      </c>
      <c r="D22" s="115">
        <v>13028</v>
      </c>
      <c r="E22" s="115">
        <v>19358</v>
      </c>
      <c r="F22" s="115">
        <v>8964</v>
      </c>
      <c r="G22" s="115">
        <v>4842</v>
      </c>
      <c r="H22" s="115">
        <v>3768</v>
      </c>
      <c r="I22" s="558">
        <v>80632</v>
      </c>
      <c r="J22" s="116">
        <v>34558.800000000003</v>
      </c>
      <c r="K22" s="115">
        <v>2815</v>
      </c>
      <c r="L22" s="608">
        <f t="shared" si="12"/>
        <v>1</v>
      </c>
      <c r="M22" s="609">
        <f t="shared" si="12"/>
        <v>1</v>
      </c>
      <c r="N22" s="609">
        <f t="shared" si="11"/>
        <v>1</v>
      </c>
      <c r="O22" s="609">
        <f t="shared" si="11"/>
        <v>1</v>
      </c>
      <c r="P22" s="609">
        <f t="shared" si="11"/>
        <v>1</v>
      </c>
      <c r="Q22" s="609">
        <f t="shared" si="11"/>
        <v>1</v>
      </c>
      <c r="R22" s="610">
        <f t="shared" si="11"/>
        <v>1</v>
      </c>
      <c r="S22" s="608">
        <f t="shared" si="11"/>
        <v>1</v>
      </c>
      <c r="T22" s="609">
        <f t="shared" si="11"/>
        <v>1</v>
      </c>
    </row>
    <row r="23" spans="1:20" s="55" customFormat="1" ht="13.9" customHeight="1">
      <c r="A23" s="107" t="s">
        <v>4</v>
      </c>
      <c r="B23" s="107" t="s">
        <v>53</v>
      </c>
      <c r="C23" s="119">
        <v>858</v>
      </c>
      <c r="D23" s="119">
        <v>80</v>
      </c>
      <c r="E23" s="119">
        <v>242</v>
      </c>
      <c r="F23" s="119">
        <v>171</v>
      </c>
      <c r="G23" s="119">
        <v>54</v>
      </c>
      <c r="H23" s="119">
        <v>21</v>
      </c>
      <c r="I23" s="559">
        <v>1426</v>
      </c>
      <c r="J23" s="120">
        <v>0</v>
      </c>
      <c r="K23" s="119">
        <v>0</v>
      </c>
      <c r="L23" s="605">
        <f t="shared" ref="L23:T29" si="13">+C23/C$29</f>
        <v>0.35527950310559009</v>
      </c>
      <c r="M23" s="603">
        <f t="shared" si="13"/>
        <v>0.28880866425992779</v>
      </c>
      <c r="N23" s="603">
        <f t="shared" si="13"/>
        <v>0.2558139534883721</v>
      </c>
      <c r="O23" s="603">
        <f t="shared" si="13"/>
        <v>0.23139377537212449</v>
      </c>
      <c r="P23" s="603">
        <f t="shared" si="13"/>
        <v>0.16265060240963855</v>
      </c>
      <c r="Q23" s="603">
        <f t="shared" si="13"/>
        <v>0.25609756097560976</v>
      </c>
      <c r="R23" s="604">
        <f t="shared" si="13"/>
        <v>0.29764141097891883</v>
      </c>
      <c r="S23" s="605">
        <f t="shared" si="13"/>
        <v>0</v>
      </c>
      <c r="T23" s="603">
        <f t="shared" si="13"/>
        <v>0</v>
      </c>
    </row>
    <row r="24" spans="1:20" s="55" customFormat="1" ht="13.9" customHeight="1">
      <c r="A24" s="112"/>
      <c r="B24" s="106" t="s">
        <v>93</v>
      </c>
      <c r="C24" s="123">
        <v>793</v>
      </c>
      <c r="D24" s="123">
        <v>88</v>
      </c>
      <c r="E24" s="123">
        <v>223</v>
      </c>
      <c r="F24" s="123">
        <v>212</v>
      </c>
      <c r="G24" s="123">
        <v>108</v>
      </c>
      <c r="H24" s="123">
        <v>19</v>
      </c>
      <c r="I24" s="560">
        <v>1443</v>
      </c>
      <c r="J24" s="124">
        <v>0</v>
      </c>
      <c r="K24" s="125">
        <v>0</v>
      </c>
      <c r="L24" s="602">
        <f t="shared" si="13"/>
        <v>0.32836438923395445</v>
      </c>
      <c r="M24" s="606">
        <f t="shared" si="13"/>
        <v>0.3176895306859206</v>
      </c>
      <c r="N24" s="606">
        <f t="shared" si="13"/>
        <v>0.23572938689217759</v>
      </c>
      <c r="O24" s="606">
        <f t="shared" si="13"/>
        <v>0.28687415426251689</v>
      </c>
      <c r="P24" s="606">
        <f t="shared" si="13"/>
        <v>0.3253012048192771</v>
      </c>
      <c r="Q24" s="606">
        <f t="shared" si="13"/>
        <v>0.23170731707317074</v>
      </c>
      <c r="R24" s="607">
        <f t="shared" si="13"/>
        <v>0.30118973074514716</v>
      </c>
      <c r="S24" s="602">
        <f t="shared" si="13"/>
        <v>0</v>
      </c>
      <c r="T24" s="606">
        <f t="shared" si="13"/>
        <v>0</v>
      </c>
    </row>
    <row r="25" spans="1:20" s="55" customFormat="1" ht="13.9" customHeight="1">
      <c r="A25" s="112"/>
      <c r="B25" s="106" t="s">
        <v>55</v>
      </c>
      <c r="C25" s="123">
        <v>489</v>
      </c>
      <c r="D25" s="123">
        <v>76</v>
      </c>
      <c r="E25" s="123">
        <v>321</v>
      </c>
      <c r="F25" s="123">
        <v>267</v>
      </c>
      <c r="G25" s="123">
        <v>112</v>
      </c>
      <c r="H25" s="123">
        <v>39</v>
      </c>
      <c r="I25" s="560">
        <v>1304</v>
      </c>
      <c r="J25" s="124">
        <v>0</v>
      </c>
      <c r="K25" s="125">
        <v>0</v>
      </c>
      <c r="L25" s="602">
        <f t="shared" si="13"/>
        <v>0.20248447204968945</v>
      </c>
      <c r="M25" s="606">
        <f t="shared" si="13"/>
        <v>0.27436823104693142</v>
      </c>
      <c r="N25" s="606">
        <f t="shared" si="13"/>
        <v>0.33932346723044399</v>
      </c>
      <c r="O25" s="606">
        <f t="shared" si="13"/>
        <v>0.36129905277401897</v>
      </c>
      <c r="P25" s="606">
        <f t="shared" si="13"/>
        <v>0.33734939759036142</v>
      </c>
      <c r="Q25" s="606">
        <f t="shared" si="13"/>
        <v>0.47560975609756095</v>
      </c>
      <c r="R25" s="607">
        <f t="shared" si="13"/>
        <v>0.27217699853892713</v>
      </c>
      <c r="S25" s="602">
        <f t="shared" si="13"/>
        <v>0</v>
      </c>
      <c r="T25" s="606">
        <f t="shared" si="13"/>
        <v>0</v>
      </c>
    </row>
    <row r="26" spans="1:20" s="55" customFormat="1" ht="13.9" customHeight="1">
      <c r="A26" s="112"/>
      <c r="B26" s="106" t="s">
        <v>78</v>
      </c>
      <c r="C26" s="123">
        <v>237</v>
      </c>
      <c r="D26" s="123">
        <v>10</v>
      </c>
      <c r="E26" s="123">
        <v>159</v>
      </c>
      <c r="F26" s="123">
        <v>89</v>
      </c>
      <c r="G26" s="123">
        <v>57</v>
      </c>
      <c r="H26" s="123">
        <v>3</v>
      </c>
      <c r="I26" s="560">
        <v>555</v>
      </c>
      <c r="J26" s="124">
        <v>0</v>
      </c>
      <c r="K26" s="125">
        <v>0</v>
      </c>
      <c r="L26" s="602">
        <f t="shared" si="13"/>
        <v>9.8136645962732916E-2</v>
      </c>
      <c r="M26" s="606">
        <f t="shared" si="13"/>
        <v>3.6101083032490974E-2</v>
      </c>
      <c r="N26" s="606">
        <f t="shared" si="13"/>
        <v>0.16807610993657504</v>
      </c>
      <c r="O26" s="606">
        <f t="shared" si="13"/>
        <v>0.12043301759133965</v>
      </c>
      <c r="P26" s="606">
        <f t="shared" si="13"/>
        <v>0.1716867469879518</v>
      </c>
      <c r="Q26" s="606">
        <f t="shared" si="13"/>
        <v>3.6585365853658534E-2</v>
      </c>
      <c r="R26" s="607">
        <f t="shared" si="13"/>
        <v>0.1158422041327489</v>
      </c>
      <c r="S26" s="602">
        <f t="shared" si="13"/>
        <v>0</v>
      </c>
      <c r="T26" s="606">
        <f t="shared" si="13"/>
        <v>0</v>
      </c>
    </row>
    <row r="27" spans="1:20" s="55" customFormat="1" ht="13.9" customHeight="1">
      <c r="A27" s="112"/>
      <c r="B27" s="106" t="s">
        <v>32</v>
      </c>
      <c r="C27" s="123">
        <v>38</v>
      </c>
      <c r="D27" s="123">
        <v>23</v>
      </c>
      <c r="E27" s="123">
        <v>1</v>
      </c>
      <c r="F27" s="123">
        <v>0</v>
      </c>
      <c r="G27" s="123">
        <v>1</v>
      </c>
      <c r="H27" s="123">
        <v>0</v>
      </c>
      <c r="I27" s="560">
        <v>63</v>
      </c>
      <c r="J27" s="124">
        <v>48</v>
      </c>
      <c r="K27" s="125">
        <v>0</v>
      </c>
      <c r="L27" s="602">
        <f t="shared" si="13"/>
        <v>1.5734989648033125E-2</v>
      </c>
      <c r="M27" s="606">
        <f t="shared" si="13"/>
        <v>8.3032490974729242E-2</v>
      </c>
      <c r="N27" s="606">
        <f t="shared" si="13"/>
        <v>1.0570824524312897E-3</v>
      </c>
      <c r="O27" s="606">
        <f t="shared" si="13"/>
        <v>0</v>
      </c>
      <c r="P27" s="606">
        <f t="shared" si="13"/>
        <v>3.0120481927710845E-3</v>
      </c>
      <c r="Q27" s="606">
        <f t="shared" si="13"/>
        <v>0</v>
      </c>
      <c r="R27" s="607">
        <f t="shared" si="13"/>
        <v>1.3149655604257984E-2</v>
      </c>
      <c r="S27" s="602">
        <f t="shared" si="13"/>
        <v>3.2944406314344546E-2</v>
      </c>
      <c r="T27" s="606">
        <f t="shared" si="13"/>
        <v>0</v>
      </c>
    </row>
    <row r="28" spans="1:20" s="55" customFormat="1" ht="13.9" customHeight="1">
      <c r="A28" s="112"/>
      <c r="B28" s="106" t="s">
        <v>58</v>
      </c>
      <c r="C28" s="123">
        <v>0</v>
      </c>
      <c r="D28" s="123">
        <v>0</v>
      </c>
      <c r="E28" s="123">
        <v>0</v>
      </c>
      <c r="F28" s="123">
        <v>0</v>
      </c>
      <c r="G28" s="123">
        <v>0</v>
      </c>
      <c r="H28" s="123">
        <v>0</v>
      </c>
      <c r="I28" s="560">
        <v>0</v>
      </c>
      <c r="J28" s="124">
        <v>1409</v>
      </c>
      <c r="K28" s="125">
        <v>266</v>
      </c>
      <c r="L28" s="602">
        <f t="shared" si="13"/>
        <v>0</v>
      </c>
      <c r="M28" s="606">
        <f t="shared" si="13"/>
        <v>0</v>
      </c>
      <c r="N28" s="606">
        <f t="shared" si="13"/>
        <v>0</v>
      </c>
      <c r="O28" s="606">
        <f t="shared" si="13"/>
        <v>0</v>
      </c>
      <c r="P28" s="606">
        <f t="shared" si="13"/>
        <v>0</v>
      </c>
      <c r="Q28" s="606">
        <f t="shared" si="13"/>
        <v>0</v>
      </c>
      <c r="R28" s="607">
        <f t="shared" si="13"/>
        <v>0</v>
      </c>
      <c r="S28" s="602">
        <f t="shared" si="13"/>
        <v>0.96705559368565541</v>
      </c>
      <c r="T28" s="606">
        <f t="shared" si="13"/>
        <v>1</v>
      </c>
    </row>
    <row r="29" spans="1:20" s="127" customFormat="1" ht="23.45" customHeight="1">
      <c r="A29" s="112"/>
      <c r="B29" s="126" t="s">
        <v>59</v>
      </c>
      <c r="C29" s="123">
        <v>2415</v>
      </c>
      <c r="D29" s="123">
        <v>277</v>
      </c>
      <c r="E29" s="123">
        <v>946</v>
      </c>
      <c r="F29" s="123">
        <v>739</v>
      </c>
      <c r="G29" s="123">
        <v>332</v>
      </c>
      <c r="H29" s="123">
        <v>82</v>
      </c>
      <c r="I29" s="560">
        <v>4791</v>
      </c>
      <c r="J29" s="124">
        <v>1457</v>
      </c>
      <c r="K29" s="125">
        <v>266</v>
      </c>
      <c r="L29" s="602">
        <f t="shared" si="13"/>
        <v>1</v>
      </c>
      <c r="M29" s="606">
        <f t="shared" si="13"/>
        <v>1</v>
      </c>
      <c r="N29" s="606">
        <f t="shared" si="13"/>
        <v>1</v>
      </c>
      <c r="O29" s="606">
        <f t="shared" si="13"/>
        <v>1</v>
      </c>
      <c r="P29" s="606">
        <f t="shared" si="13"/>
        <v>1</v>
      </c>
      <c r="Q29" s="606">
        <f t="shared" si="13"/>
        <v>1</v>
      </c>
      <c r="R29" s="607">
        <f t="shared" si="13"/>
        <v>1</v>
      </c>
      <c r="S29" s="602">
        <f t="shared" si="13"/>
        <v>1</v>
      </c>
      <c r="T29" s="606">
        <f t="shared" si="13"/>
        <v>1</v>
      </c>
    </row>
    <row r="30" spans="1:20" s="55" customFormat="1" ht="13.5" customHeight="1">
      <c r="A30" s="107" t="s">
        <v>5</v>
      </c>
      <c r="B30" s="107" t="s">
        <v>53</v>
      </c>
      <c r="C30" s="119">
        <v>300</v>
      </c>
      <c r="D30" s="119">
        <v>0</v>
      </c>
      <c r="E30" s="119">
        <v>319</v>
      </c>
      <c r="F30" s="119">
        <v>0</v>
      </c>
      <c r="G30" s="119">
        <v>132</v>
      </c>
      <c r="H30" s="119">
        <v>61</v>
      </c>
      <c r="I30" s="559">
        <v>812</v>
      </c>
      <c r="J30" s="120">
        <v>0</v>
      </c>
      <c r="K30" s="119">
        <v>0</v>
      </c>
      <c r="L30" s="605">
        <f>+C30/C$36</f>
        <v>0.38910505836575876</v>
      </c>
      <c r="M30" s="603">
        <f t="shared" ref="M30:M36" si="14">IF(D$36&gt;0,(+D30/D$36),0)</f>
        <v>0</v>
      </c>
      <c r="N30" s="603">
        <f t="shared" ref="N30:S36" si="15">+E30/E$36</f>
        <v>0.28609865470852019</v>
      </c>
      <c r="O30" s="603">
        <f>IF(F$36&gt;0,(+F30/F$36),0)</f>
        <v>0</v>
      </c>
      <c r="P30" s="603">
        <f t="shared" si="15"/>
        <v>0.28205128205128205</v>
      </c>
      <c r="Q30" s="603">
        <f t="shared" si="15"/>
        <v>0.21328671328671328</v>
      </c>
      <c r="R30" s="604">
        <f t="shared" si="15"/>
        <v>0.30757575757575756</v>
      </c>
      <c r="S30" s="605">
        <f t="shared" si="15"/>
        <v>0</v>
      </c>
      <c r="T30" s="603">
        <f>IF(K$36&gt;0,(+K30/K$36),0)</f>
        <v>0</v>
      </c>
    </row>
    <row r="31" spans="1:20" s="55" customFormat="1" ht="13.5" customHeight="1">
      <c r="A31" s="112"/>
      <c r="B31" s="106" t="s">
        <v>93</v>
      </c>
      <c r="C31" s="123">
        <v>218</v>
      </c>
      <c r="D31" s="123">
        <v>0</v>
      </c>
      <c r="E31" s="123">
        <v>277</v>
      </c>
      <c r="F31" s="123">
        <v>0</v>
      </c>
      <c r="G31" s="123">
        <v>127</v>
      </c>
      <c r="H31" s="123">
        <v>60</v>
      </c>
      <c r="I31" s="560">
        <v>682</v>
      </c>
      <c r="J31" s="124">
        <v>0</v>
      </c>
      <c r="K31" s="125">
        <v>0</v>
      </c>
      <c r="L31" s="602">
        <f t="shared" ref="L31:L36" si="16">+C31/C$36</f>
        <v>0.28274967574578469</v>
      </c>
      <c r="M31" s="606">
        <f t="shared" si="14"/>
        <v>0</v>
      </c>
      <c r="N31" s="606">
        <f t="shared" si="15"/>
        <v>0.24843049327354261</v>
      </c>
      <c r="O31" s="606">
        <f t="shared" ref="O31:O36" si="17">IF(F$36&gt;0,(+F31/F$36),0)</f>
        <v>0</v>
      </c>
      <c r="P31" s="606">
        <f t="shared" si="15"/>
        <v>0.27136752136752135</v>
      </c>
      <c r="Q31" s="606">
        <f t="shared" si="15"/>
        <v>0.20979020979020979</v>
      </c>
      <c r="R31" s="607">
        <f t="shared" si="15"/>
        <v>0.25833333333333336</v>
      </c>
      <c r="S31" s="602">
        <f t="shared" si="15"/>
        <v>0</v>
      </c>
      <c r="T31" s="606">
        <f t="shared" ref="T31:T36" si="18">IF(K$36&gt;0,(+K31/K$36),0)</f>
        <v>0</v>
      </c>
    </row>
    <row r="32" spans="1:20" s="55" customFormat="1" ht="13.9" customHeight="1">
      <c r="A32" s="112"/>
      <c r="B32" s="106" t="s">
        <v>55</v>
      </c>
      <c r="C32" s="123">
        <v>165</v>
      </c>
      <c r="D32" s="123">
        <v>0</v>
      </c>
      <c r="E32" s="123">
        <v>321</v>
      </c>
      <c r="F32" s="123">
        <v>0</v>
      </c>
      <c r="G32" s="123">
        <v>136</v>
      </c>
      <c r="H32" s="123">
        <v>83</v>
      </c>
      <c r="I32" s="560">
        <v>705</v>
      </c>
      <c r="J32" s="124">
        <v>0</v>
      </c>
      <c r="K32" s="125">
        <v>0</v>
      </c>
      <c r="L32" s="602">
        <f t="shared" si="16"/>
        <v>0.2140077821011673</v>
      </c>
      <c r="M32" s="606">
        <f t="shared" si="14"/>
        <v>0</v>
      </c>
      <c r="N32" s="606">
        <f t="shared" si="15"/>
        <v>0.28789237668161433</v>
      </c>
      <c r="O32" s="606">
        <f t="shared" si="17"/>
        <v>0</v>
      </c>
      <c r="P32" s="606">
        <f t="shared" si="15"/>
        <v>0.29059829059829062</v>
      </c>
      <c r="Q32" s="606">
        <f t="shared" si="15"/>
        <v>0.29020979020979021</v>
      </c>
      <c r="R32" s="607">
        <f t="shared" si="15"/>
        <v>0.26704545454545453</v>
      </c>
      <c r="S32" s="602">
        <f t="shared" si="15"/>
        <v>0</v>
      </c>
      <c r="T32" s="606">
        <f t="shared" si="18"/>
        <v>0</v>
      </c>
    </row>
    <row r="33" spans="1:20" s="55" customFormat="1" ht="13.9" customHeight="1">
      <c r="A33" s="112"/>
      <c r="B33" s="106" t="s">
        <v>78</v>
      </c>
      <c r="C33" s="123">
        <v>73</v>
      </c>
      <c r="D33" s="123">
        <v>0</v>
      </c>
      <c r="E33" s="123">
        <v>186</v>
      </c>
      <c r="F33" s="123">
        <v>0</v>
      </c>
      <c r="G33" s="123">
        <v>73</v>
      </c>
      <c r="H33" s="123">
        <v>82</v>
      </c>
      <c r="I33" s="560">
        <v>414</v>
      </c>
      <c r="J33" s="124">
        <v>0</v>
      </c>
      <c r="K33" s="125">
        <v>0</v>
      </c>
      <c r="L33" s="602">
        <f t="shared" si="16"/>
        <v>9.4682230869001294E-2</v>
      </c>
      <c r="M33" s="606">
        <f t="shared" si="14"/>
        <v>0</v>
      </c>
      <c r="N33" s="606">
        <f t="shared" si="15"/>
        <v>0.16681614349775784</v>
      </c>
      <c r="O33" s="606">
        <f t="shared" si="17"/>
        <v>0</v>
      </c>
      <c r="P33" s="606">
        <f t="shared" si="15"/>
        <v>0.15598290598290598</v>
      </c>
      <c r="Q33" s="606">
        <f t="shared" si="15"/>
        <v>0.28671328671328672</v>
      </c>
      <c r="R33" s="607">
        <f t="shared" si="15"/>
        <v>0.15681818181818183</v>
      </c>
      <c r="S33" s="602">
        <f t="shared" si="15"/>
        <v>0</v>
      </c>
      <c r="T33" s="606">
        <f t="shared" si="18"/>
        <v>0</v>
      </c>
    </row>
    <row r="34" spans="1:20" s="55" customFormat="1" ht="13.9" customHeight="1">
      <c r="A34" s="112"/>
      <c r="B34" s="106" t="s">
        <v>32</v>
      </c>
      <c r="C34" s="123">
        <v>15</v>
      </c>
      <c r="D34" s="123">
        <v>0</v>
      </c>
      <c r="E34" s="123">
        <v>12</v>
      </c>
      <c r="F34" s="123">
        <v>0</v>
      </c>
      <c r="G34" s="123">
        <v>0</v>
      </c>
      <c r="H34" s="123">
        <v>0</v>
      </c>
      <c r="I34" s="560">
        <v>27</v>
      </c>
      <c r="J34" s="124">
        <v>0</v>
      </c>
      <c r="K34" s="125">
        <v>0</v>
      </c>
      <c r="L34" s="602">
        <f t="shared" si="16"/>
        <v>1.9455252918287938E-2</v>
      </c>
      <c r="M34" s="606">
        <f t="shared" si="14"/>
        <v>0</v>
      </c>
      <c r="N34" s="606">
        <f t="shared" si="15"/>
        <v>1.0762331838565023E-2</v>
      </c>
      <c r="O34" s="606">
        <f t="shared" si="17"/>
        <v>0</v>
      </c>
      <c r="P34" s="606">
        <f t="shared" si="15"/>
        <v>0</v>
      </c>
      <c r="Q34" s="606">
        <f t="shared" si="15"/>
        <v>0</v>
      </c>
      <c r="R34" s="607">
        <f t="shared" si="15"/>
        <v>1.0227272727272727E-2</v>
      </c>
      <c r="S34" s="602">
        <f t="shared" si="15"/>
        <v>0</v>
      </c>
      <c r="T34" s="606">
        <f t="shared" si="18"/>
        <v>0</v>
      </c>
    </row>
    <row r="35" spans="1:20" s="55" customFormat="1" ht="13.9" customHeight="1">
      <c r="A35" s="112"/>
      <c r="B35" s="106" t="s">
        <v>58</v>
      </c>
      <c r="C35" s="123">
        <v>0</v>
      </c>
      <c r="D35" s="123">
        <v>0</v>
      </c>
      <c r="E35" s="123">
        <v>0</v>
      </c>
      <c r="F35" s="123">
        <v>0</v>
      </c>
      <c r="G35" s="123">
        <v>0</v>
      </c>
      <c r="H35" s="123">
        <v>0</v>
      </c>
      <c r="I35" s="560">
        <v>0</v>
      </c>
      <c r="J35" s="124">
        <v>1092</v>
      </c>
      <c r="K35" s="125">
        <v>0</v>
      </c>
      <c r="L35" s="602">
        <f t="shared" si="16"/>
        <v>0</v>
      </c>
      <c r="M35" s="606">
        <f t="shared" si="14"/>
        <v>0</v>
      </c>
      <c r="N35" s="606">
        <f t="shared" si="15"/>
        <v>0</v>
      </c>
      <c r="O35" s="606">
        <f t="shared" si="17"/>
        <v>0</v>
      </c>
      <c r="P35" s="606">
        <f t="shared" si="15"/>
        <v>0</v>
      </c>
      <c r="Q35" s="606">
        <f t="shared" si="15"/>
        <v>0</v>
      </c>
      <c r="R35" s="607">
        <f t="shared" si="15"/>
        <v>0</v>
      </c>
      <c r="S35" s="602">
        <f t="shared" si="15"/>
        <v>1</v>
      </c>
      <c r="T35" s="606">
        <f t="shared" si="18"/>
        <v>0</v>
      </c>
    </row>
    <row r="36" spans="1:20" s="127" customFormat="1" ht="23.45" customHeight="1">
      <c r="A36" s="128"/>
      <c r="B36" s="114" t="s">
        <v>59</v>
      </c>
      <c r="C36" s="129">
        <v>771</v>
      </c>
      <c r="D36" s="129">
        <v>0</v>
      </c>
      <c r="E36" s="129">
        <v>1115</v>
      </c>
      <c r="F36" s="129">
        <v>0</v>
      </c>
      <c r="G36" s="129">
        <v>468</v>
      </c>
      <c r="H36" s="129">
        <v>286</v>
      </c>
      <c r="I36" s="561">
        <v>2640</v>
      </c>
      <c r="J36" s="130">
        <v>1092</v>
      </c>
      <c r="K36" s="129">
        <v>0</v>
      </c>
      <c r="L36" s="608">
        <f t="shared" si="16"/>
        <v>1</v>
      </c>
      <c r="M36" s="609">
        <f t="shared" si="14"/>
        <v>0</v>
      </c>
      <c r="N36" s="609">
        <f t="shared" si="15"/>
        <v>1</v>
      </c>
      <c r="O36" s="609">
        <f t="shared" si="17"/>
        <v>0</v>
      </c>
      <c r="P36" s="609">
        <f t="shared" si="15"/>
        <v>1</v>
      </c>
      <c r="Q36" s="609">
        <f t="shared" si="15"/>
        <v>1</v>
      </c>
      <c r="R36" s="610">
        <f t="shared" si="15"/>
        <v>1</v>
      </c>
      <c r="S36" s="608">
        <f t="shared" si="15"/>
        <v>1</v>
      </c>
      <c r="T36" s="609">
        <f t="shared" si="18"/>
        <v>0</v>
      </c>
    </row>
    <row r="37" spans="1:20" s="127" customFormat="1" ht="14.25" customHeight="1">
      <c r="A37" s="107" t="s">
        <v>82</v>
      </c>
      <c r="B37" s="107" t="s">
        <v>53</v>
      </c>
      <c r="C37" s="119">
        <v>344</v>
      </c>
      <c r="D37" s="119">
        <v>0</v>
      </c>
      <c r="E37" s="119">
        <v>0</v>
      </c>
      <c r="F37" s="119">
        <v>41</v>
      </c>
      <c r="G37" s="119">
        <v>0</v>
      </c>
      <c r="H37" s="119">
        <v>0</v>
      </c>
      <c r="I37" s="559">
        <v>385</v>
      </c>
      <c r="J37" s="120">
        <v>0</v>
      </c>
      <c r="K37" s="119">
        <v>0</v>
      </c>
      <c r="L37" s="605">
        <f>+C37/C$43</f>
        <v>0.3687031082529475</v>
      </c>
      <c r="M37" s="603">
        <f>IF(D$43&gt;0,(+D37/D$43),0)</f>
        <v>0</v>
      </c>
      <c r="N37" s="603">
        <f>IF(E$43&gt;0,(+E37/E$43),0)</f>
        <v>0</v>
      </c>
      <c r="O37" s="603">
        <f t="shared" ref="O37:O43" si="19">+F37/F$43</f>
        <v>0.22162162162162163</v>
      </c>
      <c r="P37" s="603">
        <f>IF(G$43&gt;0,(+G37/G$43),0)</f>
        <v>0</v>
      </c>
      <c r="Q37" s="603">
        <f>IF(H$43&gt;0,(+H37/H$43),0)</f>
        <v>0</v>
      </c>
      <c r="R37" s="604">
        <f t="shared" ref="R37:S43" si="20">+I37/I$43</f>
        <v>0.34436493738819318</v>
      </c>
      <c r="S37" s="605">
        <f t="shared" si="20"/>
        <v>0</v>
      </c>
      <c r="T37" s="603">
        <f>IF(K$43&gt;0,(+K37/K$43),0)</f>
        <v>0</v>
      </c>
    </row>
    <row r="38" spans="1:20" s="127" customFormat="1" ht="14.25" customHeight="1">
      <c r="A38" s="112"/>
      <c r="B38" s="106" t="s">
        <v>93</v>
      </c>
      <c r="C38" s="123">
        <v>312</v>
      </c>
      <c r="D38" s="123">
        <v>0</v>
      </c>
      <c r="E38" s="123">
        <v>0</v>
      </c>
      <c r="F38" s="123">
        <v>74</v>
      </c>
      <c r="G38" s="123">
        <v>0</v>
      </c>
      <c r="H38" s="123">
        <v>0</v>
      </c>
      <c r="I38" s="560">
        <v>386</v>
      </c>
      <c r="J38" s="124">
        <v>0</v>
      </c>
      <c r="K38" s="125">
        <v>0</v>
      </c>
      <c r="L38" s="602">
        <f t="shared" ref="L38:L43" si="21">+C38/C$43</f>
        <v>0.33440514469453375</v>
      </c>
      <c r="M38" s="606">
        <f t="shared" ref="M38:N43" si="22">IF(D$43&gt;0,(+D38/D$43),0)</f>
        <v>0</v>
      </c>
      <c r="N38" s="606">
        <f t="shared" si="22"/>
        <v>0</v>
      </c>
      <c r="O38" s="606">
        <f t="shared" si="19"/>
        <v>0.4</v>
      </c>
      <c r="P38" s="606">
        <f t="shared" ref="P38:Q43" si="23">IF(G$43&gt;0,(+G38/G$43),0)</f>
        <v>0</v>
      </c>
      <c r="Q38" s="606">
        <f t="shared" si="23"/>
        <v>0</v>
      </c>
      <c r="R38" s="607">
        <f t="shared" si="20"/>
        <v>0.34525939177101966</v>
      </c>
      <c r="S38" s="602">
        <f t="shared" si="20"/>
        <v>0</v>
      </c>
      <c r="T38" s="606">
        <f t="shared" ref="T38:T43" si="24">IF(K$43&gt;0,(+K38/K$43),0)</f>
        <v>0</v>
      </c>
    </row>
    <row r="39" spans="1:20" s="127" customFormat="1" ht="14.25" customHeight="1">
      <c r="A39" s="112"/>
      <c r="B39" s="106" t="s">
        <v>55</v>
      </c>
      <c r="C39" s="123">
        <v>203</v>
      </c>
      <c r="D39" s="123">
        <v>0</v>
      </c>
      <c r="E39" s="123">
        <v>0</v>
      </c>
      <c r="F39" s="123">
        <v>58</v>
      </c>
      <c r="G39" s="123">
        <v>0</v>
      </c>
      <c r="H39" s="123">
        <v>0</v>
      </c>
      <c r="I39" s="560">
        <v>261</v>
      </c>
      <c r="J39" s="124">
        <v>0</v>
      </c>
      <c r="K39" s="125">
        <v>0</v>
      </c>
      <c r="L39" s="602">
        <f t="shared" si="21"/>
        <v>0.21757770632368703</v>
      </c>
      <c r="M39" s="606">
        <f t="shared" si="22"/>
        <v>0</v>
      </c>
      <c r="N39" s="606">
        <f t="shared" si="22"/>
        <v>0</v>
      </c>
      <c r="O39" s="606">
        <f t="shared" si="19"/>
        <v>0.31351351351351353</v>
      </c>
      <c r="P39" s="606">
        <f t="shared" si="23"/>
        <v>0</v>
      </c>
      <c r="Q39" s="606">
        <f t="shared" si="23"/>
        <v>0</v>
      </c>
      <c r="R39" s="607">
        <f t="shared" si="20"/>
        <v>0.2334525939177102</v>
      </c>
      <c r="S39" s="602">
        <f t="shared" si="20"/>
        <v>0</v>
      </c>
      <c r="T39" s="606">
        <f t="shared" si="24"/>
        <v>0</v>
      </c>
    </row>
    <row r="40" spans="1:20" s="127" customFormat="1" ht="14.25" customHeight="1">
      <c r="A40" s="112"/>
      <c r="B40" s="106" t="s">
        <v>78</v>
      </c>
      <c r="C40" s="123">
        <v>66</v>
      </c>
      <c r="D40" s="123">
        <v>0</v>
      </c>
      <c r="E40" s="123">
        <v>0</v>
      </c>
      <c r="F40" s="123">
        <v>12</v>
      </c>
      <c r="G40" s="123">
        <v>0</v>
      </c>
      <c r="H40" s="123">
        <v>0</v>
      </c>
      <c r="I40" s="560">
        <v>78</v>
      </c>
      <c r="J40" s="124">
        <v>0</v>
      </c>
      <c r="K40" s="125">
        <v>0</v>
      </c>
      <c r="L40" s="602">
        <f t="shared" si="21"/>
        <v>7.0739549839228297E-2</v>
      </c>
      <c r="M40" s="606">
        <f t="shared" si="22"/>
        <v>0</v>
      </c>
      <c r="N40" s="606">
        <f t="shared" si="22"/>
        <v>0</v>
      </c>
      <c r="O40" s="606">
        <f t="shared" si="19"/>
        <v>6.4864864864864868E-2</v>
      </c>
      <c r="P40" s="606">
        <f t="shared" si="23"/>
        <v>0</v>
      </c>
      <c r="Q40" s="606">
        <f t="shared" si="23"/>
        <v>0</v>
      </c>
      <c r="R40" s="607">
        <f t="shared" si="20"/>
        <v>6.9767441860465115E-2</v>
      </c>
      <c r="S40" s="602">
        <f t="shared" si="20"/>
        <v>0</v>
      </c>
      <c r="T40" s="606">
        <f t="shared" si="24"/>
        <v>0</v>
      </c>
    </row>
    <row r="41" spans="1:20" s="127" customFormat="1" ht="14.25" customHeight="1">
      <c r="A41" s="112"/>
      <c r="B41" s="106" t="s">
        <v>32</v>
      </c>
      <c r="C41" s="123">
        <v>8</v>
      </c>
      <c r="D41" s="123">
        <v>0</v>
      </c>
      <c r="E41" s="123">
        <v>0</v>
      </c>
      <c r="F41" s="123">
        <v>0</v>
      </c>
      <c r="G41" s="123">
        <v>0</v>
      </c>
      <c r="H41" s="123">
        <v>0</v>
      </c>
      <c r="I41" s="560">
        <v>8</v>
      </c>
      <c r="J41" s="124">
        <v>0</v>
      </c>
      <c r="K41" s="125">
        <v>0</v>
      </c>
      <c r="L41" s="602">
        <f t="shared" si="21"/>
        <v>8.5744908896034297E-3</v>
      </c>
      <c r="M41" s="606">
        <f t="shared" si="22"/>
        <v>0</v>
      </c>
      <c r="N41" s="606">
        <f t="shared" si="22"/>
        <v>0</v>
      </c>
      <c r="O41" s="606">
        <f t="shared" si="19"/>
        <v>0</v>
      </c>
      <c r="P41" s="606">
        <f t="shared" si="23"/>
        <v>0</v>
      </c>
      <c r="Q41" s="606">
        <f t="shared" si="23"/>
        <v>0</v>
      </c>
      <c r="R41" s="607">
        <f t="shared" si="20"/>
        <v>7.1556350626118068E-3</v>
      </c>
      <c r="S41" s="602">
        <f t="shared" si="20"/>
        <v>0</v>
      </c>
      <c r="T41" s="606">
        <f t="shared" si="24"/>
        <v>0</v>
      </c>
    </row>
    <row r="42" spans="1:20" s="127" customFormat="1" ht="14.25" customHeight="1">
      <c r="A42" s="112"/>
      <c r="B42" s="106" t="s">
        <v>58</v>
      </c>
      <c r="C42" s="123">
        <v>0</v>
      </c>
      <c r="D42" s="123">
        <v>0</v>
      </c>
      <c r="E42" s="123">
        <v>0</v>
      </c>
      <c r="F42" s="123">
        <v>0</v>
      </c>
      <c r="G42" s="123">
        <v>0</v>
      </c>
      <c r="H42" s="123">
        <v>0</v>
      </c>
      <c r="I42" s="560">
        <v>0</v>
      </c>
      <c r="J42" s="124">
        <v>300</v>
      </c>
      <c r="K42" s="125">
        <v>0</v>
      </c>
      <c r="L42" s="602">
        <f t="shared" si="21"/>
        <v>0</v>
      </c>
      <c r="M42" s="606">
        <f t="shared" si="22"/>
        <v>0</v>
      </c>
      <c r="N42" s="606">
        <f t="shared" si="22"/>
        <v>0</v>
      </c>
      <c r="O42" s="606">
        <f t="shared" si="19"/>
        <v>0</v>
      </c>
      <c r="P42" s="606">
        <f t="shared" si="23"/>
        <v>0</v>
      </c>
      <c r="Q42" s="606">
        <f t="shared" si="23"/>
        <v>0</v>
      </c>
      <c r="R42" s="607">
        <f t="shared" si="20"/>
        <v>0</v>
      </c>
      <c r="S42" s="602">
        <f t="shared" si="20"/>
        <v>1</v>
      </c>
      <c r="T42" s="606">
        <f t="shared" si="24"/>
        <v>0</v>
      </c>
    </row>
    <row r="43" spans="1:20" s="127" customFormat="1" ht="23.45" customHeight="1">
      <c r="A43" s="112"/>
      <c r="B43" s="126" t="s">
        <v>59</v>
      </c>
      <c r="C43" s="123">
        <v>933</v>
      </c>
      <c r="D43" s="123">
        <v>0</v>
      </c>
      <c r="E43" s="123">
        <v>0</v>
      </c>
      <c r="F43" s="123">
        <v>185</v>
      </c>
      <c r="G43" s="123">
        <v>0</v>
      </c>
      <c r="H43" s="123">
        <v>0</v>
      </c>
      <c r="I43" s="560">
        <v>1118</v>
      </c>
      <c r="J43" s="124">
        <v>300</v>
      </c>
      <c r="K43" s="125">
        <v>0</v>
      </c>
      <c r="L43" s="602">
        <f t="shared" si="21"/>
        <v>1</v>
      </c>
      <c r="M43" s="609">
        <f t="shared" si="22"/>
        <v>0</v>
      </c>
      <c r="N43" s="609">
        <f t="shared" si="22"/>
        <v>0</v>
      </c>
      <c r="O43" s="606">
        <f t="shared" si="19"/>
        <v>1</v>
      </c>
      <c r="P43" s="609">
        <f t="shared" si="23"/>
        <v>0</v>
      </c>
      <c r="Q43" s="609">
        <f t="shared" si="23"/>
        <v>0</v>
      </c>
      <c r="R43" s="607">
        <f t="shared" si="20"/>
        <v>1</v>
      </c>
      <c r="S43" s="602">
        <f t="shared" si="20"/>
        <v>1</v>
      </c>
      <c r="T43" s="609">
        <f t="shared" si="24"/>
        <v>0</v>
      </c>
    </row>
    <row r="44" spans="1:20" s="55" customFormat="1" ht="13.9" customHeight="1">
      <c r="A44" s="107" t="s">
        <v>6</v>
      </c>
      <c r="B44" s="107" t="s">
        <v>53</v>
      </c>
      <c r="C44" s="119">
        <v>1516</v>
      </c>
      <c r="D44" s="119">
        <v>660</v>
      </c>
      <c r="E44" s="119">
        <v>263</v>
      </c>
      <c r="F44" s="119">
        <v>0</v>
      </c>
      <c r="G44" s="119">
        <v>22</v>
      </c>
      <c r="H44" s="119">
        <v>0</v>
      </c>
      <c r="I44" s="559">
        <v>2461</v>
      </c>
      <c r="J44" s="120">
        <v>0</v>
      </c>
      <c r="K44" s="119">
        <v>0</v>
      </c>
      <c r="L44" s="605">
        <f>+C44/C$50</f>
        <v>0.41500136873802357</v>
      </c>
      <c r="M44" s="603">
        <f t="shared" ref="M44:S50" si="25">+D44/D$50</f>
        <v>0.27568922305764409</v>
      </c>
      <c r="N44" s="603">
        <f t="shared" si="25"/>
        <v>0.25633528265107214</v>
      </c>
      <c r="O44" s="603">
        <f>IF(F$50&gt;0,(+F44/F$50),0)</f>
        <v>0</v>
      </c>
      <c r="P44" s="603">
        <f t="shared" si="25"/>
        <v>0.1476510067114094</v>
      </c>
      <c r="Q44" s="603">
        <f>IF(H$50&gt;0,(+H44/H$50),0)</f>
        <v>0</v>
      </c>
      <c r="R44" s="604">
        <f t="shared" si="25"/>
        <v>0.34076433121019106</v>
      </c>
      <c r="S44" s="605">
        <f t="shared" si="25"/>
        <v>0</v>
      </c>
      <c r="T44" s="603">
        <f>IF(K$50&gt;0,(+K44/K$50),0)</f>
        <v>0</v>
      </c>
    </row>
    <row r="45" spans="1:20" s="55" customFormat="1" ht="13.9" customHeight="1">
      <c r="A45" s="112"/>
      <c r="B45" s="106" t="s">
        <v>93</v>
      </c>
      <c r="C45" s="123">
        <v>1063</v>
      </c>
      <c r="D45" s="123">
        <v>746</v>
      </c>
      <c r="E45" s="123">
        <v>295</v>
      </c>
      <c r="F45" s="123">
        <v>0</v>
      </c>
      <c r="G45" s="123">
        <v>45</v>
      </c>
      <c r="H45" s="123">
        <v>0</v>
      </c>
      <c r="I45" s="560">
        <v>2149</v>
      </c>
      <c r="J45" s="124">
        <v>0</v>
      </c>
      <c r="K45" s="125">
        <v>0</v>
      </c>
      <c r="L45" s="602">
        <f t="shared" ref="L45:L50" si="26">+C45/C$50</f>
        <v>0.29099370380509171</v>
      </c>
      <c r="M45" s="606">
        <f t="shared" si="25"/>
        <v>0.31161236424394317</v>
      </c>
      <c r="N45" s="606">
        <f t="shared" si="25"/>
        <v>0.2875243664717349</v>
      </c>
      <c r="O45" s="606">
        <f t="shared" ref="O45:O50" si="27">IF(F$50&gt;0,(+F45/F$50),0)</f>
        <v>0</v>
      </c>
      <c r="P45" s="606">
        <f t="shared" si="25"/>
        <v>0.30201342281879195</v>
      </c>
      <c r="Q45" s="606">
        <f t="shared" ref="Q45:Q50" si="28">IF(H$50&gt;0,(+H45/H$50),0)</f>
        <v>0</v>
      </c>
      <c r="R45" s="607">
        <f t="shared" si="25"/>
        <v>0.2975630019385212</v>
      </c>
      <c r="S45" s="602">
        <f t="shared" si="25"/>
        <v>0</v>
      </c>
      <c r="T45" s="606">
        <f t="shared" ref="T45:T50" si="29">IF(K$50&gt;0,(+K45/K$50),0)</f>
        <v>0</v>
      </c>
    </row>
    <row r="46" spans="1:20" s="55" customFormat="1" ht="13.9" customHeight="1">
      <c r="A46" s="112"/>
      <c r="B46" s="106" t="s">
        <v>55</v>
      </c>
      <c r="C46" s="123">
        <v>876</v>
      </c>
      <c r="D46" s="123">
        <v>611</v>
      </c>
      <c r="E46" s="123">
        <v>339</v>
      </c>
      <c r="F46" s="123">
        <v>0</v>
      </c>
      <c r="G46" s="123">
        <v>64</v>
      </c>
      <c r="H46" s="123">
        <v>0</v>
      </c>
      <c r="I46" s="560">
        <v>1890</v>
      </c>
      <c r="J46" s="124">
        <v>0</v>
      </c>
      <c r="K46" s="125">
        <v>0</v>
      </c>
      <c r="L46" s="602">
        <f t="shared" si="26"/>
        <v>0.23980290172460991</v>
      </c>
      <c r="M46" s="606">
        <f t="shared" si="25"/>
        <v>0.25522138680033418</v>
      </c>
      <c r="N46" s="606">
        <f t="shared" si="25"/>
        <v>0.33040935672514621</v>
      </c>
      <c r="O46" s="606">
        <f t="shared" si="27"/>
        <v>0</v>
      </c>
      <c r="P46" s="606">
        <f t="shared" si="25"/>
        <v>0.42953020134228187</v>
      </c>
      <c r="Q46" s="606">
        <f t="shared" si="28"/>
        <v>0</v>
      </c>
      <c r="R46" s="607">
        <f t="shared" si="25"/>
        <v>0.26170036001107727</v>
      </c>
      <c r="S46" s="602">
        <f t="shared" si="25"/>
        <v>0</v>
      </c>
      <c r="T46" s="606">
        <f t="shared" si="29"/>
        <v>0</v>
      </c>
    </row>
    <row r="47" spans="1:20" s="55" customFormat="1" ht="13.9" customHeight="1">
      <c r="A47" s="112"/>
      <c r="B47" s="106" t="s">
        <v>78</v>
      </c>
      <c r="C47" s="123">
        <v>160</v>
      </c>
      <c r="D47" s="123">
        <v>348</v>
      </c>
      <c r="E47" s="123">
        <v>97</v>
      </c>
      <c r="F47" s="123">
        <v>0</v>
      </c>
      <c r="G47" s="123">
        <v>18</v>
      </c>
      <c r="H47" s="123">
        <v>0</v>
      </c>
      <c r="I47" s="560">
        <v>623</v>
      </c>
      <c r="J47" s="124">
        <v>0</v>
      </c>
      <c r="K47" s="125">
        <v>0</v>
      </c>
      <c r="L47" s="602">
        <f t="shared" si="26"/>
        <v>4.3799616753353407E-2</v>
      </c>
      <c r="M47" s="606">
        <f t="shared" si="25"/>
        <v>0.14536340852130325</v>
      </c>
      <c r="N47" s="606">
        <f t="shared" si="25"/>
        <v>9.454191033138401E-2</v>
      </c>
      <c r="O47" s="606">
        <f t="shared" si="27"/>
        <v>0</v>
      </c>
      <c r="P47" s="606">
        <f t="shared" si="25"/>
        <v>0.12080536912751678</v>
      </c>
      <c r="Q47" s="606">
        <f t="shared" si="28"/>
        <v>0</v>
      </c>
      <c r="R47" s="607">
        <f t="shared" si="25"/>
        <v>8.6264192744392135E-2</v>
      </c>
      <c r="S47" s="602">
        <f t="shared" si="25"/>
        <v>0</v>
      </c>
      <c r="T47" s="606">
        <f t="shared" si="29"/>
        <v>0</v>
      </c>
    </row>
    <row r="48" spans="1:20" s="55" customFormat="1" ht="13.9" customHeight="1">
      <c r="A48" s="112"/>
      <c r="B48" s="106" t="s">
        <v>32</v>
      </c>
      <c r="C48" s="123">
        <v>38</v>
      </c>
      <c r="D48" s="123">
        <v>29</v>
      </c>
      <c r="E48" s="123">
        <v>32</v>
      </c>
      <c r="F48" s="123">
        <v>0</v>
      </c>
      <c r="G48" s="123">
        <v>0</v>
      </c>
      <c r="H48" s="123">
        <v>0</v>
      </c>
      <c r="I48" s="560">
        <v>99</v>
      </c>
      <c r="J48" s="124">
        <v>0</v>
      </c>
      <c r="K48" s="125">
        <v>0</v>
      </c>
      <c r="L48" s="602">
        <f t="shared" si="26"/>
        <v>1.0402408978921434E-2</v>
      </c>
      <c r="M48" s="606">
        <f t="shared" si="25"/>
        <v>1.2113617376775271E-2</v>
      </c>
      <c r="N48" s="606">
        <f t="shared" si="25"/>
        <v>3.1189083820662766E-2</v>
      </c>
      <c r="O48" s="606">
        <f t="shared" si="27"/>
        <v>0</v>
      </c>
      <c r="P48" s="606">
        <f t="shared" si="25"/>
        <v>0</v>
      </c>
      <c r="Q48" s="606">
        <f t="shared" si="28"/>
        <v>0</v>
      </c>
      <c r="R48" s="607">
        <f t="shared" si="25"/>
        <v>1.3708114095818333E-2</v>
      </c>
      <c r="S48" s="602">
        <f t="shared" si="25"/>
        <v>0</v>
      </c>
      <c r="T48" s="606">
        <f t="shared" si="29"/>
        <v>0</v>
      </c>
    </row>
    <row r="49" spans="1:20" s="55" customFormat="1" ht="13.15" customHeight="1">
      <c r="A49" s="112"/>
      <c r="B49" s="106" t="s">
        <v>58</v>
      </c>
      <c r="C49" s="123">
        <v>0</v>
      </c>
      <c r="D49" s="123">
        <v>0</v>
      </c>
      <c r="E49" s="123">
        <v>0</v>
      </c>
      <c r="F49" s="123">
        <v>0</v>
      </c>
      <c r="G49" s="123">
        <v>0</v>
      </c>
      <c r="H49" s="123">
        <v>0</v>
      </c>
      <c r="I49" s="560">
        <v>0</v>
      </c>
      <c r="J49" s="124">
        <v>4637</v>
      </c>
      <c r="K49" s="125">
        <v>0</v>
      </c>
      <c r="L49" s="602">
        <f t="shared" si="26"/>
        <v>0</v>
      </c>
      <c r="M49" s="606">
        <f t="shared" si="25"/>
        <v>0</v>
      </c>
      <c r="N49" s="606">
        <f t="shared" si="25"/>
        <v>0</v>
      </c>
      <c r="O49" s="606">
        <f t="shared" si="27"/>
        <v>0</v>
      </c>
      <c r="P49" s="606">
        <f t="shared" si="25"/>
        <v>0</v>
      </c>
      <c r="Q49" s="606">
        <f t="shared" si="28"/>
        <v>0</v>
      </c>
      <c r="R49" s="607">
        <f t="shared" si="25"/>
        <v>0</v>
      </c>
      <c r="S49" s="602">
        <f t="shared" si="25"/>
        <v>1</v>
      </c>
      <c r="T49" s="606">
        <f t="shared" si="29"/>
        <v>0</v>
      </c>
    </row>
    <row r="50" spans="1:20" s="127" customFormat="1" ht="24" customHeight="1">
      <c r="A50" s="112"/>
      <c r="B50" s="126" t="s">
        <v>59</v>
      </c>
      <c r="C50" s="123">
        <v>3653</v>
      </c>
      <c r="D50" s="123">
        <v>2394</v>
      </c>
      <c r="E50" s="123">
        <v>1026</v>
      </c>
      <c r="F50" s="123">
        <v>0</v>
      </c>
      <c r="G50" s="123">
        <v>149</v>
      </c>
      <c r="H50" s="123">
        <v>0</v>
      </c>
      <c r="I50" s="560">
        <v>7222</v>
      </c>
      <c r="J50" s="124">
        <v>4637</v>
      </c>
      <c r="K50" s="125">
        <v>0</v>
      </c>
      <c r="L50" s="602">
        <f t="shared" si="26"/>
        <v>1</v>
      </c>
      <c r="M50" s="606">
        <f t="shared" si="25"/>
        <v>1</v>
      </c>
      <c r="N50" s="609">
        <f t="shared" si="25"/>
        <v>1</v>
      </c>
      <c r="O50" s="609">
        <f t="shared" si="27"/>
        <v>0</v>
      </c>
      <c r="P50" s="609">
        <f t="shared" si="25"/>
        <v>1</v>
      </c>
      <c r="Q50" s="609">
        <f t="shared" si="28"/>
        <v>0</v>
      </c>
      <c r="R50" s="610">
        <f t="shared" si="25"/>
        <v>1</v>
      </c>
      <c r="S50" s="608">
        <f t="shared" si="25"/>
        <v>1</v>
      </c>
      <c r="T50" s="609">
        <f t="shared" si="29"/>
        <v>0</v>
      </c>
    </row>
    <row r="51" spans="1:20" s="55" customFormat="1" ht="13.9" customHeight="1">
      <c r="A51" s="107" t="s">
        <v>7</v>
      </c>
      <c r="B51" s="107" t="s">
        <v>53</v>
      </c>
      <c r="C51" s="119">
        <v>906</v>
      </c>
      <c r="D51" s="119">
        <v>241</v>
      </c>
      <c r="E51" s="119">
        <v>197</v>
      </c>
      <c r="F51" s="119">
        <v>292</v>
      </c>
      <c r="G51" s="119">
        <v>233</v>
      </c>
      <c r="H51" s="119">
        <v>64</v>
      </c>
      <c r="I51" s="559">
        <v>1933</v>
      </c>
      <c r="J51" s="120">
        <v>186</v>
      </c>
      <c r="K51" s="119">
        <v>0</v>
      </c>
      <c r="L51" s="605">
        <f>+C51/C$57</f>
        <v>0.35266640716231995</v>
      </c>
      <c r="M51" s="603">
        <f t="shared" ref="M51:T57" si="30">+D51/D$57</f>
        <v>0.3549337260677467</v>
      </c>
      <c r="N51" s="603">
        <f t="shared" si="30"/>
        <v>0.20351239669421486</v>
      </c>
      <c r="O51" s="603">
        <f t="shared" si="30"/>
        <v>0.2640144665461121</v>
      </c>
      <c r="P51" s="603">
        <f t="shared" si="30"/>
        <v>0.24346917450365727</v>
      </c>
      <c r="Q51" s="603">
        <f t="shared" si="30"/>
        <v>0.26122448979591839</v>
      </c>
      <c r="R51" s="604">
        <f t="shared" si="30"/>
        <v>0.29629061925199263</v>
      </c>
      <c r="S51" s="605">
        <f t="shared" si="30"/>
        <v>0.15789473684210525</v>
      </c>
      <c r="T51" s="603">
        <f t="shared" si="30"/>
        <v>0</v>
      </c>
    </row>
    <row r="52" spans="1:20" s="55" customFormat="1" ht="13.9" customHeight="1">
      <c r="A52" s="112"/>
      <c r="B52" s="106" t="s">
        <v>93</v>
      </c>
      <c r="C52" s="123">
        <v>762</v>
      </c>
      <c r="D52" s="123">
        <v>227</v>
      </c>
      <c r="E52" s="123">
        <v>218</v>
      </c>
      <c r="F52" s="123">
        <v>319</v>
      </c>
      <c r="G52" s="123">
        <v>292</v>
      </c>
      <c r="H52" s="123">
        <v>84</v>
      </c>
      <c r="I52" s="560">
        <v>1902</v>
      </c>
      <c r="J52" s="124">
        <v>329</v>
      </c>
      <c r="K52" s="125">
        <v>0</v>
      </c>
      <c r="L52" s="602">
        <f t="shared" ref="L52:L57" si="31">+C52/C$57</f>
        <v>0.29661346827559359</v>
      </c>
      <c r="M52" s="606">
        <f t="shared" si="30"/>
        <v>0.33431516936671574</v>
      </c>
      <c r="N52" s="606">
        <f t="shared" si="30"/>
        <v>0.22520661157024793</v>
      </c>
      <c r="O52" s="606">
        <f t="shared" si="30"/>
        <v>0.2884267631103074</v>
      </c>
      <c r="P52" s="606">
        <f t="shared" si="30"/>
        <v>0.30512016718913271</v>
      </c>
      <c r="Q52" s="606">
        <f t="shared" si="30"/>
        <v>0.34285714285714286</v>
      </c>
      <c r="R52" s="607">
        <f t="shared" si="30"/>
        <v>0.29153893316983448</v>
      </c>
      <c r="S52" s="602">
        <f t="shared" si="30"/>
        <v>0.27928692699490665</v>
      </c>
      <c r="T52" s="606">
        <f t="shared" si="30"/>
        <v>0</v>
      </c>
    </row>
    <row r="53" spans="1:20" s="55" customFormat="1" ht="13.9" customHeight="1">
      <c r="A53" s="112"/>
      <c r="B53" s="106" t="s">
        <v>55</v>
      </c>
      <c r="C53" s="123">
        <v>704</v>
      </c>
      <c r="D53" s="123">
        <v>186</v>
      </c>
      <c r="E53" s="123">
        <v>412</v>
      </c>
      <c r="F53" s="123">
        <v>403</v>
      </c>
      <c r="G53" s="123">
        <v>393</v>
      </c>
      <c r="H53" s="123">
        <v>74</v>
      </c>
      <c r="I53" s="560">
        <v>2172</v>
      </c>
      <c r="J53" s="124">
        <v>503</v>
      </c>
      <c r="K53" s="125">
        <v>0</v>
      </c>
      <c r="L53" s="602">
        <f t="shared" si="31"/>
        <v>0.27403659011288439</v>
      </c>
      <c r="M53" s="606">
        <f t="shared" si="30"/>
        <v>0.27393225331369664</v>
      </c>
      <c r="N53" s="606">
        <f t="shared" si="30"/>
        <v>0.42561983471074383</v>
      </c>
      <c r="O53" s="606">
        <f t="shared" si="30"/>
        <v>0.36437613019891502</v>
      </c>
      <c r="P53" s="606">
        <f t="shared" si="30"/>
        <v>0.41065830721003133</v>
      </c>
      <c r="Q53" s="606">
        <f t="shared" si="30"/>
        <v>0.30204081632653063</v>
      </c>
      <c r="R53" s="607">
        <f t="shared" si="30"/>
        <v>0.33292458614347026</v>
      </c>
      <c r="S53" s="602">
        <f t="shared" si="30"/>
        <v>0.42699490662139217</v>
      </c>
      <c r="T53" s="606">
        <f t="shared" si="30"/>
        <v>0</v>
      </c>
    </row>
    <row r="54" spans="1:20" s="55" customFormat="1" ht="13.9" customHeight="1">
      <c r="A54" s="112"/>
      <c r="B54" s="106" t="s">
        <v>78</v>
      </c>
      <c r="C54" s="123">
        <v>144</v>
      </c>
      <c r="D54" s="123">
        <v>23</v>
      </c>
      <c r="E54" s="123">
        <v>141</v>
      </c>
      <c r="F54" s="123">
        <v>92</v>
      </c>
      <c r="G54" s="123">
        <v>39</v>
      </c>
      <c r="H54" s="123">
        <v>23</v>
      </c>
      <c r="I54" s="560">
        <v>462</v>
      </c>
      <c r="J54" s="124">
        <v>160</v>
      </c>
      <c r="K54" s="125">
        <v>0</v>
      </c>
      <c r="L54" s="602">
        <f t="shared" si="31"/>
        <v>5.6052938886726356E-2</v>
      </c>
      <c r="M54" s="606">
        <f t="shared" si="30"/>
        <v>3.3873343151693665E-2</v>
      </c>
      <c r="N54" s="606">
        <f t="shared" si="30"/>
        <v>0.14566115702479338</v>
      </c>
      <c r="O54" s="606">
        <f t="shared" si="30"/>
        <v>8.3182640144665462E-2</v>
      </c>
      <c r="P54" s="606">
        <f t="shared" si="30"/>
        <v>4.0752351097178681E-2</v>
      </c>
      <c r="Q54" s="606">
        <f t="shared" si="30"/>
        <v>9.3877551020408165E-2</v>
      </c>
      <c r="R54" s="607">
        <f t="shared" si="30"/>
        <v>7.0815450643776826E-2</v>
      </c>
      <c r="S54" s="602">
        <f t="shared" si="30"/>
        <v>0.13582342954159593</v>
      </c>
      <c r="T54" s="606">
        <f t="shared" si="30"/>
        <v>0</v>
      </c>
    </row>
    <row r="55" spans="1:20" s="55" customFormat="1" ht="13.9" customHeight="1">
      <c r="A55" s="112"/>
      <c r="B55" s="106" t="s">
        <v>32</v>
      </c>
      <c r="C55" s="123">
        <v>53</v>
      </c>
      <c r="D55" s="123">
        <v>2</v>
      </c>
      <c r="E55" s="123">
        <v>0</v>
      </c>
      <c r="F55" s="123">
        <v>0</v>
      </c>
      <c r="G55" s="123">
        <v>0</v>
      </c>
      <c r="H55" s="123">
        <v>0</v>
      </c>
      <c r="I55" s="560">
        <v>55</v>
      </c>
      <c r="J55" s="124">
        <v>0</v>
      </c>
      <c r="K55" s="125">
        <v>0</v>
      </c>
      <c r="L55" s="602">
        <f t="shared" si="31"/>
        <v>2.0630595562475672E-2</v>
      </c>
      <c r="M55" s="606">
        <f t="shared" si="30"/>
        <v>2.9455081001472753E-3</v>
      </c>
      <c r="N55" s="606">
        <f t="shared" si="30"/>
        <v>0</v>
      </c>
      <c r="O55" s="606">
        <f t="shared" si="30"/>
        <v>0</v>
      </c>
      <c r="P55" s="606">
        <f t="shared" si="30"/>
        <v>0</v>
      </c>
      <c r="Q55" s="606">
        <f t="shared" si="30"/>
        <v>0</v>
      </c>
      <c r="R55" s="607">
        <f t="shared" si="30"/>
        <v>8.430410790925812E-3</v>
      </c>
      <c r="S55" s="602">
        <f t="shared" si="30"/>
        <v>0</v>
      </c>
      <c r="T55" s="606">
        <f t="shared" si="30"/>
        <v>0</v>
      </c>
    </row>
    <row r="56" spans="1:20" s="55" customFormat="1" ht="13.9" customHeight="1">
      <c r="A56" s="112"/>
      <c r="B56" s="106" t="s">
        <v>58</v>
      </c>
      <c r="C56" s="123">
        <v>0</v>
      </c>
      <c r="D56" s="123">
        <v>0</v>
      </c>
      <c r="E56" s="123">
        <v>0</v>
      </c>
      <c r="F56" s="123">
        <v>0</v>
      </c>
      <c r="G56" s="123">
        <v>0</v>
      </c>
      <c r="H56" s="123">
        <v>0</v>
      </c>
      <c r="I56" s="560">
        <v>0</v>
      </c>
      <c r="J56" s="124">
        <v>0</v>
      </c>
      <c r="K56" s="125">
        <v>1714</v>
      </c>
      <c r="L56" s="602">
        <f t="shared" si="31"/>
        <v>0</v>
      </c>
      <c r="M56" s="606">
        <f t="shared" si="30"/>
        <v>0</v>
      </c>
      <c r="N56" s="606">
        <f t="shared" si="30"/>
        <v>0</v>
      </c>
      <c r="O56" s="606">
        <f t="shared" si="30"/>
        <v>0</v>
      </c>
      <c r="P56" s="606">
        <f t="shared" si="30"/>
        <v>0</v>
      </c>
      <c r="Q56" s="606">
        <f t="shared" si="30"/>
        <v>0</v>
      </c>
      <c r="R56" s="607">
        <f t="shared" si="30"/>
        <v>0</v>
      </c>
      <c r="S56" s="602">
        <f t="shared" si="30"/>
        <v>0</v>
      </c>
      <c r="T56" s="606">
        <f t="shared" si="30"/>
        <v>1</v>
      </c>
    </row>
    <row r="57" spans="1:20" s="127" customFormat="1" ht="24" customHeight="1">
      <c r="A57" s="128"/>
      <c r="B57" s="114" t="s">
        <v>59</v>
      </c>
      <c r="C57" s="129">
        <v>2569</v>
      </c>
      <c r="D57" s="129">
        <v>679</v>
      </c>
      <c r="E57" s="129">
        <v>968</v>
      </c>
      <c r="F57" s="129">
        <v>1106</v>
      </c>
      <c r="G57" s="129">
        <v>957</v>
      </c>
      <c r="H57" s="129">
        <v>245</v>
      </c>
      <c r="I57" s="561">
        <v>6524</v>
      </c>
      <c r="J57" s="130">
        <v>1178</v>
      </c>
      <c r="K57" s="129">
        <v>1714</v>
      </c>
      <c r="L57" s="608">
        <f t="shared" si="31"/>
        <v>1</v>
      </c>
      <c r="M57" s="609">
        <f t="shared" si="30"/>
        <v>1</v>
      </c>
      <c r="N57" s="609">
        <f t="shared" si="30"/>
        <v>1</v>
      </c>
      <c r="O57" s="609">
        <f t="shared" si="30"/>
        <v>1</v>
      </c>
      <c r="P57" s="609">
        <f t="shared" si="30"/>
        <v>1</v>
      </c>
      <c r="Q57" s="609">
        <f t="shared" si="30"/>
        <v>1</v>
      </c>
      <c r="R57" s="610">
        <f t="shared" si="30"/>
        <v>1</v>
      </c>
      <c r="S57" s="608">
        <f t="shared" si="30"/>
        <v>1</v>
      </c>
      <c r="T57" s="609">
        <f t="shared" si="30"/>
        <v>1</v>
      </c>
    </row>
    <row r="58" spans="1:20" s="55" customFormat="1" ht="13.9" customHeight="1">
      <c r="A58" s="107" t="s">
        <v>8</v>
      </c>
      <c r="B58" s="107" t="s">
        <v>53</v>
      </c>
      <c r="C58" s="119">
        <v>491</v>
      </c>
      <c r="D58" s="119">
        <v>295</v>
      </c>
      <c r="E58" s="119">
        <v>491</v>
      </c>
      <c r="F58" s="119">
        <v>60</v>
      </c>
      <c r="G58" s="119">
        <v>113</v>
      </c>
      <c r="H58" s="119">
        <v>34</v>
      </c>
      <c r="I58" s="559">
        <v>1484</v>
      </c>
      <c r="J58" s="120">
        <v>235</v>
      </c>
      <c r="K58" s="119">
        <v>0</v>
      </c>
      <c r="L58" s="605">
        <f>+C58/C$64</f>
        <v>0.39628732849071829</v>
      </c>
      <c r="M58" s="603">
        <f t="shared" ref="M58:T64" si="32">+D58/D$64</f>
        <v>0.39021164021164023</v>
      </c>
      <c r="N58" s="603">
        <f t="shared" si="32"/>
        <v>0.32133507853403143</v>
      </c>
      <c r="O58" s="603">
        <f t="shared" si="32"/>
        <v>0.1875</v>
      </c>
      <c r="P58" s="603">
        <f t="shared" si="32"/>
        <v>0.26650943396226418</v>
      </c>
      <c r="Q58" s="603">
        <f t="shared" si="32"/>
        <v>0.26984126984126983</v>
      </c>
      <c r="R58" s="604">
        <f t="shared" si="32"/>
        <v>0.33781015251536534</v>
      </c>
      <c r="S58" s="605">
        <f t="shared" si="32"/>
        <v>0.20982142857142858</v>
      </c>
      <c r="T58" s="603">
        <f t="shared" si="32"/>
        <v>0</v>
      </c>
    </row>
    <row r="59" spans="1:20" s="55" customFormat="1" ht="13.9" customHeight="1">
      <c r="A59" s="112"/>
      <c r="B59" s="106" t="s">
        <v>93</v>
      </c>
      <c r="C59" s="123">
        <v>457</v>
      </c>
      <c r="D59" s="123">
        <v>230</v>
      </c>
      <c r="E59" s="123">
        <v>385</v>
      </c>
      <c r="F59" s="123">
        <v>86</v>
      </c>
      <c r="G59" s="123">
        <v>119</v>
      </c>
      <c r="H59" s="123">
        <v>33</v>
      </c>
      <c r="I59" s="560">
        <v>1310</v>
      </c>
      <c r="J59" s="124">
        <v>479</v>
      </c>
      <c r="K59" s="125">
        <v>0</v>
      </c>
      <c r="L59" s="602">
        <f t="shared" ref="L59:L64" si="33">+C59/C$64</f>
        <v>0.36884584342211463</v>
      </c>
      <c r="M59" s="606">
        <f t="shared" si="32"/>
        <v>0.30423280423280424</v>
      </c>
      <c r="N59" s="606">
        <f t="shared" si="32"/>
        <v>0.25196335078534032</v>
      </c>
      <c r="O59" s="606">
        <f t="shared" si="32"/>
        <v>0.26874999999999999</v>
      </c>
      <c r="P59" s="606">
        <f t="shared" si="32"/>
        <v>0.28066037735849059</v>
      </c>
      <c r="Q59" s="606">
        <f t="shared" si="32"/>
        <v>0.26190476190476192</v>
      </c>
      <c r="R59" s="607">
        <f t="shared" si="32"/>
        <v>0.29820168449806511</v>
      </c>
      <c r="S59" s="602">
        <f t="shared" si="32"/>
        <v>0.42767857142857141</v>
      </c>
      <c r="T59" s="606">
        <f t="shared" si="32"/>
        <v>0</v>
      </c>
    </row>
    <row r="60" spans="1:20" s="55" customFormat="1" ht="13.9" customHeight="1">
      <c r="A60" s="112"/>
      <c r="B60" s="106" t="s">
        <v>55</v>
      </c>
      <c r="C60" s="123">
        <v>290</v>
      </c>
      <c r="D60" s="123">
        <v>180</v>
      </c>
      <c r="E60" s="123">
        <v>471</v>
      </c>
      <c r="F60" s="123">
        <v>138</v>
      </c>
      <c r="G60" s="123">
        <v>80</v>
      </c>
      <c r="H60" s="123">
        <v>49</v>
      </c>
      <c r="I60" s="560">
        <v>1208</v>
      </c>
      <c r="J60" s="124">
        <v>148</v>
      </c>
      <c r="K60" s="125">
        <v>0</v>
      </c>
      <c r="L60" s="602">
        <f t="shared" si="33"/>
        <v>0.23405972558514931</v>
      </c>
      <c r="M60" s="606">
        <f t="shared" si="32"/>
        <v>0.23809523809523808</v>
      </c>
      <c r="N60" s="606">
        <f t="shared" si="32"/>
        <v>0.30824607329842935</v>
      </c>
      <c r="O60" s="606">
        <f t="shared" si="32"/>
        <v>0.43125000000000002</v>
      </c>
      <c r="P60" s="606">
        <f t="shared" si="32"/>
        <v>0.18867924528301888</v>
      </c>
      <c r="Q60" s="606">
        <f t="shared" si="32"/>
        <v>0.3888888888888889</v>
      </c>
      <c r="R60" s="607">
        <f t="shared" si="32"/>
        <v>0.27498292738447533</v>
      </c>
      <c r="S60" s="602">
        <f t="shared" si="32"/>
        <v>0.13214285714285715</v>
      </c>
      <c r="T60" s="606">
        <f t="shared" si="32"/>
        <v>0</v>
      </c>
    </row>
    <row r="61" spans="1:20" s="55" customFormat="1" ht="13.9" customHeight="1">
      <c r="A61" s="112"/>
      <c r="B61" s="106" t="s">
        <v>78</v>
      </c>
      <c r="C61" s="123">
        <v>1</v>
      </c>
      <c r="D61" s="123">
        <v>21</v>
      </c>
      <c r="E61" s="123">
        <v>110</v>
      </c>
      <c r="F61" s="123">
        <v>36</v>
      </c>
      <c r="G61" s="123">
        <v>6</v>
      </c>
      <c r="H61" s="123">
        <v>9</v>
      </c>
      <c r="I61" s="560">
        <v>183</v>
      </c>
      <c r="J61" s="124">
        <v>257</v>
      </c>
      <c r="K61" s="125">
        <v>0</v>
      </c>
      <c r="L61" s="602">
        <f t="shared" si="33"/>
        <v>8.0710250201775622E-4</v>
      </c>
      <c r="M61" s="606">
        <f t="shared" si="32"/>
        <v>2.7777777777777776E-2</v>
      </c>
      <c r="N61" s="606">
        <f t="shared" si="32"/>
        <v>7.1989528795811525E-2</v>
      </c>
      <c r="O61" s="606">
        <f t="shared" si="32"/>
        <v>0.1125</v>
      </c>
      <c r="P61" s="606">
        <f t="shared" si="32"/>
        <v>1.4150943396226415E-2</v>
      </c>
      <c r="Q61" s="606">
        <f t="shared" si="32"/>
        <v>7.1428571428571425E-2</v>
      </c>
      <c r="R61" s="607">
        <f t="shared" si="32"/>
        <v>4.1657181880264058E-2</v>
      </c>
      <c r="S61" s="602">
        <f t="shared" si="32"/>
        <v>0.2294642857142857</v>
      </c>
      <c r="T61" s="606">
        <f t="shared" si="32"/>
        <v>0</v>
      </c>
    </row>
    <row r="62" spans="1:20" s="55" customFormat="1" ht="13.9" customHeight="1">
      <c r="A62" s="112"/>
      <c r="B62" s="106" t="s">
        <v>32</v>
      </c>
      <c r="C62" s="123">
        <v>0</v>
      </c>
      <c r="D62" s="123">
        <v>30</v>
      </c>
      <c r="E62" s="123">
        <v>71</v>
      </c>
      <c r="F62" s="123">
        <v>0</v>
      </c>
      <c r="G62" s="123">
        <v>106</v>
      </c>
      <c r="H62" s="123">
        <v>1</v>
      </c>
      <c r="I62" s="560">
        <v>208</v>
      </c>
      <c r="J62" s="124">
        <v>1</v>
      </c>
      <c r="K62" s="125">
        <v>0</v>
      </c>
      <c r="L62" s="602">
        <f t="shared" si="33"/>
        <v>0</v>
      </c>
      <c r="M62" s="606">
        <f t="shared" si="32"/>
        <v>3.968253968253968E-2</v>
      </c>
      <c r="N62" s="606">
        <f t="shared" si="32"/>
        <v>4.6465968586387435E-2</v>
      </c>
      <c r="O62" s="606">
        <f t="shared" si="32"/>
        <v>0</v>
      </c>
      <c r="P62" s="606">
        <f t="shared" si="32"/>
        <v>0.25</v>
      </c>
      <c r="Q62" s="606">
        <f t="shared" si="32"/>
        <v>7.9365079365079361E-3</v>
      </c>
      <c r="R62" s="607">
        <f t="shared" si="32"/>
        <v>4.7348053721830187E-2</v>
      </c>
      <c r="S62" s="602">
        <f t="shared" si="32"/>
        <v>8.9285714285714283E-4</v>
      </c>
      <c r="T62" s="606">
        <f t="shared" si="32"/>
        <v>0</v>
      </c>
    </row>
    <row r="63" spans="1:20" s="55" customFormat="1" ht="13.9" customHeight="1">
      <c r="A63" s="112"/>
      <c r="B63" s="106" t="s">
        <v>58</v>
      </c>
      <c r="C63" s="123">
        <v>0</v>
      </c>
      <c r="D63" s="123">
        <v>0</v>
      </c>
      <c r="E63" s="123">
        <v>0</v>
      </c>
      <c r="F63" s="123">
        <v>0</v>
      </c>
      <c r="G63" s="123">
        <v>0</v>
      </c>
      <c r="H63" s="123">
        <v>0</v>
      </c>
      <c r="I63" s="560">
        <v>0</v>
      </c>
      <c r="J63" s="124">
        <v>0</v>
      </c>
      <c r="K63" s="125">
        <v>576</v>
      </c>
      <c r="L63" s="602">
        <f t="shared" si="33"/>
        <v>0</v>
      </c>
      <c r="M63" s="606">
        <f t="shared" si="32"/>
        <v>0</v>
      </c>
      <c r="N63" s="606">
        <f t="shared" si="32"/>
        <v>0</v>
      </c>
      <c r="O63" s="606">
        <f t="shared" si="32"/>
        <v>0</v>
      </c>
      <c r="P63" s="606">
        <f t="shared" si="32"/>
        <v>0</v>
      </c>
      <c r="Q63" s="606">
        <f t="shared" si="32"/>
        <v>0</v>
      </c>
      <c r="R63" s="607">
        <f t="shared" si="32"/>
        <v>0</v>
      </c>
      <c r="S63" s="602">
        <f t="shared" si="32"/>
        <v>0</v>
      </c>
      <c r="T63" s="606">
        <f t="shared" si="32"/>
        <v>1</v>
      </c>
    </row>
    <row r="64" spans="1:20" s="127" customFormat="1" ht="24" customHeight="1">
      <c r="A64" s="112"/>
      <c r="B64" s="126" t="s">
        <v>59</v>
      </c>
      <c r="C64" s="123">
        <v>1239</v>
      </c>
      <c r="D64" s="123">
        <v>756</v>
      </c>
      <c r="E64" s="123">
        <v>1528</v>
      </c>
      <c r="F64" s="123">
        <v>320</v>
      </c>
      <c r="G64" s="123">
        <v>424</v>
      </c>
      <c r="H64" s="123">
        <v>126</v>
      </c>
      <c r="I64" s="560">
        <v>4393</v>
      </c>
      <c r="J64" s="124">
        <v>1120</v>
      </c>
      <c r="K64" s="125">
        <v>576</v>
      </c>
      <c r="L64" s="602">
        <f t="shared" si="33"/>
        <v>1</v>
      </c>
      <c r="M64" s="606">
        <f t="shared" si="32"/>
        <v>1</v>
      </c>
      <c r="N64" s="606">
        <f t="shared" si="32"/>
        <v>1</v>
      </c>
      <c r="O64" s="606">
        <f t="shared" si="32"/>
        <v>1</v>
      </c>
      <c r="P64" s="606">
        <f t="shared" si="32"/>
        <v>1</v>
      </c>
      <c r="Q64" s="606">
        <f t="shared" si="32"/>
        <v>1</v>
      </c>
      <c r="R64" s="607">
        <f t="shared" si="32"/>
        <v>1</v>
      </c>
      <c r="S64" s="602">
        <f t="shared" si="32"/>
        <v>1</v>
      </c>
      <c r="T64" s="606">
        <f t="shared" si="32"/>
        <v>1</v>
      </c>
    </row>
    <row r="65" spans="1:20" s="55" customFormat="1" ht="13.9" customHeight="1">
      <c r="A65" s="107" t="s">
        <v>9</v>
      </c>
      <c r="B65" s="107" t="s">
        <v>53</v>
      </c>
      <c r="C65" s="119">
        <v>453</v>
      </c>
      <c r="D65" s="119">
        <v>368</v>
      </c>
      <c r="E65" s="119">
        <v>323</v>
      </c>
      <c r="F65" s="119">
        <v>278</v>
      </c>
      <c r="G65" s="119">
        <v>133</v>
      </c>
      <c r="H65" s="119">
        <v>0</v>
      </c>
      <c r="I65" s="559">
        <v>1555</v>
      </c>
      <c r="J65" s="120">
        <v>80</v>
      </c>
      <c r="K65" s="119">
        <v>0</v>
      </c>
      <c r="L65" s="605">
        <f>+C65/C$71</f>
        <v>0.35007727975270481</v>
      </c>
      <c r="M65" s="603">
        <f t="shared" ref="M65:S71" si="34">+D65/D$71</f>
        <v>0.35418671799807505</v>
      </c>
      <c r="N65" s="603">
        <f t="shared" si="34"/>
        <v>0.2503875968992248</v>
      </c>
      <c r="O65" s="603">
        <f t="shared" si="34"/>
        <v>0.216006216006216</v>
      </c>
      <c r="P65" s="603">
        <f t="shared" si="34"/>
        <v>0.24007220216606498</v>
      </c>
      <c r="Q65" s="603">
        <f>IF(H$71&gt;0,(+H65/H$71),0)</f>
        <v>0</v>
      </c>
      <c r="R65" s="604">
        <f t="shared" si="34"/>
        <v>0.28459004392386528</v>
      </c>
      <c r="S65" s="605">
        <f t="shared" si="34"/>
        <v>0.11560693641618497</v>
      </c>
      <c r="T65" s="603">
        <f>IF(K$71&gt;0,(+K65/K$71),0)</f>
        <v>0</v>
      </c>
    </row>
    <row r="66" spans="1:20" s="55" customFormat="1" ht="13.9" customHeight="1">
      <c r="A66" s="112"/>
      <c r="B66" s="106" t="s">
        <v>93</v>
      </c>
      <c r="C66" s="123">
        <v>305</v>
      </c>
      <c r="D66" s="123">
        <v>263</v>
      </c>
      <c r="E66" s="123">
        <v>324</v>
      </c>
      <c r="F66" s="123">
        <v>261</v>
      </c>
      <c r="G66" s="123">
        <v>133</v>
      </c>
      <c r="H66" s="123">
        <v>0</v>
      </c>
      <c r="I66" s="560">
        <v>1286</v>
      </c>
      <c r="J66" s="124">
        <v>182</v>
      </c>
      <c r="K66" s="125">
        <v>0</v>
      </c>
      <c r="L66" s="602">
        <f t="shared" ref="L66:L71" si="35">+C66/C$71</f>
        <v>0.2357032457496136</v>
      </c>
      <c r="M66" s="606">
        <f t="shared" si="34"/>
        <v>0.25312800769971128</v>
      </c>
      <c r="N66" s="606">
        <f t="shared" si="34"/>
        <v>0.25116279069767444</v>
      </c>
      <c r="O66" s="606">
        <f t="shared" si="34"/>
        <v>0.20279720279720279</v>
      </c>
      <c r="P66" s="606">
        <f t="shared" si="34"/>
        <v>0.24007220216606498</v>
      </c>
      <c r="Q66" s="606">
        <f t="shared" ref="Q66:Q71" si="36">IF(H$71&gt;0,(+H66/H$71),0)</f>
        <v>0</v>
      </c>
      <c r="R66" s="607">
        <f t="shared" si="34"/>
        <v>0.23535871156661786</v>
      </c>
      <c r="S66" s="602">
        <f t="shared" si="34"/>
        <v>0.26300578034682082</v>
      </c>
      <c r="T66" s="606">
        <f t="shared" ref="T66:T71" si="37">IF(K$71&gt;0,(+K66/K$71),0)</f>
        <v>0</v>
      </c>
    </row>
    <row r="67" spans="1:20" s="55" customFormat="1" ht="13.9" customHeight="1">
      <c r="A67" s="112"/>
      <c r="B67" s="106" t="s">
        <v>55</v>
      </c>
      <c r="C67" s="123">
        <v>235</v>
      </c>
      <c r="D67" s="123">
        <v>219</v>
      </c>
      <c r="E67" s="123">
        <v>421</v>
      </c>
      <c r="F67" s="123">
        <v>457</v>
      </c>
      <c r="G67" s="123">
        <v>177</v>
      </c>
      <c r="H67" s="123">
        <v>0</v>
      </c>
      <c r="I67" s="560">
        <v>1509</v>
      </c>
      <c r="J67" s="124">
        <v>208</v>
      </c>
      <c r="K67" s="125">
        <v>0</v>
      </c>
      <c r="L67" s="602">
        <f t="shared" si="35"/>
        <v>0.18160741885625967</v>
      </c>
      <c r="M67" s="606">
        <f t="shared" si="34"/>
        <v>0.21077959576515881</v>
      </c>
      <c r="N67" s="606">
        <f t="shared" si="34"/>
        <v>0.32635658914728682</v>
      </c>
      <c r="O67" s="606">
        <f t="shared" si="34"/>
        <v>0.35508935508935507</v>
      </c>
      <c r="P67" s="606">
        <f t="shared" si="34"/>
        <v>0.31949458483754511</v>
      </c>
      <c r="Q67" s="606">
        <f t="shared" si="36"/>
        <v>0</v>
      </c>
      <c r="R67" s="607">
        <f t="shared" si="34"/>
        <v>0.27617130307467058</v>
      </c>
      <c r="S67" s="602">
        <f t="shared" si="34"/>
        <v>0.30057803468208094</v>
      </c>
      <c r="T67" s="606">
        <f t="shared" si="37"/>
        <v>0</v>
      </c>
    </row>
    <row r="68" spans="1:20" s="55" customFormat="1" ht="13.9" customHeight="1">
      <c r="A68" s="112"/>
      <c r="B68" s="106" t="s">
        <v>78</v>
      </c>
      <c r="C68" s="123">
        <v>301</v>
      </c>
      <c r="D68" s="123">
        <v>179</v>
      </c>
      <c r="E68" s="123">
        <v>222</v>
      </c>
      <c r="F68" s="123">
        <v>291</v>
      </c>
      <c r="G68" s="123">
        <v>97</v>
      </c>
      <c r="H68" s="123">
        <v>0</v>
      </c>
      <c r="I68" s="560">
        <v>1090</v>
      </c>
      <c r="J68" s="124">
        <v>222</v>
      </c>
      <c r="K68" s="125">
        <v>0</v>
      </c>
      <c r="L68" s="602">
        <f t="shared" si="35"/>
        <v>0.23261205564142196</v>
      </c>
      <c r="M68" s="606">
        <f t="shared" si="34"/>
        <v>0.17228103946102022</v>
      </c>
      <c r="N68" s="606">
        <f t="shared" si="34"/>
        <v>0.17209302325581396</v>
      </c>
      <c r="O68" s="606">
        <f t="shared" si="34"/>
        <v>0.22610722610722611</v>
      </c>
      <c r="P68" s="606">
        <f t="shared" si="34"/>
        <v>0.17509025270758122</v>
      </c>
      <c r="Q68" s="606">
        <f t="shared" si="36"/>
        <v>0</v>
      </c>
      <c r="R68" s="607">
        <f t="shared" si="34"/>
        <v>0.19948755490483164</v>
      </c>
      <c r="S68" s="602">
        <f t="shared" si="34"/>
        <v>0.32080924855491327</v>
      </c>
      <c r="T68" s="606">
        <f t="shared" si="37"/>
        <v>0</v>
      </c>
    </row>
    <row r="69" spans="1:20" s="55" customFormat="1" ht="13.9" customHeight="1">
      <c r="A69" s="112"/>
      <c r="B69" s="106" t="s">
        <v>32</v>
      </c>
      <c r="C69" s="123">
        <v>0</v>
      </c>
      <c r="D69" s="123">
        <v>10</v>
      </c>
      <c r="E69" s="123">
        <v>0</v>
      </c>
      <c r="F69" s="123">
        <v>0</v>
      </c>
      <c r="G69" s="123">
        <v>14</v>
      </c>
      <c r="H69" s="123">
        <v>0</v>
      </c>
      <c r="I69" s="560">
        <v>24</v>
      </c>
      <c r="J69" s="124">
        <v>0</v>
      </c>
      <c r="K69" s="125">
        <v>0</v>
      </c>
      <c r="L69" s="602">
        <f t="shared" si="35"/>
        <v>0</v>
      </c>
      <c r="M69" s="606">
        <f t="shared" si="34"/>
        <v>9.6246390760346481E-3</v>
      </c>
      <c r="N69" s="606">
        <f t="shared" si="34"/>
        <v>0</v>
      </c>
      <c r="O69" s="606">
        <f t="shared" si="34"/>
        <v>0</v>
      </c>
      <c r="P69" s="606">
        <f t="shared" si="34"/>
        <v>2.5270758122743681E-2</v>
      </c>
      <c r="Q69" s="606">
        <f t="shared" si="36"/>
        <v>0</v>
      </c>
      <c r="R69" s="607">
        <f t="shared" si="34"/>
        <v>4.3923865300146414E-3</v>
      </c>
      <c r="S69" s="602">
        <f t="shared" si="34"/>
        <v>0</v>
      </c>
      <c r="T69" s="606">
        <f t="shared" si="37"/>
        <v>0</v>
      </c>
    </row>
    <row r="70" spans="1:20" s="55" customFormat="1" ht="13.9" customHeight="1">
      <c r="A70" s="112"/>
      <c r="B70" s="106" t="s">
        <v>58</v>
      </c>
      <c r="C70" s="123">
        <v>0</v>
      </c>
      <c r="D70" s="123">
        <v>0</v>
      </c>
      <c r="E70" s="123">
        <v>0</v>
      </c>
      <c r="F70" s="123">
        <v>0</v>
      </c>
      <c r="G70" s="123">
        <v>0</v>
      </c>
      <c r="H70" s="123">
        <v>0</v>
      </c>
      <c r="I70" s="560">
        <v>0</v>
      </c>
      <c r="J70" s="124">
        <v>0</v>
      </c>
      <c r="K70" s="125">
        <v>0</v>
      </c>
      <c r="L70" s="602">
        <f t="shared" si="35"/>
        <v>0</v>
      </c>
      <c r="M70" s="606">
        <f t="shared" si="34"/>
        <v>0</v>
      </c>
      <c r="N70" s="606">
        <f t="shared" si="34"/>
        <v>0</v>
      </c>
      <c r="O70" s="606">
        <f t="shared" si="34"/>
        <v>0</v>
      </c>
      <c r="P70" s="606">
        <f t="shared" si="34"/>
        <v>0</v>
      </c>
      <c r="Q70" s="606">
        <f t="shared" si="36"/>
        <v>0</v>
      </c>
      <c r="R70" s="607">
        <f t="shared" si="34"/>
        <v>0</v>
      </c>
      <c r="S70" s="602">
        <f t="shared" si="34"/>
        <v>0</v>
      </c>
      <c r="T70" s="606">
        <f t="shared" si="37"/>
        <v>0</v>
      </c>
    </row>
    <row r="71" spans="1:20" s="127" customFormat="1" ht="24" customHeight="1">
      <c r="A71" s="112"/>
      <c r="B71" s="126" t="s">
        <v>59</v>
      </c>
      <c r="C71" s="123">
        <v>1294</v>
      </c>
      <c r="D71" s="123">
        <v>1039</v>
      </c>
      <c r="E71" s="123">
        <v>1290</v>
      </c>
      <c r="F71" s="123">
        <v>1287</v>
      </c>
      <c r="G71" s="123">
        <v>554</v>
      </c>
      <c r="H71" s="123">
        <v>0</v>
      </c>
      <c r="I71" s="560">
        <v>5464</v>
      </c>
      <c r="J71" s="124">
        <v>692</v>
      </c>
      <c r="K71" s="125">
        <v>0</v>
      </c>
      <c r="L71" s="602">
        <f t="shared" si="35"/>
        <v>1</v>
      </c>
      <c r="M71" s="606">
        <f t="shared" si="34"/>
        <v>1</v>
      </c>
      <c r="N71" s="606">
        <f t="shared" si="34"/>
        <v>1</v>
      </c>
      <c r="O71" s="606">
        <f t="shared" si="34"/>
        <v>1</v>
      </c>
      <c r="P71" s="606">
        <f t="shared" si="34"/>
        <v>1</v>
      </c>
      <c r="Q71" s="609">
        <f t="shared" si="36"/>
        <v>0</v>
      </c>
      <c r="R71" s="610">
        <f t="shared" si="34"/>
        <v>1</v>
      </c>
      <c r="S71" s="608">
        <f t="shared" si="34"/>
        <v>1</v>
      </c>
      <c r="T71" s="609">
        <f t="shared" si="37"/>
        <v>0</v>
      </c>
    </row>
    <row r="72" spans="1:20" s="55" customFormat="1" ht="13.9" customHeight="1">
      <c r="A72" s="107" t="s">
        <v>10</v>
      </c>
      <c r="B72" s="107" t="s">
        <v>53</v>
      </c>
      <c r="C72" s="119">
        <v>557</v>
      </c>
      <c r="D72" s="119">
        <v>116</v>
      </c>
      <c r="E72" s="119">
        <v>170</v>
      </c>
      <c r="F72" s="119">
        <v>241</v>
      </c>
      <c r="G72" s="119">
        <v>24</v>
      </c>
      <c r="H72" s="119">
        <v>35</v>
      </c>
      <c r="I72" s="559">
        <v>1143</v>
      </c>
      <c r="J72" s="120">
        <v>784</v>
      </c>
      <c r="K72" s="119">
        <v>0</v>
      </c>
      <c r="L72" s="605">
        <f>+C72/C$78</f>
        <v>0.40100791936645069</v>
      </c>
      <c r="M72" s="603">
        <f t="shared" ref="M72:S78" si="38">+D72/D$78</f>
        <v>0.28019323671497587</v>
      </c>
      <c r="N72" s="603">
        <f t="shared" si="38"/>
        <v>0.3281853281853282</v>
      </c>
      <c r="O72" s="603">
        <f t="shared" si="38"/>
        <v>0.25692963752665243</v>
      </c>
      <c r="P72" s="603">
        <f t="shared" si="38"/>
        <v>0.21238938053097345</v>
      </c>
      <c r="Q72" s="603">
        <f t="shared" si="38"/>
        <v>0.30172413793103448</v>
      </c>
      <c r="R72" s="604">
        <f t="shared" si="38"/>
        <v>0.32769495412844035</v>
      </c>
      <c r="S72" s="605">
        <f t="shared" si="38"/>
        <v>0.40329218106995884</v>
      </c>
      <c r="T72" s="603">
        <f>IF(K$78&gt;0,(+K72/K$78),0)</f>
        <v>0</v>
      </c>
    </row>
    <row r="73" spans="1:20" s="55" customFormat="1" ht="13.9" customHeight="1">
      <c r="A73" s="112"/>
      <c r="B73" s="106" t="s">
        <v>93</v>
      </c>
      <c r="C73" s="123">
        <v>367</v>
      </c>
      <c r="D73" s="123">
        <v>131</v>
      </c>
      <c r="E73" s="123">
        <v>121</v>
      </c>
      <c r="F73" s="123">
        <v>248</v>
      </c>
      <c r="G73" s="123">
        <v>22</v>
      </c>
      <c r="H73" s="123">
        <v>32</v>
      </c>
      <c r="I73" s="560">
        <v>921</v>
      </c>
      <c r="J73" s="124">
        <v>554</v>
      </c>
      <c r="K73" s="125">
        <v>0</v>
      </c>
      <c r="L73" s="602">
        <f t="shared" ref="L73:L78" si="39">+C73/C$78</f>
        <v>0.26421886249100074</v>
      </c>
      <c r="M73" s="606">
        <f t="shared" si="38"/>
        <v>0.31642512077294688</v>
      </c>
      <c r="N73" s="606">
        <f t="shared" si="38"/>
        <v>0.2335907335907336</v>
      </c>
      <c r="O73" s="606">
        <f t="shared" si="38"/>
        <v>0.26439232409381663</v>
      </c>
      <c r="P73" s="606">
        <f t="shared" si="38"/>
        <v>0.19469026548672566</v>
      </c>
      <c r="Q73" s="606">
        <f t="shared" si="38"/>
        <v>0.27586206896551724</v>
      </c>
      <c r="R73" s="607">
        <f t="shared" si="38"/>
        <v>0.2640481651376147</v>
      </c>
      <c r="S73" s="602">
        <f t="shared" si="38"/>
        <v>0.28497942386831276</v>
      </c>
      <c r="T73" s="606">
        <f t="shared" ref="T73:T78" si="40">IF(K$78&gt;0,(+K73/K$78),0)</f>
        <v>0</v>
      </c>
    </row>
    <row r="74" spans="1:20" s="55" customFormat="1" ht="13.9" customHeight="1">
      <c r="A74" s="112"/>
      <c r="B74" s="106" t="s">
        <v>55</v>
      </c>
      <c r="C74" s="123">
        <v>240</v>
      </c>
      <c r="D74" s="123">
        <v>103</v>
      </c>
      <c r="E74" s="123">
        <v>157</v>
      </c>
      <c r="F74" s="123">
        <v>289</v>
      </c>
      <c r="G74" s="123">
        <v>46</v>
      </c>
      <c r="H74" s="123">
        <v>46</v>
      </c>
      <c r="I74" s="560">
        <v>881</v>
      </c>
      <c r="J74" s="124">
        <v>483</v>
      </c>
      <c r="K74" s="125">
        <v>0</v>
      </c>
      <c r="L74" s="602">
        <f t="shared" si="39"/>
        <v>0.17278617710583152</v>
      </c>
      <c r="M74" s="606">
        <f t="shared" si="38"/>
        <v>0.24879227053140096</v>
      </c>
      <c r="N74" s="606">
        <f t="shared" si="38"/>
        <v>0.30308880308880309</v>
      </c>
      <c r="O74" s="606">
        <f t="shared" si="38"/>
        <v>0.30810234541577824</v>
      </c>
      <c r="P74" s="606">
        <f t="shared" si="38"/>
        <v>0.40707964601769914</v>
      </c>
      <c r="Q74" s="606">
        <f t="shared" si="38"/>
        <v>0.39655172413793105</v>
      </c>
      <c r="R74" s="607">
        <f t="shared" si="38"/>
        <v>0.25258027522935778</v>
      </c>
      <c r="S74" s="602">
        <f t="shared" si="38"/>
        <v>0.24845679012345678</v>
      </c>
      <c r="T74" s="606">
        <f t="shared" si="40"/>
        <v>0</v>
      </c>
    </row>
    <row r="75" spans="1:20" s="55" customFormat="1" ht="13.9" customHeight="1">
      <c r="A75" s="112"/>
      <c r="B75" s="106" t="s">
        <v>78</v>
      </c>
      <c r="C75" s="123">
        <v>37</v>
      </c>
      <c r="D75" s="123">
        <v>21</v>
      </c>
      <c r="E75" s="123">
        <v>17</v>
      </c>
      <c r="F75" s="123">
        <v>43</v>
      </c>
      <c r="G75" s="123">
        <v>12</v>
      </c>
      <c r="H75" s="123">
        <v>3</v>
      </c>
      <c r="I75" s="560">
        <v>133</v>
      </c>
      <c r="J75" s="124">
        <v>116</v>
      </c>
      <c r="K75" s="125">
        <v>0</v>
      </c>
      <c r="L75" s="602">
        <f t="shared" si="39"/>
        <v>2.663786897048236E-2</v>
      </c>
      <c r="M75" s="606">
        <f t="shared" si="38"/>
        <v>5.0724637681159424E-2</v>
      </c>
      <c r="N75" s="606">
        <f t="shared" si="38"/>
        <v>3.2818532818532815E-2</v>
      </c>
      <c r="O75" s="606">
        <f t="shared" si="38"/>
        <v>4.5842217484008532E-2</v>
      </c>
      <c r="P75" s="606">
        <f t="shared" si="38"/>
        <v>0.10619469026548672</v>
      </c>
      <c r="Q75" s="606">
        <f t="shared" si="38"/>
        <v>2.5862068965517241E-2</v>
      </c>
      <c r="R75" s="607">
        <f t="shared" si="38"/>
        <v>3.8130733944954129E-2</v>
      </c>
      <c r="S75" s="602">
        <f t="shared" si="38"/>
        <v>5.9670781893004114E-2</v>
      </c>
      <c r="T75" s="606">
        <f t="shared" si="40"/>
        <v>0</v>
      </c>
    </row>
    <row r="76" spans="1:20" s="55" customFormat="1" ht="13.9" customHeight="1">
      <c r="A76" s="112"/>
      <c r="B76" s="106" t="s">
        <v>32</v>
      </c>
      <c r="C76" s="123">
        <v>188</v>
      </c>
      <c r="D76" s="123">
        <v>43</v>
      </c>
      <c r="E76" s="123">
        <v>53</v>
      </c>
      <c r="F76" s="123">
        <v>117</v>
      </c>
      <c r="G76" s="123">
        <v>9</v>
      </c>
      <c r="H76" s="123">
        <v>0</v>
      </c>
      <c r="I76" s="560">
        <v>410</v>
      </c>
      <c r="J76" s="124">
        <v>7</v>
      </c>
      <c r="K76" s="125">
        <v>0</v>
      </c>
      <c r="L76" s="602">
        <f t="shared" si="39"/>
        <v>0.1353491720662347</v>
      </c>
      <c r="M76" s="606">
        <f t="shared" si="38"/>
        <v>0.10386473429951691</v>
      </c>
      <c r="N76" s="606">
        <f t="shared" si="38"/>
        <v>0.10231660231660232</v>
      </c>
      <c r="O76" s="606">
        <f t="shared" si="38"/>
        <v>0.12473347547974413</v>
      </c>
      <c r="P76" s="606">
        <f t="shared" si="38"/>
        <v>7.9646017699115043E-2</v>
      </c>
      <c r="Q76" s="606">
        <f t="shared" si="38"/>
        <v>0</v>
      </c>
      <c r="R76" s="607">
        <f t="shared" si="38"/>
        <v>0.11754587155963303</v>
      </c>
      <c r="S76" s="602">
        <f t="shared" si="38"/>
        <v>3.6008230452674898E-3</v>
      </c>
      <c r="T76" s="606">
        <f t="shared" si="40"/>
        <v>0</v>
      </c>
    </row>
    <row r="77" spans="1:20" s="55" customFormat="1" ht="13.9" customHeight="1">
      <c r="A77" s="112"/>
      <c r="B77" s="106" t="s">
        <v>58</v>
      </c>
      <c r="C77" s="123">
        <v>0</v>
      </c>
      <c r="D77" s="123">
        <v>0</v>
      </c>
      <c r="E77" s="123">
        <v>0</v>
      </c>
      <c r="F77" s="123">
        <v>0</v>
      </c>
      <c r="G77" s="123">
        <v>0</v>
      </c>
      <c r="H77" s="123">
        <v>0</v>
      </c>
      <c r="I77" s="560">
        <v>0</v>
      </c>
      <c r="J77" s="124">
        <v>0</v>
      </c>
      <c r="K77" s="125">
        <v>0</v>
      </c>
      <c r="L77" s="602">
        <f t="shared" si="39"/>
        <v>0</v>
      </c>
      <c r="M77" s="606">
        <f t="shared" si="38"/>
        <v>0</v>
      </c>
      <c r="N77" s="606">
        <f t="shared" si="38"/>
        <v>0</v>
      </c>
      <c r="O77" s="606">
        <f t="shared" si="38"/>
        <v>0</v>
      </c>
      <c r="P77" s="606">
        <f t="shared" si="38"/>
        <v>0</v>
      </c>
      <c r="Q77" s="606">
        <f t="shared" si="38"/>
        <v>0</v>
      </c>
      <c r="R77" s="607">
        <f t="shared" si="38"/>
        <v>0</v>
      </c>
      <c r="S77" s="602">
        <f t="shared" si="38"/>
        <v>0</v>
      </c>
      <c r="T77" s="606">
        <f t="shared" si="40"/>
        <v>0</v>
      </c>
    </row>
    <row r="78" spans="1:20" s="127" customFormat="1" ht="24" customHeight="1">
      <c r="A78" s="128"/>
      <c r="B78" s="114" t="s">
        <v>59</v>
      </c>
      <c r="C78" s="129">
        <v>1389</v>
      </c>
      <c r="D78" s="129">
        <v>414</v>
      </c>
      <c r="E78" s="129">
        <v>518</v>
      </c>
      <c r="F78" s="129">
        <v>938</v>
      </c>
      <c r="G78" s="129">
        <v>113</v>
      </c>
      <c r="H78" s="129">
        <v>116</v>
      </c>
      <c r="I78" s="561">
        <v>3488</v>
      </c>
      <c r="J78" s="130">
        <v>1944</v>
      </c>
      <c r="K78" s="129">
        <v>0</v>
      </c>
      <c r="L78" s="608">
        <f t="shared" si="39"/>
        <v>1</v>
      </c>
      <c r="M78" s="609">
        <f t="shared" si="38"/>
        <v>1</v>
      </c>
      <c r="N78" s="609">
        <f t="shared" si="38"/>
        <v>1</v>
      </c>
      <c r="O78" s="609">
        <f t="shared" si="38"/>
        <v>1</v>
      </c>
      <c r="P78" s="609">
        <f t="shared" si="38"/>
        <v>1</v>
      </c>
      <c r="Q78" s="609">
        <f t="shared" si="38"/>
        <v>1</v>
      </c>
      <c r="R78" s="610">
        <f t="shared" si="38"/>
        <v>1</v>
      </c>
      <c r="S78" s="608">
        <f t="shared" si="38"/>
        <v>1</v>
      </c>
      <c r="T78" s="609">
        <f t="shared" si="40"/>
        <v>0</v>
      </c>
    </row>
    <row r="79" spans="1:20" s="55" customFormat="1" ht="13.9" customHeight="1">
      <c r="A79" s="107" t="s">
        <v>11</v>
      </c>
      <c r="B79" s="107" t="s">
        <v>53</v>
      </c>
      <c r="C79" s="119">
        <v>325</v>
      </c>
      <c r="D79" s="119">
        <v>344</v>
      </c>
      <c r="E79" s="119">
        <v>66</v>
      </c>
      <c r="F79" s="119">
        <v>64</v>
      </c>
      <c r="G79" s="119">
        <v>74</v>
      </c>
      <c r="H79" s="119">
        <v>18</v>
      </c>
      <c r="I79" s="559">
        <v>891</v>
      </c>
      <c r="J79" s="120">
        <v>0</v>
      </c>
      <c r="K79" s="119">
        <v>0</v>
      </c>
      <c r="L79" s="605">
        <f>+C79/C$85</f>
        <v>0.36434977578475336</v>
      </c>
      <c r="M79" s="603">
        <f t="shared" ref="M79:S85" si="41">+D79/D$85</f>
        <v>0.29426860564585117</v>
      </c>
      <c r="N79" s="603">
        <f t="shared" si="41"/>
        <v>0.20183486238532111</v>
      </c>
      <c r="O79" s="603">
        <f t="shared" si="41"/>
        <v>0.33507853403141363</v>
      </c>
      <c r="P79" s="603">
        <f t="shared" si="41"/>
        <v>0.24025974025974026</v>
      </c>
      <c r="Q79" s="603">
        <f t="shared" si="41"/>
        <v>0.16822429906542055</v>
      </c>
      <c r="R79" s="604">
        <f t="shared" si="41"/>
        <v>0.29759519038076154</v>
      </c>
      <c r="S79" s="605">
        <f t="shared" si="41"/>
        <v>0</v>
      </c>
      <c r="T79" s="603">
        <f>IF(K$85&gt;0,(+K79/K$85),0)</f>
        <v>0</v>
      </c>
    </row>
    <row r="80" spans="1:20" s="55" customFormat="1" ht="13.9" customHeight="1">
      <c r="A80" s="112"/>
      <c r="B80" s="106" t="s">
        <v>93</v>
      </c>
      <c r="C80" s="123">
        <v>230</v>
      </c>
      <c r="D80" s="123">
        <v>336</v>
      </c>
      <c r="E80" s="123">
        <v>80</v>
      </c>
      <c r="F80" s="123">
        <v>30</v>
      </c>
      <c r="G80" s="123">
        <v>52</v>
      </c>
      <c r="H80" s="123">
        <v>16</v>
      </c>
      <c r="I80" s="560">
        <v>744</v>
      </c>
      <c r="J80" s="124">
        <v>0</v>
      </c>
      <c r="K80" s="125">
        <v>0</v>
      </c>
      <c r="L80" s="602">
        <f t="shared" ref="L80:L85" si="42">+C80/C$85</f>
        <v>0.25784753363228702</v>
      </c>
      <c r="M80" s="606">
        <f t="shared" si="41"/>
        <v>0.28742514970059879</v>
      </c>
      <c r="N80" s="606">
        <f t="shared" si="41"/>
        <v>0.24464831804281345</v>
      </c>
      <c r="O80" s="606">
        <f t="shared" si="41"/>
        <v>0.15706806282722513</v>
      </c>
      <c r="P80" s="606">
        <f t="shared" si="41"/>
        <v>0.16883116883116883</v>
      </c>
      <c r="Q80" s="606">
        <f t="shared" si="41"/>
        <v>0.14953271028037382</v>
      </c>
      <c r="R80" s="607">
        <f t="shared" si="41"/>
        <v>0.24849699398797595</v>
      </c>
      <c r="S80" s="602">
        <f t="shared" si="41"/>
        <v>0</v>
      </c>
      <c r="T80" s="606">
        <f t="shared" ref="T80:T85" si="43">IF(K$85&gt;0,(+K80/K$85),0)</f>
        <v>0</v>
      </c>
    </row>
    <row r="81" spans="1:20" s="55" customFormat="1" ht="13.9" customHeight="1">
      <c r="A81" s="112"/>
      <c r="B81" s="106" t="s">
        <v>55</v>
      </c>
      <c r="C81" s="123">
        <v>216</v>
      </c>
      <c r="D81" s="123">
        <v>330</v>
      </c>
      <c r="E81" s="123">
        <v>126</v>
      </c>
      <c r="F81" s="123">
        <v>74</v>
      </c>
      <c r="G81" s="123">
        <v>105</v>
      </c>
      <c r="H81" s="123">
        <v>60</v>
      </c>
      <c r="I81" s="560">
        <v>911</v>
      </c>
      <c r="J81" s="124">
        <v>0</v>
      </c>
      <c r="K81" s="125">
        <v>0</v>
      </c>
      <c r="L81" s="602">
        <f t="shared" si="42"/>
        <v>0.24215246636771301</v>
      </c>
      <c r="M81" s="606">
        <f t="shared" si="41"/>
        <v>0.28229255774165951</v>
      </c>
      <c r="N81" s="606">
        <f t="shared" si="41"/>
        <v>0.38532110091743121</v>
      </c>
      <c r="O81" s="606">
        <f t="shared" si="41"/>
        <v>0.38743455497382201</v>
      </c>
      <c r="P81" s="606">
        <f t="shared" si="41"/>
        <v>0.34090909090909088</v>
      </c>
      <c r="Q81" s="606">
        <f t="shared" si="41"/>
        <v>0.56074766355140182</v>
      </c>
      <c r="R81" s="607">
        <f t="shared" si="41"/>
        <v>0.30427521710086841</v>
      </c>
      <c r="S81" s="602">
        <f t="shared" si="41"/>
        <v>0</v>
      </c>
      <c r="T81" s="606">
        <f t="shared" si="43"/>
        <v>0</v>
      </c>
    </row>
    <row r="82" spans="1:20" s="55" customFormat="1" ht="13.9" customHeight="1">
      <c r="A82" s="112"/>
      <c r="B82" s="106" t="s">
        <v>78</v>
      </c>
      <c r="C82" s="123">
        <v>69</v>
      </c>
      <c r="D82" s="123">
        <v>158</v>
      </c>
      <c r="E82" s="123">
        <v>54</v>
      </c>
      <c r="F82" s="123">
        <v>23</v>
      </c>
      <c r="G82" s="123">
        <v>77</v>
      </c>
      <c r="H82" s="123">
        <v>13</v>
      </c>
      <c r="I82" s="560">
        <v>394</v>
      </c>
      <c r="J82" s="124">
        <v>0</v>
      </c>
      <c r="K82" s="125">
        <v>0</v>
      </c>
      <c r="L82" s="602">
        <f t="shared" si="42"/>
        <v>7.73542600896861E-2</v>
      </c>
      <c r="M82" s="606">
        <f t="shared" si="41"/>
        <v>0.13515825491873396</v>
      </c>
      <c r="N82" s="606">
        <f t="shared" si="41"/>
        <v>0.16513761467889909</v>
      </c>
      <c r="O82" s="606">
        <f t="shared" si="41"/>
        <v>0.12041884816753927</v>
      </c>
      <c r="P82" s="606">
        <f t="shared" si="41"/>
        <v>0.25</v>
      </c>
      <c r="Q82" s="606">
        <f t="shared" si="41"/>
        <v>0.12149532710280374</v>
      </c>
      <c r="R82" s="607">
        <f t="shared" si="41"/>
        <v>0.13159652638610556</v>
      </c>
      <c r="S82" s="602">
        <f t="shared" si="41"/>
        <v>0</v>
      </c>
      <c r="T82" s="606">
        <f t="shared" si="43"/>
        <v>0</v>
      </c>
    </row>
    <row r="83" spans="1:20" s="55" customFormat="1" ht="13.9" customHeight="1">
      <c r="A83" s="112"/>
      <c r="B83" s="106" t="s">
        <v>32</v>
      </c>
      <c r="C83" s="123">
        <v>52</v>
      </c>
      <c r="D83" s="123">
        <v>1</v>
      </c>
      <c r="E83" s="123">
        <v>1</v>
      </c>
      <c r="F83" s="123">
        <v>0</v>
      </c>
      <c r="G83" s="123">
        <v>0</v>
      </c>
      <c r="H83" s="123">
        <v>0</v>
      </c>
      <c r="I83" s="560">
        <v>54</v>
      </c>
      <c r="J83" s="124">
        <v>0</v>
      </c>
      <c r="K83" s="125">
        <v>0</v>
      </c>
      <c r="L83" s="602">
        <f t="shared" si="42"/>
        <v>5.829596412556054E-2</v>
      </c>
      <c r="M83" s="606">
        <f t="shared" si="41"/>
        <v>8.5543199315654401E-4</v>
      </c>
      <c r="N83" s="606">
        <f t="shared" si="41"/>
        <v>3.0581039755351682E-3</v>
      </c>
      <c r="O83" s="606">
        <f t="shared" si="41"/>
        <v>0</v>
      </c>
      <c r="P83" s="606">
        <f t="shared" si="41"/>
        <v>0</v>
      </c>
      <c r="Q83" s="606">
        <f t="shared" si="41"/>
        <v>0</v>
      </c>
      <c r="R83" s="607">
        <f t="shared" si="41"/>
        <v>1.8036072144288578E-2</v>
      </c>
      <c r="S83" s="602">
        <f t="shared" si="41"/>
        <v>0</v>
      </c>
      <c r="T83" s="606">
        <f t="shared" si="43"/>
        <v>0</v>
      </c>
    </row>
    <row r="84" spans="1:20" s="55" customFormat="1" ht="13.9" customHeight="1">
      <c r="A84" s="112"/>
      <c r="B84" s="106" t="s">
        <v>58</v>
      </c>
      <c r="C84" s="123">
        <v>0</v>
      </c>
      <c r="D84" s="123">
        <v>0</v>
      </c>
      <c r="E84" s="123">
        <v>0</v>
      </c>
      <c r="F84" s="123">
        <v>0</v>
      </c>
      <c r="G84" s="123">
        <v>0</v>
      </c>
      <c r="H84" s="123">
        <v>0</v>
      </c>
      <c r="I84" s="560">
        <v>0</v>
      </c>
      <c r="J84" s="124">
        <v>2281.8000000000002</v>
      </c>
      <c r="K84" s="125">
        <v>0</v>
      </c>
      <c r="L84" s="602">
        <f t="shared" si="42"/>
        <v>0</v>
      </c>
      <c r="M84" s="606">
        <f t="shared" si="41"/>
        <v>0</v>
      </c>
      <c r="N84" s="606">
        <f t="shared" si="41"/>
        <v>0</v>
      </c>
      <c r="O84" s="606">
        <f t="shared" si="41"/>
        <v>0</v>
      </c>
      <c r="P84" s="606">
        <f t="shared" si="41"/>
        <v>0</v>
      </c>
      <c r="Q84" s="606">
        <f t="shared" si="41"/>
        <v>0</v>
      </c>
      <c r="R84" s="607">
        <f t="shared" si="41"/>
        <v>0</v>
      </c>
      <c r="S84" s="602">
        <f t="shared" si="41"/>
        <v>1</v>
      </c>
      <c r="T84" s="606">
        <f t="shared" si="43"/>
        <v>0</v>
      </c>
    </row>
    <row r="85" spans="1:20" s="127" customFormat="1" ht="24" customHeight="1">
      <c r="A85" s="112"/>
      <c r="B85" s="126" t="s">
        <v>59</v>
      </c>
      <c r="C85" s="123">
        <v>892</v>
      </c>
      <c r="D85" s="123">
        <v>1169</v>
      </c>
      <c r="E85" s="123">
        <v>327</v>
      </c>
      <c r="F85" s="123">
        <v>191</v>
      </c>
      <c r="G85" s="123">
        <v>308</v>
      </c>
      <c r="H85" s="123">
        <v>107</v>
      </c>
      <c r="I85" s="560">
        <v>2994</v>
      </c>
      <c r="J85" s="124">
        <v>2281.8000000000002</v>
      </c>
      <c r="K85" s="125">
        <v>0</v>
      </c>
      <c r="L85" s="602">
        <f t="shared" si="42"/>
        <v>1</v>
      </c>
      <c r="M85" s="606">
        <f t="shared" si="41"/>
        <v>1</v>
      </c>
      <c r="N85" s="606">
        <f t="shared" si="41"/>
        <v>1</v>
      </c>
      <c r="O85" s="606">
        <f t="shared" si="41"/>
        <v>1</v>
      </c>
      <c r="P85" s="606">
        <f t="shared" si="41"/>
        <v>1</v>
      </c>
      <c r="Q85" s="606">
        <f t="shared" si="41"/>
        <v>1</v>
      </c>
      <c r="R85" s="607">
        <f t="shared" si="41"/>
        <v>1</v>
      </c>
      <c r="S85" s="602">
        <f t="shared" si="41"/>
        <v>1</v>
      </c>
      <c r="T85" s="609">
        <f t="shared" si="43"/>
        <v>0</v>
      </c>
    </row>
    <row r="86" spans="1:20" s="55" customFormat="1" ht="13.9" customHeight="1">
      <c r="A86" s="107" t="s">
        <v>12</v>
      </c>
      <c r="B86" s="107" t="s">
        <v>53</v>
      </c>
      <c r="C86" s="119">
        <v>1047</v>
      </c>
      <c r="D86" s="119">
        <v>147</v>
      </c>
      <c r="E86" s="119">
        <v>812</v>
      </c>
      <c r="F86" s="119">
        <v>169</v>
      </c>
      <c r="G86" s="119">
        <v>42</v>
      </c>
      <c r="H86" s="119">
        <v>132</v>
      </c>
      <c r="I86" s="559">
        <v>2349</v>
      </c>
      <c r="J86" s="120">
        <v>0</v>
      </c>
      <c r="K86" s="119">
        <v>0</v>
      </c>
      <c r="L86" s="605">
        <f>+C86/C$92</f>
        <v>0.42098914354644151</v>
      </c>
      <c r="M86" s="603">
        <f t="shared" ref="M86:S92" si="44">+D86/D$92</f>
        <v>0.24459234608985025</v>
      </c>
      <c r="N86" s="603">
        <f t="shared" si="44"/>
        <v>0.26798679867986797</v>
      </c>
      <c r="O86" s="603">
        <f t="shared" si="44"/>
        <v>0.27479674796747966</v>
      </c>
      <c r="P86" s="603">
        <f t="shared" si="44"/>
        <v>0.28965517241379313</v>
      </c>
      <c r="Q86" s="603">
        <f t="shared" si="44"/>
        <v>0.30841121495327101</v>
      </c>
      <c r="R86" s="604">
        <f t="shared" si="44"/>
        <v>0.32151656173008486</v>
      </c>
      <c r="S86" s="605">
        <f t="shared" si="44"/>
        <v>0</v>
      </c>
      <c r="T86" s="603">
        <f>IF(K$92&gt;0,(+K86/K$92),0)</f>
        <v>0</v>
      </c>
    </row>
    <row r="87" spans="1:20" s="55" customFormat="1" ht="13.9" customHeight="1">
      <c r="A87" s="112"/>
      <c r="B87" s="106" t="s">
        <v>93</v>
      </c>
      <c r="C87" s="123">
        <v>606</v>
      </c>
      <c r="D87" s="123">
        <v>170</v>
      </c>
      <c r="E87" s="123">
        <v>934</v>
      </c>
      <c r="F87" s="123">
        <v>204</v>
      </c>
      <c r="G87" s="123">
        <v>26</v>
      </c>
      <c r="H87" s="123">
        <v>102</v>
      </c>
      <c r="I87" s="560">
        <v>2042</v>
      </c>
      <c r="J87" s="124">
        <v>0</v>
      </c>
      <c r="K87" s="125">
        <v>0</v>
      </c>
      <c r="L87" s="602">
        <f t="shared" ref="L87:L92" si="45">+C87/C$92</f>
        <v>0.24366706875753921</v>
      </c>
      <c r="M87" s="606">
        <f t="shared" si="44"/>
        <v>0.28286189683860236</v>
      </c>
      <c r="N87" s="606">
        <f t="shared" si="44"/>
        <v>0.30825082508250823</v>
      </c>
      <c r="O87" s="606">
        <f t="shared" si="44"/>
        <v>0.33170731707317075</v>
      </c>
      <c r="P87" s="606">
        <f t="shared" si="44"/>
        <v>0.1793103448275862</v>
      </c>
      <c r="Q87" s="606">
        <f t="shared" si="44"/>
        <v>0.23831775700934579</v>
      </c>
      <c r="R87" s="607">
        <f t="shared" si="44"/>
        <v>0.27949630440733642</v>
      </c>
      <c r="S87" s="602">
        <f t="shared" si="44"/>
        <v>0</v>
      </c>
      <c r="T87" s="606">
        <f t="shared" ref="T87:T92" si="46">IF(K$92&gt;0,(+K87/K$92),0)</f>
        <v>0</v>
      </c>
    </row>
    <row r="88" spans="1:20" s="55" customFormat="1" ht="13.9" customHeight="1">
      <c r="A88" s="112"/>
      <c r="B88" s="106" t="s">
        <v>55</v>
      </c>
      <c r="C88" s="123">
        <v>415</v>
      </c>
      <c r="D88" s="123">
        <v>125</v>
      </c>
      <c r="E88" s="123">
        <v>720</v>
      </c>
      <c r="F88" s="123">
        <v>142</v>
      </c>
      <c r="G88" s="123">
        <v>47</v>
      </c>
      <c r="H88" s="123">
        <v>112</v>
      </c>
      <c r="I88" s="560">
        <v>1561</v>
      </c>
      <c r="J88" s="124">
        <v>0</v>
      </c>
      <c r="K88" s="125">
        <v>0</v>
      </c>
      <c r="L88" s="602">
        <f t="shared" si="45"/>
        <v>0.16686771210293527</v>
      </c>
      <c r="M88" s="606">
        <f t="shared" si="44"/>
        <v>0.20798668885191349</v>
      </c>
      <c r="N88" s="606">
        <f t="shared" si="44"/>
        <v>0.23762376237623761</v>
      </c>
      <c r="O88" s="606">
        <f t="shared" si="44"/>
        <v>0.23089430894308943</v>
      </c>
      <c r="P88" s="606">
        <f t="shared" si="44"/>
        <v>0.32413793103448274</v>
      </c>
      <c r="Q88" s="606">
        <f t="shared" si="44"/>
        <v>0.26168224299065418</v>
      </c>
      <c r="R88" s="607">
        <f t="shared" si="44"/>
        <v>0.21366000547495209</v>
      </c>
      <c r="S88" s="602">
        <f t="shared" si="44"/>
        <v>0</v>
      </c>
      <c r="T88" s="606">
        <f t="shared" si="46"/>
        <v>0</v>
      </c>
    </row>
    <row r="89" spans="1:20" s="55" customFormat="1" ht="13.9" customHeight="1">
      <c r="A89" s="112"/>
      <c r="B89" s="106" t="s">
        <v>78</v>
      </c>
      <c r="C89" s="123">
        <v>20</v>
      </c>
      <c r="D89" s="123">
        <v>5</v>
      </c>
      <c r="E89" s="123">
        <v>36</v>
      </c>
      <c r="F89" s="123">
        <v>4</v>
      </c>
      <c r="G89" s="123">
        <v>3</v>
      </c>
      <c r="H89" s="123">
        <v>10</v>
      </c>
      <c r="I89" s="560">
        <v>78</v>
      </c>
      <c r="J89" s="124">
        <v>0</v>
      </c>
      <c r="K89" s="125">
        <v>0</v>
      </c>
      <c r="L89" s="602">
        <f t="shared" si="45"/>
        <v>8.0418174507438673E-3</v>
      </c>
      <c r="M89" s="606">
        <f t="shared" si="44"/>
        <v>8.3194675540765387E-3</v>
      </c>
      <c r="N89" s="606">
        <f t="shared" si="44"/>
        <v>1.1881188118811881E-2</v>
      </c>
      <c r="O89" s="606">
        <f t="shared" si="44"/>
        <v>6.5040650406504065E-3</v>
      </c>
      <c r="P89" s="606">
        <f t="shared" si="44"/>
        <v>2.0689655172413793E-2</v>
      </c>
      <c r="Q89" s="606">
        <f t="shared" si="44"/>
        <v>2.336448598130841E-2</v>
      </c>
      <c r="R89" s="607">
        <f t="shared" si="44"/>
        <v>1.0676156583629894E-2</v>
      </c>
      <c r="S89" s="602">
        <f t="shared" si="44"/>
        <v>0</v>
      </c>
      <c r="T89" s="606">
        <f t="shared" si="46"/>
        <v>0</v>
      </c>
    </row>
    <row r="90" spans="1:20" s="55" customFormat="1" ht="13.9" customHeight="1">
      <c r="A90" s="112"/>
      <c r="B90" s="106" t="s">
        <v>32</v>
      </c>
      <c r="C90" s="123">
        <v>399</v>
      </c>
      <c r="D90" s="123">
        <v>154</v>
      </c>
      <c r="E90" s="123">
        <v>528</v>
      </c>
      <c r="F90" s="123">
        <v>96</v>
      </c>
      <c r="G90" s="123">
        <v>27</v>
      </c>
      <c r="H90" s="123">
        <v>72</v>
      </c>
      <c r="I90" s="560">
        <v>1276</v>
      </c>
      <c r="J90" s="124">
        <v>0</v>
      </c>
      <c r="K90" s="125">
        <v>0</v>
      </c>
      <c r="L90" s="602">
        <f t="shared" si="45"/>
        <v>0.16043425814234016</v>
      </c>
      <c r="M90" s="606">
        <f t="shared" si="44"/>
        <v>0.2562396006655574</v>
      </c>
      <c r="N90" s="606">
        <f t="shared" si="44"/>
        <v>0.17425742574257425</v>
      </c>
      <c r="O90" s="606">
        <f t="shared" si="44"/>
        <v>0.15609756097560976</v>
      </c>
      <c r="P90" s="606">
        <f t="shared" si="44"/>
        <v>0.18620689655172415</v>
      </c>
      <c r="Q90" s="606">
        <f t="shared" si="44"/>
        <v>0.16822429906542055</v>
      </c>
      <c r="R90" s="607">
        <f t="shared" si="44"/>
        <v>0.17465097180399672</v>
      </c>
      <c r="S90" s="602">
        <f t="shared" si="44"/>
        <v>0</v>
      </c>
      <c r="T90" s="606">
        <f t="shared" si="46"/>
        <v>0</v>
      </c>
    </row>
    <row r="91" spans="1:20" s="55" customFormat="1" ht="13.9" customHeight="1">
      <c r="A91" s="112"/>
      <c r="B91" s="106" t="s">
        <v>58</v>
      </c>
      <c r="C91" s="123">
        <v>0</v>
      </c>
      <c r="D91" s="123">
        <v>0</v>
      </c>
      <c r="E91" s="123">
        <v>0</v>
      </c>
      <c r="F91" s="123">
        <v>0</v>
      </c>
      <c r="G91" s="123">
        <v>0</v>
      </c>
      <c r="H91" s="123">
        <v>0</v>
      </c>
      <c r="I91" s="560">
        <v>0</v>
      </c>
      <c r="J91" s="124">
        <v>4390</v>
      </c>
      <c r="K91" s="125">
        <v>0</v>
      </c>
      <c r="L91" s="602">
        <f t="shared" si="45"/>
        <v>0</v>
      </c>
      <c r="M91" s="606">
        <f t="shared" si="44"/>
        <v>0</v>
      </c>
      <c r="N91" s="606">
        <f t="shared" si="44"/>
        <v>0</v>
      </c>
      <c r="O91" s="606">
        <f t="shared" si="44"/>
        <v>0</v>
      </c>
      <c r="P91" s="606">
        <f t="shared" si="44"/>
        <v>0</v>
      </c>
      <c r="Q91" s="606">
        <f t="shared" si="44"/>
        <v>0</v>
      </c>
      <c r="R91" s="607">
        <f t="shared" si="44"/>
        <v>0</v>
      </c>
      <c r="S91" s="602">
        <f t="shared" si="44"/>
        <v>1</v>
      </c>
      <c r="T91" s="606">
        <f t="shared" si="46"/>
        <v>0</v>
      </c>
    </row>
    <row r="92" spans="1:20" s="127" customFormat="1" ht="24" customHeight="1">
      <c r="A92" s="112"/>
      <c r="B92" s="126" t="s">
        <v>59</v>
      </c>
      <c r="C92" s="123">
        <v>2487</v>
      </c>
      <c r="D92" s="123">
        <v>601</v>
      </c>
      <c r="E92" s="123">
        <v>3030</v>
      </c>
      <c r="F92" s="123">
        <v>615</v>
      </c>
      <c r="G92" s="123">
        <v>145</v>
      </c>
      <c r="H92" s="123">
        <v>428</v>
      </c>
      <c r="I92" s="560">
        <v>7306</v>
      </c>
      <c r="J92" s="124">
        <v>4390</v>
      </c>
      <c r="K92" s="125">
        <v>0</v>
      </c>
      <c r="L92" s="602">
        <f t="shared" si="45"/>
        <v>1</v>
      </c>
      <c r="M92" s="606">
        <f t="shared" si="44"/>
        <v>1</v>
      </c>
      <c r="N92" s="606">
        <f t="shared" si="44"/>
        <v>1</v>
      </c>
      <c r="O92" s="606">
        <f t="shared" si="44"/>
        <v>1</v>
      </c>
      <c r="P92" s="606">
        <f t="shared" si="44"/>
        <v>1</v>
      </c>
      <c r="Q92" s="606">
        <f t="shared" si="44"/>
        <v>1</v>
      </c>
      <c r="R92" s="607">
        <f t="shared" si="44"/>
        <v>1</v>
      </c>
      <c r="S92" s="602">
        <f t="shared" si="44"/>
        <v>1</v>
      </c>
      <c r="T92" s="609">
        <f t="shared" si="46"/>
        <v>0</v>
      </c>
    </row>
    <row r="93" spans="1:20" s="55" customFormat="1" ht="13.9" customHeight="1">
      <c r="A93" s="107" t="s">
        <v>13</v>
      </c>
      <c r="B93" s="107" t="s">
        <v>53</v>
      </c>
      <c r="C93" s="119">
        <v>619</v>
      </c>
      <c r="D93" s="119">
        <v>0</v>
      </c>
      <c r="E93" s="119">
        <v>122</v>
      </c>
      <c r="F93" s="119">
        <v>132</v>
      </c>
      <c r="G93" s="119">
        <v>126</v>
      </c>
      <c r="H93" s="119">
        <v>38</v>
      </c>
      <c r="I93" s="559">
        <v>1037</v>
      </c>
      <c r="J93" s="120">
        <v>9</v>
      </c>
      <c r="K93" s="119">
        <v>0</v>
      </c>
      <c r="L93" s="605">
        <f>+C93/C$99</f>
        <v>0.38233477455219272</v>
      </c>
      <c r="M93" s="603">
        <f>IF(D$99&gt;0,(+D93/D$99),0)</f>
        <v>0</v>
      </c>
      <c r="N93" s="603">
        <f t="shared" ref="N93:S99" si="47">+E93/E$99</f>
        <v>0.30808080808080807</v>
      </c>
      <c r="O93" s="603">
        <f t="shared" si="47"/>
        <v>0.27049180327868855</v>
      </c>
      <c r="P93" s="603">
        <f t="shared" si="47"/>
        <v>0.22500000000000001</v>
      </c>
      <c r="Q93" s="603">
        <f t="shared" si="47"/>
        <v>0.16101694915254236</v>
      </c>
      <c r="R93" s="604">
        <f t="shared" si="47"/>
        <v>0.31433767808426794</v>
      </c>
      <c r="S93" s="605">
        <f t="shared" si="47"/>
        <v>7.5062552126772307E-3</v>
      </c>
      <c r="T93" s="603">
        <f>IF(K$99&gt;0,(+K93/K$99),0)</f>
        <v>0</v>
      </c>
    </row>
    <row r="94" spans="1:20" s="55" customFormat="1" ht="13.9" customHeight="1">
      <c r="A94" s="112"/>
      <c r="B94" s="106" t="s">
        <v>93</v>
      </c>
      <c r="C94" s="123">
        <v>491</v>
      </c>
      <c r="D94" s="123">
        <v>0</v>
      </c>
      <c r="E94" s="123">
        <v>100</v>
      </c>
      <c r="F94" s="123">
        <v>77</v>
      </c>
      <c r="G94" s="123">
        <v>115</v>
      </c>
      <c r="H94" s="123">
        <v>52</v>
      </c>
      <c r="I94" s="560">
        <v>835</v>
      </c>
      <c r="J94" s="124">
        <v>23</v>
      </c>
      <c r="K94" s="125">
        <v>0</v>
      </c>
      <c r="L94" s="602">
        <f t="shared" ref="L94:L99" si="48">+C94/C$99</f>
        <v>0.30327362569487337</v>
      </c>
      <c r="M94" s="606">
        <f t="shared" ref="M94:M99" si="49">IF(D$99&gt;0,(+D94/D$99),0)</f>
        <v>0</v>
      </c>
      <c r="N94" s="606">
        <f t="shared" si="47"/>
        <v>0.25252525252525254</v>
      </c>
      <c r="O94" s="606">
        <f t="shared" si="47"/>
        <v>0.15778688524590165</v>
      </c>
      <c r="P94" s="606">
        <f t="shared" si="47"/>
        <v>0.20535714285714285</v>
      </c>
      <c r="Q94" s="606">
        <f t="shared" si="47"/>
        <v>0.22033898305084745</v>
      </c>
      <c r="R94" s="607">
        <f t="shared" si="47"/>
        <v>0.25310700212185511</v>
      </c>
      <c r="S94" s="602">
        <f t="shared" si="47"/>
        <v>1.9182652210175146E-2</v>
      </c>
      <c r="T94" s="606">
        <f t="shared" ref="T94:T99" si="50">IF(K$99&gt;0,(+K94/K$99),0)</f>
        <v>0</v>
      </c>
    </row>
    <row r="95" spans="1:20" s="55" customFormat="1" ht="13.9" customHeight="1">
      <c r="A95" s="112"/>
      <c r="B95" s="106" t="s">
        <v>55</v>
      </c>
      <c r="C95" s="123">
        <v>418</v>
      </c>
      <c r="D95" s="123">
        <v>0</v>
      </c>
      <c r="E95" s="123">
        <v>121</v>
      </c>
      <c r="F95" s="123">
        <v>174</v>
      </c>
      <c r="G95" s="123">
        <v>208</v>
      </c>
      <c r="H95" s="123">
        <v>74</v>
      </c>
      <c r="I95" s="560">
        <v>995</v>
      </c>
      <c r="J95" s="124">
        <v>32</v>
      </c>
      <c r="K95" s="125">
        <v>0</v>
      </c>
      <c r="L95" s="602">
        <f t="shared" si="48"/>
        <v>0.25818406423718343</v>
      </c>
      <c r="M95" s="606">
        <f t="shared" si="49"/>
        <v>0</v>
      </c>
      <c r="N95" s="606">
        <f t="shared" si="47"/>
        <v>0.30555555555555558</v>
      </c>
      <c r="O95" s="606">
        <f t="shared" si="47"/>
        <v>0.35655737704918034</v>
      </c>
      <c r="P95" s="606">
        <f t="shared" si="47"/>
        <v>0.37142857142857144</v>
      </c>
      <c r="Q95" s="606">
        <f t="shared" si="47"/>
        <v>0.3135593220338983</v>
      </c>
      <c r="R95" s="607">
        <f t="shared" si="47"/>
        <v>0.30160654743861776</v>
      </c>
      <c r="S95" s="602">
        <f t="shared" si="47"/>
        <v>2.6688907422852376E-2</v>
      </c>
      <c r="T95" s="606">
        <f t="shared" si="50"/>
        <v>0</v>
      </c>
    </row>
    <row r="96" spans="1:20" s="55" customFormat="1" ht="13.9" customHeight="1">
      <c r="A96" s="112"/>
      <c r="B96" s="106" t="s">
        <v>78</v>
      </c>
      <c r="C96" s="123">
        <v>91</v>
      </c>
      <c r="D96" s="123">
        <v>0</v>
      </c>
      <c r="E96" s="123">
        <v>53</v>
      </c>
      <c r="F96" s="123">
        <v>105</v>
      </c>
      <c r="G96" s="123">
        <v>111</v>
      </c>
      <c r="H96" s="123">
        <v>72</v>
      </c>
      <c r="I96" s="560">
        <v>432</v>
      </c>
      <c r="J96" s="124">
        <v>74</v>
      </c>
      <c r="K96" s="125">
        <v>0</v>
      </c>
      <c r="L96" s="602">
        <f t="shared" si="48"/>
        <v>5.6207535515750466E-2</v>
      </c>
      <c r="M96" s="606">
        <f t="shared" si="49"/>
        <v>0</v>
      </c>
      <c r="N96" s="606">
        <f t="shared" si="47"/>
        <v>0.13383838383838384</v>
      </c>
      <c r="O96" s="606">
        <f t="shared" si="47"/>
        <v>0.2151639344262295</v>
      </c>
      <c r="P96" s="606">
        <f t="shared" si="47"/>
        <v>0.1982142857142857</v>
      </c>
      <c r="Q96" s="606">
        <f t="shared" si="47"/>
        <v>0.30508474576271188</v>
      </c>
      <c r="R96" s="607">
        <f t="shared" si="47"/>
        <v>0.13094877235525917</v>
      </c>
      <c r="S96" s="602">
        <f t="shared" si="47"/>
        <v>6.1718098415346125E-2</v>
      </c>
      <c r="T96" s="606">
        <f t="shared" si="50"/>
        <v>0</v>
      </c>
    </row>
    <row r="97" spans="1:20" s="55" customFormat="1" ht="13.9" customHeight="1">
      <c r="A97" s="112"/>
      <c r="B97" s="106" t="s">
        <v>32</v>
      </c>
      <c r="C97" s="123">
        <v>0</v>
      </c>
      <c r="D97" s="123">
        <v>0</v>
      </c>
      <c r="E97" s="123">
        <v>0</v>
      </c>
      <c r="F97" s="123">
        <v>0</v>
      </c>
      <c r="G97" s="123">
        <v>0</v>
      </c>
      <c r="H97" s="123">
        <v>0</v>
      </c>
      <c r="I97" s="560">
        <v>0</v>
      </c>
      <c r="J97" s="124">
        <v>0</v>
      </c>
      <c r="K97" s="125">
        <v>0</v>
      </c>
      <c r="L97" s="602">
        <f t="shared" si="48"/>
        <v>0</v>
      </c>
      <c r="M97" s="606">
        <f t="shared" si="49"/>
        <v>0</v>
      </c>
      <c r="N97" s="606">
        <f t="shared" si="47"/>
        <v>0</v>
      </c>
      <c r="O97" s="606">
        <f t="shared" si="47"/>
        <v>0</v>
      </c>
      <c r="P97" s="606">
        <f t="shared" si="47"/>
        <v>0</v>
      </c>
      <c r="Q97" s="606">
        <f t="shared" si="47"/>
        <v>0</v>
      </c>
      <c r="R97" s="607">
        <f t="shared" si="47"/>
        <v>0</v>
      </c>
      <c r="S97" s="602">
        <f t="shared" si="47"/>
        <v>0</v>
      </c>
      <c r="T97" s="606">
        <f t="shared" si="50"/>
        <v>0</v>
      </c>
    </row>
    <row r="98" spans="1:20" s="55" customFormat="1" ht="13.9" customHeight="1">
      <c r="A98" s="112"/>
      <c r="B98" s="106" t="s">
        <v>58</v>
      </c>
      <c r="C98" s="123">
        <v>0</v>
      </c>
      <c r="D98" s="123">
        <v>0</v>
      </c>
      <c r="E98" s="123">
        <v>0</v>
      </c>
      <c r="F98" s="123">
        <v>0</v>
      </c>
      <c r="G98" s="123">
        <v>0</v>
      </c>
      <c r="H98" s="123">
        <v>0</v>
      </c>
      <c r="I98" s="560">
        <v>0</v>
      </c>
      <c r="J98" s="124">
        <v>1061</v>
      </c>
      <c r="K98" s="125">
        <v>0</v>
      </c>
      <c r="L98" s="602">
        <f t="shared" si="48"/>
        <v>0</v>
      </c>
      <c r="M98" s="606">
        <f t="shared" si="49"/>
        <v>0</v>
      </c>
      <c r="N98" s="606">
        <f t="shared" si="47"/>
        <v>0</v>
      </c>
      <c r="O98" s="606">
        <f t="shared" si="47"/>
        <v>0</v>
      </c>
      <c r="P98" s="606">
        <f t="shared" si="47"/>
        <v>0</v>
      </c>
      <c r="Q98" s="606">
        <f t="shared" si="47"/>
        <v>0</v>
      </c>
      <c r="R98" s="607">
        <f t="shared" si="47"/>
        <v>0</v>
      </c>
      <c r="S98" s="602">
        <f t="shared" si="47"/>
        <v>0.88490408673894916</v>
      </c>
      <c r="T98" s="606">
        <f t="shared" si="50"/>
        <v>0</v>
      </c>
    </row>
    <row r="99" spans="1:20" s="127" customFormat="1" ht="24" customHeight="1">
      <c r="A99" s="128"/>
      <c r="B99" s="114" t="s">
        <v>59</v>
      </c>
      <c r="C99" s="129">
        <v>1619</v>
      </c>
      <c r="D99" s="129">
        <v>0</v>
      </c>
      <c r="E99" s="129">
        <v>396</v>
      </c>
      <c r="F99" s="129">
        <v>488</v>
      </c>
      <c r="G99" s="129">
        <v>560</v>
      </c>
      <c r="H99" s="129">
        <v>236</v>
      </c>
      <c r="I99" s="561">
        <v>3299</v>
      </c>
      <c r="J99" s="130">
        <v>1199</v>
      </c>
      <c r="K99" s="129">
        <v>0</v>
      </c>
      <c r="L99" s="608">
        <f t="shared" si="48"/>
        <v>1</v>
      </c>
      <c r="M99" s="609">
        <f t="shared" si="49"/>
        <v>0</v>
      </c>
      <c r="N99" s="609">
        <f t="shared" si="47"/>
        <v>1</v>
      </c>
      <c r="O99" s="609">
        <f t="shared" si="47"/>
        <v>1</v>
      </c>
      <c r="P99" s="609">
        <f t="shared" si="47"/>
        <v>1</v>
      </c>
      <c r="Q99" s="609">
        <f t="shared" si="47"/>
        <v>1</v>
      </c>
      <c r="R99" s="610">
        <f t="shared" si="47"/>
        <v>1</v>
      </c>
      <c r="S99" s="608">
        <f t="shared" si="47"/>
        <v>1</v>
      </c>
      <c r="T99" s="609">
        <f t="shared" si="50"/>
        <v>0</v>
      </c>
    </row>
    <row r="100" spans="1:20" s="55" customFormat="1" ht="13.9" customHeight="1">
      <c r="A100" s="107" t="s">
        <v>14</v>
      </c>
      <c r="B100" s="107" t="s">
        <v>53</v>
      </c>
      <c r="C100" s="119">
        <v>389</v>
      </c>
      <c r="D100" s="119">
        <v>407</v>
      </c>
      <c r="E100" s="119">
        <v>71</v>
      </c>
      <c r="F100" s="119">
        <v>161</v>
      </c>
      <c r="G100" s="119">
        <v>117</v>
      </c>
      <c r="H100" s="119">
        <v>162</v>
      </c>
      <c r="I100" s="559">
        <v>1307</v>
      </c>
      <c r="J100" s="120">
        <v>43</v>
      </c>
      <c r="K100" s="119">
        <v>0</v>
      </c>
      <c r="L100" s="605">
        <f>+C100/C$106</f>
        <v>0.37548262548262551</v>
      </c>
      <c r="M100" s="603">
        <f t="shared" ref="M100:S106" si="51">+D100/D$106</f>
        <v>0.43529411764705883</v>
      </c>
      <c r="N100" s="603">
        <f t="shared" si="51"/>
        <v>0.28629032258064518</v>
      </c>
      <c r="O100" s="603">
        <f t="shared" si="51"/>
        <v>0.28801431127012522</v>
      </c>
      <c r="P100" s="603">
        <f t="shared" si="51"/>
        <v>0.31117021276595747</v>
      </c>
      <c r="Q100" s="603">
        <f t="shared" si="51"/>
        <v>0.28928571428571431</v>
      </c>
      <c r="R100" s="604">
        <f t="shared" si="51"/>
        <v>0.35191168551427032</v>
      </c>
      <c r="S100" s="605">
        <f t="shared" si="51"/>
        <v>2.5443786982248522E-2</v>
      </c>
      <c r="T100" s="603">
        <f>IF(K$106&gt;0,(+K100/K$106),0)</f>
        <v>0</v>
      </c>
    </row>
    <row r="101" spans="1:20" s="55" customFormat="1" ht="13.9" customHeight="1">
      <c r="A101" s="112"/>
      <c r="B101" s="106" t="s">
        <v>93</v>
      </c>
      <c r="C101" s="123">
        <v>330</v>
      </c>
      <c r="D101" s="123">
        <v>241</v>
      </c>
      <c r="E101" s="123">
        <v>85</v>
      </c>
      <c r="F101" s="123">
        <v>171</v>
      </c>
      <c r="G101" s="123">
        <v>98</v>
      </c>
      <c r="H101" s="123">
        <v>163</v>
      </c>
      <c r="I101" s="560">
        <v>1088</v>
      </c>
      <c r="J101" s="124">
        <v>32</v>
      </c>
      <c r="K101" s="125">
        <v>0</v>
      </c>
      <c r="L101" s="602">
        <f t="shared" ref="L101:L106" si="52">+C101/C$106</f>
        <v>0.31853281853281851</v>
      </c>
      <c r="M101" s="606">
        <f t="shared" si="51"/>
        <v>0.25775401069518716</v>
      </c>
      <c r="N101" s="606">
        <f t="shared" si="51"/>
        <v>0.34274193548387094</v>
      </c>
      <c r="O101" s="606">
        <f t="shared" si="51"/>
        <v>0.30590339892665475</v>
      </c>
      <c r="P101" s="606">
        <f t="shared" si="51"/>
        <v>0.26063829787234044</v>
      </c>
      <c r="Q101" s="606">
        <f t="shared" si="51"/>
        <v>0.29107142857142859</v>
      </c>
      <c r="R101" s="607">
        <f t="shared" si="51"/>
        <v>0.2929456112008616</v>
      </c>
      <c r="S101" s="602">
        <f t="shared" si="51"/>
        <v>1.8934911242603551E-2</v>
      </c>
      <c r="T101" s="606">
        <f t="shared" ref="T101:T106" si="53">IF(K$106&gt;0,(+K101/K$106),0)</f>
        <v>0</v>
      </c>
    </row>
    <row r="102" spans="1:20" s="55" customFormat="1" ht="13.9" customHeight="1">
      <c r="A102" s="112"/>
      <c r="B102" s="106" t="s">
        <v>55</v>
      </c>
      <c r="C102" s="123">
        <v>213</v>
      </c>
      <c r="D102" s="123">
        <v>181</v>
      </c>
      <c r="E102" s="123">
        <v>70</v>
      </c>
      <c r="F102" s="123">
        <v>170</v>
      </c>
      <c r="G102" s="123">
        <v>122</v>
      </c>
      <c r="H102" s="123">
        <v>144</v>
      </c>
      <c r="I102" s="560">
        <v>900</v>
      </c>
      <c r="J102" s="124">
        <v>27</v>
      </c>
      <c r="K102" s="125">
        <v>0</v>
      </c>
      <c r="L102" s="602">
        <f t="shared" si="52"/>
        <v>0.2055984555984556</v>
      </c>
      <c r="M102" s="606">
        <f t="shared" si="51"/>
        <v>0.19358288770053475</v>
      </c>
      <c r="N102" s="606">
        <f t="shared" si="51"/>
        <v>0.28225806451612906</v>
      </c>
      <c r="O102" s="606">
        <f t="shared" si="51"/>
        <v>0.30411449016100178</v>
      </c>
      <c r="P102" s="606">
        <f t="shared" si="51"/>
        <v>0.32446808510638298</v>
      </c>
      <c r="Q102" s="606">
        <f t="shared" si="51"/>
        <v>0.25714285714285712</v>
      </c>
      <c r="R102" s="607">
        <f t="shared" si="51"/>
        <v>0.24232633279483037</v>
      </c>
      <c r="S102" s="602">
        <f t="shared" si="51"/>
        <v>1.5976331360946745E-2</v>
      </c>
      <c r="T102" s="606">
        <f t="shared" si="53"/>
        <v>0</v>
      </c>
    </row>
    <row r="103" spans="1:20" s="55" customFormat="1" ht="13.9" customHeight="1">
      <c r="A103" s="112"/>
      <c r="B103" s="106" t="s">
        <v>78</v>
      </c>
      <c r="C103" s="123">
        <v>69</v>
      </c>
      <c r="D103" s="123">
        <v>48</v>
      </c>
      <c r="E103" s="123">
        <v>21</v>
      </c>
      <c r="F103" s="123">
        <v>57</v>
      </c>
      <c r="G103" s="123">
        <v>37</v>
      </c>
      <c r="H103" s="123">
        <v>86</v>
      </c>
      <c r="I103" s="560">
        <v>318</v>
      </c>
      <c r="J103" s="124">
        <v>10</v>
      </c>
      <c r="K103" s="125">
        <v>0</v>
      </c>
      <c r="L103" s="602">
        <f t="shared" si="52"/>
        <v>6.6602316602316608E-2</v>
      </c>
      <c r="M103" s="606">
        <f t="shared" si="51"/>
        <v>5.1336898395721926E-2</v>
      </c>
      <c r="N103" s="606">
        <f t="shared" si="51"/>
        <v>8.4677419354838704E-2</v>
      </c>
      <c r="O103" s="606">
        <f t="shared" si="51"/>
        <v>0.10196779964221825</v>
      </c>
      <c r="P103" s="606">
        <f t="shared" si="51"/>
        <v>9.8404255319148939E-2</v>
      </c>
      <c r="Q103" s="606">
        <f t="shared" si="51"/>
        <v>0.15357142857142858</v>
      </c>
      <c r="R103" s="607">
        <f t="shared" si="51"/>
        <v>8.5621970920840063E-2</v>
      </c>
      <c r="S103" s="602">
        <f t="shared" si="51"/>
        <v>5.9171597633136093E-3</v>
      </c>
      <c r="T103" s="606">
        <f t="shared" si="53"/>
        <v>0</v>
      </c>
    </row>
    <row r="104" spans="1:20" s="55" customFormat="1" ht="13.9" customHeight="1">
      <c r="A104" s="112"/>
      <c r="B104" s="106" t="s">
        <v>32</v>
      </c>
      <c r="C104" s="123">
        <v>35</v>
      </c>
      <c r="D104" s="123">
        <v>58</v>
      </c>
      <c r="E104" s="123">
        <v>1</v>
      </c>
      <c r="F104" s="123">
        <v>0</v>
      </c>
      <c r="G104" s="123">
        <v>2</v>
      </c>
      <c r="H104" s="123">
        <v>5</v>
      </c>
      <c r="I104" s="560">
        <v>101</v>
      </c>
      <c r="J104" s="124">
        <v>1578</v>
      </c>
      <c r="K104" s="125">
        <v>0</v>
      </c>
      <c r="L104" s="602">
        <f t="shared" si="52"/>
        <v>3.3783783783783786E-2</v>
      </c>
      <c r="M104" s="606">
        <f t="shared" si="51"/>
        <v>6.2032085561497328E-2</v>
      </c>
      <c r="N104" s="606">
        <f t="shared" si="51"/>
        <v>4.0322580645161289E-3</v>
      </c>
      <c r="O104" s="606">
        <f t="shared" si="51"/>
        <v>0</v>
      </c>
      <c r="P104" s="606">
        <f t="shared" si="51"/>
        <v>5.3191489361702126E-3</v>
      </c>
      <c r="Q104" s="606">
        <f t="shared" si="51"/>
        <v>8.9285714285714281E-3</v>
      </c>
      <c r="R104" s="607">
        <f t="shared" si="51"/>
        <v>2.7194399569197631E-2</v>
      </c>
      <c r="S104" s="602">
        <f t="shared" si="51"/>
        <v>0.93372781065088761</v>
      </c>
      <c r="T104" s="606">
        <f t="shared" si="53"/>
        <v>0</v>
      </c>
    </row>
    <row r="105" spans="1:20" s="55" customFormat="1" ht="13.9" customHeight="1">
      <c r="A105" s="112"/>
      <c r="B105" s="106" t="s">
        <v>58</v>
      </c>
      <c r="C105" s="123">
        <v>0</v>
      </c>
      <c r="D105" s="123">
        <v>0</v>
      </c>
      <c r="E105" s="123">
        <v>0</v>
      </c>
      <c r="F105" s="123">
        <v>0</v>
      </c>
      <c r="G105" s="123">
        <v>0</v>
      </c>
      <c r="H105" s="123">
        <v>0</v>
      </c>
      <c r="I105" s="560">
        <v>0</v>
      </c>
      <c r="J105" s="124">
        <v>0</v>
      </c>
      <c r="K105" s="125">
        <v>0</v>
      </c>
      <c r="L105" s="602">
        <f t="shared" si="52"/>
        <v>0</v>
      </c>
      <c r="M105" s="606">
        <f t="shared" si="51"/>
        <v>0</v>
      </c>
      <c r="N105" s="606">
        <f t="shared" si="51"/>
        <v>0</v>
      </c>
      <c r="O105" s="606">
        <f t="shared" si="51"/>
        <v>0</v>
      </c>
      <c r="P105" s="606">
        <f t="shared" si="51"/>
        <v>0</v>
      </c>
      <c r="Q105" s="606">
        <f t="shared" si="51"/>
        <v>0</v>
      </c>
      <c r="R105" s="607">
        <f t="shared" si="51"/>
        <v>0</v>
      </c>
      <c r="S105" s="602">
        <f t="shared" si="51"/>
        <v>0</v>
      </c>
      <c r="T105" s="606">
        <f t="shared" si="53"/>
        <v>0</v>
      </c>
    </row>
    <row r="106" spans="1:20" s="127" customFormat="1" ht="24" customHeight="1">
      <c r="A106" s="112"/>
      <c r="B106" s="126" t="s">
        <v>59</v>
      </c>
      <c r="C106" s="123">
        <v>1036</v>
      </c>
      <c r="D106" s="123">
        <v>935</v>
      </c>
      <c r="E106" s="123">
        <v>248</v>
      </c>
      <c r="F106" s="123">
        <v>559</v>
      </c>
      <c r="G106" s="123">
        <v>376</v>
      </c>
      <c r="H106" s="123">
        <v>560</v>
      </c>
      <c r="I106" s="560">
        <v>3714</v>
      </c>
      <c r="J106" s="124">
        <v>1690</v>
      </c>
      <c r="K106" s="125">
        <v>0</v>
      </c>
      <c r="L106" s="602">
        <f t="shared" si="52"/>
        <v>1</v>
      </c>
      <c r="M106" s="606">
        <f t="shared" si="51"/>
        <v>1</v>
      </c>
      <c r="N106" s="606">
        <f t="shared" si="51"/>
        <v>1</v>
      </c>
      <c r="O106" s="606">
        <f t="shared" si="51"/>
        <v>1</v>
      </c>
      <c r="P106" s="606">
        <f t="shared" si="51"/>
        <v>1</v>
      </c>
      <c r="Q106" s="606">
        <f t="shared" si="51"/>
        <v>1</v>
      </c>
      <c r="R106" s="607">
        <f t="shared" si="51"/>
        <v>1</v>
      </c>
      <c r="S106" s="602">
        <f t="shared" si="51"/>
        <v>1</v>
      </c>
      <c r="T106" s="609">
        <f t="shared" si="53"/>
        <v>0</v>
      </c>
    </row>
    <row r="107" spans="1:20" s="55" customFormat="1" ht="13.9" customHeight="1">
      <c r="A107" s="107" t="s">
        <v>15</v>
      </c>
      <c r="B107" s="107" t="s">
        <v>53</v>
      </c>
      <c r="C107" s="119">
        <v>495</v>
      </c>
      <c r="D107" s="119">
        <v>280</v>
      </c>
      <c r="E107" s="119">
        <v>436</v>
      </c>
      <c r="F107" s="119">
        <v>378</v>
      </c>
      <c r="G107" s="119">
        <v>100</v>
      </c>
      <c r="H107" s="119">
        <v>0</v>
      </c>
      <c r="I107" s="559">
        <v>1689</v>
      </c>
      <c r="J107" s="120">
        <v>179</v>
      </c>
      <c r="K107" s="119">
        <v>0</v>
      </c>
      <c r="L107" s="605">
        <f>+C107/C$113</f>
        <v>0.46046511627906977</v>
      </c>
      <c r="M107" s="603">
        <f t="shared" ref="M107:T113" si="54">+D107/D$113</f>
        <v>0.35487959442332068</v>
      </c>
      <c r="N107" s="603">
        <f t="shared" si="54"/>
        <v>0.29380053908355797</v>
      </c>
      <c r="O107" s="603">
        <f t="shared" si="54"/>
        <v>0.40084835630965004</v>
      </c>
      <c r="P107" s="603">
        <f t="shared" si="54"/>
        <v>0.44247787610619471</v>
      </c>
      <c r="Q107" s="603">
        <f>IF(H$113&gt;0,(+H107/H$113),0)</f>
        <v>0</v>
      </c>
      <c r="R107" s="604">
        <f t="shared" si="54"/>
        <v>0.37392074385654195</v>
      </c>
      <c r="S107" s="605">
        <f t="shared" si="54"/>
        <v>0.10948012232415902</v>
      </c>
      <c r="T107" s="603">
        <f t="shared" si="54"/>
        <v>0</v>
      </c>
    </row>
    <row r="108" spans="1:20" s="55" customFormat="1" ht="13.9" customHeight="1">
      <c r="A108" s="112"/>
      <c r="B108" s="106" t="s">
        <v>93</v>
      </c>
      <c r="C108" s="123">
        <v>309</v>
      </c>
      <c r="D108" s="123">
        <v>223</v>
      </c>
      <c r="E108" s="123">
        <v>424</v>
      </c>
      <c r="F108" s="123">
        <v>259</v>
      </c>
      <c r="G108" s="123">
        <v>46</v>
      </c>
      <c r="H108" s="123">
        <v>0</v>
      </c>
      <c r="I108" s="560">
        <v>1261</v>
      </c>
      <c r="J108" s="124">
        <v>741</v>
      </c>
      <c r="K108" s="125">
        <v>0</v>
      </c>
      <c r="L108" s="602">
        <f t="shared" ref="L108:L113" si="55">+C108/C$113</f>
        <v>0.28744186046511627</v>
      </c>
      <c r="M108" s="606">
        <f t="shared" si="54"/>
        <v>0.28263624841571611</v>
      </c>
      <c r="N108" s="606">
        <f t="shared" si="54"/>
        <v>0.2857142857142857</v>
      </c>
      <c r="O108" s="606">
        <f t="shared" si="54"/>
        <v>0.27465535524920465</v>
      </c>
      <c r="P108" s="606">
        <f t="shared" si="54"/>
        <v>0.20353982300884957</v>
      </c>
      <c r="Q108" s="606">
        <f t="shared" ref="Q108:Q113" si="56">IF(H$113&gt;0,(+H108/H$113),0)</f>
        <v>0</v>
      </c>
      <c r="R108" s="607">
        <f t="shared" si="54"/>
        <v>0.27916758910781492</v>
      </c>
      <c r="S108" s="602">
        <f t="shared" si="54"/>
        <v>0.45321100917431195</v>
      </c>
      <c r="T108" s="606">
        <f t="shared" si="54"/>
        <v>0</v>
      </c>
    </row>
    <row r="109" spans="1:20" s="55" customFormat="1" ht="13.9" customHeight="1">
      <c r="A109" s="112"/>
      <c r="B109" s="106" t="s">
        <v>55</v>
      </c>
      <c r="C109" s="123">
        <v>177</v>
      </c>
      <c r="D109" s="123">
        <v>201</v>
      </c>
      <c r="E109" s="123">
        <v>472</v>
      </c>
      <c r="F109" s="123">
        <v>251</v>
      </c>
      <c r="G109" s="123">
        <v>58</v>
      </c>
      <c r="H109" s="123">
        <v>0</v>
      </c>
      <c r="I109" s="560">
        <v>1159</v>
      </c>
      <c r="J109" s="124">
        <v>349</v>
      </c>
      <c r="K109" s="125">
        <v>0</v>
      </c>
      <c r="L109" s="602">
        <f t="shared" si="55"/>
        <v>0.16465116279069766</v>
      </c>
      <c r="M109" s="606">
        <f t="shared" si="54"/>
        <v>0.25475285171102663</v>
      </c>
      <c r="N109" s="606">
        <f t="shared" si="54"/>
        <v>0.31805929919137466</v>
      </c>
      <c r="O109" s="606">
        <f t="shared" si="54"/>
        <v>0.26617179215270415</v>
      </c>
      <c r="P109" s="606">
        <f t="shared" si="54"/>
        <v>0.25663716814159293</v>
      </c>
      <c r="Q109" s="606">
        <f t="shared" si="56"/>
        <v>0</v>
      </c>
      <c r="R109" s="607">
        <f t="shared" si="54"/>
        <v>0.25658622979853885</v>
      </c>
      <c r="S109" s="602">
        <f t="shared" si="54"/>
        <v>0.21345565749235473</v>
      </c>
      <c r="T109" s="606">
        <f t="shared" si="54"/>
        <v>0</v>
      </c>
    </row>
    <row r="110" spans="1:20" s="55" customFormat="1" ht="13.9" customHeight="1">
      <c r="A110" s="112"/>
      <c r="B110" s="106" t="s">
        <v>78</v>
      </c>
      <c r="C110" s="123">
        <v>83</v>
      </c>
      <c r="D110" s="123">
        <v>74</v>
      </c>
      <c r="E110" s="123">
        <v>151</v>
      </c>
      <c r="F110" s="123">
        <v>55</v>
      </c>
      <c r="G110" s="123">
        <v>22</v>
      </c>
      <c r="H110" s="123">
        <v>0</v>
      </c>
      <c r="I110" s="560">
        <v>385</v>
      </c>
      <c r="J110" s="124">
        <v>351</v>
      </c>
      <c r="K110" s="125">
        <v>0</v>
      </c>
      <c r="L110" s="602">
        <f t="shared" si="55"/>
        <v>7.7209302325581389E-2</v>
      </c>
      <c r="M110" s="606">
        <f t="shared" si="54"/>
        <v>9.378960709759189E-2</v>
      </c>
      <c r="N110" s="606">
        <f t="shared" si="54"/>
        <v>0.10175202156334232</v>
      </c>
      <c r="O110" s="606">
        <f t="shared" si="54"/>
        <v>5.8324496288441142E-2</v>
      </c>
      <c r="P110" s="606">
        <f t="shared" si="54"/>
        <v>9.7345132743362831E-2</v>
      </c>
      <c r="Q110" s="606">
        <f t="shared" si="56"/>
        <v>0</v>
      </c>
      <c r="R110" s="607">
        <f t="shared" si="54"/>
        <v>8.52335620987381E-2</v>
      </c>
      <c r="S110" s="602">
        <f t="shared" si="54"/>
        <v>0.21467889908256882</v>
      </c>
      <c r="T110" s="606">
        <f t="shared" si="54"/>
        <v>0</v>
      </c>
    </row>
    <row r="111" spans="1:20" s="55" customFormat="1" ht="13.9" customHeight="1">
      <c r="A111" s="112"/>
      <c r="B111" s="106" t="s">
        <v>32</v>
      </c>
      <c r="C111" s="123">
        <v>11</v>
      </c>
      <c r="D111" s="123">
        <v>11</v>
      </c>
      <c r="E111" s="123">
        <v>1</v>
      </c>
      <c r="F111" s="123">
        <v>0</v>
      </c>
      <c r="G111" s="123">
        <v>0</v>
      </c>
      <c r="H111" s="123">
        <v>0</v>
      </c>
      <c r="I111" s="560">
        <v>23</v>
      </c>
      <c r="J111" s="124">
        <v>15</v>
      </c>
      <c r="K111" s="125">
        <v>0</v>
      </c>
      <c r="L111" s="602">
        <f t="shared" si="55"/>
        <v>1.0232558139534883E-2</v>
      </c>
      <c r="M111" s="606">
        <f t="shared" si="54"/>
        <v>1.3941698352344741E-2</v>
      </c>
      <c r="N111" s="606">
        <f t="shared" si="54"/>
        <v>6.7385444743935314E-4</v>
      </c>
      <c r="O111" s="606">
        <f t="shared" si="54"/>
        <v>0</v>
      </c>
      <c r="P111" s="606">
        <f t="shared" si="54"/>
        <v>0</v>
      </c>
      <c r="Q111" s="606">
        <f t="shared" si="56"/>
        <v>0</v>
      </c>
      <c r="R111" s="607">
        <f t="shared" si="54"/>
        <v>5.0918751383661719E-3</v>
      </c>
      <c r="S111" s="602">
        <f t="shared" si="54"/>
        <v>9.1743119266055051E-3</v>
      </c>
      <c r="T111" s="606">
        <f t="shared" si="54"/>
        <v>0</v>
      </c>
    </row>
    <row r="112" spans="1:20" s="55" customFormat="1" ht="13.9" customHeight="1">
      <c r="A112" s="112"/>
      <c r="B112" s="106" t="s">
        <v>58</v>
      </c>
      <c r="C112" s="123">
        <v>0</v>
      </c>
      <c r="D112" s="123">
        <v>0</v>
      </c>
      <c r="E112" s="123">
        <v>0</v>
      </c>
      <c r="F112" s="123">
        <v>0</v>
      </c>
      <c r="G112" s="123">
        <v>0</v>
      </c>
      <c r="H112" s="123">
        <v>0</v>
      </c>
      <c r="I112" s="560">
        <v>0</v>
      </c>
      <c r="J112" s="124">
        <v>0</v>
      </c>
      <c r="K112" s="125">
        <v>259</v>
      </c>
      <c r="L112" s="602">
        <f t="shared" si="55"/>
        <v>0</v>
      </c>
      <c r="M112" s="606">
        <f t="shared" si="54"/>
        <v>0</v>
      </c>
      <c r="N112" s="606">
        <f t="shared" si="54"/>
        <v>0</v>
      </c>
      <c r="O112" s="606">
        <f t="shared" si="54"/>
        <v>0</v>
      </c>
      <c r="P112" s="606">
        <f t="shared" si="54"/>
        <v>0</v>
      </c>
      <c r="Q112" s="606">
        <f t="shared" si="56"/>
        <v>0</v>
      </c>
      <c r="R112" s="607">
        <f t="shared" si="54"/>
        <v>0</v>
      </c>
      <c r="S112" s="602">
        <f t="shared" si="54"/>
        <v>0</v>
      </c>
      <c r="T112" s="606">
        <f t="shared" si="54"/>
        <v>1</v>
      </c>
    </row>
    <row r="113" spans="1:20" s="127" customFormat="1" ht="24" customHeight="1">
      <c r="A113" s="112"/>
      <c r="B113" s="126" t="s">
        <v>59</v>
      </c>
      <c r="C113" s="123">
        <v>1075</v>
      </c>
      <c r="D113" s="123">
        <v>789</v>
      </c>
      <c r="E113" s="123">
        <v>1484</v>
      </c>
      <c r="F113" s="123">
        <v>943</v>
      </c>
      <c r="G113" s="123">
        <v>226</v>
      </c>
      <c r="H113" s="123">
        <v>0</v>
      </c>
      <c r="I113" s="560">
        <v>4517</v>
      </c>
      <c r="J113" s="124">
        <v>1635</v>
      </c>
      <c r="K113" s="125">
        <v>259</v>
      </c>
      <c r="L113" s="602">
        <f t="shared" si="55"/>
        <v>1</v>
      </c>
      <c r="M113" s="606">
        <f t="shared" si="54"/>
        <v>1</v>
      </c>
      <c r="N113" s="606">
        <f t="shared" si="54"/>
        <v>1</v>
      </c>
      <c r="O113" s="606">
        <f t="shared" si="54"/>
        <v>1</v>
      </c>
      <c r="P113" s="606">
        <f t="shared" si="54"/>
        <v>1</v>
      </c>
      <c r="Q113" s="609">
        <f t="shared" si="56"/>
        <v>0</v>
      </c>
      <c r="R113" s="607">
        <f t="shared" si="54"/>
        <v>1</v>
      </c>
      <c r="S113" s="602">
        <f t="shared" si="54"/>
        <v>1</v>
      </c>
      <c r="T113" s="606">
        <f t="shared" si="54"/>
        <v>1</v>
      </c>
    </row>
    <row r="114" spans="1:20" s="55" customFormat="1" ht="13.9" customHeight="1">
      <c r="A114" s="107" t="s">
        <v>16</v>
      </c>
      <c r="B114" s="107" t="s">
        <v>53</v>
      </c>
      <c r="C114" s="119">
        <v>2500</v>
      </c>
      <c r="D114" s="119">
        <v>421</v>
      </c>
      <c r="E114" s="119">
        <v>1396</v>
      </c>
      <c r="F114" s="119">
        <v>207</v>
      </c>
      <c r="G114" s="119">
        <v>31</v>
      </c>
      <c r="H114" s="119">
        <v>37</v>
      </c>
      <c r="I114" s="559">
        <v>4592</v>
      </c>
      <c r="J114" s="120">
        <v>925</v>
      </c>
      <c r="K114" s="119">
        <v>0</v>
      </c>
      <c r="L114" s="605">
        <f>+C114/C$120</f>
        <v>0.40776382319360627</v>
      </c>
      <c r="M114" s="603">
        <f t="shared" ref="M114:S120" si="57">+D114/D$120</f>
        <v>0.32788161993769471</v>
      </c>
      <c r="N114" s="603">
        <f t="shared" si="57"/>
        <v>0.27803226448914559</v>
      </c>
      <c r="O114" s="603">
        <f t="shared" si="57"/>
        <v>0.18973418881759854</v>
      </c>
      <c r="P114" s="603">
        <f t="shared" si="57"/>
        <v>0.45588235294117646</v>
      </c>
      <c r="Q114" s="603">
        <f t="shared" si="57"/>
        <v>0.15040650406504066</v>
      </c>
      <c r="R114" s="604">
        <f t="shared" si="57"/>
        <v>0.33176793584278591</v>
      </c>
      <c r="S114" s="605">
        <f t="shared" si="57"/>
        <v>0.10499432463110102</v>
      </c>
      <c r="T114" s="603">
        <f>IF(K$120&gt;0,(+K114/K$120),0)</f>
        <v>0</v>
      </c>
    </row>
    <row r="115" spans="1:20" s="55" customFormat="1" ht="13.9" customHeight="1">
      <c r="A115" s="112"/>
      <c r="B115" s="106" t="s">
        <v>93</v>
      </c>
      <c r="C115" s="123">
        <v>1582</v>
      </c>
      <c r="D115" s="123">
        <v>350</v>
      </c>
      <c r="E115" s="123">
        <v>1301</v>
      </c>
      <c r="F115" s="123">
        <v>258</v>
      </c>
      <c r="G115" s="123">
        <v>10</v>
      </c>
      <c r="H115" s="123">
        <v>74</v>
      </c>
      <c r="I115" s="560">
        <v>3575</v>
      </c>
      <c r="J115" s="124">
        <v>645</v>
      </c>
      <c r="K115" s="125">
        <v>0</v>
      </c>
      <c r="L115" s="602">
        <f t="shared" ref="L115:L120" si="58">+C115/C$120</f>
        <v>0.25803294731691406</v>
      </c>
      <c r="M115" s="606">
        <f t="shared" si="57"/>
        <v>0.27258566978193144</v>
      </c>
      <c r="N115" s="606">
        <f t="shared" si="57"/>
        <v>0.25911173073093008</v>
      </c>
      <c r="O115" s="606">
        <f t="shared" si="57"/>
        <v>0.23648029330889092</v>
      </c>
      <c r="P115" s="606">
        <f t="shared" si="57"/>
        <v>0.14705882352941177</v>
      </c>
      <c r="Q115" s="606">
        <f t="shared" si="57"/>
        <v>0.30081300813008133</v>
      </c>
      <c r="R115" s="607">
        <f t="shared" si="57"/>
        <v>0.25829058594032223</v>
      </c>
      <c r="S115" s="602">
        <f t="shared" si="57"/>
        <v>7.3212258796821791E-2</v>
      </c>
      <c r="T115" s="606">
        <f t="shared" ref="T115:T120" si="59">IF(K$120&gt;0,(+K115/K$120),0)</f>
        <v>0</v>
      </c>
    </row>
    <row r="116" spans="1:20" s="55" customFormat="1" ht="13.9" customHeight="1">
      <c r="A116" s="112"/>
      <c r="B116" s="106" t="s">
        <v>55</v>
      </c>
      <c r="C116" s="123">
        <v>1228</v>
      </c>
      <c r="D116" s="123">
        <v>350</v>
      </c>
      <c r="E116" s="123">
        <v>1323</v>
      </c>
      <c r="F116" s="123">
        <v>373</v>
      </c>
      <c r="G116" s="123">
        <v>25</v>
      </c>
      <c r="H116" s="123">
        <v>71</v>
      </c>
      <c r="I116" s="560">
        <v>3370</v>
      </c>
      <c r="J116" s="124">
        <v>726</v>
      </c>
      <c r="K116" s="125">
        <v>0</v>
      </c>
      <c r="L116" s="602">
        <f t="shared" si="58"/>
        <v>0.20029358995269939</v>
      </c>
      <c r="M116" s="606">
        <f t="shared" si="57"/>
        <v>0.27258566978193144</v>
      </c>
      <c r="N116" s="606">
        <f t="shared" si="57"/>
        <v>0.26349332802230629</v>
      </c>
      <c r="O116" s="606">
        <f t="shared" si="57"/>
        <v>0.34188817598533455</v>
      </c>
      <c r="P116" s="606">
        <f t="shared" si="57"/>
        <v>0.36764705882352944</v>
      </c>
      <c r="Q116" s="606">
        <f t="shared" si="57"/>
        <v>0.2886178861788618</v>
      </c>
      <c r="R116" s="607">
        <f t="shared" si="57"/>
        <v>0.24347951737591214</v>
      </c>
      <c r="S116" s="602">
        <f t="shared" si="57"/>
        <v>8.2406356413166862E-2</v>
      </c>
      <c r="T116" s="606">
        <f t="shared" si="59"/>
        <v>0</v>
      </c>
    </row>
    <row r="117" spans="1:20" s="55" customFormat="1" ht="13.9" customHeight="1">
      <c r="A117" s="112"/>
      <c r="B117" s="106" t="s">
        <v>78</v>
      </c>
      <c r="C117" s="123">
        <v>50</v>
      </c>
      <c r="D117" s="123">
        <v>34</v>
      </c>
      <c r="E117" s="123">
        <v>429</v>
      </c>
      <c r="F117" s="123">
        <v>158</v>
      </c>
      <c r="G117" s="123">
        <v>2</v>
      </c>
      <c r="H117" s="123">
        <v>8</v>
      </c>
      <c r="I117" s="560">
        <v>681</v>
      </c>
      <c r="J117" s="124">
        <v>742</v>
      </c>
      <c r="K117" s="125">
        <v>0</v>
      </c>
      <c r="L117" s="602">
        <f t="shared" si="58"/>
        <v>8.155276463872126E-3</v>
      </c>
      <c r="M117" s="606">
        <f t="shared" si="57"/>
        <v>2.6479750778816199E-2</v>
      </c>
      <c r="N117" s="606">
        <f t="shared" si="57"/>
        <v>8.5441147181836291E-2</v>
      </c>
      <c r="O117" s="606">
        <f t="shared" si="57"/>
        <v>0.14482126489459213</v>
      </c>
      <c r="P117" s="606">
        <f t="shared" si="57"/>
        <v>2.9411764705882353E-2</v>
      </c>
      <c r="Q117" s="606">
        <f t="shared" si="57"/>
        <v>3.2520325203252036E-2</v>
      </c>
      <c r="R117" s="607">
        <f t="shared" si="57"/>
        <v>4.920164727982082E-2</v>
      </c>
      <c r="S117" s="602">
        <f t="shared" si="57"/>
        <v>8.4222474460839955E-2</v>
      </c>
      <c r="T117" s="606">
        <f t="shared" si="59"/>
        <v>0</v>
      </c>
    </row>
    <row r="118" spans="1:20" s="55" customFormat="1" ht="13.9" customHeight="1">
      <c r="A118" s="112"/>
      <c r="B118" s="106" t="s">
        <v>32</v>
      </c>
      <c r="C118" s="123">
        <v>771</v>
      </c>
      <c r="D118" s="123">
        <v>129</v>
      </c>
      <c r="E118" s="123">
        <v>572</v>
      </c>
      <c r="F118" s="123">
        <v>95</v>
      </c>
      <c r="G118" s="123">
        <v>0</v>
      </c>
      <c r="H118" s="123">
        <v>56</v>
      </c>
      <c r="I118" s="560">
        <v>1623</v>
      </c>
      <c r="J118" s="124">
        <v>35</v>
      </c>
      <c r="K118" s="125">
        <v>0</v>
      </c>
      <c r="L118" s="602">
        <f t="shared" si="58"/>
        <v>0.12575436307290816</v>
      </c>
      <c r="M118" s="606">
        <f t="shared" si="57"/>
        <v>0.10046728971962617</v>
      </c>
      <c r="N118" s="606">
        <f t="shared" si="57"/>
        <v>0.11392152957578172</v>
      </c>
      <c r="O118" s="606">
        <f t="shared" si="57"/>
        <v>8.707607699358387E-2</v>
      </c>
      <c r="P118" s="606">
        <f t="shared" si="57"/>
        <v>0</v>
      </c>
      <c r="Q118" s="606">
        <f t="shared" si="57"/>
        <v>0.22764227642276422</v>
      </c>
      <c r="R118" s="607">
        <f t="shared" si="57"/>
        <v>0.11726031356115887</v>
      </c>
      <c r="S118" s="602">
        <f t="shared" si="57"/>
        <v>3.9727582292849034E-3</v>
      </c>
      <c r="T118" s="606">
        <f t="shared" si="59"/>
        <v>0</v>
      </c>
    </row>
    <row r="119" spans="1:20" s="55" customFormat="1" ht="13.9" customHeight="1">
      <c r="A119" s="112"/>
      <c r="B119" s="106" t="s">
        <v>58</v>
      </c>
      <c r="C119" s="123">
        <v>0</v>
      </c>
      <c r="D119" s="123">
        <v>0</v>
      </c>
      <c r="E119" s="123">
        <v>0</v>
      </c>
      <c r="F119" s="123">
        <v>0</v>
      </c>
      <c r="G119" s="123">
        <v>0</v>
      </c>
      <c r="H119" s="123">
        <v>0</v>
      </c>
      <c r="I119" s="560">
        <v>0</v>
      </c>
      <c r="J119" s="124">
        <v>5737</v>
      </c>
      <c r="K119" s="125">
        <v>0</v>
      </c>
      <c r="L119" s="602">
        <f t="shared" si="58"/>
        <v>0</v>
      </c>
      <c r="M119" s="606">
        <f t="shared" si="57"/>
        <v>0</v>
      </c>
      <c r="N119" s="606">
        <f t="shared" si="57"/>
        <v>0</v>
      </c>
      <c r="O119" s="606">
        <f t="shared" si="57"/>
        <v>0</v>
      </c>
      <c r="P119" s="606">
        <f t="shared" si="57"/>
        <v>0</v>
      </c>
      <c r="Q119" s="606">
        <f t="shared" si="57"/>
        <v>0</v>
      </c>
      <c r="R119" s="607">
        <f t="shared" si="57"/>
        <v>0</v>
      </c>
      <c r="S119" s="602">
        <f t="shared" si="57"/>
        <v>0.65119182746878546</v>
      </c>
      <c r="T119" s="606">
        <f t="shared" si="59"/>
        <v>0</v>
      </c>
    </row>
    <row r="120" spans="1:20" s="127" customFormat="1" ht="24" customHeight="1">
      <c r="A120" s="128"/>
      <c r="B120" s="114" t="s">
        <v>59</v>
      </c>
      <c r="C120" s="129">
        <v>6131</v>
      </c>
      <c r="D120" s="129">
        <v>1284</v>
      </c>
      <c r="E120" s="129">
        <v>5021</v>
      </c>
      <c r="F120" s="129">
        <v>1091</v>
      </c>
      <c r="G120" s="129">
        <v>68</v>
      </c>
      <c r="H120" s="129">
        <v>246</v>
      </c>
      <c r="I120" s="561">
        <v>13841</v>
      </c>
      <c r="J120" s="130">
        <v>8810</v>
      </c>
      <c r="K120" s="129">
        <v>0</v>
      </c>
      <c r="L120" s="608">
        <f t="shared" si="58"/>
        <v>1</v>
      </c>
      <c r="M120" s="609">
        <f t="shared" si="57"/>
        <v>1</v>
      </c>
      <c r="N120" s="609">
        <f t="shared" si="57"/>
        <v>1</v>
      </c>
      <c r="O120" s="609">
        <f t="shared" si="57"/>
        <v>1</v>
      </c>
      <c r="P120" s="609">
        <f t="shared" si="57"/>
        <v>1</v>
      </c>
      <c r="Q120" s="609">
        <f t="shared" si="57"/>
        <v>1</v>
      </c>
      <c r="R120" s="610">
        <f t="shared" si="57"/>
        <v>1</v>
      </c>
      <c r="S120" s="608">
        <f t="shared" si="57"/>
        <v>1</v>
      </c>
      <c r="T120" s="609">
        <f t="shared" si="59"/>
        <v>0</v>
      </c>
    </row>
    <row r="121" spans="1:20" s="55" customFormat="1" ht="13.9" customHeight="1">
      <c r="A121" s="107" t="s">
        <v>17</v>
      </c>
      <c r="B121" s="107" t="s">
        <v>53</v>
      </c>
      <c r="C121" s="119">
        <v>947</v>
      </c>
      <c r="D121" s="119">
        <v>852</v>
      </c>
      <c r="E121" s="119">
        <v>360</v>
      </c>
      <c r="F121" s="119">
        <v>153</v>
      </c>
      <c r="G121" s="119">
        <v>34</v>
      </c>
      <c r="H121" s="119">
        <v>136</v>
      </c>
      <c r="I121" s="559">
        <v>2482</v>
      </c>
      <c r="J121" s="120">
        <v>444</v>
      </c>
      <c r="K121" s="119">
        <v>0</v>
      </c>
      <c r="L121" s="605">
        <f>+C121/C$127</f>
        <v>0.41571553994732219</v>
      </c>
      <c r="M121" s="603">
        <f t="shared" ref="M121:S127" si="60">+D121/D$127</f>
        <v>0.31661092530657747</v>
      </c>
      <c r="N121" s="603">
        <f t="shared" si="60"/>
        <v>0.36144578313253012</v>
      </c>
      <c r="O121" s="603">
        <f t="shared" si="60"/>
        <v>0.30478087649402391</v>
      </c>
      <c r="P121" s="603">
        <f t="shared" si="60"/>
        <v>0.20987654320987653</v>
      </c>
      <c r="Q121" s="603">
        <f t="shared" si="60"/>
        <v>0.31050228310502281</v>
      </c>
      <c r="R121" s="604">
        <f t="shared" si="60"/>
        <v>0.35120984859204757</v>
      </c>
      <c r="S121" s="605">
        <f t="shared" si="60"/>
        <v>0.23380726698262244</v>
      </c>
      <c r="T121" s="603">
        <f>IF(K$127&gt;0,(+K121/K$127),0)</f>
        <v>0</v>
      </c>
    </row>
    <row r="122" spans="1:20" s="55" customFormat="1" ht="13.9" customHeight="1">
      <c r="A122" s="112"/>
      <c r="B122" s="106" t="s">
        <v>93</v>
      </c>
      <c r="C122" s="123">
        <v>656</v>
      </c>
      <c r="D122" s="123">
        <v>930</v>
      </c>
      <c r="E122" s="123">
        <v>287</v>
      </c>
      <c r="F122" s="123">
        <v>113</v>
      </c>
      <c r="G122" s="123">
        <v>53</v>
      </c>
      <c r="H122" s="123">
        <v>128</v>
      </c>
      <c r="I122" s="560">
        <v>2167</v>
      </c>
      <c r="J122" s="124">
        <v>645</v>
      </c>
      <c r="K122" s="125">
        <v>0</v>
      </c>
      <c r="L122" s="602">
        <f t="shared" ref="L122:L127" si="61">+C122/C$127</f>
        <v>0.28797190517998245</v>
      </c>
      <c r="M122" s="606">
        <f t="shared" si="60"/>
        <v>0.3455964325529543</v>
      </c>
      <c r="N122" s="606">
        <f t="shared" si="60"/>
        <v>0.28815261044176704</v>
      </c>
      <c r="O122" s="606">
        <f t="shared" si="60"/>
        <v>0.22509960159362549</v>
      </c>
      <c r="P122" s="606">
        <f t="shared" si="60"/>
        <v>0.3271604938271605</v>
      </c>
      <c r="Q122" s="606">
        <f t="shared" si="60"/>
        <v>0.29223744292237441</v>
      </c>
      <c r="R122" s="607">
        <f t="shared" si="60"/>
        <v>0.30663647941134853</v>
      </c>
      <c r="S122" s="602">
        <f t="shared" si="60"/>
        <v>0.33965244865718797</v>
      </c>
      <c r="T122" s="606">
        <f t="shared" ref="T122:T127" si="62">IF(K$127&gt;0,(+K122/K$127),0)</f>
        <v>0</v>
      </c>
    </row>
    <row r="123" spans="1:20" s="55" customFormat="1" ht="13.9" customHeight="1">
      <c r="A123" s="112"/>
      <c r="B123" s="106" t="s">
        <v>55</v>
      </c>
      <c r="C123" s="123">
        <v>457</v>
      </c>
      <c r="D123" s="123">
        <v>650</v>
      </c>
      <c r="E123" s="123">
        <v>274</v>
      </c>
      <c r="F123" s="123">
        <v>185</v>
      </c>
      <c r="G123" s="123">
        <v>56</v>
      </c>
      <c r="H123" s="123">
        <v>116</v>
      </c>
      <c r="I123" s="560">
        <v>1738</v>
      </c>
      <c r="J123" s="124">
        <v>560</v>
      </c>
      <c r="K123" s="125">
        <v>0</v>
      </c>
      <c r="L123" s="602">
        <f t="shared" si="61"/>
        <v>0.20061457418788411</v>
      </c>
      <c r="M123" s="606">
        <f t="shared" si="60"/>
        <v>0.24154589371980675</v>
      </c>
      <c r="N123" s="606">
        <f t="shared" si="60"/>
        <v>0.27510040160642568</v>
      </c>
      <c r="O123" s="606">
        <f t="shared" si="60"/>
        <v>0.36852589641434264</v>
      </c>
      <c r="P123" s="606">
        <f t="shared" si="60"/>
        <v>0.34567901234567899</v>
      </c>
      <c r="Q123" s="606">
        <f t="shared" si="60"/>
        <v>0.26484018264840181</v>
      </c>
      <c r="R123" s="607">
        <f t="shared" si="60"/>
        <v>0.24593179567001555</v>
      </c>
      <c r="S123" s="602">
        <f t="shared" si="60"/>
        <v>0.29489204844655081</v>
      </c>
      <c r="T123" s="606">
        <f t="shared" si="62"/>
        <v>0</v>
      </c>
    </row>
    <row r="124" spans="1:20" s="55" customFormat="1" ht="13.9" customHeight="1">
      <c r="A124" s="112"/>
      <c r="B124" s="106" t="s">
        <v>78</v>
      </c>
      <c r="C124" s="123">
        <v>141</v>
      </c>
      <c r="D124" s="123">
        <v>183</v>
      </c>
      <c r="E124" s="123">
        <v>75</v>
      </c>
      <c r="F124" s="123">
        <v>50</v>
      </c>
      <c r="G124" s="123">
        <v>10</v>
      </c>
      <c r="H124" s="123">
        <v>34</v>
      </c>
      <c r="I124" s="560">
        <v>493</v>
      </c>
      <c r="J124" s="124">
        <v>246</v>
      </c>
      <c r="K124" s="125">
        <v>0</v>
      </c>
      <c r="L124" s="602">
        <f t="shared" si="61"/>
        <v>6.1896400351185252E-2</v>
      </c>
      <c r="M124" s="606">
        <f t="shared" si="60"/>
        <v>6.8004459308807136E-2</v>
      </c>
      <c r="N124" s="606">
        <f t="shared" si="60"/>
        <v>7.5301204819277115E-2</v>
      </c>
      <c r="O124" s="606">
        <f t="shared" si="60"/>
        <v>9.9601593625498003E-2</v>
      </c>
      <c r="P124" s="606">
        <f t="shared" si="60"/>
        <v>6.1728395061728392E-2</v>
      </c>
      <c r="Q124" s="606">
        <f t="shared" si="60"/>
        <v>7.7625570776255703E-2</v>
      </c>
      <c r="R124" s="607">
        <f t="shared" si="60"/>
        <v>6.9760860336776573E-2</v>
      </c>
      <c r="S124" s="602">
        <f t="shared" si="60"/>
        <v>0.12954186413902052</v>
      </c>
      <c r="T124" s="606">
        <f t="shared" si="62"/>
        <v>0</v>
      </c>
    </row>
    <row r="125" spans="1:20" s="55" customFormat="1" ht="13.9" customHeight="1">
      <c r="A125" s="112"/>
      <c r="B125" s="106" t="s">
        <v>32</v>
      </c>
      <c r="C125" s="123">
        <v>77</v>
      </c>
      <c r="D125" s="123">
        <v>76</v>
      </c>
      <c r="E125" s="123">
        <v>0</v>
      </c>
      <c r="F125" s="123">
        <v>1</v>
      </c>
      <c r="G125" s="123">
        <v>9</v>
      </c>
      <c r="H125" s="123">
        <v>24</v>
      </c>
      <c r="I125" s="560">
        <v>187</v>
      </c>
      <c r="J125" s="124">
        <v>4</v>
      </c>
      <c r="K125" s="125">
        <v>0</v>
      </c>
      <c r="L125" s="602">
        <f t="shared" si="61"/>
        <v>3.3801580333625986E-2</v>
      </c>
      <c r="M125" s="606">
        <f t="shared" si="60"/>
        <v>2.8242289111854328E-2</v>
      </c>
      <c r="N125" s="606">
        <f t="shared" si="60"/>
        <v>0</v>
      </c>
      <c r="O125" s="606">
        <f t="shared" si="60"/>
        <v>1.9920318725099601E-3</v>
      </c>
      <c r="P125" s="606">
        <f t="shared" si="60"/>
        <v>5.5555555555555552E-2</v>
      </c>
      <c r="Q125" s="606">
        <f t="shared" si="60"/>
        <v>5.4794520547945202E-2</v>
      </c>
      <c r="R125" s="607">
        <f t="shared" si="60"/>
        <v>2.6461015989811803E-2</v>
      </c>
      <c r="S125" s="602">
        <f t="shared" si="60"/>
        <v>2.1063717746182199E-3</v>
      </c>
      <c r="T125" s="606">
        <f t="shared" si="62"/>
        <v>0</v>
      </c>
    </row>
    <row r="126" spans="1:20" s="55" customFormat="1" ht="13.9" customHeight="1">
      <c r="A126" s="112"/>
      <c r="B126" s="106" t="s">
        <v>58</v>
      </c>
      <c r="C126" s="123">
        <v>0</v>
      </c>
      <c r="D126" s="123">
        <v>0</v>
      </c>
      <c r="E126" s="123">
        <v>0</v>
      </c>
      <c r="F126" s="123">
        <v>0</v>
      </c>
      <c r="G126" s="123">
        <v>0</v>
      </c>
      <c r="H126" s="123">
        <v>0</v>
      </c>
      <c r="I126" s="560">
        <v>0</v>
      </c>
      <c r="J126" s="124">
        <v>0</v>
      </c>
      <c r="K126" s="125">
        <v>0</v>
      </c>
      <c r="L126" s="602">
        <f t="shared" si="61"/>
        <v>0</v>
      </c>
      <c r="M126" s="606">
        <f t="shared" si="60"/>
        <v>0</v>
      </c>
      <c r="N126" s="606">
        <f t="shared" si="60"/>
        <v>0</v>
      </c>
      <c r="O126" s="606">
        <f t="shared" si="60"/>
        <v>0</v>
      </c>
      <c r="P126" s="606">
        <f t="shared" si="60"/>
        <v>0</v>
      </c>
      <c r="Q126" s="606">
        <f t="shared" si="60"/>
        <v>0</v>
      </c>
      <c r="R126" s="607">
        <f t="shared" si="60"/>
        <v>0</v>
      </c>
      <c r="S126" s="602">
        <f t="shared" si="60"/>
        <v>0</v>
      </c>
      <c r="T126" s="606">
        <f t="shared" si="62"/>
        <v>0</v>
      </c>
    </row>
    <row r="127" spans="1:20" s="127" customFormat="1" ht="24" customHeight="1">
      <c r="A127" s="112"/>
      <c r="B127" s="126" t="s">
        <v>59</v>
      </c>
      <c r="C127" s="123">
        <v>2278</v>
      </c>
      <c r="D127" s="123">
        <v>2691</v>
      </c>
      <c r="E127" s="123">
        <v>996</v>
      </c>
      <c r="F127" s="123">
        <v>502</v>
      </c>
      <c r="G127" s="123">
        <v>162</v>
      </c>
      <c r="H127" s="123">
        <v>438</v>
      </c>
      <c r="I127" s="560">
        <v>7067</v>
      </c>
      <c r="J127" s="124">
        <v>1899</v>
      </c>
      <c r="K127" s="125">
        <v>0</v>
      </c>
      <c r="L127" s="602">
        <f t="shared" si="61"/>
        <v>1</v>
      </c>
      <c r="M127" s="606">
        <f t="shared" si="60"/>
        <v>1</v>
      </c>
      <c r="N127" s="606">
        <f t="shared" si="60"/>
        <v>1</v>
      </c>
      <c r="O127" s="606">
        <f t="shared" si="60"/>
        <v>1</v>
      </c>
      <c r="P127" s="606">
        <f t="shared" si="60"/>
        <v>1</v>
      </c>
      <c r="Q127" s="606">
        <f t="shared" si="60"/>
        <v>1</v>
      </c>
      <c r="R127" s="607">
        <f t="shared" si="60"/>
        <v>1</v>
      </c>
      <c r="S127" s="602">
        <f t="shared" si="60"/>
        <v>1</v>
      </c>
      <c r="T127" s="609">
        <f t="shared" si="62"/>
        <v>0</v>
      </c>
    </row>
    <row r="128" spans="1:20" s="55" customFormat="1" ht="13.9" customHeight="1">
      <c r="A128" s="107" t="s">
        <v>18</v>
      </c>
      <c r="B128" s="107" t="s">
        <v>53</v>
      </c>
      <c r="C128" s="119">
        <v>335</v>
      </c>
      <c r="D128" s="119">
        <v>0</v>
      </c>
      <c r="E128" s="119">
        <v>193</v>
      </c>
      <c r="F128" s="119">
        <v>0</v>
      </c>
      <c r="G128" s="119">
        <v>0</v>
      </c>
      <c r="H128" s="119">
        <v>255</v>
      </c>
      <c r="I128" s="559">
        <v>783</v>
      </c>
      <c r="J128" s="120">
        <v>91</v>
      </c>
      <c r="K128" s="119">
        <v>0</v>
      </c>
      <c r="L128" s="605">
        <f>+C128/C$134</f>
        <v>0.37598204264870932</v>
      </c>
      <c r="M128" s="603">
        <f>IF(D$134&gt;0,(+D128/D$134),0)</f>
        <v>0</v>
      </c>
      <c r="N128" s="603">
        <f t="shared" ref="N128:S134" si="63">+E128/E$134</f>
        <v>0.4150537634408602</v>
      </c>
      <c r="O128" s="603">
        <f>IF(F$134&gt;0,(+F128/F$134),0)</f>
        <v>0</v>
      </c>
      <c r="P128" s="603">
        <f>IF(G$134&gt;0,(+G128/G$134),0)</f>
        <v>0</v>
      </c>
      <c r="Q128" s="603">
        <f t="shared" si="63"/>
        <v>0.28396436525612473</v>
      </c>
      <c r="R128" s="604">
        <f t="shared" si="63"/>
        <v>0.34738243123336293</v>
      </c>
      <c r="S128" s="605">
        <f t="shared" si="63"/>
        <v>0.3888888888888889</v>
      </c>
      <c r="T128" s="603">
        <f>IF(K$134&gt;0,(+K128/K$134),0)</f>
        <v>0</v>
      </c>
    </row>
    <row r="129" spans="1:22" s="55" customFormat="1" ht="13.9" customHeight="1">
      <c r="A129" s="112"/>
      <c r="B129" s="106" t="s">
        <v>93</v>
      </c>
      <c r="C129" s="123">
        <v>278</v>
      </c>
      <c r="D129" s="123">
        <v>0</v>
      </c>
      <c r="E129" s="123">
        <v>122</v>
      </c>
      <c r="F129" s="123">
        <v>0</v>
      </c>
      <c r="G129" s="123">
        <v>0</v>
      </c>
      <c r="H129" s="123">
        <v>269</v>
      </c>
      <c r="I129" s="560">
        <v>669</v>
      </c>
      <c r="J129" s="124">
        <v>61</v>
      </c>
      <c r="K129" s="125">
        <v>0</v>
      </c>
      <c r="L129" s="602">
        <f t="shared" ref="L129:L134" si="64">+C129/C$134</f>
        <v>0.31200897867564537</v>
      </c>
      <c r="M129" s="606">
        <f t="shared" ref="M129:M134" si="65">IF(D$134&gt;0,(+D129/D$134),0)</f>
        <v>0</v>
      </c>
      <c r="N129" s="606">
        <f t="shared" si="63"/>
        <v>0.26236559139784948</v>
      </c>
      <c r="O129" s="606">
        <f t="shared" ref="O129:P134" si="66">IF(F$134&gt;0,(+F129/F$134),0)</f>
        <v>0</v>
      </c>
      <c r="P129" s="606">
        <f t="shared" si="66"/>
        <v>0</v>
      </c>
      <c r="Q129" s="606">
        <f t="shared" si="63"/>
        <v>0.29955456570155903</v>
      </c>
      <c r="R129" s="607">
        <f t="shared" si="63"/>
        <v>0.29680567879325642</v>
      </c>
      <c r="S129" s="602">
        <f t="shared" si="63"/>
        <v>0.2606837606837607</v>
      </c>
      <c r="T129" s="606">
        <f t="shared" ref="T129:T134" si="67">IF(K$134&gt;0,(+K129/K$134),0)</f>
        <v>0</v>
      </c>
    </row>
    <row r="130" spans="1:22" s="55" customFormat="1" ht="13.9" customHeight="1">
      <c r="A130" s="112"/>
      <c r="B130" s="106" t="s">
        <v>55</v>
      </c>
      <c r="C130" s="123">
        <v>248</v>
      </c>
      <c r="D130" s="123">
        <v>0</v>
      </c>
      <c r="E130" s="123">
        <v>122</v>
      </c>
      <c r="F130" s="123">
        <v>0</v>
      </c>
      <c r="G130" s="123">
        <v>0</v>
      </c>
      <c r="H130" s="123">
        <v>273</v>
      </c>
      <c r="I130" s="560">
        <v>643</v>
      </c>
      <c r="J130" s="124">
        <v>43</v>
      </c>
      <c r="K130" s="125">
        <v>0</v>
      </c>
      <c r="L130" s="602">
        <f t="shared" si="64"/>
        <v>0.27833894500561168</v>
      </c>
      <c r="M130" s="606">
        <f t="shared" si="65"/>
        <v>0</v>
      </c>
      <c r="N130" s="606">
        <f t="shared" si="63"/>
        <v>0.26236559139784948</v>
      </c>
      <c r="O130" s="606">
        <f t="shared" si="66"/>
        <v>0</v>
      </c>
      <c r="P130" s="606">
        <f t="shared" si="66"/>
        <v>0</v>
      </c>
      <c r="Q130" s="606">
        <f t="shared" si="63"/>
        <v>0.3040089086859688</v>
      </c>
      <c r="R130" s="607">
        <f t="shared" si="63"/>
        <v>0.2852706299911269</v>
      </c>
      <c r="S130" s="602">
        <f t="shared" si="63"/>
        <v>0.18376068376068377</v>
      </c>
      <c r="T130" s="606">
        <f t="shared" si="67"/>
        <v>0</v>
      </c>
    </row>
    <row r="131" spans="1:22" s="55" customFormat="1" ht="13.9" customHeight="1">
      <c r="A131" s="112"/>
      <c r="B131" s="106" t="s">
        <v>78</v>
      </c>
      <c r="C131" s="123">
        <v>22</v>
      </c>
      <c r="D131" s="123">
        <v>0</v>
      </c>
      <c r="E131" s="123">
        <v>28</v>
      </c>
      <c r="F131" s="123">
        <v>0</v>
      </c>
      <c r="G131" s="123">
        <v>0</v>
      </c>
      <c r="H131" s="123">
        <v>88</v>
      </c>
      <c r="I131" s="560">
        <v>138</v>
      </c>
      <c r="J131" s="124">
        <v>27</v>
      </c>
      <c r="K131" s="125">
        <v>0</v>
      </c>
      <c r="L131" s="602">
        <f t="shared" si="64"/>
        <v>2.4691358024691357E-2</v>
      </c>
      <c r="M131" s="606">
        <f t="shared" si="65"/>
        <v>0</v>
      </c>
      <c r="N131" s="606">
        <f t="shared" si="63"/>
        <v>6.0215053763440864E-2</v>
      </c>
      <c r="O131" s="606">
        <f t="shared" si="66"/>
        <v>0</v>
      </c>
      <c r="P131" s="606">
        <f t="shared" si="66"/>
        <v>0</v>
      </c>
      <c r="Q131" s="606">
        <f t="shared" si="63"/>
        <v>9.7995545657015584E-2</v>
      </c>
      <c r="R131" s="607">
        <f t="shared" si="63"/>
        <v>6.1224489795918366E-2</v>
      </c>
      <c r="S131" s="602">
        <f t="shared" si="63"/>
        <v>0.11538461538461539</v>
      </c>
      <c r="T131" s="606">
        <f t="shared" si="67"/>
        <v>0</v>
      </c>
    </row>
    <row r="132" spans="1:22" s="55" customFormat="1" ht="13.9" customHeight="1">
      <c r="A132" s="112"/>
      <c r="B132" s="106" t="s">
        <v>32</v>
      </c>
      <c r="C132" s="123">
        <v>8</v>
      </c>
      <c r="D132" s="123">
        <v>0</v>
      </c>
      <c r="E132" s="123">
        <v>0</v>
      </c>
      <c r="F132" s="123">
        <v>0</v>
      </c>
      <c r="G132" s="123">
        <v>0</v>
      </c>
      <c r="H132" s="123">
        <v>13</v>
      </c>
      <c r="I132" s="560">
        <v>21</v>
      </c>
      <c r="J132" s="124">
        <v>12</v>
      </c>
      <c r="K132" s="125">
        <v>0</v>
      </c>
      <c r="L132" s="602">
        <f t="shared" si="64"/>
        <v>8.9786756453423128E-3</v>
      </c>
      <c r="M132" s="606">
        <f t="shared" si="65"/>
        <v>0</v>
      </c>
      <c r="N132" s="606">
        <f t="shared" si="63"/>
        <v>0</v>
      </c>
      <c r="O132" s="606">
        <f t="shared" si="66"/>
        <v>0</v>
      </c>
      <c r="P132" s="606">
        <f t="shared" si="66"/>
        <v>0</v>
      </c>
      <c r="Q132" s="606">
        <f t="shared" si="63"/>
        <v>1.4476614699331848E-2</v>
      </c>
      <c r="R132" s="607">
        <f t="shared" si="63"/>
        <v>9.316770186335404E-3</v>
      </c>
      <c r="S132" s="602">
        <f t="shared" si="63"/>
        <v>5.128205128205128E-2</v>
      </c>
      <c r="T132" s="606">
        <f t="shared" si="67"/>
        <v>0</v>
      </c>
    </row>
    <row r="133" spans="1:22" s="55" customFormat="1" ht="13.9" customHeight="1">
      <c r="A133" s="112"/>
      <c r="B133" s="106" t="s">
        <v>58</v>
      </c>
      <c r="C133" s="123">
        <v>0</v>
      </c>
      <c r="D133" s="123">
        <v>0</v>
      </c>
      <c r="E133" s="123">
        <v>0</v>
      </c>
      <c r="F133" s="123">
        <v>0</v>
      </c>
      <c r="G133" s="123">
        <v>0</v>
      </c>
      <c r="H133" s="123">
        <v>0</v>
      </c>
      <c r="I133" s="560">
        <v>0</v>
      </c>
      <c r="J133" s="124">
        <v>0</v>
      </c>
      <c r="K133" s="125">
        <v>0</v>
      </c>
      <c r="L133" s="602">
        <f t="shared" si="64"/>
        <v>0</v>
      </c>
      <c r="M133" s="606">
        <f t="shared" si="65"/>
        <v>0</v>
      </c>
      <c r="N133" s="606">
        <f t="shared" si="63"/>
        <v>0</v>
      </c>
      <c r="O133" s="606">
        <f t="shared" si="66"/>
        <v>0</v>
      </c>
      <c r="P133" s="606">
        <f t="shared" si="66"/>
        <v>0</v>
      </c>
      <c r="Q133" s="606">
        <f t="shared" si="63"/>
        <v>0</v>
      </c>
      <c r="R133" s="607">
        <f t="shared" si="63"/>
        <v>0</v>
      </c>
      <c r="S133" s="602">
        <f t="shared" si="63"/>
        <v>0</v>
      </c>
      <c r="T133" s="606">
        <f t="shared" si="67"/>
        <v>0</v>
      </c>
    </row>
    <row r="134" spans="1:22" s="127" customFormat="1" ht="24" customHeight="1">
      <c r="A134" s="131"/>
      <c r="B134" s="114" t="s">
        <v>59</v>
      </c>
      <c r="C134" s="129">
        <v>891</v>
      </c>
      <c r="D134" s="129">
        <v>0</v>
      </c>
      <c r="E134" s="129">
        <v>465</v>
      </c>
      <c r="F134" s="129">
        <v>0</v>
      </c>
      <c r="G134" s="129">
        <v>0</v>
      </c>
      <c r="H134" s="129">
        <v>898</v>
      </c>
      <c r="I134" s="561">
        <v>2254</v>
      </c>
      <c r="J134" s="130">
        <v>234</v>
      </c>
      <c r="K134" s="129">
        <v>0</v>
      </c>
      <c r="L134" s="608">
        <f t="shared" si="64"/>
        <v>1</v>
      </c>
      <c r="M134" s="609">
        <f t="shared" si="65"/>
        <v>0</v>
      </c>
      <c r="N134" s="609">
        <f t="shared" si="63"/>
        <v>1</v>
      </c>
      <c r="O134" s="609">
        <f t="shared" si="66"/>
        <v>0</v>
      </c>
      <c r="P134" s="609">
        <f t="shared" si="66"/>
        <v>0</v>
      </c>
      <c r="Q134" s="609">
        <f t="shared" si="63"/>
        <v>1</v>
      </c>
      <c r="R134" s="610">
        <f t="shared" si="63"/>
        <v>1</v>
      </c>
      <c r="S134" s="608">
        <f t="shared" si="63"/>
        <v>1</v>
      </c>
      <c r="T134" s="609">
        <f t="shared" si="67"/>
        <v>0</v>
      </c>
    </row>
    <row r="135" spans="1:22" s="55" customFormat="1" ht="11.25">
      <c r="B135" s="98"/>
      <c r="C135" s="99"/>
      <c r="D135" s="99"/>
      <c r="E135" s="99"/>
      <c r="F135" s="99"/>
      <c r="G135" s="99"/>
      <c r="H135" s="99"/>
      <c r="I135" s="99"/>
      <c r="J135" s="100"/>
      <c r="K135" s="101" t="s">
        <v>99</v>
      </c>
      <c r="L135" s="611"/>
      <c r="M135" s="611"/>
      <c r="N135" s="611"/>
      <c r="O135" s="611"/>
      <c r="P135" s="611"/>
      <c r="Q135" s="611"/>
      <c r="R135" s="611"/>
      <c r="S135" s="611"/>
      <c r="T135" s="611"/>
    </row>
    <row r="136" spans="1:22" s="55" customFormat="1" ht="11.25">
      <c r="B136" s="98"/>
      <c r="C136" s="99"/>
      <c r="D136" s="99"/>
      <c r="E136" s="99"/>
      <c r="F136" s="99"/>
      <c r="G136" s="99"/>
      <c r="H136" s="99"/>
      <c r="I136" s="99"/>
      <c r="J136" s="100"/>
      <c r="K136" s="101" t="s">
        <v>3</v>
      </c>
      <c r="L136" s="612">
        <f t="shared" ref="L136:T136" si="68">SUM(L16:L21)</f>
        <v>1</v>
      </c>
      <c r="M136" s="612">
        <f t="shared" si="68"/>
        <v>1</v>
      </c>
      <c r="N136" s="612">
        <f t="shared" si="68"/>
        <v>0.99999999999999989</v>
      </c>
      <c r="O136" s="612">
        <f t="shared" si="68"/>
        <v>1.0000000000000002</v>
      </c>
      <c r="P136" s="612">
        <f t="shared" si="68"/>
        <v>0.99999999999999989</v>
      </c>
      <c r="Q136" s="612">
        <f t="shared" si="68"/>
        <v>1</v>
      </c>
      <c r="R136" s="612">
        <f t="shared" si="68"/>
        <v>1</v>
      </c>
      <c r="S136" s="612">
        <f t="shared" si="68"/>
        <v>1</v>
      </c>
      <c r="T136" s="612">
        <f t="shared" si="68"/>
        <v>1</v>
      </c>
      <c r="V136" s="103"/>
    </row>
    <row r="137" spans="1:22" s="55" customFormat="1" ht="11.25">
      <c r="B137" s="98"/>
      <c r="C137" s="99"/>
      <c r="D137" s="99"/>
      <c r="E137" s="99"/>
      <c r="F137" s="99"/>
      <c r="G137" s="99"/>
      <c r="H137" s="99"/>
      <c r="I137" s="99"/>
      <c r="J137" s="100"/>
      <c r="K137" s="101" t="s">
        <v>4</v>
      </c>
      <c r="L137" s="612">
        <f t="shared" ref="L137:T137" si="69">SUM(L23:L28)</f>
        <v>0.99999999999999989</v>
      </c>
      <c r="M137" s="612">
        <f t="shared" si="69"/>
        <v>0.99999999999999989</v>
      </c>
      <c r="N137" s="612">
        <f t="shared" si="69"/>
        <v>1</v>
      </c>
      <c r="O137" s="612">
        <f t="shared" si="69"/>
        <v>1</v>
      </c>
      <c r="P137" s="612">
        <f t="shared" si="69"/>
        <v>1</v>
      </c>
      <c r="Q137" s="612">
        <f t="shared" si="69"/>
        <v>1</v>
      </c>
      <c r="R137" s="612">
        <f t="shared" si="69"/>
        <v>0.99999999999999989</v>
      </c>
      <c r="S137" s="612">
        <f t="shared" si="69"/>
        <v>1</v>
      </c>
      <c r="T137" s="612">
        <f t="shared" si="69"/>
        <v>1</v>
      </c>
    </row>
    <row r="138" spans="1:22" s="55" customFormat="1" ht="11.25">
      <c r="B138" s="98"/>
      <c r="C138" s="99"/>
      <c r="D138" s="99"/>
      <c r="E138" s="99"/>
      <c r="F138" s="99"/>
      <c r="G138" s="99"/>
      <c r="H138" s="99"/>
      <c r="I138" s="99"/>
      <c r="J138" s="100"/>
      <c r="K138" s="101" t="s">
        <v>5</v>
      </c>
      <c r="L138" s="612">
        <f t="shared" ref="L138:T138" si="70">SUM(L30:L35)</f>
        <v>1</v>
      </c>
      <c r="M138" s="612">
        <f t="shared" si="70"/>
        <v>0</v>
      </c>
      <c r="N138" s="612">
        <f t="shared" si="70"/>
        <v>1.0000000000000002</v>
      </c>
      <c r="O138" s="612">
        <f t="shared" si="70"/>
        <v>0</v>
      </c>
      <c r="P138" s="612">
        <f t="shared" si="70"/>
        <v>1</v>
      </c>
      <c r="Q138" s="612">
        <f t="shared" si="70"/>
        <v>1</v>
      </c>
      <c r="R138" s="612">
        <f t="shared" si="70"/>
        <v>1</v>
      </c>
      <c r="S138" s="612">
        <f t="shared" si="70"/>
        <v>1</v>
      </c>
      <c r="T138" s="612">
        <f t="shared" si="70"/>
        <v>0</v>
      </c>
    </row>
    <row r="139" spans="1:22" s="55" customFormat="1" ht="11.25">
      <c r="B139" s="98"/>
      <c r="C139" s="99"/>
      <c r="D139" s="99"/>
      <c r="E139" s="99"/>
      <c r="F139" s="99"/>
      <c r="G139" s="99"/>
      <c r="H139" s="99"/>
      <c r="I139" s="99"/>
      <c r="J139" s="100"/>
      <c r="K139" s="101" t="s">
        <v>82</v>
      </c>
      <c r="L139" s="612">
        <f t="shared" ref="L139:T139" si="71">SUM(L37:L42)</f>
        <v>0.99999999999999989</v>
      </c>
      <c r="M139" s="612">
        <f t="shared" si="71"/>
        <v>0</v>
      </c>
      <c r="N139" s="612">
        <f t="shared" si="71"/>
        <v>0</v>
      </c>
      <c r="O139" s="612">
        <f t="shared" si="71"/>
        <v>1</v>
      </c>
      <c r="P139" s="612">
        <f t="shared" si="71"/>
        <v>0</v>
      </c>
      <c r="Q139" s="612">
        <f t="shared" si="71"/>
        <v>0</v>
      </c>
      <c r="R139" s="612">
        <f t="shared" si="71"/>
        <v>1</v>
      </c>
      <c r="S139" s="612">
        <f t="shared" si="71"/>
        <v>1</v>
      </c>
      <c r="T139" s="612">
        <f t="shared" si="71"/>
        <v>0</v>
      </c>
    </row>
    <row r="140" spans="1:22" s="55" customFormat="1" ht="11.25">
      <c r="B140" s="98"/>
      <c r="C140" s="99"/>
      <c r="D140" s="99"/>
      <c r="E140" s="99"/>
      <c r="F140" s="99"/>
      <c r="G140" s="99"/>
      <c r="H140" s="99"/>
      <c r="I140" s="99"/>
      <c r="J140" s="100"/>
      <c r="K140" s="101" t="s">
        <v>6</v>
      </c>
      <c r="L140" s="612">
        <f t="shared" ref="L140:T140" si="72">SUM(L44:L49)</f>
        <v>1</v>
      </c>
      <c r="M140" s="612">
        <f t="shared" si="72"/>
        <v>0.99999999999999989</v>
      </c>
      <c r="N140" s="612">
        <f t="shared" si="72"/>
        <v>1</v>
      </c>
      <c r="O140" s="612">
        <f t="shared" si="72"/>
        <v>0</v>
      </c>
      <c r="P140" s="612">
        <f t="shared" si="72"/>
        <v>1</v>
      </c>
      <c r="Q140" s="612">
        <f t="shared" si="72"/>
        <v>0</v>
      </c>
      <c r="R140" s="612">
        <f t="shared" si="72"/>
        <v>0.99999999999999989</v>
      </c>
      <c r="S140" s="612">
        <f t="shared" si="72"/>
        <v>1</v>
      </c>
      <c r="T140" s="612">
        <f t="shared" si="72"/>
        <v>0</v>
      </c>
    </row>
    <row r="141" spans="1:22" s="55" customFormat="1" ht="11.25">
      <c r="B141" s="98"/>
      <c r="C141" s="99"/>
      <c r="D141" s="99"/>
      <c r="E141" s="99"/>
      <c r="F141" s="99"/>
      <c r="G141" s="99"/>
      <c r="H141" s="99"/>
      <c r="I141" s="99"/>
      <c r="J141" s="100"/>
      <c r="K141" s="101" t="s">
        <v>7</v>
      </c>
      <c r="L141" s="612">
        <f t="shared" ref="L141:T141" si="73">SUM(L51:L56)</f>
        <v>1</v>
      </c>
      <c r="M141" s="612">
        <f t="shared" si="73"/>
        <v>1</v>
      </c>
      <c r="N141" s="612">
        <f t="shared" si="73"/>
        <v>1</v>
      </c>
      <c r="O141" s="612">
        <f t="shared" si="73"/>
        <v>1</v>
      </c>
      <c r="P141" s="612">
        <f t="shared" si="73"/>
        <v>0.99999999999999989</v>
      </c>
      <c r="Q141" s="612">
        <f t="shared" si="73"/>
        <v>1</v>
      </c>
      <c r="R141" s="612">
        <f t="shared" si="73"/>
        <v>0.99999999999999989</v>
      </c>
      <c r="S141" s="612">
        <f t="shared" si="73"/>
        <v>1</v>
      </c>
      <c r="T141" s="612">
        <f t="shared" si="73"/>
        <v>1</v>
      </c>
    </row>
    <row r="142" spans="1:22" s="55" customFormat="1" ht="11.25">
      <c r="B142" s="98"/>
      <c r="C142" s="99"/>
      <c r="D142" s="99"/>
      <c r="E142" s="99"/>
      <c r="F142" s="99"/>
      <c r="G142" s="99"/>
      <c r="H142" s="99"/>
      <c r="I142" s="99"/>
      <c r="J142" s="100"/>
      <c r="K142" s="101" t="s">
        <v>8</v>
      </c>
      <c r="L142" s="612">
        <f t="shared" ref="L142:T142" si="74">SUM(L58:L63)</f>
        <v>1</v>
      </c>
      <c r="M142" s="612">
        <f t="shared" si="74"/>
        <v>1</v>
      </c>
      <c r="N142" s="612">
        <f t="shared" si="74"/>
        <v>1</v>
      </c>
      <c r="O142" s="612">
        <f t="shared" si="74"/>
        <v>1</v>
      </c>
      <c r="P142" s="612">
        <f t="shared" si="74"/>
        <v>1</v>
      </c>
      <c r="Q142" s="612">
        <f t="shared" si="74"/>
        <v>1</v>
      </c>
      <c r="R142" s="612">
        <f t="shared" si="74"/>
        <v>0.99999999999999989</v>
      </c>
      <c r="S142" s="612">
        <f t="shared" si="74"/>
        <v>0.99999999999999989</v>
      </c>
      <c r="T142" s="612">
        <f t="shared" si="74"/>
        <v>1</v>
      </c>
    </row>
    <row r="143" spans="1:22" s="55" customFormat="1" ht="11.25">
      <c r="B143" s="98"/>
      <c r="C143" s="99"/>
      <c r="D143" s="99"/>
      <c r="E143" s="99"/>
      <c r="F143" s="99"/>
      <c r="G143" s="99"/>
      <c r="H143" s="99"/>
      <c r="I143" s="99"/>
      <c r="J143" s="100"/>
      <c r="K143" s="101" t="s">
        <v>9</v>
      </c>
      <c r="L143" s="612">
        <f t="shared" ref="L143:T143" si="75">SUM(L65:L70)</f>
        <v>1</v>
      </c>
      <c r="M143" s="612">
        <f t="shared" si="75"/>
        <v>1</v>
      </c>
      <c r="N143" s="612">
        <f t="shared" si="75"/>
        <v>1</v>
      </c>
      <c r="O143" s="612">
        <f t="shared" si="75"/>
        <v>1</v>
      </c>
      <c r="P143" s="612">
        <f t="shared" si="75"/>
        <v>1</v>
      </c>
      <c r="Q143" s="612">
        <f t="shared" si="75"/>
        <v>0</v>
      </c>
      <c r="R143" s="612">
        <f t="shared" si="75"/>
        <v>1</v>
      </c>
      <c r="S143" s="612">
        <f t="shared" si="75"/>
        <v>1</v>
      </c>
      <c r="T143" s="612">
        <f t="shared" si="75"/>
        <v>0</v>
      </c>
    </row>
    <row r="144" spans="1:22" s="55" customFormat="1" ht="11.25">
      <c r="B144" s="98"/>
      <c r="C144" s="99"/>
      <c r="D144" s="99"/>
      <c r="E144" s="99"/>
      <c r="F144" s="99"/>
      <c r="G144" s="99"/>
      <c r="H144" s="99"/>
      <c r="I144" s="99"/>
      <c r="J144" s="100"/>
      <c r="K144" s="101" t="s">
        <v>10</v>
      </c>
      <c r="L144" s="612">
        <f t="shared" ref="L144:T144" si="76">SUM(L72:L77)</f>
        <v>1</v>
      </c>
      <c r="M144" s="612">
        <f t="shared" si="76"/>
        <v>1</v>
      </c>
      <c r="N144" s="612">
        <f t="shared" si="76"/>
        <v>1</v>
      </c>
      <c r="O144" s="612">
        <f t="shared" si="76"/>
        <v>0.99999999999999989</v>
      </c>
      <c r="P144" s="612">
        <f t="shared" si="76"/>
        <v>0.99999999999999989</v>
      </c>
      <c r="Q144" s="612">
        <f t="shared" si="76"/>
        <v>1</v>
      </c>
      <c r="R144" s="612">
        <f t="shared" si="76"/>
        <v>1</v>
      </c>
      <c r="S144" s="612">
        <f t="shared" si="76"/>
        <v>1</v>
      </c>
      <c r="T144" s="612">
        <f t="shared" si="76"/>
        <v>0</v>
      </c>
    </row>
    <row r="145" spans="2:20" s="55" customFormat="1" ht="11.25">
      <c r="B145" s="98"/>
      <c r="C145" s="99"/>
      <c r="D145" s="99"/>
      <c r="E145" s="99"/>
      <c r="F145" s="99"/>
      <c r="G145" s="99"/>
      <c r="H145" s="99"/>
      <c r="I145" s="99"/>
      <c r="J145" s="100"/>
      <c r="K145" s="101" t="s">
        <v>11</v>
      </c>
      <c r="L145" s="612">
        <f t="shared" ref="L145:T145" si="77">SUM(L79:L84)</f>
        <v>1</v>
      </c>
      <c r="M145" s="612">
        <f t="shared" si="77"/>
        <v>0.99999999999999989</v>
      </c>
      <c r="N145" s="612">
        <f t="shared" si="77"/>
        <v>1</v>
      </c>
      <c r="O145" s="612">
        <f t="shared" si="77"/>
        <v>1</v>
      </c>
      <c r="P145" s="612">
        <f t="shared" si="77"/>
        <v>1</v>
      </c>
      <c r="Q145" s="612">
        <f t="shared" si="77"/>
        <v>0.99999999999999989</v>
      </c>
      <c r="R145" s="612">
        <f t="shared" si="77"/>
        <v>1</v>
      </c>
      <c r="S145" s="612">
        <f t="shared" si="77"/>
        <v>1</v>
      </c>
      <c r="T145" s="612">
        <f t="shared" si="77"/>
        <v>0</v>
      </c>
    </row>
    <row r="146" spans="2:20" s="55" customFormat="1" ht="11.25">
      <c r="B146" s="132"/>
      <c r="J146" s="132"/>
      <c r="K146" s="104" t="s">
        <v>12</v>
      </c>
      <c r="L146" s="612">
        <f>SUM(L86:L91)</f>
        <v>1</v>
      </c>
      <c r="M146" s="612">
        <f t="shared" ref="M146:T146" si="78">SUM(M86:M91)</f>
        <v>1</v>
      </c>
      <c r="N146" s="612">
        <f t="shared" si="78"/>
        <v>1</v>
      </c>
      <c r="O146" s="612">
        <f t="shared" si="78"/>
        <v>1</v>
      </c>
      <c r="P146" s="612">
        <f t="shared" si="78"/>
        <v>1</v>
      </c>
      <c r="Q146" s="612">
        <f t="shared" si="78"/>
        <v>0.99999999999999989</v>
      </c>
      <c r="R146" s="612">
        <f t="shared" si="78"/>
        <v>0.99999999999999989</v>
      </c>
      <c r="S146" s="612">
        <f t="shared" si="78"/>
        <v>1</v>
      </c>
      <c r="T146" s="612">
        <f t="shared" si="78"/>
        <v>0</v>
      </c>
    </row>
    <row r="147" spans="2:20" s="55" customFormat="1" ht="11.25">
      <c r="B147" s="132"/>
      <c r="J147" s="132"/>
      <c r="K147" s="104" t="s">
        <v>13</v>
      </c>
      <c r="L147" s="612">
        <f>SUM(L93:L98)</f>
        <v>1</v>
      </c>
      <c r="M147" s="612">
        <f t="shared" ref="M147:T147" si="79">SUM(M93:M98)</f>
        <v>0</v>
      </c>
      <c r="N147" s="612">
        <f t="shared" si="79"/>
        <v>1</v>
      </c>
      <c r="O147" s="612">
        <f t="shared" si="79"/>
        <v>1</v>
      </c>
      <c r="P147" s="612">
        <f t="shared" si="79"/>
        <v>1</v>
      </c>
      <c r="Q147" s="612">
        <f t="shared" si="79"/>
        <v>1</v>
      </c>
      <c r="R147" s="612">
        <f t="shared" si="79"/>
        <v>1</v>
      </c>
      <c r="S147" s="612">
        <f t="shared" si="79"/>
        <v>1</v>
      </c>
      <c r="T147" s="612">
        <f t="shared" si="79"/>
        <v>0</v>
      </c>
    </row>
    <row r="148" spans="2:20" s="55" customFormat="1" ht="11.25">
      <c r="B148" s="132"/>
      <c r="J148" s="132"/>
      <c r="K148" s="104" t="s">
        <v>14</v>
      </c>
      <c r="L148" s="612">
        <f>SUM(L100:L105)</f>
        <v>1</v>
      </c>
      <c r="M148" s="612">
        <f t="shared" ref="M148:T148" si="80">SUM(M100:M105)</f>
        <v>1.0000000000000002</v>
      </c>
      <c r="N148" s="612">
        <f t="shared" si="80"/>
        <v>1.0000000000000002</v>
      </c>
      <c r="O148" s="612">
        <f t="shared" si="80"/>
        <v>1</v>
      </c>
      <c r="P148" s="612">
        <f t="shared" si="80"/>
        <v>1.0000000000000002</v>
      </c>
      <c r="Q148" s="612">
        <f t="shared" si="80"/>
        <v>1</v>
      </c>
      <c r="R148" s="612">
        <f t="shared" si="80"/>
        <v>1</v>
      </c>
      <c r="S148" s="612">
        <f t="shared" si="80"/>
        <v>1</v>
      </c>
      <c r="T148" s="612">
        <f t="shared" si="80"/>
        <v>0</v>
      </c>
    </row>
    <row r="149" spans="2:20" s="55" customFormat="1" ht="11.25">
      <c r="B149" s="132"/>
      <c r="J149" s="132"/>
      <c r="K149" s="104" t="s">
        <v>15</v>
      </c>
      <c r="L149" s="612">
        <f>SUM(L107:L112)</f>
        <v>1</v>
      </c>
      <c r="M149" s="612">
        <f t="shared" ref="M149:T149" si="81">SUM(M107:M112)</f>
        <v>1.0000000000000002</v>
      </c>
      <c r="N149" s="612">
        <f t="shared" si="81"/>
        <v>1</v>
      </c>
      <c r="O149" s="612">
        <f t="shared" si="81"/>
        <v>1</v>
      </c>
      <c r="P149" s="612">
        <f t="shared" si="81"/>
        <v>1</v>
      </c>
      <c r="Q149" s="612">
        <f t="shared" si="81"/>
        <v>0</v>
      </c>
      <c r="R149" s="612">
        <f t="shared" si="81"/>
        <v>1</v>
      </c>
      <c r="S149" s="612">
        <f t="shared" si="81"/>
        <v>1</v>
      </c>
      <c r="T149" s="612">
        <f t="shared" si="81"/>
        <v>1</v>
      </c>
    </row>
    <row r="150" spans="2:20" s="55" customFormat="1" ht="11.25">
      <c r="B150" s="132"/>
      <c r="J150" s="132"/>
      <c r="K150" s="104" t="s">
        <v>16</v>
      </c>
      <c r="L150" s="612">
        <f>SUM(L114:L119)</f>
        <v>1</v>
      </c>
      <c r="M150" s="612">
        <f t="shared" ref="M150:T150" si="82">SUM(M114:M119)</f>
        <v>0.99999999999999989</v>
      </c>
      <c r="N150" s="612">
        <f t="shared" si="82"/>
        <v>0.99999999999999989</v>
      </c>
      <c r="O150" s="612">
        <f t="shared" si="82"/>
        <v>1</v>
      </c>
      <c r="P150" s="612">
        <f t="shared" si="82"/>
        <v>1</v>
      </c>
      <c r="Q150" s="612">
        <f t="shared" si="82"/>
        <v>1</v>
      </c>
      <c r="R150" s="612">
        <f t="shared" si="82"/>
        <v>0.99999999999999989</v>
      </c>
      <c r="S150" s="612">
        <f t="shared" si="82"/>
        <v>1</v>
      </c>
      <c r="T150" s="612">
        <f t="shared" si="82"/>
        <v>0</v>
      </c>
    </row>
    <row r="151" spans="2:20" s="55" customFormat="1" ht="11.25">
      <c r="B151" s="132"/>
      <c r="J151" s="132"/>
      <c r="K151" s="104" t="s">
        <v>17</v>
      </c>
      <c r="L151" s="612">
        <f>SUM(L121:L126)</f>
        <v>1</v>
      </c>
      <c r="M151" s="612">
        <f t="shared" ref="M151:T151" si="83">SUM(M121:M126)</f>
        <v>1</v>
      </c>
      <c r="N151" s="612">
        <f t="shared" si="83"/>
        <v>1</v>
      </c>
      <c r="O151" s="612">
        <f t="shared" si="83"/>
        <v>1</v>
      </c>
      <c r="P151" s="612">
        <f t="shared" si="83"/>
        <v>1</v>
      </c>
      <c r="Q151" s="612">
        <f t="shared" si="83"/>
        <v>1</v>
      </c>
      <c r="R151" s="612">
        <f t="shared" si="83"/>
        <v>1</v>
      </c>
      <c r="S151" s="612">
        <f t="shared" si="83"/>
        <v>1</v>
      </c>
      <c r="T151" s="612">
        <f t="shared" si="83"/>
        <v>0</v>
      </c>
    </row>
    <row r="152" spans="2:20" s="55" customFormat="1" ht="11.25">
      <c r="B152" s="132"/>
      <c r="J152" s="132"/>
      <c r="K152" s="104" t="s">
        <v>18</v>
      </c>
      <c r="L152" s="612">
        <f>SUM(L128:L133)</f>
        <v>1.0000000000000002</v>
      </c>
      <c r="M152" s="612">
        <f t="shared" ref="M152:T152" si="84">SUM(M128:M133)</f>
        <v>0</v>
      </c>
      <c r="N152" s="612">
        <f t="shared" si="84"/>
        <v>1.0000000000000002</v>
      </c>
      <c r="O152" s="612">
        <f t="shared" si="84"/>
        <v>0</v>
      </c>
      <c r="P152" s="612">
        <f t="shared" si="84"/>
        <v>0</v>
      </c>
      <c r="Q152" s="612">
        <f t="shared" si="84"/>
        <v>1</v>
      </c>
      <c r="R152" s="612">
        <f t="shared" si="84"/>
        <v>1</v>
      </c>
      <c r="S152" s="612">
        <f t="shared" si="84"/>
        <v>1</v>
      </c>
      <c r="T152" s="612">
        <f t="shared" si="84"/>
        <v>0</v>
      </c>
    </row>
    <row r="153" spans="2:20" s="55" customFormat="1" ht="11.25">
      <c r="B153" s="132"/>
      <c r="J153" s="132"/>
      <c r="K153" s="132"/>
    </row>
    <row r="154" spans="2:20" s="55" customFormat="1" ht="11.25">
      <c r="B154" s="132"/>
      <c r="J154" s="132"/>
      <c r="K154" s="132"/>
    </row>
    <row r="155" spans="2:20" s="55" customFormat="1" ht="11.25">
      <c r="B155" s="132"/>
      <c r="J155" s="132"/>
      <c r="K155" s="132"/>
    </row>
    <row r="156" spans="2:20" s="55" customFormat="1" ht="11.25">
      <c r="B156" s="132"/>
      <c r="J156" s="132"/>
      <c r="K156" s="132"/>
    </row>
    <row r="157" spans="2:20" s="55" customFormat="1" ht="11.25">
      <c r="B157" s="132"/>
      <c r="J157" s="132"/>
      <c r="K157" s="132"/>
    </row>
    <row r="158" spans="2:20" s="55" customFormat="1" ht="11.25">
      <c r="B158" s="132"/>
      <c r="J158" s="132"/>
      <c r="K158" s="132"/>
    </row>
    <row r="159" spans="2:20" s="55" customFormat="1" ht="11.25">
      <c r="B159" s="132"/>
      <c r="J159" s="132"/>
      <c r="K159" s="132"/>
    </row>
    <row r="160" spans="2:20" s="55" customFormat="1" ht="11.25">
      <c r="B160" s="132"/>
      <c r="J160" s="132"/>
      <c r="K160" s="132"/>
    </row>
  </sheetData>
  <phoneticPr fontId="0" type="noConversion"/>
  <pageMargins left="0.75" right="0.75" top="1" bottom="1" header="0.5" footer="0.5"/>
  <headerFooter alignWithMargins="0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6"/>
  <dimension ref="A1:P168"/>
  <sheetViews>
    <sheetView workbookViewId="0">
      <selection sqref="A1:I1"/>
    </sheetView>
  </sheetViews>
  <sheetFormatPr defaultRowHeight="11.25"/>
  <cols>
    <col min="1" max="1" width="3.77734375" style="55" customWidth="1"/>
    <col min="2" max="9" width="8.88671875" style="55"/>
    <col min="10" max="10" width="6" style="55" customWidth="1"/>
    <col min="11" max="12" width="6.88671875" style="55" customWidth="1"/>
    <col min="13" max="13" width="5.6640625" style="55" customWidth="1"/>
    <col min="14" max="14" width="6.88671875" style="55" customWidth="1"/>
    <col min="15" max="15" width="6.77734375" style="55" customWidth="1"/>
    <col min="16" max="16" width="6.5546875" style="55" customWidth="1"/>
    <col min="17" max="16384" width="8.88671875" style="55"/>
  </cols>
  <sheetData>
    <row r="1" spans="1:16" customFormat="1" ht="18">
      <c r="A1" s="1046" t="s">
        <v>49</v>
      </c>
      <c r="B1" s="1047"/>
      <c r="C1" s="1047"/>
      <c r="D1" s="1047"/>
      <c r="E1" s="1047"/>
      <c r="F1" s="1047"/>
      <c r="G1" s="1047"/>
      <c r="H1" s="1047"/>
      <c r="I1" s="1047"/>
    </row>
    <row r="2" spans="1:16" customFormat="1" ht="18">
      <c r="A2" s="1046" t="s">
        <v>91</v>
      </c>
      <c r="B2" s="1047"/>
      <c r="C2" s="1047"/>
      <c r="D2" s="1047"/>
      <c r="E2" s="1047"/>
      <c r="F2" s="1047"/>
      <c r="G2" s="1047"/>
      <c r="H2" s="1047"/>
      <c r="I2" s="1047"/>
    </row>
    <row r="3" spans="1:16" s="56" customFormat="1" ht="18.75">
      <c r="A3" s="1048" t="s">
        <v>129</v>
      </c>
      <c r="B3" s="1049"/>
      <c r="C3" s="1049"/>
      <c r="D3" s="1049"/>
      <c r="E3" s="1049"/>
      <c r="F3" s="1049"/>
      <c r="G3" s="1049"/>
      <c r="H3" s="1049"/>
      <c r="I3" s="1049"/>
    </row>
    <row r="4" spans="1:16" customFormat="1" ht="15">
      <c r="A4" s="57"/>
      <c r="B4" s="58"/>
      <c r="J4" s="87" t="s">
        <v>95</v>
      </c>
      <c r="K4" s="86"/>
      <c r="L4" s="86"/>
      <c r="M4" s="86"/>
      <c r="N4" s="86"/>
      <c r="O4" s="86"/>
      <c r="P4" s="86"/>
    </row>
    <row r="5" spans="1:16" customFormat="1" ht="15">
      <c r="A5" s="59"/>
      <c r="B5" s="60"/>
      <c r="C5" s="1050" t="s">
        <v>52</v>
      </c>
      <c r="D5" s="1051"/>
      <c r="E5" s="1051"/>
      <c r="F5" s="1051"/>
      <c r="G5" s="1051"/>
      <c r="H5" s="1051"/>
      <c r="I5" s="1051"/>
      <c r="J5" s="90" t="s">
        <v>96</v>
      </c>
      <c r="K5" s="91"/>
      <c r="L5" s="91"/>
      <c r="M5" s="91"/>
      <c r="N5" s="91"/>
      <c r="O5" s="91"/>
      <c r="P5" s="91"/>
    </row>
    <row r="6" spans="1:16" customFormat="1" ht="40.5" customHeight="1">
      <c r="A6" s="61"/>
      <c r="B6" s="61"/>
      <c r="C6" s="62" t="s">
        <v>53</v>
      </c>
      <c r="D6" s="62" t="s">
        <v>93</v>
      </c>
      <c r="E6" s="62" t="s">
        <v>55</v>
      </c>
      <c r="F6" s="62" t="s">
        <v>78</v>
      </c>
      <c r="G6" s="62" t="s">
        <v>32</v>
      </c>
      <c r="H6" s="62" t="s">
        <v>58</v>
      </c>
      <c r="I6" s="62" t="s">
        <v>59</v>
      </c>
      <c r="J6" s="62" t="s">
        <v>53</v>
      </c>
      <c r="K6" s="62" t="s">
        <v>93</v>
      </c>
      <c r="L6" s="62" t="s">
        <v>55</v>
      </c>
      <c r="M6" s="62" t="s">
        <v>78</v>
      </c>
      <c r="N6" s="62" t="s">
        <v>32</v>
      </c>
      <c r="O6" s="62" t="s">
        <v>58</v>
      </c>
      <c r="P6" s="62" t="s">
        <v>59</v>
      </c>
    </row>
    <row r="7" spans="1:16">
      <c r="A7" s="55" t="s">
        <v>2</v>
      </c>
      <c r="B7" s="55" t="s">
        <v>19</v>
      </c>
      <c r="C7" s="64">
        <v>34080</v>
      </c>
      <c r="D7" s="64">
        <v>22099</v>
      </c>
      <c r="E7" s="64">
        <v>15984</v>
      </c>
      <c r="F7" s="64">
        <v>2645</v>
      </c>
      <c r="G7" s="64">
        <v>3918</v>
      </c>
      <c r="H7" s="64">
        <v>0</v>
      </c>
      <c r="I7" s="64">
        <v>78726</v>
      </c>
      <c r="J7" s="110">
        <f>+C7/$I7</f>
        <v>0.43289383431140921</v>
      </c>
      <c r="K7" s="122">
        <f t="shared" ref="K7:P7" si="0">+D7/$I7</f>
        <v>0.28070777125727203</v>
      </c>
      <c r="L7" s="122">
        <f t="shared" si="0"/>
        <v>0.20303330538830883</v>
      </c>
      <c r="M7" s="122">
        <f t="shared" si="0"/>
        <v>3.3597540837842645E-2</v>
      </c>
      <c r="N7" s="122">
        <f t="shared" si="0"/>
        <v>4.9767548205167288E-2</v>
      </c>
      <c r="O7" s="122">
        <f t="shared" si="0"/>
        <v>0</v>
      </c>
      <c r="P7" s="122">
        <f t="shared" si="0"/>
        <v>1</v>
      </c>
    </row>
    <row r="8" spans="1:16">
      <c r="B8" s="55" t="s">
        <v>20</v>
      </c>
      <c r="C8" s="64">
        <v>11509</v>
      </c>
      <c r="D8" s="64">
        <v>10204</v>
      </c>
      <c r="E8" s="64">
        <v>8080</v>
      </c>
      <c r="F8" s="64">
        <v>1810</v>
      </c>
      <c r="G8" s="64">
        <v>1160</v>
      </c>
      <c r="H8" s="64">
        <v>0</v>
      </c>
      <c r="I8" s="64">
        <v>32763</v>
      </c>
      <c r="J8" s="110">
        <f t="shared" ref="J8:J15" si="1">+C8/$I8</f>
        <v>0.3512804077770656</v>
      </c>
      <c r="K8" s="111">
        <f t="shared" ref="K8:K16" si="2">+D8/$I8</f>
        <v>0.31144889051674146</v>
      </c>
      <c r="L8" s="111">
        <f t="shared" ref="L8:L16" si="3">+E8/$I8</f>
        <v>0.24661966242407593</v>
      </c>
      <c r="M8" s="111">
        <f t="shared" ref="M8:M16" si="4">+F8/$I8</f>
        <v>5.5245246161828895E-2</v>
      </c>
      <c r="N8" s="111">
        <f t="shared" ref="N8:N16" si="5">+G8/$I8</f>
        <v>3.5405793120288132E-2</v>
      </c>
      <c r="O8" s="111">
        <f t="shared" ref="O8:O16" si="6">+H8/$I8</f>
        <v>0</v>
      </c>
      <c r="P8" s="111">
        <f t="shared" ref="P8:P16" si="7">+I8/$I8</f>
        <v>1</v>
      </c>
    </row>
    <row r="9" spans="1:16">
      <c r="B9" s="55" t="s">
        <v>21</v>
      </c>
      <c r="C9" s="64">
        <v>15528</v>
      </c>
      <c r="D9" s="64">
        <v>10768</v>
      </c>
      <c r="E9" s="64">
        <v>10303</v>
      </c>
      <c r="F9" s="64">
        <v>2930</v>
      </c>
      <c r="G9" s="64">
        <v>1502</v>
      </c>
      <c r="H9" s="64">
        <v>0</v>
      </c>
      <c r="I9" s="64">
        <v>41031</v>
      </c>
      <c r="J9" s="110">
        <f t="shared" si="1"/>
        <v>0.3784455655480003</v>
      </c>
      <c r="K9" s="111">
        <f t="shared" si="2"/>
        <v>0.26243571933416199</v>
      </c>
      <c r="L9" s="111">
        <f t="shared" si="3"/>
        <v>0.25110282469352441</v>
      </c>
      <c r="M9" s="111">
        <f t="shared" si="4"/>
        <v>7.1409422144232404E-2</v>
      </c>
      <c r="N9" s="111">
        <f t="shared" si="5"/>
        <v>3.6606468280080913E-2</v>
      </c>
      <c r="O9" s="111">
        <f t="shared" si="6"/>
        <v>0</v>
      </c>
      <c r="P9" s="111">
        <f t="shared" si="7"/>
        <v>1</v>
      </c>
    </row>
    <row r="10" spans="1:16">
      <c r="B10" s="55" t="s">
        <v>22</v>
      </c>
      <c r="C10" s="64">
        <v>8744</v>
      </c>
      <c r="D10" s="64">
        <v>7465</v>
      </c>
      <c r="E10" s="64">
        <v>7726</v>
      </c>
      <c r="F10" s="64">
        <v>1554</v>
      </c>
      <c r="G10" s="64">
        <v>1052</v>
      </c>
      <c r="H10" s="64">
        <v>0</v>
      </c>
      <c r="I10" s="64">
        <v>26541</v>
      </c>
      <c r="J10" s="110">
        <f t="shared" si="1"/>
        <v>0.32945254511887268</v>
      </c>
      <c r="K10" s="111">
        <f t="shared" si="2"/>
        <v>0.28126295165969634</v>
      </c>
      <c r="L10" s="111">
        <f t="shared" si="3"/>
        <v>0.29109679364002866</v>
      </c>
      <c r="M10" s="111">
        <f t="shared" si="4"/>
        <v>5.855092121623149E-2</v>
      </c>
      <c r="N10" s="111">
        <f t="shared" si="5"/>
        <v>3.9636788365170865E-2</v>
      </c>
      <c r="O10" s="111">
        <f t="shared" si="6"/>
        <v>0</v>
      </c>
      <c r="P10" s="111">
        <f t="shared" si="7"/>
        <v>1</v>
      </c>
    </row>
    <row r="11" spans="1:16">
      <c r="B11" s="55" t="s">
        <v>23</v>
      </c>
      <c r="C11" s="64">
        <v>3505</v>
      </c>
      <c r="D11" s="64">
        <v>3152</v>
      </c>
      <c r="E11" s="64">
        <v>3520</v>
      </c>
      <c r="F11" s="64">
        <v>756</v>
      </c>
      <c r="G11" s="64">
        <v>669</v>
      </c>
      <c r="H11" s="64">
        <v>0</v>
      </c>
      <c r="I11" s="64">
        <v>11602</v>
      </c>
      <c r="J11" s="110">
        <f t="shared" si="1"/>
        <v>0.30210308567488364</v>
      </c>
      <c r="K11" s="111">
        <f t="shared" si="2"/>
        <v>0.27167729701775556</v>
      </c>
      <c r="L11" s="111">
        <f t="shared" si="3"/>
        <v>0.30339596621272197</v>
      </c>
      <c r="M11" s="111">
        <f t="shared" si="4"/>
        <v>6.5161179107050507E-2</v>
      </c>
      <c r="N11" s="111">
        <f t="shared" si="5"/>
        <v>5.7662471987588344E-2</v>
      </c>
      <c r="O11" s="111">
        <f t="shared" si="6"/>
        <v>0</v>
      </c>
      <c r="P11" s="111">
        <f t="shared" si="7"/>
        <v>1</v>
      </c>
    </row>
    <row r="12" spans="1:16">
      <c r="B12" s="55" t="s">
        <v>24</v>
      </c>
      <c r="C12" s="64">
        <v>2241</v>
      </c>
      <c r="D12" s="64">
        <v>2383</v>
      </c>
      <c r="E12" s="64">
        <v>2302</v>
      </c>
      <c r="F12" s="64">
        <v>626</v>
      </c>
      <c r="G12" s="64">
        <v>328</v>
      </c>
      <c r="H12" s="64">
        <v>0</v>
      </c>
      <c r="I12" s="64">
        <v>7880</v>
      </c>
      <c r="J12" s="110">
        <f t="shared" si="1"/>
        <v>0.28439086294416244</v>
      </c>
      <c r="K12" s="111">
        <f t="shared" si="2"/>
        <v>0.30241116751269037</v>
      </c>
      <c r="L12" s="111">
        <f t="shared" si="3"/>
        <v>0.29213197969543148</v>
      </c>
      <c r="M12" s="111">
        <f t="shared" si="4"/>
        <v>7.944162436548223E-2</v>
      </c>
      <c r="N12" s="111">
        <f t="shared" si="5"/>
        <v>4.16243654822335E-2</v>
      </c>
      <c r="O12" s="111">
        <f t="shared" si="6"/>
        <v>0</v>
      </c>
      <c r="P12" s="111">
        <f t="shared" si="7"/>
        <v>1</v>
      </c>
    </row>
    <row r="13" spans="1:16" s="63" customFormat="1">
      <c r="B13" s="63" t="s">
        <v>90</v>
      </c>
      <c r="C13" s="65">
        <f t="shared" ref="C13:I13" si="8">SUM(C7:C12)</f>
        <v>75607</v>
      </c>
      <c r="D13" s="65">
        <f t="shared" si="8"/>
        <v>56071</v>
      </c>
      <c r="E13" s="65">
        <f t="shared" si="8"/>
        <v>47915</v>
      </c>
      <c r="F13" s="65">
        <f t="shared" si="8"/>
        <v>10321</v>
      </c>
      <c r="G13" s="65">
        <f t="shared" si="8"/>
        <v>8629</v>
      </c>
      <c r="H13" s="65">
        <f t="shared" si="8"/>
        <v>0</v>
      </c>
      <c r="I13" s="65">
        <f t="shared" si="8"/>
        <v>198543</v>
      </c>
      <c r="J13" s="551">
        <f t="shared" si="1"/>
        <v>0.38080919498546917</v>
      </c>
      <c r="K13" s="552">
        <f t="shared" si="2"/>
        <v>0.28241237414565107</v>
      </c>
      <c r="L13" s="552">
        <f t="shared" si="3"/>
        <v>0.24133311171887198</v>
      </c>
      <c r="M13" s="552">
        <f t="shared" si="4"/>
        <v>5.1983701263706099E-2</v>
      </c>
      <c r="N13" s="552">
        <f t="shared" si="5"/>
        <v>4.3461617886301707E-2</v>
      </c>
      <c r="O13" s="552">
        <f t="shared" si="6"/>
        <v>0</v>
      </c>
      <c r="P13" s="552">
        <f t="shared" si="7"/>
        <v>1</v>
      </c>
    </row>
    <row r="14" spans="1:16">
      <c r="B14" s="55" t="s">
        <v>25</v>
      </c>
      <c r="C14" s="64">
        <v>8070</v>
      </c>
      <c r="D14" s="64">
        <v>5771</v>
      </c>
      <c r="E14" s="64">
        <v>5227</v>
      </c>
      <c r="F14" s="64">
        <v>3191</v>
      </c>
      <c r="G14" s="151">
        <f>177+927</f>
        <v>1104</v>
      </c>
      <c r="H14" s="151">
        <v>22635</v>
      </c>
      <c r="I14" s="64">
        <v>45998</v>
      </c>
      <c r="J14" s="110">
        <f t="shared" si="1"/>
        <v>0.17544241053958867</v>
      </c>
      <c r="K14" s="111">
        <f t="shared" si="2"/>
        <v>0.1254619766076786</v>
      </c>
      <c r="L14" s="111">
        <f t="shared" si="3"/>
        <v>0.11363537545110657</v>
      </c>
      <c r="M14" s="111">
        <f t="shared" si="4"/>
        <v>6.9372581416583326E-2</v>
      </c>
      <c r="N14" s="111">
        <f t="shared" si="5"/>
        <v>2.4001043523631461E-2</v>
      </c>
      <c r="O14" s="111">
        <f t="shared" si="6"/>
        <v>0.49208661246141139</v>
      </c>
      <c r="P14" s="111">
        <f t="shared" si="7"/>
        <v>1</v>
      </c>
    </row>
    <row r="15" spans="1:16">
      <c r="A15" s="187"/>
      <c r="B15" s="187" t="s">
        <v>26</v>
      </c>
      <c r="C15" s="549">
        <v>21</v>
      </c>
      <c r="D15" s="549">
        <v>72</v>
      </c>
      <c r="E15" s="549">
        <v>16</v>
      </c>
      <c r="F15" s="549">
        <v>160</v>
      </c>
      <c r="G15" s="549">
        <v>152</v>
      </c>
      <c r="H15" s="549">
        <v>4811</v>
      </c>
      <c r="I15" s="550">
        <v>5232</v>
      </c>
      <c r="J15" s="117">
        <f t="shared" si="1"/>
        <v>4.0137614678899085E-3</v>
      </c>
      <c r="K15" s="118">
        <f t="shared" si="2"/>
        <v>1.3761467889908258E-2</v>
      </c>
      <c r="L15" s="118">
        <f t="shared" si="3"/>
        <v>3.0581039755351682E-3</v>
      </c>
      <c r="M15" s="118">
        <f t="shared" si="4"/>
        <v>3.0581039755351681E-2</v>
      </c>
      <c r="N15" s="118">
        <f t="shared" si="5"/>
        <v>2.9051987767584098E-2</v>
      </c>
      <c r="O15" s="118">
        <f t="shared" si="6"/>
        <v>0.91953363914373087</v>
      </c>
      <c r="P15" s="118">
        <f t="shared" si="7"/>
        <v>1</v>
      </c>
    </row>
    <row r="16" spans="1:16">
      <c r="A16" s="55" t="s">
        <v>3</v>
      </c>
      <c r="B16" s="55" t="s">
        <v>19</v>
      </c>
      <c r="C16" s="64">
        <f t="shared" ref="C16:I21" si="9">C25+C34+C43+C52+C61+C70+C79+C88+C97+C106+C115+C124+C133+C142+C151+C160</f>
        <v>11937</v>
      </c>
      <c r="D16" s="64">
        <f t="shared" si="9"/>
        <v>8780</v>
      </c>
      <c r="E16" s="64">
        <f t="shared" si="9"/>
        <v>6290</v>
      </c>
      <c r="F16" s="64">
        <f t="shared" si="9"/>
        <v>1367</v>
      </c>
      <c r="G16" s="64">
        <f t="shared" si="9"/>
        <v>1483</v>
      </c>
      <c r="H16" s="64">
        <f t="shared" si="9"/>
        <v>0</v>
      </c>
      <c r="I16" s="64">
        <f t="shared" si="9"/>
        <v>29857</v>
      </c>
      <c r="J16" s="110">
        <f>+C16/$I16</f>
        <v>0.39980574069732389</v>
      </c>
      <c r="K16" s="122">
        <f t="shared" si="2"/>
        <v>0.29406839267173529</v>
      </c>
      <c r="L16" s="122">
        <f t="shared" si="3"/>
        <v>0.21067086445389691</v>
      </c>
      <c r="M16" s="122">
        <f t="shared" si="4"/>
        <v>4.5784908061761061E-2</v>
      </c>
      <c r="N16" s="122">
        <f t="shared" si="5"/>
        <v>4.9670094115282851E-2</v>
      </c>
      <c r="O16" s="122">
        <f t="shared" si="6"/>
        <v>0</v>
      </c>
      <c r="P16" s="122">
        <f t="shared" si="7"/>
        <v>1</v>
      </c>
    </row>
    <row r="17" spans="1:16">
      <c r="B17" s="55" t="s">
        <v>20</v>
      </c>
      <c r="C17" s="64">
        <f t="shared" si="9"/>
        <v>4100</v>
      </c>
      <c r="D17" s="64">
        <f t="shared" si="9"/>
        <v>3888</v>
      </c>
      <c r="E17" s="64">
        <f t="shared" si="9"/>
        <v>3140</v>
      </c>
      <c r="F17" s="64">
        <f t="shared" si="9"/>
        <v>980</v>
      </c>
      <c r="G17" s="64">
        <f t="shared" si="9"/>
        <v>512</v>
      </c>
      <c r="H17" s="64">
        <f t="shared" si="9"/>
        <v>0</v>
      </c>
      <c r="I17" s="64">
        <f t="shared" si="9"/>
        <v>12620</v>
      </c>
      <c r="J17" s="110">
        <f t="shared" ref="J17:J24" si="10">+C17/$I17</f>
        <v>0.32488114104595878</v>
      </c>
      <c r="K17" s="111">
        <f t="shared" ref="K17:K80" si="11">+D17/$I17</f>
        <v>0.30808240887480193</v>
      </c>
      <c r="L17" s="111">
        <f t="shared" ref="L17:L80" si="12">+E17/$I17</f>
        <v>0.24881141045958796</v>
      </c>
      <c r="M17" s="111">
        <f t="shared" ref="M17:M80" si="13">+F17/$I17</f>
        <v>7.7654516640253565E-2</v>
      </c>
      <c r="N17" s="111">
        <f t="shared" ref="N17:N80" si="14">+G17/$I17</f>
        <v>4.0570522979397783E-2</v>
      </c>
      <c r="O17" s="111">
        <f t="shared" ref="O17:O80" si="15">+H17/$I17</f>
        <v>0</v>
      </c>
      <c r="P17" s="111">
        <f t="shared" ref="P17:P80" si="16">+I17/$I17</f>
        <v>1</v>
      </c>
    </row>
    <row r="18" spans="1:16">
      <c r="B18" s="55" t="s">
        <v>21</v>
      </c>
      <c r="C18" s="64">
        <f t="shared" si="9"/>
        <v>5352</v>
      </c>
      <c r="D18" s="64">
        <f t="shared" si="9"/>
        <v>5081</v>
      </c>
      <c r="E18" s="64">
        <f t="shared" si="9"/>
        <v>5451</v>
      </c>
      <c r="F18" s="64">
        <f t="shared" si="9"/>
        <v>1660</v>
      </c>
      <c r="G18" s="64">
        <f t="shared" si="9"/>
        <v>1097</v>
      </c>
      <c r="H18" s="64">
        <f t="shared" si="9"/>
        <v>0</v>
      </c>
      <c r="I18" s="64">
        <f t="shared" si="9"/>
        <v>18641</v>
      </c>
      <c r="J18" s="110">
        <f t="shared" si="10"/>
        <v>0.28710906067271069</v>
      </c>
      <c r="K18" s="111">
        <f t="shared" si="11"/>
        <v>0.27257121399066575</v>
      </c>
      <c r="L18" s="111">
        <f t="shared" si="12"/>
        <v>0.29241993455286736</v>
      </c>
      <c r="M18" s="111">
        <f t="shared" si="13"/>
        <v>8.9051016576363926E-2</v>
      </c>
      <c r="N18" s="111">
        <f t="shared" si="14"/>
        <v>5.8848774207392304E-2</v>
      </c>
      <c r="O18" s="111">
        <f t="shared" si="15"/>
        <v>0</v>
      </c>
      <c r="P18" s="111">
        <f t="shared" si="16"/>
        <v>1</v>
      </c>
    </row>
    <row r="19" spans="1:16">
      <c r="B19" s="55" t="s">
        <v>22</v>
      </c>
      <c r="C19" s="64">
        <f t="shared" si="9"/>
        <v>2206</v>
      </c>
      <c r="D19" s="64">
        <f t="shared" si="9"/>
        <v>2220</v>
      </c>
      <c r="E19" s="64">
        <f t="shared" si="9"/>
        <v>2832</v>
      </c>
      <c r="F19" s="64">
        <f t="shared" si="9"/>
        <v>984</v>
      </c>
      <c r="G19" s="64">
        <f t="shared" si="9"/>
        <v>315</v>
      </c>
      <c r="H19" s="64">
        <f t="shared" si="9"/>
        <v>0</v>
      </c>
      <c r="I19" s="64">
        <f t="shared" si="9"/>
        <v>8557</v>
      </c>
      <c r="J19" s="110">
        <f t="shared" si="10"/>
        <v>0.25780063106228818</v>
      </c>
      <c r="K19" s="111">
        <f t="shared" si="11"/>
        <v>0.25943671847610145</v>
      </c>
      <c r="L19" s="111">
        <f t="shared" si="12"/>
        <v>0.33095711113708076</v>
      </c>
      <c r="M19" s="111">
        <f t="shared" si="13"/>
        <v>0.11499357251373145</v>
      </c>
      <c r="N19" s="111">
        <f t="shared" si="14"/>
        <v>3.681196681079818E-2</v>
      </c>
      <c r="O19" s="111">
        <f t="shared" si="15"/>
        <v>0</v>
      </c>
      <c r="P19" s="111">
        <f t="shared" si="16"/>
        <v>1</v>
      </c>
    </row>
    <row r="20" spans="1:16">
      <c r="B20" s="55" t="s">
        <v>23</v>
      </c>
      <c r="C20" s="64">
        <f t="shared" si="9"/>
        <v>1400</v>
      </c>
      <c r="D20" s="64">
        <f t="shared" si="9"/>
        <v>1371</v>
      </c>
      <c r="E20" s="64">
        <f t="shared" si="9"/>
        <v>1795</v>
      </c>
      <c r="F20" s="64">
        <f t="shared" si="9"/>
        <v>638</v>
      </c>
      <c r="G20" s="64">
        <f t="shared" si="9"/>
        <v>168</v>
      </c>
      <c r="H20" s="64">
        <f t="shared" si="9"/>
        <v>0</v>
      </c>
      <c r="I20" s="64">
        <f t="shared" si="9"/>
        <v>5372</v>
      </c>
      <c r="J20" s="110">
        <f t="shared" si="10"/>
        <v>0.26061057334326138</v>
      </c>
      <c r="K20" s="111">
        <f t="shared" si="11"/>
        <v>0.25521221146686524</v>
      </c>
      <c r="L20" s="111">
        <f t="shared" si="12"/>
        <v>0.33413998510796722</v>
      </c>
      <c r="M20" s="111">
        <f t="shared" si="13"/>
        <v>0.11876396128071481</v>
      </c>
      <c r="N20" s="111">
        <f t="shared" si="14"/>
        <v>3.1273268801191363E-2</v>
      </c>
      <c r="O20" s="111">
        <f t="shared" si="15"/>
        <v>0</v>
      </c>
      <c r="P20" s="111">
        <f t="shared" si="16"/>
        <v>1</v>
      </c>
    </row>
    <row r="21" spans="1:16">
      <c r="B21" s="55" t="s">
        <v>24</v>
      </c>
      <c r="C21" s="64">
        <f t="shared" si="9"/>
        <v>1028</v>
      </c>
      <c r="D21" s="64">
        <f t="shared" si="9"/>
        <v>1117</v>
      </c>
      <c r="E21" s="64">
        <f t="shared" si="9"/>
        <v>1206</v>
      </c>
      <c r="F21" s="64">
        <f t="shared" si="9"/>
        <v>407</v>
      </c>
      <c r="G21" s="64">
        <f t="shared" si="9"/>
        <v>181</v>
      </c>
      <c r="H21" s="64">
        <f t="shared" si="9"/>
        <v>0</v>
      </c>
      <c r="I21" s="64">
        <f t="shared" si="9"/>
        <v>3939</v>
      </c>
      <c r="J21" s="110">
        <f t="shared" si="10"/>
        <v>0.26097994414826098</v>
      </c>
      <c r="K21" s="111">
        <f t="shared" si="11"/>
        <v>0.28357451129728356</v>
      </c>
      <c r="L21" s="111">
        <f t="shared" si="12"/>
        <v>0.30616907844630614</v>
      </c>
      <c r="M21" s="111">
        <f t="shared" si="13"/>
        <v>0.10332571718710333</v>
      </c>
      <c r="N21" s="111">
        <f t="shared" si="14"/>
        <v>4.5950748921045947E-2</v>
      </c>
      <c r="O21" s="111">
        <f t="shared" si="15"/>
        <v>0</v>
      </c>
      <c r="P21" s="111">
        <f t="shared" si="16"/>
        <v>1</v>
      </c>
    </row>
    <row r="22" spans="1:16" s="63" customFormat="1">
      <c r="B22" s="63" t="s">
        <v>90</v>
      </c>
      <c r="C22" s="65">
        <f t="shared" ref="C22:I22" si="17">SUM(C16:C21)</f>
        <v>26023</v>
      </c>
      <c r="D22" s="65">
        <f t="shared" si="17"/>
        <v>22457</v>
      </c>
      <c r="E22" s="65">
        <f t="shared" si="17"/>
        <v>20714</v>
      </c>
      <c r="F22" s="65">
        <f t="shared" si="17"/>
        <v>6036</v>
      </c>
      <c r="G22" s="65">
        <f t="shared" si="17"/>
        <v>3756</v>
      </c>
      <c r="H22" s="65">
        <f t="shared" si="17"/>
        <v>0</v>
      </c>
      <c r="I22" s="65">
        <f t="shared" si="17"/>
        <v>78986</v>
      </c>
      <c r="J22" s="551">
        <f t="shared" si="10"/>
        <v>0.3294634492188489</v>
      </c>
      <c r="K22" s="552">
        <f t="shared" si="11"/>
        <v>0.28431620793558354</v>
      </c>
      <c r="L22" s="552">
        <f t="shared" si="12"/>
        <v>0.26224900615298913</v>
      </c>
      <c r="M22" s="552">
        <f t="shared" si="13"/>
        <v>7.6418605828881062E-2</v>
      </c>
      <c r="N22" s="552">
        <f t="shared" si="14"/>
        <v>4.7552730863697365E-2</v>
      </c>
      <c r="O22" s="552">
        <f t="shared" si="15"/>
        <v>0</v>
      </c>
      <c r="P22" s="552">
        <f t="shared" si="16"/>
        <v>1</v>
      </c>
    </row>
    <row r="23" spans="1:16">
      <c r="B23" s="55" t="s">
        <v>25</v>
      </c>
      <c r="C23" s="64">
        <f t="shared" ref="C23:I24" si="18">C32+C41+C50+C59+C68+C77+C86+C95+C104+C113+C122+C131+C140+C149+C158+C167</f>
        <v>1896</v>
      </c>
      <c r="D23" s="64">
        <f t="shared" si="18"/>
        <v>2842</v>
      </c>
      <c r="E23" s="64">
        <f t="shared" si="18"/>
        <v>2275</v>
      </c>
      <c r="F23" s="64">
        <f t="shared" si="18"/>
        <v>2066</v>
      </c>
      <c r="G23" s="151">
        <f t="shared" si="18"/>
        <v>674</v>
      </c>
      <c r="H23" s="151">
        <f t="shared" si="18"/>
        <v>22657.9</v>
      </c>
      <c r="I23" s="64">
        <f t="shared" si="18"/>
        <v>32586.9</v>
      </c>
      <c r="J23" s="110">
        <f t="shared" si="10"/>
        <v>5.8182889443303902E-2</v>
      </c>
      <c r="K23" s="111">
        <f t="shared" si="11"/>
        <v>8.7212959809002996E-2</v>
      </c>
      <c r="L23" s="111">
        <f t="shared" si="12"/>
        <v>6.9813329896369403E-2</v>
      </c>
      <c r="M23" s="111">
        <f t="shared" si="13"/>
        <v>6.3399709699296342E-2</v>
      </c>
      <c r="N23" s="111">
        <f t="shared" si="14"/>
        <v>2.0683157956111198E-2</v>
      </c>
      <c r="O23" s="111">
        <f t="shared" si="15"/>
        <v>0.69530700987206517</v>
      </c>
      <c r="P23" s="111">
        <f t="shared" si="16"/>
        <v>1</v>
      </c>
    </row>
    <row r="24" spans="1:16">
      <c r="A24" s="187"/>
      <c r="B24" s="187" t="s">
        <v>26</v>
      </c>
      <c r="C24" s="549">
        <f t="shared" si="18"/>
        <v>0</v>
      </c>
      <c r="D24" s="549">
        <f t="shared" si="18"/>
        <v>0</v>
      </c>
      <c r="E24" s="549">
        <f t="shared" si="18"/>
        <v>0</v>
      </c>
      <c r="F24" s="549">
        <f t="shared" si="18"/>
        <v>0</v>
      </c>
      <c r="G24" s="549">
        <f t="shared" si="18"/>
        <v>0</v>
      </c>
      <c r="H24" s="549">
        <f t="shared" si="18"/>
        <v>2379</v>
      </c>
      <c r="I24" s="550">
        <f t="shared" si="18"/>
        <v>2379</v>
      </c>
      <c r="J24" s="117">
        <f t="shared" si="10"/>
        <v>0</v>
      </c>
      <c r="K24" s="118">
        <f t="shared" si="11"/>
        <v>0</v>
      </c>
      <c r="L24" s="118">
        <f t="shared" si="12"/>
        <v>0</v>
      </c>
      <c r="M24" s="118">
        <f t="shared" si="13"/>
        <v>0</v>
      </c>
      <c r="N24" s="118">
        <f t="shared" si="14"/>
        <v>0</v>
      </c>
      <c r="O24" s="118">
        <f t="shared" si="15"/>
        <v>1</v>
      </c>
      <c r="P24" s="118">
        <f t="shared" si="16"/>
        <v>1</v>
      </c>
    </row>
    <row r="25" spans="1:16">
      <c r="A25" s="55" t="s">
        <v>4</v>
      </c>
      <c r="B25" s="55" t="s">
        <v>19</v>
      </c>
      <c r="C25" s="64">
        <v>827</v>
      </c>
      <c r="D25" s="64">
        <v>811</v>
      </c>
      <c r="E25" s="64">
        <v>486</v>
      </c>
      <c r="F25" s="64">
        <v>219</v>
      </c>
      <c r="G25" s="64">
        <v>36</v>
      </c>
      <c r="H25" s="64">
        <v>0</v>
      </c>
      <c r="I25" s="64">
        <v>2379</v>
      </c>
      <c r="J25" s="110">
        <f>+C25/$I25</f>
        <v>0.34762505254308534</v>
      </c>
      <c r="K25" s="122">
        <f t="shared" si="11"/>
        <v>0.34089953762084907</v>
      </c>
      <c r="L25" s="122">
        <f t="shared" si="12"/>
        <v>0.20428751576292559</v>
      </c>
      <c r="M25" s="122">
        <f t="shared" si="13"/>
        <v>9.205548549810845E-2</v>
      </c>
      <c r="N25" s="122">
        <f t="shared" si="14"/>
        <v>1.5132408575031526E-2</v>
      </c>
      <c r="O25" s="122">
        <f t="shared" si="15"/>
        <v>0</v>
      </c>
      <c r="P25" s="122">
        <f t="shared" si="16"/>
        <v>1</v>
      </c>
    </row>
    <row r="26" spans="1:16">
      <c r="B26" s="55" t="s">
        <v>20</v>
      </c>
      <c r="C26" s="64">
        <v>78</v>
      </c>
      <c r="D26" s="64">
        <v>86</v>
      </c>
      <c r="E26" s="64">
        <v>73</v>
      </c>
      <c r="F26" s="64">
        <v>12</v>
      </c>
      <c r="G26" s="64">
        <v>21</v>
      </c>
      <c r="H26" s="64">
        <v>0</v>
      </c>
      <c r="I26" s="64">
        <v>270</v>
      </c>
      <c r="J26" s="110">
        <f t="shared" ref="J26:J33" si="19">+C26/$I26</f>
        <v>0.28888888888888886</v>
      </c>
      <c r="K26" s="111">
        <f t="shared" si="11"/>
        <v>0.31851851851851853</v>
      </c>
      <c r="L26" s="111">
        <f t="shared" si="12"/>
        <v>0.27037037037037037</v>
      </c>
      <c r="M26" s="111">
        <f t="shared" si="13"/>
        <v>4.4444444444444446E-2</v>
      </c>
      <c r="N26" s="111">
        <f t="shared" si="14"/>
        <v>7.7777777777777779E-2</v>
      </c>
      <c r="O26" s="111">
        <f t="shared" si="15"/>
        <v>0</v>
      </c>
      <c r="P26" s="111">
        <f t="shared" si="16"/>
        <v>1</v>
      </c>
    </row>
    <row r="27" spans="1:16">
      <c r="B27" s="55" t="s">
        <v>21</v>
      </c>
      <c r="C27" s="64">
        <v>250</v>
      </c>
      <c r="D27" s="64">
        <v>225</v>
      </c>
      <c r="E27" s="64">
        <v>316</v>
      </c>
      <c r="F27" s="64">
        <v>142</v>
      </c>
      <c r="G27" s="64">
        <v>1</v>
      </c>
      <c r="H27" s="64">
        <v>0</v>
      </c>
      <c r="I27" s="64">
        <v>934</v>
      </c>
      <c r="J27" s="110">
        <f t="shared" si="19"/>
        <v>0.26766595289079231</v>
      </c>
      <c r="K27" s="111">
        <f t="shared" si="11"/>
        <v>0.24089935760171305</v>
      </c>
      <c r="L27" s="111">
        <f t="shared" si="12"/>
        <v>0.33832976445396146</v>
      </c>
      <c r="M27" s="111">
        <f t="shared" si="13"/>
        <v>0.15203426124197003</v>
      </c>
      <c r="N27" s="111">
        <f t="shared" si="14"/>
        <v>1.0706638115631692E-3</v>
      </c>
      <c r="O27" s="111">
        <f t="shared" si="15"/>
        <v>0</v>
      </c>
      <c r="P27" s="111">
        <f t="shared" si="16"/>
        <v>1</v>
      </c>
    </row>
    <row r="28" spans="1:16">
      <c r="B28" s="55" t="s">
        <v>22</v>
      </c>
      <c r="C28" s="64">
        <v>170</v>
      </c>
      <c r="D28" s="64">
        <v>197</v>
      </c>
      <c r="E28" s="64">
        <v>262</v>
      </c>
      <c r="F28" s="64">
        <v>81</v>
      </c>
      <c r="G28" s="64">
        <v>4</v>
      </c>
      <c r="H28" s="64">
        <v>0</v>
      </c>
      <c r="I28" s="64">
        <v>714</v>
      </c>
      <c r="J28" s="110">
        <f t="shared" si="19"/>
        <v>0.23809523809523808</v>
      </c>
      <c r="K28" s="111">
        <f t="shared" si="11"/>
        <v>0.27591036414565828</v>
      </c>
      <c r="L28" s="111">
        <f t="shared" si="12"/>
        <v>0.36694677871148457</v>
      </c>
      <c r="M28" s="111">
        <f t="shared" si="13"/>
        <v>0.1134453781512605</v>
      </c>
      <c r="N28" s="111">
        <f t="shared" si="14"/>
        <v>5.6022408963585435E-3</v>
      </c>
      <c r="O28" s="111">
        <f t="shared" si="15"/>
        <v>0</v>
      </c>
      <c r="P28" s="111">
        <f t="shared" si="16"/>
        <v>1</v>
      </c>
    </row>
    <row r="29" spans="1:16">
      <c r="B29" s="55" t="s">
        <v>23</v>
      </c>
      <c r="C29" s="64">
        <v>76</v>
      </c>
      <c r="D29" s="64">
        <v>99</v>
      </c>
      <c r="E29" s="64">
        <v>126</v>
      </c>
      <c r="F29" s="64">
        <v>63</v>
      </c>
      <c r="G29" s="64">
        <v>6</v>
      </c>
      <c r="H29" s="64">
        <v>0</v>
      </c>
      <c r="I29" s="64">
        <v>370</v>
      </c>
      <c r="J29" s="110">
        <f t="shared" si="19"/>
        <v>0.20540540540540542</v>
      </c>
      <c r="K29" s="111">
        <f t="shared" si="11"/>
        <v>0.26756756756756755</v>
      </c>
      <c r="L29" s="111">
        <f t="shared" si="12"/>
        <v>0.34054054054054056</v>
      </c>
      <c r="M29" s="111">
        <f t="shared" si="13"/>
        <v>0.17027027027027028</v>
      </c>
      <c r="N29" s="111">
        <f t="shared" si="14"/>
        <v>1.6216216216216217E-2</v>
      </c>
      <c r="O29" s="111">
        <f t="shared" si="15"/>
        <v>0</v>
      </c>
      <c r="P29" s="111">
        <f t="shared" si="16"/>
        <v>1</v>
      </c>
    </row>
    <row r="30" spans="1:16">
      <c r="B30" s="55" t="s">
        <v>24</v>
      </c>
      <c r="C30" s="64">
        <v>19</v>
      </c>
      <c r="D30" s="64">
        <v>18</v>
      </c>
      <c r="E30" s="64">
        <v>37</v>
      </c>
      <c r="F30" s="64">
        <v>3</v>
      </c>
      <c r="G30" s="64">
        <v>0</v>
      </c>
      <c r="H30" s="64">
        <v>0</v>
      </c>
      <c r="I30" s="64">
        <v>77</v>
      </c>
      <c r="J30" s="110">
        <f t="shared" si="19"/>
        <v>0.24675324675324675</v>
      </c>
      <c r="K30" s="111">
        <f t="shared" si="11"/>
        <v>0.23376623376623376</v>
      </c>
      <c r="L30" s="111">
        <f t="shared" si="12"/>
        <v>0.48051948051948051</v>
      </c>
      <c r="M30" s="111">
        <f t="shared" si="13"/>
        <v>3.896103896103896E-2</v>
      </c>
      <c r="N30" s="111">
        <f t="shared" si="14"/>
        <v>0</v>
      </c>
      <c r="O30" s="111">
        <f t="shared" si="15"/>
        <v>0</v>
      </c>
      <c r="P30" s="111">
        <f t="shared" si="16"/>
        <v>1</v>
      </c>
    </row>
    <row r="31" spans="1:16" s="63" customFormat="1">
      <c r="B31" s="63" t="s">
        <v>90</v>
      </c>
      <c r="C31" s="65">
        <f t="shared" ref="C31:I31" si="20">SUM(C25:C30)</f>
        <v>1420</v>
      </c>
      <c r="D31" s="65">
        <f t="shared" si="20"/>
        <v>1436</v>
      </c>
      <c r="E31" s="65">
        <f t="shared" si="20"/>
        <v>1300</v>
      </c>
      <c r="F31" s="65">
        <f t="shared" si="20"/>
        <v>520</v>
      </c>
      <c r="G31" s="65">
        <f t="shared" si="20"/>
        <v>68</v>
      </c>
      <c r="H31" s="65">
        <f t="shared" si="20"/>
        <v>0</v>
      </c>
      <c r="I31" s="65">
        <f t="shared" si="20"/>
        <v>4744</v>
      </c>
      <c r="J31" s="551">
        <f t="shared" si="19"/>
        <v>0.29932546374367625</v>
      </c>
      <c r="K31" s="552">
        <f t="shared" si="11"/>
        <v>0.30269814502529513</v>
      </c>
      <c r="L31" s="552">
        <f t="shared" si="12"/>
        <v>0.27403035413153459</v>
      </c>
      <c r="M31" s="552">
        <f t="shared" si="13"/>
        <v>0.10961214165261383</v>
      </c>
      <c r="N31" s="552">
        <f t="shared" si="14"/>
        <v>1.433389544688027E-2</v>
      </c>
      <c r="O31" s="552">
        <f t="shared" si="15"/>
        <v>0</v>
      </c>
      <c r="P31" s="552">
        <f t="shared" si="16"/>
        <v>1</v>
      </c>
    </row>
    <row r="32" spans="1:16">
      <c r="B32" s="55" t="s">
        <v>25</v>
      </c>
      <c r="C32" s="64">
        <v>0</v>
      </c>
      <c r="D32" s="64">
        <v>0</v>
      </c>
      <c r="E32" s="64">
        <v>0</v>
      </c>
      <c r="F32" s="64">
        <v>0</v>
      </c>
      <c r="G32" s="151">
        <v>0</v>
      </c>
      <c r="H32" s="151">
        <v>1435</v>
      </c>
      <c r="I32" s="64">
        <v>1435</v>
      </c>
      <c r="J32" s="110">
        <f t="shared" si="19"/>
        <v>0</v>
      </c>
      <c r="K32" s="111">
        <f t="shared" si="11"/>
        <v>0</v>
      </c>
      <c r="L32" s="111">
        <f t="shared" si="12"/>
        <v>0</v>
      </c>
      <c r="M32" s="111">
        <f t="shared" si="13"/>
        <v>0</v>
      </c>
      <c r="N32" s="111">
        <f t="shared" si="14"/>
        <v>0</v>
      </c>
      <c r="O32" s="111">
        <f t="shared" si="15"/>
        <v>1</v>
      </c>
      <c r="P32" s="111">
        <f t="shared" si="16"/>
        <v>1</v>
      </c>
    </row>
    <row r="33" spans="1:16">
      <c r="A33" s="187"/>
      <c r="B33" s="187" t="s">
        <v>26</v>
      </c>
      <c r="C33" s="549">
        <v>0</v>
      </c>
      <c r="D33" s="549">
        <v>0</v>
      </c>
      <c r="E33" s="549">
        <v>0</v>
      </c>
      <c r="F33" s="549">
        <v>0</v>
      </c>
      <c r="G33" s="549">
        <v>0</v>
      </c>
      <c r="H33" s="549">
        <v>304</v>
      </c>
      <c r="I33" s="550">
        <v>304</v>
      </c>
      <c r="J33" s="117">
        <f t="shared" si="19"/>
        <v>0</v>
      </c>
      <c r="K33" s="118">
        <f t="shared" si="11"/>
        <v>0</v>
      </c>
      <c r="L33" s="118">
        <f t="shared" si="12"/>
        <v>0</v>
      </c>
      <c r="M33" s="118">
        <f t="shared" si="13"/>
        <v>0</v>
      </c>
      <c r="N33" s="118">
        <f t="shared" si="14"/>
        <v>0</v>
      </c>
      <c r="O33" s="118">
        <f t="shared" si="15"/>
        <v>1</v>
      </c>
      <c r="P33" s="118">
        <f t="shared" si="16"/>
        <v>1</v>
      </c>
    </row>
    <row r="34" spans="1:16">
      <c r="A34" s="55" t="s">
        <v>5</v>
      </c>
      <c r="B34" s="55" t="s">
        <v>19</v>
      </c>
      <c r="C34" s="64">
        <v>295</v>
      </c>
      <c r="D34" s="64">
        <v>209</v>
      </c>
      <c r="E34" s="64">
        <v>217</v>
      </c>
      <c r="F34" s="64">
        <v>67</v>
      </c>
      <c r="G34" s="64">
        <v>22</v>
      </c>
      <c r="H34" s="64">
        <v>0</v>
      </c>
      <c r="I34" s="64">
        <v>810</v>
      </c>
      <c r="J34" s="110">
        <f>+C34/$I34</f>
        <v>0.36419753086419754</v>
      </c>
      <c r="K34" s="122">
        <f t="shared" si="11"/>
        <v>0.25802469135802469</v>
      </c>
      <c r="L34" s="122">
        <f t="shared" si="12"/>
        <v>0.26790123456790121</v>
      </c>
      <c r="M34" s="122">
        <f t="shared" si="13"/>
        <v>8.2716049382716053E-2</v>
      </c>
      <c r="N34" s="122">
        <f t="shared" si="14"/>
        <v>2.7160493827160494E-2</v>
      </c>
      <c r="O34" s="122">
        <f t="shared" si="15"/>
        <v>0</v>
      </c>
      <c r="P34" s="122">
        <f t="shared" si="16"/>
        <v>1</v>
      </c>
    </row>
    <row r="35" spans="1:16">
      <c r="B35" s="55" t="s">
        <v>20</v>
      </c>
      <c r="C35" s="64">
        <v>0</v>
      </c>
      <c r="D35" s="64">
        <v>0</v>
      </c>
      <c r="E35" s="64">
        <v>0</v>
      </c>
      <c r="F35" s="64">
        <v>0</v>
      </c>
      <c r="G35" s="64">
        <v>0</v>
      </c>
      <c r="H35" s="64">
        <v>0</v>
      </c>
      <c r="I35" s="64">
        <v>0</v>
      </c>
      <c r="J35" s="110" t="e">
        <f t="shared" ref="J35:J42" si="21">+C35/$I35</f>
        <v>#DIV/0!</v>
      </c>
      <c r="K35" s="111" t="e">
        <f t="shared" si="11"/>
        <v>#DIV/0!</v>
      </c>
      <c r="L35" s="111" t="e">
        <f t="shared" si="12"/>
        <v>#DIV/0!</v>
      </c>
      <c r="M35" s="111" t="e">
        <f t="shared" si="13"/>
        <v>#DIV/0!</v>
      </c>
      <c r="N35" s="111" t="e">
        <f t="shared" si="14"/>
        <v>#DIV/0!</v>
      </c>
      <c r="O35" s="111" t="e">
        <f t="shared" si="15"/>
        <v>#DIV/0!</v>
      </c>
      <c r="P35" s="111" t="e">
        <f t="shared" si="16"/>
        <v>#DIV/0!</v>
      </c>
    </row>
    <row r="36" spans="1:16">
      <c r="B36" s="55" t="s">
        <v>21</v>
      </c>
      <c r="C36" s="64">
        <v>312</v>
      </c>
      <c r="D36" s="64">
        <v>286</v>
      </c>
      <c r="E36" s="64">
        <v>313</v>
      </c>
      <c r="F36" s="64">
        <v>235</v>
      </c>
      <c r="G36" s="64">
        <v>13</v>
      </c>
      <c r="H36" s="64">
        <v>0</v>
      </c>
      <c r="I36" s="64">
        <v>1159</v>
      </c>
      <c r="J36" s="110">
        <f t="shared" si="21"/>
        <v>0.26919758412424505</v>
      </c>
      <c r="K36" s="111">
        <f t="shared" si="11"/>
        <v>0.24676445211389128</v>
      </c>
      <c r="L36" s="111">
        <f t="shared" si="12"/>
        <v>0.27006039689387401</v>
      </c>
      <c r="M36" s="111">
        <f t="shared" si="13"/>
        <v>0.20276100086281276</v>
      </c>
      <c r="N36" s="111">
        <f t="shared" si="14"/>
        <v>1.1216566005176877E-2</v>
      </c>
      <c r="O36" s="111">
        <f t="shared" si="15"/>
        <v>0</v>
      </c>
      <c r="P36" s="111">
        <f t="shared" si="16"/>
        <v>1</v>
      </c>
    </row>
    <row r="37" spans="1:16">
      <c r="B37" s="55" t="s">
        <v>22</v>
      </c>
      <c r="C37" s="64">
        <v>0</v>
      </c>
      <c r="D37" s="64">
        <v>0</v>
      </c>
      <c r="E37" s="64">
        <v>0</v>
      </c>
      <c r="F37" s="64">
        <v>0</v>
      </c>
      <c r="G37" s="64">
        <v>0</v>
      </c>
      <c r="H37" s="64">
        <v>0</v>
      </c>
      <c r="I37" s="64">
        <v>0</v>
      </c>
      <c r="J37" s="110" t="e">
        <f t="shared" si="21"/>
        <v>#DIV/0!</v>
      </c>
      <c r="K37" s="111" t="e">
        <f t="shared" si="11"/>
        <v>#DIV/0!</v>
      </c>
      <c r="L37" s="111" t="e">
        <f t="shared" si="12"/>
        <v>#DIV/0!</v>
      </c>
      <c r="M37" s="111" t="e">
        <f t="shared" si="13"/>
        <v>#DIV/0!</v>
      </c>
      <c r="N37" s="111" t="e">
        <f t="shared" si="14"/>
        <v>#DIV/0!</v>
      </c>
      <c r="O37" s="111" t="e">
        <f t="shared" si="15"/>
        <v>#DIV/0!</v>
      </c>
      <c r="P37" s="111" t="e">
        <f t="shared" si="16"/>
        <v>#DIV/0!</v>
      </c>
    </row>
    <row r="38" spans="1:16">
      <c r="B38" s="55" t="s">
        <v>23</v>
      </c>
      <c r="C38" s="64">
        <v>136</v>
      </c>
      <c r="D38" s="64">
        <v>136</v>
      </c>
      <c r="E38" s="64">
        <v>126</v>
      </c>
      <c r="F38" s="64">
        <v>57</v>
      </c>
      <c r="G38" s="64">
        <v>0</v>
      </c>
      <c r="H38" s="64">
        <v>0</v>
      </c>
      <c r="I38" s="64">
        <v>455</v>
      </c>
      <c r="J38" s="110">
        <f t="shared" si="21"/>
        <v>0.29890109890109889</v>
      </c>
      <c r="K38" s="111">
        <f t="shared" si="11"/>
        <v>0.29890109890109889</v>
      </c>
      <c r="L38" s="111">
        <f t="shared" si="12"/>
        <v>0.27692307692307694</v>
      </c>
      <c r="M38" s="111">
        <f t="shared" si="13"/>
        <v>0.12527472527472527</v>
      </c>
      <c r="N38" s="111">
        <f t="shared" si="14"/>
        <v>0</v>
      </c>
      <c r="O38" s="111">
        <f t="shared" si="15"/>
        <v>0</v>
      </c>
      <c r="P38" s="111">
        <f t="shared" si="16"/>
        <v>1</v>
      </c>
    </row>
    <row r="39" spans="1:16">
      <c r="B39" s="55" t="s">
        <v>24</v>
      </c>
      <c r="C39" s="64">
        <v>64</v>
      </c>
      <c r="D39" s="64">
        <v>59</v>
      </c>
      <c r="E39" s="64">
        <v>85</v>
      </c>
      <c r="F39" s="64">
        <v>79</v>
      </c>
      <c r="G39" s="64">
        <v>2</v>
      </c>
      <c r="H39" s="64">
        <v>0</v>
      </c>
      <c r="I39" s="64">
        <v>289</v>
      </c>
      <c r="J39" s="110">
        <f t="shared" si="21"/>
        <v>0.22145328719723184</v>
      </c>
      <c r="K39" s="111">
        <f t="shared" si="11"/>
        <v>0.20415224913494809</v>
      </c>
      <c r="L39" s="111">
        <f t="shared" si="12"/>
        <v>0.29411764705882354</v>
      </c>
      <c r="M39" s="111">
        <f t="shared" si="13"/>
        <v>0.27335640138408307</v>
      </c>
      <c r="N39" s="111">
        <f t="shared" si="14"/>
        <v>6.920415224913495E-3</v>
      </c>
      <c r="O39" s="111">
        <f t="shared" si="15"/>
        <v>0</v>
      </c>
      <c r="P39" s="111">
        <f t="shared" si="16"/>
        <v>1</v>
      </c>
    </row>
    <row r="40" spans="1:16" s="63" customFormat="1">
      <c r="B40" s="63" t="s">
        <v>90</v>
      </c>
      <c r="C40" s="65">
        <f t="shared" ref="C40:I40" si="22">SUM(C34:C39)</f>
        <v>807</v>
      </c>
      <c r="D40" s="65">
        <f t="shared" si="22"/>
        <v>690</v>
      </c>
      <c r="E40" s="65">
        <f t="shared" si="22"/>
        <v>741</v>
      </c>
      <c r="F40" s="65">
        <f t="shared" si="22"/>
        <v>438</v>
      </c>
      <c r="G40" s="65">
        <f t="shared" si="22"/>
        <v>37</v>
      </c>
      <c r="H40" s="65">
        <f t="shared" si="22"/>
        <v>0</v>
      </c>
      <c r="I40" s="65">
        <f t="shared" si="22"/>
        <v>2713</v>
      </c>
      <c r="J40" s="551">
        <f t="shared" si="21"/>
        <v>0.29745669001105784</v>
      </c>
      <c r="K40" s="552">
        <f t="shared" si="11"/>
        <v>0.25433099889421307</v>
      </c>
      <c r="L40" s="552">
        <f t="shared" si="12"/>
        <v>0.27312937707335055</v>
      </c>
      <c r="M40" s="552">
        <f t="shared" si="13"/>
        <v>0.16144489495023959</v>
      </c>
      <c r="N40" s="552">
        <f t="shared" si="14"/>
        <v>1.363803907113896E-2</v>
      </c>
      <c r="O40" s="552">
        <f t="shared" si="15"/>
        <v>0</v>
      </c>
      <c r="P40" s="552">
        <f t="shared" si="16"/>
        <v>1</v>
      </c>
    </row>
    <row r="41" spans="1:16">
      <c r="B41" s="55" t="s">
        <v>25</v>
      </c>
      <c r="C41" s="64">
        <v>0</v>
      </c>
      <c r="D41" s="64">
        <v>0</v>
      </c>
      <c r="E41" s="64">
        <v>0</v>
      </c>
      <c r="F41" s="64">
        <v>0</v>
      </c>
      <c r="G41" s="151">
        <v>0</v>
      </c>
      <c r="H41" s="151">
        <v>1034</v>
      </c>
      <c r="I41" s="64">
        <v>1034</v>
      </c>
      <c r="J41" s="110">
        <f t="shared" si="21"/>
        <v>0</v>
      </c>
      <c r="K41" s="111">
        <f t="shared" si="11"/>
        <v>0</v>
      </c>
      <c r="L41" s="111">
        <f t="shared" si="12"/>
        <v>0</v>
      </c>
      <c r="M41" s="111">
        <f t="shared" si="13"/>
        <v>0</v>
      </c>
      <c r="N41" s="111">
        <f t="shared" si="14"/>
        <v>0</v>
      </c>
      <c r="O41" s="111">
        <f t="shared" si="15"/>
        <v>1</v>
      </c>
      <c r="P41" s="111">
        <f t="shared" si="16"/>
        <v>1</v>
      </c>
    </row>
    <row r="42" spans="1:16">
      <c r="A42" s="187"/>
      <c r="B42" s="187" t="s">
        <v>26</v>
      </c>
      <c r="C42" s="549">
        <v>0</v>
      </c>
      <c r="D42" s="549">
        <v>0</v>
      </c>
      <c r="E42" s="549">
        <v>0</v>
      </c>
      <c r="F42" s="549">
        <v>0</v>
      </c>
      <c r="G42" s="549">
        <v>0</v>
      </c>
      <c r="H42" s="549">
        <v>0</v>
      </c>
      <c r="I42" s="550">
        <v>0</v>
      </c>
      <c r="J42" s="117" t="e">
        <f t="shared" si="21"/>
        <v>#DIV/0!</v>
      </c>
      <c r="K42" s="118" t="e">
        <f t="shared" si="11"/>
        <v>#DIV/0!</v>
      </c>
      <c r="L42" s="118" t="e">
        <f t="shared" si="12"/>
        <v>#DIV/0!</v>
      </c>
      <c r="M42" s="118" t="e">
        <f t="shared" si="13"/>
        <v>#DIV/0!</v>
      </c>
      <c r="N42" s="118" t="e">
        <f t="shared" si="14"/>
        <v>#DIV/0!</v>
      </c>
      <c r="O42" s="118" t="e">
        <f t="shared" si="15"/>
        <v>#DIV/0!</v>
      </c>
      <c r="P42" s="118" t="e">
        <f t="shared" si="16"/>
        <v>#DIV/0!</v>
      </c>
    </row>
    <row r="43" spans="1:16">
      <c r="A43" s="55" t="s">
        <v>82</v>
      </c>
      <c r="B43" s="55" t="s">
        <v>19</v>
      </c>
      <c r="C43" s="64">
        <v>380</v>
      </c>
      <c r="D43" s="64">
        <v>325</v>
      </c>
      <c r="E43" s="64">
        <v>202</v>
      </c>
      <c r="F43" s="64">
        <v>68</v>
      </c>
      <c r="G43" s="64">
        <v>0</v>
      </c>
      <c r="H43" s="64">
        <v>0</v>
      </c>
      <c r="I43" s="64">
        <v>975</v>
      </c>
      <c r="J43" s="110">
        <f>+C43/$I43</f>
        <v>0.38974358974358975</v>
      </c>
      <c r="K43" s="122">
        <f t="shared" si="11"/>
        <v>0.33333333333333331</v>
      </c>
      <c r="L43" s="122">
        <f t="shared" si="12"/>
        <v>0.20717948717948717</v>
      </c>
      <c r="M43" s="122">
        <f t="shared" si="13"/>
        <v>6.974358974358974E-2</v>
      </c>
      <c r="N43" s="122">
        <f t="shared" si="14"/>
        <v>0</v>
      </c>
      <c r="O43" s="122">
        <f t="shared" si="15"/>
        <v>0</v>
      </c>
      <c r="P43" s="122">
        <f t="shared" si="16"/>
        <v>1</v>
      </c>
    </row>
    <row r="44" spans="1:16">
      <c r="B44" s="55" t="s">
        <v>20</v>
      </c>
      <c r="C44" s="64">
        <v>0</v>
      </c>
      <c r="D44" s="64">
        <v>0</v>
      </c>
      <c r="E44" s="64">
        <v>0</v>
      </c>
      <c r="F44" s="64">
        <v>0</v>
      </c>
      <c r="G44" s="64">
        <v>0</v>
      </c>
      <c r="H44" s="64">
        <v>0</v>
      </c>
      <c r="I44" s="64">
        <v>0</v>
      </c>
      <c r="J44" s="110" t="e">
        <f t="shared" ref="J44:J51" si="23">+C44/$I44</f>
        <v>#DIV/0!</v>
      </c>
      <c r="K44" s="111" t="e">
        <f t="shared" si="11"/>
        <v>#DIV/0!</v>
      </c>
      <c r="L44" s="111" t="e">
        <f t="shared" si="12"/>
        <v>#DIV/0!</v>
      </c>
      <c r="M44" s="111" t="e">
        <f t="shared" si="13"/>
        <v>#DIV/0!</v>
      </c>
      <c r="N44" s="111" t="e">
        <f t="shared" si="14"/>
        <v>#DIV/0!</v>
      </c>
      <c r="O44" s="111" t="e">
        <f t="shared" si="15"/>
        <v>#DIV/0!</v>
      </c>
      <c r="P44" s="111" t="e">
        <f t="shared" si="16"/>
        <v>#DIV/0!</v>
      </c>
    </row>
    <row r="45" spans="1:16">
      <c r="B45" s="55" t="s">
        <v>21</v>
      </c>
      <c r="C45" s="64">
        <v>0</v>
      </c>
      <c r="D45" s="64">
        <v>0</v>
      </c>
      <c r="E45" s="64">
        <v>0</v>
      </c>
      <c r="F45" s="64">
        <v>0</v>
      </c>
      <c r="G45" s="64">
        <v>0</v>
      </c>
      <c r="H45" s="64">
        <v>0</v>
      </c>
      <c r="I45" s="64">
        <v>0</v>
      </c>
      <c r="J45" s="110" t="e">
        <f t="shared" si="23"/>
        <v>#DIV/0!</v>
      </c>
      <c r="K45" s="111" t="e">
        <f t="shared" si="11"/>
        <v>#DIV/0!</v>
      </c>
      <c r="L45" s="111" t="e">
        <f t="shared" si="12"/>
        <v>#DIV/0!</v>
      </c>
      <c r="M45" s="111" t="e">
        <f t="shared" si="13"/>
        <v>#DIV/0!</v>
      </c>
      <c r="N45" s="111" t="e">
        <f t="shared" si="14"/>
        <v>#DIV/0!</v>
      </c>
      <c r="O45" s="111" t="e">
        <f t="shared" si="15"/>
        <v>#DIV/0!</v>
      </c>
      <c r="P45" s="111" t="e">
        <f t="shared" si="16"/>
        <v>#DIV/0!</v>
      </c>
    </row>
    <row r="46" spans="1:16">
      <c r="B46" s="55" t="s">
        <v>22</v>
      </c>
      <c r="C46" s="64">
        <v>38</v>
      </c>
      <c r="D46" s="64">
        <v>71</v>
      </c>
      <c r="E46" s="64">
        <v>56</v>
      </c>
      <c r="F46" s="64">
        <v>12</v>
      </c>
      <c r="G46" s="64">
        <v>0</v>
      </c>
      <c r="H46" s="64">
        <v>0</v>
      </c>
      <c r="I46" s="64">
        <v>177</v>
      </c>
      <c r="J46" s="110">
        <f t="shared" si="23"/>
        <v>0.21468926553672316</v>
      </c>
      <c r="K46" s="111">
        <f t="shared" si="11"/>
        <v>0.40112994350282488</v>
      </c>
      <c r="L46" s="111">
        <f t="shared" si="12"/>
        <v>0.31638418079096048</v>
      </c>
      <c r="M46" s="111">
        <f t="shared" si="13"/>
        <v>6.7796610169491525E-2</v>
      </c>
      <c r="N46" s="111">
        <f t="shared" si="14"/>
        <v>0</v>
      </c>
      <c r="O46" s="111">
        <f t="shared" si="15"/>
        <v>0</v>
      </c>
      <c r="P46" s="111">
        <f t="shared" si="16"/>
        <v>1</v>
      </c>
    </row>
    <row r="47" spans="1:16">
      <c r="B47" s="55" t="s">
        <v>23</v>
      </c>
      <c r="C47" s="64">
        <v>0</v>
      </c>
      <c r="D47" s="64">
        <v>0</v>
      </c>
      <c r="E47" s="64">
        <v>0</v>
      </c>
      <c r="F47" s="64">
        <v>0</v>
      </c>
      <c r="G47" s="64">
        <v>0</v>
      </c>
      <c r="H47" s="64">
        <v>0</v>
      </c>
      <c r="I47" s="64">
        <v>0</v>
      </c>
      <c r="J47" s="110" t="e">
        <f t="shared" si="23"/>
        <v>#DIV/0!</v>
      </c>
      <c r="K47" s="111" t="e">
        <f t="shared" si="11"/>
        <v>#DIV/0!</v>
      </c>
      <c r="L47" s="111" t="e">
        <f t="shared" si="12"/>
        <v>#DIV/0!</v>
      </c>
      <c r="M47" s="111" t="e">
        <f t="shared" si="13"/>
        <v>#DIV/0!</v>
      </c>
      <c r="N47" s="111" t="e">
        <f t="shared" si="14"/>
        <v>#DIV/0!</v>
      </c>
      <c r="O47" s="111" t="e">
        <f t="shared" si="15"/>
        <v>#DIV/0!</v>
      </c>
      <c r="P47" s="111" t="e">
        <f t="shared" si="16"/>
        <v>#DIV/0!</v>
      </c>
    </row>
    <row r="48" spans="1:16">
      <c r="B48" s="55" t="s">
        <v>24</v>
      </c>
      <c r="C48" s="64">
        <v>0</v>
      </c>
      <c r="D48" s="64">
        <v>0</v>
      </c>
      <c r="E48" s="64">
        <v>0</v>
      </c>
      <c r="F48" s="64">
        <v>0</v>
      </c>
      <c r="G48" s="64">
        <v>0</v>
      </c>
      <c r="H48" s="64">
        <v>0</v>
      </c>
      <c r="I48" s="64">
        <v>0</v>
      </c>
      <c r="J48" s="110" t="e">
        <f t="shared" si="23"/>
        <v>#DIV/0!</v>
      </c>
      <c r="K48" s="111" t="e">
        <f t="shared" si="11"/>
        <v>#DIV/0!</v>
      </c>
      <c r="L48" s="111" t="e">
        <f t="shared" si="12"/>
        <v>#DIV/0!</v>
      </c>
      <c r="M48" s="111" t="e">
        <f t="shared" si="13"/>
        <v>#DIV/0!</v>
      </c>
      <c r="N48" s="111" t="e">
        <f t="shared" si="14"/>
        <v>#DIV/0!</v>
      </c>
      <c r="O48" s="111" t="e">
        <f t="shared" si="15"/>
        <v>#DIV/0!</v>
      </c>
      <c r="P48" s="111" t="e">
        <f t="shared" si="16"/>
        <v>#DIV/0!</v>
      </c>
    </row>
    <row r="49" spans="1:16" s="63" customFormat="1">
      <c r="B49" s="63" t="s">
        <v>90</v>
      </c>
      <c r="C49" s="65">
        <f t="shared" ref="C49:I49" si="24">SUM(C43:C48)</f>
        <v>418</v>
      </c>
      <c r="D49" s="65">
        <f t="shared" si="24"/>
        <v>396</v>
      </c>
      <c r="E49" s="65">
        <f t="shared" si="24"/>
        <v>258</v>
      </c>
      <c r="F49" s="65">
        <f t="shared" si="24"/>
        <v>80</v>
      </c>
      <c r="G49" s="65">
        <f t="shared" si="24"/>
        <v>0</v>
      </c>
      <c r="H49" s="65">
        <f t="shared" si="24"/>
        <v>0</v>
      </c>
      <c r="I49" s="65">
        <f t="shared" si="24"/>
        <v>1152</v>
      </c>
      <c r="J49" s="551">
        <f t="shared" si="23"/>
        <v>0.36284722222222221</v>
      </c>
      <c r="K49" s="552">
        <f t="shared" si="11"/>
        <v>0.34375</v>
      </c>
      <c r="L49" s="552">
        <f t="shared" si="12"/>
        <v>0.22395833333333334</v>
      </c>
      <c r="M49" s="552">
        <f t="shared" si="13"/>
        <v>6.9444444444444448E-2</v>
      </c>
      <c r="N49" s="552">
        <f t="shared" si="14"/>
        <v>0</v>
      </c>
      <c r="O49" s="552">
        <f t="shared" si="15"/>
        <v>0</v>
      </c>
      <c r="P49" s="552">
        <f t="shared" si="16"/>
        <v>1</v>
      </c>
    </row>
    <row r="50" spans="1:16">
      <c r="B50" s="55" t="s">
        <v>25</v>
      </c>
      <c r="C50" s="64">
        <v>0</v>
      </c>
      <c r="D50" s="64">
        <v>0</v>
      </c>
      <c r="E50" s="64">
        <v>0</v>
      </c>
      <c r="F50" s="64">
        <v>0</v>
      </c>
      <c r="G50" s="151">
        <v>0</v>
      </c>
      <c r="H50" s="151"/>
      <c r="I50" s="64">
        <v>0</v>
      </c>
      <c r="J50" s="110" t="e">
        <f t="shared" si="23"/>
        <v>#DIV/0!</v>
      </c>
      <c r="K50" s="111" t="e">
        <f t="shared" si="11"/>
        <v>#DIV/0!</v>
      </c>
      <c r="L50" s="111" t="e">
        <f t="shared" si="12"/>
        <v>#DIV/0!</v>
      </c>
      <c r="M50" s="111" t="e">
        <f t="shared" si="13"/>
        <v>#DIV/0!</v>
      </c>
      <c r="N50" s="111" t="e">
        <f t="shared" si="14"/>
        <v>#DIV/0!</v>
      </c>
      <c r="O50" s="111" t="e">
        <f t="shared" si="15"/>
        <v>#DIV/0!</v>
      </c>
      <c r="P50" s="111" t="e">
        <f t="shared" si="16"/>
        <v>#DIV/0!</v>
      </c>
    </row>
    <row r="51" spans="1:16">
      <c r="A51" s="187"/>
      <c r="B51" s="187" t="s">
        <v>26</v>
      </c>
      <c r="C51" s="549">
        <v>0</v>
      </c>
      <c r="D51" s="549">
        <v>0</v>
      </c>
      <c r="E51" s="549">
        <v>0</v>
      </c>
      <c r="F51" s="549">
        <v>0</v>
      </c>
      <c r="G51" s="549">
        <v>0</v>
      </c>
      <c r="H51" s="549">
        <v>0</v>
      </c>
      <c r="I51" s="550">
        <v>0</v>
      </c>
      <c r="J51" s="117" t="e">
        <f t="shared" si="23"/>
        <v>#DIV/0!</v>
      </c>
      <c r="K51" s="118" t="e">
        <f t="shared" si="11"/>
        <v>#DIV/0!</v>
      </c>
      <c r="L51" s="118" t="e">
        <f t="shared" si="12"/>
        <v>#DIV/0!</v>
      </c>
      <c r="M51" s="118" t="e">
        <f t="shared" si="13"/>
        <v>#DIV/0!</v>
      </c>
      <c r="N51" s="118" t="e">
        <f t="shared" si="14"/>
        <v>#DIV/0!</v>
      </c>
      <c r="O51" s="118" t="e">
        <f t="shared" si="15"/>
        <v>#DIV/0!</v>
      </c>
      <c r="P51" s="118" t="e">
        <f t="shared" si="16"/>
        <v>#DIV/0!</v>
      </c>
    </row>
    <row r="52" spans="1:16">
      <c r="A52" s="55" t="s">
        <v>6</v>
      </c>
      <c r="B52" s="55" t="s">
        <v>19</v>
      </c>
      <c r="C52" s="64">
        <v>1505</v>
      </c>
      <c r="D52" s="64">
        <v>1049</v>
      </c>
      <c r="E52" s="64">
        <v>746</v>
      </c>
      <c r="F52" s="64">
        <v>123</v>
      </c>
      <c r="G52" s="64">
        <v>33</v>
      </c>
      <c r="H52" s="64">
        <v>0</v>
      </c>
      <c r="I52" s="64">
        <v>3456</v>
      </c>
      <c r="J52" s="110">
        <f>+C52/$I52</f>
        <v>0.43547453703703703</v>
      </c>
      <c r="K52" s="122">
        <f t="shared" si="11"/>
        <v>0.30353009259259262</v>
      </c>
      <c r="L52" s="122">
        <f t="shared" si="12"/>
        <v>0.21585648148148148</v>
      </c>
      <c r="M52" s="122">
        <f t="shared" si="13"/>
        <v>3.5590277777777776E-2</v>
      </c>
      <c r="N52" s="122">
        <f t="shared" si="14"/>
        <v>9.5486111111111119E-3</v>
      </c>
      <c r="O52" s="122">
        <f t="shared" si="15"/>
        <v>0</v>
      </c>
      <c r="P52" s="122">
        <f t="shared" si="16"/>
        <v>1</v>
      </c>
    </row>
    <row r="53" spans="1:16">
      <c r="B53" s="55" t="s">
        <v>20</v>
      </c>
      <c r="C53" s="64">
        <v>618</v>
      </c>
      <c r="D53" s="64">
        <v>728</v>
      </c>
      <c r="E53" s="64">
        <v>594</v>
      </c>
      <c r="F53" s="64">
        <v>292</v>
      </c>
      <c r="G53" s="64">
        <v>27</v>
      </c>
      <c r="H53" s="64">
        <v>0</v>
      </c>
      <c r="I53" s="64">
        <v>2259</v>
      </c>
      <c r="J53" s="110">
        <f t="shared" ref="J53:J60" si="25">+C53/$I53</f>
        <v>0.27357237715803451</v>
      </c>
      <c r="K53" s="111">
        <f t="shared" si="11"/>
        <v>0.32226648959716686</v>
      </c>
      <c r="L53" s="111">
        <f t="shared" si="12"/>
        <v>0.26294820717131473</v>
      </c>
      <c r="M53" s="111">
        <f t="shared" si="13"/>
        <v>0.12926073483842407</v>
      </c>
      <c r="N53" s="111">
        <f t="shared" si="14"/>
        <v>1.1952191235059761E-2</v>
      </c>
      <c r="O53" s="111">
        <f t="shared" si="15"/>
        <v>0</v>
      </c>
      <c r="P53" s="111">
        <f t="shared" si="16"/>
        <v>1</v>
      </c>
    </row>
    <row r="54" spans="1:16">
      <c r="B54" s="55" t="s">
        <v>21</v>
      </c>
      <c r="C54" s="64">
        <v>271</v>
      </c>
      <c r="D54" s="64">
        <v>284</v>
      </c>
      <c r="E54" s="64">
        <v>321</v>
      </c>
      <c r="F54" s="64">
        <v>87</v>
      </c>
      <c r="G54" s="64">
        <v>24</v>
      </c>
      <c r="H54" s="64">
        <v>0</v>
      </c>
      <c r="I54" s="64">
        <v>987</v>
      </c>
      <c r="J54" s="110">
        <f t="shared" si="25"/>
        <v>0.27456940222897669</v>
      </c>
      <c r="K54" s="111">
        <f t="shared" si="11"/>
        <v>0.28774062816616008</v>
      </c>
      <c r="L54" s="111">
        <f t="shared" si="12"/>
        <v>0.32522796352583588</v>
      </c>
      <c r="M54" s="111">
        <f t="shared" si="13"/>
        <v>8.8145896656534953E-2</v>
      </c>
      <c r="N54" s="111">
        <f t="shared" si="14"/>
        <v>2.4316109422492401E-2</v>
      </c>
      <c r="O54" s="111">
        <f t="shared" si="15"/>
        <v>0</v>
      </c>
      <c r="P54" s="111">
        <f t="shared" si="16"/>
        <v>1</v>
      </c>
    </row>
    <row r="55" spans="1:16">
      <c r="B55" s="55" t="s">
        <v>22</v>
      </c>
      <c r="C55" s="64">
        <v>0</v>
      </c>
      <c r="D55" s="64">
        <v>0</v>
      </c>
      <c r="E55" s="64">
        <v>0</v>
      </c>
      <c r="F55" s="64">
        <v>0</v>
      </c>
      <c r="G55" s="64">
        <v>0</v>
      </c>
      <c r="H55" s="64">
        <v>0</v>
      </c>
      <c r="I55" s="64">
        <v>0</v>
      </c>
      <c r="J55" s="110" t="e">
        <f t="shared" si="25"/>
        <v>#DIV/0!</v>
      </c>
      <c r="K55" s="111" t="e">
        <f t="shared" si="11"/>
        <v>#DIV/0!</v>
      </c>
      <c r="L55" s="111" t="e">
        <f t="shared" si="12"/>
        <v>#DIV/0!</v>
      </c>
      <c r="M55" s="111" t="e">
        <f t="shared" si="13"/>
        <v>#DIV/0!</v>
      </c>
      <c r="N55" s="111" t="e">
        <f t="shared" si="14"/>
        <v>#DIV/0!</v>
      </c>
      <c r="O55" s="111" t="e">
        <f t="shared" si="15"/>
        <v>#DIV/0!</v>
      </c>
      <c r="P55" s="111" t="e">
        <f t="shared" si="16"/>
        <v>#DIV/0!</v>
      </c>
    </row>
    <row r="56" spans="1:16">
      <c r="B56" s="55" t="s">
        <v>23</v>
      </c>
      <c r="C56" s="64">
        <v>17</v>
      </c>
      <c r="D56" s="64">
        <v>34</v>
      </c>
      <c r="E56" s="64">
        <v>69</v>
      </c>
      <c r="F56" s="64">
        <v>11</v>
      </c>
      <c r="G56" s="64">
        <v>1</v>
      </c>
      <c r="H56" s="64">
        <v>0</v>
      </c>
      <c r="I56" s="64">
        <v>132</v>
      </c>
      <c r="J56" s="110">
        <f t="shared" si="25"/>
        <v>0.12878787878787878</v>
      </c>
      <c r="K56" s="111">
        <f t="shared" si="11"/>
        <v>0.25757575757575757</v>
      </c>
      <c r="L56" s="111">
        <f t="shared" si="12"/>
        <v>0.52272727272727271</v>
      </c>
      <c r="M56" s="111">
        <f t="shared" si="13"/>
        <v>8.3333333333333329E-2</v>
      </c>
      <c r="N56" s="111">
        <f t="shared" si="14"/>
        <v>7.575757575757576E-3</v>
      </c>
      <c r="O56" s="111">
        <f t="shared" si="15"/>
        <v>0</v>
      </c>
      <c r="P56" s="111">
        <f t="shared" si="16"/>
        <v>1</v>
      </c>
    </row>
    <row r="57" spans="1:16">
      <c r="B57" s="55" t="s">
        <v>24</v>
      </c>
      <c r="C57" s="64">
        <v>0</v>
      </c>
      <c r="D57" s="64">
        <v>0</v>
      </c>
      <c r="E57" s="64">
        <v>0</v>
      </c>
      <c r="F57" s="64">
        <v>0</v>
      </c>
      <c r="G57" s="64">
        <v>0</v>
      </c>
      <c r="H57" s="64">
        <v>0</v>
      </c>
      <c r="I57" s="64">
        <v>0</v>
      </c>
      <c r="J57" s="110" t="e">
        <f t="shared" si="25"/>
        <v>#DIV/0!</v>
      </c>
      <c r="K57" s="111" t="e">
        <f t="shared" si="11"/>
        <v>#DIV/0!</v>
      </c>
      <c r="L57" s="111" t="e">
        <f t="shared" si="12"/>
        <v>#DIV/0!</v>
      </c>
      <c r="M57" s="111" t="e">
        <f t="shared" si="13"/>
        <v>#DIV/0!</v>
      </c>
      <c r="N57" s="111" t="e">
        <f t="shared" si="14"/>
        <v>#DIV/0!</v>
      </c>
      <c r="O57" s="111" t="e">
        <f t="shared" si="15"/>
        <v>#DIV/0!</v>
      </c>
      <c r="P57" s="111" t="e">
        <f t="shared" si="16"/>
        <v>#DIV/0!</v>
      </c>
    </row>
    <row r="58" spans="1:16" s="63" customFormat="1">
      <c r="B58" s="63" t="s">
        <v>90</v>
      </c>
      <c r="C58" s="65">
        <f t="shared" ref="C58:I58" si="26">SUM(C52:C57)</f>
        <v>2411</v>
      </c>
      <c r="D58" s="65">
        <f t="shared" si="26"/>
        <v>2095</v>
      </c>
      <c r="E58" s="65">
        <f t="shared" si="26"/>
        <v>1730</v>
      </c>
      <c r="F58" s="65">
        <f t="shared" si="26"/>
        <v>513</v>
      </c>
      <c r="G58" s="65">
        <f t="shared" si="26"/>
        <v>85</v>
      </c>
      <c r="H58" s="65">
        <f t="shared" si="26"/>
        <v>0</v>
      </c>
      <c r="I58" s="65">
        <f t="shared" si="26"/>
        <v>6834</v>
      </c>
      <c r="J58" s="551">
        <f t="shared" si="25"/>
        <v>0.35279484928299676</v>
      </c>
      <c r="K58" s="552">
        <f t="shared" si="11"/>
        <v>0.30655545800409717</v>
      </c>
      <c r="L58" s="552">
        <f t="shared" si="12"/>
        <v>0.25314603453321627</v>
      </c>
      <c r="M58" s="552">
        <f t="shared" si="13"/>
        <v>7.5065847234416158E-2</v>
      </c>
      <c r="N58" s="552">
        <f t="shared" si="14"/>
        <v>1.2437810945273632E-2</v>
      </c>
      <c r="O58" s="552">
        <f t="shared" si="15"/>
        <v>0</v>
      </c>
      <c r="P58" s="552">
        <f t="shared" si="16"/>
        <v>1</v>
      </c>
    </row>
    <row r="59" spans="1:16">
      <c r="B59" s="55" t="s">
        <v>25</v>
      </c>
      <c r="C59" s="64">
        <v>0</v>
      </c>
      <c r="D59" s="64">
        <v>0</v>
      </c>
      <c r="E59" s="64">
        <v>0</v>
      </c>
      <c r="F59" s="64">
        <v>0</v>
      </c>
      <c r="G59" s="151">
        <v>0</v>
      </c>
      <c r="H59" s="151">
        <v>4586</v>
      </c>
      <c r="I59" s="64">
        <v>4586</v>
      </c>
      <c r="J59" s="110">
        <f t="shared" si="25"/>
        <v>0</v>
      </c>
      <c r="K59" s="111">
        <f t="shared" si="11"/>
        <v>0</v>
      </c>
      <c r="L59" s="111">
        <f t="shared" si="12"/>
        <v>0</v>
      </c>
      <c r="M59" s="111">
        <f t="shared" si="13"/>
        <v>0</v>
      </c>
      <c r="N59" s="111">
        <f t="shared" si="14"/>
        <v>0</v>
      </c>
      <c r="O59" s="111">
        <f t="shared" si="15"/>
        <v>1</v>
      </c>
      <c r="P59" s="111">
        <f t="shared" si="16"/>
        <v>1</v>
      </c>
    </row>
    <row r="60" spans="1:16">
      <c r="A60" s="187"/>
      <c r="B60" s="187" t="s">
        <v>26</v>
      </c>
      <c r="C60" s="549">
        <v>0</v>
      </c>
      <c r="D60" s="549">
        <v>0</v>
      </c>
      <c r="E60" s="549">
        <v>0</v>
      </c>
      <c r="F60" s="549">
        <v>0</v>
      </c>
      <c r="G60" s="549">
        <v>0</v>
      </c>
      <c r="H60" s="549">
        <v>0</v>
      </c>
      <c r="I60" s="550">
        <v>0</v>
      </c>
      <c r="J60" s="117" t="e">
        <f t="shared" si="25"/>
        <v>#DIV/0!</v>
      </c>
      <c r="K60" s="118" t="e">
        <f t="shared" si="11"/>
        <v>#DIV/0!</v>
      </c>
      <c r="L60" s="118" t="e">
        <f t="shared" si="12"/>
        <v>#DIV/0!</v>
      </c>
      <c r="M60" s="118" t="e">
        <f t="shared" si="13"/>
        <v>#DIV/0!</v>
      </c>
      <c r="N60" s="118" t="e">
        <f t="shared" si="14"/>
        <v>#DIV/0!</v>
      </c>
      <c r="O60" s="118" t="e">
        <f t="shared" si="15"/>
        <v>#DIV/0!</v>
      </c>
      <c r="P60" s="118" t="e">
        <f t="shared" si="16"/>
        <v>#DIV/0!</v>
      </c>
    </row>
    <row r="61" spans="1:16">
      <c r="A61" s="55" t="s">
        <v>7</v>
      </c>
      <c r="B61" s="55" t="s">
        <v>19</v>
      </c>
      <c r="C61" s="64">
        <v>890</v>
      </c>
      <c r="D61" s="64">
        <v>780</v>
      </c>
      <c r="E61" s="64">
        <v>651</v>
      </c>
      <c r="F61" s="64">
        <v>115</v>
      </c>
      <c r="G61" s="64">
        <v>61</v>
      </c>
      <c r="H61" s="64">
        <v>0</v>
      </c>
      <c r="I61" s="64">
        <v>2497</v>
      </c>
      <c r="J61" s="110">
        <f>+C61/$I61</f>
        <v>0.35642771325590711</v>
      </c>
      <c r="K61" s="122">
        <f t="shared" si="11"/>
        <v>0.31237484981978375</v>
      </c>
      <c r="L61" s="122">
        <f t="shared" si="12"/>
        <v>0.26071285542651179</v>
      </c>
      <c r="M61" s="122">
        <f t="shared" si="13"/>
        <v>4.6055266319583503E-2</v>
      </c>
      <c r="N61" s="122">
        <f t="shared" si="14"/>
        <v>2.4429315178213857E-2</v>
      </c>
      <c r="O61" s="122">
        <f t="shared" si="15"/>
        <v>0</v>
      </c>
      <c r="P61" s="122">
        <f t="shared" si="16"/>
        <v>1</v>
      </c>
    </row>
    <row r="62" spans="1:16">
      <c r="B62" s="55" t="s">
        <v>20</v>
      </c>
      <c r="C62" s="64">
        <v>251</v>
      </c>
      <c r="D62" s="64">
        <v>228</v>
      </c>
      <c r="E62" s="64">
        <v>166</v>
      </c>
      <c r="F62" s="64">
        <v>25</v>
      </c>
      <c r="G62" s="64">
        <v>1</v>
      </c>
      <c r="H62" s="64">
        <v>0</v>
      </c>
      <c r="I62" s="64">
        <v>671</v>
      </c>
      <c r="J62" s="110">
        <f t="shared" ref="J62:J69" si="27">+C62/$I62</f>
        <v>0.37406855439642323</v>
      </c>
      <c r="K62" s="111">
        <f t="shared" si="11"/>
        <v>0.33979135618479883</v>
      </c>
      <c r="L62" s="111">
        <f t="shared" si="12"/>
        <v>0.24739195230998509</v>
      </c>
      <c r="M62" s="111">
        <f t="shared" si="13"/>
        <v>3.7257824143070044E-2</v>
      </c>
      <c r="N62" s="111">
        <f t="shared" si="14"/>
        <v>1.4903129657228018E-3</v>
      </c>
      <c r="O62" s="111">
        <f t="shared" si="15"/>
        <v>0</v>
      </c>
      <c r="P62" s="111">
        <f t="shared" si="16"/>
        <v>1</v>
      </c>
    </row>
    <row r="63" spans="1:16">
      <c r="B63" s="55" t="s">
        <v>21</v>
      </c>
      <c r="C63" s="64">
        <v>114</v>
      </c>
      <c r="D63" s="64">
        <v>159</v>
      </c>
      <c r="E63" s="64">
        <v>273</v>
      </c>
      <c r="F63" s="64">
        <v>93</v>
      </c>
      <c r="G63" s="64">
        <v>0</v>
      </c>
      <c r="H63" s="64">
        <v>0</v>
      </c>
      <c r="I63" s="64">
        <v>639</v>
      </c>
      <c r="J63" s="110">
        <f t="shared" si="27"/>
        <v>0.17840375586854459</v>
      </c>
      <c r="K63" s="111">
        <f t="shared" si="11"/>
        <v>0.24882629107981222</v>
      </c>
      <c r="L63" s="111">
        <f t="shared" si="12"/>
        <v>0.42723004694835681</v>
      </c>
      <c r="M63" s="111">
        <f t="shared" si="13"/>
        <v>0.14553990610328638</v>
      </c>
      <c r="N63" s="111">
        <f t="shared" si="14"/>
        <v>0</v>
      </c>
      <c r="O63" s="111">
        <f t="shared" si="15"/>
        <v>0</v>
      </c>
      <c r="P63" s="111">
        <f t="shared" si="16"/>
        <v>1</v>
      </c>
    </row>
    <row r="64" spans="1:16">
      <c r="B64" s="55" t="s">
        <v>22</v>
      </c>
      <c r="C64" s="64">
        <v>272</v>
      </c>
      <c r="D64" s="64">
        <v>266</v>
      </c>
      <c r="E64" s="64">
        <v>452</v>
      </c>
      <c r="F64" s="64">
        <v>124</v>
      </c>
      <c r="G64" s="64">
        <v>0</v>
      </c>
      <c r="H64" s="64">
        <v>0</v>
      </c>
      <c r="I64" s="64">
        <v>1114</v>
      </c>
      <c r="J64" s="110">
        <f t="shared" si="27"/>
        <v>0.24416517055655296</v>
      </c>
      <c r="K64" s="111">
        <f t="shared" si="11"/>
        <v>0.23877917414721722</v>
      </c>
      <c r="L64" s="111">
        <f t="shared" si="12"/>
        <v>0.40574506283662476</v>
      </c>
      <c r="M64" s="111">
        <f t="shared" si="13"/>
        <v>0.11131059245960502</v>
      </c>
      <c r="N64" s="111">
        <f t="shared" si="14"/>
        <v>0</v>
      </c>
      <c r="O64" s="111">
        <f t="shared" si="15"/>
        <v>0</v>
      </c>
      <c r="P64" s="111">
        <f t="shared" si="16"/>
        <v>1</v>
      </c>
    </row>
    <row r="65" spans="1:16">
      <c r="B65" s="55" t="s">
        <v>23</v>
      </c>
      <c r="C65" s="64">
        <v>284</v>
      </c>
      <c r="D65" s="64">
        <v>343</v>
      </c>
      <c r="E65" s="64">
        <v>424</v>
      </c>
      <c r="F65" s="64">
        <v>110</v>
      </c>
      <c r="G65" s="64">
        <v>0</v>
      </c>
      <c r="H65" s="64">
        <v>0</v>
      </c>
      <c r="I65" s="64">
        <v>1161</v>
      </c>
      <c r="J65" s="110">
        <f t="shared" si="27"/>
        <v>0.2446167097329888</v>
      </c>
      <c r="K65" s="111">
        <f t="shared" si="11"/>
        <v>0.29543496985357448</v>
      </c>
      <c r="L65" s="111">
        <f t="shared" si="12"/>
        <v>0.36520241171403961</v>
      </c>
      <c r="M65" s="111">
        <f t="shared" si="13"/>
        <v>9.4745908699397072E-2</v>
      </c>
      <c r="N65" s="111">
        <f t="shared" si="14"/>
        <v>0</v>
      </c>
      <c r="O65" s="111">
        <f t="shared" si="15"/>
        <v>0</v>
      </c>
      <c r="P65" s="111">
        <f t="shared" si="16"/>
        <v>1</v>
      </c>
    </row>
    <row r="66" spans="1:16">
      <c r="B66" s="55" t="s">
        <v>24</v>
      </c>
      <c r="C66" s="64">
        <v>116</v>
      </c>
      <c r="D66" s="64">
        <v>131</v>
      </c>
      <c r="E66" s="64">
        <v>205</v>
      </c>
      <c r="F66" s="64">
        <v>39</v>
      </c>
      <c r="G66" s="64">
        <v>0</v>
      </c>
      <c r="H66" s="64">
        <v>0</v>
      </c>
      <c r="I66" s="64">
        <v>491</v>
      </c>
      <c r="J66" s="110">
        <f t="shared" si="27"/>
        <v>0.23625254582484725</v>
      </c>
      <c r="K66" s="111">
        <f t="shared" si="11"/>
        <v>0.26680244399185338</v>
      </c>
      <c r="L66" s="111">
        <f t="shared" si="12"/>
        <v>0.41751527494908353</v>
      </c>
      <c r="M66" s="111">
        <f t="shared" si="13"/>
        <v>7.9429735234215884E-2</v>
      </c>
      <c r="N66" s="111">
        <f t="shared" si="14"/>
        <v>0</v>
      </c>
      <c r="O66" s="111">
        <f t="shared" si="15"/>
        <v>0</v>
      </c>
      <c r="P66" s="111">
        <f t="shared" si="16"/>
        <v>1</v>
      </c>
    </row>
    <row r="67" spans="1:16" s="63" customFormat="1">
      <c r="B67" s="63" t="s">
        <v>90</v>
      </c>
      <c r="C67" s="65">
        <f t="shared" ref="C67:I67" si="28">SUM(C61:C66)</f>
        <v>1927</v>
      </c>
      <c r="D67" s="65">
        <f t="shared" si="28"/>
        <v>1907</v>
      </c>
      <c r="E67" s="65">
        <f t="shared" si="28"/>
        <v>2171</v>
      </c>
      <c r="F67" s="65">
        <f t="shared" si="28"/>
        <v>506</v>
      </c>
      <c r="G67" s="65">
        <f t="shared" si="28"/>
        <v>62</v>
      </c>
      <c r="H67" s="65">
        <f t="shared" si="28"/>
        <v>0</v>
      </c>
      <c r="I67" s="65">
        <f t="shared" si="28"/>
        <v>6573</v>
      </c>
      <c r="J67" s="551">
        <f t="shared" si="27"/>
        <v>0.29316902479841778</v>
      </c>
      <c r="K67" s="552">
        <f t="shared" si="11"/>
        <v>0.29012627415183323</v>
      </c>
      <c r="L67" s="552">
        <f t="shared" si="12"/>
        <v>0.33029058268674882</v>
      </c>
      <c r="M67" s="552">
        <f t="shared" si="13"/>
        <v>7.6981591358588161E-2</v>
      </c>
      <c r="N67" s="552">
        <f t="shared" si="14"/>
        <v>9.4325270044119877E-3</v>
      </c>
      <c r="O67" s="552">
        <f t="shared" si="15"/>
        <v>0</v>
      </c>
      <c r="P67" s="552">
        <f t="shared" si="16"/>
        <v>1</v>
      </c>
    </row>
    <row r="68" spans="1:16">
      <c r="B68" s="55" t="s">
        <v>25</v>
      </c>
      <c r="C68" s="64">
        <v>181</v>
      </c>
      <c r="D68" s="64">
        <v>311</v>
      </c>
      <c r="E68" s="64">
        <v>530</v>
      </c>
      <c r="F68" s="64">
        <v>182</v>
      </c>
      <c r="G68" s="151">
        <v>0</v>
      </c>
      <c r="H68" s="151">
        <v>0</v>
      </c>
      <c r="I68" s="64">
        <v>1204</v>
      </c>
      <c r="J68" s="110">
        <f t="shared" si="27"/>
        <v>0.15033222591362128</v>
      </c>
      <c r="K68" s="111">
        <f t="shared" si="11"/>
        <v>0.25830564784053156</v>
      </c>
      <c r="L68" s="111">
        <f t="shared" si="12"/>
        <v>0.44019933554817275</v>
      </c>
      <c r="M68" s="111">
        <f t="shared" si="13"/>
        <v>0.15116279069767441</v>
      </c>
      <c r="N68" s="111">
        <f t="shared" si="14"/>
        <v>0</v>
      </c>
      <c r="O68" s="111">
        <f t="shared" si="15"/>
        <v>0</v>
      </c>
      <c r="P68" s="111">
        <f t="shared" si="16"/>
        <v>1</v>
      </c>
    </row>
    <row r="69" spans="1:16">
      <c r="A69" s="187"/>
      <c r="B69" s="187" t="s">
        <v>26</v>
      </c>
      <c r="C69" s="549">
        <v>0</v>
      </c>
      <c r="D69" s="549">
        <v>0</v>
      </c>
      <c r="E69" s="549">
        <v>0</v>
      </c>
      <c r="F69" s="549">
        <v>0</v>
      </c>
      <c r="G69" s="549">
        <v>0</v>
      </c>
      <c r="H69" s="549">
        <v>1655</v>
      </c>
      <c r="I69" s="550">
        <v>1655</v>
      </c>
      <c r="J69" s="117">
        <f t="shared" si="27"/>
        <v>0</v>
      </c>
      <c r="K69" s="118">
        <f t="shared" si="11"/>
        <v>0</v>
      </c>
      <c r="L69" s="118">
        <f t="shared" si="12"/>
        <v>0</v>
      </c>
      <c r="M69" s="118">
        <f t="shared" si="13"/>
        <v>0</v>
      </c>
      <c r="N69" s="118">
        <f t="shared" si="14"/>
        <v>0</v>
      </c>
      <c r="O69" s="118">
        <f t="shared" si="15"/>
        <v>1</v>
      </c>
      <c r="P69" s="118">
        <f t="shared" si="16"/>
        <v>1</v>
      </c>
    </row>
    <row r="70" spans="1:16">
      <c r="A70" s="55" t="s">
        <v>8</v>
      </c>
      <c r="B70" s="55" t="s">
        <v>19</v>
      </c>
      <c r="C70" s="64">
        <v>494</v>
      </c>
      <c r="D70" s="64">
        <v>463</v>
      </c>
      <c r="E70" s="64">
        <v>266</v>
      </c>
      <c r="F70" s="64">
        <v>5</v>
      </c>
      <c r="G70" s="64">
        <v>0</v>
      </c>
      <c r="H70" s="64">
        <v>0</v>
      </c>
      <c r="I70" s="64">
        <v>1228</v>
      </c>
      <c r="J70" s="110">
        <f>+C70/$I70</f>
        <v>0.40228013029315962</v>
      </c>
      <c r="K70" s="122">
        <f t="shared" si="11"/>
        <v>0.37703583061889251</v>
      </c>
      <c r="L70" s="122">
        <f t="shared" si="12"/>
        <v>0.21661237785016288</v>
      </c>
      <c r="M70" s="122">
        <f t="shared" si="13"/>
        <v>4.0716612377850164E-3</v>
      </c>
      <c r="N70" s="122">
        <f t="shared" si="14"/>
        <v>0</v>
      </c>
      <c r="O70" s="122">
        <f t="shared" si="15"/>
        <v>0</v>
      </c>
      <c r="P70" s="122">
        <f t="shared" si="16"/>
        <v>1</v>
      </c>
    </row>
    <row r="71" spans="1:16">
      <c r="B71" s="55" t="s">
        <v>20</v>
      </c>
      <c r="C71" s="64">
        <v>276</v>
      </c>
      <c r="D71" s="64">
        <v>203</v>
      </c>
      <c r="E71" s="64">
        <v>184</v>
      </c>
      <c r="F71" s="64">
        <v>14</v>
      </c>
      <c r="G71" s="64">
        <v>12</v>
      </c>
      <c r="H71" s="64">
        <v>0</v>
      </c>
      <c r="I71" s="64">
        <v>689</v>
      </c>
      <c r="J71" s="110">
        <f t="shared" ref="J71:J78" si="29">+C71/$I71</f>
        <v>0.40058055152394773</v>
      </c>
      <c r="K71" s="111">
        <f t="shared" si="11"/>
        <v>0.2946298984034833</v>
      </c>
      <c r="L71" s="111">
        <f t="shared" si="12"/>
        <v>0.26705370101596515</v>
      </c>
      <c r="M71" s="111">
        <f t="shared" si="13"/>
        <v>2.0319303338171262E-2</v>
      </c>
      <c r="N71" s="111">
        <f t="shared" si="14"/>
        <v>1.741654571843251E-2</v>
      </c>
      <c r="O71" s="111">
        <f t="shared" si="15"/>
        <v>0</v>
      </c>
      <c r="P71" s="111">
        <f t="shared" si="16"/>
        <v>1</v>
      </c>
    </row>
    <row r="72" spans="1:16">
      <c r="B72" s="55" t="s">
        <v>21</v>
      </c>
      <c r="C72" s="64">
        <v>507</v>
      </c>
      <c r="D72" s="64">
        <v>388</v>
      </c>
      <c r="E72" s="64">
        <v>450</v>
      </c>
      <c r="F72" s="64">
        <v>95</v>
      </c>
      <c r="G72" s="64">
        <v>65</v>
      </c>
      <c r="H72" s="64">
        <v>0</v>
      </c>
      <c r="I72" s="64">
        <v>1505</v>
      </c>
      <c r="J72" s="110">
        <f t="shared" si="29"/>
        <v>0.33687707641196013</v>
      </c>
      <c r="K72" s="111">
        <f t="shared" si="11"/>
        <v>0.25780730897009968</v>
      </c>
      <c r="L72" s="111">
        <f t="shared" si="12"/>
        <v>0.29900332225913623</v>
      </c>
      <c r="M72" s="111">
        <f t="shared" si="13"/>
        <v>6.3122923588039864E-2</v>
      </c>
      <c r="N72" s="111">
        <f t="shared" si="14"/>
        <v>4.3189368770764118E-2</v>
      </c>
      <c r="O72" s="111">
        <f t="shared" si="15"/>
        <v>0</v>
      </c>
      <c r="P72" s="111">
        <f t="shared" si="16"/>
        <v>1</v>
      </c>
    </row>
    <row r="73" spans="1:16">
      <c r="B73" s="55" t="s">
        <v>22</v>
      </c>
      <c r="C73" s="64">
        <v>63</v>
      </c>
      <c r="D73" s="64">
        <v>89</v>
      </c>
      <c r="E73" s="64">
        <v>140</v>
      </c>
      <c r="F73" s="64">
        <v>29</v>
      </c>
      <c r="G73" s="64">
        <v>0</v>
      </c>
      <c r="H73" s="64">
        <v>0</v>
      </c>
      <c r="I73" s="64">
        <v>321</v>
      </c>
      <c r="J73" s="110">
        <f t="shared" si="29"/>
        <v>0.19626168224299065</v>
      </c>
      <c r="K73" s="111">
        <f t="shared" si="11"/>
        <v>0.27725856697819312</v>
      </c>
      <c r="L73" s="111">
        <f t="shared" si="12"/>
        <v>0.43613707165109034</v>
      </c>
      <c r="M73" s="111">
        <f t="shared" si="13"/>
        <v>9.0342679127725853E-2</v>
      </c>
      <c r="N73" s="111">
        <f t="shared" si="14"/>
        <v>0</v>
      </c>
      <c r="O73" s="111">
        <f t="shared" si="15"/>
        <v>0</v>
      </c>
      <c r="P73" s="111">
        <f t="shared" si="16"/>
        <v>1</v>
      </c>
    </row>
    <row r="74" spans="1:16">
      <c r="B74" s="55" t="s">
        <v>23</v>
      </c>
      <c r="C74" s="64">
        <v>113</v>
      </c>
      <c r="D74" s="64">
        <v>113</v>
      </c>
      <c r="E74" s="64">
        <v>80</v>
      </c>
      <c r="F74" s="64">
        <v>4</v>
      </c>
      <c r="G74" s="64">
        <v>84</v>
      </c>
      <c r="H74" s="64">
        <v>0</v>
      </c>
      <c r="I74" s="64">
        <v>394</v>
      </c>
      <c r="J74" s="110">
        <f t="shared" si="29"/>
        <v>0.28680203045685282</v>
      </c>
      <c r="K74" s="111">
        <f t="shared" si="11"/>
        <v>0.28680203045685282</v>
      </c>
      <c r="L74" s="111">
        <f t="shared" si="12"/>
        <v>0.20304568527918782</v>
      </c>
      <c r="M74" s="111">
        <f t="shared" si="13"/>
        <v>1.015228426395939E-2</v>
      </c>
      <c r="N74" s="111">
        <f t="shared" si="14"/>
        <v>0.21319796954314721</v>
      </c>
      <c r="O74" s="111">
        <f t="shared" si="15"/>
        <v>0</v>
      </c>
      <c r="P74" s="111">
        <f t="shared" si="16"/>
        <v>1</v>
      </c>
    </row>
    <row r="75" spans="1:16">
      <c r="B75" s="55" t="s">
        <v>24</v>
      </c>
      <c r="C75" s="64">
        <v>32</v>
      </c>
      <c r="D75" s="64">
        <v>37</v>
      </c>
      <c r="E75" s="64">
        <v>44</v>
      </c>
      <c r="F75" s="64">
        <v>7</v>
      </c>
      <c r="G75" s="64">
        <v>5</v>
      </c>
      <c r="H75" s="64">
        <v>0</v>
      </c>
      <c r="I75" s="64">
        <v>125</v>
      </c>
      <c r="J75" s="110">
        <f t="shared" si="29"/>
        <v>0.25600000000000001</v>
      </c>
      <c r="K75" s="111">
        <f t="shared" si="11"/>
        <v>0.29599999999999999</v>
      </c>
      <c r="L75" s="111">
        <f t="shared" si="12"/>
        <v>0.35199999999999998</v>
      </c>
      <c r="M75" s="111">
        <f t="shared" si="13"/>
        <v>5.6000000000000001E-2</v>
      </c>
      <c r="N75" s="111">
        <f t="shared" si="14"/>
        <v>0.04</v>
      </c>
      <c r="O75" s="111">
        <f t="shared" si="15"/>
        <v>0</v>
      </c>
      <c r="P75" s="111">
        <f t="shared" si="16"/>
        <v>1</v>
      </c>
    </row>
    <row r="76" spans="1:16" s="63" customFormat="1">
      <c r="B76" s="63" t="s">
        <v>90</v>
      </c>
      <c r="C76" s="65">
        <f t="shared" ref="C76:I76" si="30">SUM(C70:C75)</f>
        <v>1485</v>
      </c>
      <c r="D76" s="65">
        <f t="shared" si="30"/>
        <v>1293</v>
      </c>
      <c r="E76" s="65">
        <f t="shared" si="30"/>
        <v>1164</v>
      </c>
      <c r="F76" s="65">
        <f t="shared" si="30"/>
        <v>154</v>
      </c>
      <c r="G76" s="65">
        <f t="shared" si="30"/>
        <v>166</v>
      </c>
      <c r="H76" s="65">
        <f t="shared" si="30"/>
        <v>0</v>
      </c>
      <c r="I76" s="65">
        <f t="shared" si="30"/>
        <v>4262</v>
      </c>
      <c r="J76" s="551">
        <f t="shared" si="29"/>
        <v>0.34842796809009857</v>
      </c>
      <c r="K76" s="552">
        <f t="shared" si="11"/>
        <v>0.30337869544814638</v>
      </c>
      <c r="L76" s="552">
        <f t="shared" si="12"/>
        <v>0.27311121539183481</v>
      </c>
      <c r="M76" s="552">
        <f t="shared" si="13"/>
        <v>3.6133270764899111E-2</v>
      </c>
      <c r="N76" s="552">
        <f t="shared" si="14"/>
        <v>3.894885030502112E-2</v>
      </c>
      <c r="O76" s="552">
        <f t="shared" si="15"/>
        <v>0</v>
      </c>
      <c r="P76" s="552">
        <f t="shared" si="16"/>
        <v>1</v>
      </c>
    </row>
    <row r="77" spans="1:16">
      <c r="B77" s="55" t="s">
        <v>25</v>
      </c>
      <c r="C77" s="64">
        <v>217</v>
      </c>
      <c r="D77" s="64">
        <v>465</v>
      </c>
      <c r="E77" s="64">
        <v>134</v>
      </c>
      <c r="F77" s="64">
        <v>11</v>
      </c>
      <c r="G77" s="151">
        <v>0</v>
      </c>
      <c r="H77" s="151">
        <v>0</v>
      </c>
      <c r="I77" s="64">
        <v>1003</v>
      </c>
      <c r="J77" s="110">
        <f t="shared" si="29"/>
        <v>0.21635094715852443</v>
      </c>
      <c r="K77" s="111">
        <f t="shared" si="11"/>
        <v>0.46360917248255235</v>
      </c>
      <c r="L77" s="111">
        <f t="shared" si="12"/>
        <v>0.13359920239282153</v>
      </c>
      <c r="M77" s="111">
        <f t="shared" si="13"/>
        <v>1.0967098703888335E-2</v>
      </c>
      <c r="N77" s="111">
        <f t="shared" si="14"/>
        <v>0</v>
      </c>
      <c r="O77" s="111">
        <f t="shared" si="15"/>
        <v>0</v>
      </c>
      <c r="P77" s="111">
        <f t="shared" si="16"/>
        <v>1</v>
      </c>
    </row>
    <row r="78" spans="1:16">
      <c r="A78" s="187"/>
      <c r="B78" s="187" t="s">
        <v>26</v>
      </c>
      <c r="C78" s="549">
        <v>0</v>
      </c>
      <c r="D78" s="549">
        <v>0</v>
      </c>
      <c r="E78" s="549">
        <v>0</v>
      </c>
      <c r="F78" s="549">
        <v>0</v>
      </c>
      <c r="G78" s="549">
        <v>0</v>
      </c>
      <c r="H78" s="549">
        <v>0</v>
      </c>
      <c r="I78" s="550">
        <v>0</v>
      </c>
      <c r="J78" s="117" t="e">
        <f t="shared" si="29"/>
        <v>#DIV/0!</v>
      </c>
      <c r="K78" s="118" t="e">
        <f t="shared" si="11"/>
        <v>#DIV/0!</v>
      </c>
      <c r="L78" s="118" t="e">
        <f t="shared" si="12"/>
        <v>#DIV/0!</v>
      </c>
      <c r="M78" s="118" t="e">
        <f t="shared" si="13"/>
        <v>#DIV/0!</v>
      </c>
      <c r="N78" s="118" t="e">
        <f t="shared" si="14"/>
        <v>#DIV/0!</v>
      </c>
      <c r="O78" s="118" t="e">
        <f t="shared" si="15"/>
        <v>#DIV/0!</v>
      </c>
      <c r="P78" s="118" t="e">
        <f t="shared" si="16"/>
        <v>#DIV/0!</v>
      </c>
    </row>
    <row r="79" spans="1:16">
      <c r="A79" s="55" t="s">
        <v>9</v>
      </c>
      <c r="B79" s="55" t="s">
        <v>19</v>
      </c>
      <c r="C79" s="64">
        <v>434</v>
      </c>
      <c r="D79" s="64">
        <v>303</v>
      </c>
      <c r="E79" s="64">
        <v>244</v>
      </c>
      <c r="F79" s="64">
        <v>255</v>
      </c>
      <c r="G79" s="64">
        <v>0</v>
      </c>
      <c r="H79" s="64">
        <v>0</v>
      </c>
      <c r="I79" s="64">
        <v>1236</v>
      </c>
      <c r="J79" s="110">
        <f>+C79/$I79</f>
        <v>0.35113268608414239</v>
      </c>
      <c r="K79" s="122">
        <f t="shared" si="11"/>
        <v>0.24514563106796117</v>
      </c>
      <c r="L79" s="122">
        <f t="shared" si="12"/>
        <v>0.19741100323624594</v>
      </c>
      <c r="M79" s="122">
        <f t="shared" si="13"/>
        <v>0.20631067961165048</v>
      </c>
      <c r="N79" s="122">
        <f t="shared" si="14"/>
        <v>0</v>
      </c>
      <c r="O79" s="122">
        <f t="shared" si="15"/>
        <v>0</v>
      </c>
      <c r="P79" s="122">
        <f t="shared" si="16"/>
        <v>1</v>
      </c>
    </row>
    <row r="80" spans="1:16">
      <c r="B80" s="55" t="s">
        <v>20</v>
      </c>
      <c r="C80" s="64">
        <v>366</v>
      </c>
      <c r="D80" s="64">
        <v>265</v>
      </c>
      <c r="E80" s="64">
        <v>213</v>
      </c>
      <c r="F80" s="64">
        <v>192</v>
      </c>
      <c r="G80" s="64">
        <v>0</v>
      </c>
      <c r="H80" s="64">
        <v>0</v>
      </c>
      <c r="I80" s="64">
        <v>1036</v>
      </c>
      <c r="J80" s="110">
        <f t="shared" ref="J80:J87" si="31">+C80/$I80</f>
        <v>0.3532818532818533</v>
      </c>
      <c r="K80" s="111">
        <f t="shared" si="11"/>
        <v>0.25579150579150578</v>
      </c>
      <c r="L80" s="111">
        <f t="shared" si="12"/>
        <v>0.2055984555984556</v>
      </c>
      <c r="M80" s="111">
        <f t="shared" si="13"/>
        <v>0.18532818532818532</v>
      </c>
      <c r="N80" s="111">
        <f t="shared" si="14"/>
        <v>0</v>
      </c>
      <c r="O80" s="111">
        <f t="shared" si="15"/>
        <v>0</v>
      </c>
      <c r="P80" s="111">
        <f t="shared" si="16"/>
        <v>1</v>
      </c>
    </row>
    <row r="81" spans="1:16">
      <c r="B81" s="55" t="s">
        <v>21</v>
      </c>
      <c r="C81" s="64">
        <v>304</v>
      </c>
      <c r="D81" s="64">
        <v>288</v>
      </c>
      <c r="E81" s="64">
        <v>481</v>
      </c>
      <c r="F81" s="64">
        <v>236</v>
      </c>
      <c r="G81" s="64">
        <v>0</v>
      </c>
      <c r="H81" s="64">
        <v>0</v>
      </c>
      <c r="I81" s="64">
        <v>1309</v>
      </c>
      <c r="J81" s="110">
        <f t="shared" si="31"/>
        <v>0.2322383498854087</v>
      </c>
      <c r="K81" s="111">
        <f t="shared" ref="K81:K144" si="32">+D81/$I81</f>
        <v>0.22001527883880825</v>
      </c>
      <c r="L81" s="111">
        <f t="shared" ref="L81:L144" si="33">+E81/$I81</f>
        <v>0.36745607333842628</v>
      </c>
      <c r="M81" s="111">
        <f t="shared" ref="M81:M144" si="34">+F81/$I81</f>
        <v>0.18029029793735676</v>
      </c>
      <c r="N81" s="111">
        <f t="shared" ref="N81:N144" si="35">+G81/$I81</f>
        <v>0</v>
      </c>
      <c r="O81" s="111">
        <f t="shared" ref="O81:O144" si="36">+H81/$I81</f>
        <v>0</v>
      </c>
      <c r="P81" s="111">
        <f t="shared" ref="P81:P144" si="37">+I81/$I81</f>
        <v>1</v>
      </c>
    </row>
    <row r="82" spans="1:16">
      <c r="B82" s="55" t="s">
        <v>22</v>
      </c>
      <c r="C82" s="64">
        <v>285</v>
      </c>
      <c r="D82" s="64">
        <v>273</v>
      </c>
      <c r="E82" s="64">
        <v>443</v>
      </c>
      <c r="F82" s="64">
        <v>272</v>
      </c>
      <c r="G82" s="64">
        <v>0</v>
      </c>
      <c r="H82" s="64">
        <v>0</v>
      </c>
      <c r="I82" s="64">
        <v>1273</v>
      </c>
      <c r="J82" s="110">
        <f t="shared" si="31"/>
        <v>0.22388059701492538</v>
      </c>
      <c r="K82" s="111">
        <f t="shared" si="32"/>
        <v>0.21445404556166536</v>
      </c>
      <c r="L82" s="111">
        <f t="shared" si="33"/>
        <v>0.34799685781618223</v>
      </c>
      <c r="M82" s="111">
        <f t="shared" si="34"/>
        <v>0.21366849960722703</v>
      </c>
      <c r="N82" s="111">
        <f t="shared" si="35"/>
        <v>0</v>
      </c>
      <c r="O82" s="111">
        <f t="shared" si="36"/>
        <v>0</v>
      </c>
      <c r="P82" s="111">
        <f t="shared" si="37"/>
        <v>1</v>
      </c>
    </row>
    <row r="83" spans="1:16">
      <c r="B83" s="55" t="s">
        <v>23</v>
      </c>
      <c r="C83" s="64">
        <v>134</v>
      </c>
      <c r="D83" s="64">
        <v>122</v>
      </c>
      <c r="E83" s="64">
        <v>191</v>
      </c>
      <c r="F83" s="64">
        <v>79</v>
      </c>
      <c r="G83" s="64">
        <v>0</v>
      </c>
      <c r="H83" s="64">
        <v>0</v>
      </c>
      <c r="I83" s="64">
        <v>526</v>
      </c>
      <c r="J83" s="110">
        <f t="shared" si="31"/>
        <v>0.25475285171102663</v>
      </c>
      <c r="K83" s="111">
        <f t="shared" si="32"/>
        <v>0.23193916349809887</v>
      </c>
      <c r="L83" s="111">
        <f t="shared" si="33"/>
        <v>0.36311787072243346</v>
      </c>
      <c r="M83" s="111">
        <f t="shared" si="34"/>
        <v>0.15019011406844107</v>
      </c>
      <c r="N83" s="111">
        <f t="shared" si="35"/>
        <v>0</v>
      </c>
      <c r="O83" s="111">
        <f t="shared" si="36"/>
        <v>0</v>
      </c>
      <c r="P83" s="111">
        <f t="shared" si="37"/>
        <v>1</v>
      </c>
    </row>
    <row r="84" spans="1:16">
      <c r="B84" s="55" t="s">
        <v>24</v>
      </c>
      <c r="C84" s="64">
        <v>0</v>
      </c>
      <c r="D84" s="64">
        <v>0</v>
      </c>
      <c r="E84" s="64">
        <v>0</v>
      </c>
      <c r="F84" s="64">
        <v>0</v>
      </c>
      <c r="G84" s="64">
        <v>0</v>
      </c>
      <c r="H84" s="64">
        <v>0</v>
      </c>
      <c r="I84" s="64">
        <v>0</v>
      </c>
      <c r="J84" s="110" t="e">
        <f t="shared" si="31"/>
        <v>#DIV/0!</v>
      </c>
      <c r="K84" s="111" t="e">
        <f t="shared" si="32"/>
        <v>#DIV/0!</v>
      </c>
      <c r="L84" s="111" t="e">
        <f t="shared" si="33"/>
        <v>#DIV/0!</v>
      </c>
      <c r="M84" s="111" t="e">
        <f t="shared" si="34"/>
        <v>#DIV/0!</v>
      </c>
      <c r="N84" s="111" t="e">
        <f t="shared" si="35"/>
        <v>#DIV/0!</v>
      </c>
      <c r="O84" s="111" t="e">
        <f t="shared" si="36"/>
        <v>#DIV/0!</v>
      </c>
      <c r="P84" s="111" t="e">
        <f t="shared" si="37"/>
        <v>#DIV/0!</v>
      </c>
    </row>
    <row r="85" spans="1:16" s="63" customFormat="1">
      <c r="B85" s="63" t="s">
        <v>90</v>
      </c>
      <c r="C85" s="65">
        <f t="shared" ref="C85:I85" si="38">SUM(C79:C84)</f>
        <v>1523</v>
      </c>
      <c r="D85" s="65">
        <f t="shared" si="38"/>
        <v>1251</v>
      </c>
      <c r="E85" s="65">
        <f t="shared" si="38"/>
        <v>1572</v>
      </c>
      <c r="F85" s="65">
        <f t="shared" si="38"/>
        <v>1034</v>
      </c>
      <c r="G85" s="65">
        <f t="shared" si="38"/>
        <v>0</v>
      </c>
      <c r="H85" s="65">
        <f t="shared" si="38"/>
        <v>0</v>
      </c>
      <c r="I85" s="65">
        <f t="shared" si="38"/>
        <v>5380</v>
      </c>
      <c r="J85" s="551">
        <f t="shared" si="31"/>
        <v>0.28308550185873604</v>
      </c>
      <c r="K85" s="552">
        <f t="shared" si="32"/>
        <v>0.2325278810408922</v>
      </c>
      <c r="L85" s="552">
        <f t="shared" si="33"/>
        <v>0.29219330855018588</v>
      </c>
      <c r="M85" s="552">
        <f t="shared" si="34"/>
        <v>0.19219330855018588</v>
      </c>
      <c r="N85" s="552">
        <f t="shared" si="35"/>
        <v>0</v>
      </c>
      <c r="O85" s="552">
        <f t="shared" si="36"/>
        <v>0</v>
      </c>
      <c r="P85" s="552">
        <f t="shared" si="37"/>
        <v>1</v>
      </c>
    </row>
    <row r="86" spans="1:16">
      <c r="B86" s="55" t="s">
        <v>25</v>
      </c>
      <c r="C86" s="64">
        <v>63</v>
      </c>
      <c r="D86" s="64">
        <v>163</v>
      </c>
      <c r="E86" s="64">
        <v>218</v>
      </c>
      <c r="F86" s="64">
        <v>253</v>
      </c>
      <c r="G86" s="151">
        <v>0</v>
      </c>
      <c r="H86" s="151">
        <v>0</v>
      </c>
      <c r="I86" s="64">
        <v>697</v>
      </c>
      <c r="J86" s="110">
        <f t="shared" si="31"/>
        <v>9.0387374461979919E-2</v>
      </c>
      <c r="K86" s="111">
        <f t="shared" si="32"/>
        <v>0.23385939741750358</v>
      </c>
      <c r="L86" s="111">
        <f t="shared" si="33"/>
        <v>0.31276901004304158</v>
      </c>
      <c r="M86" s="111">
        <f t="shared" si="34"/>
        <v>0.36298421807747488</v>
      </c>
      <c r="N86" s="111">
        <f t="shared" si="35"/>
        <v>0</v>
      </c>
      <c r="O86" s="111">
        <f t="shared" si="36"/>
        <v>0</v>
      </c>
      <c r="P86" s="111">
        <f t="shared" si="37"/>
        <v>1</v>
      </c>
    </row>
    <row r="87" spans="1:16">
      <c r="A87" s="187"/>
      <c r="B87" s="187" t="s">
        <v>26</v>
      </c>
      <c r="C87" s="549">
        <v>0</v>
      </c>
      <c r="D87" s="549">
        <v>0</v>
      </c>
      <c r="E87" s="549">
        <v>0</v>
      </c>
      <c r="F87" s="549">
        <v>0</v>
      </c>
      <c r="G87" s="549">
        <v>0</v>
      </c>
      <c r="H87" s="549">
        <v>0</v>
      </c>
      <c r="I87" s="550">
        <v>0</v>
      </c>
      <c r="J87" s="117" t="e">
        <f t="shared" si="31"/>
        <v>#DIV/0!</v>
      </c>
      <c r="K87" s="118" t="e">
        <f t="shared" si="32"/>
        <v>#DIV/0!</v>
      </c>
      <c r="L87" s="118" t="e">
        <f t="shared" si="33"/>
        <v>#DIV/0!</v>
      </c>
      <c r="M87" s="118" t="e">
        <f t="shared" si="34"/>
        <v>#DIV/0!</v>
      </c>
      <c r="N87" s="118" t="e">
        <f t="shared" si="35"/>
        <v>#DIV/0!</v>
      </c>
      <c r="O87" s="118" t="e">
        <f t="shared" si="36"/>
        <v>#DIV/0!</v>
      </c>
      <c r="P87" s="118" t="e">
        <f t="shared" si="37"/>
        <v>#DIV/0!</v>
      </c>
    </row>
    <row r="88" spans="1:16">
      <c r="A88" s="55" t="s">
        <v>10</v>
      </c>
      <c r="B88" s="55" t="s">
        <v>19</v>
      </c>
      <c r="C88" s="64">
        <v>574</v>
      </c>
      <c r="D88" s="64">
        <v>373</v>
      </c>
      <c r="E88" s="64">
        <v>224</v>
      </c>
      <c r="F88" s="64">
        <v>42</v>
      </c>
      <c r="G88" s="64">
        <v>107</v>
      </c>
      <c r="H88" s="64">
        <v>0</v>
      </c>
      <c r="I88" s="64">
        <v>1320</v>
      </c>
      <c r="J88" s="110">
        <f>+C88/$I88</f>
        <v>0.43484848484848487</v>
      </c>
      <c r="K88" s="122">
        <f t="shared" si="32"/>
        <v>0.28257575757575759</v>
      </c>
      <c r="L88" s="122">
        <f t="shared" si="33"/>
        <v>0.16969696969696971</v>
      </c>
      <c r="M88" s="122">
        <f t="shared" si="34"/>
        <v>3.1818181818181815E-2</v>
      </c>
      <c r="N88" s="122">
        <f t="shared" si="35"/>
        <v>8.1060606060606055E-2</v>
      </c>
      <c r="O88" s="122">
        <f t="shared" si="36"/>
        <v>0</v>
      </c>
      <c r="P88" s="122">
        <f t="shared" si="37"/>
        <v>1</v>
      </c>
    </row>
    <row r="89" spans="1:16">
      <c r="B89" s="55" t="s">
        <v>20</v>
      </c>
      <c r="C89" s="64">
        <v>118</v>
      </c>
      <c r="D89" s="64">
        <v>134</v>
      </c>
      <c r="E89" s="64">
        <v>94</v>
      </c>
      <c r="F89" s="64">
        <v>24</v>
      </c>
      <c r="G89" s="64">
        <v>31</v>
      </c>
      <c r="H89" s="64">
        <v>0</v>
      </c>
      <c r="I89" s="64">
        <v>401</v>
      </c>
      <c r="J89" s="110">
        <f t="shared" ref="J89:J96" si="39">+C89/$I89</f>
        <v>0.29426433915211969</v>
      </c>
      <c r="K89" s="111">
        <f t="shared" si="32"/>
        <v>0.33416458852867831</v>
      </c>
      <c r="L89" s="111">
        <f t="shared" si="33"/>
        <v>0.23441396508728179</v>
      </c>
      <c r="M89" s="111">
        <f t="shared" si="34"/>
        <v>5.9850374064837904E-2</v>
      </c>
      <c r="N89" s="111">
        <f t="shared" si="35"/>
        <v>7.7306733167082295E-2</v>
      </c>
      <c r="O89" s="111">
        <f t="shared" si="36"/>
        <v>0</v>
      </c>
      <c r="P89" s="111">
        <f t="shared" si="37"/>
        <v>1</v>
      </c>
    </row>
    <row r="90" spans="1:16">
      <c r="B90" s="55" t="s">
        <v>21</v>
      </c>
      <c r="C90" s="64">
        <v>166</v>
      </c>
      <c r="D90" s="64">
        <v>125</v>
      </c>
      <c r="E90" s="64">
        <v>151</v>
      </c>
      <c r="F90" s="64">
        <v>16</v>
      </c>
      <c r="G90" s="64">
        <v>0</v>
      </c>
      <c r="H90" s="64">
        <v>0</v>
      </c>
      <c r="I90" s="64">
        <v>458</v>
      </c>
      <c r="J90" s="110">
        <f t="shared" si="39"/>
        <v>0.36244541484716158</v>
      </c>
      <c r="K90" s="111">
        <f t="shared" si="32"/>
        <v>0.27292576419213976</v>
      </c>
      <c r="L90" s="111">
        <f t="shared" si="33"/>
        <v>0.3296943231441048</v>
      </c>
      <c r="M90" s="111">
        <f t="shared" si="34"/>
        <v>3.4934497816593885E-2</v>
      </c>
      <c r="N90" s="111">
        <f t="shared" si="35"/>
        <v>0</v>
      </c>
      <c r="O90" s="111">
        <f t="shared" si="36"/>
        <v>0</v>
      </c>
      <c r="P90" s="111">
        <f t="shared" si="37"/>
        <v>1</v>
      </c>
    </row>
    <row r="91" spans="1:16">
      <c r="B91" s="55" t="s">
        <v>22</v>
      </c>
      <c r="C91" s="64">
        <v>264</v>
      </c>
      <c r="D91" s="64">
        <v>306</v>
      </c>
      <c r="E91" s="64">
        <v>345</v>
      </c>
      <c r="F91" s="64">
        <v>63</v>
      </c>
      <c r="G91" s="64">
        <v>155</v>
      </c>
      <c r="H91" s="64">
        <v>0</v>
      </c>
      <c r="I91" s="64">
        <v>1133</v>
      </c>
      <c r="J91" s="110">
        <f t="shared" si="39"/>
        <v>0.23300970873786409</v>
      </c>
      <c r="K91" s="111">
        <f t="shared" si="32"/>
        <v>0.27007943512797883</v>
      </c>
      <c r="L91" s="111">
        <f t="shared" si="33"/>
        <v>0.30450132391879964</v>
      </c>
      <c r="M91" s="111">
        <f t="shared" si="34"/>
        <v>5.5604589585172108E-2</v>
      </c>
      <c r="N91" s="111">
        <f t="shared" si="35"/>
        <v>0.13680494263018536</v>
      </c>
      <c r="O91" s="111">
        <f t="shared" si="36"/>
        <v>0</v>
      </c>
      <c r="P91" s="111">
        <f t="shared" si="37"/>
        <v>1</v>
      </c>
    </row>
    <row r="92" spans="1:16">
      <c r="B92" s="55" t="s">
        <v>23</v>
      </c>
      <c r="C92" s="64">
        <v>26</v>
      </c>
      <c r="D92" s="64">
        <v>29</v>
      </c>
      <c r="E92" s="64">
        <v>40</v>
      </c>
      <c r="F92" s="64">
        <v>15</v>
      </c>
      <c r="G92" s="64">
        <v>0</v>
      </c>
      <c r="H92" s="64">
        <v>0</v>
      </c>
      <c r="I92" s="64">
        <v>110</v>
      </c>
      <c r="J92" s="110">
        <f t="shared" si="39"/>
        <v>0.23636363636363636</v>
      </c>
      <c r="K92" s="111">
        <f t="shared" si="32"/>
        <v>0.26363636363636361</v>
      </c>
      <c r="L92" s="111">
        <f t="shared" si="33"/>
        <v>0.36363636363636365</v>
      </c>
      <c r="M92" s="111">
        <f t="shared" si="34"/>
        <v>0.13636363636363635</v>
      </c>
      <c r="N92" s="111">
        <f t="shared" si="35"/>
        <v>0</v>
      </c>
      <c r="O92" s="111">
        <f t="shared" si="36"/>
        <v>0</v>
      </c>
      <c r="P92" s="111">
        <f t="shared" si="37"/>
        <v>1</v>
      </c>
    </row>
    <row r="93" spans="1:16">
      <c r="B93" s="55" t="s">
        <v>24</v>
      </c>
      <c r="C93" s="64">
        <v>33</v>
      </c>
      <c r="D93" s="64">
        <v>31</v>
      </c>
      <c r="E93" s="64">
        <v>44</v>
      </c>
      <c r="F93" s="64">
        <v>3</v>
      </c>
      <c r="G93" s="64">
        <v>0</v>
      </c>
      <c r="H93" s="64">
        <v>0</v>
      </c>
      <c r="I93" s="64">
        <v>111</v>
      </c>
      <c r="J93" s="110">
        <f t="shared" si="39"/>
        <v>0.29729729729729731</v>
      </c>
      <c r="K93" s="111">
        <f t="shared" si="32"/>
        <v>0.27927927927927926</v>
      </c>
      <c r="L93" s="111">
        <f t="shared" si="33"/>
        <v>0.3963963963963964</v>
      </c>
      <c r="M93" s="111">
        <f t="shared" si="34"/>
        <v>2.7027027027027029E-2</v>
      </c>
      <c r="N93" s="111">
        <f t="shared" si="35"/>
        <v>0</v>
      </c>
      <c r="O93" s="111">
        <f t="shared" si="36"/>
        <v>0</v>
      </c>
      <c r="P93" s="111">
        <f t="shared" si="37"/>
        <v>1</v>
      </c>
    </row>
    <row r="94" spans="1:16" s="63" customFormat="1">
      <c r="B94" s="63" t="s">
        <v>90</v>
      </c>
      <c r="C94" s="65">
        <f t="shared" ref="C94:I94" si="40">SUM(C88:C93)</f>
        <v>1181</v>
      </c>
      <c r="D94" s="65">
        <f t="shared" si="40"/>
        <v>998</v>
      </c>
      <c r="E94" s="65">
        <f t="shared" si="40"/>
        <v>898</v>
      </c>
      <c r="F94" s="65">
        <f t="shared" si="40"/>
        <v>163</v>
      </c>
      <c r="G94" s="65">
        <f t="shared" si="40"/>
        <v>293</v>
      </c>
      <c r="H94" s="65">
        <f t="shared" si="40"/>
        <v>0</v>
      </c>
      <c r="I94" s="65">
        <f t="shared" si="40"/>
        <v>3533</v>
      </c>
      <c r="J94" s="551">
        <f t="shared" si="39"/>
        <v>0.3342768185677894</v>
      </c>
      <c r="K94" s="552">
        <f t="shared" si="32"/>
        <v>0.28247947919615057</v>
      </c>
      <c r="L94" s="552">
        <f t="shared" si="33"/>
        <v>0.25417492216246818</v>
      </c>
      <c r="M94" s="552">
        <f t="shared" si="34"/>
        <v>4.6136427964902346E-2</v>
      </c>
      <c r="N94" s="552">
        <f t="shared" si="35"/>
        <v>8.2932352108689503E-2</v>
      </c>
      <c r="O94" s="552">
        <f t="shared" si="36"/>
        <v>0</v>
      </c>
      <c r="P94" s="552">
        <f t="shared" si="37"/>
        <v>1</v>
      </c>
    </row>
    <row r="95" spans="1:16">
      <c r="B95" s="55" t="s">
        <v>25</v>
      </c>
      <c r="C95" s="64">
        <v>665</v>
      </c>
      <c r="D95" s="64">
        <v>428</v>
      </c>
      <c r="E95" s="64">
        <v>368</v>
      </c>
      <c r="F95" s="64">
        <v>99</v>
      </c>
      <c r="G95" s="151">
        <v>6</v>
      </c>
      <c r="H95" s="151">
        <v>0</v>
      </c>
      <c r="I95" s="64">
        <v>1566</v>
      </c>
      <c r="J95" s="110">
        <f t="shared" si="39"/>
        <v>0.42464878671775225</v>
      </c>
      <c r="K95" s="111">
        <f t="shared" si="32"/>
        <v>0.27330779054916987</v>
      </c>
      <c r="L95" s="111">
        <f t="shared" si="33"/>
        <v>0.23499361430395913</v>
      </c>
      <c r="M95" s="111">
        <f t="shared" si="34"/>
        <v>6.3218390804597707E-2</v>
      </c>
      <c r="N95" s="111">
        <f t="shared" si="35"/>
        <v>3.8314176245210726E-3</v>
      </c>
      <c r="O95" s="111">
        <f t="shared" si="36"/>
        <v>0</v>
      </c>
      <c r="P95" s="111">
        <f t="shared" si="37"/>
        <v>1</v>
      </c>
    </row>
    <row r="96" spans="1:16">
      <c r="A96" s="187"/>
      <c r="B96" s="187" t="s">
        <v>26</v>
      </c>
      <c r="C96" s="549">
        <v>0</v>
      </c>
      <c r="D96" s="549">
        <v>0</v>
      </c>
      <c r="E96" s="549">
        <v>0</v>
      </c>
      <c r="F96" s="549">
        <v>0</v>
      </c>
      <c r="G96" s="549">
        <v>0</v>
      </c>
      <c r="H96" s="549">
        <v>0</v>
      </c>
      <c r="I96" s="550">
        <v>0</v>
      </c>
      <c r="J96" s="117" t="e">
        <f t="shared" si="39"/>
        <v>#DIV/0!</v>
      </c>
      <c r="K96" s="118" t="e">
        <f t="shared" si="32"/>
        <v>#DIV/0!</v>
      </c>
      <c r="L96" s="118" t="e">
        <f t="shared" si="33"/>
        <v>#DIV/0!</v>
      </c>
      <c r="M96" s="118" t="e">
        <f t="shared" si="34"/>
        <v>#DIV/0!</v>
      </c>
      <c r="N96" s="118" t="e">
        <f t="shared" si="35"/>
        <v>#DIV/0!</v>
      </c>
      <c r="O96" s="118" t="e">
        <f t="shared" si="36"/>
        <v>#DIV/0!</v>
      </c>
      <c r="P96" s="118" t="e">
        <f t="shared" si="37"/>
        <v>#DIV/0!</v>
      </c>
    </row>
    <row r="97" spans="1:16">
      <c r="A97" s="55" t="s">
        <v>11</v>
      </c>
      <c r="B97" s="55" t="s">
        <v>19</v>
      </c>
      <c r="C97" s="64">
        <v>304</v>
      </c>
      <c r="D97" s="64">
        <v>210</v>
      </c>
      <c r="E97" s="64">
        <v>206</v>
      </c>
      <c r="F97" s="64">
        <v>58</v>
      </c>
      <c r="G97" s="64">
        <v>70</v>
      </c>
      <c r="H97" s="64">
        <v>0</v>
      </c>
      <c r="I97" s="64">
        <v>848</v>
      </c>
      <c r="J97" s="110">
        <f>+C97/$I97</f>
        <v>0.35849056603773582</v>
      </c>
      <c r="K97" s="122">
        <f t="shared" si="32"/>
        <v>0.24764150943396226</v>
      </c>
      <c r="L97" s="122">
        <f t="shared" si="33"/>
        <v>0.24292452830188679</v>
      </c>
      <c r="M97" s="122">
        <f t="shared" si="34"/>
        <v>6.8396226415094338E-2</v>
      </c>
      <c r="N97" s="122">
        <f t="shared" si="35"/>
        <v>8.254716981132075E-2</v>
      </c>
      <c r="O97" s="122">
        <f t="shared" si="36"/>
        <v>0</v>
      </c>
      <c r="P97" s="122">
        <f t="shared" si="37"/>
        <v>1</v>
      </c>
    </row>
    <row r="98" spans="1:16">
      <c r="B98" s="55" t="s">
        <v>20</v>
      </c>
      <c r="C98" s="64">
        <v>340</v>
      </c>
      <c r="D98" s="64">
        <v>315</v>
      </c>
      <c r="E98" s="64">
        <v>314</v>
      </c>
      <c r="F98" s="64">
        <v>120</v>
      </c>
      <c r="G98" s="64">
        <v>0</v>
      </c>
      <c r="H98" s="64">
        <v>0</v>
      </c>
      <c r="I98" s="64">
        <v>1089</v>
      </c>
      <c r="J98" s="110">
        <f t="shared" ref="J98:J105" si="41">+C98/$I98</f>
        <v>0.31221303948576679</v>
      </c>
      <c r="K98" s="111">
        <f t="shared" si="32"/>
        <v>0.28925619834710742</v>
      </c>
      <c r="L98" s="111">
        <f t="shared" si="33"/>
        <v>0.28833792470156105</v>
      </c>
      <c r="M98" s="111">
        <f t="shared" si="34"/>
        <v>0.11019283746556474</v>
      </c>
      <c r="N98" s="111">
        <f t="shared" si="35"/>
        <v>0</v>
      </c>
      <c r="O98" s="111">
        <f t="shared" si="36"/>
        <v>0</v>
      </c>
      <c r="P98" s="111">
        <f t="shared" si="37"/>
        <v>1</v>
      </c>
    </row>
    <row r="99" spans="1:16">
      <c r="B99" s="55" t="s">
        <v>21</v>
      </c>
      <c r="C99" s="64">
        <v>69</v>
      </c>
      <c r="D99" s="64">
        <v>85</v>
      </c>
      <c r="E99" s="64">
        <v>114</v>
      </c>
      <c r="F99" s="64">
        <v>50</v>
      </c>
      <c r="G99" s="64">
        <v>0</v>
      </c>
      <c r="H99" s="64">
        <v>0</v>
      </c>
      <c r="I99" s="64">
        <v>318</v>
      </c>
      <c r="J99" s="110">
        <f t="shared" si="41"/>
        <v>0.21698113207547171</v>
      </c>
      <c r="K99" s="111">
        <f t="shared" si="32"/>
        <v>0.26729559748427673</v>
      </c>
      <c r="L99" s="111">
        <f t="shared" si="33"/>
        <v>0.35849056603773582</v>
      </c>
      <c r="M99" s="111">
        <f t="shared" si="34"/>
        <v>0.15723270440251572</v>
      </c>
      <c r="N99" s="111">
        <f t="shared" si="35"/>
        <v>0</v>
      </c>
      <c r="O99" s="111">
        <f t="shared" si="36"/>
        <v>0</v>
      </c>
      <c r="P99" s="111">
        <f t="shared" si="37"/>
        <v>1</v>
      </c>
    </row>
    <row r="100" spans="1:16">
      <c r="B100" s="55" t="s">
        <v>22</v>
      </c>
      <c r="C100" s="64">
        <v>0</v>
      </c>
      <c r="D100" s="64">
        <v>0</v>
      </c>
      <c r="E100" s="64">
        <v>0</v>
      </c>
      <c r="F100" s="64">
        <v>0</v>
      </c>
      <c r="G100" s="64">
        <v>0</v>
      </c>
      <c r="H100" s="64">
        <v>0</v>
      </c>
      <c r="I100" s="64">
        <v>0</v>
      </c>
      <c r="J100" s="110" t="e">
        <f t="shared" si="41"/>
        <v>#DIV/0!</v>
      </c>
      <c r="K100" s="111" t="e">
        <f t="shared" si="32"/>
        <v>#DIV/0!</v>
      </c>
      <c r="L100" s="111" t="e">
        <f t="shared" si="33"/>
        <v>#DIV/0!</v>
      </c>
      <c r="M100" s="111" t="e">
        <f t="shared" si="34"/>
        <v>#DIV/0!</v>
      </c>
      <c r="N100" s="111" t="e">
        <f t="shared" si="35"/>
        <v>#DIV/0!</v>
      </c>
      <c r="O100" s="111" t="e">
        <f t="shared" si="36"/>
        <v>#DIV/0!</v>
      </c>
      <c r="P100" s="111" t="e">
        <f t="shared" si="37"/>
        <v>#DIV/0!</v>
      </c>
    </row>
    <row r="101" spans="1:16">
      <c r="B101" s="55" t="s">
        <v>23</v>
      </c>
      <c r="C101" s="64">
        <v>142</v>
      </c>
      <c r="D101" s="64">
        <v>80</v>
      </c>
      <c r="E101" s="64">
        <v>168</v>
      </c>
      <c r="F101" s="64">
        <v>95</v>
      </c>
      <c r="G101" s="64">
        <v>0</v>
      </c>
      <c r="H101" s="64">
        <v>0</v>
      </c>
      <c r="I101" s="64">
        <v>485</v>
      </c>
      <c r="J101" s="110">
        <f t="shared" si="41"/>
        <v>0.29278350515463919</v>
      </c>
      <c r="K101" s="111">
        <f t="shared" si="32"/>
        <v>0.16494845360824742</v>
      </c>
      <c r="L101" s="111">
        <f t="shared" si="33"/>
        <v>0.34639175257731958</v>
      </c>
      <c r="M101" s="111">
        <f t="shared" si="34"/>
        <v>0.19587628865979381</v>
      </c>
      <c r="N101" s="111">
        <f t="shared" si="35"/>
        <v>0</v>
      </c>
      <c r="O101" s="111">
        <f t="shared" si="36"/>
        <v>0</v>
      </c>
      <c r="P101" s="111">
        <f t="shared" si="37"/>
        <v>1</v>
      </c>
    </row>
    <row r="102" spans="1:16">
      <c r="B102" s="55" t="s">
        <v>24</v>
      </c>
      <c r="C102" s="64">
        <v>19</v>
      </c>
      <c r="D102" s="64">
        <v>16</v>
      </c>
      <c r="E102" s="64">
        <v>56</v>
      </c>
      <c r="F102" s="64">
        <v>19</v>
      </c>
      <c r="G102" s="64">
        <v>0</v>
      </c>
      <c r="H102" s="64">
        <v>0</v>
      </c>
      <c r="I102" s="64">
        <v>110</v>
      </c>
      <c r="J102" s="110">
        <f t="shared" si="41"/>
        <v>0.17272727272727273</v>
      </c>
      <c r="K102" s="111">
        <f t="shared" si="32"/>
        <v>0.14545454545454545</v>
      </c>
      <c r="L102" s="111">
        <f t="shared" si="33"/>
        <v>0.50909090909090904</v>
      </c>
      <c r="M102" s="111">
        <f t="shared" si="34"/>
        <v>0.17272727272727273</v>
      </c>
      <c r="N102" s="111">
        <f t="shared" si="35"/>
        <v>0</v>
      </c>
      <c r="O102" s="111">
        <f t="shared" si="36"/>
        <v>0</v>
      </c>
      <c r="P102" s="111">
        <f t="shared" si="37"/>
        <v>1</v>
      </c>
    </row>
    <row r="103" spans="1:16" s="63" customFormat="1">
      <c r="B103" s="63" t="s">
        <v>90</v>
      </c>
      <c r="C103" s="65">
        <f t="shared" ref="C103:I103" si="42">SUM(C97:C102)</f>
        <v>874</v>
      </c>
      <c r="D103" s="65">
        <f t="shared" si="42"/>
        <v>706</v>
      </c>
      <c r="E103" s="65">
        <f t="shared" si="42"/>
        <v>858</v>
      </c>
      <c r="F103" s="65">
        <f t="shared" si="42"/>
        <v>342</v>
      </c>
      <c r="G103" s="65">
        <f t="shared" si="42"/>
        <v>70</v>
      </c>
      <c r="H103" s="65">
        <f t="shared" si="42"/>
        <v>0</v>
      </c>
      <c r="I103" s="65">
        <f t="shared" si="42"/>
        <v>2850</v>
      </c>
      <c r="J103" s="551">
        <f t="shared" si="41"/>
        <v>0.30666666666666664</v>
      </c>
      <c r="K103" s="552">
        <f t="shared" si="32"/>
        <v>0.24771929824561403</v>
      </c>
      <c r="L103" s="552">
        <f t="shared" si="33"/>
        <v>0.30105263157894735</v>
      </c>
      <c r="M103" s="552">
        <f t="shared" si="34"/>
        <v>0.12</v>
      </c>
      <c r="N103" s="552">
        <f t="shared" si="35"/>
        <v>2.456140350877193E-2</v>
      </c>
      <c r="O103" s="552">
        <f t="shared" si="36"/>
        <v>0</v>
      </c>
      <c r="P103" s="552">
        <f t="shared" si="37"/>
        <v>1</v>
      </c>
    </row>
    <row r="104" spans="1:16">
      <c r="B104" s="55" t="s">
        <v>25</v>
      </c>
      <c r="C104" s="64">
        <v>0</v>
      </c>
      <c r="D104" s="64">
        <v>0</v>
      </c>
      <c r="E104" s="64">
        <v>0</v>
      </c>
      <c r="F104" s="64">
        <v>0</v>
      </c>
      <c r="G104" s="151">
        <v>0</v>
      </c>
      <c r="H104" s="151">
        <v>2239.9</v>
      </c>
      <c r="I104" s="64">
        <v>2239.9</v>
      </c>
      <c r="J104" s="110">
        <f t="shared" si="41"/>
        <v>0</v>
      </c>
      <c r="K104" s="111">
        <f t="shared" si="32"/>
        <v>0</v>
      </c>
      <c r="L104" s="111">
        <f t="shared" si="33"/>
        <v>0</v>
      </c>
      <c r="M104" s="111">
        <f t="shared" si="34"/>
        <v>0</v>
      </c>
      <c r="N104" s="111">
        <f t="shared" si="35"/>
        <v>0</v>
      </c>
      <c r="O104" s="111">
        <f t="shared" si="36"/>
        <v>1</v>
      </c>
      <c r="P104" s="111">
        <f t="shared" si="37"/>
        <v>1</v>
      </c>
    </row>
    <row r="105" spans="1:16">
      <c r="A105" s="187"/>
      <c r="B105" s="187" t="s">
        <v>26</v>
      </c>
      <c r="C105" s="549">
        <v>0</v>
      </c>
      <c r="D105" s="549">
        <v>0</v>
      </c>
      <c r="E105" s="549">
        <v>0</v>
      </c>
      <c r="F105" s="549">
        <v>0</v>
      </c>
      <c r="G105" s="549">
        <v>0</v>
      </c>
      <c r="H105" s="549">
        <v>0</v>
      </c>
      <c r="I105" s="550">
        <v>0</v>
      </c>
      <c r="J105" s="117" t="e">
        <f t="shared" si="41"/>
        <v>#DIV/0!</v>
      </c>
      <c r="K105" s="118" t="e">
        <f t="shared" si="32"/>
        <v>#DIV/0!</v>
      </c>
      <c r="L105" s="118" t="e">
        <f t="shared" si="33"/>
        <v>#DIV/0!</v>
      </c>
      <c r="M105" s="118" t="e">
        <f t="shared" si="34"/>
        <v>#DIV/0!</v>
      </c>
      <c r="N105" s="118" t="e">
        <f t="shared" si="35"/>
        <v>#DIV/0!</v>
      </c>
      <c r="O105" s="118" t="e">
        <f t="shared" si="36"/>
        <v>#DIV/0!</v>
      </c>
      <c r="P105" s="118" t="e">
        <f t="shared" si="37"/>
        <v>#DIV/0!</v>
      </c>
    </row>
    <row r="106" spans="1:16">
      <c r="A106" s="55" t="s">
        <v>12</v>
      </c>
      <c r="B106" s="55" t="s">
        <v>19</v>
      </c>
      <c r="C106" s="64">
        <v>1022</v>
      </c>
      <c r="D106" s="64">
        <v>625</v>
      </c>
      <c r="E106" s="64">
        <v>453</v>
      </c>
      <c r="F106" s="64">
        <v>13</v>
      </c>
      <c r="G106" s="64">
        <v>298</v>
      </c>
      <c r="H106" s="64">
        <v>0</v>
      </c>
      <c r="I106" s="64">
        <v>2411</v>
      </c>
      <c r="J106" s="110">
        <f>+C106/$I106</f>
        <v>0.42389050186644545</v>
      </c>
      <c r="K106" s="122">
        <f t="shared" si="32"/>
        <v>0.25922853587722938</v>
      </c>
      <c r="L106" s="122">
        <f t="shared" si="33"/>
        <v>0.18788884280381585</v>
      </c>
      <c r="M106" s="122">
        <f t="shared" si="34"/>
        <v>5.3919535462463707E-3</v>
      </c>
      <c r="N106" s="122">
        <f t="shared" si="35"/>
        <v>0.12360016590626297</v>
      </c>
      <c r="O106" s="122">
        <f t="shared" si="36"/>
        <v>0</v>
      </c>
      <c r="P106" s="122">
        <f t="shared" si="37"/>
        <v>1</v>
      </c>
    </row>
    <row r="107" spans="1:16">
      <c r="B107" s="55" t="s">
        <v>20</v>
      </c>
      <c r="C107" s="64">
        <v>137</v>
      </c>
      <c r="D107" s="64">
        <v>171</v>
      </c>
      <c r="E107" s="64">
        <v>128</v>
      </c>
      <c r="F107" s="64">
        <v>5</v>
      </c>
      <c r="G107" s="64">
        <v>146</v>
      </c>
      <c r="H107" s="64">
        <v>0</v>
      </c>
      <c r="I107" s="64">
        <v>587</v>
      </c>
      <c r="J107" s="110">
        <f t="shared" ref="J107:J114" si="43">+C107/$I107</f>
        <v>0.23339011925042588</v>
      </c>
      <c r="K107" s="111">
        <f t="shared" si="32"/>
        <v>0.29131175468483816</v>
      </c>
      <c r="L107" s="111">
        <f t="shared" si="33"/>
        <v>0.21805792163543442</v>
      </c>
      <c r="M107" s="111">
        <f t="shared" si="34"/>
        <v>8.5178875638841564E-3</v>
      </c>
      <c r="N107" s="111">
        <f t="shared" si="35"/>
        <v>0.24872231686541738</v>
      </c>
      <c r="O107" s="111">
        <f t="shared" si="36"/>
        <v>0</v>
      </c>
      <c r="P107" s="111">
        <f t="shared" si="37"/>
        <v>1</v>
      </c>
    </row>
    <row r="108" spans="1:16">
      <c r="B108" s="55" t="s">
        <v>21</v>
      </c>
      <c r="C108" s="64">
        <v>821</v>
      </c>
      <c r="D108" s="64">
        <v>925</v>
      </c>
      <c r="E108" s="64">
        <v>760</v>
      </c>
      <c r="F108" s="64">
        <v>44</v>
      </c>
      <c r="G108" s="64">
        <v>475</v>
      </c>
      <c r="H108" s="64">
        <v>0</v>
      </c>
      <c r="I108" s="64">
        <v>3025</v>
      </c>
      <c r="J108" s="110">
        <f t="shared" si="43"/>
        <v>0.27140495867768594</v>
      </c>
      <c r="K108" s="111">
        <f t="shared" si="32"/>
        <v>0.30578512396694213</v>
      </c>
      <c r="L108" s="111">
        <f t="shared" si="33"/>
        <v>0.25123966942148762</v>
      </c>
      <c r="M108" s="111">
        <f t="shared" si="34"/>
        <v>1.4545454545454545E-2</v>
      </c>
      <c r="N108" s="111">
        <f t="shared" si="35"/>
        <v>0.15702479338842976</v>
      </c>
      <c r="O108" s="111">
        <f t="shared" si="36"/>
        <v>0</v>
      </c>
      <c r="P108" s="111">
        <f t="shared" si="37"/>
        <v>1</v>
      </c>
    </row>
    <row r="109" spans="1:16">
      <c r="B109" s="55" t="s">
        <v>22</v>
      </c>
      <c r="C109" s="64">
        <v>160</v>
      </c>
      <c r="D109" s="64">
        <v>200</v>
      </c>
      <c r="E109" s="64">
        <v>143</v>
      </c>
      <c r="F109" s="64">
        <v>2</v>
      </c>
      <c r="G109" s="64">
        <v>87</v>
      </c>
      <c r="H109" s="64">
        <v>0</v>
      </c>
      <c r="I109" s="64">
        <v>592</v>
      </c>
      <c r="J109" s="110">
        <f t="shared" si="43"/>
        <v>0.27027027027027029</v>
      </c>
      <c r="K109" s="111">
        <f t="shared" si="32"/>
        <v>0.33783783783783783</v>
      </c>
      <c r="L109" s="111">
        <f t="shared" si="33"/>
        <v>0.24155405405405406</v>
      </c>
      <c r="M109" s="111">
        <f t="shared" si="34"/>
        <v>3.3783783783783786E-3</v>
      </c>
      <c r="N109" s="111">
        <f t="shared" si="35"/>
        <v>0.14695945945945946</v>
      </c>
      <c r="O109" s="111">
        <f t="shared" si="36"/>
        <v>0</v>
      </c>
      <c r="P109" s="111">
        <f t="shared" si="37"/>
        <v>1</v>
      </c>
    </row>
    <row r="110" spans="1:16">
      <c r="B110" s="55" t="s">
        <v>23</v>
      </c>
      <c r="C110" s="64">
        <v>42</v>
      </c>
      <c r="D110" s="64">
        <v>32</v>
      </c>
      <c r="E110" s="64">
        <v>42</v>
      </c>
      <c r="F110" s="64">
        <v>2</v>
      </c>
      <c r="G110" s="64">
        <v>27</v>
      </c>
      <c r="H110" s="64">
        <v>0</v>
      </c>
      <c r="I110" s="64">
        <v>145</v>
      </c>
      <c r="J110" s="110">
        <f t="shared" si="43"/>
        <v>0.28965517241379313</v>
      </c>
      <c r="K110" s="111">
        <f t="shared" si="32"/>
        <v>0.22068965517241379</v>
      </c>
      <c r="L110" s="111">
        <f t="shared" si="33"/>
        <v>0.28965517241379313</v>
      </c>
      <c r="M110" s="111">
        <f t="shared" si="34"/>
        <v>1.3793103448275862E-2</v>
      </c>
      <c r="N110" s="111">
        <f t="shared" si="35"/>
        <v>0.18620689655172415</v>
      </c>
      <c r="O110" s="111">
        <f t="shared" si="36"/>
        <v>0</v>
      </c>
      <c r="P110" s="111">
        <f t="shared" si="37"/>
        <v>1</v>
      </c>
    </row>
    <row r="111" spans="1:16">
      <c r="B111" s="55" t="s">
        <v>24</v>
      </c>
      <c r="C111" s="64">
        <v>131</v>
      </c>
      <c r="D111" s="64">
        <v>113</v>
      </c>
      <c r="E111" s="64">
        <v>104</v>
      </c>
      <c r="F111" s="64">
        <v>8</v>
      </c>
      <c r="G111" s="64">
        <v>66</v>
      </c>
      <c r="H111" s="64">
        <v>0</v>
      </c>
      <c r="I111" s="64">
        <v>422</v>
      </c>
      <c r="J111" s="110">
        <f t="shared" si="43"/>
        <v>0.31042654028436018</v>
      </c>
      <c r="K111" s="111">
        <f t="shared" si="32"/>
        <v>0.26777251184834122</v>
      </c>
      <c r="L111" s="111">
        <f t="shared" si="33"/>
        <v>0.24644549763033174</v>
      </c>
      <c r="M111" s="111">
        <f t="shared" si="34"/>
        <v>1.8957345971563982E-2</v>
      </c>
      <c r="N111" s="111">
        <f t="shared" si="35"/>
        <v>0.15639810426540285</v>
      </c>
      <c r="O111" s="111">
        <f t="shared" si="36"/>
        <v>0</v>
      </c>
      <c r="P111" s="111">
        <f t="shared" si="37"/>
        <v>1</v>
      </c>
    </row>
    <row r="112" spans="1:16" s="63" customFormat="1">
      <c r="B112" s="63" t="s">
        <v>90</v>
      </c>
      <c r="C112" s="65">
        <f t="shared" ref="C112:I112" si="44">SUM(C106:C111)</f>
        <v>2313</v>
      </c>
      <c r="D112" s="65">
        <f t="shared" si="44"/>
        <v>2066</v>
      </c>
      <c r="E112" s="65">
        <f t="shared" si="44"/>
        <v>1630</v>
      </c>
      <c r="F112" s="65">
        <f t="shared" si="44"/>
        <v>74</v>
      </c>
      <c r="G112" s="65">
        <f t="shared" si="44"/>
        <v>1099</v>
      </c>
      <c r="H112" s="65">
        <f t="shared" si="44"/>
        <v>0</v>
      </c>
      <c r="I112" s="65">
        <f t="shared" si="44"/>
        <v>7182</v>
      </c>
      <c r="J112" s="551">
        <f t="shared" si="43"/>
        <v>0.32205513784461154</v>
      </c>
      <c r="K112" s="552">
        <f t="shared" si="32"/>
        <v>0.28766360345307712</v>
      </c>
      <c r="L112" s="552">
        <f t="shared" si="33"/>
        <v>0.22695627958785852</v>
      </c>
      <c r="M112" s="552">
        <f t="shared" si="34"/>
        <v>1.0303536619326092E-2</v>
      </c>
      <c r="N112" s="552">
        <f t="shared" si="35"/>
        <v>0.1530214424951267</v>
      </c>
      <c r="O112" s="552">
        <f t="shared" si="36"/>
        <v>0</v>
      </c>
      <c r="P112" s="552">
        <f t="shared" si="37"/>
        <v>1</v>
      </c>
    </row>
    <row r="113" spans="1:16">
      <c r="B113" s="55" t="s">
        <v>25</v>
      </c>
      <c r="C113" s="64">
        <v>0</v>
      </c>
      <c r="D113" s="64">
        <v>0</v>
      </c>
      <c r="E113" s="64">
        <v>0</v>
      </c>
      <c r="F113" s="64">
        <v>0</v>
      </c>
      <c r="G113" s="151">
        <v>0</v>
      </c>
      <c r="H113" s="151">
        <v>4201</v>
      </c>
      <c r="I113" s="64">
        <v>4201</v>
      </c>
      <c r="J113" s="110">
        <f t="shared" si="43"/>
        <v>0</v>
      </c>
      <c r="K113" s="111">
        <f t="shared" si="32"/>
        <v>0</v>
      </c>
      <c r="L113" s="111">
        <f t="shared" si="33"/>
        <v>0</v>
      </c>
      <c r="M113" s="111">
        <f t="shared" si="34"/>
        <v>0</v>
      </c>
      <c r="N113" s="111">
        <f t="shared" si="35"/>
        <v>0</v>
      </c>
      <c r="O113" s="111">
        <f t="shared" si="36"/>
        <v>1</v>
      </c>
      <c r="P113" s="111">
        <f t="shared" si="37"/>
        <v>1</v>
      </c>
    </row>
    <row r="114" spans="1:16">
      <c r="A114" s="187"/>
      <c r="B114" s="187" t="s">
        <v>26</v>
      </c>
      <c r="C114" s="549">
        <v>0</v>
      </c>
      <c r="D114" s="549">
        <v>0</v>
      </c>
      <c r="E114" s="549">
        <v>0</v>
      </c>
      <c r="F114" s="549">
        <v>0</v>
      </c>
      <c r="G114" s="549">
        <v>0</v>
      </c>
      <c r="H114" s="549">
        <v>0</v>
      </c>
      <c r="I114" s="550">
        <v>0</v>
      </c>
      <c r="J114" s="117" t="e">
        <f t="shared" si="43"/>
        <v>#DIV/0!</v>
      </c>
      <c r="K114" s="118" t="e">
        <f t="shared" si="32"/>
        <v>#DIV/0!</v>
      </c>
      <c r="L114" s="118" t="e">
        <f t="shared" si="33"/>
        <v>#DIV/0!</v>
      </c>
      <c r="M114" s="118" t="e">
        <f t="shared" si="34"/>
        <v>#DIV/0!</v>
      </c>
      <c r="N114" s="118" t="e">
        <f t="shared" si="35"/>
        <v>#DIV/0!</v>
      </c>
      <c r="O114" s="118" t="e">
        <f t="shared" si="36"/>
        <v>#DIV/0!</v>
      </c>
      <c r="P114" s="118" t="e">
        <f t="shared" si="37"/>
        <v>#DIV/0!</v>
      </c>
    </row>
    <row r="115" spans="1:16">
      <c r="A115" s="55" t="s">
        <v>13</v>
      </c>
      <c r="B115" s="55" t="s">
        <v>19</v>
      </c>
      <c r="C115" s="64">
        <v>515</v>
      </c>
      <c r="D115" s="64">
        <v>455</v>
      </c>
      <c r="E115" s="64">
        <v>371</v>
      </c>
      <c r="F115" s="64">
        <v>83</v>
      </c>
      <c r="G115" s="64">
        <v>0</v>
      </c>
      <c r="H115" s="64">
        <v>0</v>
      </c>
      <c r="I115" s="64">
        <v>1424</v>
      </c>
      <c r="J115" s="110">
        <f>+C115/$I115</f>
        <v>0.3616573033707865</v>
      </c>
      <c r="K115" s="122">
        <f t="shared" si="32"/>
        <v>0.31952247191011235</v>
      </c>
      <c r="L115" s="122">
        <f t="shared" si="33"/>
        <v>0.26053370786516855</v>
      </c>
      <c r="M115" s="122">
        <f t="shared" si="34"/>
        <v>5.8286516853932581E-2</v>
      </c>
      <c r="N115" s="122">
        <f t="shared" si="35"/>
        <v>0</v>
      </c>
      <c r="O115" s="122">
        <f t="shared" si="36"/>
        <v>0</v>
      </c>
      <c r="P115" s="122">
        <f t="shared" si="37"/>
        <v>1</v>
      </c>
    </row>
    <row r="116" spans="1:16">
      <c r="B116" s="55" t="s">
        <v>20</v>
      </c>
      <c r="C116" s="64">
        <v>0</v>
      </c>
      <c r="D116" s="64">
        <v>0</v>
      </c>
      <c r="E116" s="64">
        <v>0</v>
      </c>
      <c r="F116" s="64">
        <v>0</v>
      </c>
      <c r="G116" s="64">
        <v>0</v>
      </c>
      <c r="H116" s="64">
        <v>0</v>
      </c>
      <c r="I116" s="64">
        <v>0</v>
      </c>
      <c r="J116" s="110" t="e">
        <f t="shared" ref="J116:J123" si="45">+C116/$I116</f>
        <v>#DIV/0!</v>
      </c>
      <c r="K116" s="111" t="e">
        <f t="shared" si="32"/>
        <v>#DIV/0!</v>
      </c>
      <c r="L116" s="111" t="e">
        <f t="shared" si="33"/>
        <v>#DIV/0!</v>
      </c>
      <c r="M116" s="111" t="e">
        <f t="shared" si="34"/>
        <v>#DIV/0!</v>
      </c>
      <c r="N116" s="111" t="e">
        <f t="shared" si="35"/>
        <v>#DIV/0!</v>
      </c>
      <c r="O116" s="111" t="e">
        <f t="shared" si="36"/>
        <v>#DIV/0!</v>
      </c>
      <c r="P116" s="111" t="e">
        <f t="shared" si="37"/>
        <v>#DIV/0!</v>
      </c>
    </row>
    <row r="117" spans="1:16">
      <c r="B117" s="55" t="s">
        <v>21</v>
      </c>
      <c r="C117" s="64">
        <v>118</v>
      </c>
      <c r="D117" s="64">
        <v>100</v>
      </c>
      <c r="E117" s="64">
        <v>119</v>
      </c>
      <c r="F117" s="64">
        <v>48</v>
      </c>
      <c r="G117" s="64">
        <v>0</v>
      </c>
      <c r="H117" s="64">
        <v>0</v>
      </c>
      <c r="I117" s="64">
        <v>385</v>
      </c>
      <c r="J117" s="110">
        <f t="shared" si="45"/>
        <v>0.30649350649350648</v>
      </c>
      <c r="K117" s="111">
        <f t="shared" si="32"/>
        <v>0.25974025974025972</v>
      </c>
      <c r="L117" s="111">
        <f t="shared" si="33"/>
        <v>0.30909090909090908</v>
      </c>
      <c r="M117" s="111">
        <f t="shared" si="34"/>
        <v>0.12467532467532468</v>
      </c>
      <c r="N117" s="111">
        <f t="shared" si="35"/>
        <v>0</v>
      </c>
      <c r="O117" s="111">
        <f t="shared" si="36"/>
        <v>0</v>
      </c>
      <c r="P117" s="111">
        <f t="shared" si="37"/>
        <v>1</v>
      </c>
    </row>
    <row r="118" spans="1:16">
      <c r="B118" s="55" t="s">
        <v>22</v>
      </c>
      <c r="C118" s="64">
        <v>118</v>
      </c>
      <c r="D118" s="64">
        <v>73</v>
      </c>
      <c r="E118" s="64">
        <v>149</v>
      </c>
      <c r="F118" s="64">
        <v>103</v>
      </c>
      <c r="G118" s="64">
        <v>0</v>
      </c>
      <c r="H118" s="64">
        <v>0</v>
      </c>
      <c r="I118" s="64">
        <v>443</v>
      </c>
      <c r="J118" s="110">
        <f t="shared" si="45"/>
        <v>0.26636568848758463</v>
      </c>
      <c r="K118" s="111">
        <f t="shared" si="32"/>
        <v>0.16478555304740405</v>
      </c>
      <c r="L118" s="111">
        <f t="shared" si="33"/>
        <v>0.33634311512415349</v>
      </c>
      <c r="M118" s="111">
        <f t="shared" si="34"/>
        <v>0.2325056433408578</v>
      </c>
      <c r="N118" s="111">
        <f t="shared" si="35"/>
        <v>0</v>
      </c>
      <c r="O118" s="111">
        <f t="shared" si="36"/>
        <v>0</v>
      </c>
      <c r="P118" s="111">
        <f t="shared" si="37"/>
        <v>1</v>
      </c>
    </row>
    <row r="119" spans="1:16">
      <c r="B119" s="55" t="s">
        <v>23</v>
      </c>
      <c r="C119" s="64">
        <v>120</v>
      </c>
      <c r="D119" s="64">
        <v>111</v>
      </c>
      <c r="E119" s="64">
        <v>202</v>
      </c>
      <c r="F119" s="64">
        <v>101</v>
      </c>
      <c r="G119" s="64">
        <v>0</v>
      </c>
      <c r="H119" s="64">
        <v>0</v>
      </c>
      <c r="I119" s="64">
        <v>534</v>
      </c>
      <c r="J119" s="110">
        <f t="shared" si="45"/>
        <v>0.2247191011235955</v>
      </c>
      <c r="K119" s="111">
        <f t="shared" si="32"/>
        <v>0.20786516853932585</v>
      </c>
      <c r="L119" s="111">
        <f t="shared" si="33"/>
        <v>0.37827715355805241</v>
      </c>
      <c r="M119" s="111">
        <f t="shared" si="34"/>
        <v>0.18913857677902621</v>
      </c>
      <c r="N119" s="111">
        <f t="shared" si="35"/>
        <v>0</v>
      </c>
      <c r="O119" s="111">
        <f t="shared" si="36"/>
        <v>0</v>
      </c>
      <c r="P119" s="111">
        <f t="shared" si="37"/>
        <v>1</v>
      </c>
    </row>
    <row r="120" spans="1:16">
      <c r="B120" s="55" t="s">
        <v>24</v>
      </c>
      <c r="C120" s="64">
        <v>21</v>
      </c>
      <c r="D120" s="64">
        <v>48</v>
      </c>
      <c r="E120" s="64">
        <v>61</v>
      </c>
      <c r="F120" s="64">
        <v>48</v>
      </c>
      <c r="G120" s="64">
        <v>0</v>
      </c>
      <c r="H120" s="64">
        <v>0</v>
      </c>
      <c r="I120" s="64">
        <v>178</v>
      </c>
      <c r="J120" s="110">
        <f t="shared" si="45"/>
        <v>0.11797752808988764</v>
      </c>
      <c r="K120" s="111">
        <f t="shared" si="32"/>
        <v>0.2696629213483146</v>
      </c>
      <c r="L120" s="111">
        <f t="shared" si="33"/>
        <v>0.34269662921348315</v>
      </c>
      <c r="M120" s="111">
        <f t="shared" si="34"/>
        <v>0.2696629213483146</v>
      </c>
      <c r="N120" s="111">
        <f t="shared" si="35"/>
        <v>0</v>
      </c>
      <c r="O120" s="111">
        <f t="shared" si="36"/>
        <v>0</v>
      </c>
      <c r="P120" s="111">
        <f t="shared" si="37"/>
        <v>1</v>
      </c>
    </row>
    <row r="121" spans="1:16" s="63" customFormat="1">
      <c r="B121" s="63" t="s">
        <v>90</v>
      </c>
      <c r="C121" s="65">
        <f t="shared" ref="C121:I121" si="46">SUM(C115:C120)</f>
        <v>892</v>
      </c>
      <c r="D121" s="65">
        <f t="shared" si="46"/>
        <v>787</v>
      </c>
      <c r="E121" s="65">
        <f t="shared" si="46"/>
        <v>902</v>
      </c>
      <c r="F121" s="65">
        <f t="shared" si="46"/>
        <v>383</v>
      </c>
      <c r="G121" s="65">
        <f t="shared" si="46"/>
        <v>0</v>
      </c>
      <c r="H121" s="65">
        <f t="shared" si="46"/>
        <v>0</v>
      </c>
      <c r="I121" s="65">
        <f t="shared" si="46"/>
        <v>2964</v>
      </c>
      <c r="J121" s="551">
        <f t="shared" si="45"/>
        <v>0.30094466936572201</v>
      </c>
      <c r="K121" s="552">
        <f t="shared" si="32"/>
        <v>0.26551956815114708</v>
      </c>
      <c r="L121" s="552">
        <f t="shared" si="33"/>
        <v>0.30431848852901483</v>
      </c>
      <c r="M121" s="552">
        <f t="shared" si="34"/>
        <v>0.12921727395411606</v>
      </c>
      <c r="N121" s="552">
        <f t="shared" si="35"/>
        <v>0</v>
      </c>
      <c r="O121" s="552">
        <f t="shared" si="36"/>
        <v>0</v>
      </c>
      <c r="P121" s="552">
        <f t="shared" si="37"/>
        <v>1</v>
      </c>
    </row>
    <row r="122" spans="1:16">
      <c r="B122" s="55" t="s">
        <v>25</v>
      </c>
      <c r="C122" s="64">
        <v>8</v>
      </c>
      <c r="D122" s="64">
        <v>13</v>
      </c>
      <c r="E122" s="64">
        <v>23</v>
      </c>
      <c r="F122" s="64">
        <v>16</v>
      </c>
      <c r="G122" s="151">
        <v>0</v>
      </c>
      <c r="H122" s="151">
        <v>957</v>
      </c>
      <c r="I122" s="64">
        <v>1017</v>
      </c>
      <c r="J122" s="110">
        <f t="shared" si="45"/>
        <v>7.8662733529990172E-3</v>
      </c>
      <c r="K122" s="111">
        <f t="shared" si="32"/>
        <v>1.2782694198623401E-2</v>
      </c>
      <c r="L122" s="111">
        <f t="shared" si="33"/>
        <v>2.2615535889872172E-2</v>
      </c>
      <c r="M122" s="111">
        <f t="shared" si="34"/>
        <v>1.5732546705998034E-2</v>
      </c>
      <c r="N122" s="111">
        <f t="shared" si="35"/>
        <v>0</v>
      </c>
      <c r="O122" s="111">
        <f t="shared" si="36"/>
        <v>0.94100294985250732</v>
      </c>
      <c r="P122" s="111">
        <f t="shared" si="37"/>
        <v>1</v>
      </c>
    </row>
    <row r="123" spans="1:16">
      <c r="A123" s="187"/>
      <c r="B123" s="187" t="s">
        <v>26</v>
      </c>
      <c r="C123" s="549">
        <v>0</v>
      </c>
      <c r="D123" s="549">
        <v>0</v>
      </c>
      <c r="E123" s="549">
        <v>0</v>
      </c>
      <c r="F123" s="549">
        <v>0</v>
      </c>
      <c r="G123" s="549">
        <v>0</v>
      </c>
      <c r="H123" s="549">
        <v>0</v>
      </c>
      <c r="I123" s="550">
        <v>0</v>
      </c>
      <c r="J123" s="117" t="e">
        <f t="shared" si="45"/>
        <v>#DIV/0!</v>
      </c>
      <c r="K123" s="118" t="e">
        <f t="shared" si="32"/>
        <v>#DIV/0!</v>
      </c>
      <c r="L123" s="118" t="e">
        <f t="shared" si="33"/>
        <v>#DIV/0!</v>
      </c>
      <c r="M123" s="118" t="e">
        <f t="shared" si="34"/>
        <v>#DIV/0!</v>
      </c>
      <c r="N123" s="118" t="e">
        <f t="shared" si="35"/>
        <v>#DIV/0!</v>
      </c>
      <c r="O123" s="118" t="e">
        <f t="shared" si="36"/>
        <v>#DIV/0!</v>
      </c>
      <c r="P123" s="118" t="e">
        <f t="shared" si="37"/>
        <v>#DIV/0!</v>
      </c>
    </row>
    <row r="124" spans="1:16">
      <c r="A124" s="55" t="s">
        <v>14</v>
      </c>
      <c r="B124" s="55" t="s">
        <v>19</v>
      </c>
      <c r="C124" s="64">
        <v>390</v>
      </c>
      <c r="D124" s="64">
        <v>337</v>
      </c>
      <c r="E124" s="64">
        <v>194</v>
      </c>
      <c r="F124" s="64">
        <v>70</v>
      </c>
      <c r="G124" s="64">
        <v>33</v>
      </c>
      <c r="H124" s="64">
        <v>0</v>
      </c>
      <c r="I124" s="64">
        <v>1024</v>
      </c>
      <c r="J124" s="110">
        <f>+C124/$I124</f>
        <v>0.380859375</v>
      </c>
      <c r="K124" s="122">
        <f t="shared" si="32"/>
        <v>0.3291015625</v>
      </c>
      <c r="L124" s="122">
        <f t="shared" si="33"/>
        <v>0.189453125</v>
      </c>
      <c r="M124" s="122">
        <f t="shared" si="34"/>
        <v>6.8359375E-2</v>
      </c>
      <c r="N124" s="122">
        <f t="shared" si="35"/>
        <v>3.22265625E-2</v>
      </c>
      <c r="O124" s="122">
        <f t="shared" si="36"/>
        <v>0</v>
      </c>
      <c r="P124" s="122">
        <f t="shared" si="37"/>
        <v>1</v>
      </c>
    </row>
    <row r="125" spans="1:16">
      <c r="B125" s="55" t="s">
        <v>20</v>
      </c>
      <c r="C125" s="64">
        <v>391</v>
      </c>
      <c r="D125" s="64">
        <v>257</v>
      </c>
      <c r="E125" s="64">
        <v>162</v>
      </c>
      <c r="F125" s="64">
        <v>46</v>
      </c>
      <c r="G125" s="64">
        <v>67</v>
      </c>
      <c r="H125" s="64">
        <v>0</v>
      </c>
      <c r="I125" s="64">
        <v>923</v>
      </c>
      <c r="J125" s="110">
        <f t="shared" ref="J125:J132" si="47">+C125/$I125</f>
        <v>0.42361863488624052</v>
      </c>
      <c r="K125" s="111">
        <f t="shared" si="32"/>
        <v>0.27843986998916576</v>
      </c>
      <c r="L125" s="111">
        <f t="shared" si="33"/>
        <v>0.17551462621885158</v>
      </c>
      <c r="M125" s="111">
        <f t="shared" si="34"/>
        <v>4.9837486457204767E-2</v>
      </c>
      <c r="N125" s="111">
        <f t="shared" si="35"/>
        <v>7.2589382448537382E-2</v>
      </c>
      <c r="O125" s="111">
        <f t="shared" si="36"/>
        <v>0</v>
      </c>
      <c r="P125" s="111">
        <f t="shared" si="37"/>
        <v>1</v>
      </c>
    </row>
    <row r="126" spans="1:16">
      <c r="B126" s="55" t="s">
        <v>21</v>
      </c>
      <c r="C126" s="64">
        <v>69</v>
      </c>
      <c r="D126" s="64">
        <v>89</v>
      </c>
      <c r="E126" s="64">
        <v>69</v>
      </c>
      <c r="F126" s="64">
        <v>15</v>
      </c>
      <c r="G126" s="64">
        <v>0</v>
      </c>
      <c r="H126" s="64">
        <v>0</v>
      </c>
      <c r="I126" s="64">
        <v>242</v>
      </c>
      <c r="J126" s="110">
        <f t="shared" si="47"/>
        <v>0.28512396694214875</v>
      </c>
      <c r="K126" s="111">
        <f t="shared" si="32"/>
        <v>0.36776859504132231</v>
      </c>
      <c r="L126" s="111">
        <f t="shared" si="33"/>
        <v>0.28512396694214875</v>
      </c>
      <c r="M126" s="111">
        <f t="shared" si="34"/>
        <v>6.1983471074380167E-2</v>
      </c>
      <c r="N126" s="111">
        <f t="shared" si="35"/>
        <v>0</v>
      </c>
      <c r="O126" s="111">
        <f t="shared" si="36"/>
        <v>0</v>
      </c>
      <c r="P126" s="111">
        <f t="shared" si="37"/>
        <v>1</v>
      </c>
    </row>
    <row r="127" spans="1:16">
      <c r="B127" s="55" t="s">
        <v>22</v>
      </c>
      <c r="C127" s="64">
        <v>152</v>
      </c>
      <c r="D127" s="64">
        <v>169</v>
      </c>
      <c r="E127" s="64">
        <v>171</v>
      </c>
      <c r="F127" s="64">
        <v>50</v>
      </c>
      <c r="G127" s="64">
        <v>0</v>
      </c>
      <c r="H127" s="64">
        <v>0</v>
      </c>
      <c r="I127" s="64">
        <v>542</v>
      </c>
      <c r="J127" s="110">
        <f t="shared" si="47"/>
        <v>0.28044280442804426</v>
      </c>
      <c r="K127" s="111">
        <f t="shared" si="32"/>
        <v>0.31180811808118081</v>
      </c>
      <c r="L127" s="111">
        <f t="shared" si="33"/>
        <v>0.31549815498154982</v>
      </c>
      <c r="M127" s="111">
        <f t="shared" si="34"/>
        <v>9.2250922509225092E-2</v>
      </c>
      <c r="N127" s="111">
        <f t="shared" si="35"/>
        <v>0</v>
      </c>
      <c r="O127" s="111">
        <f t="shared" si="36"/>
        <v>0</v>
      </c>
      <c r="P127" s="111">
        <f t="shared" si="37"/>
        <v>1</v>
      </c>
    </row>
    <row r="128" spans="1:16">
      <c r="B128" s="55" t="s">
        <v>23</v>
      </c>
      <c r="C128" s="64">
        <v>114</v>
      </c>
      <c r="D128" s="64">
        <v>97</v>
      </c>
      <c r="E128" s="64">
        <v>124</v>
      </c>
      <c r="F128" s="64">
        <v>43</v>
      </c>
      <c r="G128" s="64">
        <v>0</v>
      </c>
      <c r="H128" s="64">
        <v>0</v>
      </c>
      <c r="I128" s="64">
        <v>378</v>
      </c>
      <c r="J128" s="110">
        <f t="shared" si="47"/>
        <v>0.30158730158730157</v>
      </c>
      <c r="K128" s="111">
        <f t="shared" si="32"/>
        <v>0.25661375661375663</v>
      </c>
      <c r="L128" s="111">
        <f t="shared" si="33"/>
        <v>0.32804232804232802</v>
      </c>
      <c r="M128" s="111">
        <f t="shared" si="34"/>
        <v>0.11375661375661375</v>
      </c>
      <c r="N128" s="111">
        <f t="shared" si="35"/>
        <v>0</v>
      </c>
      <c r="O128" s="111">
        <f t="shared" si="36"/>
        <v>0</v>
      </c>
      <c r="P128" s="111">
        <f t="shared" si="37"/>
        <v>1</v>
      </c>
    </row>
    <row r="129" spans="1:16">
      <c r="B129" s="55" t="s">
        <v>24</v>
      </c>
      <c r="C129" s="64">
        <v>166</v>
      </c>
      <c r="D129" s="64">
        <v>169</v>
      </c>
      <c r="E129" s="64">
        <v>139</v>
      </c>
      <c r="F129" s="64">
        <v>75</v>
      </c>
      <c r="G129" s="64">
        <v>9</v>
      </c>
      <c r="H129" s="64">
        <v>0</v>
      </c>
      <c r="I129" s="64">
        <v>558</v>
      </c>
      <c r="J129" s="110">
        <f t="shared" si="47"/>
        <v>0.29749103942652327</v>
      </c>
      <c r="K129" s="111">
        <f t="shared" si="32"/>
        <v>0.30286738351254483</v>
      </c>
      <c r="L129" s="111">
        <f t="shared" si="33"/>
        <v>0.24910394265232974</v>
      </c>
      <c r="M129" s="111">
        <f t="shared" si="34"/>
        <v>0.13440860215053763</v>
      </c>
      <c r="N129" s="111">
        <f t="shared" si="35"/>
        <v>1.6129032258064516E-2</v>
      </c>
      <c r="O129" s="111">
        <f t="shared" si="36"/>
        <v>0</v>
      </c>
      <c r="P129" s="111">
        <f t="shared" si="37"/>
        <v>1</v>
      </c>
    </row>
    <row r="130" spans="1:16" s="63" customFormat="1">
      <c r="B130" s="63" t="s">
        <v>90</v>
      </c>
      <c r="C130" s="65">
        <f t="shared" ref="C130:I130" si="48">SUM(C124:C129)</f>
        <v>1282</v>
      </c>
      <c r="D130" s="65">
        <f t="shared" si="48"/>
        <v>1118</v>
      </c>
      <c r="E130" s="65">
        <f t="shared" si="48"/>
        <v>859</v>
      </c>
      <c r="F130" s="65">
        <f t="shared" si="48"/>
        <v>299</v>
      </c>
      <c r="G130" s="65">
        <f t="shared" si="48"/>
        <v>109</v>
      </c>
      <c r="H130" s="65">
        <f t="shared" si="48"/>
        <v>0</v>
      </c>
      <c r="I130" s="65">
        <f t="shared" si="48"/>
        <v>3667</v>
      </c>
      <c r="J130" s="551">
        <f t="shared" si="47"/>
        <v>0.34960458140169076</v>
      </c>
      <c r="K130" s="552">
        <f t="shared" si="32"/>
        <v>0.30488137442050722</v>
      </c>
      <c r="L130" s="552">
        <f t="shared" si="33"/>
        <v>0.23425143168802837</v>
      </c>
      <c r="M130" s="552">
        <f t="shared" si="34"/>
        <v>8.153804199618217E-2</v>
      </c>
      <c r="N130" s="552">
        <f t="shared" si="35"/>
        <v>2.9724570493591493E-2</v>
      </c>
      <c r="O130" s="552">
        <f t="shared" si="36"/>
        <v>0</v>
      </c>
      <c r="P130" s="552">
        <f t="shared" si="37"/>
        <v>1</v>
      </c>
    </row>
    <row r="131" spans="1:16">
      <c r="B131" s="55" t="s">
        <v>25</v>
      </c>
      <c r="C131" s="64">
        <v>49</v>
      </c>
      <c r="D131" s="64">
        <v>35</v>
      </c>
      <c r="E131" s="64">
        <v>22</v>
      </c>
      <c r="F131" s="64">
        <v>900</v>
      </c>
      <c r="G131" s="151">
        <v>656</v>
      </c>
      <c r="H131" s="151">
        <v>0</v>
      </c>
      <c r="I131" s="64">
        <v>1662</v>
      </c>
      <c r="J131" s="110">
        <f t="shared" si="47"/>
        <v>2.9482551143200964E-2</v>
      </c>
      <c r="K131" s="111">
        <f t="shared" si="32"/>
        <v>2.1058965102286401E-2</v>
      </c>
      <c r="L131" s="111">
        <f t="shared" si="33"/>
        <v>1.3237063778580024E-2</v>
      </c>
      <c r="M131" s="111">
        <f t="shared" si="34"/>
        <v>0.54151624548736466</v>
      </c>
      <c r="N131" s="111">
        <f t="shared" si="35"/>
        <v>0.39470517448856801</v>
      </c>
      <c r="O131" s="111">
        <f t="shared" si="36"/>
        <v>0</v>
      </c>
      <c r="P131" s="111">
        <f t="shared" si="37"/>
        <v>1</v>
      </c>
    </row>
    <row r="132" spans="1:16">
      <c r="A132" s="187"/>
      <c r="B132" s="187" t="s">
        <v>26</v>
      </c>
      <c r="C132" s="549">
        <v>0</v>
      </c>
      <c r="D132" s="549">
        <v>0</v>
      </c>
      <c r="E132" s="549">
        <v>0</v>
      </c>
      <c r="F132" s="549">
        <v>0</v>
      </c>
      <c r="G132" s="549">
        <v>0</v>
      </c>
      <c r="H132" s="549">
        <v>0</v>
      </c>
      <c r="I132" s="550">
        <v>0</v>
      </c>
      <c r="J132" s="117" t="e">
        <f t="shared" si="47"/>
        <v>#DIV/0!</v>
      </c>
      <c r="K132" s="118" t="e">
        <f t="shared" si="32"/>
        <v>#DIV/0!</v>
      </c>
      <c r="L132" s="118" t="e">
        <f t="shared" si="33"/>
        <v>#DIV/0!</v>
      </c>
      <c r="M132" s="118" t="e">
        <f t="shared" si="34"/>
        <v>#DIV/0!</v>
      </c>
      <c r="N132" s="118" t="e">
        <f t="shared" si="35"/>
        <v>#DIV/0!</v>
      </c>
      <c r="O132" s="118" t="e">
        <f t="shared" si="36"/>
        <v>#DIV/0!</v>
      </c>
      <c r="P132" s="118" t="e">
        <f t="shared" si="37"/>
        <v>#DIV/0!</v>
      </c>
    </row>
    <row r="133" spans="1:16">
      <c r="A133" s="55" t="s">
        <v>15</v>
      </c>
      <c r="B133" s="55" t="s">
        <v>19</v>
      </c>
      <c r="C133" s="64">
        <v>521</v>
      </c>
      <c r="D133" s="64">
        <v>304</v>
      </c>
      <c r="E133" s="64">
        <v>164</v>
      </c>
      <c r="F133" s="64">
        <v>52</v>
      </c>
      <c r="G133" s="64">
        <v>8</v>
      </c>
      <c r="H133" s="64">
        <v>0</v>
      </c>
      <c r="I133" s="64">
        <v>1049</v>
      </c>
      <c r="J133" s="110">
        <f>+C133/$I133</f>
        <v>0.49666348903717827</v>
      </c>
      <c r="K133" s="122">
        <f t="shared" si="32"/>
        <v>0.28979980934223071</v>
      </c>
      <c r="L133" s="122">
        <f t="shared" si="33"/>
        <v>0.15633937082936131</v>
      </c>
      <c r="M133" s="122">
        <f t="shared" si="34"/>
        <v>4.9571020019065777E-2</v>
      </c>
      <c r="N133" s="122">
        <f t="shared" si="35"/>
        <v>7.6263107721639654E-3</v>
      </c>
      <c r="O133" s="122">
        <f t="shared" si="36"/>
        <v>0</v>
      </c>
      <c r="P133" s="122">
        <f t="shared" si="37"/>
        <v>1</v>
      </c>
    </row>
    <row r="134" spans="1:16">
      <c r="B134" s="55" t="s">
        <v>20</v>
      </c>
      <c r="C134" s="64">
        <v>258</v>
      </c>
      <c r="D134" s="64">
        <v>207</v>
      </c>
      <c r="E134" s="64">
        <v>197</v>
      </c>
      <c r="F134" s="64">
        <v>73</v>
      </c>
      <c r="G134" s="64">
        <v>2</v>
      </c>
      <c r="H134" s="64">
        <v>0</v>
      </c>
      <c r="I134" s="64">
        <v>737</v>
      </c>
      <c r="J134" s="110">
        <f t="shared" ref="J134:J141" si="49">+C134/$I134</f>
        <v>0.35006784260515605</v>
      </c>
      <c r="K134" s="111">
        <f t="shared" si="32"/>
        <v>0.28086838534599728</v>
      </c>
      <c r="L134" s="111">
        <f t="shared" si="33"/>
        <v>0.26729986431478969</v>
      </c>
      <c r="M134" s="111">
        <f t="shared" si="34"/>
        <v>9.9050203527815461E-2</v>
      </c>
      <c r="N134" s="111">
        <f t="shared" si="35"/>
        <v>2.7137042062415195E-3</v>
      </c>
      <c r="O134" s="111">
        <f t="shared" si="36"/>
        <v>0</v>
      </c>
      <c r="P134" s="111">
        <f t="shared" si="37"/>
        <v>1</v>
      </c>
    </row>
    <row r="135" spans="1:16">
      <c r="B135" s="55" t="s">
        <v>21</v>
      </c>
      <c r="C135" s="64">
        <v>443</v>
      </c>
      <c r="D135" s="64">
        <v>399</v>
      </c>
      <c r="E135" s="64">
        <v>460</v>
      </c>
      <c r="F135" s="64">
        <v>160</v>
      </c>
      <c r="G135" s="64">
        <v>1</v>
      </c>
      <c r="H135" s="64">
        <v>0</v>
      </c>
      <c r="I135" s="64">
        <v>1463</v>
      </c>
      <c r="J135" s="110">
        <f t="shared" si="49"/>
        <v>0.30280246069719752</v>
      </c>
      <c r="K135" s="111">
        <f t="shared" si="32"/>
        <v>0.27272727272727271</v>
      </c>
      <c r="L135" s="111">
        <f t="shared" si="33"/>
        <v>0.3144224196855776</v>
      </c>
      <c r="M135" s="111">
        <f t="shared" si="34"/>
        <v>0.10936431989063568</v>
      </c>
      <c r="N135" s="111">
        <f t="shared" si="35"/>
        <v>6.8352699931647305E-4</v>
      </c>
      <c r="O135" s="111">
        <f t="shared" si="36"/>
        <v>0</v>
      </c>
      <c r="P135" s="111">
        <f t="shared" si="37"/>
        <v>1</v>
      </c>
    </row>
    <row r="136" spans="1:16">
      <c r="B136" s="55" t="s">
        <v>22</v>
      </c>
      <c r="C136" s="64">
        <v>370</v>
      </c>
      <c r="D136" s="64">
        <v>260</v>
      </c>
      <c r="E136" s="64">
        <v>239</v>
      </c>
      <c r="F136" s="64">
        <v>46</v>
      </c>
      <c r="G136" s="64">
        <v>0</v>
      </c>
      <c r="H136" s="64">
        <v>0</v>
      </c>
      <c r="I136" s="64">
        <v>915</v>
      </c>
      <c r="J136" s="110">
        <f t="shared" si="49"/>
        <v>0.40437158469945356</v>
      </c>
      <c r="K136" s="111">
        <f t="shared" si="32"/>
        <v>0.28415300546448086</v>
      </c>
      <c r="L136" s="111">
        <f t="shared" si="33"/>
        <v>0.26120218579234972</v>
      </c>
      <c r="M136" s="111">
        <f t="shared" si="34"/>
        <v>5.0273224043715849E-2</v>
      </c>
      <c r="N136" s="111">
        <f t="shared" si="35"/>
        <v>0</v>
      </c>
      <c r="O136" s="111">
        <f t="shared" si="36"/>
        <v>0</v>
      </c>
      <c r="P136" s="111">
        <f t="shared" si="37"/>
        <v>1</v>
      </c>
    </row>
    <row r="137" spans="1:16">
      <c r="B137" s="55" t="s">
        <v>23</v>
      </c>
      <c r="C137" s="64">
        <v>102</v>
      </c>
      <c r="D137" s="64">
        <v>49</v>
      </c>
      <c r="E137" s="64">
        <v>53</v>
      </c>
      <c r="F137" s="64">
        <v>24</v>
      </c>
      <c r="G137" s="64">
        <v>0</v>
      </c>
      <c r="H137" s="64">
        <v>0</v>
      </c>
      <c r="I137" s="64">
        <v>228</v>
      </c>
      <c r="J137" s="110">
        <f t="shared" si="49"/>
        <v>0.44736842105263158</v>
      </c>
      <c r="K137" s="111">
        <f t="shared" si="32"/>
        <v>0.21491228070175439</v>
      </c>
      <c r="L137" s="111">
        <f t="shared" si="33"/>
        <v>0.23245614035087719</v>
      </c>
      <c r="M137" s="111">
        <f t="shared" si="34"/>
        <v>0.10526315789473684</v>
      </c>
      <c r="N137" s="111">
        <f t="shared" si="35"/>
        <v>0</v>
      </c>
      <c r="O137" s="111">
        <f t="shared" si="36"/>
        <v>0</v>
      </c>
      <c r="P137" s="111">
        <f t="shared" si="37"/>
        <v>1</v>
      </c>
    </row>
    <row r="138" spans="1:16">
      <c r="B138" s="55" t="s">
        <v>24</v>
      </c>
      <c r="C138" s="64">
        <v>0</v>
      </c>
      <c r="D138" s="64">
        <v>0</v>
      </c>
      <c r="E138" s="64">
        <v>0</v>
      </c>
      <c r="F138" s="64">
        <v>0</v>
      </c>
      <c r="G138" s="64">
        <v>0</v>
      </c>
      <c r="H138" s="64">
        <v>0</v>
      </c>
      <c r="I138" s="64">
        <v>0</v>
      </c>
      <c r="J138" s="110" t="e">
        <f t="shared" si="49"/>
        <v>#DIV/0!</v>
      </c>
      <c r="K138" s="111" t="e">
        <f t="shared" si="32"/>
        <v>#DIV/0!</v>
      </c>
      <c r="L138" s="111" t="e">
        <f t="shared" si="33"/>
        <v>#DIV/0!</v>
      </c>
      <c r="M138" s="111" t="e">
        <f t="shared" si="34"/>
        <v>#DIV/0!</v>
      </c>
      <c r="N138" s="111" t="e">
        <f t="shared" si="35"/>
        <v>#DIV/0!</v>
      </c>
      <c r="O138" s="111" t="e">
        <f t="shared" si="36"/>
        <v>#DIV/0!</v>
      </c>
      <c r="P138" s="111" t="e">
        <f t="shared" si="37"/>
        <v>#DIV/0!</v>
      </c>
    </row>
    <row r="139" spans="1:16" s="63" customFormat="1">
      <c r="B139" s="63" t="s">
        <v>90</v>
      </c>
      <c r="C139" s="65">
        <f t="shared" ref="C139:I139" si="50">SUM(C133:C138)</f>
        <v>1694</v>
      </c>
      <c r="D139" s="65">
        <f t="shared" si="50"/>
        <v>1219</v>
      </c>
      <c r="E139" s="65">
        <f t="shared" si="50"/>
        <v>1113</v>
      </c>
      <c r="F139" s="65">
        <f t="shared" si="50"/>
        <v>355</v>
      </c>
      <c r="G139" s="65">
        <f t="shared" si="50"/>
        <v>11</v>
      </c>
      <c r="H139" s="65">
        <f t="shared" si="50"/>
        <v>0</v>
      </c>
      <c r="I139" s="65">
        <f t="shared" si="50"/>
        <v>4392</v>
      </c>
      <c r="J139" s="551">
        <f t="shared" si="49"/>
        <v>0.38570127504553736</v>
      </c>
      <c r="K139" s="552">
        <f t="shared" si="32"/>
        <v>0.27755009107468126</v>
      </c>
      <c r="L139" s="552">
        <f t="shared" si="33"/>
        <v>0.25341530054644806</v>
      </c>
      <c r="M139" s="552">
        <f t="shared" si="34"/>
        <v>8.08287795992714E-2</v>
      </c>
      <c r="N139" s="553">
        <f t="shared" si="35"/>
        <v>2.5045537340619307E-3</v>
      </c>
      <c r="O139" s="552">
        <f t="shared" si="36"/>
        <v>0</v>
      </c>
      <c r="P139" s="552">
        <f t="shared" si="37"/>
        <v>1</v>
      </c>
    </row>
    <row r="140" spans="1:16">
      <c r="B140" s="55" t="s">
        <v>25</v>
      </c>
      <c r="C140" s="64">
        <v>174</v>
      </c>
      <c r="D140" s="64">
        <v>726</v>
      </c>
      <c r="E140" s="64">
        <v>379</v>
      </c>
      <c r="F140" s="64">
        <v>356</v>
      </c>
      <c r="G140" s="151">
        <v>0</v>
      </c>
      <c r="H140" s="151">
        <v>0</v>
      </c>
      <c r="I140" s="64">
        <v>1635</v>
      </c>
      <c r="J140" s="110">
        <f t="shared" si="49"/>
        <v>0.10642201834862386</v>
      </c>
      <c r="K140" s="111">
        <f t="shared" si="32"/>
        <v>0.44403669724770645</v>
      </c>
      <c r="L140" s="111">
        <f t="shared" si="33"/>
        <v>0.23180428134556574</v>
      </c>
      <c r="M140" s="111">
        <f t="shared" si="34"/>
        <v>0.21773700305810398</v>
      </c>
      <c r="N140" s="111">
        <f t="shared" si="35"/>
        <v>0</v>
      </c>
      <c r="O140" s="111">
        <f t="shared" si="36"/>
        <v>0</v>
      </c>
      <c r="P140" s="111">
        <f t="shared" si="37"/>
        <v>1</v>
      </c>
    </row>
    <row r="141" spans="1:16">
      <c r="A141" s="187"/>
      <c r="B141" s="187" t="s">
        <v>26</v>
      </c>
      <c r="C141" s="549">
        <v>0</v>
      </c>
      <c r="D141" s="549">
        <v>0</v>
      </c>
      <c r="E141" s="549">
        <v>0</v>
      </c>
      <c r="F141" s="549">
        <v>0</v>
      </c>
      <c r="G141" s="549">
        <v>0</v>
      </c>
      <c r="H141" s="549">
        <v>420</v>
      </c>
      <c r="I141" s="550">
        <v>420</v>
      </c>
      <c r="J141" s="117">
        <f t="shared" si="49"/>
        <v>0</v>
      </c>
      <c r="K141" s="118">
        <f t="shared" si="32"/>
        <v>0</v>
      </c>
      <c r="L141" s="118">
        <f t="shared" si="33"/>
        <v>0</v>
      </c>
      <c r="M141" s="118">
        <f t="shared" si="34"/>
        <v>0</v>
      </c>
      <c r="N141" s="118">
        <f t="shared" si="35"/>
        <v>0</v>
      </c>
      <c r="O141" s="118">
        <f t="shared" si="36"/>
        <v>1</v>
      </c>
      <c r="P141" s="118">
        <f t="shared" si="37"/>
        <v>1</v>
      </c>
    </row>
    <row r="142" spans="1:16">
      <c r="A142" s="55" t="s">
        <v>16</v>
      </c>
      <c r="B142" s="55" t="s">
        <v>19</v>
      </c>
      <c r="C142" s="64">
        <v>2511</v>
      </c>
      <c r="D142" s="64">
        <v>1627</v>
      </c>
      <c r="E142" s="64">
        <v>1213</v>
      </c>
      <c r="F142" s="64">
        <v>49</v>
      </c>
      <c r="G142" s="64">
        <v>736</v>
      </c>
      <c r="H142" s="64">
        <v>0</v>
      </c>
      <c r="I142" s="64">
        <v>6136</v>
      </c>
      <c r="J142" s="110">
        <f>+C142/$I142</f>
        <v>0.40922425032594523</v>
      </c>
      <c r="K142" s="122">
        <f t="shared" si="32"/>
        <v>0.26515645371577573</v>
      </c>
      <c r="L142" s="122">
        <f t="shared" si="33"/>
        <v>0.19768578878748369</v>
      </c>
      <c r="M142" s="122">
        <f t="shared" si="34"/>
        <v>7.9856584093872234E-3</v>
      </c>
      <c r="N142" s="122">
        <f t="shared" si="35"/>
        <v>0.11994784876140809</v>
      </c>
      <c r="O142" s="122">
        <f t="shared" si="36"/>
        <v>0</v>
      </c>
      <c r="P142" s="122">
        <f t="shared" si="37"/>
        <v>1</v>
      </c>
    </row>
    <row r="143" spans="1:16">
      <c r="B143" s="55" t="s">
        <v>20</v>
      </c>
      <c r="C143" s="64">
        <v>418</v>
      </c>
      <c r="D143" s="64">
        <v>364</v>
      </c>
      <c r="E143" s="64">
        <v>349</v>
      </c>
      <c r="F143" s="64">
        <v>32</v>
      </c>
      <c r="G143" s="64">
        <v>138</v>
      </c>
      <c r="H143" s="64">
        <v>0</v>
      </c>
      <c r="I143" s="64">
        <v>1301</v>
      </c>
      <c r="J143" s="110">
        <f t="shared" ref="J143:J150" si="51">+C143/$I143</f>
        <v>0.32129131437355879</v>
      </c>
      <c r="K143" s="111">
        <f t="shared" si="32"/>
        <v>0.27978478093774017</v>
      </c>
      <c r="L143" s="111">
        <f t="shared" si="33"/>
        <v>0.26825518831667949</v>
      </c>
      <c r="M143" s="111">
        <f t="shared" si="34"/>
        <v>2.4596464258262875E-2</v>
      </c>
      <c r="N143" s="111">
        <f t="shared" si="35"/>
        <v>0.10607225211375865</v>
      </c>
      <c r="O143" s="111">
        <f t="shared" si="36"/>
        <v>0</v>
      </c>
      <c r="P143" s="111">
        <f t="shared" si="37"/>
        <v>1</v>
      </c>
    </row>
    <row r="144" spans="1:16">
      <c r="B144" s="55" t="s">
        <v>21</v>
      </c>
      <c r="C144" s="64">
        <v>1370</v>
      </c>
      <c r="D144" s="64">
        <v>1296</v>
      </c>
      <c r="E144" s="64">
        <v>1254</v>
      </c>
      <c r="F144" s="64">
        <v>344</v>
      </c>
      <c r="G144" s="64">
        <v>518</v>
      </c>
      <c r="H144" s="64">
        <v>0</v>
      </c>
      <c r="I144" s="64">
        <v>4782</v>
      </c>
      <c r="J144" s="110">
        <f t="shared" si="51"/>
        <v>0.28649100794646593</v>
      </c>
      <c r="K144" s="111">
        <f t="shared" si="32"/>
        <v>0.2710163111668758</v>
      </c>
      <c r="L144" s="111">
        <f t="shared" si="33"/>
        <v>0.26223337515683814</v>
      </c>
      <c r="M144" s="111">
        <f t="shared" si="34"/>
        <v>7.1936428272689257E-2</v>
      </c>
      <c r="N144" s="111">
        <f t="shared" si="35"/>
        <v>0.10832287745713091</v>
      </c>
      <c r="O144" s="111">
        <f t="shared" si="36"/>
        <v>0</v>
      </c>
      <c r="P144" s="111">
        <f t="shared" si="37"/>
        <v>1</v>
      </c>
    </row>
    <row r="145" spans="1:16">
      <c r="B145" s="55" t="s">
        <v>22</v>
      </c>
      <c r="C145" s="64">
        <v>187</v>
      </c>
      <c r="D145" s="64">
        <v>186</v>
      </c>
      <c r="E145" s="64">
        <v>251</v>
      </c>
      <c r="F145" s="64">
        <v>139</v>
      </c>
      <c r="G145" s="64">
        <v>63</v>
      </c>
      <c r="H145" s="64">
        <v>0</v>
      </c>
      <c r="I145" s="64">
        <v>826</v>
      </c>
      <c r="J145" s="110">
        <f t="shared" si="51"/>
        <v>0.22639225181598063</v>
      </c>
      <c r="K145" s="111">
        <f t="shared" ref="K145:K168" si="52">+D145/$I145</f>
        <v>0.22518159806295399</v>
      </c>
      <c r="L145" s="111">
        <f t="shared" ref="L145:L168" si="53">+E145/$I145</f>
        <v>0.30387409200968524</v>
      </c>
      <c r="M145" s="111">
        <f t="shared" ref="M145:M168" si="54">+F145/$I145</f>
        <v>0.16828087167070219</v>
      </c>
      <c r="N145" s="111">
        <f t="shared" ref="N145:N168" si="55">+G145/$I145</f>
        <v>7.6271186440677971E-2</v>
      </c>
      <c r="O145" s="111">
        <f t="shared" ref="O145:O168" si="56">+H145/$I145</f>
        <v>0</v>
      </c>
      <c r="P145" s="111">
        <f t="shared" ref="P145:P168" si="57">+I145/$I145</f>
        <v>1</v>
      </c>
    </row>
    <row r="146" spans="1:16">
      <c r="B146" s="55" t="s">
        <v>23</v>
      </c>
      <c r="C146" s="64">
        <v>55</v>
      </c>
      <c r="D146" s="64">
        <v>71</v>
      </c>
      <c r="E146" s="64">
        <v>103</v>
      </c>
      <c r="F146" s="64">
        <v>18</v>
      </c>
      <c r="G146" s="64">
        <v>49</v>
      </c>
      <c r="H146" s="64">
        <v>0</v>
      </c>
      <c r="I146" s="64">
        <v>296</v>
      </c>
      <c r="J146" s="110">
        <f t="shared" si="51"/>
        <v>0.1858108108108108</v>
      </c>
      <c r="K146" s="111">
        <f t="shared" si="52"/>
        <v>0.23986486486486486</v>
      </c>
      <c r="L146" s="111">
        <f t="shared" si="53"/>
        <v>0.34797297297297297</v>
      </c>
      <c r="M146" s="111">
        <f t="shared" si="54"/>
        <v>6.0810810810810814E-2</v>
      </c>
      <c r="N146" s="111">
        <f t="shared" si="55"/>
        <v>0.16554054054054054</v>
      </c>
      <c r="O146" s="111">
        <f t="shared" si="56"/>
        <v>0</v>
      </c>
      <c r="P146" s="111">
        <f t="shared" si="57"/>
        <v>1</v>
      </c>
    </row>
    <row r="147" spans="1:16">
      <c r="B147" s="55" t="s">
        <v>24</v>
      </c>
      <c r="C147" s="64">
        <v>35</v>
      </c>
      <c r="D147" s="64">
        <v>72</v>
      </c>
      <c r="E147" s="64">
        <v>63</v>
      </c>
      <c r="F147" s="64">
        <v>6</v>
      </c>
      <c r="G147" s="64">
        <v>63</v>
      </c>
      <c r="H147" s="64">
        <v>0</v>
      </c>
      <c r="I147" s="64">
        <v>239</v>
      </c>
      <c r="J147" s="110">
        <f t="shared" si="51"/>
        <v>0.14644351464435146</v>
      </c>
      <c r="K147" s="111">
        <f t="shared" si="52"/>
        <v>0.30125523012552302</v>
      </c>
      <c r="L147" s="111">
        <f t="shared" si="53"/>
        <v>0.26359832635983266</v>
      </c>
      <c r="M147" s="111">
        <f t="shared" si="54"/>
        <v>2.5104602510460251E-2</v>
      </c>
      <c r="N147" s="111">
        <f t="shared" si="55"/>
        <v>0.26359832635983266</v>
      </c>
      <c r="O147" s="111">
        <f t="shared" si="56"/>
        <v>0</v>
      </c>
      <c r="P147" s="111">
        <f t="shared" si="57"/>
        <v>1</v>
      </c>
    </row>
    <row r="148" spans="1:16" s="63" customFormat="1">
      <c r="B148" s="63" t="s">
        <v>90</v>
      </c>
      <c r="C148" s="65">
        <f t="shared" ref="C148:I148" si="58">SUM(C142:C147)</f>
        <v>4576</v>
      </c>
      <c r="D148" s="65">
        <f t="shared" si="58"/>
        <v>3616</v>
      </c>
      <c r="E148" s="65">
        <f t="shared" si="58"/>
        <v>3233</v>
      </c>
      <c r="F148" s="65">
        <f t="shared" si="58"/>
        <v>588</v>
      </c>
      <c r="G148" s="65">
        <f t="shared" si="58"/>
        <v>1567</v>
      </c>
      <c r="H148" s="65">
        <f t="shared" si="58"/>
        <v>0</v>
      </c>
      <c r="I148" s="65">
        <f t="shared" si="58"/>
        <v>13580</v>
      </c>
      <c r="J148" s="551">
        <f t="shared" si="51"/>
        <v>0.33696612665684833</v>
      </c>
      <c r="K148" s="552">
        <f t="shared" si="52"/>
        <v>0.26627393225331369</v>
      </c>
      <c r="L148" s="552">
        <f t="shared" si="53"/>
        <v>0.23807069219440352</v>
      </c>
      <c r="M148" s="552">
        <f t="shared" si="54"/>
        <v>4.3298969072164947E-2</v>
      </c>
      <c r="N148" s="552">
        <f t="shared" si="55"/>
        <v>0.11539027982326952</v>
      </c>
      <c r="O148" s="552">
        <f t="shared" si="56"/>
        <v>0</v>
      </c>
      <c r="P148" s="552">
        <f t="shared" si="57"/>
        <v>1</v>
      </c>
    </row>
    <row r="149" spans="1:16">
      <c r="B149" s="55" t="s">
        <v>25</v>
      </c>
      <c r="C149" s="64">
        <v>0</v>
      </c>
      <c r="D149" s="64">
        <v>0</v>
      </c>
      <c r="E149" s="64">
        <v>0</v>
      </c>
      <c r="F149" s="64">
        <v>0</v>
      </c>
      <c r="G149" s="151">
        <v>0</v>
      </c>
      <c r="H149" s="151">
        <v>8205</v>
      </c>
      <c r="I149" s="64">
        <v>8205</v>
      </c>
      <c r="J149" s="110">
        <f t="shared" si="51"/>
        <v>0</v>
      </c>
      <c r="K149" s="111">
        <f t="shared" si="52"/>
        <v>0</v>
      </c>
      <c r="L149" s="111">
        <f t="shared" si="53"/>
        <v>0</v>
      </c>
      <c r="M149" s="111">
        <f t="shared" si="54"/>
        <v>0</v>
      </c>
      <c r="N149" s="111">
        <f t="shared" si="55"/>
        <v>0</v>
      </c>
      <c r="O149" s="111">
        <f t="shared" si="56"/>
        <v>1</v>
      </c>
      <c r="P149" s="111">
        <f t="shared" si="57"/>
        <v>1</v>
      </c>
    </row>
    <row r="150" spans="1:16">
      <c r="A150" s="187"/>
      <c r="B150" s="187" t="s">
        <v>26</v>
      </c>
      <c r="C150" s="549">
        <v>0</v>
      </c>
      <c r="D150" s="549">
        <v>0</v>
      </c>
      <c r="E150" s="549">
        <v>0</v>
      </c>
      <c r="F150" s="549">
        <v>0</v>
      </c>
      <c r="G150" s="549">
        <v>0</v>
      </c>
      <c r="H150" s="549">
        <v>0</v>
      </c>
      <c r="I150" s="550">
        <v>0</v>
      </c>
      <c r="J150" s="117" t="e">
        <f t="shared" si="51"/>
        <v>#DIV/0!</v>
      </c>
      <c r="K150" s="118" t="e">
        <f t="shared" si="52"/>
        <v>#DIV/0!</v>
      </c>
      <c r="L150" s="118" t="e">
        <f t="shared" si="53"/>
        <v>#DIV/0!</v>
      </c>
      <c r="M150" s="118" t="e">
        <f t="shared" si="54"/>
        <v>#DIV/0!</v>
      </c>
      <c r="N150" s="118" t="e">
        <f t="shared" si="55"/>
        <v>#DIV/0!</v>
      </c>
      <c r="O150" s="118" t="e">
        <f t="shared" si="56"/>
        <v>#DIV/0!</v>
      </c>
      <c r="P150" s="118" t="e">
        <f t="shared" si="57"/>
        <v>#DIV/0!</v>
      </c>
    </row>
    <row r="151" spans="1:16">
      <c r="A151" s="55" t="s">
        <v>17</v>
      </c>
      <c r="B151" s="55" t="s">
        <v>19</v>
      </c>
      <c r="C151" s="64">
        <v>929</v>
      </c>
      <c r="D151" s="64">
        <v>652</v>
      </c>
      <c r="E151" s="64">
        <v>437</v>
      </c>
      <c r="F151" s="64">
        <v>136</v>
      </c>
      <c r="G151" s="64">
        <v>67</v>
      </c>
      <c r="H151" s="64">
        <v>0</v>
      </c>
      <c r="I151" s="64">
        <v>2221</v>
      </c>
      <c r="J151" s="110">
        <f>+C151/$I151</f>
        <v>0.41828005402971635</v>
      </c>
      <c r="K151" s="122">
        <f t="shared" si="52"/>
        <v>0.2935614588023413</v>
      </c>
      <c r="L151" s="122">
        <f t="shared" si="53"/>
        <v>0.19675821701936064</v>
      </c>
      <c r="M151" s="122">
        <f t="shared" si="54"/>
        <v>6.1233678523187757E-2</v>
      </c>
      <c r="N151" s="122">
        <f t="shared" si="55"/>
        <v>3.0166591625393965E-2</v>
      </c>
      <c r="O151" s="122">
        <f t="shared" si="56"/>
        <v>0</v>
      </c>
      <c r="P151" s="122">
        <f t="shared" si="57"/>
        <v>1</v>
      </c>
    </row>
    <row r="152" spans="1:16">
      <c r="B152" s="55" t="s">
        <v>20</v>
      </c>
      <c r="C152" s="64">
        <v>849</v>
      </c>
      <c r="D152" s="64">
        <v>930</v>
      </c>
      <c r="E152" s="64">
        <v>666</v>
      </c>
      <c r="F152" s="64">
        <v>145</v>
      </c>
      <c r="G152" s="64">
        <v>67</v>
      </c>
      <c r="H152" s="64">
        <v>0</v>
      </c>
      <c r="I152" s="64">
        <v>2657</v>
      </c>
      <c r="J152" s="110">
        <f t="shared" ref="J152:J159" si="59">+C152/$I152</f>
        <v>0.31953330824237863</v>
      </c>
      <c r="K152" s="111">
        <f t="shared" si="52"/>
        <v>0.35001881821603315</v>
      </c>
      <c r="L152" s="111">
        <f t="shared" si="53"/>
        <v>0.25065863756115919</v>
      </c>
      <c r="M152" s="111">
        <f t="shared" si="54"/>
        <v>5.4572826496048173E-2</v>
      </c>
      <c r="N152" s="111">
        <f t="shared" si="55"/>
        <v>2.5216409484380881E-2</v>
      </c>
      <c r="O152" s="111">
        <f t="shared" si="56"/>
        <v>0</v>
      </c>
      <c r="P152" s="111">
        <f t="shared" si="57"/>
        <v>1</v>
      </c>
    </row>
    <row r="153" spans="1:16">
      <c r="B153" s="55" t="s">
        <v>21</v>
      </c>
      <c r="C153" s="64">
        <v>343</v>
      </c>
      <c r="D153" s="64">
        <v>299</v>
      </c>
      <c r="E153" s="64">
        <v>258</v>
      </c>
      <c r="F153" s="64">
        <v>69</v>
      </c>
      <c r="G153" s="64">
        <v>0</v>
      </c>
      <c r="H153" s="64">
        <v>0</v>
      </c>
      <c r="I153" s="64">
        <v>969</v>
      </c>
      <c r="J153" s="110">
        <f t="shared" si="59"/>
        <v>0.3539731682146543</v>
      </c>
      <c r="K153" s="111">
        <f t="shared" si="52"/>
        <v>0.30856553147574817</v>
      </c>
      <c r="L153" s="111">
        <f t="shared" si="53"/>
        <v>0.26625386996904027</v>
      </c>
      <c r="M153" s="111">
        <f t="shared" si="54"/>
        <v>7.1207430340557279E-2</v>
      </c>
      <c r="N153" s="111">
        <f t="shared" si="55"/>
        <v>0</v>
      </c>
      <c r="O153" s="111">
        <f t="shared" si="56"/>
        <v>0</v>
      </c>
      <c r="P153" s="111">
        <f t="shared" si="57"/>
        <v>1</v>
      </c>
    </row>
    <row r="154" spans="1:16">
      <c r="B154" s="55" t="s">
        <v>22</v>
      </c>
      <c r="C154" s="64">
        <v>127</v>
      </c>
      <c r="D154" s="64">
        <v>130</v>
      </c>
      <c r="E154" s="64">
        <v>181</v>
      </c>
      <c r="F154" s="64">
        <v>63</v>
      </c>
      <c r="G154" s="64">
        <v>6</v>
      </c>
      <c r="H154" s="64">
        <v>0</v>
      </c>
      <c r="I154" s="64">
        <v>507</v>
      </c>
      <c r="J154" s="110">
        <f t="shared" si="59"/>
        <v>0.2504930966469428</v>
      </c>
      <c r="K154" s="111">
        <f t="shared" si="52"/>
        <v>0.25641025641025639</v>
      </c>
      <c r="L154" s="111">
        <f t="shared" si="53"/>
        <v>0.35700197238658776</v>
      </c>
      <c r="M154" s="111">
        <f t="shared" si="54"/>
        <v>0.1242603550295858</v>
      </c>
      <c r="N154" s="111">
        <f t="shared" si="55"/>
        <v>1.1834319526627219E-2</v>
      </c>
      <c r="O154" s="111">
        <f t="shared" si="56"/>
        <v>0</v>
      </c>
      <c r="P154" s="111">
        <f t="shared" si="57"/>
        <v>1</v>
      </c>
    </row>
    <row r="155" spans="1:16">
      <c r="B155" s="55" t="s">
        <v>23</v>
      </c>
      <c r="C155" s="64">
        <v>39</v>
      </c>
      <c r="D155" s="64">
        <v>55</v>
      </c>
      <c r="E155" s="64">
        <v>47</v>
      </c>
      <c r="F155" s="64">
        <v>16</v>
      </c>
      <c r="G155" s="64">
        <v>1</v>
      </c>
      <c r="H155" s="64">
        <v>0</v>
      </c>
      <c r="I155" s="64">
        <v>158</v>
      </c>
      <c r="J155" s="110">
        <f t="shared" si="59"/>
        <v>0.24683544303797469</v>
      </c>
      <c r="K155" s="111">
        <f t="shared" si="52"/>
        <v>0.34810126582278483</v>
      </c>
      <c r="L155" s="111">
        <f t="shared" si="53"/>
        <v>0.29746835443037972</v>
      </c>
      <c r="M155" s="111">
        <f t="shared" si="54"/>
        <v>0.10126582278481013</v>
      </c>
      <c r="N155" s="111">
        <f t="shared" si="55"/>
        <v>6.3291139240506328E-3</v>
      </c>
      <c r="O155" s="111">
        <f t="shared" si="56"/>
        <v>0</v>
      </c>
      <c r="P155" s="111">
        <f t="shared" si="57"/>
        <v>1</v>
      </c>
    </row>
    <row r="156" spans="1:16">
      <c r="B156" s="55" t="s">
        <v>24</v>
      </c>
      <c r="C156" s="64">
        <v>134</v>
      </c>
      <c r="D156" s="64">
        <v>120</v>
      </c>
      <c r="E156" s="64">
        <v>115</v>
      </c>
      <c r="F156" s="64">
        <v>23</v>
      </c>
      <c r="G156" s="64">
        <v>22</v>
      </c>
      <c r="H156" s="64">
        <v>0</v>
      </c>
      <c r="I156" s="64">
        <v>414</v>
      </c>
      <c r="J156" s="110">
        <f t="shared" si="59"/>
        <v>0.32367149758454106</v>
      </c>
      <c r="K156" s="111">
        <f t="shared" si="52"/>
        <v>0.28985507246376813</v>
      </c>
      <c r="L156" s="111">
        <f t="shared" si="53"/>
        <v>0.27777777777777779</v>
      </c>
      <c r="M156" s="111">
        <f t="shared" si="54"/>
        <v>5.5555555555555552E-2</v>
      </c>
      <c r="N156" s="111">
        <f t="shared" si="55"/>
        <v>5.3140096618357488E-2</v>
      </c>
      <c r="O156" s="111">
        <f t="shared" si="56"/>
        <v>0</v>
      </c>
      <c r="P156" s="111">
        <f t="shared" si="57"/>
        <v>1</v>
      </c>
    </row>
    <row r="157" spans="1:16" s="63" customFormat="1">
      <c r="B157" s="63" t="s">
        <v>90</v>
      </c>
      <c r="C157" s="65">
        <f t="shared" ref="C157:I157" si="60">SUM(C151:C156)</f>
        <v>2421</v>
      </c>
      <c r="D157" s="65">
        <f t="shared" si="60"/>
        <v>2186</v>
      </c>
      <c r="E157" s="65">
        <f t="shared" si="60"/>
        <v>1704</v>
      </c>
      <c r="F157" s="65">
        <f t="shared" si="60"/>
        <v>452</v>
      </c>
      <c r="G157" s="65">
        <f t="shared" si="60"/>
        <v>163</v>
      </c>
      <c r="H157" s="65">
        <f t="shared" si="60"/>
        <v>0</v>
      </c>
      <c r="I157" s="65">
        <f t="shared" si="60"/>
        <v>6926</v>
      </c>
      <c r="J157" s="551">
        <f t="shared" si="59"/>
        <v>0.34955241120415825</v>
      </c>
      <c r="K157" s="552">
        <f t="shared" si="52"/>
        <v>0.31562229280970255</v>
      </c>
      <c r="L157" s="552">
        <f t="shared" si="53"/>
        <v>0.24602945423043604</v>
      </c>
      <c r="M157" s="552">
        <f t="shared" si="54"/>
        <v>6.5261334103378574E-2</v>
      </c>
      <c r="N157" s="552">
        <f t="shared" si="55"/>
        <v>2.3534507652324572E-2</v>
      </c>
      <c r="O157" s="552">
        <f t="shared" si="56"/>
        <v>0</v>
      </c>
      <c r="P157" s="552">
        <f t="shared" si="57"/>
        <v>1</v>
      </c>
    </row>
    <row r="158" spans="1:16">
      <c r="B158" s="55" t="s">
        <v>25</v>
      </c>
      <c r="C158" s="64">
        <v>447</v>
      </c>
      <c r="D158" s="64">
        <v>642</v>
      </c>
      <c r="E158" s="64">
        <v>554</v>
      </c>
      <c r="F158" s="64">
        <v>226</v>
      </c>
      <c r="G158" s="151">
        <v>2</v>
      </c>
      <c r="H158" s="151">
        <v>0</v>
      </c>
      <c r="I158" s="64">
        <v>1871</v>
      </c>
      <c r="J158" s="110">
        <f t="shared" si="59"/>
        <v>0.23890967397113844</v>
      </c>
      <c r="K158" s="111">
        <f t="shared" si="52"/>
        <v>0.34313201496525925</v>
      </c>
      <c r="L158" s="111">
        <f t="shared" si="53"/>
        <v>0.29609834313201494</v>
      </c>
      <c r="M158" s="111">
        <f t="shared" si="54"/>
        <v>0.1207910208444682</v>
      </c>
      <c r="N158" s="111">
        <f t="shared" si="55"/>
        <v>1.0689470871191875E-3</v>
      </c>
      <c r="O158" s="111">
        <f t="shared" si="56"/>
        <v>0</v>
      </c>
      <c r="P158" s="111">
        <f t="shared" si="57"/>
        <v>1</v>
      </c>
    </row>
    <row r="159" spans="1:16">
      <c r="A159" s="187"/>
      <c r="B159" s="187" t="s">
        <v>26</v>
      </c>
      <c r="C159" s="549">
        <v>0</v>
      </c>
      <c r="D159" s="549">
        <v>0</v>
      </c>
      <c r="E159" s="549">
        <v>0</v>
      </c>
      <c r="F159" s="549">
        <v>0</v>
      </c>
      <c r="G159" s="549">
        <v>0</v>
      </c>
      <c r="H159" s="549">
        <v>0</v>
      </c>
      <c r="I159" s="550">
        <v>0</v>
      </c>
      <c r="J159" s="117" t="e">
        <f t="shared" si="59"/>
        <v>#DIV/0!</v>
      </c>
      <c r="K159" s="118" t="e">
        <f t="shared" si="52"/>
        <v>#DIV/0!</v>
      </c>
      <c r="L159" s="118" t="e">
        <f t="shared" si="53"/>
        <v>#DIV/0!</v>
      </c>
      <c r="M159" s="118" t="e">
        <f t="shared" si="54"/>
        <v>#DIV/0!</v>
      </c>
      <c r="N159" s="118" t="e">
        <f t="shared" si="55"/>
        <v>#DIV/0!</v>
      </c>
      <c r="O159" s="118" t="e">
        <f t="shared" si="56"/>
        <v>#DIV/0!</v>
      </c>
      <c r="P159" s="118" t="e">
        <f t="shared" si="57"/>
        <v>#DIV/0!</v>
      </c>
    </row>
    <row r="160" spans="1:16">
      <c r="A160" s="55" t="s">
        <v>18</v>
      </c>
      <c r="B160" s="55" t="s">
        <v>19</v>
      </c>
      <c r="C160" s="64">
        <v>346</v>
      </c>
      <c r="D160" s="64">
        <v>257</v>
      </c>
      <c r="E160" s="64">
        <v>216</v>
      </c>
      <c r="F160" s="64">
        <v>12</v>
      </c>
      <c r="G160" s="64">
        <v>12</v>
      </c>
      <c r="H160" s="64">
        <v>0</v>
      </c>
      <c r="I160" s="64">
        <v>843</v>
      </c>
      <c r="J160" s="110">
        <f>+C160/$I160</f>
        <v>0.41043890865954924</v>
      </c>
      <c r="K160" s="122">
        <f t="shared" si="52"/>
        <v>0.30486358244365364</v>
      </c>
      <c r="L160" s="122">
        <f t="shared" si="53"/>
        <v>0.25622775800711745</v>
      </c>
      <c r="M160" s="122">
        <f t="shared" si="54"/>
        <v>1.4234875444839857E-2</v>
      </c>
      <c r="N160" s="122">
        <f t="shared" si="55"/>
        <v>1.4234875444839857E-2</v>
      </c>
      <c r="O160" s="122">
        <f t="shared" si="56"/>
        <v>0</v>
      </c>
      <c r="P160" s="122">
        <f t="shared" si="57"/>
        <v>1</v>
      </c>
    </row>
    <row r="161" spans="1:16">
      <c r="B161" s="55" t="s">
        <v>20</v>
      </c>
      <c r="C161" s="64">
        <v>0</v>
      </c>
      <c r="D161" s="64">
        <v>0</v>
      </c>
      <c r="E161" s="64">
        <v>0</v>
      </c>
      <c r="F161" s="64">
        <v>0</v>
      </c>
      <c r="G161" s="64">
        <v>0</v>
      </c>
      <c r="H161" s="64">
        <v>0</v>
      </c>
      <c r="I161" s="64">
        <v>0</v>
      </c>
      <c r="J161" s="110" t="e">
        <f t="shared" ref="J161:J168" si="61">+C161/$I161</f>
        <v>#DIV/0!</v>
      </c>
      <c r="K161" s="111" t="e">
        <f t="shared" si="52"/>
        <v>#DIV/0!</v>
      </c>
      <c r="L161" s="111" t="e">
        <f t="shared" si="53"/>
        <v>#DIV/0!</v>
      </c>
      <c r="M161" s="111" t="e">
        <f t="shared" si="54"/>
        <v>#DIV/0!</v>
      </c>
      <c r="N161" s="111" t="e">
        <f t="shared" si="55"/>
        <v>#DIV/0!</v>
      </c>
      <c r="O161" s="111" t="e">
        <f t="shared" si="56"/>
        <v>#DIV/0!</v>
      </c>
      <c r="P161" s="111" t="e">
        <f t="shared" si="57"/>
        <v>#DIV/0!</v>
      </c>
    </row>
    <row r="162" spans="1:16">
      <c r="B162" s="55" t="s">
        <v>21</v>
      </c>
      <c r="C162" s="64">
        <v>195</v>
      </c>
      <c r="D162" s="64">
        <v>133</v>
      </c>
      <c r="E162" s="64">
        <v>112</v>
      </c>
      <c r="F162" s="64">
        <v>26</v>
      </c>
      <c r="G162" s="64">
        <v>0</v>
      </c>
      <c r="H162" s="64">
        <v>0</v>
      </c>
      <c r="I162" s="64">
        <v>466</v>
      </c>
      <c r="J162" s="110">
        <f t="shared" si="61"/>
        <v>0.41845493562231761</v>
      </c>
      <c r="K162" s="111">
        <f t="shared" si="52"/>
        <v>0.28540772532188841</v>
      </c>
      <c r="L162" s="111">
        <f t="shared" si="53"/>
        <v>0.24034334763948498</v>
      </c>
      <c r="M162" s="111">
        <f t="shared" si="54"/>
        <v>5.5793991416309016E-2</v>
      </c>
      <c r="N162" s="111">
        <f t="shared" si="55"/>
        <v>0</v>
      </c>
      <c r="O162" s="111">
        <f t="shared" si="56"/>
        <v>0</v>
      </c>
      <c r="P162" s="111">
        <f t="shared" si="57"/>
        <v>1</v>
      </c>
    </row>
    <row r="163" spans="1:16">
      <c r="B163" s="55" t="s">
        <v>22</v>
      </c>
      <c r="C163" s="64">
        <v>0</v>
      </c>
      <c r="D163" s="64">
        <v>0</v>
      </c>
      <c r="E163" s="64">
        <v>0</v>
      </c>
      <c r="F163" s="64">
        <v>0</v>
      </c>
      <c r="G163" s="64">
        <v>0</v>
      </c>
      <c r="H163" s="64">
        <v>0</v>
      </c>
      <c r="I163" s="64">
        <v>0</v>
      </c>
      <c r="J163" s="110" t="e">
        <f t="shared" si="61"/>
        <v>#DIV/0!</v>
      </c>
      <c r="K163" s="111" t="e">
        <f t="shared" si="52"/>
        <v>#DIV/0!</v>
      </c>
      <c r="L163" s="111" t="e">
        <f t="shared" si="53"/>
        <v>#DIV/0!</v>
      </c>
      <c r="M163" s="111" t="e">
        <f t="shared" si="54"/>
        <v>#DIV/0!</v>
      </c>
      <c r="N163" s="111" t="e">
        <f t="shared" si="55"/>
        <v>#DIV/0!</v>
      </c>
      <c r="O163" s="111" t="e">
        <f t="shared" si="56"/>
        <v>#DIV/0!</v>
      </c>
      <c r="P163" s="111" t="e">
        <f t="shared" si="57"/>
        <v>#DIV/0!</v>
      </c>
    </row>
    <row r="164" spans="1:16">
      <c r="B164" s="55" t="s">
        <v>23</v>
      </c>
      <c r="C164" s="64">
        <v>0</v>
      </c>
      <c r="D164" s="64">
        <v>0</v>
      </c>
      <c r="E164" s="64">
        <v>0</v>
      </c>
      <c r="F164" s="64">
        <v>0</v>
      </c>
      <c r="G164" s="64">
        <v>0</v>
      </c>
      <c r="H164" s="64">
        <v>0</v>
      </c>
      <c r="I164" s="64">
        <v>0</v>
      </c>
      <c r="J164" s="110" t="e">
        <f t="shared" si="61"/>
        <v>#DIV/0!</v>
      </c>
      <c r="K164" s="111" t="e">
        <f t="shared" si="52"/>
        <v>#DIV/0!</v>
      </c>
      <c r="L164" s="111" t="e">
        <f t="shared" si="53"/>
        <v>#DIV/0!</v>
      </c>
      <c r="M164" s="111" t="e">
        <f t="shared" si="54"/>
        <v>#DIV/0!</v>
      </c>
      <c r="N164" s="111" t="e">
        <f t="shared" si="55"/>
        <v>#DIV/0!</v>
      </c>
      <c r="O164" s="111" t="e">
        <f t="shared" si="56"/>
        <v>#DIV/0!</v>
      </c>
      <c r="P164" s="111" t="e">
        <f t="shared" si="57"/>
        <v>#DIV/0!</v>
      </c>
    </row>
    <row r="165" spans="1:16">
      <c r="B165" s="55" t="s">
        <v>24</v>
      </c>
      <c r="C165" s="64">
        <v>258</v>
      </c>
      <c r="D165" s="64">
        <v>303</v>
      </c>
      <c r="E165" s="64">
        <v>253</v>
      </c>
      <c r="F165" s="64">
        <v>97</v>
      </c>
      <c r="G165" s="64">
        <v>14</v>
      </c>
      <c r="H165" s="64">
        <v>0</v>
      </c>
      <c r="I165" s="64">
        <v>925</v>
      </c>
      <c r="J165" s="110">
        <f t="shared" si="61"/>
        <v>0.2789189189189189</v>
      </c>
      <c r="K165" s="111">
        <f t="shared" si="52"/>
        <v>0.32756756756756755</v>
      </c>
      <c r="L165" s="111">
        <f t="shared" si="53"/>
        <v>0.2735135135135135</v>
      </c>
      <c r="M165" s="111">
        <f t="shared" si="54"/>
        <v>0.10486486486486486</v>
      </c>
      <c r="N165" s="111">
        <f t="shared" si="55"/>
        <v>1.5135135135135135E-2</v>
      </c>
      <c r="O165" s="111">
        <f t="shared" si="56"/>
        <v>0</v>
      </c>
      <c r="P165" s="111">
        <f t="shared" si="57"/>
        <v>1</v>
      </c>
    </row>
    <row r="166" spans="1:16" s="63" customFormat="1">
      <c r="B166" s="63" t="s">
        <v>90</v>
      </c>
      <c r="C166" s="65">
        <f t="shared" ref="C166:I166" si="62">SUM(C160:C165)</f>
        <v>799</v>
      </c>
      <c r="D166" s="65">
        <f t="shared" si="62"/>
        <v>693</v>
      </c>
      <c r="E166" s="65">
        <f t="shared" si="62"/>
        <v>581</v>
      </c>
      <c r="F166" s="65">
        <f t="shared" si="62"/>
        <v>135</v>
      </c>
      <c r="G166" s="65">
        <f t="shared" si="62"/>
        <v>26</v>
      </c>
      <c r="H166" s="65">
        <f t="shared" si="62"/>
        <v>0</v>
      </c>
      <c r="I166" s="65">
        <f t="shared" si="62"/>
        <v>2234</v>
      </c>
      <c r="J166" s="551">
        <f t="shared" si="61"/>
        <v>0.35765443151298121</v>
      </c>
      <c r="K166" s="552">
        <f t="shared" si="52"/>
        <v>0.31020590868397491</v>
      </c>
      <c r="L166" s="552">
        <f t="shared" si="53"/>
        <v>0.26007162041181736</v>
      </c>
      <c r="M166" s="552">
        <f t="shared" si="54"/>
        <v>6.042972247090421E-2</v>
      </c>
      <c r="N166" s="552">
        <f t="shared" si="55"/>
        <v>1.1638316920322292E-2</v>
      </c>
      <c r="O166" s="552">
        <f t="shared" si="56"/>
        <v>0</v>
      </c>
      <c r="P166" s="552">
        <f t="shared" si="57"/>
        <v>1</v>
      </c>
    </row>
    <row r="167" spans="1:16">
      <c r="B167" s="55" t="s">
        <v>25</v>
      </c>
      <c r="C167" s="64">
        <v>92</v>
      </c>
      <c r="D167" s="64">
        <v>59</v>
      </c>
      <c r="E167" s="64">
        <v>47</v>
      </c>
      <c r="F167" s="64">
        <v>23</v>
      </c>
      <c r="G167" s="151">
        <v>10</v>
      </c>
      <c r="H167" s="151">
        <v>0</v>
      </c>
      <c r="I167" s="64">
        <v>231</v>
      </c>
      <c r="J167" s="110">
        <f t="shared" si="61"/>
        <v>0.39826839826839827</v>
      </c>
      <c r="K167" s="111">
        <f t="shared" si="52"/>
        <v>0.25541125541125542</v>
      </c>
      <c r="L167" s="111">
        <f t="shared" si="53"/>
        <v>0.20346320346320346</v>
      </c>
      <c r="M167" s="111">
        <f t="shared" si="54"/>
        <v>9.9567099567099568E-2</v>
      </c>
      <c r="N167" s="111">
        <f t="shared" si="55"/>
        <v>4.3290043290043288E-2</v>
      </c>
      <c r="O167" s="111">
        <f t="shared" si="56"/>
        <v>0</v>
      </c>
      <c r="P167" s="111">
        <f t="shared" si="57"/>
        <v>1</v>
      </c>
    </row>
    <row r="168" spans="1:16">
      <c r="A168" s="187"/>
      <c r="B168" s="187" t="s">
        <v>26</v>
      </c>
      <c r="C168" s="549">
        <v>0</v>
      </c>
      <c r="D168" s="549">
        <v>0</v>
      </c>
      <c r="E168" s="549">
        <v>0</v>
      </c>
      <c r="F168" s="549">
        <v>0</v>
      </c>
      <c r="G168" s="549">
        <v>0</v>
      </c>
      <c r="H168" s="549">
        <v>0</v>
      </c>
      <c r="I168" s="550">
        <v>0</v>
      </c>
      <c r="J168" s="117" t="e">
        <f t="shared" si="61"/>
        <v>#DIV/0!</v>
      </c>
      <c r="K168" s="118" t="e">
        <f t="shared" si="52"/>
        <v>#DIV/0!</v>
      </c>
      <c r="L168" s="118" t="e">
        <f t="shared" si="53"/>
        <v>#DIV/0!</v>
      </c>
      <c r="M168" s="118" t="e">
        <f t="shared" si="54"/>
        <v>#DIV/0!</v>
      </c>
      <c r="N168" s="118" t="e">
        <f t="shared" si="55"/>
        <v>#DIV/0!</v>
      </c>
      <c r="O168" s="118" t="e">
        <f t="shared" si="56"/>
        <v>#DIV/0!</v>
      </c>
      <c r="P168" s="118" t="e">
        <f t="shared" si="57"/>
        <v>#DIV/0!</v>
      </c>
    </row>
  </sheetData>
  <mergeCells count="4">
    <mergeCell ref="A1:I1"/>
    <mergeCell ref="A2:I2"/>
    <mergeCell ref="A3:I3"/>
    <mergeCell ref="C5:I5"/>
  </mergeCells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5"/>
  <dimension ref="A1:P169"/>
  <sheetViews>
    <sheetView workbookViewId="0"/>
  </sheetViews>
  <sheetFormatPr defaultColWidth="5.6640625" defaultRowHeight="15.75"/>
  <cols>
    <col min="1" max="1" width="5.6640625" style="10"/>
    <col min="2" max="2" width="6.6640625" style="10" customWidth="1"/>
    <col min="3" max="15" width="6.77734375" style="10" customWidth="1"/>
    <col min="16" max="16384" width="5.6640625" style="10"/>
  </cols>
  <sheetData>
    <row r="1" spans="1:16">
      <c r="A1" s="10" t="s">
        <v>81</v>
      </c>
    </row>
    <row r="2" spans="1:16">
      <c r="A2" s="11" t="s">
        <v>49</v>
      </c>
      <c r="B2" s="12"/>
      <c r="C2" s="12"/>
      <c r="D2" s="12"/>
      <c r="E2" s="12"/>
      <c r="F2" s="12"/>
      <c r="G2" s="12"/>
      <c r="H2" s="12"/>
      <c r="I2" s="12"/>
      <c r="J2" s="12"/>
      <c r="K2" s="13"/>
      <c r="L2" s="13"/>
      <c r="M2" s="13"/>
      <c r="N2" s="13"/>
      <c r="O2" s="13"/>
      <c r="P2" s="13"/>
    </row>
    <row r="3" spans="1:16">
      <c r="A3" s="11" t="s">
        <v>50</v>
      </c>
      <c r="B3" s="12"/>
      <c r="C3" s="12"/>
      <c r="D3" s="12"/>
      <c r="E3" s="12"/>
      <c r="F3" s="12"/>
      <c r="G3" s="12"/>
      <c r="H3" s="12"/>
      <c r="I3" s="12"/>
      <c r="J3" s="12"/>
      <c r="K3" s="13"/>
      <c r="L3" s="13"/>
      <c r="M3" s="13"/>
      <c r="N3" s="13"/>
      <c r="O3" s="13"/>
      <c r="P3" s="13"/>
    </row>
    <row r="4" spans="1:16">
      <c r="A4" s="143" t="s">
        <v>129</v>
      </c>
      <c r="B4" s="12"/>
      <c r="C4" s="12"/>
      <c r="D4" s="12"/>
      <c r="E4" s="12"/>
      <c r="F4" s="12"/>
      <c r="G4" s="12"/>
      <c r="H4" s="12"/>
      <c r="I4" s="12"/>
      <c r="J4" s="12"/>
      <c r="K4" s="13"/>
      <c r="L4" s="13"/>
      <c r="M4" s="13"/>
      <c r="N4" s="13"/>
      <c r="O4" s="13"/>
      <c r="P4" s="13"/>
    </row>
    <row r="5" spans="1:16">
      <c r="A5" s="14"/>
      <c r="B5" s="15"/>
      <c r="C5" s="16" t="s">
        <v>52</v>
      </c>
      <c r="D5" s="16"/>
      <c r="E5" s="16"/>
      <c r="F5" s="16"/>
      <c r="G5" s="16"/>
      <c r="H5" s="16"/>
      <c r="I5" s="16"/>
      <c r="J5" s="17" t="s">
        <v>60</v>
      </c>
      <c r="K5" s="16"/>
      <c r="L5" s="16"/>
      <c r="M5" s="16"/>
      <c r="N5" s="16"/>
      <c r="O5" s="16"/>
      <c r="P5" s="16"/>
    </row>
    <row r="6" spans="1:16" ht="45.75">
      <c r="A6" s="15"/>
      <c r="B6" s="15"/>
      <c r="C6" s="18" t="s">
        <v>53</v>
      </c>
      <c r="D6" s="18" t="s">
        <v>54</v>
      </c>
      <c r="E6" s="18" t="s">
        <v>55</v>
      </c>
      <c r="F6" s="18" t="s">
        <v>56</v>
      </c>
      <c r="G6" s="18" t="s">
        <v>57</v>
      </c>
      <c r="H6" s="18" t="s">
        <v>58</v>
      </c>
      <c r="I6" s="18" t="s">
        <v>59</v>
      </c>
      <c r="J6" s="19" t="s">
        <v>53</v>
      </c>
      <c r="K6" s="18" t="s">
        <v>54</v>
      </c>
      <c r="L6" s="18" t="s">
        <v>55</v>
      </c>
      <c r="M6" s="18" t="s">
        <v>56</v>
      </c>
      <c r="N6" s="18" t="s">
        <v>57</v>
      </c>
      <c r="O6" s="18" t="s">
        <v>58</v>
      </c>
      <c r="P6" s="18" t="s">
        <v>59</v>
      </c>
    </row>
    <row r="7" spans="1:16">
      <c r="A7" s="20" t="s">
        <v>2</v>
      </c>
      <c r="B7" s="20" t="s">
        <v>19</v>
      </c>
      <c r="C7" s="18"/>
      <c r="D7" s="18"/>
      <c r="E7" s="18"/>
      <c r="F7" s="18"/>
      <c r="G7" s="18"/>
      <c r="H7" s="18"/>
      <c r="I7" s="18"/>
      <c r="J7" s="19"/>
      <c r="K7" s="18"/>
      <c r="L7" s="18"/>
      <c r="M7" s="18"/>
      <c r="N7" s="18"/>
      <c r="O7" s="18"/>
      <c r="P7" s="21" t="e">
        <f t="shared" ref="P7:P34" si="0">I7/$I7</f>
        <v>#DIV/0!</v>
      </c>
    </row>
    <row r="8" spans="1:16">
      <c r="A8" s="20"/>
      <c r="B8" s="20" t="s">
        <v>20</v>
      </c>
      <c r="C8" s="18"/>
      <c r="D8" s="18"/>
      <c r="E8" s="18"/>
      <c r="F8" s="18"/>
      <c r="G8" s="18"/>
      <c r="H8" s="18"/>
      <c r="I8" s="18"/>
      <c r="J8" s="19"/>
      <c r="K8" s="18"/>
      <c r="L8" s="18"/>
      <c r="M8" s="18"/>
      <c r="N8" s="18"/>
      <c r="O8" s="18"/>
      <c r="P8" s="21" t="e">
        <f t="shared" si="0"/>
        <v>#DIV/0!</v>
      </c>
    </row>
    <row r="9" spans="1:16">
      <c r="A9" s="20"/>
      <c r="B9" s="20" t="s">
        <v>21</v>
      </c>
      <c r="C9" s="18"/>
      <c r="D9" s="18"/>
      <c r="E9" s="18"/>
      <c r="F9" s="18"/>
      <c r="G9" s="18"/>
      <c r="H9" s="18"/>
      <c r="I9" s="18"/>
      <c r="J9" s="19"/>
      <c r="K9" s="18"/>
      <c r="L9" s="18"/>
      <c r="M9" s="18"/>
      <c r="N9" s="18"/>
      <c r="O9" s="18"/>
      <c r="P9" s="21" t="e">
        <f t="shared" si="0"/>
        <v>#DIV/0!</v>
      </c>
    </row>
    <row r="10" spans="1:16">
      <c r="A10" s="20"/>
      <c r="B10" s="20" t="s">
        <v>22</v>
      </c>
      <c r="C10" s="18"/>
      <c r="D10" s="18"/>
      <c r="E10" s="18"/>
      <c r="F10" s="18"/>
      <c r="G10" s="18"/>
      <c r="H10" s="18"/>
      <c r="I10" s="18"/>
      <c r="J10" s="19"/>
      <c r="K10" s="18"/>
      <c r="L10" s="18"/>
      <c r="M10" s="18"/>
      <c r="N10" s="18"/>
      <c r="O10" s="18"/>
      <c r="P10" s="21" t="e">
        <f t="shared" si="0"/>
        <v>#DIV/0!</v>
      </c>
    </row>
    <row r="11" spans="1:16">
      <c r="A11" s="20"/>
      <c r="B11" s="20" t="s">
        <v>23</v>
      </c>
      <c r="C11" s="18"/>
      <c r="D11" s="18"/>
      <c r="E11" s="18"/>
      <c r="F11" s="18"/>
      <c r="G11" s="18"/>
      <c r="H11" s="18"/>
      <c r="I11" s="18"/>
      <c r="J11" s="19"/>
      <c r="K11" s="18"/>
      <c r="L11" s="18"/>
      <c r="M11" s="18"/>
      <c r="N11" s="18"/>
      <c r="O11" s="18"/>
      <c r="P11" s="21" t="e">
        <f t="shared" si="0"/>
        <v>#DIV/0!</v>
      </c>
    </row>
    <row r="12" spans="1:16">
      <c r="A12" s="20"/>
      <c r="B12" s="20" t="s">
        <v>24</v>
      </c>
      <c r="C12" s="18"/>
      <c r="D12" s="18"/>
      <c r="E12" s="18"/>
      <c r="F12" s="18"/>
      <c r="G12" s="18"/>
      <c r="H12" s="18"/>
      <c r="I12" s="18"/>
      <c r="J12" s="19"/>
      <c r="K12" s="18"/>
      <c r="L12" s="18"/>
      <c r="M12" s="18"/>
      <c r="N12" s="18"/>
      <c r="O12" s="18"/>
      <c r="P12" s="21" t="e">
        <f t="shared" si="0"/>
        <v>#DIV/0!</v>
      </c>
    </row>
    <row r="13" spans="1:16">
      <c r="A13" s="20"/>
      <c r="B13" s="22" t="s">
        <v>51</v>
      </c>
      <c r="C13" s="23">
        <v>80702</v>
      </c>
      <c r="D13" s="23">
        <v>61098</v>
      </c>
      <c r="E13" s="23">
        <v>52206</v>
      </c>
      <c r="F13" s="23">
        <v>10825</v>
      </c>
      <c r="G13" s="48">
        <f>+I13-SUM(C13:F13)</f>
        <v>9850</v>
      </c>
      <c r="H13" s="23"/>
      <c r="I13" s="23">
        <v>214681</v>
      </c>
      <c r="J13" s="24">
        <f t="shared" ref="J13:O13" si="1">C13/$I13</f>
        <v>0.37591589381454343</v>
      </c>
      <c r="K13" s="25">
        <f t="shared" si="1"/>
        <v>0.28459900969345214</v>
      </c>
      <c r="L13" s="25">
        <f t="shared" si="1"/>
        <v>0.24317941503905796</v>
      </c>
      <c r="M13" s="25">
        <f t="shared" si="1"/>
        <v>5.0423651836911512E-2</v>
      </c>
      <c r="N13" s="25">
        <f t="shared" si="1"/>
        <v>4.5882029616034957E-2</v>
      </c>
      <c r="O13" s="25">
        <f t="shared" si="1"/>
        <v>0</v>
      </c>
      <c r="P13" s="25">
        <f t="shared" si="0"/>
        <v>1</v>
      </c>
    </row>
    <row r="14" spans="1:16">
      <c r="A14" s="20"/>
      <c r="B14" s="20" t="s">
        <v>25</v>
      </c>
      <c r="C14" s="18"/>
      <c r="D14" s="18"/>
      <c r="E14" s="18"/>
      <c r="F14" s="18"/>
      <c r="G14" s="18"/>
      <c r="H14" s="18"/>
      <c r="I14" s="18"/>
      <c r="J14" s="19"/>
      <c r="K14" s="18"/>
      <c r="L14" s="18"/>
      <c r="M14" s="18"/>
      <c r="N14" s="18"/>
      <c r="O14" s="18"/>
      <c r="P14" s="21" t="e">
        <f t="shared" si="0"/>
        <v>#DIV/0!</v>
      </c>
    </row>
    <row r="15" spans="1:16">
      <c r="A15" s="20"/>
      <c r="B15" s="20" t="s">
        <v>26</v>
      </c>
      <c r="C15" s="18"/>
      <c r="D15" s="18"/>
      <c r="E15" s="18"/>
      <c r="F15" s="18"/>
      <c r="G15" s="18"/>
      <c r="H15" s="18"/>
      <c r="I15" s="18"/>
      <c r="J15" s="19"/>
      <c r="K15" s="18"/>
      <c r="L15" s="18"/>
      <c r="M15" s="18"/>
      <c r="N15" s="18"/>
      <c r="O15" s="18"/>
      <c r="P15" s="21" t="e">
        <f t="shared" si="0"/>
        <v>#DIV/0!</v>
      </c>
    </row>
    <row r="16" spans="1:16">
      <c r="A16" s="26" t="s">
        <v>3</v>
      </c>
      <c r="B16" s="26" t="s">
        <v>19</v>
      </c>
      <c r="C16" s="27"/>
      <c r="D16" s="27"/>
      <c r="E16" s="27"/>
      <c r="F16" s="27"/>
      <c r="G16" s="27"/>
      <c r="H16" s="27"/>
      <c r="I16" s="27"/>
      <c r="J16" s="28"/>
      <c r="K16" s="29"/>
      <c r="L16" s="29"/>
      <c r="M16" s="29"/>
      <c r="N16" s="29"/>
      <c r="O16" s="29"/>
      <c r="P16" s="29" t="e">
        <f t="shared" si="0"/>
        <v>#DIV/0!</v>
      </c>
    </row>
    <row r="17" spans="1:16">
      <c r="A17" s="20"/>
      <c r="B17" s="20" t="s">
        <v>20</v>
      </c>
      <c r="C17" s="30"/>
      <c r="D17" s="30"/>
      <c r="E17" s="30"/>
      <c r="F17" s="30"/>
      <c r="G17" s="30"/>
      <c r="H17" s="30"/>
      <c r="I17" s="30"/>
      <c r="J17" s="31"/>
      <c r="K17" s="21"/>
      <c r="L17" s="21"/>
      <c r="M17" s="21"/>
      <c r="N17" s="21"/>
      <c r="O17" s="21"/>
      <c r="P17" s="21" t="e">
        <f t="shared" si="0"/>
        <v>#DIV/0!</v>
      </c>
    </row>
    <row r="18" spans="1:16">
      <c r="A18" s="20"/>
      <c r="B18" s="20" t="s">
        <v>21</v>
      </c>
      <c r="C18" s="30"/>
      <c r="D18" s="30"/>
      <c r="E18" s="30"/>
      <c r="F18" s="30"/>
      <c r="G18" s="30"/>
      <c r="H18" s="30"/>
      <c r="I18" s="30"/>
      <c r="J18" s="31"/>
      <c r="K18" s="21"/>
      <c r="L18" s="21"/>
      <c r="M18" s="21"/>
      <c r="N18" s="21"/>
      <c r="O18" s="21"/>
      <c r="P18" s="21" t="e">
        <f t="shared" si="0"/>
        <v>#DIV/0!</v>
      </c>
    </row>
    <row r="19" spans="1:16">
      <c r="A19" s="20"/>
      <c r="B19" s="20" t="s">
        <v>22</v>
      </c>
      <c r="C19" s="30"/>
      <c r="D19" s="30"/>
      <c r="E19" s="30"/>
      <c r="F19" s="30"/>
      <c r="G19" s="30"/>
      <c r="H19" s="30"/>
      <c r="I19" s="30"/>
      <c r="J19" s="31"/>
      <c r="K19" s="21"/>
      <c r="L19" s="21"/>
      <c r="M19" s="21"/>
      <c r="N19" s="21"/>
      <c r="O19" s="21"/>
      <c r="P19" s="21"/>
    </row>
    <row r="20" spans="1:16">
      <c r="A20" s="20"/>
      <c r="B20" s="20" t="s">
        <v>23</v>
      </c>
      <c r="C20" s="30"/>
      <c r="D20" s="30"/>
      <c r="E20" s="30"/>
      <c r="F20" s="30"/>
      <c r="G20" s="30"/>
      <c r="H20" s="30"/>
      <c r="I20" s="30"/>
      <c r="J20" s="31"/>
      <c r="K20" s="21"/>
      <c r="L20" s="21"/>
      <c r="M20" s="21"/>
      <c r="N20" s="21"/>
      <c r="O20" s="21"/>
      <c r="P20" s="21"/>
    </row>
    <row r="21" spans="1:16">
      <c r="A21" s="20"/>
      <c r="B21" s="20" t="s">
        <v>24</v>
      </c>
      <c r="C21" s="30"/>
      <c r="D21" s="30"/>
      <c r="E21" s="30"/>
      <c r="F21" s="30"/>
      <c r="G21" s="30"/>
      <c r="H21" s="30"/>
      <c r="I21" s="30"/>
      <c r="J21" s="31"/>
      <c r="K21" s="21"/>
      <c r="L21" s="21"/>
      <c r="M21" s="21"/>
      <c r="N21" s="21"/>
      <c r="O21" s="21"/>
      <c r="P21" s="21"/>
    </row>
    <row r="22" spans="1:16">
      <c r="A22" s="20"/>
      <c r="B22" s="22" t="s">
        <v>51</v>
      </c>
      <c r="C22" s="23">
        <v>27481</v>
      </c>
      <c r="D22" s="23">
        <v>23655</v>
      </c>
      <c r="E22" s="23">
        <v>21409</v>
      </c>
      <c r="F22" s="23">
        <v>5794</v>
      </c>
      <c r="G22" s="48">
        <f>+I22-SUM(C22:F22)</f>
        <v>4106</v>
      </c>
      <c r="H22" s="23"/>
      <c r="I22" s="23">
        <v>82445</v>
      </c>
      <c r="J22" s="24">
        <f t="shared" ref="J22:J34" si="2">C22/$I22</f>
        <v>0.33332524713445327</v>
      </c>
      <c r="K22" s="25">
        <f t="shared" ref="K22:K34" si="3">D22/$I22</f>
        <v>0.2869185517617806</v>
      </c>
      <c r="L22" s="25">
        <f t="shared" ref="L22:L34" si="4">E22/$I22</f>
        <v>0.25967614773485354</v>
      </c>
      <c r="M22" s="25">
        <f t="shared" ref="M22:M34" si="5">F22/$I22</f>
        <v>7.0277154466614103E-2</v>
      </c>
      <c r="N22" s="25">
        <f t="shared" ref="N22:N34" si="6">G22/$I22</f>
        <v>4.9802898902298505E-2</v>
      </c>
      <c r="O22" s="25">
        <f t="shared" ref="O22:O34" si="7">H22/$I22</f>
        <v>0</v>
      </c>
      <c r="P22" s="25">
        <f t="shared" si="0"/>
        <v>1</v>
      </c>
    </row>
    <row r="23" spans="1:16">
      <c r="A23" s="20"/>
      <c r="B23" s="20" t="s">
        <v>25</v>
      </c>
      <c r="C23" s="30"/>
      <c r="D23" s="30"/>
      <c r="E23" s="30"/>
      <c r="F23" s="30"/>
      <c r="G23" s="30"/>
      <c r="H23" s="30"/>
      <c r="I23" s="30"/>
      <c r="J23" s="31"/>
      <c r="K23" s="21"/>
      <c r="L23" s="21"/>
      <c r="M23" s="21"/>
      <c r="N23" s="21"/>
      <c r="O23" s="21"/>
      <c r="P23" s="21"/>
    </row>
    <row r="24" spans="1:16">
      <c r="A24" s="20"/>
      <c r="B24" s="20" t="s">
        <v>26</v>
      </c>
      <c r="C24" s="30"/>
      <c r="D24" s="30"/>
      <c r="E24" s="30"/>
      <c r="F24" s="30"/>
      <c r="G24" s="30"/>
      <c r="H24" s="30"/>
      <c r="I24" s="30"/>
      <c r="J24" s="31"/>
      <c r="K24" s="21"/>
      <c r="L24" s="21"/>
      <c r="M24" s="21"/>
      <c r="N24" s="21"/>
      <c r="O24" s="21"/>
      <c r="P24" s="21"/>
    </row>
    <row r="25" spans="1:16">
      <c r="A25" s="26" t="s">
        <v>4</v>
      </c>
      <c r="B25" s="26" t="s">
        <v>19</v>
      </c>
      <c r="C25" s="27">
        <v>680</v>
      </c>
      <c r="D25" s="27">
        <v>662</v>
      </c>
      <c r="E25" s="27">
        <v>374</v>
      </c>
      <c r="F25" s="27">
        <v>149</v>
      </c>
      <c r="G25" s="27">
        <v>30</v>
      </c>
      <c r="H25" s="27">
        <v>0</v>
      </c>
      <c r="I25" s="27">
        <v>1895</v>
      </c>
      <c r="J25" s="28">
        <f t="shared" si="2"/>
        <v>0.35883905013192613</v>
      </c>
      <c r="K25" s="29">
        <f t="shared" si="3"/>
        <v>0.34934036939313984</v>
      </c>
      <c r="L25" s="29">
        <f t="shared" si="4"/>
        <v>0.19736147757255937</v>
      </c>
      <c r="M25" s="29">
        <f t="shared" si="5"/>
        <v>7.8627968337730877E-2</v>
      </c>
      <c r="N25" s="29">
        <f t="shared" si="6"/>
        <v>1.5831134564643801E-2</v>
      </c>
      <c r="O25" s="29">
        <f t="shared" si="7"/>
        <v>0</v>
      </c>
      <c r="P25" s="29">
        <f t="shared" si="0"/>
        <v>1</v>
      </c>
    </row>
    <row r="26" spans="1:16">
      <c r="A26" s="20"/>
      <c r="B26" s="20" t="s">
        <v>20</v>
      </c>
      <c r="C26" s="30">
        <v>122</v>
      </c>
      <c r="D26" s="30">
        <v>188</v>
      </c>
      <c r="E26" s="30">
        <v>111</v>
      </c>
      <c r="F26" s="30">
        <v>25</v>
      </c>
      <c r="G26" s="30">
        <v>3</v>
      </c>
      <c r="H26" s="30">
        <v>0</v>
      </c>
      <c r="I26" s="30">
        <v>449</v>
      </c>
      <c r="J26" s="31">
        <f t="shared" si="2"/>
        <v>0.27171492204899778</v>
      </c>
      <c r="K26" s="21">
        <f t="shared" si="3"/>
        <v>0.41870824053452116</v>
      </c>
      <c r="L26" s="21">
        <f t="shared" si="4"/>
        <v>0.24721603563474387</v>
      </c>
      <c r="M26" s="21">
        <f t="shared" si="5"/>
        <v>5.5679287305122498E-2</v>
      </c>
      <c r="N26" s="21">
        <f t="shared" si="6"/>
        <v>6.6815144766146995E-3</v>
      </c>
      <c r="O26" s="21">
        <f t="shared" si="7"/>
        <v>0</v>
      </c>
      <c r="P26" s="21">
        <f t="shared" si="0"/>
        <v>1</v>
      </c>
    </row>
    <row r="27" spans="1:16">
      <c r="A27" s="20"/>
      <c r="B27" s="20" t="s">
        <v>21</v>
      </c>
      <c r="C27" s="30">
        <v>375</v>
      </c>
      <c r="D27" s="30">
        <v>349</v>
      </c>
      <c r="E27" s="30">
        <v>364</v>
      </c>
      <c r="F27" s="30">
        <v>144</v>
      </c>
      <c r="G27" s="30">
        <v>25</v>
      </c>
      <c r="H27" s="30">
        <v>1</v>
      </c>
      <c r="I27" s="30">
        <v>1258</v>
      </c>
      <c r="J27" s="31">
        <f t="shared" si="2"/>
        <v>0.29809220985691576</v>
      </c>
      <c r="K27" s="21">
        <f t="shared" si="3"/>
        <v>0.27742448330683622</v>
      </c>
      <c r="L27" s="21">
        <f t="shared" si="4"/>
        <v>0.28934817170111288</v>
      </c>
      <c r="M27" s="21">
        <f t="shared" si="5"/>
        <v>0.11446740858505565</v>
      </c>
      <c r="N27" s="21">
        <f t="shared" si="6"/>
        <v>1.987281399046105E-2</v>
      </c>
      <c r="O27" s="21">
        <f t="shared" si="7"/>
        <v>7.9491255961844202E-4</v>
      </c>
      <c r="P27" s="21">
        <f t="shared" si="0"/>
        <v>1</v>
      </c>
    </row>
    <row r="28" spans="1:16">
      <c r="A28" s="20"/>
      <c r="B28" s="20" t="s">
        <v>22</v>
      </c>
      <c r="C28" s="30">
        <v>131</v>
      </c>
      <c r="D28" s="30">
        <v>149</v>
      </c>
      <c r="E28" s="30">
        <v>204</v>
      </c>
      <c r="F28" s="30">
        <v>59</v>
      </c>
      <c r="G28" s="30">
        <v>0</v>
      </c>
      <c r="H28" s="30">
        <v>0</v>
      </c>
      <c r="I28" s="30">
        <v>543</v>
      </c>
      <c r="J28" s="31">
        <f t="shared" si="2"/>
        <v>0.24125230202578268</v>
      </c>
      <c r="K28" s="21">
        <f t="shared" si="3"/>
        <v>0.27440147329650094</v>
      </c>
      <c r="L28" s="21">
        <f t="shared" si="4"/>
        <v>0.37569060773480661</v>
      </c>
      <c r="M28" s="21">
        <f t="shared" si="5"/>
        <v>0.10865561694290976</v>
      </c>
      <c r="N28" s="21">
        <f t="shared" si="6"/>
        <v>0</v>
      </c>
      <c r="O28" s="21">
        <f t="shared" si="7"/>
        <v>0</v>
      </c>
      <c r="P28" s="21">
        <f t="shared" si="0"/>
        <v>1</v>
      </c>
    </row>
    <row r="29" spans="1:16">
      <c r="A29" s="20"/>
      <c r="B29" s="20" t="s">
        <v>23</v>
      </c>
      <c r="C29" s="30">
        <v>144</v>
      </c>
      <c r="D29" s="30">
        <v>154</v>
      </c>
      <c r="E29" s="30">
        <v>201</v>
      </c>
      <c r="F29" s="30">
        <v>87</v>
      </c>
      <c r="G29" s="30">
        <v>4</v>
      </c>
      <c r="H29" s="30">
        <v>0</v>
      </c>
      <c r="I29" s="30">
        <v>590</v>
      </c>
      <c r="J29" s="31">
        <f t="shared" si="2"/>
        <v>0.2440677966101695</v>
      </c>
      <c r="K29" s="21">
        <f t="shared" si="3"/>
        <v>0.26101694915254237</v>
      </c>
      <c r="L29" s="21">
        <f t="shared" si="4"/>
        <v>0.34067796610169493</v>
      </c>
      <c r="M29" s="21">
        <f t="shared" si="5"/>
        <v>0.14745762711864407</v>
      </c>
      <c r="N29" s="21">
        <f t="shared" si="6"/>
        <v>6.7796610169491523E-3</v>
      </c>
      <c r="O29" s="21">
        <f t="shared" si="7"/>
        <v>0</v>
      </c>
      <c r="P29" s="21">
        <f t="shared" si="0"/>
        <v>1</v>
      </c>
    </row>
    <row r="30" spans="1:16">
      <c r="A30" s="20"/>
      <c r="B30" s="20" t="s">
        <v>24</v>
      </c>
      <c r="C30" s="30">
        <v>19</v>
      </c>
      <c r="D30" s="30">
        <v>15</v>
      </c>
      <c r="E30" s="30">
        <v>34</v>
      </c>
      <c r="F30" s="30">
        <v>3</v>
      </c>
      <c r="G30" s="30">
        <v>0</v>
      </c>
      <c r="H30" s="30">
        <v>0</v>
      </c>
      <c r="I30" s="30">
        <v>71</v>
      </c>
      <c r="J30" s="31">
        <f t="shared" si="2"/>
        <v>0.26760563380281688</v>
      </c>
      <c r="K30" s="21">
        <f t="shared" si="3"/>
        <v>0.21126760563380281</v>
      </c>
      <c r="L30" s="21">
        <f t="shared" si="4"/>
        <v>0.47887323943661969</v>
      </c>
      <c r="M30" s="21">
        <f t="shared" si="5"/>
        <v>4.2253521126760563E-2</v>
      </c>
      <c r="N30" s="21">
        <f t="shared" si="6"/>
        <v>0</v>
      </c>
      <c r="O30" s="21">
        <f t="shared" si="7"/>
        <v>0</v>
      </c>
      <c r="P30" s="21">
        <f t="shared" si="0"/>
        <v>1</v>
      </c>
    </row>
    <row r="31" spans="1:16">
      <c r="A31" s="20"/>
      <c r="B31" s="22" t="s">
        <v>51</v>
      </c>
      <c r="C31" s="23">
        <v>1471</v>
      </c>
      <c r="D31" s="23">
        <v>1517</v>
      </c>
      <c r="E31" s="23">
        <v>1288</v>
      </c>
      <c r="F31" s="23">
        <v>467</v>
      </c>
      <c r="G31" s="23">
        <v>62</v>
      </c>
      <c r="H31" s="23">
        <v>1</v>
      </c>
      <c r="I31" s="23">
        <v>4806</v>
      </c>
      <c r="J31" s="24">
        <f t="shared" si="2"/>
        <v>0.30607573866000831</v>
      </c>
      <c r="K31" s="25">
        <f t="shared" si="3"/>
        <v>0.31564710778193922</v>
      </c>
      <c r="L31" s="25">
        <f t="shared" si="4"/>
        <v>0.26799833541406576</v>
      </c>
      <c r="M31" s="25">
        <f t="shared" si="5"/>
        <v>9.7170203911776942E-2</v>
      </c>
      <c r="N31" s="25">
        <f t="shared" si="6"/>
        <v>1.2900540990428632E-2</v>
      </c>
      <c r="O31" s="25">
        <f t="shared" si="7"/>
        <v>2.0807324178110696E-4</v>
      </c>
      <c r="P31" s="25">
        <f t="shared" si="0"/>
        <v>1</v>
      </c>
    </row>
    <row r="32" spans="1:16">
      <c r="A32" s="20"/>
      <c r="B32" s="20" t="s">
        <v>25</v>
      </c>
      <c r="C32" s="30">
        <v>0</v>
      </c>
      <c r="D32" s="30">
        <v>0</v>
      </c>
      <c r="E32" s="30">
        <v>0</v>
      </c>
      <c r="F32" s="30">
        <v>0</v>
      </c>
      <c r="G32" s="30">
        <v>0</v>
      </c>
      <c r="H32" s="30">
        <v>1412</v>
      </c>
      <c r="I32" s="30">
        <v>1412</v>
      </c>
      <c r="J32" s="31">
        <f t="shared" si="2"/>
        <v>0</v>
      </c>
      <c r="K32" s="21">
        <f t="shared" si="3"/>
        <v>0</v>
      </c>
      <c r="L32" s="21">
        <f t="shared" si="4"/>
        <v>0</v>
      </c>
      <c r="M32" s="21">
        <f t="shared" si="5"/>
        <v>0</v>
      </c>
      <c r="N32" s="21">
        <f t="shared" si="6"/>
        <v>0</v>
      </c>
      <c r="O32" s="21">
        <f t="shared" si="7"/>
        <v>1</v>
      </c>
      <c r="P32" s="21">
        <f t="shared" si="0"/>
        <v>1</v>
      </c>
    </row>
    <row r="33" spans="1:16">
      <c r="A33" s="20"/>
      <c r="B33" s="20" t="s">
        <v>26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307</v>
      </c>
      <c r="I33" s="30">
        <v>307</v>
      </c>
      <c r="J33" s="31">
        <f t="shared" si="2"/>
        <v>0</v>
      </c>
      <c r="K33" s="21">
        <f t="shared" si="3"/>
        <v>0</v>
      </c>
      <c r="L33" s="21">
        <f t="shared" si="4"/>
        <v>0</v>
      </c>
      <c r="M33" s="21">
        <f t="shared" si="5"/>
        <v>0</v>
      </c>
      <c r="N33" s="21">
        <f t="shared" si="6"/>
        <v>0</v>
      </c>
      <c r="O33" s="21">
        <f t="shared" si="7"/>
        <v>1</v>
      </c>
      <c r="P33" s="21">
        <f t="shared" si="0"/>
        <v>1</v>
      </c>
    </row>
    <row r="34" spans="1:16">
      <c r="A34" s="26" t="s">
        <v>5</v>
      </c>
      <c r="B34" s="26" t="s">
        <v>19</v>
      </c>
      <c r="C34" s="27">
        <v>311</v>
      </c>
      <c r="D34" s="27">
        <v>221</v>
      </c>
      <c r="E34" s="27">
        <v>214</v>
      </c>
      <c r="F34" s="27">
        <v>63</v>
      </c>
      <c r="G34" s="27">
        <v>19</v>
      </c>
      <c r="H34" s="27">
        <v>0</v>
      </c>
      <c r="I34" s="27">
        <v>828</v>
      </c>
      <c r="J34" s="28">
        <f t="shared" si="2"/>
        <v>0.37560386473429952</v>
      </c>
      <c r="K34" s="29">
        <f t="shared" si="3"/>
        <v>0.26690821256038649</v>
      </c>
      <c r="L34" s="29">
        <f t="shared" si="4"/>
        <v>0.25845410628019322</v>
      </c>
      <c r="M34" s="29">
        <f t="shared" si="5"/>
        <v>7.6086956521739135E-2</v>
      </c>
      <c r="N34" s="29">
        <f t="shared" si="6"/>
        <v>2.2946859903381644E-2</v>
      </c>
      <c r="O34" s="29">
        <f t="shared" si="7"/>
        <v>0</v>
      </c>
      <c r="P34" s="29">
        <f t="shared" si="0"/>
        <v>1</v>
      </c>
    </row>
    <row r="35" spans="1:16">
      <c r="A35" s="20"/>
      <c r="B35" s="20" t="s">
        <v>20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1"/>
      <c r="K35" s="21"/>
      <c r="L35" s="21"/>
      <c r="M35" s="21"/>
      <c r="N35" s="21"/>
      <c r="O35" s="21"/>
      <c r="P35" s="21"/>
    </row>
    <row r="36" spans="1:16">
      <c r="A36" s="20"/>
      <c r="B36" s="20" t="s">
        <v>21</v>
      </c>
      <c r="C36" s="30">
        <v>323</v>
      </c>
      <c r="D36" s="30">
        <v>287</v>
      </c>
      <c r="E36" s="30">
        <v>314</v>
      </c>
      <c r="F36" s="30">
        <v>241</v>
      </c>
      <c r="G36" s="30">
        <v>36</v>
      </c>
      <c r="H36" s="30">
        <v>0</v>
      </c>
      <c r="I36" s="30">
        <v>1201</v>
      </c>
      <c r="J36" s="31">
        <f t="shared" ref="J36:P36" si="8">C36/$I36</f>
        <v>0.26894254787676936</v>
      </c>
      <c r="K36" s="21">
        <f t="shared" si="8"/>
        <v>0.23896752706078267</v>
      </c>
      <c r="L36" s="21">
        <f t="shared" si="8"/>
        <v>0.26144879267277271</v>
      </c>
      <c r="M36" s="21">
        <f t="shared" si="8"/>
        <v>0.2006661115736886</v>
      </c>
      <c r="N36" s="21">
        <f t="shared" si="8"/>
        <v>2.9975020815986679E-2</v>
      </c>
      <c r="O36" s="21">
        <f t="shared" si="8"/>
        <v>0</v>
      </c>
      <c r="P36" s="21">
        <f t="shared" si="8"/>
        <v>1</v>
      </c>
    </row>
    <row r="37" spans="1:16">
      <c r="A37" s="20"/>
      <c r="B37" s="20" t="s">
        <v>22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1"/>
      <c r="K37" s="21"/>
      <c r="L37" s="21"/>
      <c r="M37" s="21"/>
      <c r="N37" s="21"/>
      <c r="O37" s="21"/>
      <c r="P37" s="21"/>
    </row>
    <row r="38" spans="1:16">
      <c r="A38" s="20"/>
      <c r="B38" s="20" t="s">
        <v>23</v>
      </c>
      <c r="C38" s="30">
        <v>141</v>
      </c>
      <c r="D38" s="30">
        <v>144</v>
      </c>
      <c r="E38" s="30">
        <v>114</v>
      </c>
      <c r="F38" s="30">
        <v>52</v>
      </c>
      <c r="G38" s="30">
        <v>0</v>
      </c>
      <c r="H38" s="30">
        <v>0</v>
      </c>
      <c r="I38" s="30">
        <v>451</v>
      </c>
      <c r="J38" s="31">
        <f t="shared" ref="J38:P41" si="9">C38/$I38</f>
        <v>0.31263858093126384</v>
      </c>
      <c r="K38" s="21">
        <f t="shared" si="9"/>
        <v>0.31929046563192903</v>
      </c>
      <c r="L38" s="21">
        <f t="shared" si="9"/>
        <v>0.25277161862527714</v>
      </c>
      <c r="M38" s="21">
        <f t="shared" si="9"/>
        <v>0.11529933481152993</v>
      </c>
      <c r="N38" s="21">
        <f t="shared" si="9"/>
        <v>0</v>
      </c>
      <c r="O38" s="21">
        <f t="shared" si="9"/>
        <v>0</v>
      </c>
      <c r="P38" s="21">
        <f t="shared" si="9"/>
        <v>1</v>
      </c>
    </row>
    <row r="39" spans="1:16">
      <c r="A39" s="20"/>
      <c r="B39" s="20" t="s">
        <v>24</v>
      </c>
      <c r="C39" s="30">
        <v>60</v>
      </c>
      <c r="D39" s="30">
        <v>61</v>
      </c>
      <c r="E39" s="30">
        <v>92</v>
      </c>
      <c r="F39" s="30">
        <v>68</v>
      </c>
      <c r="G39" s="30">
        <v>2</v>
      </c>
      <c r="H39" s="30">
        <v>0</v>
      </c>
      <c r="I39" s="30">
        <v>283</v>
      </c>
      <c r="J39" s="31">
        <f t="shared" si="9"/>
        <v>0.21201413427561838</v>
      </c>
      <c r="K39" s="21">
        <f t="shared" si="9"/>
        <v>0.21554770318021202</v>
      </c>
      <c r="L39" s="21">
        <f t="shared" si="9"/>
        <v>0.32508833922261482</v>
      </c>
      <c r="M39" s="21">
        <f t="shared" si="9"/>
        <v>0.24028268551236748</v>
      </c>
      <c r="N39" s="21">
        <f t="shared" si="9"/>
        <v>7.0671378091872791E-3</v>
      </c>
      <c r="O39" s="21">
        <f t="shared" si="9"/>
        <v>0</v>
      </c>
      <c r="P39" s="21">
        <f t="shared" si="9"/>
        <v>1</v>
      </c>
    </row>
    <row r="40" spans="1:16">
      <c r="A40" s="20"/>
      <c r="B40" s="22" t="s">
        <v>51</v>
      </c>
      <c r="C40" s="23">
        <v>835</v>
      </c>
      <c r="D40" s="23">
        <v>713</v>
      </c>
      <c r="E40" s="23">
        <v>734</v>
      </c>
      <c r="F40" s="23">
        <v>424</v>
      </c>
      <c r="G40" s="23">
        <v>57</v>
      </c>
      <c r="H40" s="23">
        <v>0</v>
      </c>
      <c r="I40" s="23">
        <v>2763</v>
      </c>
      <c r="J40" s="24">
        <f t="shared" si="9"/>
        <v>0.3022077452044879</v>
      </c>
      <c r="K40" s="25">
        <f t="shared" si="9"/>
        <v>0.25805284111473037</v>
      </c>
      <c r="L40" s="25">
        <f t="shared" si="9"/>
        <v>0.2656532754252624</v>
      </c>
      <c r="M40" s="25">
        <f t="shared" si="9"/>
        <v>0.15345638798407529</v>
      </c>
      <c r="N40" s="25">
        <f t="shared" si="9"/>
        <v>2.0629750271444081E-2</v>
      </c>
      <c r="O40" s="25">
        <f t="shared" si="9"/>
        <v>0</v>
      </c>
      <c r="P40" s="25">
        <f t="shared" si="9"/>
        <v>1</v>
      </c>
    </row>
    <row r="41" spans="1:16">
      <c r="A41" s="20"/>
      <c r="B41" s="20" t="s">
        <v>25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912</v>
      </c>
      <c r="I41" s="30">
        <v>912</v>
      </c>
      <c r="J41" s="31">
        <f t="shared" si="9"/>
        <v>0</v>
      </c>
      <c r="K41" s="21">
        <f t="shared" si="9"/>
        <v>0</v>
      </c>
      <c r="L41" s="21">
        <f t="shared" si="9"/>
        <v>0</v>
      </c>
      <c r="M41" s="21">
        <f t="shared" si="9"/>
        <v>0</v>
      </c>
      <c r="N41" s="21">
        <f t="shared" si="9"/>
        <v>0</v>
      </c>
      <c r="O41" s="21">
        <f t="shared" si="9"/>
        <v>1</v>
      </c>
      <c r="P41" s="21">
        <f t="shared" si="9"/>
        <v>1</v>
      </c>
    </row>
    <row r="42" spans="1:16">
      <c r="A42" s="20"/>
      <c r="B42" s="20" t="s">
        <v>26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1"/>
      <c r="K42" s="21"/>
      <c r="L42" s="21"/>
      <c r="M42" s="21"/>
      <c r="N42" s="21"/>
      <c r="O42" s="21"/>
      <c r="P42" s="21"/>
    </row>
    <row r="43" spans="1:16">
      <c r="A43" s="26" t="s">
        <v>82</v>
      </c>
      <c r="B43" s="26" t="s">
        <v>19</v>
      </c>
      <c r="C43" s="30"/>
      <c r="D43" s="30"/>
      <c r="E43" s="30"/>
      <c r="F43" s="30"/>
      <c r="G43" s="30"/>
      <c r="H43" s="30"/>
      <c r="I43" s="30"/>
      <c r="J43" s="31"/>
      <c r="K43" s="21"/>
      <c r="L43" s="21"/>
      <c r="M43" s="21"/>
      <c r="N43" s="21"/>
      <c r="O43" s="21"/>
      <c r="P43" s="21"/>
    </row>
    <row r="44" spans="1:16">
      <c r="A44" s="20"/>
      <c r="B44" s="20" t="s">
        <v>20</v>
      </c>
      <c r="C44" s="30"/>
      <c r="D44" s="30"/>
      <c r="E44" s="30"/>
      <c r="F44" s="30"/>
      <c r="G44" s="30"/>
      <c r="H44" s="30"/>
      <c r="I44" s="30"/>
      <c r="J44" s="31"/>
      <c r="K44" s="21"/>
      <c r="L44" s="21"/>
      <c r="M44" s="21"/>
      <c r="N44" s="21"/>
      <c r="O44" s="21"/>
      <c r="P44" s="21"/>
    </row>
    <row r="45" spans="1:16">
      <c r="A45" s="20"/>
      <c r="B45" s="20" t="s">
        <v>21</v>
      </c>
      <c r="C45" s="30"/>
      <c r="D45" s="30"/>
      <c r="E45" s="30"/>
      <c r="F45" s="30"/>
      <c r="G45" s="30"/>
      <c r="H45" s="30"/>
      <c r="I45" s="30"/>
      <c r="J45" s="31"/>
      <c r="K45" s="21"/>
      <c r="L45" s="21"/>
      <c r="M45" s="21"/>
      <c r="N45" s="21"/>
      <c r="O45" s="21"/>
      <c r="P45" s="21"/>
    </row>
    <row r="46" spans="1:16">
      <c r="A46" s="20"/>
      <c r="B46" s="20" t="s">
        <v>22</v>
      </c>
      <c r="C46" s="30"/>
      <c r="D46" s="30"/>
      <c r="E46" s="30"/>
      <c r="F46" s="30"/>
      <c r="G46" s="30"/>
      <c r="H46" s="30"/>
      <c r="I46" s="30"/>
      <c r="J46" s="31"/>
      <c r="K46" s="21"/>
      <c r="L46" s="21"/>
      <c r="M46" s="21"/>
      <c r="N46" s="21"/>
      <c r="O46" s="21"/>
      <c r="P46" s="21"/>
    </row>
    <row r="47" spans="1:16">
      <c r="A47" s="20"/>
      <c r="B47" s="20" t="s">
        <v>23</v>
      </c>
      <c r="C47" s="30"/>
      <c r="D47" s="30"/>
      <c r="E47" s="30"/>
      <c r="F47" s="30"/>
      <c r="G47" s="30"/>
      <c r="H47" s="30"/>
      <c r="I47" s="30"/>
      <c r="J47" s="31"/>
      <c r="K47" s="21"/>
      <c r="L47" s="21"/>
      <c r="M47" s="21"/>
      <c r="N47" s="21"/>
      <c r="O47" s="21"/>
      <c r="P47" s="21"/>
    </row>
    <row r="48" spans="1:16">
      <c r="A48" s="20"/>
      <c r="B48" s="20" t="s">
        <v>24</v>
      </c>
      <c r="C48" s="30"/>
      <c r="D48" s="30"/>
      <c r="E48" s="30"/>
      <c r="F48" s="30"/>
      <c r="G48" s="30"/>
      <c r="H48" s="30"/>
      <c r="I48" s="30"/>
      <c r="J48" s="31"/>
      <c r="K48" s="21"/>
      <c r="L48" s="21"/>
      <c r="M48" s="21"/>
      <c r="N48" s="21"/>
      <c r="O48" s="21"/>
      <c r="P48" s="21"/>
    </row>
    <row r="49" spans="1:16">
      <c r="A49" s="20"/>
      <c r="B49" s="22" t="s">
        <v>51</v>
      </c>
      <c r="C49" s="30">
        <v>385</v>
      </c>
      <c r="D49" s="30">
        <v>371</v>
      </c>
      <c r="E49" s="30">
        <v>265</v>
      </c>
      <c r="F49" s="30">
        <v>73</v>
      </c>
      <c r="G49" s="48">
        <f>+I49-SUM(C49:F49)</f>
        <v>11</v>
      </c>
      <c r="H49" s="30"/>
      <c r="I49" s="30">
        <v>1105</v>
      </c>
      <c r="J49" s="24">
        <f t="shared" ref="J49:P49" si="10">C49/$I49</f>
        <v>0.34841628959276016</v>
      </c>
      <c r="K49" s="25">
        <f t="shared" si="10"/>
        <v>0.3357466063348416</v>
      </c>
      <c r="L49" s="25">
        <f t="shared" si="10"/>
        <v>0.23981900452488689</v>
      </c>
      <c r="M49" s="25">
        <f t="shared" si="10"/>
        <v>6.6063348416289594E-2</v>
      </c>
      <c r="N49" s="25">
        <f t="shared" si="10"/>
        <v>9.9547511312217188E-3</v>
      </c>
      <c r="O49" s="25">
        <f t="shared" si="10"/>
        <v>0</v>
      </c>
      <c r="P49" s="25">
        <f t="shared" si="10"/>
        <v>1</v>
      </c>
    </row>
    <row r="50" spans="1:16">
      <c r="A50" s="20"/>
      <c r="B50" s="20" t="s">
        <v>25</v>
      </c>
      <c r="C50" s="30"/>
      <c r="D50" s="30"/>
      <c r="E50" s="30"/>
      <c r="F50" s="30"/>
      <c r="G50" s="30"/>
      <c r="H50" s="30"/>
      <c r="I50" s="30"/>
      <c r="J50" s="31"/>
      <c r="K50" s="21"/>
      <c r="L50" s="21"/>
      <c r="M50" s="21"/>
      <c r="N50" s="21"/>
      <c r="O50" s="21"/>
      <c r="P50" s="21"/>
    </row>
    <row r="51" spans="1:16">
      <c r="A51" s="20"/>
      <c r="B51" s="20" t="s">
        <v>26</v>
      </c>
      <c r="C51" s="30"/>
      <c r="D51" s="30"/>
      <c r="E51" s="30"/>
      <c r="F51" s="30"/>
      <c r="G51" s="30"/>
      <c r="H51" s="30"/>
      <c r="I51" s="30"/>
      <c r="J51" s="31"/>
      <c r="K51" s="21"/>
      <c r="L51" s="21"/>
      <c r="M51" s="21"/>
      <c r="N51" s="21"/>
      <c r="O51" s="21"/>
      <c r="P51" s="21"/>
    </row>
    <row r="52" spans="1:16">
      <c r="A52" s="26" t="s">
        <v>6</v>
      </c>
      <c r="B52" s="26" t="s">
        <v>19</v>
      </c>
      <c r="C52" s="27">
        <v>1395</v>
      </c>
      <c r="D52" s="27">
        <v>1086</v>
      </c>
      <c r="E52" s="27">
        <v>724</v>
      </c>
      <c r="F52" s="27">
        <v>130</v>
      </c>
      <c r="G52" s="27">
        <v>53</v>
      </c>
      <c r="H52" s="27">
        <v>0</v>
      </c>
      <c r="I52" s="27">
        <v>3388</v>
      </c>
      <c r="J52" s="28">
        <f t="shared" ref="J52:P55" si="11">C52/$I52</f>
        <v>0.41174734356552539</v>
      </c>
      <c r="K52" s="29">
        <f t="shared" si="11"/>
        <v>0.32054309327036601</v>
      </c>
      <c r="L52" s="29">
        <f t="shared" si="11"/>
        <v>0.21369539551357733</v>
      </c>
      <c r="M52" s="29">
        <f t="shared" si="11"/>
        <v>3.8370720188902009E-2</v>
      </c>
      <c r="N52" s="29">
        <f t="shared" si="11"/>
        <v>1.5643447461629281E-2</v>
      </c>
      <c r="O52" s="29">
        <f t="shared" si="11"/>
        <v>0</v>
      </c>
      <c r="P52" s="29">
        <f t="shared" si="11"/>
        <v>1</v>
      </c>
    </row>
    <row r="53" spans="1:16">
      <c r="A53" s="20"/>
      <c r="B53" s="20" t="s">
        <v>20</v>
      </c>
      <c r="C53" s="30">
        <v>1404</v>
      </c>
      <c r="D53" s="30">
        <v>681</v>
      </c>
      <c r="E53" s="30">
        <v>562</v>
      </c>
      <c r="F53" s="30">
        <v>232</v>
      </c>
      <c r="G53" s="30">
        <v>18</v>
      </c>
      <c r="H53" s="30">
        <v>0</v>
      </c>
      <c r="I53" s="30">
        <v>2897</v>
      </c>
      <c r="J53" s="31">
        <f t="shared" si="11"/>
        <v>0.48463928201587847</v>
      </c>
      <c r="K53" s="21">
        <f t="shared" si="11"/>
        <v>0.23507076285812911</v>
      </c>
      <c r="L53" s="21">
        <f t="shared" si="11"/>
        <v>0.19399378667587158</v>
      </c>
      <c r="M53" s="21">
        <f t="shared" si="11"/>
        <v>8.0082844321712116E-2</v>
      </c>
      <c r="N53" s="21">
        <f t="shared" si="11"/>
        <v>6.2133241284086987E-3</v>
      </c>
      <c r="O53" s="21">
        <f t="shared" si="11"/>
        <v>0</v>
      </c>
      <c r="P53" s="21">
        <f t="shared" si="11"/>
        <v>1</v>
      </c>
    </row>
    <row r="54" spans="1:16">
      <c r="A54" s="20"/>
      <c r="B54" s="20" t="s">
        <v>21</v>
      </c>
      <c r="C54" s="30">
        <v>588</v>
      </c>
      <c r="D54" s="30">
        <v>195</v>
      </c>
      <c r="E54" s="30">
        <v>239</v>
      </c>
      <c r="F54" s="30">
        <v>105</v>
      </c>
      <c r="G54" s="30">
        <v>7</v>
      </c>
      <c r="H54" s="30">
        <v>0</v>
      </c>
      <c r="I54" s="30">
        <v>1134</v>
      </c>
      <c r="J54" s="31">
        <f t="shared" si="11"/>
        <v>0.51851851851851849</v>
      </c>
      <c r="K54" s="21">
        <f t="shared" si="11"/>
        <v>0.17195767195767195</v>
      </c>
      <c r="L54" s="21">
        <f t="shared" si="11"/>
        <v>0.21075837742504408</v>
      </c>
      <c r="M54" s="21">
        <f t="shared" si="11"/>
        <v>9.2592592592592587E-2</v>
      </c>
      <c r="N54" s="21">
        <f t="shared" si="11"/>
        <v>6.1728395061728392E-3</v>
      </c>
      <c r="O54" s="21">
        <f t="shared" si="11"/>
        <v>0</v>
      </c>
      <c r="P54" s="21">
        <f t="shared" si="11"/>
        <v>1</v>
      </c>
    </row>
    <row r="55" spans="1:16">
      <c r="A55" s="20"/>
      <c r="B55" s="20" t="s">
        <v>22</v>
      </c>
      <c r="C55" s="30">
        <v>77</v>
      </c>
      <c r="D55" s="30">
        <v>87</v>
      </c>
      <c r="E55" s="30">
        <v>86</v>
      </c>
      <c r="F55" s="30">
        <v>29</v>
      </c>
      <c r="G55" s="30">
        <v>15</v>
      </c>
      <c r="H55" s="30">
        <v>0</v>
      </c>
      <c r="I55" s="30">
        <v>294</v>
      </c>
      <c r="J55" s="31">
        <f t="shared" si="11"/>
        <v>0.26190476190476192</v>
      </c>
      <c r="K55" s="21">
        <f t="shared" si="11"/>
        <v>0.29591836734693877</v>
      </c>
      <c r="L55" s="21">
        <f t="shared" si="11"/>
        <v>0.29251700680272108</v>
      </c>
      <c r="M55" s="21">
        <f t="shared" si="11"/>
        <v>9.8639455782312924E-2</v>
      </c>
      <c r="N55" s="21">
        <f t="shared" si="11"/>
        <v>5.1020408163265307E-2</v>
      </c>
      <c r="O55" s="21">
        <f t="shared" si="11"/>
        <v>0</v>
      </c>
      <c r="P55" s="21">
        <f t="shared" si="11"/>
        <v>1</v>
      </c>
    </row>
    <row r="56" spans="1:16">
      <c r="A56" s="20"/>
      <c r="B56" s="20" t="s">
        <v>23</v>
      </c>
      <c r="C56" s="30">
        <v>0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1"/>
      <c r="K56" s="21"/>
      <c r="L56" s="21"/>
      <c r="M56" s="21"/>
      <c r="N56" s="21"/>
      <c r="O56" s="21"/>
      <c r="P56" s="21"/>
    </row>
    <row r="57" spans="1:16">
      <c r="A57" s="20"/>
      <c r="B57" s="20" t="s">
        <v>24</v>
      </c>
      <c r="C57" s="30">
        <v>0</v>
      </c>
      <c r="D57" s="30">
        <v>0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1"/>
      <c r="K57" s="21"/>
      <c r="L57" s="21"/>
      <c r="M57" s="21"/>
      <c r="N57" s="21"/>
      <c r="O57" s="21"/>
      <c r="P57" s="21"/>
    </row>
    <row r="58" spans="1:16">
      <c r="A58" s="20"/>
      <c r="B58" s="22" t="s">
        <v>51</v>
      </c>
      <c r="C58" s="23">
        <v>3464</v>
      </c>
      <c r="D58" s="23">
        <v>2049</v>
      </c>
      <c r="E58" s="23">
        <v>1611</v>
      </c>
      <c r="F58" s="23">
        <v>496</v>
      </c>
      <c r="G58" s="23">
        <v>93</v>
      </c>
      <c r="H58" s="23">
        <v>0</v>
      </c>
      <c r="I58" s="23">
        <v>7713</v>
      </c>
      <c r="J58" s="24">
        <f t="shared" ref="J58:P59" si="12">C58/$I58</f>
        <v>0.4491118890185401</v>
      </c>
      <c r="K58" s="25">
        <f t="shared" si="12"/>
        <v>0.26565538700894592</v>
      </c>
      <c r="L58" s="25">
        <f t="shared" si="12"/>
        <v>0.2088681446907818</v>
      </c>
      <c r="M58" s="25">
        <f t="shared" si="12"/>
        <v>6.430701413198496E-2</v>
      </c>
      <c r="N58" s="25">
        <f t="shared" si="12"/>
        <v>1.2057565149747181E-2</v>
      </c>
      <c r="O58" s="25">
        <f t="shared" si="12"/>
        <v>0</v>
      </c>
      <c r="P58" s="25">
        <f t="shared" si="12"/>
        <v>1</v>
      </c>
    </row>
    <row r="59" spans="1:16">
      <c r="A59" s="20"/>
      <c r="B59" s="20" t="s">
        <v>25</v>
      </c>
      <c r="C59" s="30">
        <v>0</v>
      </c>
      <c r="D59" s="30">
        <v>0</v>
      </c>
      <c r="E59" s="30">
        <v>0</v>
      </c>
      <c r="F59" s="30">
        <v>0</v>
      </c>
      <c r="G59" s="30">
        <v>0</v>
      </c>
      <c r="H59" s="30">
        <v>4570</v>
      </c>
      <c r="I59" s="30">
        <v>4570</v>
      </c>
      <c r="J59" s="31">
        <f t="shared" si="12"/>
        <v>0</v>
      </c>
      <c r="K59" s="21">
        <f t="shared" si="12"/>
        <v>0</v>
      </c>
      <c r="L59" s="21">
        <f t="shared" si="12"/>
        <v>0</v>
      </c>
      <c r="M59" s="21">
        <f t="shared" si="12"/>
        <v>0</v>
      </c>
      <c r="N59" s="21">
        <f t="shared" si="12"/>
        <v>0</v>
      </c>
      <c r="O59" s="21">
        <f t="shared" si="12"/>
        <v>1</v>
      </c>
      <c r="P59" s="21">
        <f t="shared" si="12"/>
        <v>1</v>
      </c>
    </row>
    <row r="60" spans="1:16">
      <c r="A60" s="20"/>
      <c r="B60" s="20" t="s">
        <v>26</v>
      </c>
      <c r="C60" s="30">
        <v>0</v>
      </c>
      <c r="D60" s="30">
        <v>0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1"/>
      <c r="K60" s="21"/>
      <c r="L60" s="21"/>
      <c r="M60" s="21"/>
      <c r="N60" s="21"/>
      <c r="O60" s="21"/>
      <c r="P60" s="21"/>
    </row>
    <row r="61" spans="1:16">
      <c r="A61" s="26" t="s">
        <v>7</v>
      </c>
      <c r="B61" s="26" t="s">
        <v>19</v>
      </c>
      <c r="C61" s="27">
        <v>887</v>
      </c>
      <c r="D61" s="27">
        <v>769</v>
      </c>
      <c r="E61" s="27">
        <v>516</v>
      </c>
      <c r="F61" s="27">
        <v>80</v>
      </c>
      <c r="G61" s="27">
        <v>168</v>
      </c>
      <c r="H61" s="27">
        <v>0</v>
      </c>
      <c r="I61" s="27">
        <v>2420</v>
      </c>
      <c r="J61" s="28">
        <f t="shared" ref="J61:J77" si="13">C61/$I61</f>
        <v>0.36652892561983469</v>
      </c>
      <c r="K61" s="29">
        <f t="shared" ref="K61:K77" si="14">D61/$I61</f>
        <v>0.31776859504132232</v>
      </c>
      <c r="L61" s="29">
        <f t="shared" ref="L61:L77" si="15">E61/$I61</f>
        <v>0.21322314049586777</v>
      </c>
      <c r="M61" s="29">
        <f t="shared" ref="M61:M77" si="16">F61/$I61</f>
        <v>3.3057851239669422E-2</v>
      </c>
      <c r="N61" s="29">
        <f t="shared" ref="N61:N77" si="17">G61/$I61</f>
        <v>6.9421487603305784E-2</v>
      </c>
      <c r="O61" s="29">
        <f t="shared" ref="O61:O77" si="18">H61/$I61</f>
        <v>0</v>
      </c>
      <c r="P61" s="29">
        <f t="shared" ref="P61:P77" si="19">I61/$I61</f>
        <v>1</v>
      </c>
    </row>
    <row r="62" spans="1:16">
      <c r="A62" s="20"/>
      <c r="B62" s="20" t="s">
        <v>20</v>
      </c>
      <c r="C62" s="30">
        <v>287</v>
      </c>
      <c r="D62" s="30">
        <v>239</v>
      </c>
      <c r="E62" s="30">
        <v>168</v>
      </c>
      <c r="F62" s="30">
        <v>22</v>
      </c>
      <c r="G62" s="30">
        <v>1</v>
      </c>
      <c r="H62" s="30">
        <v>0</v>
      </c>
      <c r="I62" s="30">
        <v>717</v>
      </c>
      <c r="J62" s="31">
        <f t="shared" si="13"/>
        <v>0.40027894002789399</v>
      </c>
      <c r="K62" s="21">
        <f t="shared" si="14"/>
        <v>0.33333333333333331</v>
      </c>
      <c r="L62" s="21">
        <f t="shared" si="15"/>
        <v>0.23430962343096234</v>
      </c>
      <c r="M62" s="21">
        <f t="shared" si="16"/>
        <v>3.0683403068340307E-2</v>
      </c>
      <c r="N62" s="21">
        <f t="shared" si="17"/>
        <v>1.3947001394700139E-3</v>
      </c>
      <c r="O62" s="21">
        <f t="shared" si="18"/>
        <v>0</v>
      </c>
      <c r="P62" s="21">
        <f t="shared" si="19"/>
        <v>1</v>
      </c>
    </row>
    <row r="63" spans="1:16">
      <c r="A63" s="20"/>
      <c r="B63" s="20" t="s">
        <v>21</v>
      </c>
      <c r="C63" s="30">
        <v>31</v>
      </c>
      <c r="D63" s="30">
        <v>25</v>
      </c>
      <c r="E63" s="30">
        <v>45</v>
      </c>
      <c r="F63" s="30">
        <v>3</v>
      </c>
      <c r="G63" s="30">
        <v>0</v>
      </c>
      <c r="H63" s="30">
        <v>0</v>
      </c>
      <c r="I63" s="30">
        <v>104</v>
      </c>
      <c r="J63" s="31">
        <f t="shared" si="13"/>
        <v>0.29807692307692307</v>
      </c>
      <c r="K63" s="21">
        <f t="shared" si="14"/>
        <v>0.24038461538461539</v>
      </c>
      <c r="L63" s="21">
        <f t="shared" si="15"/>
        <v>0.43269230769230771</v>
      </c>
      <c r="M63" s="21">
        <f t="shared" si="16"/>
        <v>2.8846153846153848E-2</v>
      </c>
      <c r="N63" s="21">
        <f t="shared" si="17"/>
        <v>0</v>
      </c>
      <c r="O63" s="21">
        <f t="shared" si="18"/>
        <v>0</v>
      </c>
      <c r="P63" s="21">
        <f t="shared" si="19"/>
        <v>1</v>
      </c>
    </row>
    <row r="64" spans="1:16">
      <c r="A64" s="20"/>
      <c r="B64" s="20" t="s">
        <v>22</v>
      </c>
      <c r="C64" s="30">
        <v>275</v>
      </c>
      <c r="D64" s="30">
        <v>240</v>
      </c>
      <c r="E64" s="30">
        <v>361</v>
      </c>
      <c r="F64" s="30">
        <v>50</v>
      </c>
      <c r="G64" s="30">
        <v>0</v>
      </c>
      <c r="H64" s="30">
        <v>0</v>
      </c>
      <c r="I64" s="30">
        <v>926</v>
      </c>
      <c r="J64" s="31">
        <f t="shared" si="13"/>
        <v>0.29697624190064797</v>
      </c>
      <c r="K64" s="21">
        <f t="shared" si="14"/>
        <v>0.25917926565874733</v>
      </c>
      <c r="L64" s="21">
        <f t="shared" si="15"/>
        <v>0.38984881209503242</v>
      </c>
      <c r="M64" s="21">
        <f t="shared" si="16"/>
        <v>5.3995680345572353E-2</v>
      </c>
      <c r="N64" s="21">
        <f t="shared" si="17"/>
        <v>0</v>
      </c>
      <c r="O64" s="21">
        <f t="shared" si="18"/>
        <v>0</v>
      </c>
      <c r="P64" s="21">
        <f t="shared" si="19"/>
        <v>1</v>
      </c>
    </row>
    <row r="65" spans="1:16">
      <c r="A65" s="20"/>
      <c r="B65" s="20" t="s">
        <v>23</v>
      </c>
      <c r="C65" s="30">
        <v>251</v>
      </c>
      <c r="D65" s="30">
        <v>309</v>
      </c>
      <c r="E65" s="30">
        <v>367</v>
      </c>
      <c r="F65" s="30">
        <v>44</v>
      </c>
      <c r="G65" s="30">
        <v>0</v>
      </c>
      <c r="H65" s="30">
        <v>0</v>
      </c>
      <c r="I65" s="30">
        <v>971</v>
      </c>
      <c r="J65" s="31">
        <f t="shared" si="13"/>
        <v>0.2584963954685891</v>
      </c>
      <c r="K65" s="21">
        <f t="shared" si="14"/>
        <v>0.31822863027806386</v>
      </c>
      <c r="L65" s="21">
        <f t="shared" si="15"/>
        <v>0.37796086508753862</v>
      </c>
      <c r="M65" s="21">
        <f t="shared" si="16"/>
        <v>4.5314109165808442E-2</v>
      </c>
      <c r="N65" s="21">
        <f t="shared" si="17"/>
        <v>0</v>
      </c>
      <c r="O65" s="21">
        <f t="shared" si="18"/>
        <v>0</v>
      </c>
      <c r="P65" s="21">
        <f t="shared" si="19"/>
        <v>1</v>
      </c>
    </row>
    <row r="66" spans="1:16">
      <c r="A66" s="20"/>
      <c r="B66" s="20" t="s">
        <v>24</v>
      </c>
      <c r="C66" s="30">
        <v>114</v>
      </c>
      <c r="D66" s="30">
        <v>134</v>
      </c>
      <c r="E66" s="30">
        <v>187</v>
      </c>
      <c r="F66" s="30">
        <v>24</v>
      </c>
      <c r="G66" s="30">
        <v>0</v>
      </c>
      <c r="H66" s="30">
        <v>0</v>
      </c>
      <c r="I66" s="30">
        <v>459</v>
      </c>
      <c r="J66" s="31">
        <f t="shared" si="13"/>
        <v>0.24836601307189543</v>
      </c>
      <c r="K66" s="21">
        <f t="shared" si="14"/>
        <v>0.29193899782135074</v>
      </c>
      <c r="L66" s="21">
        <f t="shared" si="15"/>
        <v>0.40740740740740738</v>
      </c>
      <c r="M66" s="21">
        <f t="shared" si="16"/>
        <v>5.2287581699346407E-2</v>
      </c>
      <c r="N66" s="21">
        <f t="shared" si="17"/>
        <v>0</v>
      </c>
      <c r="O66" s="21">
        <f t="shared" si="18"/>
        <v>0</v>
      </c>
      <c r="P66" s="21">
        <f t="shared" si="19"/>
        <v>1</v>
      </c>
    </row>
    <row r="67" spans="1:16">
      <c r="A67" s="20"/>
      <c r="B67" s="22" t="s">
        <v>51</v>
      </c>
      <c r="C67" s="23">
        <v>1845</v>
      </c>
      <c r="D67" s="23">
        <v>1716</v>
      </c>
      <c r="E67" s="23">
        <v>1644</v>
      </c>
      <c r="F67" s="23">
        <v>223</v>
      </c>
      <c r="G67" s="23">
        <v>169</v>
      </c>
      <c r="H67" s="23">
        <v>0</v>
      </c>
      <c r="I67" s="23">
        <v>5597</v>
      </c>
      <c r="J67" s="24">
        <f t="shared" si="13"/>
        <v>0.32964087904234413</v>
      </c>
      <c r="K67" s="25">
        <f t="shared" si="14"/>
        <v>0.30659281758084689</v>
      </c>
      <c r="L67" s="25">
        <f t="shared" si="15"/>
        <v>0.29372878327675539</v>
      </c>
      <c r="M67" s="25">
        <f t="shared" si="16"/>
        <v>3.9842772914061103E-2</v>
      </c>
      <c r="N67" s="25">
        <f t="shared" si="17"/>
        <v>3.0194747185992497E-2</v>
      </c>
      <c r="O67" s="25">
        <f t="shared" si="18"/>
        <v>0</v>
      </c>
      <c r="P67" s="25">
        <f t="shared" si="19"/>
        <v>1</v>
      </c>
    </row>
    <row r="68" spans="1:16">
      <c r="A68" s="20"/>
      <c r="B68" s="20" t="s">
        <v>25</v>
      </c>
      <c r="C68" s="30">
        <v>163</v>
      </c>
      <c r="D68" s="30">
        <v>281</v>
      </c>
      <c r="E68" s="30">
        <v>517</v>
      </c>
      <c r="F68" s="30">
        <v>140</v>
      </c>
      <c r="G68" s="30">
        <v>0</v>
      </c>
      <c r="H68" s="30">
        <v>0</v>
      </c>
      <c r="I68" s="30">
        <v>1101</v>
      </c>
      <c r="J68" s="31">
        <f t="shared" si="13"/>
        <v>0.14804722979109899</v>
      </c>
      <c r="K68" s="21">
        <f t="shared" si="14"/>
        <v>0.25522252497729336</v>
      </c>
      <c r="L68" s="21">
        <f t="shared" si="15"/>
        <v>0.4695731153496821</v>
      </c>
      <c r="M68" s="21">
        <f t="shared" si="16"/>
        <v>0.12715712988192551</v>
      </c>
      <c r="N68" s="21">
        <f t="shared" si="17"/>
        <v>0</v>
      </c>
      <c r="O68" s="21">
        <f t="shared" si="18"/>
        <v>0</v>
      </c>
      <c r="P68" s="21">
        <f t="shared" si="19"/>
        <v>1</v>
      </c>
    </row>
    <row r="69" spans="1:16">
      <c r="A69" s="20"/>
      <c r="B69" s="20" t="s">
        <v>26</v>
      </c>
      <c r="C69" s="30">
        <v>0</v>
      </c>
      <c r="D69" s="30">
        <v>0</v>
      </c>
      <c r="E69" s="30">
        <v>0</v>
      </c>
      <c r="F69" s="30">
        <v>0</v>
      </c>
      <c r="G69" s="30">
        <v>0</v>
      </c>
      <c r="H69" s="30">
        <v>1586</v>
      </c>
      <c r="I69" s="30">
        <v>1586</v>
      </c>
      <c r="J69" s="31">
        <f t="shared" si="13"/>
        <v>0</v>
      </c>
      <c r="K69" s="21">
        <f t="shared" si="14"/>
        <v>0</v>
      </c>
      <c r="L69" s="21">
        <f t="shared" si="15"/>
        <v>0</v>
      </c>
      <c r="M69" s="21">
        <f t="shared" si="16"/>
        <v>0</v>
      </c>
      <c r="N69" s="21">
        <f t="shared" si="17"/>
        <v>0</v>
      </c>
      <c r="O69" s="21">
        <f t="shared" si="18"/>
        <v>1</v>
      </c>
      <c r="P69" s="21">
        <f t="shared" si="19"/>
        <v>1</v>
      </c>
    </row>
    <row r="70" spans="1:16">
      <c r="A70" s="26" t="s">
        <v>8</v>
      </c>
      <c r="B70" s="26" t="s">
        <v>19</v>
      </c>
      <c r="C70" s="27">
        <v>488</v>
      </c>
      <c r="D70" s="27">
        <v>473</v>
      </c>
      <c r="E70" s="27">
        <v>256</v>
      </c>
      <c r="F70" s="27">
        <v>14</v>
      </c>
      <c r="G70" s="27">
        <v>0</v>
      </c>
      <c r="H70" s="27">
        <v>0</v>
      </c>
      <c r="I70" s="27">
        <v>1231</v>
      </c>
      <c r="J70" s="28">
        <f t="shared" si="13"/>
        <v>0.39642567018683994</v>
      </c>
      <c r="K70" s="29">
        <f t="shared" si="14"/>
        <v>0.38424045491470349</v>
      </c>
      <c r="L70" s="29">
        <f t="shared" si="15"/>
        <v>0.20796100731112915</v>
      </c>
      <c r="M70" s="29">
        <f t="shared" si="16"/>
        <v>1.1372867587327376E-2</v>
      </c>
      <c r="N70" s="29">
        <f t="shared" si="17"/>
        <v>0</v>
      </c>
      <c r="O70" s="29">
        <f t="shared" si="18"/>
        <v>0</v>
      </c>
      <c r="P70" s="29">
        <f t="shared" si="19"/>
        <v>1</v>
      </c>
    </row>
    <row r="71" spans="1:16">
      <c r="A71" s="20"/>
      <c r="B71" s="20" t="s">
        <v>20</v>
      </c>
      <c r="C71" s="30">
        <v>308</v>
      </c>
      <c r="D71" s="30">
        <v>207</v>
      </c>
      <c r="E71" s="30">
        <v>156</v>
      </c>
      <c r="F71" s="30">
        <v>17</v>
      </c>
      <c r="G71" s="30">
        <v>16</v>
      </c>
      <c r="H71" s="30">
        <v>0</v>
      </c>
      <c r="I71" s="30">
        <v>704</v>
      </c>
      <c r="J71" s="31">
        <f t="shared" si="13"/>
        <v>0.4375</v>
      </c>
      <c r="K71" s="21">
        <f t="shared" si="14"/>
        <v>0.29403409090909088</v>
      </c>
      <c r="L71" s="21">
        <f t="shared" si="15"/>
        <v>0.22159090909090909</v>
      </c>
      <c r="M71" s="21">
        <f t="shared" si="16"/>
        <v>2.4147727272727272E-2</v>
      </c>
      <c r="N71" s="21">
        <f t="shared" si="17"/>
        <v>2.2727272727272728E-2</v>
      </c>
      <c r="O71" s="21">
        <f t="shared" si="18"/>
        <v>0</v>
      </c>
      <c r="P71" s="21">
        <f t="shared" si="19"/>
        <v>1</v>
      </c>
    </row>
    <row r="72" spans="1:16">
      <c r="A72" s="20"/>
      <c r="B72" s="20" t="s">
        <v>21</v>
      </c>
      <c r="C72" s="30">
        <v>509</v>
      </c>
      <c r="D72" s="30">
        <v>399</v>
      </c>
      <c r="E72" s="30">
        <v>433</v>
      </c>
      <c r="F72" s="30">
        <v>83</v>
      </c>
      <c r="G72" s="30">
        <v>58</v>
      </c>
      <c r="H72" s="30">
        <v>0</v>
      </c>
      <c r="I72" s="30">
        <v>1482</v>
      </c>
      <c r="J72" s="31">
        <f t="shared" si="13"/>
        <v>0.3434547908232119</v>
      </c>
      <c r="K72" s="21">
        <f t="shared" si="14"/>
        <v>0.26923076923076922</v>
      </c>
      <c r="L72" s="21">
        <f t="shared" si="15"/>
        <v>0.29217273954116058</v>
      </c>
      <c r="M72" s="21">
        <f t="shared" si="16"/>
        <v>5.600539811066127E-2</v>
      </c>
      <c r="N72" s="21">
        <f t="shared" si="17"/>
        <v>3.9136302294197033E-2</v>
      </c>
      <c r="O72" s="21">
        <f t="shared" si="18"/>
        <v>0</v>
      </c>
      <c r="P72" s="21">
        <f t="shared" si="19"/>
        <v>1</v>
      </c>
    </row>
    <row r="73" spans="1:16">
      <c r="A73" s="20"/>
      <c r="B73" s="20" t="s">
        <v>22</v>
      </c>
      <c r="C73" s="30">
        <v>66</v>
      </c>
      <c r="D73" s="30">
        <v>81</v>
      </c>
      <c r="E73" s="30">
        <v>148</v>
      </c>
      <c r="F73" s="30">
        <v>22</v>
      </c>
      <c r="G73" s="30">
        <v>0</v>
      </c>
      <c r="H73" s="30">
        <v>0</v>
      </c>
      <c r="I73" s="30">
        <v>317</v>
      </c>
      <c r="J73" s="31">
        <f t="shared" si="13"/>
        <v>0.20820189274447951</v>
      </c>
      <c r="K73" s="21">
        <f t="shared" si="14"/>
        <v>0.25552050473186122</v>
      </c>
      <c r="L73" s="21">
        <f t="shared" si="15"/>
        <v>0.46687697160883279</v>
      </c>
      <c r="M73" s="21">
        <f t="shared" si="16"/>
        <v>6.9400630914826497E-2</v>
      </c>
      <c r="N73" s="21">
        <f t="shared" si="17"/>
        <v>0</v>
      </c>
      <c r="O73" s="21">
        <f t="shared" si="18"/>
        <v>0</v>
      </c>
      <c r="P73" s="21">
        <f t="shared" si="19"/>
        <v>1</v>
      </c>
    </row>
    <row r="74" spans="1:16">
      <c r="A74" s="20"/>
      <c r="B74" s="20" t="s">
        <v>23</v>
      </c>
      <c r="C74" s="30">
        <v>112</v>
      </c>
      <c r="D74" s="30">
        <v>116</v>
      </c>
      <c r="E74" s="30">
        <v>76</v>
      </c>
      <c r="F74" s="30">
        <v>6</v>
      </c>
      <c r="G74" s="30">
        <v>68</v>
      </c>
      <c r="H74" s="30">
        <v>0</v>
      </c>
      <c r="I74" s="30">
        <v>378</v>
      </c>
      <c r="J74" s="31">
        <f t="shared" si="13"/>
        <v>0.29629629629629628</v>
      </c>
      <c r="K74" s="21">
        <f t="shared" si="14"/>
        <v>0.30687830687830686</v>
      </c>
      <c r="L74" s="21">
        <f t="shared" si="15"/>
        <v>0.20105820105820105</v>
      </c>
      <c r="M74" s="21">
        <f t="shared" si="16"/>
        <v>1.5873015873015872E-2</v>
      </c>
      <c r="N74" s="21">
        <f t="shared" si="17"/>
        <v>0.17989417989417988</v>
      </c>
      <c r="O74" s="21">
        <f t="shared" si="18"/>
        <v>0</v>
      </c>
      <c r="P74" s="21">
        <f t="shared" si="19"/>
        <v>1</v>
      </c>
    </row>
    <row r="75" spans="1:16">
      <c r="A75" s="20"/>
      <c r="B75" s="20" t="s">
        <v>24</v>
      </c>
      <c r="C75" s="30">
        <v>29</v>
      </c>
      <c r="D75" s="30">
        <v>36</v>
      </c>
      <c r="E75" s="30">
        <v>48</v>
      </c>
      <c r="F75" s="30">
        <v>5</v>
      </c>
      <c r="G75" s="30">
        <v>3</v>
      </c>
      <c r="H75" s="30">
        <v>0</v>
      </c>
      <c r="I75" s="30">
        <v>121</v>
      </c>
      <c r="J75" s="31">
        <f t="shared" si="13"/>
        <v>0.23966942148760331</v>
      </c>
      <c r="K75" s="21">
        <f t="shared" si="14"/>
        <v>0.2975206611570248</v>
      </c>
      <c r="L75" s="21">
        <f t="shared" si="15"/>
        <v>0.39669421487603307</v>
      </c>
      <c r="M75" s="21">
        <f t="shared" si="16"/>
        <v>4.1322314049586778E-2</v>
      </c>
      <c r="N75" s="21">
        <f t="shared" si="17"/>
        <v>2.4793388429752067E-2</v>
      </c>
      <c r="O75" s="21">
        <f t="shared" si="18"/>
        <v>0</v>
      </c>
      <c r="P75" s="21">
        <f t="shared" si="19"/>
        <v>1</v>
      </c>
    </row>
    <row r="76" spans="1:16">
      <c r="A76" s="20"/>
      <c r="B76" s="22" t="s">
        <v>51</v>
      </c>
      <c r="C76" s="23">
        <v>1512</v>
      </c>
      <c r="D76" s="23">
        <v>1312</v>
      </c>
      <c r="E76" s="23">
        <v>1117</v>
      </c>
      <c r="F76" s="23">
        <v>147</v>
      </c>
      <c r="G76" s="23">
        <v>145</v>
      </c>
      <c r="H76" s="23">
        <v>0</v>
      </c>
      <c r="I76" s="23">
        <v>4233</v>
      </c>
      <c r="J76" s="24">
        <f t="shared" si="13"/>
        <v>0.35719347980155919</v>
      </c>
      <c r="K76" s="25">
        <f t="shared" si="14"/>
        <v>0.30994566501299314</v>
      </c>
      <c r="L76" s="25">
        <f t="shared" si="15"/>
        <v>0.26387904559414127</v>
      </c>
      <c r="M76" s="25">
        <f t="shared" si="16"/>
        <v>3.4727143869596029E-2</v>
      </c>
      <c r="N76" s="25">
        <f t="shared" si="17"/>
        <v>3.4254665721710369E-2</v>
      </c>
      <c r="O76" s="25">
        <f t="shared" si="18"/>
        <v>0</v>
      </c>
      <c r="P76" s="25">
        <f t="shared" si="19"/>
        <v>1</v>
      </c>
    </row>
    <row r="77" spans="1:16">
      <c r="A77" s="20"/>
      <c r="B77" s="20" t="s">
        <v>25</v>
      </c>
      <c r="C77" s="30">
        <v>205</v>
      </c>
      <c r="D77" s="30">
        <v>465</v>
      </c>
      <c r="E77" s="30">
        <v>165</v>
      </c>
      <c r="F77" s="30">
        <v>108</v>
      </c>
      <c r="G77" s="30">
        <v>0</v>
      </c>
      <c r="H77" s="30">
        <v>0</v>
      </c>
      <c r="I77" s="30">
        <v>943</v>
      </c>
      <c r="J77" s="31">
        <f t="shared" si="13"/>
        <v>0.21739130434782608</v>
      </c>
      <c r="K77" s="21">
        <f t="shared" si="14"/>
        <v>0.49310710498409333</v>
      </c>
      <c r="L77" s="21">
        <f t="shared" si="15"/>
        <v>0.17497348886532343</v>
      </c>
      <c r="M77" s="21">
        <f t="shared" si="16"/>
        <v>0.11452810180275716</v>
      </c>
      <c r="N77" s="21">
        <f t="shared" si="17"/>
        <v>0</v>
      </c>
      <c r="O77" s="21">
        <f t="shared" si="18"/>
        <v>0</v>
      </c>
      <c r="P77" s="21">
        <f t="shared" si="19"/>
        <v>1</v>
      </c>
    </row>
    <row r="78" spans="1:16">
      <c r="A78" s="20"/>
      <c r="B78" s="20" t="s">
        <v>26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1"/>
      <c r="K78" s="21"/>
      <c r="L78" s="21"/>
      <c r="M78" s="21"/>
      <c r="N78" s="21"/>
      <c r="O78" s="21"/>
      <c r="P78" s="21"/>
    </row>
    <row r="79" spans="1:16">
      <c r="A79" s="26" t="s">
        <v>9</v>
      </c>
      <c r="B79" s="26" t="s">
        <v>19</v>
      </c>
      <c r="C79" s="27">
        <v>470</v>
      </c>
      <c r="D79" s="27">
        <v>309</v>
      </c>
      <c r="E79" s="27">
        <v>227</v>
      </c>
      <c r="F79" s="27">
        <v>295</v>
      </c>
      <c r="G79" s="27">
        <v>0</v>
      </c>
      <c r="H79" s="27">
        <v>0</v>
      </c>
      <c r="I79" s="27">
        <v>1301</v>
      </c>
      <c r="J79" s="28">
        <f t="shared" ref="J79:P83" si="20">C79/$I79</f>
        <v>0.36126056879323598</v>
      </c>
      <c r="K79" s="29">
        <f t="shared" si="20"/>
        <v>0.23750960799385087</v>
      </c>
      <c r="L79" s="29">
        <f t="shared" si="20"/>
        <v>0.17448116833205227</v>
      </c>
      <c r="M79" s="29">
        <f t="shared" si="20"/>
        <v>0.22674865488086088</v>
      </c>
      <c r="N79" s="29">
        <f t="shared" si="20"/>
        <v>0</v>
      </c>
      <c r="O79" s="29">
        <f t="shared" si="20"/>
        <v>0</v>
      </c>
      <c r="P79" s="29">
        <f t="shared" si="20"/>
        <v>1</v>
      </c>
    </row>
    <row r="80" spans="1:16">
      <c r="A80" s="20"/>
      <c r="B80" s="20" t="s">
        <v>20</v>
      </c>
      <c r="C80" s="30">
        <v>393</v>
      </c>
      <c r="D80" s="30">
        <v>289</v>
      </c>
      <c r="E80" s="30">
        <v>237</v>
      </c>
      <c r="F80" s="30">
        <v>183</v>
      </c>
      <c r="G80" s="30">
        <v>0</v>
      </c>
      <c r="H80" s="30">
        <v>0</v>
      </c>
      <c r="I80" s="30">
        <v>1102</v>
      </c>
      <c r="J80" s="31">
        <f t="shared" si="20"/>
        <v>0.35662431941923772</v>
      </c>
      <c r="K80" s="21">
        <f t="shared" si="20"/>
        <v>0.26225045372050815</v>
      </c>
      <c r="L80" s="21">
        <f t="shared" si="20"/>
        <v>0.21506352087114339</v>
      </c>
      <c r="M80" s="21">
        <f t="shared" si="20"/>
        <v>0.16606170598911071</v>
      </c>
      <c r="N80" s="21">
        <f t="shared" si="20"/>
        <v>0</v>
      </c>
      <c r="O80" s="21">
        <f t="shared" si="20"/>
        <v>0</v>
      </c>
      <c r="P80" s="21">
        <f t="shared" si="20"/>
        <v>1</v>
      </c>
    </row>
    <row r="81" spans="1:16">
      <c r="A81" s="20"/>
      <c r="B81" s="20" t="s">
        <v>21</v>
      </c>
      <c r="C81" s="30">
        <v>435</v>
      </c>
      <c r="D81" s="30">
        <v>377</v>
      </c>
      <c r="E81" s="30">
        <v>596</v>
      </c>
      <c r="F81" s="30">
        <v>308</v>
      </c>
      <c r="G81" s="30">
        <v>0</v>
      </c>
      <c r="H81" s="30">
        <v>0</v>
      </c>
      <c r="I81" s="30">
        <v>1716</v>
      </c>
      <c r="J81" s="31">
        <f t="shared" si="20"/>
        <v>0.25349650349650349</v>
      </c>
      <c r="K81" s="21">
        <f t="shared" si="20"/>
        <v>0.2196969696969697</v>
      </c>
      <c r="L81" s="21">
        <f t="shared" si="20"/>
        <v>0.34731934731934733</v>
      </c>
      <c r="M81" s="21">
        <f t="shared" si="20"/>
        <v>0.17948717948717949</v>
      </c>
      <c r="N81" s="21">
        <f t="shared" si="20"/>
        <v>0</v>
      </c>
      <c r="O81" s="21">
        <f t="shared" si="20"/>
        <v>0</v>
      </c>
      <c r="P81" s="21">
        <f t="shared" si="20"/>
        <v>1</v>
      </c>
    </row>
    <row r="82" spans="1:16">
      <c r="A82" s="20"/>
      <c r="B82" s="20" t="s">
        <v>22</v>
      </c>
      <c r="C82" s="30">
        <v>208</v>
      </c>
      <c r="D82" s="30">
        <v>223</v>
      </c>
      <c r="E82" s="30">
        <v>435</v>
      </c>
      <c r="F82" s="30">
        <v>273</v>
      </c>
      <c r="G82" s="30">
        <v>0</v>
      </c>
      <c r="H82" s="30">
        <v>0</v>
      </c>
      <c r="I82" s="30">
        <v>1139</v>
      </c>
      <c r="J82" s="31">
        <f t="shared" si="20"/>
        <v>0.18261633011413519</v>
      </c>
      <c r="K82" s="21">
        <f t="shared" si="20"/>
        <v>0.1957857769973661</v>
      </c>
      <c r="L82" s="21">
        <f t="shared" si="20"/>
        <v>0.38191395961369623</v>
      </c>
      <c r="M82" s="21">
        <f t="shared" si="20"/>
        <v>0.23968393327480245</v>
      </c>
      <c r="N82" s="21">
        <f t="shared" si="20"/>
        <v>0</v>
      </c>
      <c r="O82" s="21">
        <f t="shared" si="20"/>
        <v>0</v>
      </c>
      <c r="P82" s="21">
        <f t="shared" si="20"/>
        <v>1</v>
      </c>
    </row>
    <row r="83" spans="1:16">
      <c r="A83" s="20"/>
      <c r="B83" s="20" t="s">
        <v>23</v>
      </c>
      <c r="C83" s="30">
        <v>148</v>
      </c>
      <c r="D83" s="30">
        <v>129</v>
      </c>
      <c r="E83" s="30">
        <v>210</v>
      </c>
      <c r="F83" s="30">
        <v>99</v>
      </c>
      <c r="G83" s="30">
        <v>0</v>
      </c>
      <c r="H83" s="30">
        <v>0</v>
      </c>
      <c r="I83" s="30">
        <v>586</v>
      </c>
      <c r="J83" s="31">
        <f t="shared" si="20"/>
        <v>0.25255972696245732</v>
      </c>
      <c r="K83" s="21">
        <f t="shared" si="20"/>
        <v>0.22013651877133106</v>
      </c>
      <c r="L83" s="21">
        <f t="shared" si="20"/>
        <v>0.35836177474402731</v>
      </c>
      <c r="M83" s="21">
        <f t="shared" si="20"/>
        <v>0.16894197952218429</v>
      </c>
      <c r="N83" s="21">
        <f t="shared" si="20"/>
        <v>0</v>
      </c>
      <c r="O83" s="21">
        <f t="shared" si="20"/>
        <v>0</v>
      </c>
      <c r="P83" s="21">
        <f t="shared" si="20"/>
        <v>1</v>
      </c>
    </row>
    <row r="84" spans="1:16">
      <c r="A84" s="20"/>
      <c r="B84" s="20" t="s">
        <v>24</v>
      </c>
      <c r="C84" s="30">
        <v>0</v>
      </c>
      <c r="D84" s="30">
        <v>0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  <c r="J84" s="31"/>
      <c r="K84" s="21"/>
      <c r="L84" s="21"/>
      <c r="M84" s="21"/>
      <c r="N84" s="21"/>
      <c r="O84" s="21"/>
      <c r="P84" s="21"/>
    </row>
    <row r="85" spans="1:16">
      <c r="A85" s="20"/>
      <c r="B85" s="32" t="s">
        <v>51</v>
      </c>
      <c r="C85" s="33">
        <v>1654</v>
      </c>
      <c r="D85" s="33">
        <v>1327</v>
      </c>
      <c r="E85" s="33">
        <v>1705</v>
      </c>
      <c r="F85" s="33">
        <v>1158</v>
      </c>
      <c r="G85" s="33">
        <v>0</v>
      </c>
      <c r="H85" s="33">
        <v>0</v>
      </c>
      <c r="I85" s="33">
        <v>5844</v>
      </c>
      <c r="J85" s="34">
        <f t="shared" ref="J85:P89" si="21">C85/$I85</f>
        <v>0.28302532511978096</v>
      </c>
      <c r="K85" s="35">
        <f t="shared" si="21"/>
        <v>0.22707049965776865</v>
      </c>
      <c r="L85" s="35">
        <f t="shared" si="21"/>
        <v>0.29175222450376453</v>
      </c>
      <c r="M85" s="35">
        <f t="shared" si="21"/>
        <v>0.19815195071868583</v>
      </c>
      <c r="N85" s="35">
        <f t="shared" si="21"/>
        <v>0</v>
      </c>
      <c r="O85" s="35">
        <f t="shared" si="21"/>
        <v>0</v>
      </c>
      <c r="P85" s="35">
        <f t="shared" si="21"/>
        <v>1</v>
      </c>
    </row>
    <row r="86" spans="1:16">
      <c r="A86" s="20"/>
      <c r="B86" s="20" t="s">
        <v>25</v>
      </c>
      <c r="C86" s="30">
        <v>76</v>
      </c>
      <c r="D86" s="30">
        <v>159</v>
      </c>
      <c r="E86" s="30">
        <v>168</v>
      </c>
      <c r="F86" s="30">
        <v>194</v>
      </c>
      <c r="G86" s="30">
        <v>0</v>
      </c>
      <c r="H86" s="30">
        <v>0</v>
      </c>
      <c r="I86" s="30">
        <v>597</v>
      </c>
      <c r="J86" s="31">
        <f t="shared" si="21"/>
        <v>0.12730318257956449</v>
      </c>
      <c r="K86" s="21">
        <f t="shared" si="21"/>
        <v>0.26633165829145727</v>
      </c>
      <c r="L86" s="21">
        <f t="shared" si="21"/>
        <v>0.28140703517587939</v>
      </c>
      <c r="M86" s="21">
        <f t="shared" si="21"/>
        <v>0.32495812395309881</v>
      </c>
      <c r="N86" s="21">
        <f t="shared" si="21"/>
        <v>0</v>
      </c>
      <c r="O86" s="21">
        <f t="shared" si="21"/>
        <v>0</v>
      </c>
      <c r="P86" s="21">
        <f t="shared" si="21"/>
        <v>1</v>
      </c>
    </row>
    <row r="87" spans="1:16">
      <c r="A87" s="20"/>
      <c r="B87" s="20" t="s">
        <v>26</v>
      </c>
      <c r="C87" s="30">
        <v>0</v>
      </c>
      <c r="D87" s="30">
        <v>0</v>
      </c>
      <c r="E87" s="30">
        <v>0</v>
      </c>
      <c r="F87" s="30">
        <v>0</v>
      </c>
      <c r="G87" s="30">
        <v>0</v>
      </c>
      <c r="H87" s="30">
        <v>793</v>
      </c>
      <c r="I87" s="30">
        <v>793</v>
      </c>
      <c r="J87" s="31">
        <f t="shared" si="21"/>
        <v>0</v>
      </c>
      <c r="K87" s="21">
        <f t="shared" si="21"/>
        <v>0</v>
      </c>
      <c r="L87" s="21">
        <f t="shared" si="21"/>
        <v>0</v>
      </c>
      <c r="M87" s="21">
        <f t="shared" si="21"/>
        <v>0</v>
      </c>
      <c r="N87" s="21">
        <f t="shared" si="21"/>
        <v>0</v>
      </c>
      <c r="O87" s="21">
        <f t="shared" si="21"/>
        <v>1</v>
      </c>
      <c r="P87" s="21">
        <f t="shared" si="21"/>
        <v>1</v>
      </c>
    </row>
    <row r="88" spans="1:16">
      <c r="A88" s="26" t="s">
        <v>10</v>
      </c>
      <c r="B88" s="26" t="s">
        <v>19</v>
      </c>
      <c r="C88" s="27">
        <v>659</v>
      </c>
      <c r="D88" s="27">
        <v>412</v>
      </c>
      <c r="E88" s="27">
        <v>220</v>
      </c>
      <c r="F88" s="27">
        <v>45</v>
      </c>
      <c r="G88" s="27">
        <v>183</v>
      </c>
      <c r="H88" s="27">
        <v>0</v>
      </c>
      <c r="I88" s="27">
        <v>1519</v>
      </c>
      <c r="J88" s="28">
        <f t="shared" si="21"/>
        <v>0.4338380513495721</v>
      </c>
      <c r="K88" s="29">
        <f t="shared" si="21"/>
        <v>0.27123107307439104</v>
      </c>
      <c r="L88" s="29">
        <f t="shared" si="21"/>
        <v>0.14483212639894669</v>
      </c>
      <c r="M88" s="29">
        <f t="shared" si="21"/>
        <v>2.9624753127057275E-2</v>
      </c>
      <c r="N88" s="29">
        <f t="shared" si="21"/>
        <v>0.12047399605003292</v>
      </c>
      <c r="O88" s="29">
        <f t="shared" si="21"/>
        <v>0</v>
      </c>
      <c r="P88" s="29">
        <f t="shared" si="21"/>
        <v>1</v>
      </c>
    </row>
    <row r="89" spans="1:16">
      <c r="A89" s="20"/>
      <c r="B89" s="20" t="s">
        <v>20</v>
      </c>
      <c r="C89" s="30">
        <v>118</v>
      </c>
      <c r="D89" s="30">
        <v>131</v>
      </c>
      <c r="E89" s="30">
        <v>92</v>
      </c>
      <c r="F89" s="30">
        <v>21</v>
      </c>
      <c r="G89" s="30">
        <v>22</v>
      </c>
      <c r="H89" s="30">
        <v>0</v>
      </c>
      <c r="I89" s="30">
        <v>384</v>
      </c>
      <c r="J89" s="31">
        <f t="shared" si="21"/>
        <v>0.30729166666666669</v>
      </c>
      <c r="K89" s="21">
        <f t="shared" si="21"/>
        <v>0.34114583333333331</v>
      </c>
      <c r="L89" s="21">
        <f t="shared" si="21"/>
        <v>0.23958333333333334</v>
      </c>
      <c r="M89" s="21">
        <f t="shared" si="21"/>
        <v>5.46875E-2</v>
      </c>
      <c r="N89" s="21">
        <f t="shared" si="21"/>
        <v>5.7291666666666664E-2</v>
      </c>
      <c r="O89" s="21">
        <f t="shared" si="21"/>
        <v>0</v>
      </c>
      <c r="P89" s="21">
        <f t="shared" si="21"/>
        <v>1</v>
      </c>
    </row>
    <row r="90" spans="1:16">
      <c r="A90" s="20"/>
      <c r="B90" s="20" t="s">
        <v>21</v>
      </c>
      <c r="C90" s="30">
        <v>0</v>
      </c>
      <c r="D90" s="30">
        <v>0</v>
      </c>
      <c r="E90" s="30">
        <v>0</v>
      </c>
      <c r="F90" s="30">
        <v>0</v>
      </c>
      <c r="G90" s="30">
        <v>0</v>
      </c>
      <c r="H90" s="30">
        <v>0</v>
      </c>
      <c r="I90" s="30">
        <v>0</v>
      </c>
      <c r="J90" s="36"/>
      <c r="K90" s="21"/>
      <c r="L90" s="21"/>
      <c r="M90" s="21"/>
      <c r="N90" s="21"/>
      <c r="O90" s="21"/>
      <c r="P90" s="21"/>
    </row>
    <row r="91" spans="1:16">
      <c r="A91" s="20"/>
      <c r="B91" s="20" t="s">
        <v>22</v>
      </c>
      <c r="C91" s="30">
        <v>417</v>
      </c>
      <c r="D91" s="30">
        <v>413</v>
      </c>
      <c r="E91" s="30">
        <v>450</v>
      </c>
      <c r="F91" s="30">
        <v>57</v>
      </c>
      <c r="G91" s="30">
        <v>118</v>
      </c>
      <c r="H91" s="30">
        <v>0</v>
      </c>
      <c r="I91" s="30">
        <v>1455</v>
      </c>
      <c r="J91" s="31">
        <f t="shared" ref="J91:P95" si="22">C91/$I91</f>
        <v>0.28659793814432988</v>
      </c>
      <c r="K91" s="21">
        <f t="shared" si="22"/>
        <v>0.2838487972508591</v>
      </c>
      <c r="L91" s="21">
        <f t="shared" si="22"/>
        <v>0.30927835051546393</v>
      </c>
      <c r="M91" s="21">
        <f t="shared" si="22"/>
        <v>3.9175257731958762E-2</v>
      </c>
      <c r="N91" s="21">
        <f t="shared" si="22"/>
        <v>8.1099656357388319E-2</v>
      </c>
      <c r="O91" s="21">
        <f t="shared" si="22"/>
        <v>0</v>
      </c>
      <c r="P91" s="21">
        <f t="shared" si="22"/>
        <v>1</v>
      </c>
    </row>
    <row r="92" spans="1:16">
      <c r="A92" s="20"/>
      <c r="B92" s="20" t="s">
        <v>23</v>
      </c>
      <c r="C92" s="30">
        <v>44</v>
      </c>
      <c r="D92" s="30">
        <v>75</v>
      </c>
      <c r="E92" s="30">
        <v>75</v>
      </c>
      <c r="F92" s="30">
        <v>14</v>
      </c>
      <c r="G92" s="30">
        <v>46</v>
      </c>
      <c r="H92" s="30">
        <v>0</v>
      </c>
      <c r="I92" s="30">
        <v>254</v>
      </c>
      <c r="J92" s="31">
        <f t="shared" si="22"/>
        <v>0.17322834645669291</v>
      </c>
      <c r="K92" s="21">
        <f t="shared" si="22"/>
        <v>0.29527559055118108</v>
      </c>
      <c r="L92" s="21">
        <f t="shared" si="22"/>
        <v>0.29527559055118108</v>
      </c>
      <c r="M92" s="21">
        <f t="shared" si="22"/>
        <v>5.5118110236220472E-2</v>
      </c>
      <c r="N92" s="21">
        <f t="shared" si="22"/>
        <v>0.18110236220472442</v>
      </c>
      <c r="O92" s="21">
        <f t="shared" si="22"/>
        <v>0</v>
      </c>
      <c r="P92" s="21">
        <f t="shared" si="22"/>
        <v>1</v>
      </c>
    </row>
    <row r="93" spans="1:16">
      <c r="A93" s="20"/>
      <c r="B93" s="20" t="s">
        <v>24</v>
      </c>
      <c r="C93" s="30">
        <v>30</v>
      </c>
      <c r="D93" s="30">
        <v>32</v>
      </c>
      <c r="E93" s="30">
        <v>42</v>
      </c>
      <c r="F93" s="30">
        <v>5</v>
      </c>
      <c r="G93" s="30">
        <v>0</v>
      </c>
      <c r="H93" s="30">
        <v>0</v>
      </c>
      <c r="I93" s="30">
        <v>109</v>
      </c>
      <c r="J93" s="31">
        <f t="shared" si="22"/>
        <v>0.27522935779816515</v>
      </c>
      <c r="K93" s="21">
        <f t="shared" si="22"/>
        <v>0.29357798165137616</v>
      </c>
      <c r="L93" s="21">
        <f t="shared" si="22"/>
        <v>0.38532110091743121</v>
      </c>
      <c r="M93" s="21">
        <f t="shared" si="22"/>
        <v>4.5871559633027525E-2</v>
      </c>
      <c r="N93" s="21">
        <f t="shared" si="22"/>
        <v>0</v>
      </c>
      <c r="O93" s="21">
        <f t="shared" si="22"/>
        <v>0</v>
      </c>
      <c r="P93" s="21">
        <f t="shared" si="22"/>
        <v>1</v>
      </c>
    </row>
    <row r="94" spans="1:16">
      <c r="A94" s="20"/>
      <c r="B94" s="22" t="s">
        <v>51</v>
      </c>
      <c r="C94" s="23">
        <v>1268</v>
      </c>
      <c r="D94" s="23">
        <v>1063</v>
      </c>
      <c r="E94" s="23">
        <v>879</v>
      </c>
      <c r="F94" s="23">
        <v>142</v>
      </c>
      <c r="G94" s="23">
        <v>369</v>
      </c>
      <c r="H94" s="23">
        <v>0</v>
      </c>
      <c r="I94" s="23">
        <v>3721</v>
      </c>
      <c r="J94" s="24">
        <f t="shared" si="22"/>
        <v>0.34076861058855146</v>
      </c>
      <c r="K94" s="25">
        <f t="shared" si="22"/>
        <v>0.28567589357699541</v>
      </c>
      <c r="L94" s="25">
        <f t="shared" si="22"/>
        <v>0.23622682074711099</v>
      </c>
      <c r="M94" s="25">
        <f t="shared" si="22"/>
        <v>3.8161784466541254E-2</v>
      </c>
      <c r="N94" s="25">
        <f t="shared" si="22"/>
        <v>9.9166890620800863E-2</v>
      </c>
      <c r="O94" s="25">
        <f t="shared" si="22"/>
        <v>0</v>
      </c>
      <c r="P94" s="25">
        <f t="shared" si="22"/>
        <v>1</v>
      </c>
    </row>
    <row r="95" spans="1:16">
      <c r="A95" s="20"/>
      <c r="B95" s="20" t="s">
        <v>25</v>
      </c>
      <c r="C95" s="30">
        <v>742</v>
      </c>
      <c r="D95" s="30">
        <v>543</v>
      </c>
      <c r="E95" s="30">
        <v>474</v>
      </c>
      <c r="F95" s="30">
        <v>127</v>
      </c>
      <c r="G95" s="30">
        <v>12</v>
      </c>
      <c r="H95" s="30">
        <v>0</v>
      </c>
      <c r="I95" s="30">
        <v>1898</v>
      </c>
      <c r="J95" s="31">
        <f t="shared" si="22"/>
        <v>0.39093782929399368</v>
      </c>
      <c r="K95" s="21">
        <f t="shared" si="22"/>
        <v>0.28609062170706007</v>
      </c>
      <c r="L95" s="21">
        <f t="shared" si="22"/>
        <v>0.24973656480505796</v>
      </c>
      <c r="M95" s="21">
        <f t="shared" si="22"/>
        <v>6.6912539515279243E-2</v>
      </c>
      <c r="N95" s="21">
        <f t="shared" si="22"/>
        <v>6.3224446786090622E-3</v>
      </c>
      <c r="O95" s="21">
        <f t="shared" si="22"/>
        <v>0</v>
      </c>
      <c r="P95" s="21">
        <f t="shared" si="22"/>
        <v>1</v>
      </c>
    </row>
    <row r="96" spans="1:16">
      <c r="A96" s="20"/>
      <c r="B96" s="20" t="s">
        <v>26</v>
      </c>
      <c r="C96" s="30">
        <v>0</v>
      </c>
      <c r="D96" s="30">
        <v>0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1"/>
      <c r="K96" s="21"/>
      <c r="L96" s="21"/>
      <c r="M96" s="21"/>
      <c r="N96" s="21"/>
      <c r="O96" s="21"/>
      <c r="P96" s="21"/>
    </row>
    <row r="97" spans="1:16">
      <c r="A97" s="26" t="s">
        <v>11</v>
      </c>
      <c r="B97" s="26" t="s">
        <v>19</v>
      </c>
      <c r="C97" s="27">
        <v>289</v>
      </c>
      <c r="D97" s="27">
        <v>209</v>
      </c>
      <c r="E97" s="27">
        <v>204</v>
      </c>
      <c r="F97" s="27">
        <v>60</v>
      </c>
      <c r="G97" s="27">
        <v>60</v>
      </c>
      <c r="H97" s="27">
        <v>0</v>
      </c>
      <c r="I97" s="27">
        <v>822</v>
      </c>
      <c r="J97" s="28">
        <f t="shared" ref="J97:P99" si="23">C97/$I97</f>
        <v>0.3515815085158151</v>
      </c>
      <c r="K97" s="29">
        <f t="shared" si="23"/>
        <v>0.2542579075425791</v>
      </c>
      <c r="L97" s="29">
        <f t="shared" si="23"/>
        <v>0.24817518248175183</v>
      </c>
      <c r="M97" s="29">
        <f t="shared" si="23"/>
        <v>7.2992700729927001E-2</v>
      </c>
      <c r="N97" s="29">
        <f t="shared" si="23"/>
        <v>7.2992700729927001E-2</v>
      </c>
      <c r="O97" s="29">
        <f t="shared" si="23"/>
        <v>0</v>
      </c>
      <c r="P97" s="29">
        <f t="shared" si="23"/>
        <v>1</v>
      </c>
    </row>
    <row r="98" spans="1:16">
      <c r="A98" s="20"/>
      <c r="B98" s="20" t="s">
        <v>20</v>
      </c>
      <c r="C98" s="30">
        <v>332</v>
      </c>
      <c r="D98" s="30">
        <v>319</v>
      </c>
      <c r="E98" s="30">
        <v>304</v>
      </c>
      <c r="F98" s="30">
        <v>110</v>
      </c>
      <c r="G98" s="30">
        <v>2</v>
      </c>
      <c r="H98" s="30">
        <v>0</v>
      </c>
      <c r="I98" s="30">
        <v>1067</v>
      </c>
      <c r="J98" s="31">
        <f t="shared" si="23"/>
        <v>0.31115276476101217</v>
      </c>
      <c r="K98" s="21">
        <f t="shared" si="23"/>
        <v>0.29896907216494845</v>
      </c>
      <c r="L98" s="21">
        <f t="shared" si="23"/>
        <v>0.28491096532333648</v>
      </c>
      <c r="M98" s="21">
        <f t="shared" si="23"/>
        <v>0.10309278350515463</v>
      </c>
      <c r="N98" s="21">
        <f t="shared" si="23"/>
        <v>1.8744142455482662E-3</v>
      </c>
      <c r="O98" s="21">
        <f t="shared" si="23"/>
        <v>0</v>
      </c>
      <c r="P98" s="21">
        <f t="shared" si="23"/>
        <v>1</v>
      </c>
    </row>
    <row r="99" spans="1:16">
      <c r="A99" s="20"/>
      <c r="B99" s="20" t="s">
        <v>21</v>
      </c>
      <c r="C99" s="30">
        <v>67</v>
      </c>
      <c r="D99" s="30">
        <v>80</v>
      </c>
      <c r="E99" s="30">
        <v>114</v>
      </c>
      <c r="F99" s="30">
        <v>54</v>
      </c>
      <c r="G99" s="30">
        <v>0</v>
      </c>
      <c r="H99" s="30">
        <v>0</v>
      </c>
      <c r="I99" s="30">
        <v>315</v>
      </c>
      <c r="J99" s="31">
        <f t="shared" si="23"/>
        <v>0.21269841269841269</v>
      </c>
      <c r="K99" s="21">
        <f t="shared" si="23"/>
        <v>0.25396825396825395</v>
      </c>
      <c r="L99" s="21">
        <f t="shared" si="23"/>
        <v>0.3619047619047619</v>
      </c>
      <c r="M99" s="21">
        <f t="shared" si="23"/>
        <v>0.17142857142857143</v>
      </c>
      <c r="N99" s="21">
        <f t="shared" si="23"/>
        <v>0</v>
      </c>
      <c r="O99" s="21">
        <f t="shared" si="23"/>
        <v>0</v>
      </c>
      <c r="P99" s="21">
        <f t="shared" si="23"/>
        <v>1</v>
      </c>
    </row>
    <row r="100" spans="1:16">
      <c r="A100" s="20"/>
      <c r="B100" s="20" t="s">
        <v>22</v>
      </c>
      <c r="C100" s="30">
        <v>0</v>
      </c>
      <c r="D100" s="30">
        <v>0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6"/>
      <c r="K100" s="21"/>
      <c r="L100" s="21"/>
      <c r="M100" s="21"/>
      <c r="N100" s="21"/>
      <c r="O100" s="21"/>
      <c r="P100" s="21"/>
    </row>
    <row r="101" spans="1:16">
      <c r="A101" s="20"/>
      <c r="B101" s="20" t="s">
        <v>23</v>
      </c>
      <c r="C101" s="30">
        <v>114</v>
      </c>
      <c r="D101" s="30">
        <v>57</v>
      </c>
      <c r="E101" s="30">
        <v>103</v>
      </c>
      <c r="F101" s="30">
        <v>72</v>
      </c>
      <c r="G101" s="30">
        <v>0</v>
      </c>
      <c r="H101" s="30">
        <v>0</v>
      </c>
      <c r="I101" s="30">
        <v>346</v>
      </c>
      <c r="J101" s="31">
        <f t="shared" ref="J101:P104" si="24">C101/$I101</f>
        <v>0.32947976878612717</v>
      </c>
      <c r="K101" s="21">
        <f t="shared" si="24"/>
        <v>0.16473988439306358</v>
      </c>
      <c r="L101" s="21">
        <f t="shared" si="24"/>
        <v>0.29768786127167629</v>
      </c>
      <c r="M101" s="21">
        <f t="shared" si="24"/>
        <v>0.20809248554913296</v>
      </c>
      <c r="N101" s="21">
        <f t="shared" si="24"/>
        <v>0</v>
      </c>
      <c r="O101" s="21">
        <f t="shared" si="24"/>
        <v>0</v>
      </c>
      <c r="P101" s="21">
        <f t="shared" si="24"/>
        <v>1</v>
      </c>
    </row>
    <row r="102" spans="1:16">
      <c r="A102" s="20"/>
      <c r="B102" s="20" t="s">
        <v>24</v>
      </c>
      <c r="C102" s="30">
        <v>50</v>
      </c>
      <c r="D102" s="30">
        <v>34</v>
      </c>
      <c r="E102" s="30">
        <v>124</v>
      </c>
      <c r="F102" s="30">
        <v>41</v>
      </c>
      <c r="G102" s="30">
        <v>0</v>
      </c>
      <c r="H102" s="30">
        <v>0</v>
      </c>
      <c r="I102" s="30">
        <v>249</v>
      </c>
      <c r="J102" s="31">
        <f t="shared" si="24"/>
        <v>0.20080321285140562</v>
      </c>
      <c r="K102" s="21">
        <f t="shared" si="24"/>
        <v>0.13654618473895583</v>
      </c>
      <c r="L102" s="21">
        <f t="shared" si="24"/>
        <v>0.49799196787148592</v>
      </c>
      <c r="M102" s="21">
        <f t="shared" si="24"/>
        <v>0.1646586345381526</v>
      </c>
      <c r="N102" s="21">
        <f t="shared" si="24"/>
        <v>0</v>
      </c>
      <c r="O102" s="21">
        <f t="shared" si="24"/>
        <v>0</v>
      </c>
      <c r="P102" s="21">
        <f t="shared" si="24"/>
        <v>1</v>
      </c>
    </row>
    <row r="103" spans="1:16">
      <c r="A103" s="20"/>
      <c r="B103" s="22" t="s">
        <v>51</v>
      </c>
      <c r="C103" s="23">
        <v>852</v>
      </c>
      <c r="D103" s="23">
        <v>699</v>
      </c>
      <c r="E103" s="23">
        <v>849</v>
      </c>
      <c r="F103" s="23">
        <v>337</v>
      </c>
      <c r="G103" s="23">
        <v>62</v>
      </c>
      <c r="H103" s="23">
        <v>0</v>
      </c>
      <c r="I103" s="23">
        <v>2799</v>
      </c>
      <c r="J103" s="24">
        <f t="shared" si="24"/>
        <v>0.30439442658092175</v>
      </c>
      <c r="K103" s="25">
        <f t="shared" si="24"/>
        <v>0.2497320471596999</v>
      </c>
      <c r="L103" s="25">
        <f t="shared" si="24"/>
        <v>0.30332261521972131</v>
      </c>
      <c r="M103" s="25">
        <f t="shared" si="24"/>
        <v>0.12040014290818149</v>
      </c>
      <c r="N103" s="25">
        <f t="shared" si="24"/>
        <v>2.2150768131475526E-2</v>
      </c>
      <c r="O103" s="25">
        <f t="shared" si="24"/>
        <v>0</v>
      </c>
      <c r="P103" s="25">
        <f t="shared" si="24"/>
        <v>1</v>
      </c>
    </row>
    <row r="104" spans="1:16">
      <c r="A104" s="20"/>
      <c r="B104" s="20" t="s">
        <v>25</v>
      </c>
      <c r="C104" s="30">
        <v>0</v>
      </c>
      <c r="D104" s="30">
        <v>0</v>
      </c>
      <c r="E104" s="30">
        <v>0</v>
      </c>
      <c r="F104" s="30">
        <v>0</v>
      </c>
      <c r="G104" s="30">
        <v>0</v>
      </c>
      <c r="H104" s="30">
        <v>2182.3000000000002</v>
      </c>
      <c r="I104" s="30">
        <v>2182.3000000000002</v>
      </c>
      <c r="J104" s="31">
        <f t="shared" si="24"/>
        <v>0</v>
      </c>
      <c r="K104" s="21">
        <f t="shared" si="24"/>
        <v>0</v>
      </c>
      <c r="L104" s="21">
        <f t="shared" si="24"/>
        <v>0</v>
      </c>
      <c r="M104" s="21">
        <f t="shared" si="24"/>
        <v>0</v>
      </c>
      <c r="N104" s="21">
        <f t="shared" si="24"/>
        <v>0</v>
      </c>
      <c r="O104" s="21">
        <f t="shared" si="24"/>
        <v>1</v>
      </c>
      <c r="P104" s="21">
        <f t="shared" si="24"/>
        <v>1</v>
      </c>
    </row>
    <row r="105" spans="1:16">
      <c r="A105" s="20"/>
      <c r="B105" s="20" t="s">
        <v>26</v>
      </c>
      <c r="C105" s="30">
        <v>0</v>
      </c>
      <c r="D105" s="30">
        <v>0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6"/>
      <c r="K105" s="21"/>
      <c r="L105" s="21"/>
      <c r="M105" s="21"/>
      <c r="N105" s="21"/>
      <c r="O105" s="21"/>
      <c r="P105" s="21"/>
    </row>
    <row r="106" spans="1:16">
      <c r="A106" s="26" t="s">
        <v>12</v>
      </c>
      <c r="B106" s="26" t="s">
        <v>19</v>
      </c>
      <c r="C106" s="27">
        <v>1038</v>
      </c>
      <c r="D106" s="27">
        <v>636</v>
      </c>
      <c r="E106" s="27">
        <v>425</v>
      </c>
      <c r="F106" s="27">
        <v>21</v>
      </c>
      <c r="G106" s="27">
        <v>317</v>
      </c>
      <c r="H106" s="27">
        <v>0</v>
      </c>
      <c r="I106" s="27">
        <v>2437</v>
      </c>
      <c r="J106" s="28">
        <f t="shared" ref="J106:P113" si="25">C106/$I106</f>
        <v>0.42593352482560526</v>
      </c>
      <c r="K106" s="29">
        <f t="shared" si="25"/>
        <v>0.26097661058678701</v>
      </c>
      <c r="L106" s="29">
        <f t="shared" si="25"/>
        <v>0.17439474764054164</v>
      </c>
      <c r="M106" s="29">
        <f t="shared" si="25"/>
        <v>8.6171522363561754E-3</v>
      </c>
      <c r="N106" s="29">
        <f t="shared" si="25"/>
        <v>0.1300779647107099</v>
      </c>
      <c r="O106" s="29">
        <f t="shared" si="25"/>
        <v>0</v>
      </c>
      <c r="P106" s="29">
        <f t="shared" si="25"/>
        <v>1</v>
      </c>
    </row>
    <row r="107" spans="1:16">
      <c r="A107" s="20"/>
      <c r="B107" s="20" t="s">
        <v>20</v>
      </c>
      <c r="C107" s="30">
        <v>138</v>
      </c>
      <c r="D107" s="30">
        <v>170</v>
      </c>
      <c r="E107" s="30">
        <v>129</v>
      </c>
      <c r="F107" s="30">
        <v>9</v>
      </c>
      <c r="G107" s="30">
        <v>119</v>
      </c>
      <c r="H107" s="30">
        <v>0</v>
      </c>
      <c r="I107" s="30">
        <v>565</v>
      </c>
      <c r="J107" s="31">
        <f t="shared" si="25"/>
        <v>0.24424778761061947</v>
      </c>
      <c r="K107" s="21">
        <f t="shared" si="25"/>
        <v>0.30088495575221241</v>
      </c>
      <c r="L107" s="21">
        <f t="shared" si="25"/>
        <v>0.22831858407079647</v>
      </c>
      <c r="M107" s="21">
        <f t="shared" si="25"/>
        <v>1.5929203539823009E-2</v>
      </c>
      <c r="N107" s="21">
        <f t="shared" si="25"/>
        <v>0.21061946902654868</v>
      </c>
      <c r="O107" s="21">
        <f t="shared" si="25"/>
        <v>0</v>
      </c>
      <c r="P107" s="21">
        <f t="shared" si="25"/>
        <v>1</v>
      </c>
    </row>
    <row r="108" spans="1:16">
      <c r="A108" s="20"/>
      <c r="B108" s="20" t="s">
        <v>21</v>
      </c>
      <c r="C108" s="30">
        <v>825</v>
      </c>
      <c r="D108" s="30">
        <v>917</v>
      </c>
      <c r="E108" s="30">
        <v>789</v>
      </c>
      <c r="F108" s="30">
        <v>39</v>
      </c>
      <c r="G108" s="30">
        <v>445</v>
      </c>
      <c r="H108" s="30">
        <v>0</v>
      </c>
      <c r="I108" s="30">
        <v>3015</v>
      </c>
      <c r="J108" s="31">
        <f t="shared" si="25"/>
        <v>0.27363184079601988</v>
      </c>
      <c r="K108" s="21">
        <f t="shared" si="25"/>
        <v>0.3041459369817579</v>
      </c>
      <c r="L108" s="21">
        <f t="shared" si="25"/>
        <v>0.26169154228855723</v>
      </c>
      <c r="M108" s="21">
        <f t="shared" si="25"/>
        <v>1.2935323383084577E-2</v>
      </c>
      <c r="N108" s="21">
        <f t="shared" si="25"/>
        <v>0.14759535655058043</v>
      </c>
      <c r="O108" s="21">
        <f t="shared" si="25"/>
        <v>0</v>
      </c>
      <c r="P108" s="21">
        <f t="shared" si="25"/>
        <v>1</v>
      </c>
    </row>
    <row r="109" spans="1:16">
      <c r="A109" s="20"/>
      <c r="B109" s="20" t="s">
        <v>22</v>
      </c>
      <c r="C109" s="30">
        <v>153</v>
      </c>
      <c r="D109" s="30">
        <v>199</v>
      </c>
      <c r="E109" s="30">
        <v>158</v>
      </c>
      <c r="F109" s="30">
        <v>4</v>
      </c>
      <c r="G109" s="30">
        <v>76</v>
      </c>
      <c r="H109" s="30">
        <v>0</v>
      </c>
      <c r="I109" s="30">
        <v>590</v>
      </c>
      <c r="J109" s="31">
        <f t="shared" si="25"/>
        <v>0.2593220338983051</v>
      </c>
      <c r="K109" s="21">
        <f t="shared" si="25"/>
        <v>0.33728813559322035</v>
      </c>
      <c r="L109" s="21">
        <f t="shared" si="25"/>
        <v>0.26779661016949152</v>
      </c>
      <c r="M109" s="21">
        <f t="shared" si="25"/>
        <v>6.7796610169491523E-3</v>
      </c>
      <c r="N109" s="21">
        <f t="shared" si="25"/>
        <v>0.12881355932203389</v>
      </c>
      <c r="O109" s="21">
        <f t="shared" si="25"/>
        <v>0</v>
      </c>
      <c r="P109" s="21">
        <f t="shared" si="25"/>
        <v>1</v>
      </c>
    </row>
    <row r="110" spans="1:16">
      <c r="A110" s="20"/>
      <c r="B110" s="20" t="s">
        <v>23</v>
      </c>
      <c r="C110" s="30">
        <v>44</v>
      </c>
      <c r="D110" s="30">
        <v>32</v>
      </c>
      <c r="E110" s="30">
        <v>43</v>
      </c>
      <c r="F110" s="30">
        <v>2</v>
      </c>
      <c r="G110" s="30">
        <v>22</v>
      </c>
      <c r="H110" s="30">
        <v>0</v>
      </c>
      <c r="I110" s="30">
        <v>143</v>
      </c>
      <c r="J110" s="31">
        <f t="shared" si="25"/>
        <v>0.30769230769230771</v>
      </c>
      <c r="K110" s="21">
        <f t="shared" si="25"/>
        <v>0.22377622377622378</v>
      </c>
      <c r="L110" s="21">
        <f t="shared" si="25"/>
        <v>0.30069930069930068</v>
      </c>
      <c r="M110" s="21">
        <f t="shared" si="25"/>
        <v>1.3986013986013986E-2</v>
      </c>
      <c r="N110" s="21">
        <f t="shared" si="25"/>
        <v>0.15384615384615385</v>
      </c>
      <c r="O110" s="21">
        <f t="shared" si="25"/>
        <v>0</v>
      </c>
      <c r="P110" s="21">
        <f t="shared" si="25"/>
        <v>1</v>
      </c>
    </row>
    <row r="111" spans="1:16">
      <c r="A111" s="20"/>
      <c r="B111" s="20" t="s">
        <v>24</v>
      </c>
      <c r="C111" s="30">
        <v>122</v>
      </c>
      <c r="D111" s="30">
        <v>116</v>
      </c>
      <c r="E111" s="30">
        <v>93</v>
      </c>
      <c r="F111" s="30">
        <v>9</v>
      </c>
      <c r="G111" s="30">
        <v>59</v>
      </c>
      <c r="H111" s="30">
        <v>0</v>
      </c>
      <c r="I111" s="30">
        <v>399</v>
      </c>
      <c r="J111" s="31">
        <f t="shared" si="25"/>
        <v>0.30576441102756891</v>
      </c>
      <c r="K111" s="21">
        <f t="shared" si="25"/>
        <v>0.2907268170426065</v>
      </c>
      <c r="L111" s="21">
        <f t="shared" si="25"/>
        <v>0.23308270676691728</v>
      </c>
      <c r="M111" s="21">
        <f t="shared" si="25"/>
        <v>2.2556390977443608E-2</v>
      </c>
      <c r="N111" s="21">
        <f t="shared" si="25"/>
        <v>0.14786967418546365</v>
      </c>
      <c r="O111" s="21">
        <f t="shared" si="25"/>
        <v>0</v>
      </c>
      <c r="P111" s="21">
        <f t="shared" si="25"/>
        <v>1</v>
      </c>
    </row>
    <row r="112" spans="1:16">
      <c r="A112" s="20"/>
      <c r="B112" s="22" t="s">
        <v>51</v>
      </c>
      <c r="C112" s="23">
        <v>2320</v>
      </c>
      <c r="D112" s="23">
        <v>2070</v>
      </c>
      <c r="E112" s="23">
        <v>1637</v>
      </c>
      <c r="F112" s="23">
        <v>84</v>
      </c>
      <c r="G112" s="23">
        <v>1038</v>
      </c>
      <c r="H112" s="23">
        <v>0</v>
      </c>
      <c r="I112" s="23">
        <v>7149</v>
      </c>
      <c r="J112" s="24">
        <f t="shared" si="25"/>
        <v>0.32452091201566652</v>
      </c>
      <c r="K112" s="25">
        <f t="shared" si="25"/>
        <v>0.28955098615190938</v>
      </c>
      <c r="L112" s="25">
        <f t="shared" si="25"/>
        <v>0.22898307455588193</v>
      </c>
      <c r="M112" s="25">
        <f t="shared" si="25"/>
        <v>1.1749895090222409E-2</v>
      </c>
      <c r="N112" s="25">
        <f t="shared" si="25"/>
        <v>0.14519513218631977</v>
      </c>
      <c r="O112" s="25">
        <f t="shared" si="25"/>
        <v>0</v>
      </c>
      <c r="P112" s="25">
        <f t="shared" si="25"/>
        <v>1</v>
      </c>
    </row>
    <row r="113" spans="1:16">
      <c r="A113" s="20"/>
      <c r="B113" s="20" t="s">
        <v>25</v>
      </c>
      <c r="C113" s="30">
        <v>0</v>
      </c>
      <c r="D113" s="30">
        <v>0</v>
      </c>
      <c r="E113" s="30">
        <v>0</v>
      </c>
      <c r="F113" s="30">
        <v>0</v>
      </c>
      <c r="G113" s="30">
        <v>0</v>
      </c>
      <c r="H113" s="30">
        <v>4026</v>
      </c>
      <c r="I113" s="30">
        <v>4026</v>
      </c>
      <c r="J113" s="31">
        <f t="shared" si="25"/>
        <v>0</v>
      </c>
      <c r="K113" s="21">
        <f t="shared" si="25"/>
        <v>0</v>
      </c>
      <c r="L113" s="21">
        <f t="shared" si="25"/>
        <v>0</v>
      </c>
      <c r="M113" s="21">
        <f t="shared" si="25"/>
        <v>0</v>
      </c>
      <c r="N113" s="21">
        <f t="shared" si="25"/>
        <v>0</v>
      </c>
      <c r="O113" s="21">
        <f t="shared" si="25"/>
        <v>1</v>
      </c>
      <c r="P113" s="21">
        <f t="shared" si="25"/>
        <v>1</v>
      </c>
    </row>
    <row r="114" spans="1:16">
      <c r="A114" s="20"/>
      <c r="B114" s="20" t="s">
        <v>26</v>
      </c>
      <c r="C114" s="30">
        <v>0</v>
      </c>
      <c r="D114" s="30">
        <v>0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1"/>
      <c r="K114" s="21"/>
      <c r="L114" s="21"/>
      <c r="M114" s="21"/>
      <c r="N114" s="21"/>
      <c r="O114" s="21"/>
      <c r="P114" s="21"/>
    </row>
    <row r="115" spans="1:16">
      <c r="A115" s="26" t="s">
        <v>13</v>
      </c>
      <c r="B115" s="26" t="s">
        <v>19</v>
      </c>
      <c r="C115" s="27">
        <v>570</v>
      </c>
      <c r="D115" s="27">
        <v>507</v>
      </c>
      <c r="E115" s="27">
        <v>367</v>
      </c>
      <c r="F115" s="27">
        <v>81</v>
      </c>
      <c r="G115" s="27">
        <v>0</v>
      </c>
      <c r="H115" s="27">
        <v>0</v>
      </c>
      <c r="I115" s="27">
        <v>1525</v>
      </c>
      <c r="J115" s="28">
        <f t="shared" ref="J115:P115" si="26">C115/$I115</f>
        <v>0.3737704918032787</v>
      </c>
      <c r="K115" s="29">
        <f t="shared" si="26"/>
        <v>0.33245901639344261</v>
      </c>
      <c r="L115" s="29">
        <f t="shared" si="26"/>
        <v>0.24065573770491802</v>
      </c>
      <c r="M115" s="29">
        <f t="shared" si="26"/>
        <v>5.3114754098360653E-2</v>
      </c>
      <c r="N115" s="29">
        <f t="shared" si="26"/>
        <v>0</v>
      </c>
      <c r="O115" s="29">
        <f t="shared" si="26"/>
        <v>0</v>
      </c>
      <c r="P115" s="29">
        <f t="shared" si="26"/>
        <v>1</v>
      </c>
    </row>
    <row r="116" spans="1:16">
      <c r="A116" s="20"/>
      <c r="B116" s="20" t="s">
        <v>20</v>
      </c>
      <c r="C116" s="30">
        <v>0</v>
      </c>
      <c r="D116" s="30">
        <v>0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1"/>
      <c r="K116" s="21"/>
      <c r="L116" s="21"/>
      <c r="M116" s="21"/>
      <c r="N116" s="21"/>
      <c r="O116" s="21"/>
      <c r="P116" s="21"/>
    </row>
    <row r="117" spans="1:16">
      <c r="A117" s="20"/>
      <c r="B117" s="20" t="s">
        <v>21</v>
      </c>
      <c r="C117" s="30">
        <v>115</v>
      </c>
      <c r="D117" s="30">
        <v>86</v>
      </c>
      <c r="E117" s="30">
        <v>133</v>
      </c>
      <c r="F117" s="30">
        <v>45</v>
      </c>
      <c r="G117" s="30">
        <v>0</v>
      </c>
      <c r="H117" s="30">
        <v>0</v>
      </c>
      <c r="I117" s="30">
        <v>379</v>
      </c>
      <c r="J117" s="31">
        <f t="shared" ref="J117:P122" si="27">C117/$I117</f>
        <v>0.30343007915567283</v>
      </c>
      <c r="K117" s="21">
        <f t="shared" si="27"/>
        <v>0.22691292875989447</v>
      </c>
      <c r="L117" s="21">
        <f t="shared" si="27"/>
        <v>0.35092348284960423</v>
      </c>
      <c r="M117" s="21">
        <f t="shared" si="27"/>
        <v>0.11873350923482849</v>
      </c>
      <c r="N117" s="21">
        <f t="shared" si="27"/>
        <v>0</v>
      </c>
      <c r="O117" s="21">
        <f t="shared" si="27"/>
        <v>0</v>
      </c>
      <c r="P117" s="21">
        <f t="shared" si="27"/>
        <v>1</v>
      </c>
    </row>
    <row r="118" spans="1:16">
      <c r="A118" s="20"/>
      <c r="B118" s="20" t="s">
        <v>22</v>
      </c>
      <c r="C118" s="30">
        <v>126</v>
      </c>
      <c r="D118" s="30">
        <v>92</v>
      </c>
      <c r="E118" s="30">
        <v>160</v>
      </c>
      <c r="F118" s="30">
        <v>106</v>
      </c>
      <c r="G118" s="30">
        <v>0</v>
      </c>
      <c r="H118" s="30">
        <v>0</v>
      </c>
      <c r="I118" s="30">
        <v>484</v>
      </c>
      <c r="J118" s="31">
        <f t="shared" si="27"/>
        <v>0.26033057851239672</v>
      </c>
      <c r="K118" s="21">
        <f t="shared" si="27"/>
        <v>0.19008264462809918</v>
      </c>
      <c r="L118" s="21">
        <f t="shared" si="27"/>
        <v>0.33057851239669422</v>
      </c>
      <c r="M118" s="21">
        <f t="shared" si="27"/>
        <v>0.21900826446280991</v>
      </c>
      <c r="N118" s="21">
        <f t="shared" si="27"/>
        <v>0</v>
      </c>
      <c r="O118" s="21">
        <f t="shared" si="27"/>
        <v>0</v>
      </c>
      <c r="P118" s="21">
        <f t="shared" si="27"/>
        <v>1</v>
      </c>
    </row>
    <row r="119" spans="1:16">
      <c r="A119" s="20"/>
      <c r="B119" s="20" t="s">
        <v>23</v>
      </c>
      <c r="C119" s="30">
        <v>126</v>
      </c>
      <c r="D119" s="30">
        <v>108</v>
      </c>
      <c r="E119" s="30">
        <v>206</v>
      </c>
      <c r="F119" s="30">
        <v>113</v>
      </c>
      <c r="G119" s="30">
        <v>0</v>
      </c>
      <c r="H119" s="30">
        <v>0</v>
      </c>
      <c r="I119" s="30">
        <v>553</v>
      </c>
      <c r="J119" s="31">
        <f t="shared" si="27"/>
        <v>0.22784810126582278</v>
      </c>
      <c r="K119" s="21">
        <f t="shared" si="27"/>
        <v>0.19529837251356238</v>
      </c>
      <c r="L119" s="21">
        <f t="shared" si="27"/>
        <v>0.37251356238698013</v>
      </c>
      <c r="M119" s="21">
        <f t="shared" si="27"/>
        <v>0.20433996383363473</v>
      </c>
      <c r="N119" s="21">
        <f t="shared" si="27"/>
        <v>0</v>
      </c>
      <c r="O119" s="21">
        <f t="shared" si="27"/>
        <v>0</v>
      </c>
      <c r="P119" s="21">
        <f t="shared" si="27"/>
        <v>1</v>
      </c>
    </row>
    <row r="120" spans="1:16">
      <c r="A120" s="20"/>
      <c r="B120" s="20" t="s">
        <v>24</v>
      </c>
      <c r="C120" s="30">
        <v>26</v>
      </c>
      <c r="D120" s="30">
        <v>59</v>
      </c>
      <c r="E120" s="30">
        <v>77</v>
      </c>
      <c r="F120" s="30">
        <v>62</v>
      </c>
      <c r="G120" s="30">
        <v>0</v>
      </c>
      <c r="H120" s="30">
        <v>0</v>
      </c>
      <c r="I120" s="30">
        <v>224</v>
      </c>
      <c r="J120" s="31">
        <f t="shared" si="27"/>
        <v>0.11607142857142858</v>
      </c>
      <c r="K120" s="21">
        <f t="shared" si="27"/>
        <v>0.26339285714285715</v>
      </c>
      <c r="L120" s="21">
        <f t="shared" si="27"/>
        <v>0.34375</v>
      </c>
      <c r="M120" s="21">
        <f t="shared" si="27"/>
        <v>0.2767857142857143</v>
      </c>
      <c r="N120" s="21">
        <f t="shared" si="27"/>
        <v>0</v>
      </c>
      <c r="O120" s="21">
        <f t="shared" si="27"/>
        <v>0</v>
      </c>
      <c r="P120" s="21">
        <f t="shared" si="27"/>
        <v>1</v>
      </c>
    </row>
    <row r="121" spans="1:16">
      <c r="A121" s="20"/>
      <c r="B121" s="22" t="s">
        <v>51</v>
      </c>
      <c r="C121" s="23">
        <v>963</v>
      </c>
      <c r="D121" s="23">
        <v>852</v>
      </c>
      <c r="E121" s="23">
        <v>943</v>
      </c>
      <c r="F121" s="23">
        <v>407</v>
      </c>
      <c r="G121" s="23">
        <v>0</v>
      </c>
      <c r="H121" s="23">
        <v>0</v>
      </c>
      <c r="I121" s="23">
        <v>3165</v>
      </c>
      <c r="J121" s="24">
        <f t="shared" si="27"/>
        <v>0.30426540284360187</v>
      </c>
      <c r="K121" s="25">
        <f t="shared" si="27"/>
        <v>0.26919431279620853</v>
      </c>
      <c r="L121" s="25">
        <f t="shared" si="27"/>
        <v>0.29794628751974722</v>
      </c>
      <c r="M121" s="25">
        <f t="shared" si="27"/>
        <v>0.12859399684044234</v>
      </c>
      <c r="N121" s="25">
        <f t="shared" si="27"/>
        <v>0</v>
      </c>
      <c r="O121" s="25">
        <f t="shared" si="27"/>
        <v>0</v>
      </c>
      <c r="P121" s="25">
        <f t="shared" si="27"/>
        <v>1</v>
      </c>
    </row>
    <row r="122" spans="1:16">
      <c r="A122" s="20"/>
      <c r="B122" s="20" t="s">
        <v>25</v>
      </c>
      <c r="C122" s="30">
        <v>0</v>
      </c>
      <c r="D122" s="30">
        <v>0</v>
      </c>
      <c r="E122" s="30">
        <v>0</v>
      </c>
      <c r="F122" s="30">
        <v>0</v>
      </c>
      <c r="G122" s="30">
        <v>0</v>
      </c>
      <c r="H122" s="30">
        <v>1164</v>
      </c>
      <c r="I122" s="30">
        <v>1164</v>
      </c>
      <c r="J122" s="31">
        <f t="shared" si="27"/>
        <v>0</v>
      </c>
      <c r="K122" s="21">
        <f t="shared" si="27"/>
        <v>0</v>
      </c>
      <c r="L122" s="21">
        <f t="shared" si="27"/>
        <v>0</v>
      </c>
      <c r="M122" s="21">
        <f t="shared" si="27"/>
        <v>0</v>
      </c>
      <c r="N122" s="21">
        <f t="shared" si="27"/>
        <v>0</v>
      </c>
      <c r="O122" s="21">
        <f t="shared" si="27"/>
        <v>1</v>
      </c>
      <c r="P122" s="21">
        <f t="shared" si="27"/>
        <v>1</v>
      </c>
    </row>
    <row r="123" spans="1:16">
      <c r="A123" s="20"/>
      <c r="B123" s="20" t="s">
        <v>26</v>
      </c>
      <c r="C123" s="30">
        <v>0</v>
      </c>
      <c r="D123" s="30">
        <v>0</v>
      </c>
      <c r="E123" s="30">
        <v>0</v>
      </c>
      <c r="F123" s="30">
        <v>0</v>
      </c>
      <c r="G123" s="30">
        <v>0</v>
      </c>
      <c r="H123" s="30">
        <v>0</v>
      </c>
      <c r="I123" s="30">
        <v>0</v>
      </c>
      <c r="J123" s="31"/>
      <c r="K123" s="21"/>
      <c r="L123" s="21"/>
      <c r="M123" s="21"/>
      <c r="N123" s="21"/>
      <c r="O123" s="21"/>
      <c r="P123" s="21"/>
    </row>
    <row r="124" spans="1:16">
      <c r="A124" s="26" t="s">
        <v>14</v>
      </c>
      <c r="B124" s="26" t="s">
        <v>19</v>
      </c>
      <c r="C124" s="27">
        <v>399</v>
      </c>
      <c r="D124" s="27">
        <v>340</v>
      </c>
      <c r="E124" s="27">
        <v>192</v>
      </c>
      <c r="F124" s="27">
        <v>65</v>
      </c>
      <c r="G124" s="27">
        <v>36</v>
      </c>
      <c r="H124" s="27">
        <v>0</v>
      </c>
      <c r="I124" s="27">
        <v>1032</v>
      </c>
      <c r="J124" s="28">
        <f t="shared" ref="J124:P131" si="28">C124/$I124</f>
        <v>0.38662790697674421</v>
      </c>
      <c r="K124" s="29">
        <f t="shared" si="28"/>
        <v>0.32945736434108525</v>
      </c>
      <c r="L124" s="29">
        <f t="shared" si="28"/>
        <v>0.18604651162790697</v>
      </c>
      <c r="M124" s="29">
        <f t="shared" si="28"/>
        <v>6.2984496124031009E-2</v>
      </c>
      <c r="N124" s="29">
        <f t="shared" si="28"/>
        <v>3.4883720930232558E-2</v>
      </c>
      <c r="O124" s="29">
        <f t="shared" si="28"/>
        <v>0</v>
      </c>
      <c r="P124" s="29">
        <f t="shared" si="28"/>
        <v>1</v>
      </c>
    </row>
    <row r="125" spans="1:16">
      <c r="A125" s="20"/>
      <c r="B125" s="20" t="s">
        <v>20</v>
      </c>
      <c r="C125" s="30">
        <v>368</v>
      </c>
      <c r="D125" s="30">
        <v>237</v>
      </c>
      <c r="E125" s="30">
        <v>147</v>
      </c>
      <c r="F125" s="30">
        <v>48</v>
      </c>
      <c r="G125" s="30">
        <v>65</v>
      </c>
      <c r="H125" s="30">
        <v>0</v>
      </c>
      <c r="I125" s="30">
        <v>865</v>
      </c>
      <c r="J125" s="31">
        <f t="shared" si="28"/>
        <v>0.4254335260115607</v>
      </c>
      <c r="K125" s="21">
        <f t="shared" si="28"/>
        <v>0.27398843930635836</v>
      </c>
      <c r="L125" s="21">
        <f t="shared" si="28"/>
        <v>0.16994219653179191</v>
      </c>
      <c r="M125" s="21">
        <f t="shared" si="28"/>
        <v>5.5491329479768786E-2</v>
      </c>
      <c r="N125" s="21">
        <f t="shared" si="28"/>
        <v>7.5144508670520235E-2</v>
      </c>
      <c r="O125" s="21">
        <f t="shared" si="28"/>
        <v>0</v>
      </c>
      <c r="P125" s="21">
        <f t="shared" si="28"/>
        <v>1</v>
      </c>
    </row>
    <row r="126" spans="1:16">
      <c r="A126" s="20"/>
      <c r="B126" s="20" t="s">
        <v>21</v>
      </c>
      <c r="C126" s="30">
        <v>75</v>
      </c>
      <c r="D126" s="30">
        <v>83</v>
      </c>
      <c r="E126" s="30">
        <v>64</v>
      </c>
      <c r="F126" s="30">
        <v>22</v>
      </c>
      <c r="G126" s="30">
        <v>0</v>
      </c>
      <c r="H126" s="30">
        <v>0</v>
      </c>
      <c r="I126" s="30">
        <v>244</v>
      </c>
      <c r="J126" s="31">
        <f t="shared" si="28"/>
        <v>0.30737704918032788</v>
      </c>
      <c r="K126" s="21">
        <f t="shared" si="28"/>
        <v>0.3401639344262295</v>
      </c>
      <c r="L126" s="21">
        <f t="shared" si="28"/>
        <v>0.26229508196721313</v>
      </c>
      <c r="M126" s="21">
        <f t="shared" si="28"/>
        <v>9.0163934426229511E-2</v>
      </c>
      <c r="N126" s="21">
        <f t="shared" si="28"/>
        <v>0</v>
      </c>
      <c r="O126" s="21">
        <f t="shared" si="28"/>
        <v>0</v>
      </c>
      <c r="P126" s="21">
        <f t="shared" si="28"/>
        <v>1</v>
      </c>
    </row>
    <row r="127" spans="1:16">
      <c r="A127" s="20"/>
      <c r="B127" s="20" t="s">
        <v>22</v>
      </c>
      <c r="C127" s="30">
        <v>156</v>
      </c>
      <c r="D127" s="30">
        <v>155</v>
      </c>
      <c r="E127" s="30">
        <v>163</v>
      </c>
      <c r="F127" s="30">
        <v>54</v>
      </c>
      <c r="G127" s="30">
        <v>0</v>
      </c>
      <c r="H127" s="30">
        <v>0</v>
      </c>
      <c r="I127" s="30">
        <v>528</v>
      </c>
      <c r="J127" s="31">
        <f t="shared" si="28"/>
        <v>0.29545454545454547</v>
      </c>
      <c r="K127" s="21">
        <f t="shared" si="28"/>
        <v>0.29356060606060608</v>
      </c>
      <c r="L127" s="21">
        <f t="shared" si="28"/>
        <v>0.30871212121212122</v>
      </c>
      <c r="M127" s="21">
        <f t="shared" si="28"/>
        <v>0.10227272727272728</v>
      </c>
      <c r="N127" s="21">
        <f t="shared" si="28"/>
        <v>0</v>
      </c>
      <c r="O127" s="21">
        <f t="shared" si="28"/>
        <v>0</v>
      </c>
      <c r="P127" s="21">
        <f t="shared" si="28"/>
        <v>1</v>
      </c>
    </row>
    <row r="128" spans="1:16">
      <c r="A128" s="20"/>
      <c r="B128" s="20" t="s">
        <v>23</v>
      </c>
      <c r="C128" s="30">
        <v>129</v>
      </c>
      <c r="D128" s="30">
        <v>106</v>
      </c>
      <c r="E128" s="30">
        <v>115</v>
      </c>
      <c r="F128" s="30">
        <v>46</v>
      </c>
      <c r="G128" s="30">
        <v>0</v>
      </c>
      <c r="H128" s="30">
        <v>0</v>
      </c>
      <c r="I128" s="30">
        <v>396</v>
      </c>
      <c r="J128" s="31">
        <f t="shared" si="28"/>
        <v>0.32575757575757575</v>
      </c>
      <c r="K128" s="21">
        <f t="shared" si="28"/>
        <v>0.26767676767676768</v>
      </c>
      <c r="L128" s="21">
        <f t="shared" si="28"/>
        <v>0.29040404040404039</v>
      </c>
      <c r="M128" s="21">
        <f t="shared" si="28"/>
        <v>0.11616161616161616</v>
      </c>
      <c r="N128" s="21">
        <f t="shared" si="28"/>
        <v>0</v>
      </c>
      <c r="O128" s="21">
        <f t="shared" si="28"/>
        <v>0</v>
      </c>
      <c r="P128" s="21">
        <f t="shared" si="28"/>
        <v>1</v>
      </c>
    </row>
    <row r="129" spans="1:16">
      <c r="A129" s="20"/>
      <c r="B129" s="20" t="s">
        <v>24</v>
      </c>
      <c r="C129" s="30">
        <v>166</v>
      </c>
      <c r="D129" s="30">
        <v>168</v>
      </c>
      <c r="E129" s="30">
        <v>139</v>
      </c>
      <c r="F129" s="30">
        <v>69</v>
      </c>
      <c r="G129" s="30">
        <v>8</v>
      </c>
      <c r="H129" s="30">
        <v>0</v>
      </c>
      <c r="I129" s="30">
        <v>550</v>
      </c>
      <c r="J129" s="31">
        <f t="shared" si="28"/>
        <v>0.30181818181818182</v>
      </c>
      <c r="K129" s="21">
        <f t="shared" si="28"/>
        <v>0.30545454545454548</v>
      </c>
      <c r="L129" s="21">
        <f t="shared" si="28"/>
        <v>0.25272727272727274</v>
      </c>
      <c r="M129" s="21">
        <f t="shared" si="28"/>
        <v>0.12545454545454546</v>
      </c>
      <c r="N129" s="21">
        <f t="shared" si="28"/>
        <v>1.4545454545454545E-2</v>
      </c>
      <c r="O129" s="21">
        <f t="shared" si="28"/>
        <v>0</v>
      </c>
      <c r="P129" s="21">
        <f t="shared" si="28"/>
        <v>1</v>
      </c>
    </row>
    <row r="130" spans="1:16">
      <c r="A130" s="20"/>
      <c r="B130" s="22" t="s">
        <v>51</v>
      </c>
      <c r="C130" s="23">
        <v>1293</v>
      </c>
      <c r="D130" s="23">
        <v>1089</v>
      </c>
      <c r="E130" s="23">
        <v>820</v>
      </c>
      <c r="F130" s="23">
        <v>304</v>
      </c>
      <c r="G130" s="23">
        <v>109</v>
      </c>
      <c r="H130" s="23">
        <v>0</v>
      </c>
      <c r="I130" s="23">
        <v>3615</v>
      </c>
      <c r="J130" s="24">
        <f t="shared" si="28"/>
        <v>0.35767634854771785</v>
      </c>
      <c r="K130" s="25">
        <f t="shared" si="28"/>
        <v>0.30124481327800828</v>
      </c>
      <c r="L130" s="25">
        <f t="shared" si="28"/>
        <v>0.22683264177040111</v>
      </c>
      <c r="M130" s="25">
        <f t="shared" si="28"/>
        <v>8.4094052558782856E-2</v>
      </c>
      <c r="N130" s="25">
        <f t="shared" si="28"/>
        <v>3.0152143845089904E-2</v>
      </c>
      <c r="O130" s="25">
        <f t="shared" si="28"/>
        <v>0</v>
      </c>
      <c r="P130" s="25">
        <f t="shared" si="28"/>
        <v>1</v>
      </c>
    </row>
    <row r="131" spans="1:16">
      <c r="A131" s="20"/>
      <c r="B131" s="20" t="s">
        <v>25</v>
      </c>
      <c r="C131" s="30">
        <v>45</v>
      </c>
      <c r="D131" s="30">
        <v>40</v>
      </c>
      <c r="E131" s="30">
        <v>25</v>
      </c>
      <c r="F131" s="30">
        <v>562</v>
      </c>
      <c r="G131" s="30">
        <v>915</v>
      </c>
      <c r="H131" s="30">
        <v>0</v>
      </c>
      <c r="I131" s="30">
        <v>1587</v>
      </c>
      <c r="J131" s="31">
        <f t="shared" si="28"/>
        <v>2.835538752362949E-2</v>
      </c>
      <c r="K131" s="21">
        <f t="shared" si="28"/>
        <v>2.5204788909892879E-2</v>
      </c>
      <c r="L131" s="21">
        <f t="shared" si="28"/>
        <v>1.5752993068683049E-2</v>
      </c>
      <c r="M131" s="21">
        <f t="shared" si="28"/>
        <v>0.35412728418399497</v>
      </c>
      <c r="N131" s="21">
        <f t="shared" si="28"/>
        <v>0.57655954631379958</v>
      </c>
      <c r="O131" s="21">
        <f t="shared" si="28"/>
        <v>0</v>
      </c>
      <c r="P131" s="21">
        <f t="shared" si="28"/>
        <v>1</v>
      </c>
    </row>
    <row r="132" spans="1:16">
      <c r="A132" s="20"/>
      <c r="B132" s="20" t="s">
        <v>26</v>
      </c>
      <c r="C132" s="30">
        <v>0</v>
      </c>
      <c r="D132" s="30">
        <v>0</v>
      </c>
      <c r="E132" s="30">
        <v>0</v>
      </c>
      <c r="F132" s="30">
        <v>0</v>
      </c>
      <c r="G132" s="30">
        <v>0</v>
      </c>
      <c r="H132" s="30">
        <v>0</v>
      </c>
      <c r="I132" s="30">
        <v>0</v>
      </c>
      <c r="J132" s="31"/>
      <c r="K132" s="21"/>
      <c r="L132" s="21"/>
      <c r="M132" s="21"/>
      <c r="N132" s="21"/>
      <c r="O132" s="21"/>
      <c r="P132" s="21"/>
    </row>
    <row r="133" spans="1:16">
      <c r="A133" s="26" t="s">
        <v>15</v>
      </c>
      <c r="B133" s="26" t="s">
        <v>19</v>
      </c>
      <c r="C133" s="27">
        <v>536</v>
      </c>
      <c r="D133" s="27">
        <v>304</v>
      </c>
      <c r="E133" s="27">
        <v>177</v>
      </c>
      <c r="F133" s="27">
        <v>55</v>
      </c>
      <c r="G133" s="27">
        <v>7</v>
      </c>
      <c r="H133" s="27">
        <v>0</v>
      </c>
      <c r="I133" s="27">
        <v>1079</v>
      </c>
      <c r="J133" s="28">
        <f t="shared" ref="J133:P137" si="29">C133/$I133</f>
        <v>0.49675625579240035</v>
      </c>
      <c r="K133" s="29">
        <f t="shared" si="29"/>
        <v>0.28174235403151066</v>
      </c>
      <c r="L133" s="29">
        <f t="shared" si="29"/>
        <v>0.16404077849860982</v>
      </c>
      <c r="M133" s="29">
        <f t="shared" si="29"/>
        <v>5.0973123262279887E-2</v>
      </c>
      <c r="N133" s="29">
        <f t="shared" si="29"/>
        <v>6.4874884151992582E-3</v>
      </c>
      <c r="O133" s="29">
        <f t="shared" si="29"/>
        <v>0</v>
      </c>
      <c r="P133" s="29">
        <f t="shared" si="29"/>
        <v>1</v>
      </c>
    </row>
    <row r="134" spans="1:16">
      <c r="A134" s="20"/>
      <c r="B134" s="20" t="s">
        <v>20</v>
      </c>
      <c r="C134" s="30">
        <v>270</v>
      </c>
      <c r="D134" s="30">
        <v>216</v>
      </c>
      <c r="E134" s="30">
        <v>157</v>
      </c>
      <c r="F134" s="30">
        <v>55</v>
      </c>
      <c r="G134" s="30">
        <v>4</v>
      </c>
      <c r="H134" s="30">
        <v>0</v>
      </c>
      <c r="I134" s="30">
        <v>702</v>
      </c>
      <c r="J134" s="31">
        <f t="shared" si="29"/>
        <v>0.38461538461538464</v>
      </c>
      <c r="K134" s="21">
        <f t="shared" si="29"/>
        <v>0.30769230769230771</v>
      </c>
      <c r="L134" s="21">
        <f t="shared" si="29"/>
        <v>0.22364672364672364</v>
      </c>
      <c r="M134" s="21">
        <f t="shared" si="29"/>
        <v>7.8347578347578342E-2</v>
      </c>
      <c r="N134" s="21">
        <f t="shared" si="29"/>
        <v>5.6980056980056983E-3</v>
      </c>
      <c r="O134" s="21">
        <f t="shared" si="29"/>
        <v>0</v>
      </c>
      <c r="P134" s="21">
        <f t="shared" si="29"/>
        <v>1</v>
      </c>
    </row>
    <row r="135" spans="1:16">
      <c r="A135" s="20"/>
      <c r="B135" s="20" t="s">
        <v>21</v>
      </c>
      <c r="C135" s="30">
        <v>461</v>
      </c>
      <c r="D135" s="30">
        <v>381</v>
      </c>
      <c r="E135" s="30">
        <v>488</v>
      </c>
      <c r="F135" s="30">
        <v>158</v>
      </c>
      <c r="G135" s="30">
        <v>0</v>
      </c>
      <c r="H135" s="30">
        <v>0</v>
      </c>
      <c r="I135" s="30">
        <v>1488</v>
      </c>
      <c r="J135" s="31">
        <f t="shared" si="29"/>
        <v>0.30981182795698925</v>
      </c>
      <c r="K135" s="21">
        <f t="shared" si="29"/>
        <v>0.25604838709677419</v>
      </c>
      <c r="L135" s="21">
        <f t="shared" si="29"/>
        <v>0.32795698924731181</v>
      </c>
      <c r="M135" s="21">
        <f t="shared" si="29"/>
        <v>0.10618279569892473</v>
      </c>
      <c r="N135" s="21">
        <f t="shared" si="29"/>
        <v>0</v>
      </c>
      <c r="O135" s="21">
        <f t="shared" si="29"/>
        <v>0</v>
      </c>
      <c r="P135" s="21">
        <f t="shared" si="29"/>
        <v>1</v>
      </c>
    </row>
    <row r="136" spans="1:16">
      <c r="A136" s="20"/>
      <c r="B136" s="20" t="s">
        <v>22</v>
      </c>
      <c r="C136" s="30">
        <v>374</v>
      </c>
      <c r="D136" s="30">
        <v>241</v>
      </c>
      <c r="E136" s="30">
        <v>247</v>
      </c>
      <c r="F136" s="30">
        <v>48</v>
      </c>
      <c r="G136" s="30">
        <v>0</v>
      </c>
      <c r="H136" s="30">
        <v>0</v>
      </c>
      <c r="I136" s="30">
        <v>910</v>
      </c>
      <c r="J136" s="31">
        <f t="shared" si="29"/>
        <v>0.41098901098901097</v>
      </c>
      <c r="K136" s="21">
        <f t="shared" si="29"/>
        <v>0.26483516483516484</v>
      </c>
      <c r="L136" s="21">
        <f t="shared" si="29"/>
        <v>0.27142857142857141</v>
      </c>
      <c r="M136" s="21">
        <f t="shared" si="29"/>
        <v>5.2747252747252747E-2</v>
      </c>
      <c r="N136" s="21">
        <f t="shared" si="29"/>
        <v>0</v>
      </c>
      <c r="O136" s="21">
        <f t="shared" si="29"/>
        <v>0</v>
      </c>
      <c r="P136" s="21">
        <f t="shared" si="29"/>
        <v>1</v>
      </c>
    </row>
    <row r="137" spans="1:16">
      <c r="A137" s="20"/>
      <c r="B137" s="20" t="s">
        <v>23</v>
      </c>
      <c r="C137" s="30">
        <v>102</v>
      </c>
      <c r="D137" s="30">
        <v>52</v>
      </c>
      <c r="E137" s="30">
        <v>54</v>
      </c>
      <c r="F137" s="30">
        <v>24</v>
      </c>
      <c r="G137" s="30">
        <v>0</v>
      </c>
      <c r="H137" s="30">
        <v>0</v>
      </c>
      <c r="I137" s="30">
        <v>232</v>
      </c>
      <c r="J137" s="31">
        <f t="shared" si="29"/>
        <v>0.43965517241379309</v>
      </c>
      <c r="K137" s="21">
        <f t="shared" si="29"/>
        <v>0.22413793103448276</v>
      </c>
      <c r="L137" s="21">
        <f t="shared" si="29"/>
        <v>0.23275862068965517</v>
      </c>
      <c r="M137" s="21">
        <f t="shared" si="29"/>
        <v>0.10344827586206896</v>
      </c>
      <c r="N137" s="21">
        <f t="shared" si="29"/>
        <v>0</v>
      </c>
      <c r="O137" s="21">
        <f t="shared" si="29"/>
        <v>0</v>
      </c>
      <c r="P137" s="21">
        <f t="shared" si="29"/>
        <v>1</v>
      </c>
    </row>
    <row r="138" spans="1:16">
      <c r="A138" s="20"/>
      <c r="B138" s="20" t="s">
        <v>24</v>
      </c>
      <c r="C138" s="30">
        <v>0</v>
      </c>
      <c r="D138" s="30">
        <v>0</v>
      </c>
      <c r="E138" s="30">
        <v>0</v>
      </c>
      <c r="F138" s="30">
        <v>0</v>
      </c>
      <c r="G138" s="30">
        <v>0</v>
      </c>
      <c r="H138" s="30">
        <v>0</v>
      </c>
      <c r="I138" s="30">
        <v>0</v>
      </c>
      <c r="J138" s="31"/>
      <c r="K138" s="21"/>
      <c r="L138" s="21"/>
      <c r="M138" s="21"/>
      <c r="N138" s="21"/>
      <c r="O138" s="21"/>
      <c r="P138" s="21"/>
    </row>
    <row r="139" spans="1:16">
      <c r="A139" s="20"/>
      <c r="B139" s="22" t="s">
        <v>51</v>
      </c>
      <c r="C139" s="23">
        <v>1743</v>
      </c>
      <c r="D139" s="23">
        <v>1194</v>
      </c>
      <c r="E139" s="23">
        <v>1123</v>
      </c>
      <c r="F139" s="23">
        <v>340</v>
      </c>
      <c r="G139" s="23">
        <v>11</v>
      </c>
      <c r="H139" s="23">
        <v>0</v>
      </c>
      <c r="I139" s="23">
        <v>4411</v>
      </c>
      <c r="J139" s="24">
        <f t="shared" ref="J139:J149" si="30">C139/$I139</f>
        <v>0.39514849240535027</v>
      </c>
      <c r="K139" s="25">
        <f t="shared" ref="K139:K149" si="31">D139/$I139</f>
        <v>0.27068691906597142</v>
      </c>
      <c r="L139" s="25">
        <f t="shared" ref="L139:L149" si="32">E139/$I139</f>
        <v>0.25459079573792792</v>
      </c>
      <c r="M139" s="25">
        <f t="shared" ref="M139:M149" si="33">F139/$I139</f>
        <v>7.708002720471549E-2</v>
      </c>
      <c r="N139" s="25">
        <f t="shared" ref="N139:N149" si="34">G139/$I139</f>
        <v>2.4937655860349127E-3</v>
      </c>
      <c r="O139" s="25">
        <f t="shared" ref="O139:O149" si="35">H139/$I139</f>
        <v>0</v>
      </c>
      <c r="P139" s="25">
        <f t="shared" ref="P139:P149" si="36">I139/$I139</f>
        <v>1</v>
      </c>
    </row>
    <row r="140" spans="1:16">
      <c r="A140" s="20"/>
      <c r="B140" s="20" t="s">
        <v>25</v>
      </c>
      <c r="C140" s="30">
        <v>166</v>
      </c>
      <c r="D140" s="30">
        <v>680</v>
      </c>
      <c r="E140" s="30">
        <v>365</v>
      </c>
      <c r="F140" s="30">
        <v>302</v>
      </c>
      <c r="G140" s="30">
        <v>0</v>
      </c>
      <c r="H140" s="30">
        <v>71</v>
      </c>
      <c r="I140" s="30">
        <v>1584</v>
      </c>
      <c r="J140" s="31">
        <f t="shared" si="30"/>
        <v>0.10479797979797979</v>
      </c>
      <c r="K140" s="21">
        <f t="shared" si="31"/>
        <v>0.42929292929292928</v>
      </c>
      <c r="L140" s="21">
        <f t="shared" si="32"/>
        <v>0.23042929292929293</v>
      </c>
      <c r="M140" s="21">
        <f t="shared" si="33"/>
        <v>0.19065656565656566</v>
      </c>
      <c r="N140" s="21">
        <f t="shared" si="34"/>
        <v>0</v>
      </c>
      <c r="O140" s="21">
        <f t="shared" si="35"/>
        <v>4.482323232323232E-2</v>
      </c>
      <c r="P140" s="21">
        <f t="shared" si="36"/>
        <v>1</v>
      </c>
    </row>
    <row r="141" spans="1:16">
      <c r="A141" s="20"/>
      <c r="B141" s="20" t="s">
        <v>26</v>
      </c>
      <c r="C141" s="30">
        <v>0</v>
      </c>
      <c r="D141" s="30">
        <v>0</v>
      </c>
      <c r="E141" s="30">
        <v>0</v>
      </c>
      <c r="F141" s="30">
        <v>0</v>
      </c>
      <c r="G141" s="30">
        <v>0</v>
      </c>
      <c r="H141" s="30">
        <v>286</v>
      </c>
      <c r="I141" s="30">
        <v>286</v>
      </c>
      <c r="J141" s="31">
        <f t="shared" si="30"/>
        <v>0</v>
      </c>
      <c r="K141" s="21">
        <f t="shared" si="31"/>
        <v>0</v>
      </c>
      <c r="L141" s="21">
        <f t="shared" si="32"/>
        <v>0</v>
      </c>
      <c r="M141" s="21">
        <f t="shared" si="33"/>
        <v>0</v>
      </c>
      <c r="N141" s="21">
        <f t="shared" si="34"/>
        <v>0</v>
      </c>
      <c r="O141" s="21">
        <f t="shared" si="35"/>
        <v>1</v>
      </c>
      <c r="P141" s="21">
        <f t="shared" si="36"/>
        <v>1</v>
      </c>
    </row>
    <row r="142" spans="1:16">
      <c r="A142" s="26" t="s">
        <v>16</v>
      </c>
      <c r="B142" s="26" t="s">
        <v>19</v>
      </c>
      <c r="C142" s="37">
        <v>2506</v>
      </c>
      <c r="D142" s="37">
        <v>1651</v>
      </c>
      <c r="E142" s="37">
        <v>1249</v>
      </c>
      <c r="F142" s="37">
        <v>56</v>
      </c>
      <c r="G142" s="37">
        <v>714</v>
      </c>
      <c r="H142" s="37">
        <v>0</v>
      </c>
      <c r="I142" s="37">
        <v>6176</v>
      </c>
      <c r="J142" s="28">
        <f t="shared" si="30"/>
        <v>0.40576424870466321</v>
      </c>
      <c r="K142" s="29">
        <f t="shared" si="31"/>
        <v>0.26732512953367876</v>
      </c>
      <c r="L142" s="29">
        <f t="shared" si="32"/>
        <v>0.20223445595854922</v>
      </c>
      <c r="M142" s="29">
        <f t="shared" si="33"/>
        <v>9.0673575129533671E-3</v>
      </c>
      <c r="N142" s="29">
        <f t="shared" si="34"/>
        <v>0.11560880829015543</v>
      </c>
      <c r="O142" s="29">
        <f t="shared" si="35"/>
        <v>0</v>
      </c>
      <c r="P142" s="29">
        <f t="shared" si="36"/>
        <v>1</v>
      </c>
    </row>
    <row r="143" spans="1:16">
      <c r="A143" s="20"/>
      <c r="B143" s="20" t="s">
        <v>20</v>
      </c>
      <c r="C143" s="38">
        <v>410</v>
      </c>
      <c r="D143" s="38">
        <v>374</v>
      </c>
      <c r="E143" s="38">
        <v>340</v>
      </c>
      <c r="F143" s="38">
        <v>38</v>
      </c>
      <c r="G143" s="38">
        <v>85</v>
      </c>
      <c r="H143" s="38">
        <v>0</v>
      </c>
      <c r="I143" s="38">
        <v>1247</v>
      </c>
      <c r="J143" s="31">
        <f t="shared" si="30"/>
        <v>0.32878909382518046</v>
      </c>
      <c r="K143" s="21">
        <f t="shared" si="31"/>
        <v>0.29991980753809144</v>
      </c>
      <c r="L143" s="21">
        <f t="shared" si="32"/>
        <v>0.27265437048917401</v>
      </c>
      <c r="M143" s="21">
        <f t="shared" si="33"/>
        <v>3.0473135525260625E-2</v>
      </c>
      <c r="N143" s="21">
        <f t="shared" si="34"/>
        <v>6.8163592622293503E-2</v>
      </c>
      <c r="O143" s="21">
        <f t="shared" si="35"/>
        <v>0</v>
      </c>
      <c r="P143" s="21">
        <f t="shared" si="36"/>
        <v>1</v>
      </c>
    </row>
    <row r="144" spans="1:16">
      <c r="A144" s="20"/>
      <c r="B144" s="20" t="s">
        <v>21</v>
      </c>
      <c r="C144" s="38">
        <v>1395</v>
      </c>
      <c r="D144" s="38">
        <v>1307</v>
      </c>
      <c r="E144" s="38">
        <v>1332</v>
      </c>
      <c r="F144" s="38">
        <v>434</v>
      </c>
      <c r="G144" s="38">
        <v>476</v>
      </c>
      <c r="H144" s="38">
        <v>0</v>
      </c>
      <c r="I144" s="38">
        <v>4944</v>
      </c>
      <c r="J144" s="31">
        <f t="shared" si="30"/>
        <v>0.2821601941747573</v>
      </c>
      <c r="K144" s="21">
        <f t="shared" si="31"/>
        <v>0.26436084142394822</v>
      </c>
      <c r="L144" s="21">
        <f t="shared" si="32"/>
        <v>0.26941747572815533</v>
      </c>
      <c r="M144" s="21">
        <f t="shared" si="33"/>
        <v>8.7783171521035597E-2</v>
      </c>
      <c r="N144" s="21">
        <f t="shared" si="34"/>
        <v>9.6278317152103554E-2</v>
      </c>
      <c r="O144" s="21">
        <f t="shared" si="35"/>
        <v>0</v>
      </c>
      <c r="P144" s="21">
        <f t="shared" si="36"/>
        <v>1</v>
      </c>
    </row>
    <row r="145" spans="1:16">
      <c r="A145" s="20"/>
      <c r="B145" s="20" t="s">
        <v>22</v>
      </c>
      <c r="C145" s="38">
        <v>182</v>
      </c>
      <c r="D145" s="38">
        <v>180</v>
      </c>
      <c r="E145" s="38">
        <v>254</v>
      </c>
      <c r="F145" s="38">
        <v>129</v>
      </c>
      <c r="G145" s="38">
        <v>50</v>
      </c>
      <c r="H145" s="38">
        <v>0</v>
      </c>
      <c r="I145" s="38">
        <v>795</v>
      </c>
      <c r="J145" s="31">
        <f t="shared" si="30"/>
        <v>0.2289308176100629</v>
      </c>
      <c r="K145" s="21">
        <f t="shared" si="31"/>
        <v>0.22641509433962265</v>
      </c>
      <c r="L145" s="21">
        <f t="shared" si="32"/>
        <v>0.31949685534591193</v>
      </c>
      <c r="M145" s="21">
        <f t="shared" si="33"/>
        <v>0.16226415094339622</v>
      </c>
      <c r="N145" s="21">
        <f t="shared" si="34"/>
        <v>6.2893081761006289E-2</v>
      </c>
      <c r="O145" s="21">
        <f t="shared" si="35"/>
        <v>0</v>
      </c>
      <c r="P145" s="21">
        <f t="shared" si="36"/>
        <v>1</v>
      </c>
    </row>
    <row r="146" spans="1:16">
      <c r="A146" s="20"/>
      <c r="B146" s="20" t="s">
        <v>23</v>
      </c>
      <c r="C146" s="38">
        <v>58</v>
      </c>
      <c r="D146" s="38">
        <v>72</v>
      </c>
      <c r="E146" s="38">
        <v>100</v>
      </c>
      <c r="F146" s="38">
        <v>4</v>
      </c>
      <c r="G146" s="38">
        <v>61</v>
      </c>
      <c r="H146" s="38">
        <v>0</v>
      </c>
      <c r="I146" s="38">
        <v>295</v>
      </c>
      <c r="J146" s="31">
        <f t="shared" si="30"/>
        <v>0.19661016949152543</v>
      </c>
      <c r="K146" s="21">
        <f t="shared" si="31"/>
        <v>0.2440677966101695</v>
      </c>
      <c r="L146" s="21">
        <f t="shared" si="32"/>
        <v>0.33898305084745761</v>
      </c>
      <c r="M146" s="21">
        <f t="shared" si="33"/>
        <v>1.3559322033898305E-2</v>
      </c>
      <c r="N146" s="21">
        <f t="shared" si="34"/>
        <v>0.20677966101694914</v>
      </c>
      <c r="O146" s="21">
        <f t="shared" si="35"/>
        <v>0</v>
      </c>
      <c r="P146" s="21">
        <f t="shared" si="36"/>
        <v>1</v>
      </c>
    </row>
    <row r="147" spans="1:16">
      <c r="A147" s="20"/>
      <c r="B147" s="20" t="s">
        <v>24</v>
      </c>
      <c r="C147" s="38">
        <v>31</v>
      </c>
      <c r="D147" s="38">
        <v>72</v>
      </c>
      <c r="E147" s="38">
        <v>63</v>
      </c>
      <c r="F147" s="38">
        <v>1</v>
      </c>
      <c r="G147" s="38">
        <v>63</v>
      </c>
      <c r="H147" s="38">
        <v>0</v>
      </c>
      <c r="I147" s="38">
        <v>230</v>
      </c>
      <c r="J147" s="31">
        <f t="shared" si="30"/>
        <v>0.13478260869565217</v>
      </c>
      <c r="K147" s="21">
        <f t="shared" si="31"/>
        <v>0.31304347826086959</v>
      </c>
      <c r="L147" s="21">
        <f t="shared" si="32"/>
        <v>0.27391304347826084</v>
      </c>
      <c r="M147" s="21">
        <f t="shared" si="33"/>
        <v>4.3478260869565218E-3</v>
      </c>
      <c r="N147" s="21">
        <f t="shared" si="34"/>
        <v>0.27391304347826084</v>
      </c>
      <c r="O147" s="21">
        <f t="shared" si="35"/>
        <v>0</v>
      </c>
      <c r="P147" s="21">
        <f t="shared" si="36"/>
        <v>1</v>
      </c>
    </row>
    <row r="148" spans="1:16">
      <c r="A148" s="20"/>
      <c r="B148" s="32" t="s">
        <v>51</v>
      </c>
      <c r="C148" s="33">
        <v>4582</v>
      </c>
      <c r="D148" s="33">
        <v>3656</v>
      </c>
      <c r="E148" s="33">
        <v>3338</v>
      </c>
      <c r="F148" s="33">
        <v>662</v>
      </c>
      <c r="G148" s="33">
        <v>1449</v>
      </c>
      <c r="H148" s="33">
        <v>0</v>
      </c>
      <c r="I148" s="33">
        <v>13687</v>
      </c>
      <c r="J148" s="34">
        <f t="shared" si="30"/>
        <v>0.3347702199167093</v>
      </c>
      <c r="K148" s="35">
        <f t="shared" si="31"/>
        <v>0.26711478044860087</v>
      </c>
      <c r="L148" s="35">
        <f t="shared" si="32"/>
        <v>0.24388105501570834</v>
      </c>
      <c r="M148" s="35">
        <f t="shared" si="33"/>
        <v>4.8367063637027835E-2</v>
      </c>
      <c r="N148" s="35">
        <f t="shared" si="34"/>
        <v>0.10586688098195368</v>
      </c>
      <c r="O148" s="35">
        <f t="shared" si="35"/>
        <v>0</v>
      </c>
      <c r="P148" s="35">
        <f t="shared" si="36"/>
        <v>1</v>
      </c>
    </row>
    <row r="149" spans="1:16">
      <c r="A149" s="20"/>
      <c r="B149" s="20" t="s">
        <v>25</v>
      </c>
      <c r="C149" s="38">
        <v>0</v>
      </c>
      <c r="D149" s="38">
        <v>0</v>
      </c>
      <c r="E149" s="38">
        <v>0</v>
      </c>
      <c r="F149" s="38">
        <v>0</v>
      </c>
      <c r="G149" s="38">
        <v>0</v>
      </c>
      <c r="H149" s="38">
        <v>8147</v>
      </c>
      <c r="I149" s="38">
        <v>8147</v>
      </c>
      <c r="J149" s="31">
        <f t="shared" si="30"/>
        <v>0</v>
      </c>
      <c r="K149" s="21">
        <f t="shared" si="31"/>
        <v>0</v>
      </c>
      <c r="L149" s="21">
        <f t="shared" si="32"/>
        <v>0</v>
      </c>
      <c r="M149" s="21">
        <f t="shared" si="33"/>
        <v>0</v>
      </c>
      <c r="N149" s="21">
        <f t="shared" si="34"/>
        <v>0</v>
      </c>
      <c r="O149" s="21">
        <f t="shared" si="35"/>
        <v>1</v>
      </c>
      <c r="P149" s="21">
        <f t="shared" si="36"/>
        <v>1</v>
      </c>
    </row>
    <row r="150" spans="1:16">
      <c r="A150" s="20"/>
      <c r="B150" s="20" t="s">
        <v>26</v>
      </c>
      <c r="C150" s="38">
        <v>0</v>
      </c>
      <c r="D150" s="38">
        <v>0</v>
      </c>
      <c r="E150" s="38">
        <v>0</v>
      </c>
      <c r="F150" s="38">
        <v>0</v>
      </c>
      <c r="G150" s="38">
        <v>0</v>
      </c>
      <c r="H150" s="38">
        <v>0</v>
      </c>
      <c r="I150" s="38">
        <v>0</v>
      </c>
      <c r="J150" s="31"/>
      <c r="K150" s="21"/>
      <c r="L150" s="21"/>
      <c r="M150" s="21"/>
      <c r="N150" s="21"/>
      <c r="O150" s="21"/>
      <c r="P150" s="21"/>
    </row>
    <row r="151" spans="1:16">
      <c r="A151" s="26" t="s">
        <v>17</v>
      </c>
      <c r="B151" s="26" t="s">
        <v>19</v>
      </c>
      <c r="C151" s="27">
        <v>1072</v>
      </c>
      <c r="D151" s="27">
        <v>760</v>
      </c>
      <c r="E151" s="27">
        <v>453</v>
      </c>
      <c r="F151" s="27">
        <v>105</v>
      </c>
      <c r="G151" s="27">
        <v>49</v>
      </c>
      <c r="H151" s="27">
        <v>0</v>
      </c>
      <c r="I151" s="27">
        <v>2439</v>
      </c>
      <c r="J151" s="28">
        <f t="shared" ref="J151:P158" si="37">C151/$I151</f>
        <v>0.43952439524395243</v>
      </c>
      <c r="K151" s="29">
        <f t="shared" si="37"/>
        <v>0.31160311603116031</v>
      </c>
      <c r="L151" s="29">
        <f t="shared" si="37"/>
        <v>0.1857318573185732</v>
      </c>
      <c r="M151" s="29">
        <f t="shared" si="37"/>
        <v>4.3050430504305043E-2</v>
      </c>
      <c r="N151" s="29">
        <f t="shared" si="37"/>
        <v>2.0090200902009019E-2</v>
      </c>
      <c r="O151" s="29">
        <f t="shared" si="37"/>
        <v>0</v>
      </c>
      <c r="P151" s="29">
        <f t="shared" si="37"/>
        <v>1</v>
      </c>
    </row>
    <row r="152" spans="1:16">
      <c r="A152" s="20"/>
      <c r="B152" s="20" t="s">
        <v>20</v>
      </c>
      <c r="C152" s="30">
        <v>828</v>
      </c>
      <c r="D152" s="30">
        <v>930</v>
      </c>
      <c r="E152" s="30">
        <v>644</v>
      </c>
      <c r="F152" s="30">
        <v>159</v>
      </c>
      <c r="G152" s="30">
        <v>58</v>
      </c>
      <c r="H152" s="30">
        <v>0</v>
      </c>
      <c r="I152" s="30">
        <v>2619</v>
      </c>
      <c r="J152" s="31">
        <f t="shared" si="37"/>
        <v>0.31615120274914088</v>
      </c>
      <c r="K152" s="21">
        <f t="shared" si="37"/>
        <v>0.35509736540664377</v>
      </c>
      <c r="L152" s="21">
        <f t="shared" si="37"/>
        <v>0.24589537991599847</v>
      </c>
      <c r="M152" s="21">
        <f t="shared" si="37"/>
        <v>6.0710194730813287E-2</v>
      </c>
      <c r="N152" s="21">
        <f t="shared" si="37"/>
        <v>2.2145857197403588E-2</v>
      </c>
      <c r="O152" s="21">
        <f t="shared" si="37"/>
        <v>0</v>
      </c>
      <c r="P152" s="21">
        <f t="shared" si="37"/>
        <v>1</v>
      </c>
    </row>
    <row r="153" spans="1:16">
      <c r="A153" s="20"/>
      <c r="B153" s="20" t="s">
        <v>21</v>
      </c>
      <c r="C153" s="30">
        <v>345</v>
      </c>
      <c r="D153" s="30">
        <v>289</v>
      </c>
      <c r="E153" s="30">
        <v>238</v>
      </c>
      <c r="F153" s="30">
        <v>61</v>
      </c>
      <c r="G153" s="30">
        <v>0</v>
      </c>
      <c r="H153" s="30">
        <v>0</v>
      </c>
      <c r="I153" s="30">
        <v>933</v>
      </c>
      <c r="J153" s="31">
        <f t="shared" si="37"/>
        <v>0.36977491961414793</v>
      </c>
      <c r="K153" s="21">
        <f t="shared" si="37"/>
        <v>0.30975348338692388</v>
      </c>
      <c r="L153" s="21">
        <f t="shared" si="37"/>
        <v>0.25509110396570206</v>
      </c>
      <c r="M153" s="21">
        <f t="shared" si="37"/>
        <v>6.5380493033226156E-2</v>
      </c>
      <c r="N153" s="21">
        <f t="shared" si="37"/>
        <v>0</v>
      </c>
      <c r="O153" s="21">
        <f t="shared" si="37"/>
        <v>0</v>
      </c>
      <c r="P153" s="21">
        <f t="shared" si="37"/>
        <v>1</v>
      </c>
    </row>
    <row r="154" spans="1:16">
      <c r="A154" s="20"/>
      <c r="B154" s="20" t="s">
        <v>22</v>
      </c>
      <c r="C154" s="30">
        <v>130</v>
      </c>
      <c r="D154" s="30">
        <v>116</v>
      </c>
      <c r="E154" s="30">
        <v>177</v>
      </c>
      <c r="F154" s="30">
        <v>61</v>
      </c>
      <c r="G154" s="30">
        <v>4</v>
      </c>
      <c r="H154" s="30">
        <v>0</v>
      </c>
      <c r="I154" s="30">
        <v>488</v>
      </c>
      <c r="J154" s="31">
        <f t="shared" si="37"/>
        <v>0.26639344262295084</v>
      </c>
      <c r="K154" s="21">
        <f t="shared" si="37"/>
        <v>0.23770491803278687</v>
      </c>
      <c r="L154" s="21">
        <f t="shared" si="37"/>
        <v>0.36270491803278687</v>
      </c>
      <c r="M154" s="21">
        <f t="shared" si="37"/>
        <v>0.125</v>
      </c>
      <c r="N154" s="21">
        <f t="shared" si="37"/>
        <v>8.1967213114754103E-3</v>
      </c>
      <c r="O154" s="21">
        <f t="shared" si="37"/>
        <v>0</v>
      </c>
      <c r="P154" s="21">
        <f t="shared" si="37"/>
        <v>1</v>
      </c>
    </row>
    <row r="155" spans="1:16">
      <c r="A155" s="20"/>
      <c r="B155" s="20" t="s">
        <v>23</v>
      </c>
      <c r="C155" s="30">
        <v>42</v>
      </c>
      <c r="D155" s="30">
        <v>56</v>
      </c>
      <c r="E155" s="30">
        <v>46</v>
      </c>
      <c r="F155" s="30">
        <v>14</v>
      </c>
      <c r="G155" s="30">
        <v>0</v>
      </c>
      <c r="H155" s="30">
        <v>0</v>
      </c>
      <c r="I155" s="30">
        <v>158</v>
      </c>
      <c r="J155" s="31">
        <f t="shared" si="37"/>
        <v>0.26582278481012656</v>
      </c>
      <c r="K155" s="21">
        <f t="shared" si="37"/>
        <v>0.35443037974683544</v>
      </c>
      <c r="L155" s="21">
        <f t="shared" si="37"/>
        <v>0.29113924050632911</v>
      </c>
      <c r="M155" s="21">
        <f t="shared" si="37"/>
        <v>8.8607594936708861E-2</v>
      </c>
      <c r="N155" s="21">
        <f t="shared" si="37"/>
        <v>0</v>
      </c>
      <c r="O155" s="21">
        <f t="shared" si="37"/>
        <v>0</v>
      </c>
      <c r="P155" s="21">
        <f t="shared" si="37"/>
        <v>1</v>
      </c>
    </row>
    <row r="156" spans="1:16">
      <c r="A156" s="20"/>
      <c r="B156" s="20" t="s">
        <v>24</v>
      </c>
      <c r="C156" s="30">
        <v>131</v>
      </c>
      <c r="D156" s="30">
        <v>102</v>
      </c>
      <c r="E156" s="30">
        <v>133</v>
      </c>
      <c r="F156" s="30">
        <v>17</v>
      </c>
      <c r="G156" s="30">
        <v>19</v>
      </c>
      <c r="H156" s="30">
        <v>0</v>
      </c>
      <c r="I156" s="30">
        <v>402</v>
      </c>
      <c r="J156" s="31">
        <f t="shared" si="37"/>
        <v>0.32587064676616917</v>
      </c>
      <c r="K156" s="21">
        <f t="shared" si="37"/>
        <v>0.2537313432835821</v>
      </c>
      <c r="L156" s="21">
        <f t="shared" si="37"/>
        <v>0.3308457711442786</v>
      </c>
      <c r="M156" s="21">
        <f t="shared" si="37"/>
        <v>4.228855721393035E-2</v>
      </c>
      <c r="N156" s="21">
        <f t="shared" si="37"/>
        <v>4.7263681592039801E-2</v>
      </c>
      <c r="O156" s="21">
        <f t="shared" si="37"/>
        <v>0</v>
      </c>
      <c r="P156" s="21">
        <f t="shared" si="37"/>
        <v>1</v>
      </c>
    </row>
    <row r="157" spans="1:16">
      <c r="A157" s="20"/>
      <c r="B157" s="22" t="s">
        <v>51</v>
      </c>
      <c r="C157" s="23">
        <v>2548</v>
      </c>
      <c r="D157" s="23">
        <v>2253</v>
      </c>
      <c r="E157" s="23">
        <v>1691</v>
      </c>
      <c r="F157" s="23">
        <v>417</v>
      </c>
      <c r="G157" s="23">
        <v>130</v>
      </c>
      <c r="H157" s="23">
        <v>0</v>
      </c>
      <c r="I157" s="23">
        <v>7039</v>
      </c>
      <c r="J157" s="24">
        <f t="shared" si="37"/>
        <v>0.36198323625514989</v>
      </c>
      <c r="K157" s="25">
        <f t="shared" si="37"/>
        <v>0.320073874129848</v>
      </c>
      <c r="L157" s="25">
        <f t="shared" si="37"/>
        <v>0.2402329876402898</v>
      </c>
      <c r="M157" s="25">
        <f t="shared" si="37"/>
        <v>5.9241369512714873E-2</v>
      </c>
      <c r="N157" s="25">
        <f t="shared" si="37"/>
        <v>1.8468532461997443E-2</v>
      </c>
      <c r="O157" s="25">
        <f t="shared" si="37"/>
        <v>0</v>
      </c>
      <c r="P157" s="25">
        <f t="shared" si="37"/>
        <v>1</v>
      </c>
    </row>
    <row r="158" spans="1:16">
      <c r="A158" s="20"/>
      <c r="B158" s="20" t="s">
        <v>25</v>
      </c>
      <c r="C158" s="30">
        <v>427</v>
      </c>
      <c r="D158" s="30">
        <v>672</v>
      </c>
      <c r="E158" s="30">
        <v>571</v>
      </c>
      <c r="F158" s="30">
        <v>230</v>
      </c>
      <c r="G158" s="30">
        <v>3</v>
      </c>
      <c r="H158" s="30">
        <v>0</v>
      </c>
      <c r="I158" s="30">
        <v>1903</v>
      </c>
      <c r="J158" s="31">
        <f t="shared" si="37"/>
        <v>0.22438255386232264</v>
      </c>
      <c r="K158" s="21">
        <f t="shared" si="37"/>
        <v>0.3531266421439832</v>
      </c>
      <c r="L158" s="21">
        <f t="shared" si="37"/>
        <v>0.30005254860746189</v>
      </c>
      <c r="M158" s="21">
        <f t="shared" si="37"/>
        <v>0.1208617971623752</v>
      </c>
      <c r="N158" s="21">
        <f t="shared" si="37"/>
        <v>1.5764582238570678E-3</v>
      </c>
      <c r="O158" s="21">
        <f t="shared" si="37"/>
        <v>0</v>
      </c>
      <c r="P158" s="21">
        <f t="shared" si="37"/>
        <v>1</v>
      </c>
    </row>
    <row r="159" spans="1:16">
      <c r="A159" s="20"/>
      <c r="B159" s="20" t="s">
        <v>26</v>
      </c>
      <c r="C159" s="30">
        <v>0</v>
      </c>
      <c r="D159" s="30">
        <v>0</v>
      </c>
      <c r="E159" s="30">
        <v>0</v>
      </c>
      <c r="F159" s="30">
        <v>0</v>
      </c>
      <c r="G159" s="30">
        <v>0</v>
      </c>
      <c r="H159" s="30">
        <v>0</v>
      </c>
      <c r="I159" s="30">
        <v>0</v>
      </c>
      <c r="J159" s="31"/>
      <c r="K159" s="21"/>
      <c r="L159" s="21"/>
      <c r="M159" s="21"/>
      <c r="N159" s="21"/>
      <c r="O159" s="21"/>
      <c r="P159" s="21"/>
    </row>
    <row r="160" spans="1:16">
      <c r="A160" s="26" t="s">
        <v>18</v>
      </c>
      <c r="B160" s="26" t="s">
        <v>19</v>
      </c>
      <c r="C160" s="27">
        <v>346</v>
      </c>
      <c r="D160" s="27">
        <v>253</v>
      </c>
      <c r="E160" s="27">
        <v>222</v>
      </c>
      <c r="F160" s="27">
        <v>16</v>
      </c>
      <c r="G160" s="27">
        <v>10</v>
      </c>
      <c r="H160" s="27">
        <v>0</v>
      </c>
      <c r="I160" s="27">
        <v>847</v>
      </c>
      <c r="J160" s="28">
        <f t="shared" ref="J160:P160" si="38">C160/$I160</f>
        <v>0.40850059031877212</v>
      </c>
      <c r="K160" s="29">
        <f t="shared" si="38"/>
        <v>0.29870129870129869</v>
      </c>
      <c r="L160" s="29">
        <f t="shared" si="38"/>
        <v>0.26210153482880755</v>
      </c>
      <c r="M160" s="29">
        <f t="shared" si="38"/>
        <v>1.8890200708382526E-2</v>
      </c>
      <c r="N160" s="29">
        <f t="shared" si="38"/>
        <v>1.1806375442739079E-2</v>
      </c>
      <c r="O160" s="29">
        <f t="shared" si="38"/>
        <v>0</v>
      </c>
      <c r="P160" s="29">
        <f t="shared" si="38"/>
        <v>1</v>
      </c>
    </row>
    <row r="161" spans="1:16">
      <c r="A161" s="20"/>
      <c r="B161" s="20" t="s">
        <v>20</v>
      </c>
      <c r="C161" s="30">
        <v>0</v>
      </c>
      <c r="D161" s="30">
        <v>0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1"/>
      <c r="K161" s="21"/>
      <c r="L161" s="21"/>
      <c r="M161" s="21"/>
      <c r="N161" s="21"/>
      <c r="O161" s="21"/>
      <c r="P161" s="21"/>
    </row>
    <row r="162" spans="1:16">
      <c r="A162" s="20"/>
      <c r="B162" s="20" t="s">
        <v>21</v>
      </c>
      <c r="C162" s="30">
        <v>168</v>
      </c>
      <c r="D162" s="30">
        <v>122</v>
      </c>
      <c r="E162" s="30">
        <v>102</v>
      </c>
      <c r="F162" s="30">
        <v>19</v>
      </c>
      <c r="G162" s="30">
        <v>0</v>
      </c>
      <c r="H162" s="30">
        <v>0</v>
      </c>
      <c r="I162" s="30">
        <v>411</v>
      </c>
      <c r="J162" s="31">
        <f t="shared" ref="J162:P162" si="39">C162/$I162</f>
        <v>0.40875912408759124</v>
      </c>
      <c r="K162" s="21">
        <f t="shared" si="39"/>
        <v>0.29683698296836986</v>
      </c>
      <c r="L162" s="21">
        <f t="shared" si="39"/>
        <v>0.24817518248175183</v>
      </c>
      <c r="M162" s="21">
        <f t="shared" si="39"/>
        <v>4.6228710462287104E-2</v>
      </c>
      <c r="N162" s="21">
        <f t="shared" si="39"/>
        <v>0</v>
      </c>
      <c r="O162" s="21">
        <f t="shared" si="39"/>
        <v>0</v>
      </c>
      <c r="P162" s="21">
        <f t="shared" si="39"/>
        <v>1</v>
      </c>
    </row>
    <row r="163" spans="1:16">
      <c r="A163" s="20"/>
      <c r="B163" s="20" t="s">
        <v>22</v>
      </c>
      <c r="C163" s="30">
        <v>0</v>
      </c>
      <c r="D163" s="30">
        <v>0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1"/>
      <c r="K163" s="21"/>
      <c r="L163" s="21"/>
      <c r="M163" s="21"/>
      <c r="N163" s="21"/>
      <c r="O163" s="21"/>
      <c r="P163" s="21"/>
    </row>
    <row r="164" spans="1:16">
      <c r="A164" s="20"/>
      <c r="B164" s="20" t="s">
        <v>23</v>
      </c>
      <c r="C164" s="30">
        <v>0</v>
      </c>
      <c r="D164" s="30">
        <v>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1"/>
      <c r="K164" s="21"/>
      <c r="L164" s="21"/>
      <c r="M164" s="21"/>
      <c r="N164" s="21"/>
      <c r="O164" s="21"/>
      <c r="P164" s="21"/>
    </row>
    <row r="165" spans="1:16">
      <c r="A165" s="20"/>
      <c r="B165" s="20" t="s">
        <v>24</v>
      </c>
      <c r="C165" s="30">
        <v>270</v>
      </c>
      <c r="D165" s="30">
        <v>306</v>
      </c>
      <c r="E165" s="30">
        <v>258</v>
      </c>
      <c r="F165" s="30">
        <v>93</v>
      </c>
      <c r="G165" s="30">
        <v>16</v>
      </c>
      <c r="H165" s="30">
        <v>0</v>
      </c>
      <c r="I165" s="30">
        <v>943</v>
      </c>
      <c r="J165" s="31">
        <f t="shared" ref="J165:P167" si="40">C165/$I165</f>
        <v>0.28632025450689291</v>
      </c>
      <c r="K165" s="21">
        <f t="shared" si="40"/>
        <v>0.32449628844114531</v>
      </c>
      <c r="L165" s="21">
        <f t="shared" si="40"/>
        <v>0.27359490986214208</v>
      </c>
      <c r="M165" s="21">
        <f t="shared" si="40"/>
        <v>9.8621420996818671E-2</v>
      </c>
      <c r="N165" s="21">
        <f t="shared" si="40"/>
        <v>1.6967126193001062E-2</v>
      </c>
      <c r="O165" s="21">
        <f t="shared" si="40"/>
        <v>0</v>
      </c>
      <c r="P165" s="21">
        <f t="shared" si="40"/>
        <v>1</v>
      </c>
    </row>
    <row r="166" spans="1:16">
      <c r="A166" s="20"/>
      <c r="B166" s="22" t="s">
        <v>51</v>
      </c>
      <c r="C166" s="23">
        <v>784</v>
      </c>
      <c r="D166" s="23">
        <v>681</v>
      </c>
      <c r="E166" s="23">
        <v>582</v>
      </c>
      <c r="F166" s="23">
        <v>128</v>
      </c>
      <c r="G166" s="23">
        <v>26</v>
      </c>
      <c r="H166" s="23">
        <v>0</v>
      </c>
      <c r="I166" s="23">
        <v>2201</v>
      </c>
      <c r="J166" s="24">
        <f t="shared" si="40"/>
        <v>0.35620172648796</v>
      </c>
      <c r="K166" s="25">
        <f t="shared" si="40"/>
        <v>0.30940481599273056</v>
      </c>
      <c r="L166" s="25">
        <f t="shared" si="40"/>
        <v>0.26442526124488869</v>
      </c>
      <c r="M166" s="25">
        <f t="shared" si="40"/>
        <v>5.8155383916401633E-2</v>
      </c>
      <c r="N166" s="25">
        <f t="shared" si="40"/>
        <v>1.1812812358019082E-2</v>
      </c>
      <c r="O166" s="25">
        <f t="shared" si="40"/>
        <v>0</v>
      </c>
      <c r="P166" s="25">
        <f t="shared" si="40"/>
        <v>1</v>
      </c>
    </row>
    <row r="167" spans="1:16">
      <c r="A167" s="20"/>
      <c r="B167" s="20" t="s">
        <v>25</v>
      </c>
      <c r="C167" s="30">
        <v>86</v>
      </c>
      <c r="D167" s="30">
        <v>61</v>
      </c>
      <c r="E167" s="30">
        <v>48</v>
      </c>
      <c r="F167" s="30">
        <v>26</v>
      </c>
      <c r="G167" s="30">
        <v>9</v>
      </c>
      <c r="H167" s="30">
        <v>0</v>
      </c>
      <c r="I167" s="30">
        <v>230</v>
      </c>
      <c r="J167" s="31">
        <f t="shared" si="40"/>
        <v>0.37391304347826088</v>
      </c>
      <c r="K167" s="21">
        <f t="shared" si="40"/>
        <v>0.26521739130434785</v>
      </c>
      <c r="L167" s="21">
        <f t="shared" si="40"/>
        <v>0.20869565217391303</v>
      </c>
      <c r="M167" s="21">
        <f t="shared" si="40"/>
        <v>0.11304347826086956</v>
      </c>
      <c r="N167" s="21">
        <f t="shared" si="40"/>
        <v>3.9130434782608699E-2</v>
      </c>
      <c r="O167" s="21">
        <f t="shared" si="40"/>
        <v>0</v>
      </c>
      <c r="P167" s="21">
        <f t="shared" si="40"/>
        <v>1</v>
      </c>
    </row>
    <row r="168" spans="1:16">
      <c r="A168" s="20"/>
      <c r="B168" s="20" t="s">
        <v>26</v>
      </c>
      <c r="C168" s="30">
        <v>0</v>
      </c>
      <c r="D168" s="30">
        <v>0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1"/>
      <c r="K168" s="21"/>
      <c r="L168" s="21"/>
      <c r="M168" s="21"/>
      <c r="N168" s="21"/>
      <c r="O168" s="21"/>
      <c r="P168" s="21"/>
    </row>
    <row r="169" spans="1:16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</row>
  </sheetData>
  <phoneticPr fontId="0" type="noConversion"/>
  <pageMargins left="0.75" right="0.5" top="0.5" bottom="0.4" header="0" footer="0"/>
  <pageSetup orientation="portrait" verticalDpi="300" r:id="rId1"/>
  <headerFooter alignWithMargins="0">
    <oddFooter>&amp;LSREB Fact Book 1996/1997&amp;CDraft&amp;R&amp;D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transitionEvaluation="1" transitionEntry="1"/>
  <dimension ref="A1:P243"/>
  <sheetViews>
    <sheetView workbookViewId="0"/>
  </sheetViews>
  <sheetFormatPr defaultColWidth="6.44140625" defaultRowHeight="11.25"/>
  <cols>
    <col min="1" max="1" width="4.21875" style="312" bestFit="1" customWidth="1"/>
    <col min="2" max="2" width="7.33203125" style="312" bestFit="1" customWidth="1"/>
    <col min="3" max="3" width="7.88671875" style="312" bestFit="1" customWidth="1"/>
    <col min="4" max="4" width="9.5546875" style="312" bestFit="1" customWidth="1"/>
    <col min="5" max="5" width="8.77734375" style="312" bestFit="1" customWidth="1"/>
    <col min="6" max="6" width="7.6640625" style="312" bestFit="1" customWidth="1"/>
    <col min="7" max="7" width="5.77734375" style="312" bestFit="1" customWidth="1"/>
    <col min="8" max="8" width="8.88671875" style="312" bestFit="1" customWidth="1"/>
    <col min="9" max="9" width="8.21875" style="312" bestFit="1" customWidth="1"/>
    <col min="10" max="10" width="7.88671875" style="312" bestFit="1" customWidth="1"/>
    <col min="11" max="11" width="9.5546875" style="312" bestFit="1" customWidth="1"/>
    <col min="12" max="12" width="8.6640625" style="312" bestFit="1" customWidth="1"/>
    <col min="13" max="13" width="7.5546875" style="312" bestFit="1" customWidth="1"/>
    <col min="14" max="14" width="4.6640625" style="312" bestFit="1" customWidth="1"/>
    <col min="15" max="15" width="8.77734375" style="312" bestFit="1" customWidth="1"/>
    <col min="16" max="16" width="8.109375" style="312" bestFit="1" customWidth="1"/>
    <col min="17" max="17" width="6.44140625" style="312" customWidth="1"/>
    <col min="18" max="16384" width="6.44140625" style="312"/>
  </cols>
  <sheetData>
    <row r="1" spans="1:16" ht="15">
      <c r="A1" s="300" t="s">
        <v>49</v>
      </c>
      <c r="B1" s="310"/>
      <c r="C1" s="310"/>
      <c r="D1" s="310"/>
      <c r="E1" s="310"/>
      <c r="F1" s="310"/>
      <c r="G1" s="310"/>
      <c r="H1" s="311"/>
      <c r="I1" s="311"/>
      <c r="J1" s="310"/>
      <c r="K1" s="310"/>
      <c r="L1" s="310"/>
      <c r="M1" s="310"/>
      <c r="N1" s="310"/>
      <c r="O1" s="310"/>
      <c r="P1" s="310"/>
    </row>
    <row r="2" spans="1:16" ht="15">
      <c r="A2" s="300" t="s">
        <v>115</v>
      </c>
      <c r="B2" s="310"/>
      <c r="C2" s="310"/>
      <c r="D2" s="310"/>
      <c r="E2" s="310"/>
      <c r="F2" s="310"/>
      <c r="G2" s="310"/>
      <c r="H2" s="311"/>
      <c r="I2" s="311"/>
      <c r="J2" s="310"/>
      <c r="K2" s="310"/>
      <c r="L2" s="310"/>
      <c r="M2" s="310"/>
      <c r="N2" s="310"/>
      <c r="O2" s="310"/>
      <c r="P2" s="310"/>
    </row>
    <row r="3" spans="1:16" ht="15">
      <c r="A3" s="143" t="s">
        <v>129</v>
      </c>
      <c r="B3" s="311"/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</row>
    <row r="4" spans="1:16" ht="15">
      <c r="A4" s="301"/>
      <c r="B4" s="311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  <c r="P4" s="310"/>
    </row>
    <row r="5" spans="1:16" ht="12.75">
      <c r="A5" s="313"/>
      <c r="B5" s="314"/>
      <c r="C5" s="302" t="s">
        <v>52</v>
      </c>
      <c r="D5" s="302"/>
      <c r="E5" s="302"/>
      <c r="F5" s="302"/>
      <c r="G5" s="302"/>
      <c r="H5" s="302"/>
      <c r="I5" s="303"/>
      <c r="J5" s="302" t="s">
        <v>60</v>
      </c>
      <c r="K5" s="302"/>
      <c r="L5" s="302"/>
      <c r="M5" s="302"/>
      <c r="N5" s="302"/>
      <c r="O5" s="302"/>
      <c r="P5" s="302"/>
    </row>
    <row r="6" spans="1:16">
      <c r="A6" s="315"/>
      <c r="B6" s="315"/>
      <c r="C6" s="304" t="s">
        <v>53</v>
      </c>
      <c r="D6" s="304" t="s">
        <v>105</v>
      </c>
      <c r="E6" s="304" t="s">
        <v>106</v>
      </c>
      <c r="F6" s="304" t="s">
        <v>78</v>
      </c>
      <c r="G6" s="305" t="s">
        <v>32</v>
      </c>
      <c r="H6" s="304" t="s">
        <v>58</v>
      </c>
      <c r="I6" s="306" t="s">
        <v>48</v>
      </c>
      <c r="J6" s="304" t="s">
        <v>53</v>
      </c>
      <c r="K6" s="304" t="s">
        <v>105</v>
      </c>
      <c r="L6" s="304" t="s">
        <v>106</v>
      </c>
      <c r="M6" s="304" t="s">
        <v>78</v>
      </c>
      <c r="N6" s="305" t="s">
        <v>32</v>
      </c>
      <c r="O6" s="304" t="s">
        <v>58</v>
      </c>
      <c r="P6" s="306" t="s">
        <v>48</v>
      </c>
    </row>
    <row r="7" spans="1:16">
      <c r="A7" s="309" t="s">
        <v>2</v>
      </c>
      <c r="B7" s="307" t="s">
        <v>19</v>
      </c>
      <c r="C7" s="316"/>
      <c r="D7" s="316"/>
      <c r="E7" s="316"/>
      <c r="F7" s="316"/>
      <c r="G7" s="316"/>
      <c r="H7" s="316"/>
      <c r="I7" s="317"/>
      <c r="J7" s="318"/>
      <c r="K7" s="318"/>
      <c r="L7" s="318"/>
      <c r="M7" s="318"/>
      <c r="N7" s="318"/>
      <c r="O7" s="318"/>
      <c r="P7" s="319"/>
    </row>
    <row r="8" spans="1:16">
      <c r="A8" s="309"/>
      <c r="B8" s="307" t="s">
        <v>20</v>
      </c>
      <c r="C8" s="316"/>
      <c r="D8" s="316"/>
      <c r="E8" s="316"/>
      <c r="F8" s="316"/>
      <c r="G8" s="316"/>
      <c r="H8" s="316"/>
      <c r="I8" s="317"/>
      <c r="J8" s="318"/>
      <c r="K8" s="318"/>
      <c r="L8" s="318"/>
      <c r="M8" s="318"/>
      <c r="N8" s="318"/>
      <c r="O8" s="318"/>
      <c r="P8" s="319"/>
    </row>
    <row r="9" spans="1:16">
      <c r="A9" s="309"/>
      <c r="B9" s="307" t="s">
        <v>21</v>
      </c>
      <c r="C9" s="316"/>
      <c r="D9" s="316"/>
      <c r="E9" s="316"/>
      <c r="F9" s="316"/>
      <c r="G9" s="316"/>
      <c r="H9" s="316"/>
      <c r="I9" s="317"/>
      <c r="J9" s="318"/>
      <c r="K9" s="318"/>
      <c r="L9" s="318"/>
      <c r="M9" s="318"/>
      <c r="N9" s="318"/>
      <c r="O9" s="318"/>
      <c r="P9" s="319"/>
    </row>
    <row r="10" spans="1:16">
      <c r="A10" s="309"/>
      <c r="B10" s="307" t="s">
        <v>22</v>
      </c>
      <c r="C10" s="316"/>
      <c r="D10" s="316"/>
      <c r="E10" s="316"/>
      <c r="F10" s="316"/>
      <c r="G10" s="316"/>
      <c r="H10" s="316"/>
      <c r="I10" s="317"/>
      <c r="J10" s="318"/>
      <c r="K10" s="318"/>
      <c r="L10" s="318"/>
      <c r="M10" s="318"/>
      <c r="N10" s="318"/>
      <c r="O10" s="318"/>
      <c r="P10" s="319"/>
    </row>
    <row r="11" spans="1:16">
      <c r="A11" s="309"/>
      <c r="B11" s="307" t="s">
        <v>23</v>
      </c>
      <c r="C11" s="316"/>
      <c r="D11" s="316"/>
      <c r="E11" s="316"/>
      <c r="F11" s="316"/>
      <c r="G11" s="316"/>
      <c r="H11" s="316"/>
      <c r="I11" s="317"/>
      <c r="J11" s="318"/>
      <c r="K11" s="318"/>
      <c r="L11" s="318"/>
      <c r="M11" s="318"/>
      <c r="N11" s="318"/>
      <c r="O11" s="318"/>
      <c r="P11" s="319"/>
    </row>
    <row r="12" spans="1:16">
      <c r="A12" s="309"/>
      <c r="B12" s="307" t="s">
        <v>24</v>
      </c>
      <c r="C12" s="316"/>
      <c r="D12" s="316"/>
      <c r="E12" s="316"/>
      <c r="F12" s="316"/>
      <c r="G12" s="316"/>
      <c r="H12" s="316"/>
      <c r="I12" s="317"/>
      <c r="J12" s="318"/>
      <c r="K12" s="318"/>
      <c r="L12" s="318"/>
      <c r="M12" s="318"/>
      <c r="N12" s="318"/>
      <c r="O12" s="318"/>
      <c r="P12" s="319"/>
    </row>
    <row r="13" spans="1:16">
      <c r="A13" s="309"/>
      <c r="B13" s="336" t="s">
        <v>116</v>
      </c>
      <c r="C13" s="335">
        <v>80510</v>
      </c>
      <c r="D13" s="335">
        <v>60462</v>
      </c>
      <c r="E13" s="335">
        <v>51918</v>
      </c>
      <c r="F13" s="335">
        <v>10179</v>
      </c>
      <c r="G13" s="335">
        <v>8858</v>
      </c>
      <c r="H13" s="335"/>
      <c r="I13" s="337">
        <v>211927</v>
      </c>
      <c r="J13" s="323">
        <f t="shared" ref="J13:P15" si="0">C13/$I13</f>
        <v>0.37989496383188553</v>
      </c>
      <c r="K13" s="323">
        <f t="shared" si="0"/>
        <v>0.2852963520457516</v>
      </c>
      <c r="L13" s="323">
        <f t="shared" si="0"/>
        <v>0.24498058293657721</v>
      </c>
      <c r="M13" s="323">
        <f t="shared" si="0"/>
        <v>4.8030689813001647E-2</v>
      </c>
      <c r="N13" s="323">
        <f t="shared" si="0"/>
        <v>4.1797411372784025E-2</v>
      </c>
      <c r="O13" s="323">
        <f t="shared" si="0"/>
        <v>0</v>
      </c>
      <c r="P13" s="323">
        <f t="shared" si="0"/>
        <v>1</v>
      </c>
    </row>
    <row r="14" spans="1:16">
      <c r="A14" s="309"/>
      <c r="B14" s="307" t="s">
        <v>25</v>
      </c>
      <c r="C14" s="316"/>
      <c r="D14" s="316"/>
      <c r="E14" s="316"/>
      <c r="F14" s="316"/>
      <c r="G14" s="316"/>
      <c r="H14" s="316"/>
      <c r="I14" s="317">
        <v>87745</v>
      </c>
      <c r="J14" s="318">
        <f t="shared" si="0"/>
        <v>0</v>
      </c>
      <c r="K14" s="318">
        <f t="shared" si="0"/>
        <v>0</v>
      </c>
      <c r="L14" s="318">
        <f t="shared" si="0"/>
        <v>0</v>
      </c>
      <c r="M14" s="318">
        <f t="shared" si="0"/>
        <v>0</v>
      </c>
      <c r="N14" s="318">
        <f t="shared" si="0"/>
        <v>0</v>
      </c>
      <c r="O14" s="318">
        <f t="shared" si="0"/>
        <v>0</v>
      </c>
      <c r="P14" s="319">
        <f t="shared" si="0"/>
        <v>1</v>
      </c>
    </row>
    <row r="15" spans="1:16">
      <c r="A15" s="309"/>
      <c r="B15" s="308" t="s">
        <v>26</v>
      </c>
      <c r="C15" s="324"/>
      <c r="D15" s="324"/>
      <c r="E15" s="324"/>
      <c r="F15" s="324"/>
      <c r="G15" s="324"/>
      <c r="H15" s="324"/>
      <c r="I15" s="325">
        <v>5542</v>
      </c>
      <c r="J15" s="326">
        <f t="shared" si="0"/>
        <v>0</v>
      </c>
      <c r="K15" s="326">
        <f t="shared" si="0"/>
        <v>0</v>
      </c>
      <c r="L15" s="326">
        <f t="shared" si="0"/>
        <v>0</v>
      </c>
      <c r="M15" s="326">
        <f t="shared" si="0"/>
        <v>0</v>
      </c>
      <c r="N15" s="326">
        <f t="shared" si="0"/>
        <v>0</v>
      </c>
      <c r="O15" s="326">
        <f t="shared" si="0"/>
        <v>0</v>
      </c>
      <c r="P15" s="327">
        <f t="shared" si="0"/>
        <v>1</v>
      </c>
    </row>
    <row r="16" spans="1:16">
      <c r="A16" s="309" t="s">
        <v>3</v>
      </c>
      <c r="B16" s="307" t="s">
        <v>19</v>
      </c>
      <c r="C16" s="316">
        <v>12065</v>
      </c>
      <c r="D16" s="316">
        <v>8768</v>
      </c>
      <c r="E16" s="316">
        <v>6107</v>
      </c>
      <c r="F16" s="316">
        <v>1076</v>
      </c>
      <c r="G16" s="316">
        <v>1205</v>
      </c>
      <c r="H16" s="316">
        <v>0</v>
      </c>
      <c r="I16" s="317">
        <v>29221</v>
      </c>
      <c r="J16" s="318">
        <f t="shared" ref="J16:J34" si="1">C16/$I16</f>
        <v>0.41288799151295302</v>
      </c>
      <c r="K16" s="318">
        <f t="shared" ref="K16:K34" si="2">D16/$I16</f>
        <v>0.30005817733821566</v>
      </c>
      <c r="L16" s="318">
        <f t="shared" ref="L16:L34" si="3">E16/$I16</f>
        <v>0.20899353204886897</v>
      </c>
      <c r="M16" s="318">
        <f t="shared" ref="M16:M34" si="4">F16/$I16</f>
        <v>3.6822832894151468E-2</v>
      </c>
      <c r="N16" s="318">
        <f t="shared" ref="N16:N34" si="5">G16/$I16</f>
        <v>4.123746620581089E-2</v>
      </c>
      <c r="O16" s="318">
        <f t="shared" ref="O16:O34" si="6">H16/$I16</f>
        <v>0</v>
      </c>
      <c r="P16" s="319">
        <f t="shared" ref="P16:P34" si="7">I16/$I16</f>
        <v>1</v>
      </c>
    </row>
    <row r="17" spans="1:16">
      <c r="A17" s="309"/>
      <c r="B17" s="307" t="s">
        <v>20</v>
      </c>
      <c r="C17" s="316">
        <v>3635</v>
      </c>
      <c r="D17" s="316">
        <v>3469</v>
      </c>
      <c r="E17" s="316">
        <v>2684</v>
      </c>
      <c r="F17" s="316">
        <v>822</v>
      </c>
      <c r="G17" s="316">
        <v>305</v>
      </c>
      <c r="H17" s="316">
        <v>0</v>
      </c>
      <c r="I17" s="317">
        <v>10915</v>
      </c>
      <c r="J17" s="318">
        <f t="shared" si="1"/>
        <v>0.33302794319743473</v>
      </c>
      <c r="K17" s="318">
        <f t="shared" si="2"/>
        <v>0.31781951442968392</v>
      </c>
      <c r="L17" s="318">
        <f t="shared" si="3"/>
        <v>0.24590013742556116</v>
      </c>
      <c r="M17" s="318">
        <f t="shared" si="4"/>
        <v>7.5309207512597343E-2</v>
      </c>
      <c r="N17" s="318">
        <f t="shared" si="5"/>
        <v>2.7943197434722858E-2</v>
      </c>
      <c r="O17" s="318">
        <f t="shared" si="6"/>
        <v>0</v>
      </c>
      <c r="P17" s="319">
        <f t="shared" si="7"/>
        <v>1</v>
      </c>
    </row>
    <row r="18" spans="1:16">
      <c r="A18" s="309"/>
      <c r="B18" s="307" t="s">
        <v>21</v>
      </c>
      <c r="C18" s="316">
        <v>5029</v>
      </c>
      <c r="D18" s="316">
        <v>4630</v>
      </c>
      <c r="E18" s="316">
        <v>5002</v>
      </c>
      <c r="F18" s="316">
        <v>1476</v>
      </c>
      <c r="G18" s="316">
        <v>803</v>
      </c>
      <c r="H18" s="316">
        <v>0</v>
      </c>
      <c r="I18" s="317">
        <v>16940</v>
      </c>
      <c r="J18" s="318">
        <f t="shared" si="1"/>
        <v>0.29687131050767412</v>
      </c>
      <c r="K18" s="318">
        <f t="shared" si="2"/>
        <v>0.27331759149940971</v>
      </c>
      <c r="L18" s="318">
        <f t="shared" si="3"/>
        <v>0.29527744982290438</v>
      </c>
      <c r="M18" s="318">
        <f t="shared" si="4"/>
        <v>8.7131050767414397E-2</v>
      </c>
      <c r="N18" s="318">
        <f t="shared" si="5"/>
        <v>4.7402597402597405E-2</v>
      </c>
      <c r="O18" s="318">
        <f t="shared" si="6"/>
        <v>0</v>
      </c>
      <c r="P18" s="319">
        <f t="shared" si="7"/>
        <v>1</v>
      </c>
    </row>
    <row r="19" spans="1:16">
      <c r="A19" s="309"/>
      <c r="B19" s="307" t="s">
        <v>22</v>
      </c>
      <c r="C19" s="316">
        <v>2465</v>
      </c>
      <c r="D19" s="316">
        <v>2415</v>
      </c>
      <c r="E19" s="316">
        <v>3089</v>
      </c>
      <c r="F19" s="316">
        <v>831</v>
      </c>
      <c r="G19" s="316">
        <v>324</v>
      </c>
      <c r="H19" s="316">
        <v>0</v>
      </c>
      <c r="I19" s="317">
        <v>9124</v>
      </c>
      <c r="J19" s="318">
        <f t="shared" si="1"/>
        <v>0.27016659359929857</v>
      </c>
      <c r="K19" s="318">
        <f t="shared" si="2"/>
        <v>0.26468654099079353</v>
      </c>
      <c r="L19" s="318">
        <f t="shared" si="3"/>
        <v>0.33855765015344147</v>
      </c>
      <c r="M19" s="318">
        <f t="shared" si="4"/>
        <v>9.1078474353353797E-2</v>
      </c>
      <c r="N19" s="318">
        <f t="shared" si="5"/>
        <v>3.5510740903112667E-2</v>
      </c>
      <c r="O19" s="318">
        <f t="shared" si="6"/>
        <v>0</v>
      </c>
      <c r="P19" s="319">
        <f t="shared" si="7"/>
        <v>1</v>
      </c>
    </row>
    <row r="20" spans="1:16">
      <c r="A20" s="309"/>
      <c r="B20" s="307" t="s">
        <v>23</v>
      </c>
      <c r="C20" s="316">
        <v>1310</v>
      </c>
      <c r="D20" s="316">
        <v>1333</v>
      </c>
      <c r="E20" s="316">
        <v>1621</v>
      </c>
      <c r="F20" s="316">
        <v>573</v>
      </c>
      <c r="G20" s="316">
        <v>193</v>
      </c>
      <c r="H20" s="316">
        <v>0</v>
      </c>
      <c r="I20" s="317">
        <v>5030</v>
      </c>
      <c r="J20" s="318">
        <f t="shared" si="1"/>
        <v>0.26043737574552683</v>
      </c>
      <c r="K20" s="318">
        <f t="shared" si="2"/>
        <v>0.26500994035785286</v>
      </c>
      <c r="L20" s="318">
        <f t="shared" si="3"/>
        <v>0.32226640159045727</v>
      </c>
      <c r="M20" s="318">
        <f t="shared" si="4"/>
        <v>0.11391650099403579</v>
      </c>
      <c r="N20" s="318">
        <f t="shared" si="5"/>
        <v>3.8369781312127239E-2</v>
      </c>
      <c r="O20" s="318">
        <f t="shared" si="6"/>
        <v>0</v>
      </c>
      <c r="P20" s="319">
        <f t="shared" si="7"/>
        <v>1</v>
      </c>
    </row>
    <row r="21" spans="1:16">
      <c r="A21" s="309"/>
      <c r="B21" s="307" t="s">
        <v>24</v>
      </c>
      <c r="C21" s="316">
        <v>1067</v>
      </c>
      <c r="D21" s="316">
        <v>1150</v>
      </c>
      <c r="E21" s="316">
        <v>1326</v>
      </c>
      <c r="F21" s="316">
        <v>410</v>
      </c>
      <c r="G21" s="316">
        <v>162</v>
      </c>
      <c r="H21" s="316">
        <v>0</v>
      </c>
      <c r="I21" s="317">
        <v>4115</v>
      </c>
      <c r="J21" s="318">
        <f t="shared" si="1"/>
        <v>0.25929526123936819</v>
      </c>
      <c r="K21" s="318">
        <f t="shared" si="2"/>
        <v>0.27946537059538273</v>
      </c>
      <c r="L21" s="318">
        <f t="shared" si="3"/>
        <v>0.32223572296476305</v>
      </c>
      <c r="M21" s="318">
        <f t="shared" si="4"/>
        <v>9.9635479951397321E-2</v>
      </c>
      <c r="N21" s="318">
        <f t="shared" si="5"/>
        <v>3.9368165249088698E-2</v>
      </c>
      <c r="O21" s="318">
        <f t="shared" si="6"/>
        <v>0</v>
      </c>
      <c r="P21" s="319">
        <f t="shared" si="7"/>
        <v>1</v>
      </c>
    </row>
    <row r="22" spans="1:16" s="339" customFormat="1">
      <c r="A22" s="335"/>
      <c r="B22" s="336" t="s">
        <v>116</v>
      </c>
      <c r="C22" s="335">
        <v>25571</v>
      </c>
      <c r="D22" s="335">
        <v>21765</v>
      </c>
      <c r="E22" s="335">
        <v>19829</v>
      </c>
      <c r="F22" s="335">
        <v>5188</v>
      </c>
      <c r="G22" s="335">
        <v>2992</v>
      </c>
      <c r="H22" s="335">
        <v>0</v>
      </c>
      <c r="I22" s="337">
        <v>75345</v>
      </c>
      <c r="J22" s="338">
        <f t="shared" si="1"/>
        <v>0.33938549339704027</v>
      </c>
      <c r="K22" s="338">
        <f t="shared" si="2"/>
        <v>0.28887119251443361</v>
      </c>
      <c r="L22" s="338">
        <f t="shared" si="3"/>
        <v>0.26317605680536199</v>
      </c>
      <c r="M22" s="338">
        <f t="shared" si="4"/>
        <v>6.8856593005507991E-2</v>
      </c>
      <c r="N22" s="338">
        <f t="shared" si="5"/>
        <v>3.9710664277656113E-2</v>
      </c>
      <c r="O22" s="338">
        <f t="shared" si="6"/>
        <v>0</v>
      </c>
      <c r="P22" s="338">
        <f t="shared" si="7"/>
        <v>1</v>
      </c>
    </row>
    <row r="23" spans="1:16">
      <c r="A23" s="309"/>
      <c r="B23" s="307" t="s">
        <v>25</v>
      </c>
      <c r="C23" s="316">
        <v>1917</v>
      </c>
      <c r="D23" s="316">
        <v>2864</v>
      </c>
      <c r="E23" s="316">
        <v>2491</v>
      </c>
      <c r="F23" s="316">
        <v>1684</v>
      </c>
      <c r="G23" s="316">
        <v>1037</v>
      </c>
      <c r="H23" s="316">
        <v>22024.1</v>
      </c>
      <c r="I23" s="317">
        <v>32017.1</v>
      </c>
      <c r="J23" s="318">
        <f t="shared" si="1"/>
        <v>5.9874254695147282E-2</v>
      </c>
      <c r="K23" s="318">
        <f t="shared" si="2"/>
        <v>8.9452198981169448E-2</v>
      </c>
      <c r="L23" s="318">
        <f t="shared" si="3"/>
        <v>7.7802174463021331E-2</v>
      </c>
      <c r="M23" s="318">
        <f t="shared" si="4"/>
        <v>5.2596893535017231E-2</v>
      </c>
      <c r="N23" s="318">
        <f t="shared" si="5"/>
        <v>3.2388942159033769E-2</v>
      </c>
      <c r="O23" s="318">
        <f t="shared" si="6"/>
        <v>0.68788553616661097</v>
      </c>
      <c r="P23" s="319">
        <f t="shared" si="7"/>
        <v>1</v>
      </c>
    </row>
    <row r="24" spans="1:16">
      <c r="A24" s="328"/>
      <c r="B24" s="308" t="s">
        <v>26</v>
      </c>
      <c r="C24" s="324">
        <v>0</v>
      </c>
      <c r="D24" s="324">
        <v>0</v>
      </c>
      <c r="E24" s="324">
        <v>0</v>
      </c>
      <c r="F24" s="324">
        <v>0</v>
      </c>
      <c r="G24" s="324">
        <v>292</v>
      </c>
      <c r="H24" s="324">
        <v>2737</v>
      </c>
      <c r="I24" s="325">
        <v>3029</v>
      </c>
      <c r="J24" s="326">
        <f t="shared" si="1"/>
        <v>0</v>
      </c>
      <c r="K24" s="326">
        <f t="shared" si="2"/>
        <v>0</v>
      </c>
      <c r="L24" s="326">
        <f t="shared" si="3"/>
        <v>0</v>
      </c>
      <c r="M24" s="326">
        <f t="shared" si="4"/>
        <v>0</v>
      </c>
      <c r="N24" s="326">
        <f t="shared" si="5"/>
        <v>9.6401452624628584E-2</v>
      </c>
      <c r="O24" s="326">
        <f t="shared" si="6"/>
        <v>0.90359854737537137</v>
      </c>
      <c r="P24" s="327">
        <f t="shared" si="7"/>
        <v>1</v>
      </c>
    </row>
    <row r="25" spans="1:16">
      <c r="A25" s="309" t="s">
        <v>4</v>
      </c>
      <c r="B25" s="307" t="s">
        <v>19</v>
      </c>
      <c r="C25" s="309">
        <v>655</v>
      </c>
      <c r="D25" s="309">
        <v>647</v>
      </c>
      <c r="E25" s="309">
        <v>410</v>
      </c>
      <c r="F25" s="309">
        <v>144</v>
      </c>
      <c r="G25" s="309">
        <v>27</v>
      </c>
      <c r="H25" s="309">
        <v>0</v>
      </c>
      <c r="I25" s="329">
        <v>1883</v>
      </c>
      <c r="J25" s="318">
        <f t="shared" si="1"/>
        <v>0.34784917684545935</v>
      </c>
      <c r="K25" s="318">
        <f t="shared" si="2"/>
        <v>0.34360063728093465</v>
      </c>
      <c r="L25" s="318">
        <f t="shared" si="3"/>
        <v>0.2177376526818906</v>
      </c>
      <c r="M25" s="318">
        <f t="shared" si="4"/>
        <v>7.647371216144451E-2</v>
      </c>
      <c r="N25" s="318">
        <f t="shared" si="5"/>
        <v>1.4338821030270845E-2</v>
      </c>
      <c r="O25" s="318">
        <f t="shared" si="6"/>
        <v>0</v>
      </c>
      <c r="P25" s="319">
        <f t="shared" si="7"/>
        <v>1</v>
      </c>
    </row>
    <row r="26" spans="1:16">
      <c r="A26" s="309"/>
      <c r="B26" s="307" t="s">
        <v>20</v>
      </c>
      <c r="C26" s="309">
        <v>121</v>
      </c>
      <c r="D26" s="309">
        <v>181</v>
      </c>
      <c r="E26" s="309">
        <v>122</v>
      </c>
      <c r="F26" s="309">
        <v>22</v>
      </c>
      <c r="G26" s="309">
        <v>5</v>
      </c>
      <c r="H26" s="309">
        <v>0</v>
      </c>
      <c r="I26" s="329">
        <v>451</v>
      </c>
      <c r="J26" s="318">
        <f t="shared" si="1"/>
        <v>0.26829268292682928</v>
      </c>
      <c r="K26" s="318">
        <f t="shared" si="2"/>
        <v>0.40133037694013302</v>
      </c>
      <c r="L26" s="318">
        <f t="shared" si="3"/>
        <v>0.270509977827051</v>
      </c>
      <c r="M26" s="318">
        <f t="shared" si="4"/>
        <v>4.878048780487805E-2</v>
      </c>
      <c r="N26" s="318">
        <f t="shared" si="5"/>
        <v>1.1086474501108648E-2</v>
      </c>
      <c r="O26" s="318">
        <f t="shared" si="6"/>
        <v>0</v>
      </c>
      <c r="P26" s="319">
        <f t="shared" si="7"/>
        <v>1</v>
      </c>
    </row>
    <row r="27" spans="1:16">
      <c r="A27" s="309"/>
      <c r="B27" s="307" t="s">
        <v>21</v>
      </c>
      <c r="C27" s="309">
        <v>381</v>
      </c>
      <c r="D27" s="309">
        <v>331</v>
      </c>
      <c r="E27" s="309">
        <v>396</v>
      </c>
      <c r="F27" s="309">
        <v>151</v>
      </c>
      <c r="G27" s="309">
        <v>23</v>
      </c>
      <c r="H27" s="309">
        <v>0</v>
      </c>
      <c r="I27" s="329">
        <v>1282</v>
      </c>
      <c r="J27" s="318">
        <f t="shared" si="1"/>
        <v>0.29719188767550703</v>
      </c>
      <c r="K27" s="318">
        <f t="shared" si="2"/>
        <v>0.25819032761310451</v>
      </c>
      <c r="L27" s="318">
        <f t="shared" si="3"/>
        <v>0.30889235569422779</v>
      </c>
      <c r="M27" s="318">
        <f t="shared" si="4"/>
        <v>0.11778471138845553</v>
      </c>
      <c r="N27" s="318">
        <f t="shared" si="5"/>
        <v>1.7940717628705149E-2</v>
      </c>
      <c r="O27" s="318">
        <f t="shared" si="6"/>
        <v>0</v>
      </c>
      <c r="P27" s="319">
        <f t="shared" si="7"/>
        <v>1</v>
      </c>
    </row>
    <row r="28" spans="1:16">
      <c r="A28" s="309"/>
      <c r="B28" s="307" t="s">
        <v>22</v>
      </c>
      <c r="C28" s="309">
        <v>143</v>
      </c>
      <c r="D28" s="309">
        <v>164</v>
      </c>
      <c r="E28" s="309">
        <v>213</v>
      </c>
      <c r="F28" s="309">
        <v>65</v>
      </c>
      <c r="G28" s="309">
        <v>0</v>
      </c>
      <c r="H28" s="309">
        <v>0</v>
      </c>
      <c r="I28" s="329">
        <v>585</v>
      </c>
      <c r="J28" s="318">
        <f t="shared" si="1"/>
        <v>0.24444444444444444</v>
      </c>
      <c r="K28" s="318">
        <f t="shared" si="2"/>
        <v>0.28034188034188035</v>
      </c>
      <c r="L28" s="318">
        <f t="shared" si="3"/>
        <v>0.36410256410256409</v>
      </c>
      <c r="M28" s="318">
        <f t="shared" si="4"/>
        <v>0.1111111111111111</v>
      </c>
      <c r="N28" s="318">
        <f t="shared" si="5"/>
        <v>0</v>
      </c>
      <c r="O28" s="318">
        <f t="shared" si="6"/>
        <v>0</v>
      </c>
      <c r="P28" s="319">
        <f t="shared" si="7"/>
        <v>1</v>
      </c>
    </row>
    <row r="29" spans="1:16">
      <c r="A29" s="309"/>
      <c r="B29" s="307" t="s">
        <v>23</v>
      </c>
      <c r="C29" s="309">
        <v>136</v>
      </c>
      <c r="D29" s="309">
        <v>145</v>
      </c>
      <c r="E29" s="309">
        <v>191</v>
      </c>
      <c r="F29" s="309">
        <v>94</v>
      </c>
      <c r="G29" s="309">
        <v>2</v>
      </c>
      <c r="H29" s="309">
        <v>0</v>
      </c>
      <c r="I29" s="329">
        <v>568</v>
      </c>
      <c r="J29" s="318">
        <f t="shared" si="1"/>
        <v>0.23943661971830985</v>
      </c>
      <c r="K29" s="318">
        <f t="shared" si="2"/>
        <v>0.25528169014084506</v>
      </c>
      <c r="L29" s="318">
        <f t="shared" si="3"/>
        <v>0.33626760563380281</v>
      </c>
      <c r="M29" s="318">
        <f t="shared" si="4"/>
        <v>0.16549295774647887</v>
      </c>
      <c r="N29" s="318">
        <f t="shared" si="5"/>
        <v>3.5211267605633804E-3</v>
      </c>
      <c r="O29" s="318">
        <f t="shared" si="6"/>
        <v>0</v>
      </c>
      <c r="P29" s="319">
        <f t="shared" si="7"/>
        <v>1</v>
      </c>
    </row>
    <row r="30" spans="1:16">
      <c r="A30" s="309"/>
      <c r="B30" s="307" t="s">
        <v>24</v>
      </c>
      <c r="C30" s="309">
        <v>22</v>
      </c>
      <c r="D30" s="309">
        <v>14</v>
      </c>
      <c r="E30" s="309">
        <v>31</v>
      </c>
      <c r="F30" s="309">
        <v>0</v>
      </c>
      <c r="G30" s="309">
        <v>0</v>
      </c>
      <c r="H30" s="309">
        <v>0</v>
      </c>
      <c r="I30" s="329">
        <v>67</v>
      </c>
      <c r="J30" s="318">
        <f t="shared" si="1"/>
        <v>0.32835820895522388</v>
      </c>
      <c r="K30" s="318">
        <f t="shared" si="2"/>
        <v>0.20895522388059701</v>
      </c>
      <c r="L30" s="318">
        <f t="shared" si="3"/>
        <v>0.46268656716417911</v>
      </c>
      <c r="M30" s="318">
        <f t="shared" si="4"/>
        <v>0</v>
      </c>
      <c r="N30" s="318">
        <f t="shared" si="5"/>
        <v>0</v>
      </c>
      <c r="O30" s="318">
        <f t="shared" si="6"/>
        <v>0</v>
      </c>
      <c r="P30" s="319">
        <f t="shared" si="7"/>
        <v>1</v>
      </c>
    </row>
    <row r="31" spans="1:16" s="339" customFormat="1">
      <c r="A31" s="335"/>
      <c r="B31" s="336" t="s">
        <v>116</v>
      </c>
      <c r="C31" s="335">
        <v>1458</v>
      </c>
      <c r="D31" s="335">
        <v>1482</v>
      </c>
      <c r="E31" s="335">
        <v>1363</v>
      </c>
      <c r="F31" s="335">
        <v>476</v>
      </c>
      <c r="G31" s="335">
        <v>57</v>
      </c>
      <c r="H31" s="335">
        <v>0</v>
      </c>
      <c r="I31" s="337">
        <v>4836</v>
      </c>
      <c r="J31" s="338">
        <f t="shared" si="1"/>
        <v>0.30148883374689828</v>
      </c>
      <c r="K31" s="338">
        <f t="shared" si="2"/>
        <v>0.30645161290322581</v>
      </c>
      <c r="L31" s="338">
        <f t="shared" si="3"/>
        <v>0.28184449958643509</v>
      </c>
      <c r="M31" s="338">
        <f t="shared" si="4"/>
        <v>9.8428453267162944E-2</v>
      </c>
      <c r="N31" s="338">
        <f t="shared" si="5"/>
        <v>1.1786600496277916E-2</v>
      </c>
      <c r="O31" s="338">
        <f t="shared" si="6"/>
        <v>0</v>
      </c>
      <c r="P31" s="338">
        <f t="shared" si="7"/>
        <v>1</v>
      </c>
    </row>
    <row r="32" spans="1:16">
      <c r="A32" s="309"/>
      <c r="B32" s="307" t="s">
        <v>25</v>
      </c>
      <c r="C32" s="309">
        <v>0</v>
      </c>
      <c r="D32" s="309">
        <v>0</v>
      </c>
      <c r="E32" s="309">
        <v>0</v>
      </c>
      <c r="F32" s="309">
        <v>0</v>
      </c>
      <c r="G32" s="309">
        <v>0</v>
      </c>
      <c r="H32" s="309">
        <v>1433</v>
      </c>
      <c r="I32" s="329">
        <v>1433</v>
      </c>
      <c r="J32" s="318">
        <f t="shared" si="1"/>
        <v>0</v>
      </c>
      <c r="K32" s="318">
        <f t="shared" si="2"/>
        <v>0</v>
      </c>
      <c r="L32" s="318">
        <f t="shared" si="3"/>
        <v>0</v>
      </c>
      <c r="M32" s="318">
        <f t="shared" si="4"/>
        <v>0</v>
      </c>
      <c r="N32" s="318">
        <f t="shared" si="5"/>
        <v>0</v>
      </c>
      <c r="O32" s="318">
        <f t="shared" si="6"/>
        <v>1</v>
      </c>
      <c r="P32" s="319">
        <f t="shared" si="7"/>
        <v>1</v>
      </c>
    </row>
    <row r="33" spans="1:16">
      <c r="A33" s="328"/>
      <c r="B33" s="308" t="s">
        <v>26</v>
      </c>
      <c r="C33" s="328">
        <v>0</v>
      </c>
      <c r="D33" s="328">
        <v>0</v>
      </c>
      <c r="E33" s="328">
        <v>0</v>
      </c>
      <c r="F33" s="328">
        <v>0</v>
      </c>
      <c r="G33" s="328">
        <v>0</v>
      </c>
      <c r="H33" s="328">
        <v>399</v>
      </c>
      <c r="I33" s="330">
        <v>399</v>
      </c>
      <c r="J33" s="326">
        <f t="shared" si="1"/>
        <v>0</v>
      </c>
      <c r="K33" s="326">
        <f t="shared" si="2"/>
        <v>0</v>
      </c>
      <c r="L33" s="326">
        <f t="shared" si="3"/>
        <v>0</v>
      </c>
      <c r="M33" s="326">
        <f t="shared" si="4"/>
        <v>0</v>
      </c>
      <c r="N33" s="326">
        <f t="shared" si="5"/>
        <v>0</v>
      </c>
      <c r="O33" s="326">
        <f t="shared" si="6"/>
        <v>1</v>
      </c>
      <c r="P33" s="327">
        <f t="shared" si="7"/>
        <v>1</v>
      </c>
    </row>
    <row r="34" spans="1:16">
      <c r="A34" s="309" t="s">
        <v>5</v>
      </c>
      <c r="B34" s="307" t="s">
        <v>19</v>
      </c>
      <c r="C34" s="309">
        <v>281</v>
      </c>
      <c r="D34" s="309">
        <v>199</v>
      </c>
      <c r="E34" s="309">
        <v>207</v>
      </c>
      <c r="F34" s="309">
        <v>69</v>
      </c>
      <c r="G34" s="309">
        <v>14</v>
      </c>
      <c r="H34" s="309">
        <v>0</v>
      </c>
      <c r="I34" s="329">
        <v>770</v>
      </c>
      <c r="J34" s="318">
        <f t="shared" si="1"/>
        <v>0.36493506493506495</v>
      </c>
      <c r="K34" s="318">
        <f t="shared" si="2"/>
        <v>0.25844155844155842</v>
      </c>
      <c r="L34" s="318">
        <f t="shared" si="3"/>
        <v>0.26883116883116881</v>
      </c>
      <c r="M34" s="318">
        <f t="shared" si="4"/>
        <v>8.9610389610389612E-2</v>
      </c>
      <c r="N34" s="318">
        <f t="shared" si="5"/>
        <v>1.8181818181818181E-2</v>
      </c>
      <c r="O34" s="318">
        <f t="shared" si="6"/>
        <v>0</v>
      </c>
      <c r="P34" s="319">
        <f t="shared" si="7"/>
        <v>1</v>
      </c>
    </row>
    <row r="35" spans="1:16">
      <c r="A35" s="309"/>
      <c r="B35" s="307" t="s">
        <v>20</v>
      </c>
      <c r="C35" s="309">
        <v>0</v>
      </c>
      <c r="D35" s="309">
        <v>0</v>
      </c>
      <c r="E35" s="309">
        <v>0</v>
      </c>
      <c r="F35" s="309">
        <v>0</v>
      </c>
      <c r="G35" s="309">
        <v>0</v>
      </c>
      <c r="H35" s="309">
        <v>0</v>
      </c>
      <c r="I35" s="329">
        <v>0</v>
      </c>
      <c r="J35" s="318"/>
      <c r="K35" s="318"/>
      <c r="L35" s="318"/>
      <c r="M35" s="318"/>
      <c r="N35" s="318"/>
      <c r="O35" s="318"/>
      <c r="P35" s="319"/>
    </row>
    <row r="36" spans="1:16">
      <c r="A36" s="309"/>
      <c r="B36" s="307" t="s">
        <v>21</v>
      </c>
      <c r="C36" s="309">
        <v>315</v>
      </c>
      <c r="D36" s="309">
        <v>296</v>
      </c>
      <c r="E36" s="309">
        <v>275</v>
      </c>
      <c r="F36" s="309">
        <v>233</v>
      </c>
      <c r="G36" s="309">
        <v>3</v>
      </c>
      <c r="H36" s="309">
        <v>0</v>
      </c>
      <c r="I36" s="329">
        <v>1122</v>
      </c>
      <c r="J36" s="318">
        <f t="shared" ref="J36:P36" si="8">C36/$I36</f>
        <v>0.28074866310160429</v>
      </c>
      <c r="K36" s="318">
        <f t="shared" si="8"/>
        <v>0.26381461675579321</v>
      </c>
      <c r="L36" s="318">
        <f t="shared" si="8"/>
        <v>0.24509803921568626</v>
      </c>
      <c r="M36" s="318">
        <f t="shared" si="8"/>
        <v>0.20766488413547238</v>
      </c>
      <c r="N36" s="318">
        <f t="shared" si="8"/>
        <v>2.6737967914438501E-3</v>
      </c>
      <c r="O36" s="318">
        <f t="shared" si="8"/>
        <v>0</v>
      </c>
      <c r="P36" s="319">
        <f t="shared" si="8"/>
        <v>1</v>
      </c>
    </row>
    <row r="37" spans="1:16">
      <c r="A37" s="309"/>
      <c r="B37" s="307" t="s">
        <v>22</v>
      </c>
      <c r="C37" s="309">
        <v>0</v>
      </c>
      <c r="D37" s="309">
        <v>0</v>
      </c>
      <c r="E37" s="309">
        <v>0</v>
      </c>
      <c r="F37" s="309">
        <v>0</v>
      </c>
      <c r="G37" s="309">
        <v>0</v>
      </c>
      <c r="H37" s="309">
        <v>0</v>
      </c>
      <c r="I37" s="329">
        <v>0</v>
      </c>
      <c r="J37" s="318"/>
      <c r="K37" s="318"/>
      <c r="L37" s="318"/>
      <c r="M37" s="318"/>
      <c r="N37" s="318"/>
      <c r="O37" s="318"/>
      <c r="P37" s="319"/>
    </row>
    <row r="38" spans="1:16">
      <c r="A38" s="309"/>
      <c r="B38" s="307" t="s">
        <v>23</v>
      </c>
      <c r="C38" s="309">
        <v>101</v>
      </c>
      <c r="D38" s="309">
        <v>117</v>
      </c>
      <c r="E38" s="309">
        <v>81</v>
      </c>
      <c r="F38" s="309">
        <v>30</v>
      </c>
      <c r="G38" s="309">
        <v>0</v>
      </c>
      <c r="H38" s="309">
        <v>0</v>
      </c>
      <c r="I38" s="329">
        <v>329</v>
      </c>
      <c r="J38" s="318">
        <f t="shared" ref="J38:P41" si="9">C38/$I38</f>
        <v>0.30699088145896658</v>
      </c>
      <c r="K38" s="318">
        <f t="shared" si="9"/>
        <v>0.35562310030395139</v>
      </c>
      <c r="L38" s="318">
        <f t="shared" si="9"/>
        <v>0.24620060790273557</v>
      </c>
      <c r="M38" s="318">
        <f t="shared" si="9"/>
        <v>9.1185410334346503E-2</v>
      </c>
      <c r="N38" s="318">
        <f t="shared" si="9"/>
        <v>0</v>
      </c>
      <c r="O38" s="318">
        <f t="shared" si="9"/>
        <v>0</v>
      </c>
      <c r="P38" s="319">
        <f t="shared" si="9"/>
        <v>1</v>
      </c>
    </row>
    <row r="39" spans="1:16">
      <c r="A39" s="309"/>
      <c r="B39" s="307" t="s">
        <v>24</v>
      </c>
      <c r="C39" s="309">
        <v>96</v>
      </c>
      <c r="D39" s="309">
        <v>81</v>
      </c>
      <c r="E39" s="309">
        <v>143</v>
      </c>
      <c r="F39" s="309">
        <v>97</v>
      </c>
      <c r="G39" s="309">
        <v>2</v>
      </c>
      <c r="H39" s="309">
        <v>0</v>
      </c>
      <c r="I39" s="329">
        <v>419</v>
      </c>
      <c r="J39" s="318">
        <f t="shared" si="9"/>
        <v>0.22911694510739858</v>
      </c>
      <c r="K39" s="318">
        <f t="shared" si="9"/>
        <v>0.19331742243436753</v>
      </c>
      <c r="L39" s="318">
        <f t="shared" si="9"/>
        <v>0.3412887828162291</v>
      </c>
      <c r="M39" s="318">
        <f t="shared" si="9"/>
        <v>0.23150357995226731</v>
      </c>
      <c r="N39" s="318">
        <f t="shared" si="9"/>
        <v>4.7732696897374704E-3</v>
      </c>
      <c r="O39" s="318">
        <f t="shared" si="9"/>
        <v>0</v>
      </c>
      <c r="P39" s="319">
        <f t="shared" si="9"/>
        <v>1</v>
      </c>
    </row>
    <row r="40" spans="1:16">
      <c r="A40" s="309"/>
      <c r="B40" s="320" t="s">
        <v>116</v>
      </c>
      <c r="C40" s="321">
        <v>793</v>
      </c>
      <c r="D40" s="321">
        <v>693</v>
      </c>
      <c r="E40" s="321">
        <v>706</v>
      </c>
      <c r="F40" s="321">
        <v>429</v>
      </c>
      <c r="G40" s="321">
        <v>19</v>
      </c>
      <c r="H40" s="321">
        <v>0</v>
      </c>
      <c r="I40" s="322">
        <v>2640</v>
      </c>
      <c r="J40" s="323">
        <f t="shared" si="9"/>
        <v>0.30037878787878786</v>
      </c>
      <c r="K40" s="323">
        <f t="shared" si="9"/>
        <v>0.26250000000000001</v>
      </c>
      <c r="L40" s="323">
        <f t="shared" si="9"/>
        <v>0.2674242424242424</v>
      </c>
      <c r="M40" s="323">
        <f t="shared" si="9"/>
        <v>0.16250000000000001</v>
      </c>
      <c r="N40" s="323">
        <f t="shared" si="9"/>
        <v>7.1969696969696973E-3</v>
      </c>
      <c r="O40" s="323">
        <f t="shared" si="9"/>
        <v>0</v>
      </c>
      <c r="P40" s="323">
        <f t="shared" si="9"/>
        <v>1</v>
      </c>
    </row>
    <row r="41" spans="1:16">
      <c r="A41" s="309"/>
      <c r="B41" s="307" t="s">
        <v>25</v>
      </c>
      <c r="C41" s="309">
        <v>0</v>
      </c>
      <c r="D41" s="309">
        <v>0</v>
      </c>
      <c r="E41" s="309">
        <v>0</v>
      </c>
      <c r="F41" s="309">
        <v>0</v>
      </c>
      <c r="G41" s="309">
        <v>0</v>
      </c>
      <c r="H41" s="309">
        <v>885</v>
      </c>
      <c r="I41" s="329">
        <v>885</v>
      </c>
      <c r="J41" s="318">
        <f t="shared" si="9"/>
        <v>0</v>
      </c>
      <c r="K41" s="318">
        <f t="shared" si="9"/>
        <v>0</v>
      </c>
      <c r="L41" s="318">
        <f t="shared" si="9"/>
        <v>0</v>
      </c>
      <c r="M41" s="318">
        <f t="shared" si="9"/>
        <v>0</v>
      </c>
      <c r="N41" s="318">
        <f t="shared" si="9"/>
        <v>0</v>
      </c>
      <c r="O41" s="318">
        <f t="shared" si="9"/>
        <v>1</v>
      </c>
      <c r="P41" s="319">
        <f t="shared" si="9"/>
        <v>1</v>
      </c>
    </row>
    <row r="42" spans="1:16">
      <c r="A42" s="328"/>
      <c r="B42" s="308" t="s">
        <v>26</v>
      </c>
      <c r="C42" s="328">
        <v>0</v>
      </c>
      <c r="D42" s="328">
        <v>0</v>
      </c>
      <c r="E42" s="328">
        <v>0</v>
      </c>
      <c r="F42" s="328">
        <v>0</v>
      </c>
      <c r="G42" s="328">
        <v>0</v>
      </c>
      <c r="H42" s="328">
        <v>0</v>
      </c>
      <c r="I42" s="330">
        <v>0</v>
      </c>
      <c r="J42" s="326"/>
      <c r="K42" s="326"/>
      <c r="L42" s="326"/>
      <c r="M42" s="326"/>
      <c r="N42" s="326"/>
      <c r="O42" s="326"/>
      <c r="P42" s="327"/>
    </row>
    <row r="43" spans="1:16">
      <c r="A43" s="309" t="s">
        <v>82</v>
      </c>
      <c r="B43" s="307" t="s">
        <v>19</v>
      </c>
      <c r="C43" s="438">
        <v>323</v>
      </c>
      <c r="D43" s="438">
        <v>322</v>
      </c>
      <c r="E43" s="438">
        <v>206</v>
      </c>
      <c r="F43" s="438">
        <v>65</v>
      </c>
      <c r="G43" s="438">
        <v>4</v>
      </c>
      <c r="H43" s="438"/>
      <c r="I43" s="329">
        <f>SUM(C43:H43)</f>
        <v>920</v>
      </c>
      <c r="J43" s="440">
        <f t="shared" ref="J43:P43" si="10">C43/$I43</f>
        <v>0.35108695652173916</v>
      </c>
      <c r="K43" s="441">
        <f t="shared" si="10"/>
        <v>0.35</v>
      </c>
      <c r="L43" s="441">
        <f t="shared" si="10"/>
        <v>0.22391304347826088</v>
      </c>
      <c r="M43" s="441">
        <f t="shared" si="10"/>
        <v>7.0652173913043473E-2</v>
      </c>
      <c r="N43" s="441">
        <f t="shared" si="10"/>
        <v>4.3478260869565218E-3</v>
      </c>
      <c r="O43" s="441">
        <f t="shared" si="10"/>
        <v>0</v>
      </c>
      <c r="P43" s="442">
        <f t="shared" si="10"/>
        <v>1</v>
      </c>
    </row>
    <row r="44" spans="1:16">
      <c r="A44" s="309"/>
      <c r="B44" s="307" t="s">
        <v>20</v>
      </c>
      <c r="C44" s="438"/>
      <c r="D44" s="438"/>
      <c r="E44" s="438"/>
      <c r="F44" s="438"/>
      <c r="G44" s="438"/>
      <c r="H44" s="438"/>
      <c r="I44" s="329"/>
      <c r="J44" s="443" t="e">
        <f t="shared" ref="J44:J51" si="11">C44/$I44</f>
        <v>#DIV/0!</v>
      </c>
      <c r="K44" s="439" t="e">
        <f t="shared" ref="K44:K51" si="12">D44/$I44</f>
        <v>#DIV/0!</v>
      </c>
      <c r="L44" s="439" t="e">
        <f t="shared" ref="L44:L51" si="13">E44/$I44</f>
        <v>#DIV/0!</v>
      </c>
      <c r="M44" s="439" t="e">
        <f t="shared" ref="M44:M51" si="14">F44/$I44</f>
        <v>#DIV/0!</v>
      </c>
      <c r="N44" s="439" t="e">
        <f t="shared" ref="N44:N51" si="15">G44/$I44</f>
        <v>#DIV/0!</v>
      </c>
      <c r="O44" s="439" t="e">
        <f t="shared" ref="O44:O51" si="16">H44/$I44</f>
        <v>#DIV/0!</v>
      </c>
      <c r="P44" s="319" t="e">
        <f t="shared" ref="P44:P51" si="17">I44/$I44</f>
        <v>#DIV/0!</v>
      </c>
    </row>
    <row r="45" spans="1:16">
      <c r="A45" s="309"/>
      <c r="B45" s="307" t="s">
        <v>21</v>
      </c>
      <c r="C45" s="438"/>
      <c r="D45" s="438"/>
      <c r="E45" s="438"/>
      <c r="F45" s="438"/>
      <c r="G45" s="438"/>
      <c r="H45" s="438"/>
      <c r="I45" s="329"/>
      <c r="J45" s="443" t="e">
        <f t="shared" si="11"/>
        <v>#DIV/0!</v>
      </c>
      <c r="K45" s="439" t="e">
        <f t="shared" si="12"/>
        <v>#DIV/0!</v>
      </c>
      <c r="L45" s="439" t="e">
        <f t="shared" si="13"/>
        <v>#DIV/0!</v>
      </c>
      <c r="M45" s="439" t="e">
        <f t="shared" si="14"/>
        <v>#DIV/0!</v>
      </c>
      <c r="N45" s="439" t="e">
        <f t="shared" si="15"/>
        <v>#DIV/0!</v>
      </c>
      <c r="O45" s="439" t="e">
        <f t="shared" si="16"/>
        <v>#DIV/0!</v>
      </c>
      <c r="P45" s="319" t="e">
        <f t="shared" si="17"/>
        <v>#DIV/0!</v>
      </c>
    </row>
    <row r="46" spans="1:16">
      <c r="A46" s="309"/>
      <c r="B46" s="307" t="s">
        <v>22</v>
      </c>
      <c r="C46" s="438">
        <v>35</v>
      </c>
      <c r="D46" s="438">
        <v>54</v>
      </c>
      <c r="E46" s="438">
        <v>64</v>
      </c>
      <c r="F46" s="438">
        <v>20</v>
      </c>
      <c r="G46" s="438"/>
      <c r="H46" s="438"/>
      <c r="I46" s="329">
        <f>SUM(C46:H46)</f>
        <v>173</v>
      </c>
      <c r="J46" s="443">
        <f t="shared" si="11"/>
        <v>0.20231213872832371</v>
      </c>
      <c r="K46" s="439">
        <f t="shared" si="12"/>
        <v>0.31213872832369943</v>
      </c>
      <c r="L46" s="439">
        <f t="shared" si="13"/>
        <v>0.36994219653179189</v>
      </c>
      <c r="M46" s="439">
        <f t="shared" si="14"/>
        <v>0.11560693641618497</v>
      </c>
      <c r="N46" s="439">
        <f t="shared" si="15"/>
        <v>0</v>
      </c>
      <c r="O46" s="439">
        <f t="shared" si="16"/>
        <v>0</v>
      </c>
      <c r="P46" s="319">
        <f t="shared" si="17"/>
        <v>1</v>
      </c>
    </row>
    <row r="47" spans="1:16">
      <c r="A47" s="309"/>
      <c r="B47" s="307" t="s">
        <v>23</v>
      </c>
      <c r="C47" s="438"/>
      <c r="D47" s="438"/>
      <c r="E47" s="438"/>
      <c r="F47" s="438"/>
      <c r="G47" s="438"/>
      <c r="H47" s="438"/>
      <c r="I47" s="329"/>
      <c r="J47" s="443" t="e">
        <f t="shared" si="11"/>
        <v>#DIV/0!</v>
      </c>
      <c r="K47" s="439" t="e">
        <f t="shared" si="12"/>
        <v>#DIV/0!</v>
      </c>
      <c r="L47" s="439" t="e">
        <f t="shared" si="13"/>
        <v>#DIV/0!</v>
      </c>
      <c r="M47" s="439" t="e">
        <f t="shared" si="14"/>
        <v>#DIV/0!</v>
      </c>
      <c r="N47" s="439" t="e">
        <f t="shared" si="15"/>
        <v>#DIV/0!</v>
      </c>
      <c r="O47" s="439" t="e">
        <f t="shared" si="16"/>
        <v>#DIV/0!</v>
      </c>
      <c r="P47" s="319" t="e">
        <f t="shared" si="17"/>
        <v>#DIV/0!</v>
      </c>
    </row>
    <row r="48" spans="1:16">
      <c r="A48" s="309"/>
      <c r="B48" s="307" t="s">
        <v>24</v>
      </c>
      <c r="C48" s="438"/>
      <c r="D48" s="438"/>
      <c r="E48" s="438"/>
      <c r="F48" s="438"/>
      <c r="G48" s="438"/>
      <c r="H48" s="438"/>
      <c r="I48" s="329"/>
      <c r="J48" s="443" t="e">
        <f t="shared" si="11"/>
        <v>#DIV/0!</v>
      </c>
      <c r="K48" s="439" t="e">
        <f t="shared" si="12"/>
        <v>#DIV/0!</v>
      </c>
      <c r="L48" s="439" t="e">
        <f t="shared" si="13"/>
        <v>#DIV/0!</v>
      </c>
      <c r="M48" s="439" t="e">
        <f t="shared" si="14"/>
        <v>#DIV/0!</v>
      </c>
      <c r="N48" s="439" t="e">
        <f t="shared" si="15"/>
        <v>#DIV/0!</v>
      </c>
      <c r="O48" s="439" t="e">
        <f t="shared" si="16"/>
        <v>#DIV/0!</v>
      </c>
      <c r="P48" s="319" t="e">
        <f t="shared" si="17"/>
        <v>#DIV/0!</v>
      </c>
    </row>
    <row r="49" spans="1:16">
      <c r="A49" s="309"/>
      <c r="B49" s="320" t="s">
        <v>116</v>
      </c>
      <c r="C49" s="438">
        <f>SUM(C43:C48)</f>
        <v>358</v>
      </c>
      <c r="D49" s="438">
        <f>SUM(D43:D48)</f>
        <v>376</v>
      </c>
      <c r="E49" s="438">
        <f>SUM(E43:E48)</f>
        <v>270</v>
      </c>
      <c r="F49" s="438">
        <f>SUM(F43:F48)</f>
        <v>85</v>
      </c>
      <c r="G49" s="438">
        <f>SUM(G43:G48)</f>
        <v>4</v>
      </c>
      <c r="H49" s="438"/>
      <c r="I49" s="329">
        <f>SUM(C49:H49)</f>
        <v>1093</v>
      </c>
      <c r="J49" s="443">
        <f t="shared" ref="J49:P49" si="18">C49/$I49</f>
        <v>0.32753888380603841</v>
      </c>
      <c r="K49" s="439">
        <f t="shared" si="18"/>
        <v>0.34400731930466605</v>
      </c>
      <c r="L49" s="439">
        <f t="shared" si="18"/>
        <v>0.24702653247941445</v>
      </c>
      <c r="M49" s="439">
        <f t="shared" si="18"/>
        <v>7.7767612076852705E-2</v>
      </c>
      <c r="N49" s="439">
        <f t="shared" si="18"/>
        <v>3.6596523330283625E-3</v>
      </c>
      <c r="O49" s="439">
        <f t="shared" si="18"/>
        <v>0</v>
      </c>
      <c r="P49" s="319">
        <f t="shared" si="18"/>
        <v>1</v>
      </c>
    </row>
    <row r="50" spans="1:16">
      <c r="A50" s="309"/>
      <c r="B50" s="307" t="s">
        <v>25</v>
      </c>
      <c r="C50" s="438"/>
      <c r="D50" s="438"/>
      <c r="E50" s="438"/>
      <c r="F50" s="438"/>
      <c r="G50" s="438"/>
      <c r="H50" s="438">
        <v>282</v>
      </c>
      <c r="I50" s="329">
        <f>SUM(C50:H50)</f>
        <v>282</v>
      </c>
      <c r="J50" s="443">
        <f t="shared" si="11"/>
        <v>0</v>
      </c>
      <c r="K50" s="439">
        <f t="shared" si="12"/>
        <v>0</v>
      </c>
      <c r="L50" s="439">
        <f t="shared" si="13"/>
        <v>0</v>
      </c>
      <c r="M50" s="439">
        <f t="shared" si="14"/>
        <v>0</v>
      </c>
      <c r="N50" s="439">
        <f t="shared" si="15"/>
        <v>0</v>
      </c>
      <c r="O50" s="439">
        <f t="shared" si="16"/>
        <v>1</v>
      </c>
      <c r="P50" s="319">
        <f t="shared" si="17"/>
        <v>1</v>
      </c>
    </row>
    <row r="51" spans="1:16">
      <c r="A51" s="328"/>
      <c r="B51" s="308" t="s">
        <v>26</v>
      </c>
      <c r="C51" s="447"/>
      <c r="D51" s="447"/>
      <c r="E51" s="447"/>
      <c r="F51" s="447"/>
      <c r="G51" s="447"/>
      <c r="H51" s="447"/>
      <c r="I51" s="448"/>
      <c r="J51" s="444" t="e">
        <f t="shared" si="11"/>
        <v>#DIV/0!</v>
      </c>
      <c r="K51" s="445" t="e">
        <f t="shared" si="12"/>
        <v>#DIV/0!</v>
      </c>
      <c r="L51" s="445" t="e">
        <f t="shared" si="13"/>
        <v>#DIV/0!</v>
      </c>
      <c r="M51" s="445" t="e">
        <f t="shared" si="14"/>
        <v>#DIV/0!</v>
      </c>
      <c r="N51" s="445" t="e">
        <f t="shared" si="15"/>
        <v>#DIV/0!</v>
      </c>
      <c r="O51" s="445" t="e">
        <f t="shared" si="16"/>
        <v>#DIV/0!</v>
      </c>
      <c r="P51" s="446" t="e">
        <f t="shared" si="17"/>
        <v>#DIV/0!</v>
      </c>
    </row>
    <row r="52" spans="1:16">
      <c r="A52" s="309" t="s">
        <v>6</v>
      </c>
      <c r="B52" s="307" t="s">
        <v>19</v>
      </c>
      <c r="C52" s="316">
        <v>1851</v>
      </c>
      <c r="D52" s="316">
        <v>1306</v>
      </c>
      <c r="E52" s="316">
        <v>923</v>
      </c>
      <c r="F52" s="316">
        <v>139</v>
      </c>
      <c r="G52" s="316">
        <v>51</v>
      </c>
      <c r="H52" s="316">
        <v>0</v>
      </c>
      <c r="I52" s="317">
        <v>4270</v>
      </c>
      <c r="J52" s="318">
        <f t="shared" ref="J52:P55" si="19">C52/$I52</f>
        <v>0.43348946135831384</v>
      </c>
      <c r="K52" s="318">
        <f t="shared" si="19"/>
        <v>0.30585480093676815</v>
      </c>
      <c r="L52" s="318">
        <f t="shared" si="19"/>
        <v>0.21615925058548011</v>
      </c>
      <c r="M52" s="318">
        <f t="shared" si="19"/>
        <v>3.2552693208430912E-2</v>
      </c>
      <c r="N52" s="318">
        <f t="shared" si="19"/>
        <v>1.1943793911007026E-2</v>
      </c>
      <c r="O52" s="318">
        <f t="shared" si="19"/>
        <v>0</v>
      </c>
      <c r="P52" s="319">
        <f t="shared" si="19"/>
        <v>1</v>
      </c>
    </row>
    <row r="53" spans="1:16">
      <c r="A53" s="309"/>
      <c r="B53" s="307" t="s">
        <v>20</v>
      </c>
      <c r="C53" s="316">
        <v>379</v>
      </c>
      <c r="D53" s="316">
        <v>369</v>
      </c>
      <c r="E53" s="316">
        <v>342</v>
      </c>
      <c r="F53" s="316">
        <v>123</v>
      </c>
      <c r="G53" s="316">
        <v>10</v>
      </c>
      <c r="H53" s="316">
        <v>0</v>
      </c>
      <c r="I53" s="317">
        <v>1223</v>
      </c>
      <c r="J53" s="318">
        <f t="shared" si="19"/>
        <v>0.30989370400654132</v>
      </c>
      <c r="K53" s="318">
        <f t="shared" si="19"/>
        <v>0.3017170891251022</v>
      </c>
      <c r="L53" s="318">
        <f t="shared" si="19"/>
        <v>0.27964022894521667</v>
      </c>
      <c r="M53" s="318">
        <f t="shared" si="19"/>
        <v>0.10057236304170074</v>
      </c>
      <c r="N53" s="318">
        <f t="shared" si="19"/>
        <v>8.1766148814390836E-3</v>
      </c>
      <c r="O53" s="318">
        <f t="shared" si="19"/>
        <v>0</v>
      </c>
      <c r="P53" s="319">
        <f t="shared" si="19"/>
        <v>1</v>
      </c>
    </row>
    <row r="54" spans="1:16">
      <c r="A54" s="309"/>
      <c r="B54" s="307" t="s">
        <v>21</v>
      </c>
      <c r="C54" s="316">
        <v>227</v>
      </c>
      <c r="D54" s="316">
        <v>346</v>
      </c>
      <c r="E54" s="316">
        <v>303</v>
      </c>
      <c r="F54" s="316">
        <v>138</v>
      </c>
      <c r="G54" s="316">
        <v>6</v>
      </c>
      <c r="H54" s="316">
        <v>0</v>
      </c>
      <c r="I54" s="317">
        <v>1020</v>
      </c>
      <c r="J54" s="318">
        <f t="shared" si="19"/>
        <v>0.22254901960784312</v>
      </c>
      <c r="K54" s="318">
        <f t="shared" si="19"/>
        <v>0.33921568627450982</v>
      </c>
      <c r="L54" s="318">
        <f t="shared" si="19"/>
        <v>0.29705882352941176</v>
      </c>
      <c r="M54" s="318">
        <f t="shared" si="19"/>
        <v>0.13529411764705881</v>
      </c>
      <c r="N54" s="318">
        <f t="shared" si="19"/>
        <v>5.8823529411764705E-3</v>
      </c>
      <c r="O54" s="318">
        <f t="shared" si="19"/>
        <v>0</v>
      </c>
      <c r="P54" s="319">
        <f t="shared" si="19"/>
        <v>1</v>
      </c>
    </row>
    <row r="55" spans="1:16">
      <c r="A55" s="309"/>
      <c r="B55" s="307" t="s">
        <v>22</v>
      </c>
      <c r="C55" s="316">
        <v>187</v>
      </c>
      <c r="D55" s="316">
        <v>211</v>
      </c>
      <c r="E55" s="316">
        <v>242</v>
      </c>
      <c r="F55" s="316">
        <v>69</v>
      </c>
      <c r="G55" s="316">
        <v>15</v>
      </c>
      <c r="H55" s="316">
        <v>0</v>
      </c>
      <c r="I55" s="317">
        <v>724</v>
      </c>
      <c r="J55" s="318">
        <f t="shared" si="19"/>
        <v>0.25828729281767954</v>
      </c>
      <c r="K55" s="318">
        <f t="shared" si="19"/>
        <v>0.2914364640883978</v>
      </c>
      <c r="L55" s="318">
        <f t="shared" si="19"/>
        <v>0.33425414364640882</v>
      </c>
      <c r="M55" s="318">
        <f t="shared" si="19"/>
        <v>9.5303867403314924E-2</v>
      </c>
      <c r="N55" s="318">
        <f t="shared" si="19"/>
        <v>2.0718232044198894E-2</v>
      </c>
      <c r="O55" s="318">
        <f t="shared" si="19"/>
        <v>0</v>
      </c>
      <c r="P55" s="319">
        <f t="shared" si="19"/>
        <v>1</v>
      </c>
    </row>
    <row r="56" spans="1:16">
      <c r="A56" s="309"/>
      <c r="B56" s="307" t="s">
        <v>23</v>
      </c>
      <c r="C56" s="316">
        <v>0</v>
      </c>
      <c r="D56" s="316">
        <v>0</v>
      </c>
      <c r="E56" s="316">
        <v>0</v>
      </c>
      <c r="F56" s="316">
        <v>0</v>
      </c>
      <c r="G56" s="316">
        <v>0</v>
      </c>
      <c r="H56" s="316">
        <v>0</v>
      </c>
      <c r="I56" s="317">
        <v>0</v>
      </c>
      <c r="J56" s="318"/>
      <c r="K56" s="318"/>
      <c r="L56" s="318"/>
      <c r="M56" s="318"/>
      <c r="N56" s="318"/>
      <c r="O56" s="318"/>
      <c r="P56" s="319"/>
    </row>
    <row r="57" spans="1:16">
      <c r="A57" s="309"/>
      <c r="B57" s="307" t="s">
        <v>24</v>
      </c>
      <c r="C57" s="316">
        <v>0</v>
      </c>
      <c r="D57" s="316">
        <v>0</v>
      </c>
      <c r="E57" s="316">
        <v>0</v>
      </c>
      <c r="F57" s="316">
        <v>0</v>
      </c>
      <c r="G57" s="316">
        <v>0</v>
      </c>
      <c r="H57" s="316">
        <v>0</v>
      </c>
      <c r="I57" s="317">
        <v>0</v>
      </c>
      <c r="J57" s="318"/>
      <c r="K57" s="318"/>
      <c r="L57" s="318"/>
      <c r="M57" s="318"/>
      <c r="N57" s="318"/>
      <c r="O57" s="318"/>
      <c r="P57" s="319"/>
    </row>
    <row r="58" spans="1:16">
      <c r="A58" s="309"/>
      <c r="B58" s="320" t="s">
        <v>116</v>
      </c>
      <c r="C58" s="321">
        <v>2644</v>
      </c>
      <c r="D58" s="321">
        <v>2232</v>
      </c>
      <c r="E58" s="321">
        <v>1810</v>
      </c>
      <c r="F58" s="321">
        <v>469</v>
      </c>
      <c r="G58" s="321">
        <v>82</v>
      </c>
      <c r="H58" s="321">
        <v>0</v>
      </c>
      <c r="I58" s="322">
        <v>7237</v>
      </c>
      <c r="J58" s="323">
        <f t="shared" ref="J58:P59" si="20">C58/$I58</f>
        <v>0.36534475611441203</v>
      </c>
      <c r="K58" s="323">
        <f t="shared" si="20"/>
        <v>0.30841508912532817</v>
      </c>
      <c r="L58" s="323">
        <f t="shared" si="20"/>
        <v>0.25010363410252867</v>
      </c>
      <c r="M58" s="323">
        <f t="shared" si="20"/>
        <v>6.4805858781262951E-2</v>
      </c>
      <c r="N58" s="323">
        <f t="shared" si="20"/>
        <v>1.133066187646815E-2</v>
      </c>
      <c r="O58" s="323">
        <f t="shared" si="20"/>
        <v>0</v>
      </c>
      <c r="P58" s="323">
        <f t="shared" si="20"/>
        <v>1</v>
      </c>
    </row>
    <row r="59" spans="1:16">
      <c r="A59" s="309"/>
      <c r="B59" s="307" t="s">
        <v>25</v>
      </c>
      <c r="C59" s="316">
        <v>0</v>
      </c>
      <c r="D59" s="316">
        <v>0</v>
      </c>
      <c r="E59" s="316">
        <v>0</v>
      </c>
      <c r="F59" s="316">
        <v>0</v>
      </c>
      <c r="G59" s="316">
        <v>0</v>
      </c>
      <c r="H59" s="316">
        <v>4559</v>
      </c>
      <c r="I59" s="317">
        <v>4559</v>
      </c>
      <c r="J59" s="318">
        <f t="shared" si="20"/>
        <v>0</v>
      </c>
      <c r="K59" s="318">
        <f t="shared" si="20"/>
        <v>0</v>
      </c>
      <c r="L59" s="318">
        <f t="shared" si="20"/>
        <v>0</v>
      </c>
      <c r="M59" s="318">
        <f t="shared" si="20"/>
        <v>0</v>
      </c>
      <c r="N59" s="318">
        <f t="shared" si="20"/>
        <v>0</v>
      </c>
      <c r="O59" s="318">
        <f t="shared" si="20"/>
        <v>1</v>
      </c>
      <c r="P59" s="319">
        <f t="shared" si="20"/>
        <v>1</v>
      </c>
    </row>
    <row r="60" spans="1:16">
      <c r="A60" s="328"/>
      <c r="B60" s="308" t="s">
        <v>26</v>
      </c>
      <c r="C60" s="324">
        <v>0</v>
      </c>
      <c r="D60" s="324">
        <v>0</v>
      </c>
      <c r="E60" s="324">
        <v>0</v>
      </c>
      <c r="F60" s="324">
        <v>0</v>
      </c>
      <c r="G60" s="324">
        <v>0</v>
      </c>
      <c r="H60" s="324">
        <v>0</v>
      </c>
      <c r="I60" s="325">
        <v>0</v>
      </c>
      <c r="J60" s="326"/>
      <c r="K60" s="326"/>
      <c r="L60" s="326"/>
      <c r="M60" s="326"/>
      <c r="N60" s="326"/>
      <c r="O60" s="326"/>
      <c r="P60" s="327"/>
    </row>
    <row r="61" spans="1:16">
      <c r="A61" s="309" t="s">
        <v>7</v>
      </c>
      <c r="B61" s="307" t="s">
        <v>19</v>
      </c>
      <c r="C61" s="316">
        <v>886</v>
      </c>
      <c r="D61" s="316">
        <v>770</v>
      </c>
      <c r="E61" s="316">
        <v>493</v>
      </c>
      <c r="F61" s="316">
        <v>79</v>
      </c>
      <c r="G61" s="316">
        <v>131</v>
      </c>
      <c r="H61" s="316">
        <v>0</v>
      </c>
      <c r="I61" s="317">
        <v>2359</v>
      </c>
      <c r="J61" s="318">
        <f t="shared" ref="J61:J77" si="21">C61/$I61</f>
        <v>0.37558287409919455</v>
      </c>
      <c r="K61" s="318">
        <f t="shared" ref="K61:K77" si="22">D61/$I61</f>
        <v>0.32640949554896143</v>
      </c>
      <c r="L61" s="318">
        <f t="shared" ref="L61:L77" si="23">E61/$I61</f>
        <v>0.20898685883849089</v>
      </c>
      <c r="M61" s="318">
        <f t="shared" ref="M61:M77" si="24">F61/$I61</f>
        <v>3.3488766426451884E-2</v>
      </c>
      <c r="N61" s="318">
        <f t="shared" ref="N61:N77" si="25">G61/$I61</f>
        <v>5.5532005086901232E-2</v>
      </c>
      <c r="O61" s="318">
        <f t="shared" ref="O61:O77" si="26">H61/$I61</f>
        <v>0</v>
      </c>
      <c r="P61" s="319">
        <f t="shared" ref="P61:P77" si="27">I61/$I61</f>
        <v>1</v>
      </c>
    </row>
    <row r="62" spans="1:16">
      <c r="A62" s="309"/>
      <c r="B62" s="307" t="s">
        <v>20</v>
      </c>
      <c r="C62" s="316">
        <v>275</v>
      </c>
      <c r="D62" s="316">
        <v>242</v>
      </c>
      <c r="E62" s="316">
        <v>172</v>
      </c>
      <c r="F62" s="316">
        <v>25</v>
      </c>
      <c r="G62" s="316">
        <v>1</v>
      </c>
      <c r="H62" s="316">
        <v>0</v>
      </c>
      <c r="I62" s="317">
        <v>715</v>
      </c>
      <c r="J62" s="318">
        <f t="shared" si="21"/>
        <v>0.38461538461538464</v>
      </c>
      <c r="K62" s="318">
        <f t="shared" si="22"/>
        <v>0.33846153846153848</v>
      </c>
      <c r="L62" s="318">
        <f t="shared" si="23"/>
        <v>0.24055944055944056</v>
      </c>
      <c r="M62" s="318">
        <f t="shared" si="24"/>
        <v>3.4965034965034968E-2</v>
      </c>
      <c r="N62" s="318">
        <f t="shared" si="25"/>
        <v>1.3986013986013986E-3</v>
      </c>
      <c r="O62" s="318">
        <f t="shared" si="26"/>
        <v>0</v>
      </c>
      <c r="P62" s="319">
        <f t="shared" si="27"/>
        <v>1</v>
      </c>
    </row>
    <row r="63" spans="1:16">
      <c r="A63" s="309"/>
      <c r="B63" s="307" t="s">
        <v>21</v>
      </c>
      <c r="C63" s="316">
        <v>118</v>
      </c>
      <c r="D63" s="316">
        <v>152</v>
      </c>
      <c r="E63" s="316">
        <v>219</v>
      </c>
      <c r="F63" s="316">
        <v>70</v>
      </c>
      <c r="G63" s="316">
        <v>0</v>
      </c>
      <c r="H63" s="316">
        <v>0</v>
      </c>
      <c r="I63" s="317">
        <v>559</v>
      </c>
      <c r="J63" s="318">
        <f t="shared" si="21"/>
        <v>0.2110912343470483</v>
      </c>
      <c r="K63" s="318">
        <f t="shared" si="22"/>
        <v>0.27191413237924866</v>
      </c>
      <c r="L63" s="318">
        <f t="shared" si="23"/>
        <v>0.39177101967799643</v>
      </c>
      <c r="M63" s="318">
        <f t="shared" si="24"/>
        <v>0.12522361359570661</v>
      </c>
      <c r="N63" s="318">
        <f t="shared" si="25"/>
        <v>0</v>
      </c>
      <c r="O63" s="318">
        <f t="shared" si="26"/>
        <v>0</v>
      </c>
      <c r="P63" s="319">
        <f t="shared" si="27"/>
        <v>1</v>
      </c>
    </row>
    <row r="64" spans="1:16">
      <c r="A64" s="309"/>
      <c r="B64" s="307" t="s">
        <v>22</v>
      </c>
      <c r="C64" s="316">
        <v>288</v>
      </c>
      <c r="D64" s="316">
        <v>242</v>
      </c>
      <c r="E64" s="316">
        <v>363</v>
      </c>
      <c r="F64" s="316">
        <v>53</v>
      </c>
      <c r="G64" s="316">
        <v>0</v>
      </c>
      <c r="H64" s="316">
        <v>0</v>
      </c>
      <c r="I64" s="317">
        <v>946</v>
      </c>
      <c r="J64" s="318">
        <f t="shared" si="21"/>
        <v>0.30443974630021142</v>
      </c>
      <c r="K64" s="318">
        <f t="shared" si="22"/>
        <v>0.2558139534883721</v>
      </c>
      <c r="L64" s="318">
        <f t="shared" si="23"/>
        <v>0.38372093023255816</v>
      </c>
      <c r="M64" s="318">
        <f t="shared" si="24"/>
        <v>5.6025369978858354E-2</v>
      </c>
      <c r="N64" s="318">
        <f t="shared" si="25"/>
        <v>0</v>
      </c>
      <c r="O64" s="318">
        <f t="shared" si="26"/>
        <v>0</v>
      </c>
      <c r="P64" s="319">
        <f t="shared" si="27"/>
        <v>1</v>
      </c>
    </row>
    <row r="65" spans="1:16">
      <c r="A65" s="309"/>
      <c r="B65" s="307" t="s">
        <v>23</v>
      </c>
      <c r="C65" s="316">
        <v>240</v>
      </c>
      <c r="D65" s="316">
        <v>304</v>
      </c>
      <c r="E65" s="316">
        <v>358</v>
      </c>
      <c r="F65" s="316">
        <v>62</v>
      </c>
      <c r="G65" s="316">
        <v>0</v>
      </c>
      <c r="H65" s="316">
        <v>0</v>
      </c>
      <c r="I65" s="317">
        <v>964</v>
      </c>
      <c r="J65" s="318">
        <f t="shared" si="21"/>
        <v>0.24896265560165975</v>
      </c>
      <c r="K65" s="318">
        <f t="shared" si="22"/>
        <v>0.31535269709543567</v>
      </c>
      <c r="L65" s="318">
        <f t="shared" si="23"/>
        <v>0.37136929460580914</v>
      </c>
      <c r="M65" s="318">
        <f t="shared" si="24"/>
        <v>6.4315352697095429E-2</v>
      </c>
      <c r="N65" s="318">
        <f t="shared" si="25"/>
        <v>0</v>
      </c>
      <c r="O65" s="318">
        <f t="shared" si="26"/>
        <v>0</v>
      </c>
      <c r="P65" s="319">
        <f t="shared" si="27"/>
        <v>1</v>
      </c>
    </row>
    <row r="66" spans="1:16">
      <c r="A66" s="309"/>
      <c r="B66" s="307" t="s">
        <v>24</v>
      </c>
      <c r="C66" s="316">
        <v>109</v>
      </c>
      <c r="D66" s="316">
        <v>130</v>
      </c>
      <c r="E66" s="316">
        <v>191</v>
      </c>
      <c r="F66" s="316">
        <v>23</v>
      </c>
      <c r="G66" s="316">
        <v>0</v>
      </c>
      <c r="H66" s="316">
        <v>0</v>
      </c>
      <c r="I66" s="317">
        <v>453</v>
      </c>
      <c r="J66" s="318">
        <f t="shared" si="21"/>
        <v>0.24061810154525387</v>
      </c>
      <c r="K66" s="318">
        <f t="shared" si="22"/>
        <v>0.28697571743929362</v>
      </c>
      <c r="L66" s="318">
        <f t="shared" si="23"/>
        <v>0.4216335540838852</v>
      </c>
      <c r="M66" s="318">
        <f t="shared" si="24"/>
        <v>5.0772626931567331E-2</v>
      </c>
      <c r="N66" s="318">
        <f t="shared" si="25"/>
        <v>0</v>
      </c>
      <c r="O66" s="318">
        <f t="shared" si="26"/>
        <v>0</v>
      </c>
      <c r="P66" s="319">
        <f t="shared" si="27"/>
        <v>1</v>
      </c>
    </row>
    <row r="67" spans="1:16">
      <c r="A67" s="309"/>
      <c r="B67" s="320" t="s">
        <v>116</v>
      </c>
      <c r="C67" s="321">
        <v>1916</v>
      </c>
      <c r="D67" s="321">
        <v>1840</v>
      </c>
      <c r="E67" s="321">
        <v>1796</v>
      </c>
      <c r="F67" s="321">
        <v>312</v>
      </c>
      <c r="G67" s="321">
        <v>132</v>
      </c>
      <c r="H67" s="321">
        <v>0</v>
      </c>
      <c r="I67" s="322">
        <v>5996</v>
      </c>
      <c r="J67" s="323">
        <f t="shared" si="21"/>
        <v>0.31954636424282856</v>
      </c>
      <c r="K67" s="323">
        <f t="shared" si="22"/>
        <v>0.30687124749833222</v>
      </c>
      <c r="L67" s="323">
        <f t="shared" si="23"/>
        <v>0.29953302201467646</v>
      </c>
      <c r="M67" s="323">
        <f t="shared" si="24"/>
        <v>5.2034689793195463E-2</v>
      </c>
      <c r="N67" s="323">
        <f t="shared" si="25"/>
        <v>2.2014676450967312E-2</v>
      </c>
      <c r="O67" s="323">
        <f t="shared" si="26"/>
        <v>0</v>
      </c>
      <c r="P67" s="323">
        <f t="shared" si="27"/>
        <v>1</v>
      </c>
    </row>
    <row r="68" spans="1:16">
      <c r="A68" s="309"/>
      <c r="B68" s="307" t="s">
        <v>25</v>
      </c>
      <c r="C68" s="316">
        <v>159</v>
      </c>
      <c r="D68" s="316">
        <v>302</v>
      </c>
      <c r="E68" s="316">
        <v>520</v>
      </c>
      <c r="F68" s="316">
        <v>173</v>
      </c>
      <c r="G68" s="316">
        <v>0</v>
      </c>
      <c r="H68" s="316">
        <v>0</v>
      </c>
      <c r="I68" s="317">
        <v>1154</v>
      </c>
      <c r="J68" s="318">
        <f t="shared" si="21"/>
        <v>0.13778162911611785</v>
      </c>
      <c r="K68" s="318">
        <f t="shared" si="22"/>
        <v>0.26169844020797228</v>
      </c>
      <c r="L68" s="318">
        <f t="shared" si="23"/>
        <v>0.4506065857885615</v>
      </c>
      <c r="M68" s="318">
        <f t="shared" si="24"/>
        <v>0.14991334488734837</v>
      </c>
      <c r="N68" s="318">
        <f t="shared" si="25"/>
        <v>0</v>
      </c>
      <c r="O68" s="318">
        <f t="shared" si="26"/>
        <v>0</v>
      </c>
      <c r="P68" s="319">
        <f t="shared" si="27"/>
        <v>1</v>
      </c>
    </row>
    <row r="69" spans="1:16">
      <c r="A69" s="328"/>
      <c r="B69" s="308" t="s">
        <v>26</v>
      </c>
      <c r="C69" s="324">
        <v>0</v>
      </c>
      <c r="D69" s="324">
        <v>0</v>
      </c>
      <c r="E69" s="324">
        <v>0</v>
      </c>
      <c r="F69" s="324">
        <v>0</v>
      </c>
      <c r="G69" s="324">
        <v>0</v>
      </c>
      <c r="H69" s="324">
        <v>1524</v>
      </c>
      <c r="I69" s="325">
        <v>1524</v>
      </c>
      <c r="J69" s="326">
        <f t="shared" si="21"/>
        <v>0</v>
      </c>
      <c r="K69" s="326">
        <f t="shared" si="22"/>
        <v>0</v>
      </c>
      <c r="L69" s="326">
        <f t="shared" si="23"/>
        <v>0</v>
      </c>
      <c r="M69" s="326">
        <f t="shared" si="24"/>
        <v>0</v>
      </c>
      <c r="N69" s="326">
        <f t="shared" si="25"/>
        <v>0</v>
      </c>
      <c r="O69" s="326">
        <f t="shared" si="26"/>
        <v>1</v>
      </c>
      <c r="P69" s="327">
        <f t="shared" si="27"/>
        <v>1</v>
      </c>
    </row>
    <row r="70" spans="1:16">
      <c r="A70" s="309" t="s">
        <v>8</v>
      </c>
      <c r="B70" s="307" t="s">
        <v>19</v>
      </c>
      <c r="C70" s="316">
        <v>489</v>
      </c>
      <c r="D70" s="316">
        <v>470</v>
      </c>
      <c r="E70" s="316">
        <v>270</v>
      </c>
      <c r="F70" s="316">
        <v>10</v>
      </c>
      <c r="G70" s="316">
        <v>0</v>
      </c>
      <c r="H70" s="316">
        <v>0</v>
      </c>
      <c r="I70" s="317">
        <v>1239</v>
      </c>
      <c r="J70" s="318">
        <f t="shared" si="21"/>
        <v>0.39467312348668282</v>
      </c>
      <c r="K70" s="318">
        <f t="shared" si="22"/>
        <v>0.37933817594834546</v>
      </c>
      <c r="L70" s="318">
        <f t="shared" si="23"/>
        <v>0.21791767554479419</v>
      </c>
      <c r="M70" s="318">
        <f t="shared" si="24"/>
        <v>8.0710250201775618E-3</v>
      </c>
      <c r="N70" s="318">
        <f t="shared" si="25"/>
        <v>0</v>
      </c>
      <c r="O70" s="318">
        <f t="shared" si="26"/>
        <v>0</v>
      </c>
      <c r="P70" s="319">
        <f t="shared" si="27"/>
        <v>1</v>
      </c>
    </row>
    <row r="71" spans="1:16">
      <c r="A71" s="309"/>
      <c r="B71" s="307" t="s">
        <v>20</v>
      </c>
      <c r="C71" s="316">
        <v>290</v>
      </c>
      <c r="D71" s="316">
        <v>210</v>
      </c>
      <c r="E71" s="316">
        <v>154</v>
      </c>
      <c r="F71" s="316">
        <v>14</v>
      </c>
      <c r="G71" s="316">
        <v>23</v>
      </c>
      <c r="H71" s="316">
        <v>0</v>
      </c>
      <c r="I71" s="317">
        <v>691</v>
      </c>
      <c r="J71" s="318">
        <f t="shared" si="21"/>
        <v>0.41968162083936322</v>
      </c>
      <c r="K71" s="318">
        <f t="shared" si="22"/>
        <v>0.30390738060781475</v>
      </c>
      <c r="L71" s="318">
        <f t="shared" si="23"/>
        <v>0.22286541244573083</v>
      </c>
      <c r="M71" s="318">
        <f t="shared" si="24"/>
        <v>2.0260492040520984E-2</v>
      </c>
      <c r="N71" s="318">
        <f t="shared" si="25"/>
        <v>3.3285094066570188E-2</v>
      </c>
      <c r="O71" s="318">
        <f t="shared" si="26"/>
        <v>0</v>
      </c>
      <c r="P71" s="319">
        <f t="shared" si="27"/>
        <v>1</v>
      </c>
    </row>
    <row r="72" spans="1:16">
      <c r="A72" s="309"/>
      <c r="B72" s="307" t="s">
        <v>21</v>
      </c>
      <c r="C72" s="316">
        <v>533</v>
      </c>
      <c r="D72" s="316">
        <v>386</v>
      </c>
      <c r="E72" s="316">
        <v>435</v>
      </c>
      <c r="F72" s="316">
        <v>72</v>
      </c>
      <c r="G72" s="316">
        <v>44</v>
      </c>
      <c r="H72" s="316">
        <v>0</v>
      </c>
      <c r="I72" s="317">
        <v>1470</v>
      </c>
      <c r="J72" s="318">
        <f t="shared" si="21"/>
        <v>0.36258503401360542</v>
      </c>
      <c r="K72" s="318">
        <f t="shared" si="22"/>
        <v>0.26258503401360545</v>
      </c>
      <c r="L72" s="318">
        <f t="shared" si="23"/>
        <v>0.29591836734693877</v>
      </c>
      <c r="M72" s="318">
        <f t="shared" si="24"/>
        <v>4.8979591836734691E-2</v>
      </c>
      <c r="N72" s="318">
        <f t="shared" si="25"/>
        <v>2.9931972789115645E-2</v>
      </c>
      <c r="O72" s="318">
        <f t="shared" si="26"/>
        <v>0</v>
      </c>
      <c r="P72" s="319">
        <f t="shared" si="27"/>
        <v>1</v>
      </c>
    </row>
    <row r="73" spans="1:16">
      <c r="A73" s="309"/>
      <c r="B73" s="307" t="s">
        <v>22</v>
      </c>
      <c r="C73" s="316">
        <v>77</v>
      </c>
      <c r="D73" s="316">
        <v>83</v>
      </c>
      <c r="E73" s="316">
        <v>144</v>
      </c>
      <c r="F73" s="316">
        <v>22</v>
      </c>
      <c r="G73" s="316">
        <v>0</v>
      </c>
      <c r="H73" s="316">
        <v>0</v>
      </c>
      <c r="I73" s="317">
        <v>326</v>
      </c>
      <c r="J73" s="318">
        <f t="shared" si="21"/>
        <v>0.2361963190184049</v>
      </c>
      <c r="K73" s="318">
        <f t="shared" si="22"/>
        <v>0.254601226993865</v>
      </c>
      <c r="L73" s="318">
        <f t="shared" si="23"/>
        <v>0.44171779141104295</v>
      </c>
      <c r="M73" s="318">
        <f t="shared" si="24"/>
        <v>6.7484662576687116E-2</v>
      </c>
      <c r="N73" s="318">
        <f t="shared" si="25"/>
        <v>0</v>
      </c>
      <c r="O73" s="318">
        <f t="shared" si="26"/>
        <v>0</v>
      </c>
      <c r="P73" s="319">
        <f t="shared" si="27"/>
        <v>1</v>
      </c>
    </row>
    <row r="74" spans="1:16">
      <c r="A74" s="309"/>
      <c r="B74" s="307" t="s">
        <v>23</v>
      </c>
      <c r="C74" s="316">
        <v>98</v>
      </c>
      <c r="D74" s="316">
        <v>119</v>
      </c>
      <c r="E74" s="316">
        <v>84</v>
      </c>
      <c r="F74" s="316">
        <v>5</v>
      </c>
      <c r="G74" s="316">
        <v>67</v>
      </c>
      <c r="H74" s="316">
        <v>0</v>
      </c>
      <c r="I74" s="317">
        <v>373</v>
      </c>
      <c r="J74" s="318">
        <f t="shared" si="21"/>
        <v>0.26273458445040215</v>
      </c>
      <c r="K74" s="318">
        <f t="shared" si="22"/>
        <v>0.31903485254691688</v>
      </c>
      <c r="L74" s="318">
        <f t="shared" si="23"/>
        <v>0.22520107238605899</v>
      </c>
      <c r="M74" s="318">
        <f t="shared" si="24"/>
        <v>1.3404825737265416E-2</v>
      </c>
      <c r="N74" s="318">
        <f t="shared" si="25"/>
        <v>0.17962466487935658</v>
      </c>
      <c r="O74" s="318">
        <f t="shared" si="26"/>
        <v>0</v>
      </c>
      <c r="P74" s="319">
        <f t="shared" si="27"/>
        <v>1</v>
      </c>
    </row>
    <row r="75" spans="1:16">
      <c r="A75" s="309"/>
      <c r="B75" s="307" t="s">
        <v>24</v>
      </c>
      <c r="C75" s="316">
        <v>24</v>
      </c>
      <c r="D75" s="316">
        <v>40</v>
      </c>
      <c r="E75" s="316">
        <v>47</v>
      </c>
      <c r="F75" s="316">
        <v>9</v>
      </c>
      <c r="G75" s="316">
        <v>3</v>
      </c>
      <c r="H75" s="316">
        <v>0</v>
      </c>
      <c r="I75" s="317">
        <v>123</v>
      </c>
      <c r="J75" s="318">
        <f t="shared" si="21"/>
        <v>0.1951219512195122</v>
      </c>
      <c r="K75" s="318">
        <f t="shared" si="22"/>
        <v>0.32520325203252032</v>
      </c>
      <c r="L75" s="318">
        <f t="shared" si="23"/>
        <v>0.38211382113821141</v>
      </c>
      <c r="M75" s="318">
        <f t="shared" si="24"/>
        <v>7.3170731707317069E-2</v>
      </c>
      <c r="N75" s="318">
        <f t="shared" si="25"/>
        <v>2.4390243902439025E-2</v>
      </c>
      <c r="O75" s="318">
        <f t="shared" si="26"/>
        <v>0</v>
      </c>
      <c r="P75" s="319">
        <f t="shared" si="27"/>
        <v>1</v>
      </c>
    </row>
    <row r="76" spans="1:16">
      <c r="A76" s="309"/>
      <c r="B76" s="320" t="s">
        <v>116</v>
      </c>
      <c r="C76" s="321">
        <v>1511</v>
      </c>
      <c r="D76" s="321">
        <v>1308</v>
      </c>
      <c r="E76" s="321">
        <v>1134</v>
      </c>
      <c r="F76" s="321">
        <v>132</v>
      </c>
      <c r="G76" s="321">
        <v>137</v>
      </c>
      <c r="H76" s="321">
        <v>0</v>
      </c>
      <c r="I76" s="322">
        <v>4222</v>
      </c>
      <c r="J76" s="323">
        <f t="shared" si="21"/>
        <v>0.35788725722406445</v>
      </c>
      <c r="K76" s="323">
        <f t="shared" si="22"/>
        <v>0.30980577925153957</v>
      </c>
      <c r="L76" s="323">
        <f t="shared" si="23"/>
        <v>0.26859308384651825</v>
      </c>
      <c r="M76" s="323">
        <f t="shared" si="24"/>
        <v>3.1264803410705824E-2</v>
      </c>
      <c r="N76" s="323">
        <f t="shared" si="25"/>
        <v>3.2449076267171958E-2</v>
      </c>
      <c r="O76" s="323">
        <f t="shared" si="26"/>
        <v>0</v>
      </c>
      <c r="P76" s="323">
        <f t="shared" si="27"/>
        <v>1</v>
      </c>
    </row>
    <row r="77" spans="1:16">
      <c r="A77" s="309"/>
      <c r="B77" s="307" t="s">
        <v>25</v>
      </c>
      <c r="C77" s="316">
        <v>229</v>
      </c>
      <c r="D77" s="316">
        <v>450</v>
      </c>
      <c r="E77" s="316">
        <v>246</v>
      </c>
      <c r="F77" s="316">
        <v>92</v>
      </c>
      <c r="G77" s="316">
        <v>0</v>
      </c>
      <c r="H77" s="316">
        <v>0</v>
      </c>
      <c r="I77" s="317">
        <v>1017</v>
      </c>
      <c r="J77" s="318">
        <f t="shared" si="21"/>
        <v>0.22517207472959685</v>
      </c>
      <c r="K77" s="318">
        <f t="shared" si="22"/>
        <v>0.44247787610619471</v>
      </c>
      <c r="L77" s="318">
        <f t="shared" si="23"/>
        <v>0.24188790560471976</v>
      </c>
      <c r="M77" s="318">
        <f t="shared" si="24"/>
        <v>9.0462143559488686E-2</v>
      </c>
      <c r="N77" s="318">
        <f t="shared" si="25"/>
        <v>0</v>
      </c>
      <c r="O77" s="318">
        <f t="shared" si="26"/>
        <v>0</v>
      </c>
      <c r="P77" s="319">
        <f t="shared" si="27"/>
        <v>1</v>
      </c>
    </row>
    <row r="78" spans="1:16">
      <c r="A78" s="328"/>
      <c r="B78" s="308" t="s">
        <v>26</v>
      </c>
      <c r="C78" s="324">
        <v>0</v>
      </c>
      <c r="D78" s="324">
        <v>0</v>
      </c>
      <c r="E78" s="324">
        <v>0</v>
      </c>
      <c r="F78" s="324">
        <v>0</v>
      </c>
      <c r="G78" s="324">
        <v>0</v>
      </c>
      <c r="H78" s="324">
        <v>0</v>
      </c>
      <c r="I78" s="325">
        <v>0</v>
      </c>
      <c r="J78" s="326"/>
      <c r="K78" s="326"/>
      <c r="L78" s="326"/>
      <c r="M78" s="326"/>
      <c r="N78" s="326"/>
      <c r="O78" s="326"/>
      <c r="P78" s="327"/>
    </row>
    <row r="79" spans="1:16">
      <c r="A79" s="309" t="s">
        <v>9</v>
      </c>
      <c r="B79" s="307" t="s">
        <v>19</v>
      </c>
      <c r="C79" s="316">
        <v>402</v>
      </c>
      <c r="D79" s="316">
        <v>295</v>
      </c>
      <c r="E79" s="316">
        <v>208</v>
      </c>
      <c r="F79" s="316">
        <v>169</v>
      </c>
      <c r="G79" s="316">
        <v>0</v>
      </c>
      <c r="H79" s="316">
        <v>0</v>
      </c>
      <c r="I79" s="317">
        <v>1074</v>
      </c>
      <c r="J79" s="318">
        <f t="shared" ref="J79:P83" si="28">C79/$I79</f>
        <v>0.37430167597765363</v>
      </c>
      <c r="K79" s="318">
        <f t="shared" si="28"/>
        <v>0.27467411545623838</v>
      </c>
      <c r="L79" s="318">
        <f t="shared" si="28"/>
        <v>0.19366852886405958</v>
      </c>
      <c r="M79" s="318">
        <f t="shared" si="28"/>
        <v>0.15735567970204842</v>
      </c>
      <c r="N79" s="318">
        <f t="shared" si="28"/>
        <v>0</v>
      </c>
      <c r="O79" s="318">
        <f t="shared" si="28"/>
        <v>0</v>
      </c>
      <c r="P79" s="319">
        <f t="shared" si="28"/>
        <v>1</v>
      </c>
    </row>
    <row r="80" spans="1:16">
      <c r="A80" s="309"/>
      <c r="B80" s="307" t="s">
        <v>20</v>
      </c>
      <c r="C80" s="316">
        <v>369</v>
      </c>
      <c r="D80" s="316">
        <v>292</v>
      </c>
      <c r="E80" s="316">
        <v>239</v>
      </c>
      <c r="F80" s="316">
        <v>163</v>
      </c>
      <c r="G80" s="316">
        <v>0</v>
      </c>
      <c r="H80" s="316">
        <v>0</v>
      </c>
      <c r="I80" s="317">
        <v>1063</v>
      </c>
      <c r="J80" s="318">
        <f t="shared" si="28"/>
        <v>0.34713076199435561</v>
      </c>
      <c r="K80" s="318">
        <f t="shared" si="28"/>
        <v>0.27469426152398874</v>
      </c>
      <c r="L80" s="318">
        <f t="shared" si="28"/>
        <v>0.22483537158984007</v>
      </c>
      <c r="M80" s="318">
        <f t="shared" si="28"/>
        <v>0.15333960489181561</v>
      </c>
      <c r="N80" s="318">
        <f t="shared" si="28"/>
        <v>0</v>
      </c>
      <c r="O80" s="318">
        <f t="shared" si="28"/>
        <v>0</v>
      </c>
      <c r="P80" s="319">
        <f t="shared" si="28"/>
        <v>1</v>
      </c>
    </row>
    <row r="81" spans="1:16">
      <c r="A81" s="309"/>
      <c r="B81" s="307" t="s">
        <v>21</v>
      </c>
      <c r="C81" s="316">
        <v>430</v>
      </c>
      <c r="D81" s="316">
        <v>386</v>
      </c>
      <c r="E81" s="316">
        <v>539</v>
      </c>
      <c r="F81" s="316">
        <v>205</v>
      </c>
      <c r="G81" s="316">
        <v>0</v>
      </c>
      <c r="H81" s="316">
        <v>0</v>
      </c>
      <c r="I81" s="317">
        <v>1560</v>
      </c>
      <c r="J81" s="318">
        <f t="shared" si="28"/>
        <v>0.27564102564102566</v>
      </c>
      <c r="K81" s="318">
        <f t="shared" si="28"/>
        <v>0.24743589743589745</v>
      </c>
      <c r="L81" s="318">
        <f t="shared" si="28"/>
        <v>0.34551282051282051</v>
      </c>
      <c r="M81" s="318">
        <f t="shared" si="28"/>
        <v>0.13141025641025642</v>
      </c>
      <c r="N81" s="318">
        <f t="shared" si="28"/>
        <v>0</v>
      </c>
      <c r="O81" s="318">
        <f t="shared" si="28"/>
        <v>0</v>
      </c>
      <c r="P81" s="319">
        <f t="shared" si="28"/>
        <v>1</v>
      </c>
    </row>
    <row r="82" spans="1:16">
      <c r="A82" s="309"/>
      <c r="B82" s="307" t="s">
        <v>22</v>
      </c>
      <c r="C82" s="316">
        <v>176</v>
      </c>
      <c r="D82" s="316">
        <v>215</v>
      </c>
      <c r="E82" s="316">
        <v>386</v>
      </c>
      <c r="F82" s="316">
        <v>175</v>
      </c>
      <c r="G82" s="316">
        <v>0</v>
      </c>
      <c r="H82" s="316">
        <v>0</v>
      </c>
      <c r="I82" s="317">
        <v>952</v>
      </c>
      <c r="J82" s="318">
        <f t="shared" si="28"/>
        <v>0.18487394957983194</v>
      </c>
      <c r="K82" s="318">
        <f t="shared" si="28"/>
        <v>0.22584033613445378</v>
      </c>
      <c r="L82" s="318">
        <f t="shared" si="28"/>
        <v>0.40546218487394958</v>
      </c>
      <c r="M82" s="318">
        <f t="shared" si="28"/>
        <v>0.18382352941176472</v>
      </c>
      <c r="N82" s="318">
        <f t="shared" si="28"/>
        <v>0</v>
      </c>
      <c r="O82" s="318">
        <f t="shared" si="28"/>
        <v>0</v>
      </c>
      <c r="P82" s="319">
        <f t="shared" si="28"/>
        <v>1</v>
      </c>
    </row>
    <row r="83" spans="1:16">
      <c r="A83" s="309"/>
      <c r="B83" s="307" t="s">
        <v>23</v>
      </c>
      <c r="C83" s="316">
        <v>141</v>
      </c>
      <c r="D83" s="316">
        <v>117</v>
      </c>
      <c r="E83" s="316">
        <v>184</v>
      </c>
      <c r="F83" s="316">
        <v>77</v>
      </c>
      <c r="G83" s="316">
        <v>0</v>
      </c>
      <c r="H83" s="316">
        <v>0</v>
      </c>
      <c r="I83" s="317">
        <v>519</v>
      </c>
      <c r="J83" s="318">
        <f t="shared" si="28"/>
        <v>0.27167630057803466</v>
      </c>
      <c r="K83" s="318">
        <f t="shared" si="28"/>
        <v>0.22543352601156069</v>
      </c>
      <c r="L83" s="318">
        <f t="shared" si="28"/>
        <v>0.35452793834296725</v>
      </c>
      <c r="M83" s="318">
        <f t="shared" si="28"/>
        <v>0.14836223506743737</v>
      </c>
      <c r="N83" s="318">
        <f t="shared" si="28"/>
        <v>0</v>
      </c>
      <c r="O83" s="318">
        <f t="shared" si="28"/>
        <v>0</v>
      </c>
      <c r="P83" s="319">
        <f t="shared" si="28"/>
        <v>1</v>
      </c>
    </row>
    <row r="84" spans="1:16">
      <c r="A84" s="309"/>
      <c r="B84" s="307" t="s">
        <v>24</v>
      </c>
      <c r="C84" s="316">
        <v>0</v>
      </c>
      <c r="D84" s="316">
        <v>0</v>
      </c>
      <c r="E84" s="316">
        <v>0</v>
      </c>
      <c r="F84" s="316">
        <v>0</v>
      </c>
      <c r="G84" s="316">
        <v>0</v>
      </c>
      <c r="H84" s="316">
        <v>0</v>
      </c>
      <c r="I84" s="317">
        <v>0</v>
      </c>
      <c r="J84" s="318"/>
      <c r="K84" s="318"/>
      <c r="L84" s="318"/>
      <c r="M84" s="318"/>
      <c r="N84" s="318"/>
      <c r="O84" s="318"/>
      <c r="P84" s="319"/>
    </row>
    <row r="85" spans="1:16">
      <c r="A85" s="309"/>
      <c r="B85" s="320" t="s">
        <v>116</v>
      </c>
      <c r="C85" s="321">
        <v>1518</v>
      </c>
      <c r="D85" s="321">
        <v>1305</v>
      </c>
      <c r="E85" s="321">
        <v>1556</v>
      </c>
      <c r="F85" s="321">
        <v>789</v>
      </c>
      <c r="G85" s="321">
        <v>0</v>
      </c>
      <c r="H85" s="321">
        <v>0</v>
      </c>
      <c r="I85" s="322">
        <v>5168</v>
      </c>
      <c r="J85" s="323">
        <f t="shared" ref="J85:P89" si="29">C85/$I85</f>
        <v>0.29373065015479877</v>
      </c>
      <c r="K85" s="323">
        <f t="shared" si="29"/>
        <v>0.25251547987616096</v>
      </c>
      <c r="L85" s="323">
        <f t="shared" si="29"/>
        <v>0.30108359133126933</v>
      </c>
      <c r="M85" s="323">
        <f t="shared" si="29"/>
        <v>0.15267027863777088</v>
      </c>
      <c r="N85" s="323">
        <f t="shared" si="29"/>
        <v>0</v>
      </c>
      <c r="O85" s="323">
        <f t="shared" si="29"/>
        <v>0</v>
      </c>
      <c r="P85" s="323">
        <f t="shared" si="29"/>
        <v>1</v>
      </c>
    </row>
    <row r="86" spans="1:16">
      <c r="A86" s="309"/>
      <c r="B86" s="307" t="s">
        <v>25</v>
      </c>
      <c r="C86" s="316">
        <v>67</v>
      </c>
      <c r="D86" s="316">
        <v>158</v>
      </c>
      <c r="E86" s="316">
        <v>161</v>
      </c>
      <c r="F86" s="316">
        <v>155</v>
      </c>
      <c r="G86" s="316">
        <v>0</v>
      </c>
      <c r="H86" s="316">
        <v>0</v>
      </c>
      <c r="I86" s="317">
        <v>541</v>
      </c>
      <c r="J86" s="318">
        <f t="shared" si="29"/>
        <v>0.12384473197781885</v>
      </c>
      <c r="K86" s="318">
        <f t="shared" si="29"/>
        <v>0.29205175600739369</v>
      </c>
      <c r="L86" s="318">
        <f t="shared" si="29"/>
        <v>0.29759704251386321</v>
      </c>
      <c r="M86" s="318">
        <f t="shared" si="29"/>
        <v>0.28650646950092423</v>
      </c>
      <c r="N86" s="318">
        <f t="shared" si="29"/>
        <v>0</v>
      </c>
      <c r="O86" s="318">
        <f t="shared" si="29"/>
        <v>0</v>
      </c>
      <c r="P86" s="319">
        <f t="shared" si="29"/>
        <v>1</v>
      </c>
    </row>
    <row r="87" spans="1:16">
      <c r="A87" s="328"/>
      <c r="B87" s="308" t="s">
        <v>26</v>
      </c>
      <c r="C87" s="324">
        <v>0</v>
      </c>
      <c r="D87" s="324">
        <v>0</v>
      </c>
      <c r="E87" s="324">
        <v>0</v>
      </c>
      <c r="F87" s="324">
        <v>0</v>
      </c>
      <c r="G87" s="324">
        <v>0</v>
      </c>
      <c r="H87" s="324">
        <v>814</v>
      </c>
      <c r="I87" s="325">
        <v>814</v>
      </c>
      <c r="J87" s="326">
        <f t="shared" si="29"/>
        <v>0</v>
      </c>
      <c r="K87" s="326">
        <f t="shared" si="29"/>
        <v>0</v>
      </c>
      <c r="L87" s="326">
        <f t="shared" si="29"/>
        <v>0</v>
      </c>
      <c r="M87" s="326">
        <f t="shared" si="29"/>
        <v>0</v>
      </c>
      <c r="N87" s="326">
        <f t="shared" si="29"/>
        <v>0</v>
      </c>
      <c r="O87" s="326">
        <f t="shared" si="29"/>
        <v>1</v>
      </c>
      <c r="P87" s="327">
        <f t="shared" si="29"/>
        <v>1</v>
      </c>
    </row>
    <row r="88" spans="1:16">
      <c r="A88" s="309" t="s">
        <v>10</v>
      </c>
      <c r="B88" s="307" t="s">
        <v>19</v>
      </c>
      <c r="C88" s="316">
        <v>644</v>
      </c>
      <c r="D88" s="316">
        <v>415</v>
      </c>
      <c r="E88" s="316">
        <v>236</v>
      </c>
      <c r="F88" s="316">
        <v>31</v>
      </c>
      <c r="G88" s="316">
        <v>170</v>
      </c>
      <c r="H88" s="316">
        <v>0</v>
      </c>
      <c r="I88" s="317">
        <v>1496</v>
      </c>
      <c r="J88" s="318">
        <f t="shared" si="29"/>
        <v>0.43048128342245989</v>
      </c>
      <c r="K88" s="318">
        <f t="shared" si="29"/>
        <v>0.27740641711229946</v>
      </c>
      <c r="L88" s="318">
        <f t="shared" si="29"/>
        <v>0.15775401069518716</v>
      </c>
      <c r="M88" s="318">
        <f t="shared" si="29"/>
        <v>2.0721925133689839E-2</v>
      </c>
      <c r="N88" s="318">
        <f t="shared" si="29"/>
        <v>0.11363636363636363</v>
      </c>
      <c r="O88" s="318">
        <f t="shared" si="29"/>
        <v>0</v>
      </c>
      <c r="P88" s="319">
        <f t="shared" si="29"/>
        <v>1</v>
      </c>
    </row>
    <row r="89" spans="1:16">
      <c r="A89" s="309"/>
      <c r="B89" s="307" t="s">
        <v>20</v>
      </c>
      <c r="C89" s="316">
        <v>107</v>
      </c>
      <c r="D89" s="316">
        <v>136</v>
      </c>
      <c r="E89" s="316">
        <v>96</v>
      </c>
      <c r="F89" s="316">
        <v>23</v>
      </c>
      <c r="G89" s="316">
        <v>19</v>
      </c>
      <c r="H89" s="316">
        <v>0</v>
      </c>
      <c r="I89" s="317">
        <v>381</v>
      </c>
      <c r="J89" s="318">
        <f t="shared" si="29"/>
        <v>0.28083989501312334</v>
      </c>
      <c r="K89" s="318">
        <f t="shared" si="29"/>
        <v>0.35695538057742782</v>
      </c>
      <c r="L89" s="318">
        <f t="shared" si="29"/>
        <v>0.25196850393700787</v>
      </c>
      <c r="M89" s="318">
        <f t="shared" si="29"/>
        <v>6.0367454068241469E-2</v>
      </c>
      <c r="N89" s="318">
        <f t="shared" si="29"/>
        <v>4.9868766404199474E-2</v>
      </c>
      <c r="O89" s="318">
        <f t="shared" si="29"/>
        <v>0</v>
      </c>
      <c r="P89" s="319">
        <f t="shared" si="29"/>
        <v>1</v>
      </c>
    </row>
    <row r="90" spans="1:16">
      <c r="A90" s="309"/>
      <c r="B90" s="307" t="s">
        <v>21</v>
      </c>
      <c r="C90" s="316">
        <v>0</v>
      </c>
      <c r="D90" s="316">
        <v>0</v>
      </c>
      <c r="E90" s="316">
        <v>0</v>
      </c>
      <c r="F90" s="316">
        <v>0</v>
      </c>
      <c r="G90" s="316">
        <v>0</v>
      </c>
      <c r="H90" s="316">
        <v>0</v>
      </c>
      <c r="I90" s="317">
        <v>0</v>
      </c>
      <c r="J90" s="318"/>
      <c r="K90" s="318"/>
      <c r="L90" s="318"/>
      <c r="M90" s="318"/>
      <c r="N90" s="318"/>
      <c r="O90" s="318"/>
      <c r="P90" s="319"/>
    </row>
    <row r="91" spans="1:16">
      <c r="A91" s="309"/>
      <c r="B91" s="307" t="s">
        <v>22</v>
      </c>
      <c r="C91" s="316">
        <v>410</v>
      </c>
      <c r="D91" s="316">
        <v>419</v>
      </c>
      <c r="E91" s="316">
        <v>468</v>
      </c>
      <c r="F91" s="316">
        <v>64</v>
      </c>
      <c r="G91" s="316">
        <v>101</v>
      </c>
      <c r="H91" s="316">
        <v>0</v>
      </c>
      <c r="I91" s="317">
        <v>1462</v>
      </c>
      <c r="J91" s="318">
        <f t="shared" ref="J91:P95" si="30">C91/$I91</f>
        <v>0.280437756497948</v>
      </c>
      <c r="K91" s="318">
        <f t="shared" si="30"/>
        <v>0.286593707250342</v>
      </c>
      <c r="L91" s="318">
        <f t="shared" si="30"/>
        <v>0.32010943912448703</v>
      </c>
      <c r="M91" s="318">
        <f t="shared" si="30"/>
        <v>4.3775649794801641E-2</v>
      </c>
      <c r="N91" s="318">
        <f t="shared" si="30"/>
        <v>6.9083447332421347E-2</v>
      </c>
      <c r="O91" s="318">
        <f t="shared" si="30"/>
        <v>0</v>
      </c>
      <c r="P91" s="319">
        <f t="shared" si="30"/>
        <v>1</v>
      </c>
    </row>
    <row r="92" spans="1:16">
      <c r="A92" s="309"/>
      <c r="B92" s="307" t="s">
        <v>23</v>
      </c>
      <c r="C92" s="316">
        <v>34</v>
      </c>
      <c r="D92" s="316">
        <v>67</v>
      </c>
      <c r="E92" s="316">
        <v>72</v>
      </c>
      <c r="F92" s="316">
        <v>19</v>
      </c>
      <c r="G92" s="316">
        <v>50</v>
      </c>
      <c r="H92" s="316">
        <v>0</v>
      </c>
      <c r="I92" s="317">
        <v>242</v>
      </c>
      <c r="J92" s="318">
        <f t="shared" si="30"/>
        <v>0.14049586776859505</v>
      </c>
      <c r="K92" s="318">
        <f t="shared" si="30"/>
        <v>0.27685950413223143</v>
      </c>
      <c r="L92" s="318">
        <f t="shared" si="30"/>
        <v>0.2975206611570248</v>
      </c>
      <c r="M92" s="318">
        <f t="shared" si="30"/>
        <v>7.8512396694214878E-2</v>
      </c>
      <c r="N92" s="318">
        <f t="shared" si="30"/>
        <v>0.20661157024793389</v>
      </c>
      <c r="O92" s="318">
        <f t="shared" si="30"/>
        <v>0</v>
      </c>
      <c r="P92" s="319">
        <f t="shared" si="30"/>
        <v>1</v>
      </c>
    </row>
    <row r="93" spans="1:16">
      <c r="A93" s="309"/>
      <c r="B93" s="307" t="s">
        <v>24</v>
      </c>
      <c r="C93" s="316">
        <v>27</v>
      </c>
      <c r="D93" s="316">
        <v>34</v>
      </c>
      <c r="E93" s="316">
        <v>39</v>
      </c>
      <c r="F93" s="316">
        <v>8</v>
      </c>
      <c r="G93" s="316">
        <v>0</v>
      </c>
      <c r="H93" s="316">
        <v>0</v>
      </c>
      <c r="I93" s="317">
        <v>108</v>
      </c>
      <c r="J93" s="318">
        <f t="shared" si="30"/>
        <v>0.25</v>
      </c>
      <c r="K93" s="318">
        <f t="shared" si="30"/>
        <v>0.31481481481481483</v>
      </c>
      <c r="L93" s="318">
        <f t="shared" si="30"/>
        <v>0.3611111111111111</v>
      </c>
      <c r="M93" s="318">
        <f t="shared" si="30"/>
        <v>7.407407407407407E-2</v>
      </c>
      <c r="N93" s="318">
        <f t="shared" si="30"/>
        <v>0</v>
      </c>
      <c r="O93" s="318">
        <f t="shared" si="30"/>
        <v>0</v>
      </c>
      <c r="P93" s="319">
        <f t="shared" si="30"/>
        <v>1</v>
      </c>
    </row>
    <row r="94" spans="1:16">
      <c r="A94" s="309"/>
      <c r="B94" s="320" t="s">
        <v>116</v>
      </c>
      <c r="C94" s="321">
        <v>1222</v>
      </c>
      <c r="D94" s="321">
        <v>1071</v>
      </c>
      <c r="E94" s="321">
        <v>911</v>
      </c>
      <c r="F94" s="321">
        <v>145</v>
      </c>
      <c r="G94" s="321">
        <v>340</v>
      </c>
      <c r="H94" s="321">
        <v>0</v>
      </c>
      <c r="I94" s="322">
        <v>3689</v>
      </c>
      <c r="J94" s="323">
        <f t="shared" si="30"/>
        <v>0.33125508267823256</v>
      </c>
      <c r="K94" s="323">
        <f t="shared" si="30"/>
        <v>0.29032258064516131</v>
      </c>
      <c r="L94" s="323">
        <f t="shared" si="30"/>
        <v>0.24695039306045</v>
      </c>
      <c r="M94" s="323">
        <f t="shared" si="30"/>
        <v>3.9306044998644617E-2</v>
      </c>
      <c r="N94" s="323">
        <f t="shared" si="30"/>
        <v>9.2165898617511524E-2</v>
      </c>
      <c r="O94" s="323">
        <f t="shared" si="30"/>
        <v>0</v>
      </c>
      <c r="P94" s="323">
        <f t="shared" si="30"/>
        <v>1</v>
      </c>
    </row>
    <row r="95" spans="1:16">
      <c r="A95" s="309"/>
      <c r="B95" s="307" t="s">
        <v>25</v>
      </c>
      <c r="C95" s="316">
        <v>741</v>
      </c>
      <c r="D95" s="316">
        <v>551</v>
      </c>
      <c r="E95" s="316">
        <v>488</v>
      </c>
      <c r="F95" s="316">
        <v>124</v>
      </c>
      <c r="G95" s="316">
        <v>12</v>
      </c>
      <c r="H95" s="316">
        <v>0</v>
      </c>
      <c r="I95" s="317">
        <v>1916</v>
      </c>
      <c r="J95" s="318">
        <f t="shared" si="30"/>
        <v>0.38674321503131526</v>
      </c>
      <c r="K95" s="318">
        <f t="shared" si="30"/>
        <v>0.28757828810020875</v>
      </c>
      <c r="L95" s="318">
        <f t="shared" si="30"/>
        <v>0.25469728601252611</v>
      </c>
      <c r="M95" s="318">
        <f t="shared" si="30"/>
        <v>6.471816283924843E-2</v>
      </c>
      <c r="N95" s="318">
        <f t="shared" si="30"/>
        <v>6.2630480167014616E-3</v>
      </c>
      <c r="O95" s="318">
        <f t="shared" si="30"/>
        <v>0</v>
      </c>
      <c r="P95" s="319">
        <f t="shared" si="30"/>
        <v>1</v>
      </c>
    </row>
    <row r="96" spans="1:16">
      <c r="A96" s="328"/>
      <c r="B96" s="308" t="s">
        <v>26</v>
      </c>
      <c r="C96" s="324">
        <v>0</v>
      </c>
      <c r="D96" s="324">
        <v>0</v>
      </c>
      <c r="E96" s="324">
        <v>0</v>
      </c>
      <c r="F96" s="324">
        <v>0</v>
      </c>
      <c r="G96" s="324">
        <v>0</v>
      </c>
      <c r="H96" s="324">
        <v>0</v>
      </c>
      <c r="I96" s="325">
        <v>0</v>
      </c>
      <c r="J96" s="326"/>
      <c r="K96" s="326"/>
      <c r="L96" s="326"/>
      <c r="M96" s="326"/>
      <c r="N96" s="326"/>
      <c r="O96" s="326"/>
      <c r="P96" s="327"/>
    </row>
    <row r="97" spans="1:16">
      <c r="A97" s="309" t="s">
        <v>11</v>
      </c>
      <c r="B97" s="307" t="s">
        <v>19</v>
      </c>
      <c r="C97" s="316">
        <v>309</v>
      </c>
      <c r="D97" s="316">
        <v>198</v>
      </c>
      <c r="E97" s="316">
        <v>218</v>
      </c>
      <c r="F97" s="316">
        <v>66</v>
      </c>
      <c r="G97" s="316">
        <v>37</v>
      </c>
      <c r="H97" s="316">
        <v>0</v>
      </c>
      <c r="I97" s="317">
        <v>828</v>
      </c>
      <c r="J97" s="318">
        <f t="shared" ref="J97:P99" si="31">C97/$I97</f>
        <v>0.37318840579710144</v>
      </c>
      <c r="K97" s="318">
        <f t="shared" si="31"/>
        <v>0.2391304347826087</v>
      </c>
      <c r="L97" s="318">
        <f t="shared" si="31"/>
        <v>0.26328502415458938</v>
      </c>
      <c r="M97" s="318">
        <f t="shared" si="31"/>
        <v>7.9710144927536225E-2</v>
      </c>
      <c r="N97" s="318">
        <f t="shared" si="31"/>
        <v>4.4685990338164248E-2</v>
      </c>
      <c r="O97" s="318">
        <f t="shared" si="31"/>
        <v>0</v>
      </c>
      <c r="P97" s="319">
        <f t="shared" si="31"/>
        <v>1</v>
      </c>
    </row>
    <row r="98" spans="1:16">
      <c r="A98" s="309"/>
      <c r="B98" s="307" t="s">
        <v>20</v>
      </c>
      <c r="C98" s="316">
        <v>315</v>
      </c>
      <c r="D98" s="316">
        <v>327</v>
      </c>
      <c r="E98" s="316">
        <v>317</v>
      </c>
      <c r="F98" s="316">
        <v>111</v>
      </c>
      <c r="G98" s="316">
        <v>2</v>
      </c>
      <c r="H98" s="316">
        <v>0</v>
      </c>
      <c r="I98" s="317">
        <v>1072</v>
      </c>
      <c r="J98" s="318">
        <f t="shared" si="31"/>
        <v>0.29384328358208955</v>
      </c>
      <c r="K98" s="318">
        <f t="shared" si="31"/>
        <v>0.3050373134328358</v>
      </c>
      <c r="L98" s="318">
        <f t="shared" si="31"/>
        <v>0.29570895522388058</v>
      </c>
      <c r="M98" s="318">
        <f t="shared" si="31"/>
        <v>0.10354477611940298</v>
      </c>
      <c r="N98" s="318">
        <f t="shared" si="31"/>
        <v>1.8656716417910447E-3</v>
      </c>
      <c r="O98" s="318">
        <f t="shared" si="31"/>
        <v>0</v>
      </c>
      <c r="P98" s="319">
        <f t="shared" si="31"/>
        <v>1</v>
      </c>
    </row>
    <row r="99" spans="1:16">
      <c r="A99" s="309"/>
      <c r="B99" s="307" t="s">
        <v>21</v>
      </c>
      <c r="C99" s="316">
        <v>69</v>
      </c>
      <c r="D99" s="316">
        <v>80</v>
      </c>
      <c r="E99" s="316">
        <v>107</v>
      </c>
      <c r="F99" s="316">
        <v>51</v>
      </c>
      <c r="G99" s="316">
        <v>0</v>
      </c>
      <c r="H99" s="316">
        <v>0</v>
      </c>
      <c r="I99" s="317">
        <v>307</v>
      </c>
      <c r="J99" s="318">
        <f t="shared" si="31"/>
        <v>0.22475570032573289</v>
      </c>
      <c r="K99" s="318">
        <f t="shared" si="31"/>
        <v>0.26058631921824105</v>
      </c>
      <c r="L99" s="318">
        <f t="shared" si="31"/>
        <v>0.34853420195439738</v>
      </c>
      <c r="M99" s="318">
        <f t="shared" si="31"/>
        <v>0.16612377850162866</v>
      </c>
      <c r="N99" s="318">
        <f t="shared" si="31"/>
        <v>0</v>
      </c>
      <c r="O99" s="318">
        <f t="shared" si="31"/>
        <v>0</v>
      </c>
      <c r="P99" s="319">
        <f t="shared" si="31"/>
        <v>1</v>
      </c>
    </row>
    <row r="100" spans="1:16">
      <c r="A100" s="309"/>
      <c r="B100" s="307" t="s">
        <v>22</v>
      </c>
      <c r="C100" s="316">
        <v>0</v>
      </c>
      <c r="D100" s="316">
        <v>0</v>
      </c>
      <c r="E100" s="316">
        <v>0</v>
      </c>
      <c r="F100" s="316">
        <v>0</v>
      </c>
      <c r="G100" s="316">
        <v>0</v>
      </c>
      <c r="H100" s="316">
        <v>0</v>
      </c>
      <c r="I100" s="317">
        <v>0</v>
      </c>
      <c r="J100" s="318"/>
      <c r="K100" s="318"/>
      <c r="L100" s="318"/>
      <c r="M100" s="318"/>
      <c r="N100" s="318"/>
      <c r="O100" s="318"/>
      <c r="P100" s="319"/>
    </row>
    <row r="101" spans="1:16">
      <c r="A101" s="309"/>
      <c r="B101" s="307" t="s">
        <v>23</v>
      </c>
      <c r="C101" s="316">
        <v>110</v>
      </c>
      <c r="D101" s="316">
        <v>62</v>
      </c>
      <c r="E101" s="316">
        <v>100</v>
      </c>
      <c r="F101" s="316">
        <v>81</v>
      </c>
      <c r="G101" s="316">
        <v>0</v>
      </c>
      <c r="H101" s="316">
        <v>0</v>
      </c>
      <c r="I101" s="317">
        <v>353</v>
      </c>
      <c r="J101" s="318">
        <f t="shared" ref="J101:P104" si="32">C101/$I101</f>
        <v>0.31161473087818697</v>
      </c>
      <c r="K101" s="318">
        <f t="shared" si="32"/>
        <v>0.17563739376770537</v>
      </c>
      <c r="L101" s="318">
        <f t="shared" si="32"/>
        <v>0.28328611898016998</v>
      </c>
      <c r="M101" s="318">
        <f t="shared" si="32"/>
        <v>0.22946175637393768</v>
      </c>
      <c r="N101" s="318">
        <f t="shared" si="32"/>
        <v>0</v>
      </c>
      <c r="O101" s="318">
        <f t="shared" si="32"/>
        <v>0</v>
      </c>
      <c r="P101" s="319">
        <f t="shared" si="32"/>
        <v>1</v>
      </c>
    </row>
    <row r="102" spans="1:16">
      <c r="A102" s="309"/>
      <c r="B102" s="307" t="s">
        <v>24</v>
      </c>
      <c r="C102" s="316">
        <v>52</v>
      </c>
      <c r="D102" s="316">
        <v>35</v>
      </c>
      <c r="E102" s="316">
        <v>109</v>
      </c>
      <c r="F102" s="316">
        <v>40</v>
      </c>
      <c r="G102" s="316">
        <v>0</v>
      </c>
      <c r="H102" s="316">
        <v>0</v>
      </c>
      <c r="I102" s="317">
        <v>236</v>
      </c>
      <c r="J102" s="318">
        <f t="shared" si="32"/>
        <v>0.22033898305084745</v>
      </c>
      <c r="K102" s="318">
        <f t="shared" si="32"/>
        <v>0.14830508474576271</v>
      </c>
      <c r="L102" s="318">
        <f t="shared" si="32"/>
        <v>0.46186440677966101</v>
      </c>
      <c r="M102" s="318">
        <f t="shared" si="32"/>
        <v>0.16949152542372881</v>
      </c>
      <c r="N102" s="318">
        <f t="shared" si="32"/>
        <v>0</v>
      </c>
      <c r="O102" s="318">
        <f t="shared" si="32"/>
        <v>0</v>
      </c>
      <c r="P102" s="319">
        <f t="shared" si="32"/>
        <v>1</v>
      </c>
    </row>
    <row r="103" spans="1:16">
      <c r="A103" s="309"/>
      <c r="B103" s="320" t="s">
        <v>116</v>
      </c>
      <c r="C103" s="321">
        <v>855</v>
      </c>
      <c r="D103" s="321">
        <v>702</v>
      </c>
      <c r="E103" s="321">
        <v>851</v>
      </c>
      <c r="F103" s="321">
        <v>349</v>
      </c>
      <c r="G103" s="321">
        <v>39</v>
      </c>
      <c r="H103" s="321">
        <v>0</v>
      </c>
      <c r="I103" s="322">
        <v>2796</v>
      </c>
      <c r="J103" s="323">
        <f t="shared" si="32"/>
        <v>0.30579399141630903</v>
      </c>
      <c r="K103" s="323">
        <f t="shared" si="32"/>
        <v>0.25107296137339058</v>
      </c>
      <c r="L103" s="323">
        <f t="shared" si="32"/>
        <v>0.30436337625178828</v>
      </c>
      <c r="M103" s="323">
        <f t="shared" si="32"/>
        <v>0.12482117310443491</v>
      </c>
      <c r="N103" s="323">
        <f t="shared" si="32"/>
        <v>1.3948497854077254E-2</v>
      </c>
      <c r="O103" s="323">
        <f t="shared" si="32"/>
        <v>0</v>
      </c>
      <c r="P103" s="323">
        <f t="shared" si="32"/>
        <v>1</v>
      </c>
    </row>
    <row r="104" spans="1:16">
      <c r="A104" s="309"/>
      <c r="B104" s="307" t="s">
        <v>25</v>
      </c>
      <c r="C104" s="316">
        <v>0</v>
      </c>
      <c r="D104" s="316">
        <v>0</v>
      </c>
      <c r="E104" s="316">
        <v>0</v>
      </c>
      <c r="F104" s="316">
        <v>0</v>
      </c>
      <c r="G104" s="316">
        <v>0</v>
      </c>
      <c r="H104" s="316">
        <v>2157.1</v>
      </c>
      <c r="I104" s="317">
        <v>2157.1</v>
      </c>
      <c r="J104" s="318">
        <f t="shared" si="32"/>
        <v>0</v>
      </c>
      <c r="K104" s="318">
        <f t="shared" si="32"/>
        <v>0</v>
      </c>
      <c r="L104" s="318">
        <f t="shared" si="32"/>
        <v>0</v>
      </c>
      <c r="M104" s="318">
        <f t="shared" si="32"/>
        <v>0</v>
      </c>
      <c r="N104" s="318">
        <f t="shared" si="32"/>
        <v>0</v>
      </c>
      <c r="O104" s="318">
        <f t="shared" si="32"/>
        <v>1</v>
      </c>
      <c r="P104" s="319">
        <f t="shared" si="32"/>
        <v>1</v>
      </c>
    </row>
    <row r="105" spans="1:16">
      <c r="A105" s="328"/>
      <c r="B105" s="308" t="s">
        <v>26</v>
      </c>
      <c r="C105" s="324">
        <v>0</v>
      </c>
      <c r="D105" s="324">
        <v>0</v>
      </c>
      <c r="E105" s="324">
        <v>0</v>
      </c>
      <c r="F105" s="324">
        <v>0</v>
      </c>
      <c r="G105" s="324">
        <v>0</v>
      </c>
      <c r="H105" s="324">
        <v>0</v>
      </c>
      <c r="I105" s="325">
        <v>0</v>
      </c>
      <c r="J105" s="326"/>
      <c r="K105" s="326"/>
      <c r="L105" s="326"/>
      <c r="M105" s="326"/>
      <c r="N105" s="326"/>
      <c r="O105" s="326"/>
      <c r="P105" s="327"/>
    </row>
    <row r="106" spans="1:16">
      <c r="A106" s="309" t="s">
        <v>12</v>
      </c>
      <c r="B106" s="307" t="s">
        <v>19</v>
      </c>
      <c r="C106" s="316">
        <v>1054</v>
      </c>
      <c r="D106" s="316">
        <v>665</v>
      </c>
      <c r="E106" s="316">
        <v>398</v>
      </c>
      <c r="F106" s="316">
        <v>19</v>
      </c>
      <c r="G106" s="316">
        <v>287</v>
      </c>
      <c r="H106" s="316">
        <v>0</v>
      </c>
      <c r="I106" s="317">
        <v>2423</v>
      </c>
      <c r="J106" s="318">
        <f t="shared" ref="J106:P113" si="33">C106/$I106</f>
        <v>0.43499793644242674</v>
      </c>
      <c r="K106" s="318">
        <f t="shared" si="33"/>
        <v>0.27445315724308711</v>
      </c>
      <c r="L106" s="318">
        <f t="shared" si="33"/>
        <v>0.164259182831201</v>
      </c>
      <c r="M106" s="318">
        <f t="shared" si="33"/>
        <v>7.8415187783739161E-3</v>
      </c>
      <c r="N106" s="318">
        <f t="shared" si="33"/>
        <v>0.11844820470491127</v>
      </c>
      <c r="O106" s="318">
        <f t="shared" si="33"/>
        <v>0</v>
      </c>
      <c r="P106" s="319">
        <f t="shared" si="33"/>
        <v>1</v>
      </c>
    </row>
    <row r="107" spans="1:16">
      <c r="A107" s="309"/>
      <c r="B107" s="307" t="s">
        <v>20</v>
      </c>
      <c r="C107" s="316">
        <v>139</v>
      </c>
      <c r="D107" s="316">
        <v>171</v>
      </c>
      <c r="E107" s="316">
        <v>124</v>
      </c>
      <c r="F107" s="316">
        <v>13</v>
      </c>
      <c r="G107" s="316">
        <v>115</v>
      </c>
      <c r="H107" s="316">
        <v>0</v>
      </c>
      <c r="I107" s="317">
        <v>562</v>
      </c>
      <c r="J107" s="318">
        <f t="shared" si="33"/>
        <v>0.24733096085409254</v>
      </c>
      <c r="K107" s="318">
        <f t="shared" si="33"/>
        <v>0.30427046263345198</v>
      </c>
      <c r="L107" s="318">
        <f t="shared" si="33"/>
        <v>0.2206405693950178</v>
      </c>
      <c r="M107" s="318">
        <f t="shared" si="33"/>
        <v>2.3131672597864767E-2</v>
      </c>
      <c r="N107" s="318">
        <f t="shared" si="33"/>
        <v>0.20462633451957296</v>
      </c>
      <c r="O107" s="318">
        <f t="shared" si="33"/>
        <v>0</v>
      </c>
      <c r="P107" s="319">
        <f t="shared" si="33"/>
        <v>1</v>
      </c>
    </row>
    <row r="108" spans="1:16">
      <c r="A108" s="309"/>
      <c r="B108" s="307" t="s">
        <v>21</v>
      </c>
      <c r="C108" s="316">
        <v>828</v>
      </c>
      <c r="D108" s="316">
        <v>917</v>
      </c>
      <c r="E108" s="316">
        <v>832</v>
      </c>
      <c r="F108" s="316">
        <v>38</v>
      </c>
      <c r="G108" s="316">
        <v>439</v>
      </c>
      <c r="H108" s="316">
        <v>0</v>
      </c>
      <c r="I108" s="317">
        <v>3054</v>
      </c>
      <c r="J108" s="318">
        <f t="shared" si="33"/>
        <v>0.27111984282907664</v>
      </c>
      <c r="K108" s="318">
        <f t="shared" si="33"/>
        <v>0.30026195153896529</v>
      </c>
      <c r="L108" s="318">
        <f t="shared" si="33"/>
        <v>0.27242960052390308</v>
      </c>
      <c r="M108" s="318">
        <f t="shared" si="33"/>
        <v>1.2442698100851343E-2</v>
      </c>
      <c r="N108" s="318">
        <f t="shared" si="33"/>
        <v>0.14374590700720366</v>
      </c>
      <c r="O108" s="318">
        <f t="shared" si="33"/>
        <v>0</v>
      </c>
      <c r="P108" s="319">
        <f t="shared" si="33"/>
        <v>1</v>
      </c>
    </row>
    <row r="109" spans="1:16">
      <c r="A109" s="309"/>
      <c r="B109" s="307" t="s">
        <v>22</v>
      </c>
      <c r="C109" s="316">
        <v>141</v>
      </c>
      <c r="D109" s="316">
        <v>198</v>
      </c>
      <c r="E109" s="316">
        <v>160</v>
      </c>
      <c r="F109" s="316">
        <v>2</v>
      </c>
      <c r="G109" s="316">
        <v>78</v>
      </c>
      <c r="H109" s="316">
        <v>0</v>
      </c>
      <c r="I109" s="317">
        <v>579</v>
      </c>
      <c r="J109" s="318">
        <f t="shared" si="33"/>
        <v>0.24352331606217617</v>
      </c>
      <c r="K109" s="318">
        <f t="shared" si="33"/>
        <v>0.34196891191709844</v>
      </c>
      <c r="L109" s="318">
        <f t="shared" si="33"/>
        <v>0.27633851468048359</v>
      </c>
      <c r="M109" s="318">
        <f t="shared" si="33"/>
        <v>3.4542314335060447E-3</v>
      </c>
      <c r="N109" s="318">
        <f t="shared" si="33"/>
        <v>0.13471502590673576</v>
      </c>
      <c r="O109" s="318">
        <f t="shared" si="33"/>
        <v>0</v>
      </c>
      <c r="P109" s="319">
        <f t="shared" si="33"/>
        <v>1</v>
      </c>
    </row>
    <row r="110" spans="1:16">
      <c r="A110" s="309"/>
      <c r="B110" s="307" t="s">
        <v>23</v>
      </c>
      <c r="C110" s="316">
        <v>44</v>
      </c>
      <c r="D110" s="316">
        <v>33</v>
      </c>
      <c r="E110" s="316">
        <v>40</v>
      </c>
      <c r="F110" s="316">
        <v>5</v>
      </c>
      <c r="G110" s="316">
        <v>23</v>
      </c>
      <c r="H110" s="316">
        <v>0</v>
      </c>
      <c r="I110" s="317">
        <v>145</v>
      </c>
      <c r="J110" s="318">
        <f t="shared" si="33"/>
        <v>0.30344827586206896</v>
      </c>
      <c r="K110" s="318">
        <f t="shared" si="33"/>
        <v>0.22758620689655173</v>
      </c>
      <c r="L110" s="318">
        <f t="shared" si="33"/>
        <v>0.27586206896551724</v>
      </c>
      <c r="M110" s="318">
        <f t="shared" si="33"/>
        <v>3.4482758620689655E-2</v>
      </c>
      <c r="N110" s="318">
        <f t="shared" si="33"/>
        <v>0.15862068965517243</v>
      </c>
      <c r="O110" s="318">
        <f t="shared" si="33"/>
        <v>0</v>
      </c>
      <c r="P110" s="319">
        <f t="shared" si="33"/>
        <v>1</v>
      </c>
    </row>
    <row r="111" spans="1:16">
      <c r="A111" s="309"/>
      <c r="B111" s="307" t="s">
        <v>24</v>
      </c>
      <c r="C111" s="316">
        <v>118</v>
      </c>
      <c r="D111" s="316">
        <v>121</v>
      </c>
      <c r="E111" s="316">
        <v>96</v>
      </c>
      <c r="F111" s="316">
        <v>9</v>
      </c>
      <c r="G111" s="316">
        <v>78</v>
      </c>
      <c r="H111" s="316">
        <v>0</v>
      </c>
      <c r="I111" s="317">
        <v>422</v>
      </c>
      <c r="J111" s="318">
        <f t="shared" si="33"/>
        <v>0.27962085308056872</v>
      </c>
      <c r="K111" s="318">
        <f t="shared" si="33"/>
        <v>0.28672985781990523</v>
      </c>
      <c r="L111" s="318">
        <f t="shared" si="33"/>
        <v>0.22748815165876776</v>
      </c>
      <c r="M111" s="318">
        <f t="shared" si="33"/>
        <v>2.132701421800948E-2</v>
      </c>
      <c r="N111" s="318">
        <f t="shared" si="33"/>
        <v>0.18483412322274881</v>
      </c>
      <c r="O111" s="318">
        <f t="shared" si="33"/>
        <v>0</v>
      </c>
      <c r="P111" s="319">
        <f t="shared" si="33"/>
        <v>1</v>
      </c>
    </row>
    <row r="112" spans="1:16">
      <c r="A112" s="309"/>
      <c r="B112" s="320" t="s">
        <v>116</v>
      </c>
      <c r="C112" s="321">
        <v>2324</v>
      </c>
      <c r="D112" s="321">
        <v>2105</v>
      </c>
      <c r="E112" s="321">
        <v>1650</v>
      </c>
      <c r="F112" s="321">
        <v>86</v>
      </c>
      <c r="G112" s="321">
        <v>1020</v>
      </c>
      <c r="H112" s="321">
        <v>0</v>
      </c>
      <c r="I112" s="322">
        <v>7185</v>
      </c>
      <c r="J112" s="323">
        <f t="shared" si="33"/>
        <v>0.32345163535142657</v>
      </c>
      <c r="K112" s="323">
        <f t="shared" si="33"/>
        <v>0.29297146833681281</v>
      </c>
      <c r="L112" s="323">
        <f t="shared" si="33"/>
        <v>0.22964509394572025</v>
      </c>
      <c r="M112" s="323">
        <f t="shared" si="33"/>
        <v>1.196938065414057E-2</v>
      </c>
      <c r="N112" s="323">
        <f t="shared" si="33"/>
        <v>0.14196242171189979</v>
      </c>
      <c r="O112" s="323">
        <f t="shared" si="33"/>
        <v>0</v>
      </c>
      <c r="P112" s="323">
        <f t="shared" si="33"/>
        <v>1</v>
      </c>
    </row>
    <row r="113" spans="1:16">
      <c r="A113" s="309"/>
      <c r="B113" s="307" t="s">
        <v>25</v>
      </c>
      <c r="C113" s="316">
        <v>0</v>
      </c>
      <c r="D113" s="316">
        <v>0</v>
      </c>
      <c r="E113" s="316">
        <v>0</v>
      </c>
      <c r="F113" s="316">
        <v>0</v>
      </c>
      <c r="G113" s="316">
        <v>0</v>
      </c>
      <c r="H113" s="316">
        <v>3944</v>
      </c>
      <c r="I113" s="317">
        <v>3944</v>
      </c>
      <c r="J113" s="318">
        <f t="shared" si="33"/>
        <v>0</v>
      </c>
      <c r="K113" s="318">
        <f t="shared" si="33"/>
        <v>0</v>
      </c>
      <c r="L113" s="318">
        <f t="shared" si="33"/>
        <v>0</v>
      </c>
      <c r="M113" s="318">
        <f t="shared" si="33"/>
        <v>0</v>
      </c>
      <c r="N113" s="318">
        <f t="shared" si="33"/>
        <v>0</v>
      </c>
      <c r="O113" s="318">
        <f t="shared" si="33"/>
        <v>1</v>
      </c>
      <c r="P113" s="319">
        <f t="shared" si="33"/>
        <v>1</v>
      </c>
    </row>
    <row r="114" spans="1:16">
      <c r="A114" s="328"/>
      <c r="B114" s="308" t="s">
        <v>26</v>
      </c>
      <c r="C114" s="324">
        <v>0</v>
      </c>
      <c r="D114" s="324">
        <v>0</v>
      </c>
      <c r="E114" s="324">
        <v>0</v>
      </c>
      <c r="F114" s="324">
        <v>0</v>
      </c>
      <c r="G114" s="324">
        <v>0</v>
      </c>
      <c r="H114" s="324">
        <v>0</v>
      </c>
      <c r="I114" s="325">
        <v>0</v>
      </c>
      <c r="J114" s="326"/>
      <c r="K114" s="326"/>
      <c r="L114" s="326"/>
      <c r="M114" s="326"/>
      <c r="N114" s="326"/>
      <c r="O114" s="326"/>
      <c r="P114" s="327"/>
    </row>
    <row r="115" spans="1:16">
      <c r="A115" s="309" t="s">
        <v>13</v>
      </c>
      <c r="B115" s="307" t="s">
        <v>19</v>
      </c>
      <c r="C115" s="316">
        <v>576</v>
      </c>
      <c r="D115" s="316">
        <v>491</v>
      </c>
      <c r="E115" s="316">
        <v>370</v>
      </c>
      <c r="F115" s="316">
        <v>64</v>
      </c>
      <c r="G115" s="316">
        <v>0</v>
      </c>
      <c r="H115" s="316">
        <v>0</v>
      </c>
      <c r="I115" s="317">
        <v>1501</v>
      </c>
      <c r="J115" s="318">
        <f t="shared" ref="J115:P115" si="34">C115/$I115</f>
        <v>0.38374417055296467</v>
      </c>
      <c r="K115" s="318">
        <f t="shared" si="34"/>
        <v>0.32711525649566953</v>
      </c>
      <c r="L115" s="318">
        <f t="shared" si="34"/>
        <v>0.24650233177881412</v>
      </c>
      <c r="M115" s="318">
        <f t="shared" si="34"/>
        <v>4.2638241172551633E-2</v>
      </c>
      <c r="N115" s="318">
        <f t="shared" si="34"/>
        <v>0</v>
      </c>
      <c r="O115" s="318">
        <f t="shared" si="34"/>
        <v>0</v>
      </c>
      <c r="P115" s="319">
        <f t="shared" si="34"/>
        <v>1</v>
      </c>
    </row>
    <row r="116" spans="1:16">
      <c r="A116" s="309"/>
      <c r="B116" s="307" t="s">
        <v>20</v>
      </c>
      <c r="C116" s="316">
        <v>0</v>
      </c>
      <c r="D116" s="316">
        <v>0</v>
      </c>
      <c r="E116" s="316">
        <v>0</v>
      </c>
      <c r="F116" s="316">
        <v>0</v>
      </c>
      <c r="G116" s="316">
        <v>0</v>
      </c>
      <c r="H116" s="316">
        <v>0</v>
      </c>
      <c r="I116" s="317">
        <v>0</v>
      </c>
      <c r="J116" s="318"/>
      <c r="K116" s="318"/>
      <c r="L116" s="318"/>
      <c r="M116" s="318"/>
      <c r="N116" s="318"/>
      <c r="O116" s="318"/>
      <c r="P116" s="319"/>
    </row>
    <row r="117" spans="1:16">
      <c r="A117" s="309"/>
      <c r="B117" s="307" t="s">
        <v>21</v>
      </c>
      <c r="C117" s="316">
        <v>109</v>
      </c>
      <c r="D117" s="316">
        <v>73</v>
      </c>
      <c r="E117" s="316">
        <v>159</v>
      </c>
      <c r="F117" s="316">
        <v>44</v>
      </c>
      <c r="G117" s="316">
        <v>0</v>
      </c>
      <c r="H117" s="316">
        <v>0</v>
      </c>
      <c r="I117" s="317">
        <v>385</v>
      </c>
      <c r="J117" s="318">
        <f t="shared" ref="J117:P122" si="35">C117/$I117</f>
        <v>0.2831168831168831</v>
      </c>
      <c r="K117" s="318">
        <f t="shared" si="35"/>
        <v>0.18961038961038962</v>
      </c>
      <c r="L117" s="318">
        <f t="shared" si="35"/>
        <v>0.41298701298701301</v>
      </c>
      <c r="M117" s="318">
        <f t="shared" si="35"/>
        <v>0.11428571428571428</v>
      </c>
      <c r="N117" s="318">
        <f t="shared" si="35"/>
        <v>0</v>
      </c>
      <c r="O117" s="318">
        <f t="shared" si="35"/>
        <v>0</v>
      </c>
      <c r="P117" s="319">
        <f t="shared" si="35"/>
        <v>1</v>
      </c>
    </row>
    <row r="118" spans="1:16">
      <c r="A118" s="309"/>
      <c r="B118" s="307" t="s">
        <v>22</v>
      </c>
      <c r="C118" s="316">
        <v>133</v>
      </c>
      <c r="D118" s="316">
        <v>98</v>
      </c>
      <c r="E118" s="316">
        <v>139</v>
      </c>
      <c r="F118" s="316">
        <v>109</v>
      </c>
      <c r="G118" s="316">
        <v>0</v>
      </c>
      <c r="H118" s="316">
        <v>0</v>
      </c>
      <c r="I118" s="317">
        <v>479</v>
      </c>
      <c r="J118" s="318">
        <f t="shared" si="35"/>
        <v>0.27766179540709812</v>
      </c>
      <c r="K118" s="318">
        <f t="shared" si="35"/>
        <v>0.20459290187891441</v>
      </c>
      <c r="L118" s="318">
        <f t="shared" si="35"/>
        <v>0.29018789144050106</v>
      </c>
      <c r="M118" s="318">
        <f t="shared" si="35"/>
        <v>0.22755741127348644</v>
      </c>
      <c r="N118" s="318">
        <f t="shared" si="35"/>
        <v>0</v>
      </c>
      <c r="O118" s="318">
        <f t="shared" si="35"/>
        <v>0</v>
      </c>
      <c r="P118" s="319">
        <f t="shared" si="35"/>
        <v>1</v>
      </c>
    </row>
    <row r="119" spans="1:16">
      <c r="A119" s="309"/>
      <c r="B119" s="307" t="s">
        <v>23</v>
      </c>
      <c r="C119" s="316">
        <v>123</v>
      </c>
      <c r="D119" s="316">
        <v>104</v>
      </c>
      <c r="E119" s="316">
        <v>215</v>
      </c>
      <c r="F119" s="316">
        <v>112</v>
      </c>
      <c r="G119" s="316">
        <v>0</v>
      </c>
      <c r="H119" s="316">
        <v>0</v>
      </c>
      <c r="I119" s="317">
        <v>554</v>
      </c>
      <c r="J119" s="318">
        <f t="shared" si="35"/>
        <v>0.22202166064981949</v>
      </c>
      <c r="K119" s="318">
        <f t="shared" si="35"/>
        <v>0.18772563176895307</v>
      </c>
      <c r="L119" s="318">
        <f t="shared" si="35"/>
        <v>0.388086642599278</v>
      </c>
      <c r="M119" s="318">
        <f t="shared" si="35"/>
        <v>0.20216606498194944</v>
      </c>
      <c r="N119" s="318">
        <f t="shared" si="35"/>
        <v>0</v>
      </c>
      <c r="O119" s="318">
        <f t="shared" si="35"/>
        <v>0</v>
      </c>
      <c r="P119" s="319">
        <f t="shared" si="35"/>
        <v>1</v>
      </c>
    </row>
    <row r="120" spans="1:16">
      <c r="A120" s="309"/>
      <c r="B120" s="307" t="s">
        <v>24</v>
      </c>
      <c r="C120" s="316">
        <v>24</v>
      </c>
      <c r="D120" s="316">
        <v>61</v>
      </c>
      <c r="E120" s="316">
        <v>66</v>
      </c>
      <c r="F120" s="316">
        <v>62</v>
      </c>
      <c r="G120" s="316">
        <v>0</v>
      </c>
      <c r="H120" s="316">
        <v>0</v>
      </c>
      <c r="I120" s="317">
        <v>213</v>
      </c>
      <c r="J120" s="318">
        <f t="shared" si="35"/>
        <v>0.11267605633802817</v>
      </c>
      <c r="K120" s="318">
        <f t="shared" si="35"/>
        <v>0.28638497652582162</v>
      </c>
      <c r="L120" s="318">
        <f t="shared" si="35"/>
        <v>0.30985915492957744</v>
      </c>
      <c r="M120" s="318">
        <f t="shared" si="35"/>
        <v>0.29107981220657275</v>
      </c>
      <c r="N120" s="318">
        <f t="shared" si="35"/>
        <v>0</v>
      </c>
      <c r="O120" s="318">
        <f t="shared" si="35"/>
        <v>0</v>
      </c>
      <c r="P120" s="319">
        <f t="shared" si="35"/>
        <v>1</v>
      </c>
    </row>
    <row r="121" spans="1:16">
      <c r="A121" s="309"/>
      <c r="B121" s="320" t="s">
        <v>116</v>
      </c>
      <c r="C121" s="321">
        <v>965</v>
      </c>
      <c r="D121" s="321">
        <v>827</v>
      </c>
      <c r="E121" s="321">
        <v>949</v>
      </c>
      <c r="F121" s="321">
        <v>391</v>
      </c>
      <c r="G121" s="321">
        <v>0</v>
      </c>
      <c r="H121" s="321">
        <v>0</v>
      </c>
      <c r="I121" s="322">
        <v>3132</v>
      </c>
      <c r="J121" s="323">
        <f t="shared" si="35"/>
        <v>0.30810983397190295</v>
      </c>
      <c r="K121" s="323">
        <f t="shared" si="35"/>
        <v>0.26404853128991063</v>
      </c>
      <c r="L121" s="323">
        <f t="shared" si="35"/>
        <v>0.30300127713920816</v>
      </c>
      <c r="M121" s="323">
        <f t="shared" si="35"/>
        <v>0.12484035759897828</v>
      </c>
      <c r="N121" s="323">
        <f t="shared" si="35"/>
        <v>0</v>
      </c>
      <c r="O121" s="323">
        <f t="shared" si="35"/>
        <v>0</v>
      </c>
      <c r="P121" s="323">
        <f t="shared" si="35"/>
        <v>1</v>
      </c>
    </row>
    <row r="122" spans="1:16">
      <c r="A122" s="309"/>
      <c r="B122" s="307" t="s">
        <v>25</v>
      </c>
      <c r="C122" s="316">
        <v>0</v>
      </c>
      <c r="D122" s="316">
        <v>0</v>
      </c>
      <c r="E122" s="316">
        <v>0</v>
      </c>
      <c r="F122" s="316">
        <v>0</v>
      </c>
      <c r="G122" s="316">
        <v>0</v>
      </c>
      <c r="H122" s="316">
        <v>1095</v>
      </c>
      <c r="I122" s="317">
        <v>1095</v>
      </c>
      <c r="J122" s="318">
        <f t="shared" si="35"/>
        <v>0</v>
      </c>
      <c r="K122" s="318">
        <f t="shared" si="35"/>
        <v>0</v>
      </c>
      <c r="L122" s="318">
        <f t="shared" si="35"/>
        <v>0</v>
      </c>
      <c r="M122" s="318">
        <f t="shared" si="35"/>
        <v>0</v>
      </c>
      <c r="N122" s="318">
        <f t="shared" si="35"/>
        <v>0</v>
      </c>
      <c r="O122" s="318">
        <f t="shared" si="35"/>
        <v>1</v>
      </c>
      <c r="P122" s="319">
        <f t="shared" si="35"/>
        <v>1</v>
      </c>
    </row>
    <row r="123" spans="1:16">
      <c r="A123" s="328"/>
      <c r="B123" s="308" t="s">
        <v>26</v>
      </c>
      <c r="C123" s="324">
        <v>0</v>
      </c>
      <c r="D123" s="324">
        <v>0</v>
      </c>
      <c r="E123" s="324">
        <v>0</v>
      </c>
      <c r="F123" s="324">
        <v>0</v>
      </c>
      <c r="G123" s="324">
        <v>0</v>
      </c>
      <c r="H123" s="324">
        <v>0</v>
      </c>
      <c r="I123" s="325">
        <v>0</v>
      </c>
      <c r="J123" s="326"/>
      <c r="K123" s="326"/>
      <c r="L123" s="326"/>
      <c r="M123" s="326"/>
      <c r="N123" s="326"/>
      <c r="O123" s="326"/>
      <c r="P123" s="327"/>
    </row>
    <row r="124" spans="1:16">
      <c r="A124" s="309" t="s">
        <v>14</v>
      </c>
      <c r="B124" s="307" t="s">
        <v>19</v>
      </c>
      <c r="C124" s="316">
        <v>398</v>
      </c>
      <c r="D124" s="316">
        <v>335</v>
      </c>
      <c r="E124" s="316">
        <v>200</v>
      </c>
      <c r="F124" s="316">
        <v>59</v>
      </c>
      <c r="G124" s="316">
        <v>36</v>
      </c>
      <c r="H124" s="316">
        <v>0</v>
      </c>
      <c r="I124" s="317">
        <v>1028</v>
      </c>
      <c r="J124" s="318">
        <f t="shared" ref="J124:P131" si="36">C124/$I124</f>
        <v>0.38715953307392997</v>
      </c>
      <c r="K124" s="318">
        <f t="shared" si="36"/>
        <v>0.32587548638132297</v>
      </c>
      <c r="L124" s="318">
        <f t="shared" si="36"/>
        <v>0.19455252918287938</v>
      </c>
      <c r="M124" s="318">
        <f t="shared" si="36"/>
        <v>5.7392996108949414E-2</v>
      </c>
      <c r="N124" s="318">
        <f t="shared" si="36"/>
        <v>3.5019455252918288E-2</v>
      </c>
      <c r="O124" s="318">
        <f t="shared" si="36"/>
        <v>0</v>
      </c>
      <c r="P124" s="319">
        <f t="shared" si="36"/>
        <v>1</v>
      </c>
    </row>
    <row r="125" spans="1:16">
      <c r="A125" s="309"/>
      <c r="B125" s="307" t="s">
        <v>20</v>
      </c>
      <c r="C125" s="316">
        <v>366</v>
      </c>
      <c r="D125" s="316">
        <v>240</v>
      </c>
      <c r="E125" s="316">
        <v>165</v>
      </c>
      <c r="F125" s="316">
        <v>44</v>
      </c>
      <c r="G125" s="316">
        <v>52</v>
      </c>
      <c r="H125" s="316">
        <v>0</v>
      </c>
      <c r="I125" s="317">
        <v>867</v>
      </c>
      <c r="J125" s="318">
        <f t="shared" si="36"/>
        <v>0.42214532871972316</v>
      </c>
      <c r="K125" s="318">
        <f t="shared" si="36"/>
        <v>0.27681660899653981</v>
      </c>
      <c r="L125" s="318">
        <f t="shared" si="36"/>
        <v>0.19031141868512111</v>
      </c>
      <c r="M125" s="318">
        <f t="shared" si="36"/>
        <v>5.0749711649365627E-2</v>
      </c>
      <c r="N125" s="318">
        <f t="shared" si="36"/>
        <v>5.9976931949250287E-2</v>
      </c>
      <c r="O125" s="318">
        <f t="shared" si="36"/>
        <v>0</v>
      </c>
      <c r="P125" s="319">
        <f t="shared" si="36"/>
        <v>1</v>
      </c>
    </row>
    <row r="126" spans="1:16">
      <c r="A126" s="309"/>
      <c r="B126" s="307" t="s">
        <v>21</v>
      </c>
      <c r="C126" s="316">
        <v>81</v>
      </c>
      <c r="D126" s="316">
        <v>81</v>
      </c>
      <c r="E126" s="316">
        <v>62</v>
      </c>
      <c r="F126" s="316">
        <v>18</v>
      </c>
      <c r="G126" s="316">
        <v>0</v>
      </c>
      <c r="H126" s="316">
        <v>0</v>
      </c>
      <c r="I126" s="317">
        <v>242</v>
      </c>
      <c r="J126" s="318">
        <f t="shared" si="36"/>
        <v>0.33471074380165289</v>
      </c>
      <c r="K126" s="318">
        <f t="shared" si="36"/>
        <v>0.33471074380165289</v>
      </c>
      <c r="L126" s="318">
        <f t="shared" si="36"/>
        <v>0.256198347107438</v>
      </c>
      <c r="M126" s="318">
        <f t="shared" si="36"/>
        <v>7.43801652892562E-2</v>
      </c>
      <c r="N126" s="318">
        <f t="shared" si="36"/>
        <v>0</v>
      </c>
      <c r="O126" s="318">
        <f t="shared" si="36"/>
        <v>0</v>
      </c>
      <c r="P126" s="319">
        <f t="shared" si="36"/>
        <v>1</v>
      </c>
    </row>
    <row r="127" spans="1:16">
      <c r="A127" s="309"/>
      <c r="B127" s="307" t="s">
        <v>22</v>
      </c>
      <c r="C127" s="316">
        <v>150</v>
      </c>
      <c r="D127" s="316">
        <v>154</v>
      </c>
      <c r="E127" s="316">
        <v>167</v>
      </c>
      <c r="F127" s="316">
        <v>48</v>
      </c>
      <c r="G127" s="316">
        <v>0</v>
      </c>
      <c r="H127" s="316">
        <v>0</v>
      </c>
      <c r="I127" s="317">
        <v>519</v>
      </c>
      <c r="J127" s="318">
        <f t="shared" si="36"/>
        <v>0.28901734104046245</v>
      </c>
      <c r="K127" s="318">
        <f t="shared" si="36"/>
        <v>0.29672447013487474</v>
      </c>
      <c r="L127" s="318">
        <f t="shared" si="36"/>
        <v>0.32177263969171482</v>
      </c>
      <c r="M127" s="318">
        <f t="shared" si="36"/>
        <v>9.2485549132947972E-2</v>
      </c>
      <c r="N127" s="318">
        <f t="shared" si="36"/>
        <v>0</v>
      </c>
      <c r="O127" s="318">
        <f t="shared" si="36"/>
        <v>0</v>
      </c>
      <c r="P127" s="319">
        <f t="shared" si="36"/>
        <v>1</v>
      </c>
    </row>
    <row r="128" spans="1:16">
      <c r="A128" s="309"/>
      <c r="B128" s="307" t="s">
        <v>23</v>
      </c>
      <c r="C128" s="316">
        <v>114</v>
      </c>
      <c r="D128" s="316">
        <v>95</v>
      </c>
      <c r="E128" s="316">
        <v>117</v>
      </c>
      <c r="F128" s="316">
        <v>55</v>
      </c>
      <c r="G128" s="316">
        <v>22</v>
      </c>
      <c r="H128" s="316">
        <v>0</v>
      </c>
      <c r="I128" s="317">
        <v>403</v>
      </c>
      <c r="J128" s="318">
        <f t="shared" si="36"/>
        <v>0.28287841191066998</v>
      </c>
      <c r="K128" s="318">
        <f t="shared" si="36"/>
        <v>0.23573200992555832</v>
      </c>
      <c r="L128" s="318">
        <f t="shared" si="36"/>
        <v>0.29032258064516131</v>
      </c>
      <c r="M128" s="318">
        <f t="shared" si="36"/>
        <v>0.13647642679900746</v>
      </c>
      <c r="N128" s="318">
        <f t="shared" si="36"/>
        <v>5.4590570719602979E-2</v>
      </c>
      <c r="O128" s="318">
        <f t="shared" si="36"/>
        <v>0</v>
      </c>
      <c r="P128" s="319">
        <f t="shared" si="36"/>
        <v>1</v>
      </c>
    </row>
    <row r="129" spans="1:16">
      <c r="A129" s="309"/>
      <c r="B129" s="307" t="s">
        <v>24</v>
      </c>
      <c r="C129" s="316">
        <v>154</v>
      </c>
      <c r="D129" s="316">
        <v>166</v>
      </c>
      <c r="E129" s="316">
        <v>141</v>
      </c>
      <c r="F129" s="316">
        <v>69</v>
      </c>
      <c r="G129" s="316">
        <v>5</v>
      </c>
      <c r="H129" s="316">
        <v>0</v>
      </c>
      <c r="I129" s="317">
        <v>535</v>
      </c>
      <c r="J129" s="318">
        <f t="shared" si="36"/>
        <v>0.28785046728971964</v>
      </c>
      <c r="K129" s="318">
        <f t="shared" si="36"/>
        <v>0.3102803738317757</v>
      </c>
      <c r="L129" s="318">
        <f t="shared" si="36"/>
        <v>0.26355140186915887</v>
      </c>
      <c r="M129" s="318">
        <f t="shared" si="36"/>
        <v>0.12897196261682242</v>
      </c>
      <c r="N129" s="318">
        <f t="shared" si="36"/>
        <v>9.3457943925233638E-3</v>
      </c>
      <c r="O129" s="318">
        <f t="shared" si="36"/>
        <v>0</v>
      </c>
      <c r="P129" s="319">
        <f t="shared" si="36"/>
        <v>1</v>
      </c>
    </row>
    <row r="130" spans="1:16">
      <c r="A130" s="309"/>
      <c r="B130" s="320" t="s">
        <v>116</v>
      </c>
      <c r="C130" s="321">
        <v>1263</v>
      </c>
      <c r="D130" s="321">
        <v>1071</v>
      </c>
      <c r="E130" s="321">
        <v>852</v>
      </c>
      <c r="F130" s="321">
        <v>293</v>
      </c>
      <c r="G130" s="321">
        <v>115</v>
      </c>
      <c r="H130" s="321">
        <v>0</v>
      </c>
      <c r="I130" s="322">
        <v>3594</v>
      </c>
      <c r="J130" s="323">
        <f t="shared" si="36"/>
        <v>0.35141903171953254</v>
      </c>
      <c r="K130" s="323">
        <f t="shared" si="36"/>
        <v>0.29799666110183637</v>
      </c>
      <c r="L130" s="323">
        <f t="shared" si="36"/>
        <v>0.23706176961602671</v>
      </c>
      <c r="M130" s="323">
        <f t="shared" si="36"/>
        <v>8.1524763494713409E-2</v>
      </c>
      <c r="N130" s="323">
        <f t="shared" si="36"/>
        <v>3.1997774067890929E-2</v>
      </c>
      <c r="O130" s="323">
        <f t="shared" si="36"/>
        <v>0</v>
      </c>
      <c r="P130" s="323">
        <f t="shared" si="36"/>
        <v>1</v>
      </c>
    </row>
    <row r="131" spans="1:16">
      <c r="A131" s="309"/>
      <c r="B131" s="307" t="s">
        <v>25</v>
      </c>
      <c r="C131" s="316">
        <v>46</v>
      </c>
      <c r="D131" s="316">
        <v>41</v>
      </c>
      <c r="E131" s="316">
        <v>28</v>
      </c>
      <c r="F131" s="316">
        <v>492</v>
      </c>
      <c r="G131" s="316">
        <v>1016</v>
      </c>
      <c r="H131" s="316">
        <v>0</v>
      </c>
      <c r="I131" s="317">
        <v>1623</v>
      </c>
      <c r="J131" s="318">
        <f t="shared" si="36"/>
        <v>2.8342575477510783E-2</v>
      </c>
      <c r="K131" s="318">
        <f t="shared" si="36"/>
        <v>2.5261860751694395E-2</v>
      </c>
      <c r="L131" s="318">
        <f t="shared" si="36"/>
        <v>1.7252002464571779E-2</v>
      </c>
      <c r="M131" s="318">
        <f t="shared" si="36"/>
        <v>0.30314232902033272</v>
      </c>
      <c r="N131" s="318">
        <f t="shared" si="36"/>
        <v>0.62600123228589033</v>
      </c>
      <c r="O131" s="318">
        <f t="shared" si="36"/>
        <v>0</v>
      </c>
      <c r="P131" s="319">
        <f t="shared" si="36"/>
        <v>1</v>
      </c>
    </row>
    <row r="132" spans="1:16">
      <c r="A132" s="328"/>
      <c r="B132" s="308" t="s">
        <v>26</v>
      </c>
      <c r="C132" s="324">
        <v>0</v>
      </c>
      <c r="D132" s="324">
        <v>0</v>
      </c>
      <c r="E132" s="324">
        <v>0</v>
      </c>
      <c r="F132" s="324">
        <v>0</v>
      </c>
      <c r="G132" s="324">
        <v>0</v>
      </c>
      <c r="H132" s="324">
        <v>0</v>
      </c>
      <c r="I132" s="325">
        <v>0</v>
      </c>
      <c r="J132" s="326"/>
      <c r="K132" s="326"/>
      <c r="L132" s="326"/>
      <c r="M132" s="326"/>
      <c r="N132" s="326"/>
      <c r="O132" s="326"/>
      <c r="P132" s="327"/>
    </row>
    <row r="133" spans="1:16">
      <c r="A133" s="309" t="s">
        <v>15</v>
      </c>
      <c r="B133" s="307" t="s">
        <v>19</v>
      </c>
      <c r="C133" s="316">
        <v>575</v>
      </c>
      <c r="D133" s="316">
        <v>301</v>
      </c>
      <c r="E133" s="316">
        <v>183</v>
      </c>
      <c r="F133" s="316">
        <v>50</v>
      </c>
      <c r="G133" s="316">
        <v>8</v>
      </c>
      <c r="H133" s="316">
        <v>0</v>
      </c>
      <c r="I133" s="317">
        <v>1117</v>
      </c>
      <c r="J133" s="318">
        <f t="shared" ref="J133:P137" si="37">C133/$I133</f>
        <v>0.51477170993733212</v>
      </c>
      <c r="K133" s="318">
        <f t="shared" si="37"/>
        <v>0.26947179946284688</v>
      </c>
      <c r="L133" s="318">
        <f t="shared" si="37"/>
        <v>0.16383169203222919</v>
      </c>
      <c r="M133" s="318">
        <f t="shared" si="37"/>
        <v>4.4762757385854966E-2</v>
      </c>
      <c r="N133" s="318">
        <f t="shared" si="37"/>
        <v>7.162041181736795E-3</v>
      </c>
      <c r="O133" s="318">
        <f t="shared" si="37"/>
        <v>0</v>
      </c>
      <c r="P133" s="319">
        <f t="shared" si="37"/>
        <v>1</v>
      </c>
    </row>
    <row r="134" spans="1:16">
      <c r="A134" s="309"/>
      <c r="B134" s="307" t="s">
        <v>20</v>
      </c>
      <c r="C134" s="316">
        <v>276</v>
      </c>
      <c r="D134" s="316">
        <v>232</v>
      </c>
      <c r="E134" s="316">
        <v>166</v>
      </c>
      <c r="F134" s="316">
        <v>55</v>
      </c>
      <c r="G134" s="316">
        <v>6</v>
      </c>
      <c r="H134" s="316">
        <v>0</v>
      </c>
      <c r="I134" s="317">
        <v>735</v>
      </c>
      <c r="J134" s="318">
        <f t="shared" si="37"/>
        <v>0.37551020408163266</v>
      </c>
      <c r="K134" s="318">
        <f t="shared" si="37"/>
        <v>0.31564625850340133</v>
      </c>
      <c r="L134" s="318">
        <f t="shared" si="37"/>
        <v>0.22585034013605443</v>
      </c>
      <c r="M134" s="318">
        <f t="shared" si="37"/>
        <v>7.4829931972789115E-2</v>
      </c>
      <c r="N134" s="318">
        <f t="shared" si="37"/>
        <v>8.1632653061224497E-3</v>
      </c>
      <c r="O134" s="318">
        <f t="shared" si="37"/>
        <v>0</v>
      </c>
      <c r="P134" s="319">
        <f t="shared" si="37"/>
        <v>1</v>
      </c>
    </row>
    <row r="135" spans="1:16">
      <c r="A135" s="309"/>
      <c r="B135" s="307" t="s">
        <v>21</v>
      </c>
      <c r="C135" s="316">
        <v>443</v>
      </c>
      <c r="D135" s="316">
        <v>391</v>
      </c>
      <c r="E135" s="316">
        <v>501</v>
      </c>
      <c r="F135" s="316">
        <v>117</v>
      </c>
      <c r="G135" s="316">
        <v>2</v>
      </c>
      <c r="H135" s="316">
        <v>0</v>
      </c>
      <c r="I135" s="317">
        <v>1454</v>
      </c>
      <c r="J135" s="318">
        <f t="shared" si="37"/>
        <v>0.30467675378266851</v>
      </c>
      <c r="K135" s="318">
        <f t="shared" si="37"/>
        <v>0.26891334250343879</v>
      </c>
      <c r="L135" s="318">
        <f t="shared" si="37"/>
        <v>0.34456671251719395</v>
      </c>
      <c r="M135" s="318">
        <f t="shared" si="37"/>
        <v>8.0467675378266851E-2</v>
      </c>
      <c r="N135" s="318">
        <f t="shared" si="37"/>
        <v>1.375515818431912E-3</v>
      </c>
      <c r="O135" s="318">
        <f t="shared" si="37"/>
        <v>0</v>
      </c>
      <c r="P135" s="319">
        <f t="shared" si="37"/>
        <v>1</v>
      </c>
    </row>
    <row r="136" spans="1:16">
      <c r="A136" s="309"/>
      <c r="B136" s="307" t="s">
        <v>22</v>
      </c>
      <c r="C136" s="316">
        <v>375</v>
      </c>
      <c r="D136" s="316">
        <v>234</v>
      </c>
      <c r="E136" s="316">
        <v>279</v>
      </c>
      <c r="F136" s="316">
        <v>38</v>
      </c>
      <c r="G136" s="316">
        <v>0</v>
      </c>
      <c r="H136" s="316">
        <v>0</v>
      </c>
      <c r="I136" s="317">
        <v>926</v>
      </c>
      <c r="J136" s="318">
        <f t="shared" si="37"/>
        <v>0.40496760259179265</v>
      </c>
      <c r="K136" s="318">
        <f t="shared" si="37"/>
        <v>0.25269978401727861</v>
      </c>
      <c r="L136" s="318">
        <f t="shared" si="37"/>
        <v>0.30129589632829373</v>
      </c>
      <c r="M136" s="318">
        <f t="shared" si="37"/>
        <v>4.1036717062634988E-2</v>
      </c>
      <c r="N136" s="318">
        <f t="shared" si="37"/>
        <v>0</v>
      </c>
      <c r="O136" s="318">
        <f t="shared" si="37"/>
        <v>0</v>
      </c>
      <c r="P136" s="319">
        <f t="shared" si="37"/>
        <v>1</v>
      </c>
    </row>
    <row r="137" spans="1:16">
      <c r="A137" s="309"/>
      <c r="B137" s="307" t="s">
        <v>23</v>
      </c>
      <c r="C137" s="316">
        <v>106</v>
      </c>
      <c r="D137" s="316">
        <v>54</v>
      </c>
      <c r="E137" s="316">
        <v>43</v>
      </c>
      <c r="F137" s="316">
        <v>2</v>
      </c>
      <c r="G137" s="316">
        <v>0</v>
      </c>
      <c r="H137" s="316">
        <v>0</v>
      </c>
      <c r="I137" s="317">
        <v>205</v>
      </c>
      <c r="J137" s="318">
        <f t="shared" si="37"/>
        <v>0.51707317073170733</v>
      </c>
      <c r="K137" s="318">
        <f t="shared" si="37"/>
        <v>0.26341463414634148</v>
      </c>
      <c r="L137" s="318">
        <f t="shared" si="37"/>
        <v>0.2097560975609756</v>
      </c>
      <c r="M137" s="318">
        <f t="shared" si="37"/>
        <v>9.7560975609756097E-3</v>
      </c>
      <c r="N137" s="318">
        <f t="shared" si="37"/>
        <v>0</v>
      </c>
      <c r="O137" s="318">
        <f t="shared" si="37"/>
        <v>0</v>
      </c>
      <c r="P137" s="319">
        <f t="shared" si="37"/>
        <v>1</v>
      </c>
    </row>
    <row r="138" spans="1:16">
      <c r="A138" s="309"/>
      <c r="B138" s="307" t="s">
        <v>24</v>
      </c>
      <c r="C138" s="316">
        <v>0</v>
      </c>
      <c r="D138" s="316">
        <v>0</v>
      </c>
      <c r="E138" s="316">
        <v>0</v>
      </c>
      <c r="F138" s="316">
        <v>0</v>
      </c>
      <c r="G138" s="316">
        <v>0</v>
      </c>
      <c r="H138" s="316">
        <v>0</v>
      </c>
      <c r="I138" s="317">
        <v>0</v>
      </c>
      <c r="J138" s="318"/>
      <c r="K138" s="318"/>
      <c r="L138" s="318"/>
      <c r="M138" s="318"/>
      <c r="N138" s="318"/>
      <c r="O138" s="318"/>
      <c r="P138" s="319"/>
    </row>
    <row r="139" spans="1:16">
      <c r="A139" s="309"/>
      <c r="B139" s="320" t="s">
        <v>116</v>
      </c>
      <c r="C139" s="321">
        <v>1775</v>
      </c>
      <c r="D139" s="321">
        <v>1212</v>
      </c>
      <c r="E139" s="321">
        <v>1172</v>
      </c>
      <c r="F139" s="321">
        <v>262</v>
      </c>
      <c r="G139" s="321">
        <v>16</v>
      </c>
      <c r="H139" s="321">
        <v>0</v>
      </c>
      <c r="I139" s="322">
        <v>4437</v>
      </c>
      <c r="J139" s="323">
        <f t="shared" ref="J139:J149" si="38">C139/$I139</f>
        <v>0.40004507550146495</v>
      </c>
      <c r="K139" s="323">
        <f t="shared" ref="K139:K149" si="39">D139/$I139</f>
        <v>0.27315753887762001</v>
      </c>
      <c r="L139" s="323">
        <f t="shared" ref="L139:L149" si="40">E139/$I139</f>
        <v>0.26414243858462927</v>
      </c>
      <c r="M139" s="323">
        <f t="shared" ref="M139:M149" si="41">F139/$I139</f>
        <v>5.9048906919089476E-2</v>
      </c>
      <c r="N139" s="323">
        <f t="shared" ref="N139:N149" si="42">G139/$I139</f>
        <v>3.6060401171963039E-3</v>
      </c>
      <c r="O139" s="323">
        <f t="shared" ref="O139:O149" si="43">H139/$I139</f>
        <v>0</v>
      </c>
      <c r="P139" s="323">
        <f t="shared" ref="P139:P149" si="44">I139/$I139</f>
        <v>1</v>
      </c>
    </row>
    <row r="140" spans="1:16">
      <c r="A140" s="309"/>
      <c r="B140" s="307" t="s">
        <v>25</v>
      </c>
      <c r="C140" s="316">
        <v>167</v>
      </c>
      <c r="D140" s="316">
        <v>652</v>
      </c>
      <c r="E140" s="316">
        <v>380</v>
      </c>
      <c r="F140" s="316">
        <v>389</v>
      </c>
      <c r="G140" s="316">
        <v>0</v>
      </c>
      <c r="H140" s="316">
        <v>0</v>
      </c>
      <c r="I140" s="317">
        <v>1588</v>
      </c>
      <c r="J140" s="318">
        <f t="shared" si="38"/>
        <v>0.10516372795969774</v>
      </c>
      <c r="K140" s="318">
        <f t="shared" si="39"/>
        <v>0.41057934508816119</v>
      </c>
      <c r="L140" s="318">
        <f t="shared" si="40"/>
        <v>0.23929471032745592</v>
      </c>
      <c r="M140" s="318">
        <f t="shared" si="41"/>
        <v>0.24496221662468515</v>
      </c>
      <c r="N140" s="318">
        <f t="shared" si="42"/>
        <v>0</v>
      </c>
      <c r="O140" s="318">
        <f t="shared" si="43"/>
        <v>0</v>
      </c>
      <c r="P140" s="319">
        <f t="shared" si="44"/>
        <v>1</v>
      </c>
    </row>
    <row r="141" spans="1:16">
      <c r="A141" s="328"/>
      <c r="B141" s="308" t="s">
        <v>26</v>
      </c>
      <c r="C141" s="324">
        <v>0</v>
      </c>
      <c r="D141" s="324">
        <v>0</v>
      </c>
      <c r="E141" s="324">
        <v>0</v>
      </c>
      <c r="F141" s="324">
        <v>0</v>
      </c>
      <c r="G141" s="324">
        <v>292</v>
      </c>
      <c r="H141" s="324">
        <v>0</v>
      </c>
      <c r="I141" s="325">
        <v>292</v>
      </c>
      <c r="J141" s="326">
        <f t="shared" si="38"/>
        <v>0</v>
      </c>
      <c r="K141" s="326">
        <f t="shared" si="39"/>
        <v>0</v>
      </c>
      <c r="L141" s="326">
        <f t="shared" si="40"/>
        <v>0</v>
      </c>
      <c r="M141" s="326">
        <f t="shared" si="41"/>
        <v>0</v>
      </c>
      <c r="N141" s="326">
        <f t="shared" si="42"/>
        <v>1</v>
      </c>
      <c r="O141" s="326">
        <f t="shared" si="43"/>
        <v>0</v>
      </c>
      <c r="P141" s="327">
        <f t="shared" si="44"/>
        <v>1</v>
      </c>
    </row>
    <row r="142" spans="1:16">
      <c r="A142" s="309" t="s">
        <v>16</v>
      </c>
      <c r="B142" s="307" t="s">
        <v>19</v>
      </c>
      <c r="C142" s="331">
        <v>2531</v>
      </c>
      <c r="D142" s="331">
        <v>1638</v>
      </c>
      <c r="E142" s="331">
        <v>1312</v>
      </c>
      <c r="F142" s="331">
        <v>57</v>
      </c>
      <c r="G142" s="331">
        <v>379</v>
      </c>
      <c r="H142" s="331">
        <v>0</v>
      </c>
      <c r="I142" s="332">
        <v>5917</v>
      </c>
      <c r="J142" s="318">
        <f t="shared" si="38"/>
        <v>0.42775054926483014</v>
      </c>
      <c r="K142" s="318">
        <f t="shared" si="39"/>
        <v>0.27682947439580868</v>
      </c>
      <c r="L142" s="318">
        <f t="shared" si="40"/>
        <v>0.22173398681764409</v>
      </c>
      <c r="M142" s="318">
        <f t="shared" si="41"/>
        <v>9.6332600980226467E-3</v>
      </c>
      <c r="N142" s="318">
        <f t="shared" si="42"/>
        <v>6.4052729423694443E-2</v>
      </c>
      <c r="O142" s="318">
        <f t="shared" si="43"/>
        <v>0</v>
      </c>
      <c r="P142" s="319">
        <f t="shared" si="44"/>
        <v>1</v>
      </c>
    </row>
    <row r="143" spans="1:16">
      <c r="A143" s="309"/>
      <c r="B143" s="307" t="s">
        <v>20</v>
      </c>
      <c r="C143" s="331">
        <v>197</v>
      </c>
      <c r="D143" s="331">
        <v>172</v>
      </c>
      <c r="E143" s="331">
        <v>167</v>
      </c>
      <c r="F143" s="331">
        <v>37</v>
      </c>
      <c r="G143" s="331">
        <v>12</v>
      </c>
      <c r="H143" s="331">
        <v>0</v>
      </c>
      <c r="I143" s="332">
        <v>585</v>
      </c>
      <c r="J143" s="318">
        <f t="shared" si="38"/>
        <v>0.33675213675213678</v>
      </c>
      <c r="K143" s="318">
        <f t="shared" si="39"/>
        <v>0.29401709401709403</v>
      </c>
      <c r="L143" s="318">
        <f t="shared" si="40"/>
        <v>0.28547008547008546</v>
      </c>
      <c r="M143" s="318">
        <f t="shared" si="41"/>
        <v>6.3247863247863245E-2</v>
      </c>
      <c r="N143" s="318">
        <f t="shared" si="42"/>
        <v>2.0512820512820513E-2</v>
      </c>
      <c r="O143" s="318">
        <f t="shared" si="43"/>
        <v>0</v>
      </c>
      <c r="P143" s="319">
        <f t="shared" si="44"/>
        <v>1</v>
      </c>
    </row>
    <row r="144" spans="1:16">
      <c r="A144" s="309"/>
      <c r="B144" s="307" t="s">
        <v>21</v>
      </c>
      <c r="C144" s="331">
        <v>983</v>
      </c>
      <c r="D144" s="331">
        <v>769</v>
      </c>
      <c r="E144" s="331">
        <v>857</v>
      </c>
      <c r="F144" s="331">
        <v>260</v>
      </c>
      <c r="G144" s="331">
        <v>286</v>
      </c>
      <c r="H144" s="331">
        <v>0</v>
      </c>
      <c r="I144" s="332">
        <v>3155</v>
      </c>
      <c r="J144" s="318">
        <f t="shared" si="38"/>
        <v>0.31156893819334391</v>
      </c>
      <c r="K144" s="318">
        <f t="shared" si="39"/>
        <v>0.24374009508716324</v>
      </c>
      <c r="L144" s="318">
        <f t="shared" si="40"/>
        <v>0.27163232963549921</v>
      </c>
      <c r="M144" s="318">
        <f t="shared" si="41"/>
        <v>8.2408874801901746E-2</v>
      </c>
      <c r="N144" s="318">
        <f t="shared" si="42"/>
        <v>9.0649762282091914E-2</v>
      </c>
      <c r="O144" s="318">
        <f t="shared" si="43"/>
        <v>0</v>
      </c>
      <c r="P144" s="319">
        <f t="shared" si="44"/>
        <v>1</v>
      </c>
    </row>
    <row r="145" spans="1:16">
      <c r="A145" s="309"/>
      <c r="B145" s="307" t="s">
        <v>22</v>
      </c>
      <c r="C145" s="331">
        <v>249</v>
      </c>
      <c r="D145" s="331">
        <v>275</v>
      </c>
      <c r="E145" s="331">
        <v>362</v>
      </c>
      <c r="F145" s="331">
        <v>132</v>
      </c>
      <c r="G145" s="331">
        <v>126</v>
      </c>
      <c r="H145" s="331">
        <v>0</v>
      </c>
      <c r="I145" s="332">
        <v>1144</v>
      </c>
      <c r="J145" s="318">
        <f t="shared" si="38"/>
        <v>0.21765734265734266</v>
      </c>
      <c r="K145" s="318">
        <f t="shared" si="39"/>
        <v>0.24038461538461539</v>
      </c>
      <c r="L145" s="318">
        <f t="shared" si="40"/>
        <v>0.31643356643356646</v>
      </c>
      <c r="M145" s="318">
        <f t="shared" si="41"/>
        <v>0.11538461538461539</v>
      </c>
      <c r="N145" s="318">
        <f t="shared" si="42"/>
        <v>0.11013986013986014</v>
      </c>
      <c r="O145" s="318">
        <f t="shared" si="43"/>
        <v>0</v>
      </c>
      <c r="P145" s="319">
        <f t="shared" si="44"/>
        <v>1</v>
      </c>
    </row>
    <row r="146" spans="1:16">
      <c r="A146" s="309"/>
      <c r="B146" s="307" t="s">
        <v>23</v>
      </c>
      <c r="C146" s="331">
        <v>21</v>
      </c>
      <c r="D146" s="331">
        <v>63</v>
      </c>
      <c r="E146" s="331">
        <v>83</v>
      </c>
      <c r="F146" s="331">
        <v>21</v>
      </c>
      <c r="G146" s="331">
        <v>29</v>
      </c>
      <c r="H146" s="331">
        <v>0</v>
      </c>
      <c r="I146" s="332">
        <v>217</v>
      </c>
      <c r="J146" s="318">
        <f t="shared" si="38"/>
        <v>9.6774193548387094E-2</v>
      </c>
      <c r="K146" s="318">
        <f t="shared" si="39"/>
        <v>0.29032258064516131</v>
      </c>
      <c r="L146" s="318">
        <f t="shared" si="40"/>
        <v>0.38248847926267282</v>
      </c>
      <c r="M146" s="318">
        <f t="shared" si="41"/>
        <v>9.6774193548387094E-2</v>
      </c>
      <c r="N146" s="318">
        <f t="shared" si="42"/>
        <v>0.13364055299539171</v>
      </c>
      <c r="O146" s="318">
        <f t="shared" si="43"/>
        <v>0</v>
      </c>
      <c r="P146" s="319">
        <f t="shared" si="44"/>
        <v>1</v>
      </c>
    </row>
    <row r="147" spans="1:16">
      <c r="A147" s="309"/>
      <c r="B147" s="307" t="s">
        <v>24</v>
      </c>
      <c r="C147" s="331">
        <v>31</v>
      </c>
      <c r="D147" s="331">
        <v>70</v>
      </c>
      <c r="E147" s="331">
        <v>61</v>
      </c>
      <c r="F147" s="331">
        <v>4</v>
      </c>
      <c r="G147" s="331">
        <v>53</v>
      </c>
      <c r="H147" s="331">
        <v>0</v>
      </c>
      <c r="I147" s="332">
        <v>219</v>
      </c>
      <c r="J147" s="318">
        <f t="shared" si="38"/>
        <v>0.14155251141552511</v>
      </c>
      <c r="K147" s="318">
        <f t="shared" si="39"/>
        <v>0.31963470319634701</v>
      </c>
      <c r="L147" s="318">
        <f t="shared" si="40"/>
        <v>0.27853881278538811</v>
      </c>
      <c r="M147" s="318">
        <f t="shared" si="41"/>
        <v>1.8264840182648401E-2</v>
      </c>
      <c r="N147" s="318">
        <f t="shared" si="42"/>
        <v>0.24200913242009131</v>
      </c>
      <c r="O147" s="318">
        <f t="shared" si="43"/>
        <v>0</v>
      </c>
      <c r="P147" s="319">
        <f t="shared" si="44"/>
        <v>1</v>
      </c>
    </row>
    <row r="148" spans="1:16">
      <c r="A148" s="309"/>
      <c r="B148" s="320" t="s">
        <v>116</v>
      </c>
      <c r="C148" s="321">
        <v>4012</v>
      </c>
      <c r="D148" s="321">
        <v>2987</v>
      </c>
      <c r="E148" s="321">
        <v>2842</v>
      </c>
      <c r="F148" s="321">
        <v>511</v>
      </c>
      <c r="G148" s="321">
        <v>885</v>
      </c>
      <c r="H148" s="321">
        <v>0</v>
      </c>
      <c r="I148" s="322">
        <v>11237</v>
      </c>
      <c r="J148" s="323">
        <f t="shared" si="38"/>
        <v>0.35703479576399394</v>
      </c>
      <c r="K148" s="323">
        <f t="shared" si="39"/>
        <v>0.26581827890006232</v>
      </c>
      <c r="L148" s="323">
        <f t="shared" si="40"/>
        <v>0.25291447895345731</v>
      </c>
      <c r="M148" s="323">
        <f t="shared" si="41"/>
        <v>4.5474770846311297E-2</v>
      </c>
      <c r="N148" s="323">
        <f t="shared" si="42"/>
        <v>7.8757675536175131E-2</v>
      </c>
      <c r="O148" s="323">
        <f t="shared" si="43"/>
        <v>0</v>
      </c>
      <c r="P148" s="323">
        <f t="shared" si="44"/>
        <v>1</v>
      </c>
    </row>
    <row r="149" spans="1:16">
      <c r="A149" s="309"/>
      <c r="B149" s="307" t="s">
        <v>25</v>
      </c>
      <c r="C149" s="331">
        <v>0</v>
      </c>
      <c r="D149" s="331">
        <v>0</v>
      </c>
      <c r="E149" s="331">
        <v>0</v>
      </c>
      <c r="F149" s="331">
        <v>0</v>
      </c>
      <c r="G149" s="331">
        <v>0</v>
      </c>
      <c r="H149" s="331">
        <v>7951</v>
      </c>
      <c r="I149" s="332">
        <v>7951</v>
      </c>
      <c r="J149" s="318">
        <f t="shared" si="38"/>
        <v>0</v>
      </c>
      <c r="K149" s="318">
        <f t="shared" si="39"/>
        <v>0</v>
      </c>
      <c r="L149" s="318">
        <f t="shared" si="40"/>
        <v>0</v>
      </c>
      <c r="M149" s="318">
        <f t="shared" si="41"/>
        <v>0</v>
      </c>
      <c r="N149" s="318">
        <f t="shared" si="42"/>
        <v>0</v>
      </c>
      <c r="O149" s="318">
        <f t="shared" si="43"/>
        <v>1</v>
      </c>
      <c r="P149" s="319">
        <f t="shared" si="44"/>
        <v>1</v>
      </c>
    </row>
    <row r="150" spans="1:16">
      <c r="A150" s="328"/>
      <c r="B150" s="308" t="s">
        <v>26</v>
      </c>
      <c r="C150" s="333">
        <v>0</v>
      </c>
      <c r="D150" s="333">
        <v>0</v>
      </c>
      <c r="E150" s="333">
        <v>0</v>
      </c>
      <c r="F150" s="333">
        <v>0</v>
      </c>
      <c r="G150" s="333">
        <v>0</v>
      </c>
      <c r="H150" s="333">
        <v>0</v>
      </c>
      <c r="I150" s="334">
        <v>0</v>
      </c>
      <c r="J150" s="326"/>
      <c r="K150" s="326"/>
      <c r="L150" s="326"/>
      <c r="M150" s="326"/>
      <c r="N150" s="326"/>
      <c r="O150" s="326"/>
      <c r="P150" s="327"/>
    </row>
    <row r="151" spans="1:16">
      <c r="A151" s="309" t="s">
        <v>17</v>
      </c>
      <c r="B151" s="307" t="s">
        <v>19</v>
      </c>
      <c r="C151" s="316">
        <v>1062</v>
      </c>
      <c r="D151" s="316">
        <v>785</v>
      </c>
      <c r="E151" s="316">
        <v>419</v>
      </c>
      <c r="F151" s="316">
        <v>100</v>
      </c>
      <c r="G151" s="316">
        <v>47</v>
      </c>
      <c r="H151" s="316">
        <v>0</v>
      </c>
      <c r="I151" s="317">
        <v>2413</v>
      </c>
      <c r="J151" s="318">
        <f t="shared" ref="J151:P158" si="45">C151/$I151</f>
        <v>0.4401160381268131</v>
      </c>
      <c r="K151" s="318">
        <f t="shared" si="45"/>
        <v>0.32532117695814339</v>
      </c>
      <c r="L151" s="318">
        <f t="shared" si="45"/>
        <v>0.17364276833816825</v>
      </c>
      <c r="M151" s="318">
        <f t="shared" si="45"/>
        <v>4.1442188147534191E-2</v>
      </c>
      <c r="N151" s="318">
        <f t="shared" si="45"/>
        <v>1.9477828429341069E-2</v>
      </c>
      <c r="O151" s="318">
        <f t="shared" si="45"/>
        <v>0</v>
      </c>
      <c r="P151" s="319">
        <f t="shared" si="45"/>
        <v>1</v>
      </c>
    </row>
    <row r="152" spans="1:16">
      <c r="A152" s="309"/>
      <c r="B152" s="307" t="s">
        <v>20</v>
      </c>
      <c r="C152" s="316">
        <v>801</v>
      </c>
      <c r="D152" s="316">
        <v>897</v>
      </c>
      <c r="E152" s="316">
        <v>620</v>
      </c>
      <c r="F152" s="316">
        <v>192</v>
      </c>
      <c r="G152" s="316">
        <v>60</v>
      </c>
      <c r="H152" s="316">
        <v>0</v>
      </c>
      <c r="I152" s="317">
        <v>2570</v>
      </c>
      <c r="J152" s="318">
        <f t="shared" si="45"/>
        <v>0.31167315175097277</v>
      </c>
      <c r="K152" s="318">
        <f t="shared" si="45"/>
        <v>0.34902723735408558</v>
      </c>
      <c r="L152" s="318">
        <f t="shared" si="45"/>
        <v>0.24124513618677043</v>
      </c>
      <c r="M152" s="318">
        <f t="shared" si="45"/>
        <v>7.4708171206225679E-2</v>
      </c>
      <c r="N152" s="318">
        <f t="shared" si="45"/>
        <v>2.3346303501945526E-2</v>
      </c>
      <c r="O152" s="318">
        <f t="shared" si="45"/>
        <v>0</v>
      </c>
      <c r="P152" s="319">
        <f t="shared" si="45"/>
        <v>1</v>
      </c>
    </row>
    <row r="153" spans="1:16">
      <c r="A153" s="309"/>
      <c r="B153" s="307" t="s">
        <v>21</v>
      </c>
      <c r="C153" s="316">
        <v>344</v>
      </c>
      <c r="D153" s="316">
        <v>293</v>
      </c>
      <c r="E153" s="316">
        <v>222</v>
      </c>
      <c r="F153" s="316">
        <v>61</v>
      </c>
      <c r="G153" s="316">
        <v>0</v>
      </c>
      <c r="H153" s="316">
        <v>0</v>
      </c>
      <c r="I153" s="317">
        <v>920</v>
      </c>
      <c r="J153" s="318">
        <f t="shared" si="45"/>
        <v>0.37391304347826088</v>
      </c>
      <c r="K153" s="318">
        <f t="shared" si="45"/>
        <v>0.31847826086956521</v>
      </c>
      <c r="L153" s="318">
        <f t="shared" si="45"/>
        <v>0.24130434782608695</v>
      </c>
      <c r="M153" s="318">
        <f t="shared" si="45"/>
        <v>6.6304347826086962E-2</v>
      </c>
      <c r="N153" s="318">
        <f t="shared" si="45"/>
        <v>0</v>
      </c>
      <c r="O153" s="318">
        <f t="shared" si="45"/>
        <v>0</v>
      </c>
      <c r="P153" s="319">
        <f t="shared" si="45"/>
        <v>1</v>
      </c>
    </row>
    <row r="154" spans="1:16">
      <c r="A154" s="309"/>
      <c r="B154" s="307" t="s">
        <v>22</v>
      </c>
      <c r="C154" s="316">
        <v>136</v>
      </c>
      <c r="D154" s="316">
        <v>122</v>
      </c>
      <c r="E154" s="316">
        <v>166</v>
      </c>
      <c r="F154" s="316">
        <v>54</v>
      </c>
      <c r="G154" s="316">
        <v>4</v>
      </c>
      <c r="H154" s="316">
        <v>0</v>
      </c>
      <c r="I154" s="317">
        <v>482</v>
      </c>
      <c r="J154" s="318">
        <f t="shared" si="45"/>
        <v>0.28215767634854771</v>
      </c>
      <c r="K154" s="318">
        <f t="shared" si="45"/>
        <v>0.25311203319502074</v>
      </c>
      <c r="L154" s="318">
        <f t="shared" si="45"/>
        <v>0.34439834024896265</v>
      </c>
      <c r="M154" s="318">
        <f t="shared" si="45"/>
        <v>0.11203319502074689</v>
      </c>
      <c r="N154" s="318">
        <f t="shared" si="45"/>
        <v>8.2987551867219917E-3</v>
      </c>
      <c r="O154" s="318">
        <f t="shared" si="45"/>
        <v>0</v>
      </c>
      <c r="P154" s="319">
        <f t="shared" si="45"/>
        <v>1</v>
      </c>
    </row>
    <row r="155" spans="1:16">
      <c r="A155" s="309"/>
      <c r="B155" s="307" t="s">
        <v>23</v>
      </c>
      <c r="C155" s="316">
        <v>42</v>
      </c>
      <c r="D155" s="316">
        <v>53</v>
      </c>
      <c r="E155" s="316">
        <v>53</v>
      </c>
      <c r="F155" s="316">
        <v>10</v>
      </c>
      <c r="G155" s="316">
        <v>0</v>
      </c>
      <c r="H155" s="316">
        <v>0</v>
      </c>
      <c r="I155" s="317">
        <v>158</v>
      </c>
      <c r="J155" s="318">
        <f t="shared" si="45"/>
        <v>0.26582278481012656</v>
      </c>
      <c r="K155" s="318">
        <f t="shared" si="45"/>
        <v>0.33544303797468356</v>
      </c>
      <c r="L155" s="318">
        <f t="shared" si="45"/>
        <v>0.33544303797468356</v>
      </c>
      <c r="M155" s="318">
        <f t="shared" si="45"/>
        <v>6.3291139240506333E-2</v>
      </c>
      <c r="N155" s="318">
        <f t="shared" si="45"/>
        <v>0</v>
      </c>
      <c r="O155" s="318">
        <f t="shared" si="45"/>
        <v>0</v>
      </c>
      <c r="P155" s="319">
        <f t="shared" si="45"/>
        <v>1</v>
      </c>
    </row>
    <row r="156" spans="1:16">
      <c r="A156" s="309"/>
      <c r="B156" s="307" t="s">
        <v>24</v>
      </c>
      <c r="C156" s="316">
        <v>128</v>
      </c>
      <c r="D156" s="316">
        <v>97</v>
      </c>
      <c r="E156" s="316">
        <v>135</v>
      </c>
      <c r="F156" s="316">
        <v>19</v>
      </c>
      <c r="G156" s="316">
        <v>13</v>
      </c>
      <c r="H156" s="316">
        <v>0</v>
      </c>
      <c r="I156" s="317">
        <v>392</v>
      </c>
      <c r="J156" s="318">
        <f t="shared" si="45"/>
        <v>0.32653061224489793</v>
      </c>
      <c r="K156" s="318">
        <f t="shared" si="45"/>
        <v>0.24744897959183673</v>
      </c>
      <c r="L156" s="318">
        <f t="shared" si="45"/>
        <v>0.34438775510204084</v>
      </c>
      <c r="M156" s="318">
        <f t="shared" si="45"/>
        <v>4.8469387755102039E-2</v>
      </c>
      <c r="N156" s="318">
        <f t="shared" si="45"/>
        <v>3.3163265306122451E-2</v>
      </c>
      <c r="O156" s="318">
        <f t="shared" si="45"/>
        <v>0</v>
      </c>
      <c r="P156" s="319">
        <f t="shared" si="45"/>
        <v>1</v>
      </c>
    </row>
    <row r="157" spans="1:16">
      <c r="A157" s="309"/>
      <c r="B157" s="320" t="s">
        <v>116</v>
      </c>
      <c r="C157" s="321">
        <v>2513</v>
      </c>
      <c r="D157" s="321">
        <v>2247</v>
      </c>
      <c r="E157" s="321">
        <v>1615</v>
      </c>
      <c r="F157" s="321">
        <v>436</v>
      </c>
      <c r="G157" s="321">
        <v>124</v>
      </c>
      <c r="H157" s="321">
        <v>0</v>
      </c>
      <c r="I157" s="322">
        <v>6935</v>
      </c>
      <c r="J157" s="323">
        <f t="shared" si="45"/>
        <v>0.36236481614996396</v>
      </c>
      <c r="K157" s="323">
        <f t="shared" si="45"/>
        <v>0.32400865176640231</v>
      </c>
      <c r="L157" s="323">
        <f t="shared" si="45"/>
        <v>0.23287671232876711</v>
      </c>
      <c r="M157" s="323">
        <f t="shared" si="45"/>
        <v>6.2869502523431861E-2</v>
      </c>
      <c r="N157" s="323">
        <f t="shared" si="45"/>
        <v>1.788031723143475E-2</v>
      </c>
      <c r="O157" s="323">
        <f t="shared" si="45"/>
        <v>0</v>
      </c>
      <c r="P157" s="323">
        <f t="shared" si="45"/>
        <v>1</v>
      </c>
    </row>
    <row r="158" spans="1:16">
      <c r="A158" s="309"/>
      <c r="B158" s="307" t="s">
        <v>25</v>
      </c>
      <c r="C158" s="316">
        <v>422</v>
      </c>
      <c r="D158" s="316">
        <v>656</v>
      </c>
      <c r="E158" s="316">
        <v>612</v>
      </c>
      <c r="F158" s="316">
        <v>226</v>
      </c>
      <c r="G158" s="316">
        <v>2</v>
      </c>
      <c r="H158" s="316">
        <v>0</v>
      </c>
      <c r="I158" s="317">
        <v>1918</v>
      </c>
      <c r="J158" s="318">
        <f t="shared" si="45"/>
        <v>0.22002085505735142</v>
      </c>
      <c r="K158" s="318">
        <f t="shared" si="45"/>
        <v>0.34202294056308657</v>
      </c>
      <c r="L158" s="318">
        <f t="shared" si="45"/>
        <v>0.31908237747653806</v>
      </c>
      <c r="M158" s="318">
        <f t="shared" si="45"/>
        <v>0.11783107403545359</v>
      </c>
      <c r="N158" s="318">
        <f t="shared" si="45"/>
        <v>1.0427528675703858E-3</v>
      </c>
      <c r="O158" s="318">
        <f t="shared" si="45"/>
        <v>0</v>
      </c>
      <c r="P158" s="319">
        <f t="shared" si="45"/>
        <v>1</v>
      </c>
    </row>
    <row r="159" spans="1:16">
      <c r="A159" s="328"/>
      <c r="B159" s="308" t="s">
        <v>26</v>
      </c>
      <c r="C159" s="324">
        <v>0</v>
      </c>
      <c r="D159" s="324">
        <v>0</v>
      </c>
      <c r="E159" s="324">
        <v>0</v>
      </c>
      <c r="F159" s="324">
        <v>0</v>
      </c>
      <c r="G159" s="324">
        <v>0</v>
      </c>
      <c r="H159" s="324">
        <v>0</v>
      </c>
      <c r="I159" s="325">
        <v>0</v>
      </c>
      <c r="J159" s="326"/>
      <c r="K159" s="326"/>
      <c r="L159" s="326"/>
      <c r="M159" s="326"/>
      <c r="N159" s="326"/>
      <c r="O159" s="326"/>
      <c r="P159" s="327"/>
    </row>
    <row r="160" spans="1:16">
      <c r="A160" s="309" t="s">
        <v>18</v>
      </c>
      <c r="B160" s="307" t="s">
        <v>19</v>
      </c>
      <c r="C160" s="316">
        <v>352</v>
      </c>
      <c r="D160" s="316">
        <v>253</v>
      </c>
      <c r="E160" s="316">
        <v>260</v>
      </c>
      <c r="F160" s="316">
        <v>20</v>
      </c>
      <c r="G160" s="316">
        <v>18</v>
      </c>
      <c r="H160" s="316">
        <v>0</v>
      </c>
      <c r="I160" s="317">
        <v>903</v>
      </c>
      <c r="J160" s="318">
        <f t="shared" ref="J160:P160" si="46">C160/$I160</f>
        <v>0.38981173864894797</v>
      </c>
      <c r="K160" s="318">
        <f t="shared" si="46"/>
        <v>0.28017718715393136</v>
      </c>
      <c r="L160" s="318">
        <f t="shared" si="46"/>
        <v>0.28792912513842744</v>
      </c>
      <c r="M160" s="318">
        <f t="shared" si="46"/>
        <v>2.2148394241417499E-2</v>
      </c>
      <c r="N160" s="318">
        <f t="shared" si="46"/>
        <v>1.9933554817275746E-2</v>
      </c>
      <c r="O160" s="318">
        <f t="shared" si="46"/>
        <v>0</v>
      </c>
      <c r="P160" s="319">
        <f t="shared" si="46"/>
        <v>1</v>
      </c>
    </row>
    <row r="161" spans="1:16">
      <c r="A161" s="309"/>
      <c r="B161" s="307" t="s">
        <v>20</v>
      </c>
      <c r="C161" s="316">
        <v>0</v>
      </c>
      <c r="D161" s="316">
        <v>0</v>
      </c>
      <c r="E161" s="316">
        <v>0</v>
      </c>
      <c r="F161" s="316">
        <v>0</v>
      </c>
      <c r="G161" s="316">
        <v>0</v>
      </c>
      <c r="H161" s="316">
        <v>0</v>
      </c>
      <c r="I161" s="317">
        <v>0</v>
      </c>
      <c r="J161" s="318"/>
      <c r="K161" s="318"/>
      <c r="L161" s="318"/>
      <c r="M161" s="318"/>
      <c r="N161" s="318"/>
      <c r="O161" s="318"/>
      <c r="P161" s="319"/>
    </row>
    <row r="162" spans="1:16">
      <c r="A162" s="309"/>
      <c r="B162" s="307" t="s">
        <v>21</v>
      </c>
      <c r="C162" s="316">
        <v>168</v>
      </c>
      <c r="D162" s="316">
        <v>129</v>
      </c>
      <c r="E162" s="316">
        <v>95</v>
      </c>
      <c r="F162" s="316">
        <v>18</v>
      </c>
      <c r="G162" s="316">
        <v>0</v>
      </c>
      <c r="H162" s="316">
        <v>0</v>
      </c>
      <c r="I162" s="317">
        <v>410</v>
      </c>
      <c r="J162" s="318">
        <f t="shared" ref="J162:P162" si="47">C162/$I162</f>
        <v>0.40975609756097559</v>
      </c>
      <c r="K162" s="318">
        <f t="shared" si="47"/>
        <v>0.31463414634146342</v>
      </c>
      <c r="L162" s="318">
        <f t="shared" si="47"/>
        <v>0.23170731707317074</v>
      </c>
      <c r="M162" s="318">
        <f t="shared" si="47"/>
        <v>4.3902439024390241E-2</v>
      </c>
      <c r="N162" s="318">
        <f t="shared" si="47"/>
        <v>0</v>
      </c>
      <c r="O162" s="318">
        <f t="shared" si="47"/>
        <v>0</v>
      </c>
      <c r="P162" s="319">
        <f t="shared" si="47"/>
        <v>1</v>
      </c>
    </row>
    <row r="163" spans="1:16">
      <c r="A163" s="309"/>
      <c r="B163" s="307" t="s">
        <v>22</v>
      </c>
      <c r="C163" s="316">
        <v>0</v>
      </c>
      <c r="D163" s="316">
        <v>0</v>
      </c>
      <c r="E163" s="316">
        <v>0</v>
      </c>
      <c r="F163" s="316">
        <v>0</v>
      </c>
      <c r="G163" s="316">
        <v>0</v>
      </c>
      <c r="H163" s="316">
        <v>0</v>
      </c>
      <c r="I163" s="317">
        <v>0</v>
      </c>
      <c r="J163" s="318"/>
      <c r="K163" s="318"/>
      <c r="L163" s="318"/>
      <c r="M163" s="318"/>
      <c r="N163" s="318"/>
      <c r="O163" s="318"/>
      <c r="P163" s="319"/>
    </row>
    <row r="164" spans="1:16">
      <c r="A164" s="309"/>
      <c r="B164" s="307" t="s">
        <v>23</v>
      </c>
      <c r="C164" s="316">
        <v>0</v>
      </c>
      <c r="D164" s="316">
        <v>0</v>
      </c>
      <c r="E164" s="316">
        <v>0</v>
      </c>
      <c r="F164" s="316">
        <v>0</v>
      </c>
      <c r="G164" s="316">
        <v>0</v>
      </c>
      <c r="H164" s="316">
        <v>0</v>
      </c>
      <c r="I164" s="317">
        <v>0</v>
      </c>
      <c r="J164" s="318"/>
      <c r="K164" s="318"/>
      <c r="L164" s="318"/>
      <c r="M164" s="318"/>
      <c r="N164" s="318"/>
      <c r="O164" s="318"/>
      <c r="P164" s="319"/>
    </row>
    <row r="165" spans="1:16">
      <c r="A165" s="309"/>
      <c r="B165" s="307" t="s">
        <v>24</v>
      </c>
      <c r="C165" s="316">
        <v>282</v>
      </c>
      <c r="D165" s="316">
        <v>301</v>
      </c>
      <c r="E165" s="316">
        <v>267</v>
      </c>
      <c r="F165" s="316">
        <v>70</v>
      </c>
      <c r="G165" s="316">
        <v>8</v>
      </c>
      <c r="H165" s="316">
        <v>0</v>
      </c>
      <c r="I165" s="317">
        <v>928</v>
      </c>
      <c r="J165" s="318">
        <f t="shared" ref="J165:P167" si="48">C165/$I165</f>
        <v>0.30387931034482757</v>
      </c>
      <c r="K165" s="318">
        <f t="shared" si="48"/>
        <v>0.32435344827586204</v>
      </c>
      <c r="L165" s="318">
        <f t="shared" si="48"/>
        <v>0.28771551724137934</v>
      </c>
      <c r="M165" s="318">
        <f t="shared" si="48"/>
        <v>7.5431034482758619E-2</v>
      </c>
      <c r="N165" s="318">
        <f t="shared" si="48"/>
        <v>8.6206896551724137E-3</v>
      </c>
      <c r="O165" s="318">
        <f t="shared" si="48"/>
        <v>0</v>
      </c>
      <c r="P165" s="319">
        <f t="shared" si="48"/>
        <v>1</v>
      </c>
    </row>
    <row r="166" spans="1:16">
      <c r="A166" s="309"/>
      <c r="B166" s="320" t="s">
        <v>116</v>
      </c>
      <c r="C166" s="321">
        <v>802</v>
      </c>
      <c r="D166" s="321">
        <v>683</v>
      </c>
      <c r="E166" s="321">
        <v>622</v>
      </c>
      <c r="F166" s="321">
        <v>108</v>
      </c>
      <c r="G166" s="321">
        <v>26</v>
      </c>
      <c r="H166" s="321">
        <v>0</v>
      </c>
      <c r="I166" s="322">
        <v>2241</v>
      </c>
      <c r="J166" s="323">
        <f t="shared" si="48"/>
        <v>0.35787594823739405</v>
      </c>
      <c r="K166" s="323">
        <f t="shared" si="48"/>
        <v>0.30477465417224453</v>
      </c>
      <c r="L166" s="323">
        <f t="shared" si="48"/>
        <v>0.27755466309683174</v>
      </c>
      <c r="M166" s="323">
        <f t="shared" si="48"/>
        <v>4.8192771084337352E-2</v>
      </c>
      <c r="N166" s="323">
        <f t="shared" si="48"/>
        <v>1.1601963409192326E-2</v>
      </c>
      <c r="O166" s="323">
        <f t="shared" si="48"/>
        <v>0</v>
      </c>
      <c r="P166" s="323">
        <f t="shared" si="48"/>
        <v>1</v>
      </c>
    </row>
    <row r="167" spans="1:16">
      <c r="A167" s="309"/>
      <c r="B167" s="307" t="s">
        <v>25</v>
      </c>
      <c r="C167" s="316">
        <v>86</v>
      </c>
      <c r="D167" s="316">
        <v>54</v>
      </c>
      <c r="E167" s="316">
        <v>56</v>
      </c>
      <c r="F167" s="316">
        <v>33</v>
      </c>
      <c r="G167" s="316">
        <v>7</v>
      </c>
      <c r="H167" s="316">
        <v>0</v>
      </c>
      <c r="I167" s="317">
        <v>236</v>
      </c>
      <c r="J167" s="318">
        <f t="shared" si="48"/>
        <v>0.36440677966101692</v>
      </c>
      <c r="K167" s="318">
        <f t="shared" si="48"/>
        <v>0.2288135593220339</v>
      </c>
      <c r="L167" s="318">
        <f t="shared" si="48"/>
        <v>0.23728813559322035</v>
      </c>
      <c r="M167" s="318">
        <f t="shared" si="48"/>
        <v>0.13983050847457626</v>
      </c>
      <c r="N167" s="318">
        <f t="shared" si="48"/>
        <v>2.9661016949152543E-2</v>
      </c>
      <c r="O167" s="318">
        <f t="shared" si="48"/>
        <v>0</v>
      </c>
      <c r="P167" s="319">
        <f t="shared" si="48"/>
        <v>1</v>
      </c>
    </row>
    <row r="168" spans="1:16">
      <c r="A168" s="328"/>
      <c r="B168" s="308" t="s">
        <v>26</v>
      </c>
      <c r="C168" s="324">
        <v>0</v>
      </c>
      <c r="D168" s="324">
        <v>0</v>
      </c>
      <c r="E168" s="324">
        <v>0</v>
      </c>
      <c r="F168" s="324">
        <v>0</v>
      </c>
      <c r="G168" s="324">
        <v>0</v>
      </c>
      <c r="H168" s="324">
        <v>0</v>
      </c>
      <c r="I168" s="325">
        <v>0</v>
      </c>
      <c r="J168" s="326"/>
      <c r="K168" s="326"/>
      <c r="L168" s="326"/>
      <c r="M168" s="326"/>
      <c r="N168" s="326"/>
      <c r="O168" s="326"/>
      <c r="P168" s="327"/>
    </row>
    <row r="178" spans="1:16">
      <c r="A178" s="309"/>
      <c r="B178" s="309"/>
      <c r="C178" s="309"/>
      <c r="D178" s="309"/>
      <c r="E178" s="309"/>
      <c r="F178" s="309"/>
      <c r="G178" s="309"/>
      <c r="H178" s="309"/>
      <c r="I178" s="309"/>
      <c r="J178" s="309"/>
      <c r="K178" s="309"/>
      <c r="L178" s="309"/>
      <c r="M178" s="309"/>
      <c r="N178" s="309"/>
      <c r="O178" s="309"/>
      <c r="P178" s="309"/>
    </row>
    <row r="179" spans="1:16">
      <c r="A179" s="309"/>
      <c r="B179" s="309"/>
      <c r="C179" s="309"/>
      <c r="D179" s="309"/>
      <c r="E179" s="309"/>
      <c r="F179" s="309"/>
      <c r="G179" s="309"/>
      <c r="H179" s="309"/>
      <c r="I179" s="309"/>
      <c r="J179" s="309"/>
      <c r="K179" s="309"/>
      <c r="L179" s="309"/>
      <c r="M179" s="309"/>
      <c r="N179" s="309"/>
      <c r="O179" s="309"/>
      <c r="P179" s="309"/>
    </row>
    <row r="180" spans="1:16">
      <c r="A180" s="309"/>
      <c r="B180" s="309"/>
      <c r="C180" s="309"/>
      <c r="D180" s="309"/>
      <c r="E180" s="309"/>
      <c r="F180" s="309"/>
      <c r="G180" s="309"/>
      <c r="H180" s="309"/>
      <c r="I180" s="309"/>
      <c r="J180" s="309"/>
      <c r="K180" s="309"/>
      <c r="L180" s="309"/>
      <c r="M180" s="309"/>
      <c r="N180" s="309"/>
      <c r="O180" s="309"/>
      <c r="P180" s="309"/>
    </row>
    <row r="181" spans="1:16">
      <c r="A181" s="309"/>
      <c r="B181" s="309"/>
      <c r="C181" s="309"/>
      <c r="D181" s="309"/>
      <c r="E181" s="309"/>
      <c r="F181" s="309"/>
      <c r="G181" s="309"/>
      <c r="H181" s="309"/>
      <c r="I181" s="309"/>
      <c r="J181" s="309"/>
      <c r="K181" s="309"/>
      <c r="L181" s="309"/>
      <c r="M181" s="309"/>
      <c r="N181" s="309"/>
      <c r="O181" s="309"/>
      <c r="P181" s="309"/>
    </row>
    <row r="182" spans="1:16">
      <c r="A182" s="309"/>
      <c r="B182" s="309"/>
      <c r="C182" s="309"/>
      <c r="D182" s="309"/>
      <c r="E182" s="309"/>
      <c r="F182" s="309"/>
      <c r="G182" s="309"/>
      <c r="H182" s="309"/>
      <c r="I182" s="309"/>
      <c r="J182" s="309"/>
      <c r="K182" s="309"/>
      <c r="L182" s="309"/>
      <c r="M182" s="309"/>
      <c r="N182" s="309"/>
      <c r="O182" s="309"/>
      <c r="P182" s="309"/>
    </row>
    <row r="183" spans="1:16">
      <c r="A183" s="309"/>
      <c r="B183" s="309"/>
      <c r="C183" s="309"/>
      <c r="D183" s="309"/>
      <c r="E183" s="309"/>
      <c r="F183" s="309"/>
      <c r="G183" s="309"/>
      <c r="H183" s="309"/>
      <c r="I183" s="309"/>
      <c r="J183" s="309"/>
      <c r="K183" s="309"/>
      <c r="L183" s="309"/>
      <c r="M183" s="309"/>
      <c r="N183" s="309"/>
      <c r="O183" s="309"/>
      <c r="P183" s="309"/>
    </row>
    <row r="184" spans="1:16">
      <c r="A184" s="309"/>
      <c r="B184" s="309"/>
      <c r="C184" s="309"/>
      <c r="D184" s="309"/>
      <c r="E184" s="309"/>
      <c r="F184" s="309"/>
      <c r="G184" s="309"/>
      <c r="H184" s="309"/>
      <c r="I184" s="309"/>
      <c r="J184" s="309"/>
      <c r="K184" s="309"/>
      <c r="L184" s="309"/>
      <c r="M184" s="309"/>
      <c r="N184" s="309"/>
      <c r="O184" s="309"/>
      <c r="P184" s="309"/>
    </row>
    <row r="185" spans="1:16">
      <c r="A185" s="309"/>
      <c r="B185" s="309"/>
      <c r="C185" s="309"/>
      <c r="D185" s="309"/>
      <c r="E185" s="309"/>
      <c r="F185" s="309"/>
      <c r="G185" s="309"/>
      <c r="H185" s="309"/>
      <c r="I185" s="309"/>
      <c r="J185" s="309"/>
      <c r="K185" s="309"/>
      <c r="L185" s="309"/>
      <c r="M185" s="309"/>
      <c r="N185" s="309"/>
      <c r="O185" s="309"/>
      <c r="P185" s="309"/>
    </row>
    <row r="186" spans="1:16">
      <c r="A186" s="309"/>
      <c r="B186" s="309"/>
      <c r="C186" s="309"/>
      <c r="D186" s="309"/>
      <c r="E186" s="309"/>
      <c r="F186" s="309"/>
      <c r="G186" s="309"/>
      <c r="H186" s="309"/>
      <c r="I186" s="309"/>
      <c r="J186" s="309"/>
      <c r="K186" s="309"/>
      <c r="L186" s="309"/>
      <c r="M186" s="309"/>
      <c r="N186" s="309"/>
      <c r="O186" s="309"/>
      <c r="P186" s="309"/>
    </row>
    <row r="187" spans="1:16">
      <c r="A187" s="309"/>
      <c r="B187" s="309"/>
      <c r="C187" s="309"/>
      <c r="D187" s="309"/>
      <c r="E187" s="309"/>
      <c r="F187" s="309"/>
      <c r="G187" s="309"/>
      <c r="H187" s="309"/>
      <c r="I187" s="309"/>
      <c r="J187" s="309"/>
      <c r="K187" s="309"/>
      <c r="L187" s="309"/>
      <c r="M187" s="309"/>
      <c r="N187" s="309"/>
      <c r="O187" s="309"/>
      <c r="P187" s="309"/>
    </row>
    <row r="188" spans="1:16">
      <c r="A188" s="309"/>
      <c r="B188" s="309"/>
      <c r="C188" s="309"/>
      <c r="D188" s="309"/>
      <c r="E188" s="309"/>
      <c r="F188" s="309"/>
      <c r="G188" s="309"/>
      <c r="H188" s="309"/>
      <c r="I188" s="309"/>
      <c r="J188" s="309"/>
      <c r="K188" s="309"/>
      <c r="L188" s="309"/>
      <c r="M188" s="309"/>
      <c r="N188" s="309"/>
      <c r="O188" s="309"/>
      <c r="P188" s="309"/>
    </row>
    <row r="189" spans="1:16">
      <c r="A189" s="309"/>
      <c r="B189" s="309"/>
      <c r="C189" s="309"/>
      <c r="D189" s="309"/>
      <c r="E189" s="309"/>
      <c r="F189" s="309"/>
      <c r="G189" s="309"/>
      <c r="H189" s="309"/>
      <c r="I189" s="309"/>
      <c r="J189" s="309"/>
      <c r="K189" s="309"/>
      <c r="L189" s="309"/>
      <c r="M189" s="309"/>
      <c r="N189" s="309"/>
      <c r="O189" s="309"/>
      <c r="P189" s="309"/>
    </row>
    <row r="190" spans="1:16">
      <c r="A190" s="309"/>
      <c r="B190" s="309"/>
      <c r="C190" s="309"/>
      <c r="D190" s="309"/>
      <c r="E190" s="309"/>
      <c r="F190" s="309"/>
      <c r="G190" s="309"/>
      <c r="H190" s="309"/>
      <c r="I190" s="309"/>
      <c r="J190" s="309"/>
      <c r="K190" s="309"/>
      <c r="L190" s="309"/>
      <c r="M190" s="309"/>
      <c r="N190" s="309"/>
      <c r="O190" s="309"/>
      <c r="P190" s="309"/>
    </row>
    <row r="191" spans="1:16">
      <c r="A191" s="309"/>
      <c r="B191" s="309"/>
      <c r="C191" s="309"/>
      <c r="D191" s="309"/>
      <c r="E191" s="309"/>
      <c r="F191" s="309"/>
      <c r="G191" s="309"/>
      <c r="H191" s="309"/>
      <c r="I191" s="309"/>
      <c r="J191" s="309"/>
      <c r="K191" s="309"/>
      <c r="L191" s="309"/>
      <c r="M191" s="309"/>
      <c r="N191" s="309"/>
      <c r="O191" s="309"/>
      <c r="P191" s="309"/>
    </row>
    <row r="192" spans="1:16">
      <c r="A192" s="309"/>
      <c r="B192" s="309"/>
      <c r="C192" s="309"/>
      <c r="D192" s="309"/>
      <c r="E192" s="309"/>
      <c r="F192" s="309"/>
      <c r="G192" s="309"/>
      <c r="H192" s="309"/>
      <c r="I192" s="309"/>
      <c r="J192" s="309"/>
      <c r="K192" s="309"/>
      <c r="L192" s="309"/>
      <c r="M192" s="309"/>
      <c r="N192" s="309"/>
      <c r="O192" s="309"/>
      <c r="P192" s="309"/>
    </row>
    <row r="193" spans="1:16">
      <c r="A193" s="309"/>
      <c r="B193" s="309"/>
      <c r="C193" s="309"/>
      <c r="D193" s="309"/>
      <c r="E193" s="309"/>
      <c r="F193" s="309"/>
      <c r="G193" s="309"/>
      <c r="H193" s="309"/>
      <c r="I193" s="309"/>
      <c r="J193" s="309"/>
      <c r="K193" s="309"/>
      <c r="L193" s="309"/>
      <c r="M193" s="309"/>
      <c r="N193" s="309"/>
      <c r="O193" s="309"/>
      <c r="P193" s="309"/>
    </row>
    <row r="194" spans="1:16">
      <c r="A194" s="309"/>
      <c r="B194" s="309"/>
      <c r="C194" s="309"/>
      <c r="D194" s="309"/>
      <c r="E194" s="309"/>
      <c r="F194" s="309"/>
      <c r="G194" s="309"/>
      <c r="H194" s="309"/>
      <c r="I194" s="309"/>
      <c r="J194" s="309"/>
      <c r="K194" s="309"/>
      <c r="L194" s="309"/>
      <c r="M194" s="309"/>
      <c r="N194" s="309"/>
      <c r="O194" s="309"/>
      <c r="P194" s="309"/>
    </row>
    <row r="195" spans="1:16">
      <c r="A195" s="309"/>
      <c r="B195" s="309"/>
      <c r="C195" s="309"/>
      <c r="D195" s="309"/>
      <c r="E195" s="309"/>
      <c r="F195" s="309"/>
      <c r="G195" s="309"/>
      <c r="H195" s="309"/>
      <c r="I195" s="309"/>
      <c r="J195" s="309"/>
      <c r="K195" s="309"/>
      <c r="L195" s="309"/>
      <c r="M195" s="309"/>
      <c r="N195" s="309"/>
      <c r="O195" s="309"/>
      <c r="P195" s="309"/>
    </row>
    <row r="196" spans="1:16">
      <c r="A196" s="309"/>
      <c r="B196" s="309"/>
      <c r="C196" s="309"/>
      <c r="D196" s="309"/>
      <c r="E196" s="309"/>
      <c r="F196" s="309"/>
      <c r="G196" s="309"/>
      <c r="H196" s="309"/>
      <c r="I196" s="309"/>
      <c r="J196" s="309"/>
      <c r="K196" s="309"/>
      <c r="L196" s="309"/>
      <c r="M196" s="309"/>
      <c r="N196" s="309"/>
      <c r="O196" s="309"/>
      <c r="P196" s="309"/>
    </row>
    <row r="197" spans="1:16">
      <c r="A197" s="309"/>
      <c r="B197" s="309"/>
      <c r="C197" s="309"/>
      <c r="D197" s="309"/>
      <c r="E197" s="309"/>
      <c r="F197" s="309"/>
      <c r="G197" s="309"/>
      <c r="H197" s="309"/>
      <c r="I197" s="309"/>
      <c r="J197" s="309"/>
      <c r="K197" s="309"/>
      <c r="L197" s="309"/>
      <c r="M197" s="309"/>
      <c r="N197" s="309"/>
      <c r="O197" s="309"/>
      <c r="P197" s="309"/>
    </row>
    <row r="198" spans="1:16">
      <c r="A198" s="309"/>
      <c r="B198" s="309"/>
      <c r="C198" s="309"/>
      <c r="D198" s="309"/>
      <c r="E198" s="309"/>
      <c r="F198" s="309"/>
      <c r="G198" s="309"/>
      <c r="H198" s="309"/>
      <c r="I198" s="309"/>
      <c r="J198" s="309"/>
      <c r="K198" s="309"/>
      <c r="L198" s="309"/>
      <c r="M198" s="309"/>
      <c r="N198" s="309"/>
      <c r="O198" s="309"/>
      <c r="P198" s="309"/>
    </row>
    <row r="199" spans="1:16">
      <c r="A199" s="309"/>
      <c r="B199" s="309"/>
      <c r="C199" s="309"/>
      <c r="D199" s="309"/>
      <c r="E199" s="309"/>
      <c r="F199" s="309"/>
      <c r="G199" s="309"/>
      <c r="H199" s="309"/>
      <c r="I199" s="309"/>
      <c r="J199" s="309"/>
      <c r="K199" s="309"/>
      <c r="L199" s="309"/>
      <c r="M199" s="309"/>
      <c r="N199" s="309"/>
      <c r="O199" s="309"/>
      <c r="P199" s="309"/>
    </row>
    <row r="200" spans="1:16">
      <c r="A200" s="309"/>
      <c r="B200" s="309"/>
      <c r="C200" s="309"/>
      <c r="D200" s="309"/>
      <c r="E200" s="309"/>
      <c r="F200" s="309"/>
      <c r="G200" s="309"/>
      <c r="H200" s="309"/>
      <c r="I200" s="309"/>
      <c r="J200" s="309"/>
      <c r="K200" s="309"/>
      <c r="L200" s="309"/>
      <c r="M200" s="309"/>
      <c r="N200" s="309"/>
      <c r="O200" s="309"/>
      <c r="P200" s="309"/>
    </row>
    <row r="201" spans="1:16">
      <c r="A201" s="309"/>
      <c r="B201" s="309"/>
      <c r="C201" s="309"/>
      <c r="D201" s="309"/>
      <c r="E201" s="309"/>
      <c r="F201" s="309"/>
      <c r="G201" s="309"/>
      <c r="H201" s="309"/>
      <c r="I201" s="309"/>
      <c r="J201" s="309"/>
      <c r="K201" s="309"/>
      <c r="L201" s="309"/>
      <c r="M201" s="309"/>
      <c r="N201" s="309"/>
      <c r="O201" s="309"/>
      <c r="P201" s="309"/>
    </row>
    <row r="202" spans="1:16">
      <c r="A202" s="309"/>
      <c r="B202" s="309"/>
      <c r="C202" s="309"/>
      <c r="D202" s="309"/>
      <c r="E202" s="309"/>
      <c r="F202" s="309"/>
      <c r="G202" s="309"/>
      <c r="H202" s="309"/>
      <c r="I202" s="309"/>
      <c r="J202" s="309"/>
      <c r="K202" s="309"/>
      <c r="L202" s="309"/>
      <c r="M202" s="309"/>
      <c r="N202" s="309"/>
      <c r="O202" s="309"/>
      <c r="P202" s="309"/>
    </row>
    <row r="203" spans="1:16">
      <c r="A203" s="309"/>
      <c r="B203" s="309"/>
      <c r="C203" s="309"/>
      <c r="D203" s="309"/>
      <c r="E203" s="309"/>
      <c r="F203" s="309"/>
      <c r="G203" s="309"/>
      <c r="H203" s="309"/>
      <c r="I203" s="309"/>
      <c r="J203" s="309"/>
      <c r="K203" s="309"/>
      <c r="L203" s="309"/>
      <c r="M203" s="309"/>
      <c r="N203" s="309"/>
      <c r="O203" s="309"/>
      <c r="P203" s="309"/>
    </row>
    <row r="204" spans="1:16">
      <c r="A204" s="309"/>
      <c r="B204" s="309"/>
      <c r="C204" s="309"/>
      <c r="D204" s="309"/>
      <c r="E204" s="309"/>
      <c r="F204" s="309"/>
      <c r="G204" s="309"/>
      <c r="H204" s="309"/>
      <c r="I204" s="309"/>
      <c r="J204" s="309"/>
      <c r="K204" s="309"/>
      <c r="L204" s="309"/>
      <c r="M204" s="309"/>
      <c r="N204" s="309"/>
      <c r="O204" s="309"/>
      <c r="P204" s="309"/>
    </row>
    <row r="205" spans="1:16">
      <c r="A205" s="309"/>
      <c r="B205" s="309"/>
      <c r="C205" s="309"/>
      <c r="D205" s="309"/>
      <c r="E205" s="309"/>
      <c r="F205" s="309"/>
      <c r="G205" s="309"/>
      <c r="H205" s="309"/>
      <c r="I205" s="309"/>
      <c r="J205" s="309"/>
      <c r="K205" s="309"/>
      <c r="L205" s="309"/>
      <c r="M205" s="309"/>
      <c r="N205" s="309"/>
      <c r="O205" s="309"/>
      <c r="P205" s="309"/>
    </row>
    <row r="206" spans="1:16">
      <c r="A206" s="309"/>
      <c r="B206" s="309"/>
      <c r="C206" s="309"/>
      <c r="D206" s="309"/>
      <c r="E206" s="309"/>
      <c r="F206" s="309"/>
      <c r="G206" s="309"/>
      <c r="H206" s="309"/>
      <c r="I206" s="309"/>
      <c r="J206" s="309"/>
      <c r="K206" s="309"/>
      <c r="L206" s="309"/>
      <c r="M206" s="309"/>
      <c r="N206" s="309"/>
      <c r="O206" s="309"/>
      <c r="P206" s="309"/>
    </row>
    <row r="207" spans="1:16">
      <c r="A207" s="309"/>
      <c r="B207" s="309"/>
      <c r="C207" s="309"/>
      <c r="D207" s="309"/>
      <c r="E207" s="309"/>
      <c r="F207" s="309"/>
      <c r="G207" s="309"/>
      <c r="H207" s="309"/>
      <c r="I207" s="309"/>
      <c r="J207" s="309"/>
      <c r="K207" s="309"/>
      <c r="L207" s="309"/>
      <c r="M207" s="309"/>
      <c r="N207" s="309"/>
      <c r="O207" s="309"/>
      <c r="P207" s="309"/>
    </row>
    <row r="208" spans="1:16">
      <c r="A208" s="309"/>
      <c r="B208" s="309"/>
      <c r="C208" s="309"/>
      <c r="D208" s="309"/>
      <c r="E208" s="309"/>
      <c r="F208" s="309"/>
      <c r="G208" s="309"/>
      <c r="H208" s="309"/>
      <c r="I208" s="309"/>
      <c r="J208" s="309"/>
      <c r="K208" s="309"/>
      <c r="L208" s="309"/>
      <c r="M208" s="309"/>
      <c r="N208" s="309"/>
      <c r="O208" s="309"/>
      <c r="P208" s="309"/>
    </row>
    <row r="209" spans="1:16">
      <c r="A209" s="309"/>
      <c r="B209" s="309"/>
      <c r="C209" s="309"/>
      <c r="D209" s="309"/>
      <c r="E209" s="309"/>
      <c r="F209" s="309"/>
      <c r="G209" s="309"/>
      <c r="H209" s="309"/>
      <c r="I209" s="309"/>
      <c r="J209" s="309"/>
      <c r="K209" s="309"/>
      <c r="L209" s="309"/>
      <c r="M209" s="309"/>
      <c r="N209" s="309"/>
      <c r="O209" s="309"/>
      <c r="P209" s="309"/>
    </row>
    <row r="210" spans="1:16">
      <c r="A210" s="309"/>
      <c r="B210" s="309"/>
      <c r="C210" s="309"/>
      <c r="D210" s="309"/>
      <c r="E210" s="309"/>
      <c r="F210" s="309"/>
      <c r="G210" s="309"/>
      <c r="H210" s="309"/>
      <c r="I210" s="309"/>
      <c r="J210" s="309"/>
      <c r="K210" s="309"/>
      <c r="L210" s="309"/>
      <c r="M210" s="309"/>
      <c r="N210" s="309"/>
      <c r="O210" s="309"/>
      <c r="P210" s="309"/>
    </row>
    <row r="211" spans="1:16">
      <c r="A211" s="309"/>
      <c r="B211" s="309"/>
      <c r="C211" s="309"/>
      <c r="D211" s="309"/>
      <c r="E211" s="309"/>
      <c r="F211" s="309"/>
      <c r="G211" s="309"/>
      <c r="H211" s="309"/>
      <c r="I211" s="309"/>
      <c r="J211" s="309"/>
      <c r="K211" s="309"/>
      <c r="L211" s="309"/>
      <c r="M211" s="309"/>
      <c r="N211" s="309"/>
      <c r="O211" s="309"/>
      <c r="P211" s="309"/>
    </row>
    <row r="212" spans="1:16">
      <c r="A212" s="309"/>
      <c r="B212" s="309"/>
      <c r="C212" s="309"/>
      <c r="D212" s="309"/>
      <c r="E212" s="309"/>
      <c r="F212" s="309"/>
      <c r="G212" s="309"/>
      <c r="H212" s="309"/>
      <c r="I212" s="309"/>
      <c r="J212" s="309"/>
      <c r="K212" s="309"/>
      <c r="L212" s="309"/>
      <c r="M212" s="309"/>
      <c r="N212" s="309"/>
      <c r="O212" s="309"/>
      <c r="P212" s="309"/>
    </row>
    <row r="213" spans="1:16">
      <c r="A213" s="309"/>
      <c r="B213" s="309"/>
      <c r="C213" s="309"/>
      <c r="D213" s="309"/>
      <c r="E213" s="309"/>
      <c r="F213" s="309"/>
      <c r="G213" s="309"/>
      <c r="H213" s="309"/>
      <c r="I213" s="309"/>
      <c r="J213" s="309"/>
      <c r="K213" s="309"/>
      <c r="L213" s="309"/>
      <c r="M213" s="309"/>
      <c r="N213" s="309"/>
      <c r="O213" s="309"/>
      <c r="P213" s="309"/>
    </row>
    <row r="214" spans="1:16">
      <c r="A214" s="309"/>
      <c r="B214" s="309"/>
      <c r="C214" s="309"/>
      <c r="D214" s="309"/>
      <c r="E214" s="309"/>
      <c r="F214" s="309"/>
      <c r="G214" s="309"/>
      <c r="H214" s="309"/>
      <c r="I214" s="309"/>
      <c r="J214" s="309"/>
      <c r="K214" s="309"/>
      <c r="L214" s="309"/>
      <c r="M214" s="309"/>
      <c r="N214" s="309"/>
      <c r="O214" s="309"/>
      <c r="P214" s="309"/>
    </row>
    <row r="215" spans="1:16">
      <c r="A215" s="309"/>
      <c r="B215" s="309"/>
      <c r="C215" s="309"/>
      <c r="D215" s="309"/>
      <c r="E215" s="309"/>
      <c r="F215" s="309"/>
      <c r="G215" s="309"/>
      <c r="H215" s="309"/>
      <c r="I215" s="309"/>
      <c r="J215" s="309"/>
      <c r="K215" s="309"/>
      <c r="L215" s="309"/>
      <c r="M215" s="309"/>
      <c r="N215" s="309"/>
      <c r="O215" s="309"/>
      <c r="P215" s="309"/>
    </row>
    <row r="216" spans="1:16">
      <c r="A216" s="309"/>
      <c r="B216" s="309"/>
      <c r="C216" s="309"/>
      <c r="D216" s="309"/>
      <c r="E216" s="309"/>
      <c r="F216" s="309"/>
      <c r="G216" s="309"/>
      <c r="H216" s="309"/>
      <c r="I216" s="309"/>
      <c r="J216" s="309"/>
      <c r="K216" s="309"/>
      <c r="L216" s="309"/>
      <c r="M216" s="309"/>
      <c r="N216" s="309"/>
      <c r="O216" s="309"/>
      <c r="P216" s="309"/>
    </row>
    <row r="217" spans="1:16">
      <c r="A217" s="309"/>
      <c r="B217" s="309"/>
      <c r="C217" s="309"/>
      <c r="D217" s="309"/>
      <c r="E217" s="309"/>
      <c r="F217" s="309"/>
      <c r="G217" s="309"/>
      <c r="H217" s="309"/>
      <c r="I217" s="309"/>
      <c r="J217" s="309"/>
      <c r="K217" s="309"/>
      <c r="L217" s="309"/>
      <c r="M217" s="309"/>
      <c r="N217" s="309"/>
      <c r="O217" s="309"/>
      <c r="P217" s="309"/>
    </row>
    <row r="218" spans="1:16">
      <c r="A218" s="309"/>
      <c r="B218" s="309"/>
      <c r="C218" s="309"/>
      <c r="D218" s="309"/>
      <c r="E218" s="309"/>
      <c r="F218" s="309"/>
      <c r="G218" s="309"/>
      <c r="H218" s="309"/>
      <c r="I218" s="309"/>
      <c r="J218" s="309"/>
      <c r="K218" s="309"/>
      <c r="L218" s="309"/>
      <c r="M218" s="309"/>
      <c r="N218" s="309"/>
      <c r="O218" s="309"/>
      <c r="P218" s="309"/>
    </row>
    <row r="219" spans="1:16">
      <c r="A219" s="309"/>
      <c r="B219" s="309"/>
      <c r="C219" s="309"/>
      <c r="D219" s="309"/>
      <c r="E219" s="309"/>
      <c r="F219" s="309"/>
      <c r="G219" s="309"/>
      <c r="H219" s="309"/>
      <c r="I219" s="309"/>
      <c r="J219" s="309"/>
      <c r="K219" s="309"/>
      <c r="L219" s="309"/>
      <c r="M219" s="309"/>
      <c r="N219" s="309"/>
      <c r="O219" s="309"/>
      <c r="P219" s="309"/>
    </row>
    <row r="220" spans="1:16">
      <c r="A220" s="309"/>
      <c r="B220" s="309"/>
      <c r="C220" s="309"/>
      <c r="D220" s="309"/>
      <c r="E220" s="309"/>
      <c r="F220" s="309"/>
      <c r="G220" s="309"/>
      <c r="H220" s="309"/>
      <c r="I220" s="309"/>
      <c r="J220" s="309"/>
      <c r="K220" s="309"/>
      <c r="L220" s="309"/>
      <c r="M220" s="309"/>
      <c r="N220" s="309"/>
      <c r="O220" s="309"/>
      <c r="P220" s="309"/>
    </row>
    <row r="221" spans="1:16">
      <c r="A221" s="309"/>
      <c r="B221" s="309"/>
      <c r="C221" s="309"/>
      <c r="D221" s="309"/>
      <c r="E221" s="309"/>
      <c r="F221" s="309"/>
      <c r="G221" s="309"/>
      <c r="H221" s="309"/>
      <c r="I221" s="309"/>
      <c r="J221" s="309"/>
      <c r="K221" s="309"/>
      <c r="L221" s="309"/>
      <c r="M221" s="309"/>
      <c r="N221" s="309"/>
      <c r="O221" s="309"/>
      <c r="P221" s="309"/>
    </row>
    <row r="222" spans="1:16">
      <c r="A222" s="309"/>
      <c r="B222" s="309"/>
      <c r="C222" s="309"/>
      <c r="D222" s="309"/>
      <c r="E222" s="309"/>
      <c r="F222" s="309"/>
      <c r="G222" s="309"/>
      <c r="H222" s="309"/>
      <c r="I222" s="309"/>
      <c r="J222" s="309"/>
      <c r="K222" s="309"/>
      <c r="L222" s="309"/>
      <c r="M222" s="309"/>
      <c r="N222" s="309"/>
      <c r="O222" s="309"/>
      <c r="P222" s="309"/>
    </row>
    <row r="223" spans="1:16">
      <c r="A223" s="309"/>
      <c r="B223" s="309"/>
      <c r="C223" s="309"/>
      <c r="D223" s="309"/>
      <c r="E223" s="309"/>
      <c r="F223" s="309"/>
      <c r="G223" s="309"/>
      <c r="H223" s="309"/>
      <c r="I223" s="309"/>
      <c r="J223" s="309"/>
      <c r="K223" s="309"/>
      <c r="L223" s="309"/>
      <c r="M223" s="309"/>
      <c r="N223" s="309"/>
      <c r="O223" s="309"/>
      <c r="P223" s="309"/>
    </row>
    <row r="224" spans="1:16">
      <c r="A224" s="309"/>
      <c r="B224" s="309"/>
      <c r="C224" s="309"/>
      <c r="D224" s="309"/>
      <c r="E224" s="309"/>
      <c r="F224" s="309"/>
      <c r="G224" s="309"/>
      <c r="H224" s="309"/>
      <c r="I224" s="309"/>
      <c r="J224" s="309"/>
      <c r="K224" s="309"/>
      <c r="L224" s="309"/>
      <c r="M224" s="309"/>
      <c r="N224" s="309"/>
      <c r="O224" s="309"/>
      <c r="P224" s="309"/>
    </row>
    <row r="225" spans="1:16">
      <c r="A225" s="309"/>
      <c r="B225" s="309"/>
      <c r="C225" s="309"/>
      <c r="D225" s="309"/>
      <c r="E225" s="309"/>
      <c r="F225" s="309"/>
      <c r="G225" s="309"/>
      <c r="H225" s="309"/>
      <c r="I225" s="309"/>
      <c r="J225" s="309"/>
      <c r="K225" s="309"/>
      <c r="L225" s="309"/>
      <c r="M225" s="309"/>
      <c r="N225" s="309"/>
      <c r="O225" s="309"/>
      <c r="P225" s="309"/>
    </row>
    <row r="226" spans="1:16">
      <c r="A226" s="309"/>
      <c r="B226" s="309"/>
      <c r="C226" s="309"/>
      <c r="D226" s="309"/>
      <c r="E226" s="309"/>
      <c r="F226" s="309"/>
      <c r="G226" s="309"/>
      <c r="H226" s="309"/>
      <c r="I226" s="309"/>
      <c r="J226" s="309"/>
      <c r="K226" s="309"/>
      <c r="L226" s="309"/>
      <c r="M226" s="309"/>
      <c r="N226" s="309"/>
      <c r="O226" s="309"/>
      <c r="P226" s="309"/>
    </row>
    <row r="227" spans="1:16">
      <c r="A227" s="309"/>
      <c r="B227" s="309"/>
      <c r="C227" s="309"/>
      <c r="D227" s="309"/>
      <c r="E227" s="309"/>
      <c r="F227" s="309"/>
      <c r="G227" s="309"/>
      <c r="H227" s="309"/>
      <c r="I227" s="309"/>
      <c r="J227" s="309"/>
      <c r="K227" s="309"/>
      <c r="L227" s="309"/>
      <c r="M227" s="309"/>
      <c r="N227" s="309"/>
      <c r="O227" s="309"/>
      <c r="P227" s="309"/>
    </row>
    <row r="228" spans="1:16">
      <c r="A228" s="309"/>
      <c r="B228" s="309"/>
      <c r="C228" s="309"/>
      <c r="D228" s="309"/>
      <c r="E228" s="309"/>
      <c r="F228" s="309"/>
      <c r="G228" s="309"/>
      <c r="H228" s="309"/>
      <c r="I228" s="309"/>
      <c r="J228" s="309"/>
      <c r="K228" s="309"/>
      <c r="L228" s="309"/>
      <c r="M228" s="309"/>
      <c r="N228" s="309"/>
      <c r="O228" s="309"/>
      <c r="P228" s="309"/>
    </row>
    <row r="229" spans="1:16">
      <c r="A229" s="309"/>
      <c r="B229" s="309"/>
      <c r="C229" s="309"/>
      <c r="D229" s="309"/>
      <c r="E229" s="309"/>
      <c r="F229" s="309"/>
      <c r="G229" s="309"/>
      <c r="H229" s="309"/>
      <c r="I229" s="309"/>
      <c r="J229" s="309"/>
      <c r="K229" s="309"/>
      <c r="L229" s="309"/>
      <c r="M229" s="309"/>
      <c r="N229" s="309"/>
      <c r="O229" s="309"/>
      <c r="P229" s="309"/>
    </row>
    <row r="230" spans="1:16">
      <c r="A230" s="309"/>
      <c r="B230" s="309"/>
      <c r="C230" s="309"/>
      <c r="D230" s="309"/>
      <c r="E230" s="309"/>
      <c r="F230" s="309"/>
      <c r="G230" s="309"/>
      <c r="H230" s="309"/>
      <c r="I230" s="309"/>
      <c r="J230" s="309"/>
      <c r="K230" s="309"/>
      <c r="L230" s="309"/>
      <c r="M230" s="309"/>
      <c r="N230" s="309"/>
      <c r="O230" s="309"/>
      <c r="P230" s="309"/>
    </row>
    <row r="231" spans="1:16">
      <c r="A231" s="309"/>
      <c r="B231" s="309"/>
      <c r="C231" s="309"/>
      <c r="D231" s="309"/>
      <c r="E231" s="309"/>
      <c r="F231" s="309"/>
      <c r="G231" s="309"/>
      <c r="H231" s="309"/>
      <c r="I231" s="309"/>
      <c r="J231" s="309"/>
      <c r="K231" s="309"/>
      <c r="L231" s="309"/>
      <c r="M231" s="309"/>
      <c r="N231" s="309"/>
      <c r="O231" s="309"/>
      <c r="P231" s="309"/>
    </row>
    <row r="232" spans="1:16">
      <c r="A232" s="309"/>
      <c r="B232" s="309"/>
      <c r="C232" s="309"/>
      <c r="D232" s="309"/>
      <c r="E232" s="309"/>
      <c r="F232" s="309"/>
      <c r="G232" s="309"/>
      <c r="H232" s="309"/>
      <c r="I232" s="309"/>
      <c r="J232" s="309"/>
      <c r="K232" s="309"/>
      <c r="L232" s="309"/>
      <c r="M232" s="309"/>
      <c r="N232" s="309"/>
      <c r="O232" s="309"/>
      <c r="P232" s="309"/>
    </row>
    <row r="233" spans="1:16">
      <c r="A233" s="309"/>
      <c r="B233" s="309"/>
      <c r="C233" s="309"/>
      <c r="D233" s="309"/>
      <c r="E233" s="309"/>
      <c r="F233" s="309"/>
      <c r="G233" s="309"/>
      <c r="H233" s="309"/>
      <c r="I233" s="309"/>
      <c r="J233" s="309"/>
      <c r="K233" s="309"/>
      <c r="L233" s="309"/>
      <c r="M233" s="309"/>
      <c r="N233" s="309"/>
      <c r="O233" s="309"/>
      <c r="P233" s="309"/>
    </row>
    <row r="234" spans="1:16">
      <c r="A234" s="309"/>
      <c r="B234" s="309"/>
      <c r="C234" s="309"/>
      <c r="D234" s="309"/>
      <c r="E234" s="309"/>
      <c r="F234" s="309"/>
      <c r="G234" s="309"/>
      <c r="H234" s="309"/>
      <c r="I234" s="309"/>
      <c r="J234" s="309"/>
      <c r="K234" s="309"/>
      <c r="L234" s="309"/>
      <c r="M234" s="309"/>
      <c r="N234" s="309"/>
      <c r="O234" s="309"/>
      <c r="P234" s="309"/>
    </row>
    <row r="235" spans="1:16">
      <c r="A235" s="309"/>
      <c r="B235" s="309"/>
      <c r="C235" s="309"/>
      <c r="D235" s="309"/>
      <c r="E235" s="309"/>
      <c r="F235" s="309"/>
      <c r="G235" s="309"/>
      <c r="H235" s="309"/>
      <c r="I235" s="309"/>
      <c r="J235" s="309"/>
      <c r="K235" s="309"/>
      <c r="L235" s="309"/>
      <c r="M235" s="309"/>
      <c r="N235" s="309"/>
      <c r="O235" s="309"/>
      <c r="P235" s="309"/>
    </row>
    <row r="236" spans="1:16">
      <c r="A236" s="309"/>
      <c r="B236" s="309"/>
      <c r="C236" s="309"/>
      <c r="D236" s="309"/>
      <c r="E236" s="309"/>
      <c r="F236" s="309"/>
      <c r="G236" s="309"/>
      <c r="H236" s="309"/>
      <c r="I236" s="309"/>
      <c r="J236" s="309"/>
      <c r="K236" s="309"/>
      <c r="L236" s="309"/>
      <c r="M236" s="309"/>
      <c r="N236" s="309"/>
      <c r="O236" s="309"/>
      <c r="P236" s="309"/>
    </row>
    <row r="237" spans="1:16">
      <c r="A237" s="309"/>
      <c r="B237" s="309"/>
      <c r="C237" s="309"/>
      <c r="D237" s="309"/>
      <c r="E237" s="309"/>
      <c r="F237" s="309"/>
      <c r="G237" s="309"/>
      <c r="H237" s="309"/>
      <c r="I237" s="309"/>
      <c r="J237" s="309"/>
      <c r="K237" s="309"/>
      <c r="L237" s="309"/>
      <c r="M237" s="309"/>
      <c r="N237" s="309"/>
      <c r="O237" s="309"/>
      <c r="P237" s="309"/>
    </row>
    <row r="238" spans="1:16">
      <c r="A238" s="309"/>
      <c r="B238" s="309"/>
      <c r="C238" s="309"/>
      <c r="D238" s="309"/>
      <c r="E238" s="309"/>
      <c r="F238" s="309"/>
      <c r="G238" s="309"/>
      <c r="H238" s="309"/>
      <c r="I238" s="309"/>
      <c r="J238" s="309"/>
      <c r="K238" s="309"/>
      <c r="L238" s="309"/>
      <c r="M238" s="309"/>
      <c r="N238" s="309"/>
      <c r="O238" s="309"/>
      <c r="P238" s="309"/>
    </row>
    <row r="239" spans="1:16">
      <c r="A239" s="309"/>
      <c r="B239" s="309"/>
      <c r="C239" s="309"/>
      <c r="D239" s="309"/>
      <c r="E239" s="309"/>
      <c r="F239" s="309"/>
      <c r="G239" s="309"/>
      <c r="H239" s="309"/>
      <c r="I239" s="309"/>
      <c r="J239" s="309"/>
      <c r="K239" s="309"/>
      <c r="L239" s="309"/>
      <c r="M239" s="309"/>
      <c r="N239" s="309"/>
      <c r="O239" s="309"/>
      <c r="P239" s="309"/>
    </row>
    <row r="240" spans="1:16">
      <c r="A240" s="309"/>
      <c r="B240" s="309"/>
      <c r="C240" s="309"/>
      <c r="D240" s="309"/>
      <c r="E240" s="309"/>
      <c r="F240" s="309"/>
      <c r="G240" s="309"/>
      <c r="H240" s="309"/>
      <c r="I240" s="309"/>
      <c r="J240" s="309"/>
      <c r="K240" s="309"/>
      <c r="L240" s="309"/>
      <c r="M240" s="309"/>
      <c r="N240" s="309"/>
      <c r="O240" s="309"/>
      <c r="P240" s="309"/>
    </row>
    <row r="241" spans="1:16">
      <c r="A241" s="309"/>
      <c r="B241" s="309"/>
      <c r="C241" s="309"/>
      <c r="D241" s="309"/>
      <c r="E241" s="309"/>
      <c r="F241" s="309"/>
      <c r="G241" s="309"/>
      <c r="H241" s="309"/>
      <c r="I241" s="309"/>
      <c r="J241" s="309"/>
      <c r="K241" s="309"/>
      <c r="L241" s="309"/>
      <c r="M241" s="309"/>
      <c r="N241" s="309"/>
      <c r="O241" s="309"/>
      <c r="P241" s="309"/>
    </row>
    <row r="242" spans="1:16">
      <c r="A242" s="309"/>
      <c r="B242" s="309"/>
      <c r="C242" s="309"/>
      <c r="D242" s="309"/>
      <c r="E242" s="309"/>
      <c r="F242" s="309"/>
      <c r="G242" s="309"/>
      <c r="H242" s="309"/>
      <c r="I242" s="309"/>
      <c r="J242" s="309"/>
      <c r="K242" s="309"/>
      <c r="L242" s="309"/>
      <c r="M242" s="309"/>
      <c r="N242" s="309"/>
      <c r="O242" s="309"/>
      <c r="P242" s="309"/>
    </row>
    <row r="243" spans="1:16">
      <c r="A243" s="309"/>
      <c r="B243" s="309"/>
      <c r="C243" s="309"/>
      <c r="D243" s="309"/>
      <c r="E243" s="309"/>
      <c r="F243" s="309"/>
      <c r="G243" s="309"/>
      <c r="H243" s="309"/>
      <c r="I243" s="309"/>
      <c r="J243" s="309"/>
      <c r="K243" s="309"/>
      <c r="L243" s="309"/>
      <c r="M243" s="309"/>
      <c r="N243" s="309"/>
      <c r="O243" s="309"/>
      <c r="P243" s="309"/>
    </row>
  </sheetData>
  <phoneticPr fontId="44" type="noConversion"/>
  <pageMargins left="0.5" right="0.5" top="0.5" bottom="0.5" header="0.5" footer="0.5"/>
  <pageSetup orientation="portrait" r:id="rId1"/>
  <headerFooter alignWithMargins="0">
    <oddHeader>&amp;C&amp;RSREB-State Data Exchange</oddHeader>
    <oddFooter>&amp;C&amp;ROctober 1997</oddFooter>
  </headerFooter>
  <rowBreaks count="2" manualBreakCount="2">
    <brk id="78" max="7" man="1"/>
    <brk id="132" max="16383" man="1"/>
  </row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"/>
  <dimension ref="A1:P194"/>
  <sheetViews>
    <sheetView workbookViewId="0"/>
  </sheetViews>
  <sheetFormatPr defaultColWidth="9.6640625" defaultRowHeight="12.75"/>
  <cols>
    <col min="1" max="1" width="6.5546875" style="8" customWidth="1"/>
    <col min="2" max="2" width="9.6640625" style="8"/>
    <col min="3" max="9" width="8" style="1" customWidth="1"/>
    <col min="10" max="16384" width="9.6640625" style="8"/>
  </cols>
  <sheetData>
    <row r="1" spans="1:16" ht="15">
      <c r="A1" s="464" t="s">
        <v>35</v>
      </c>
      <c r="B1" s="3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3"/>
      <c r="P1" s="3"/>
    </row>
    <row r="2" spans="1:16" ht="15">
      <c r="A2" s="143" t="s">
        <v>129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16">
      <c r="A3" s="193"/>
      <c r="B3" s="2"/>
      <c r="C3" s="3"/>
      <c r="D3" s="3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</row>
    <row r="4" spans="1:16" s="80" customFormat="1" ht="15">
      <c r="A4" s="215"/>
      <c r="B4" s="60"/>
      <c r="C4" s="87" t="s">
        <v>95</v>
      </c>
      <c r="D4" s="86"/>
      <c r="E4" s="86"/>
      <c r="F4" s="86"/>
      <c r="G4" s="86"/>
      <c r="H4" s="86"/>
      <c r="I4" s="86"/>
      <c r="J4" s="430" t="s">
        <v>52</v>
      </c>
      <c r="K4" s="86"/>
      <c r="L4" s="86"/>
      <c r="M4" s="86"/>
      <c r="N4" s="86"/>
      <c r="O4" s="86"/>
      <c r="P4" s="86"/>
    </row>
    <row r="5" spans="1:16">
      <c r="A5" s="71"/>
      <c r="B5" s="66"/>
      <c r="C5" s="67" t="s">
        <v>28</v>
      </c>
      <c r="D5" s="67" t="s">
        <v>29</v>
      </c>
      <c r="E5" s="67" t="s">
        <v>30</v>
      </c>
      <c r="F5" s="67" t="s">
        <v>31</v>
      </c>
      <c r="G5" s="67" t="s">
        <v>32</v>
      </c>
      <c r="H5" s="67" t="s">
        <v>33</v>
      </c>
      <c r="I5" s="67" t="s">
        <v>34</v>
      </c>
      <c r="J5" s="408" t="s">
        <v>46</v>
      </c>
      <c r="K5" s="67" t="s">
        <v>29</v>
      </c>
      <c r="L5" s="67" t="s">
        <v>30</v>
      </c>
      <c r="M5" s="67" t="s">
        <v>31</v>
      </c>
      <c r="N5" s="67" t="s">
        <v>47</v>
      </c>
      <c r="O5" s="67" t="s">
        <v>33</v>
      </c>
      <c r="P5" s="67" t="s">
        <v>48</v>
      </c>
    </row>
    <row r="6" spans="1:16">
      <c r="A6" s="70" t="s">
        <v>2</v>
      </c>
      <c r="B6" s="2" t="s">
        <v>36</v>
      </c>
      <c r="C6" s="412">
        <f>(J6/$P6)*100</f>
        <v>43.156276896594122</v>
      </c>
      <c r="D6" s="412">
        <f t="shared" ref="D6:I21" si="0">(K6/$P6)*100</f>
        <v>28.576171154555514</v>
      </c>
      <c r="E6" s="412">
        <f t="shared" si="0"/>
        <v>21.420140169679087</v>
      </c>
      <c r="F6" s="412">
        <f t="shared" si="0"/>
        <v>2.9595475224394443</v>
      </c>
      <c r="G6" s="412">
        <f t="shared" si="0"/>
        <v>3.8878642567318336</v>
      </c>
      <c r="H6" s="412">
        <f t="shared" si="0"/>
        <v>0</v>
      </c>
      <c r="I6" s="412">
        <f t="shared" si="0"/>
        <v>100</v>
      </c>
      <c r="J6" s="409">
        <v>35099</v>
      </c>
      <c r="K6" s="2">
        <v>23241</v>
      </c>
      <c r="L6" s="2">
        <v>17421</v>
      </c>
      <c r="M6" s="2">
        <v>2407</v>
      </c>
      <c r="N6" s="2">
        <f>2651+511</f>
        <v>3162</v>
      </c>
      <c r="O6" s="2">
        <v>0</v>
      </c>
      <c r="P6" s="2">
        <v>81330</v>
      </c>
    </row>
    <row r="7" spans="1:16">
      <c r="A7" s="70"/>
      <c r="B7" s="2" t="s">
        <v>37</v>
      </c>
      <c r="C7" s="412">
        <f t="shared" ref="C7:I56" si="1">(J7/$P7)*100</f>
        <v>35.329447094152975</v>
      </c>
      <c r="D7" s="412">
        <f t="shared" si="0"/>
        <v>31.432609079667905</v>
      </c>
      <c r="E7" s="412">
        <f t="shared" si="0"/>
        <v>25.027380321497965</v>
      </c>
      <c r="F7" s="412">
        <f t="shared" si="0"/>
        <v>5.1015721603956896</v>
      </c>
      <c r="G7" s="412">
        <f t="shared" si="0"/>
        <v>3.108991344285462</v>
      </c>
      <c r="H7" s="412">
        <f t="shared" si="0"/>
        <v>0</v>
      </c>
      <c r="I7" s="412">
        <f t="shared" si="0"/>
        <v>100</v>
      </c>
      <c r="J7" s="409">
        <v>10000</v>
      </c>
      <c r="K7" s="2">
        <v>8897</v>
      </c>
      <c r="L7" s="2">
        <v>7084</v>
      </c>
      <c r="M7" s="2">
        <v>1444</v>
      </c>
      <c r="N7" s="2">
        <f>732+148</f>
        <v>880</v>
      </c>
      <c r="O7" s="2">
        <v>0</v>
      </c>
      <c r="P7" s="2">
        <v>28305</v>
      </c>
    </row>
    <row r="8" spans="1:16">
      <c r="A8" s="70"/>
      <c r="B8" s="2" t="s">
        <v>38</v>
      </c>
      <c r="C8" s="412">
        <f t="shared" si="1"/>
        <v>39.308939743167599</v>
      </c>
      <c r="D8" s="412">
        <f t="shared" si="0"/>
        <v>26.582565031280868</v>
      </c>
      <c r="E8" s="412">
        <f t="shared" si="0"/>
        <v>24.592525518603885</v>
      </c>
      <c r="F8" s="412">
        <f t="shared" si="0"/>
        <v>6.083305893974317</v>
      </c>
      <c r="G8" s="412">
        <f t="shared" si="0"/>
        <v>3.4223740533421134</v>
      </c>
      <c r="H8" s="412">
        <f t="shared" si="0"/>
        <v>0</v>
      </c>
      <c r="I8" s="412">
        <f t="shared" si="0"/>
        <v>100</v>
      </c>
      <c r="J8" s="409">
        <v>19101</v>
      </c>
      <c r="K8" s="2">
        <v>12917</v>
      </c>
      <c r="L8" s="2">
        <v>11950</v>
      </c>
      <c r="M8" s="2">
        <v>2956</v>
      </c>
      <c r="N8" s="2">
        <f>1011+652</f>
        <v>1663</v>
      </c>
      <c r="O8" s="2">
        <v>0</v>
      </c>
      <c r="P8" s="2">
        <v>48592</v>
      </c>
    </row>
    <row r="9" spans="1:16">
      <c r="A9" s="70"/>
      <c r="B9" s="2" t="s">
        <v>39</v>
      </c>
      <c r="C9" s="412">
        <f t="shared" si="1"/>
        <v>32.428638277959756</v>
      </c>
      <c r="D9" s="412">
        <f t="shared" si="0"/>
        <v>27.683668694431447</v>
      </c>
      <c r="E9" s="412">
        <f t="shared" si="0"/>
        <v>29.410388394946185</v>
      </c>
      <c r="F9" s="412">
        <f t="shared" si="0"/>
        <v>6.9209171736078616</v>
      </c>
      <c r="G9" s="412">
        <f t="shared" si="0"/>
        <v>3.5563874590547497</v>
      </c>
      <c r="H9" s="412">
        <f t="shared" si="0"/>
        <v>0</v>
      </c>
      <c r="I9" s="412">
        <f t="shared" si="0"/>
        <v>100</v>
      </c>
      <c r="J9" s="409">
        <v>6930</v>
      </c>
      <c r="K9" s="2">
        <v>5916</v>
      </c>
      <c r="L9" s="2">
        <v>6285</v>
      </c>
      <c r="M9" s="2">
        <v>1479</v>
      </c>
      <c r="N9" s="2">
        <f>735+25</f>
        <v>760</v>
      </c>
      <c r="O9" s="2">
        <v>0</v>
      </c>
      <c r="P9" s="2">
        <v>21370</v>
      </c>
    </row>
    <row r="10" spans="1:16">
      <c r="A10" s="70"/>
      <c r="B10" s="2" t="s">
        <v>40</v>
      </c>
      <c r="C10" s="412">
        <f t="shared" si="1"/>
        <v>30.331289943915479</v>
      </c>
      <c r="D10" s="412">
        <f t="shared" si="0"/>
        <v>26.790139559149601</v>
      </c>
      <c r="E10" s="412">
        <f t="shared" si="0"/>
        <v>31.120386070170863</v>
      </c>
      <c r="F10" s="412">
        <f t="shared" si="0"/>
        <v>8.3018129646537115</v>
      </c>
      <c r="G10" s="412">
        <f t="shared" si="0"/>
        <v>3.4563714621103427</v>
      </c>
      <c r="H10" s="412">
        <f t="shared" si="0"/>
        <v>0</v>
      </c>
      <c r="I10" s="412">
        <f t="shared" si="0"/>
        <v>100</v>
      </c>
      <c r="J10" s="409">
        <v>4651</v>
      </c>
      <c r="K10" s="2">
        <v>4108</v>
      </c>
      <c r="L10" s="2">
        <v>4772</v>
      </c>
      <c r="M10" s="2">
        <v>1273</v>
      </c>
      <c r="N10" s="2">
        <f>486+44</f>
        <v>530</v>
      </c>
      <c r="O10" s="2">
        <v>0</v>
      </c>
      <c r="P10" s="2">
        <v>15334</v>
      </c>
    </row>
    <row r="11" spans="1:16">
      <c r="A11" s="70"/>
      <c r="B11" s="2" t="s">
        <v>41</v>
      </c>
      <c r="C11" s="412">
        <f t="shared" si="1"/>
        <v>26.236510791366907</v>
      </c>
      <c r="D11" s="412">
        <f t="shared" si="0"/>
        <v>30.440647482014388</v>
      </c>
      <c r="E11" s="412">
        <f t="shared" si="0"/>
        <v>30.20458633093525</v>
      </c>
      <c r="F11" s="412">
        <f t="shared" si="0"/>
        <v>9.5885791366906474</v>
      </c>
      <c r="G11" s="412">
        <f t="shared" si="0"/>
        <v>3.5296762589928061</v>
      </c>
      <c r="H11" s="412">
        <f t="shared" si="0"/>
        <v>0</v>
      </c>
      <c r="I11" s="412">
        <f t="shared" si="0"/>
        <v>100</v>
      </c>
      <c r="J11" s="409">
        <v>2334</v>
      </c>
      <c r="K11" s="2">
        <v>2708</v>
      </c>
      <c r="L11" s="2">
        <v>2687</v>
      </c>
      <c r="M11" s="2">
        <v>853</v>
      </c>
      <c r="N11" s="2">
        <f>231+83</f>
        <v>314</v>
      </c>
      <c r="O11" s="2">
        <f t="shared" ref="J11:P12" si="2">SUM(O5:O10)</f>
        <v>0</v>
      </c>
      <c r="P11" s="2">
        <v>8896</v>
      </c>
    </row>
    <row r="12" spans="1:16">
      <c r="A12" s="70"/>
      <c r="B12" s="5" t="s">
        <v>42</v>
      </c>
      <c r="C12" s="412">
        <f t="shared" si="1"/>
        <v>38.324167063244815</v>
      </c>
      <c r="D12" s="412">
        <f t="shared" si="0"/>
        <v>28.351003547125746</v>
      </c>
      <c r="E12" s="412">
        <f t="shared" si="0"/>
        <v>24.628238653367806</v>
      </c>
      <c r="F12" s="412">
        <f t="shared" si="0"/>
        <v>5.1082535679767647</v>
      </c>
      <c r="G12" s="412">
        <f t="shared" si="0"/>
        <v>3.5858841076010539</v>
      </c>
      <c r="H12" s="412">
        <f t="shared" si="0"/>
        <v>0</v>
      </c>
      <c r="I12" s="412">
        <f t="shared" si="0"/>
        <v>100</v>
      </c>
      <c r="J12" s="409">
        <f t="shared" si="2"/>
        <v>78115</v>
      </c>
      <c r="K12" s="2">
        <f t="shared" si="2"/>
        <v>57787</v>
      </c>
      <c r="L12" s="2">
        <f t="shared" si="2"/>
        <v>50199</v>
      </c>
      <c r="M12" s="2">
        <f t="shared" si="2"/>
        <v>10412</v>
      </c>
      <c r="N12" s="2">
        <f t="shared" si="2"/>
        <v>7309</v>
      </c>
      <c r="O12" s="2">
        <f t="shared" si="2"/>
        <v>0</v>
      </c>
      <c r="P12" s="2">
        <f t="shared" si="2"/>
        <v>203827</v>
      </c>
    </row>
    <row r="13" spans="1:16">
      <c r="A13" s="70"/>
      <c r="B13" s="2" t="s">
        <v>43</v>
      </c>
      <c r="C13" s="412">
        <f t="shared" si="1"/>
        <v>13.439615405008926</v>
      </c>
      <c r="D13" s="412">
        <f t="shared" si="0"/>
        <v>13.091429682390993</v>
      </c>
      <c r="E13" s="412">
        <f t="shared" si="0"/>
        <v>12.700825394581027</v>
      </c>
      <c r="F13" s="412">
        <f t="shared" si="0"/>
        <v>7.6088301313208078</v>
      </c>
      <c r="G13" s="412">
        <f t="shared" si="0"/>
        <v>0.52492974425140071</v>
      </c>
      <c r="H13" s="412">
        <f t="shared" si="0"/>
        <v>52.634369642446842</v>
      </c>
      <c r="I13" s="412">
        <f t="shared" si="0"/>
        <v>100</v>
      </c>
      <c r="J13" s="409">
        <v>7604</v>
      </c>
      <c r="K13" s="2">
        <v>7407</v>
      </c>
      <c r="L13" s="2">
        <v>7186</v>
      </c>
      <c r="M13" s="2">
        <v>4305</v>
      </c>
      <c r="N13" s="2">
        <f>250+47</f>
        <v>297</v>
      </c>
      <c r="O13" s="2">
        <v>29780</v>
      </c>
      <c r="P13" s="2">
        <f>26799+O13</f>
        <v>56579</v>
      </c>
    </row>
    <row r="14" spans="1:16">
      <c r="A14" s="70"/>
      <c r="B14" s="2" t="s">
        <v>44</v>
      </c>
      <c r="C14" s="413">
        <f t="shared" si="1"/>
        <v>5.0199800199800197</v>
      </c>
      <c r="D14" s="413">
        <f t="shared" si="0"/>
        <v>3.9460539460539463</v>
      </c>
      <c r="E14" s="413">
        <f t="shared" si="0"/>
        <v>3.3466533466533464</v>
      </c>
      <c r="F14" s="413">
        <f t="shared" si="0"/>
        <v>2.6723276723276723</v>
      </c>
      <c r="G14" s="413">
        <f t="shared" si="0"/>
        <v>2.0479520479520481</v>
      </c>
      <c r="H14" s="413">
        <f t="shared" si="0"/>
        <v>82.967032967032978</v>
      </c>
      <c r="I14" s="414">
        <f t="shared" si="0"/>
        <v>100</v>
      </c>
      <c r="J14" s="409">
        <v>201</v>
      </c>
      <c r="K14" s="2">
        <v>158</v>
      </c>
      <c r="L14" s="2">
        <v>134</v>
      </c>
      <c r="M14" s="2">
        <v>107</v>
      </c>
      <c r="N14" s="2">
        <v>82</v>
      </c>
      <c r="O14" s="2">
        <v>3322</v>
      </c>
      <c r="P14" s="2">
        <f>682+O14</f>
        <v>4004</v>
      </c>
    </row>
    <row r="15" spans="1:16">
      <c r="A15" s="72"/>
      <c r="B15" s="69" t="s">
        <v>45</v>
      </c>
      <c r="C15" s="415">
        <f t="shared" si="1"/>
        <v>32.494988843084606</v>
      </c>
      <c r="D15" s="415">
        <f t="shared" si="0"/>
        <v>24.716160508301503</v>
      </c>
      <c r="E15" s="415">
        <f t="shared" si="0"/>
        <v>21.75371582012783</v>
      </c>
      <c r="F15" s="415">
        <f t="shared" si="0"/>
        <v>5.606444536893461</v>
      </c>
      <c r="G15" s="415">
        <f t="shared" si="0"/>
        <v>2.9076056124957455</v>
      </c>
      <c r="H15" s="415">
        <f t="shared" si="0"/>
        <v>12.519193676487273</v>
      </c>
      <c r="I15" s="416">
        <f t="shared" si="0"/>
        <v>100</v>
      </c>
      <c r="J15" s="410">
        <f t="shared" ref="J15:P15" si="3">SUM(J12:J14)</f>
        <v>85920</v>
      </c>
      <c r="K15" s="68">
        <f t="shared" si="3"/>
        <v>65352</v>
      </c>
      <c r="L15" s="68">
        <f t="shared" si="3"/>
        <v>57519</v>
      </c>
      <c r="M15" s="68">
        <f t="shared" si="3"/>
        <v>14824</v>
      </c>
      <c r="N15" s="68">
        <f t="shared" si="3"/>
        <v>7688</v>
      </c>
      <c r="O15" s="68">
        <f t="shared" si="3"/>
        <v>33102</v>
      </c>
      <c r="P15" s="68">
        <f t="shared" si="3"/>
        <v>264410</v>
      </c>
    </row>
    <row r="16" spans="1:16">
      <c r="A16" s="70" t="s">
        <v>3</v>
      </c>
      <c r="B16" s="2" t="s">
        <v>36</v>
      </c>
      <c r="C16" s="412">
        <f t="shared" si="1"/>
        <v>41.561843057518004</v>
      </c>
      <c r="D16" s="412">
        <f t="shared" si="0"/>
        <v>29.410345659441017</v>
      </c>
      <c r="E16" s="412">
        <f t="shared" si="0"/>
        <v>21.363338732467174</v>
      </c>
      <c r="F16" s="412">
        <f t="shared" si="0"/>
        <v>4.2113243960436986</v>
      </c>
      <c r="G16" s="412">
        <f t="shared" si="0"/>
        <v>3.453148154530103</v>
      </c>
      <c r="H16" s="412">
        <f t="shared" si="0"/>
        <v>0</v>
      </c>
      <c r="I16" s="412">
        <f t="shared" si="0"/>
        <v>100</v>
      </c>
      <c r="J16" s="409">
        <v>12060</v>
      </c>
      <c r="K16" s="2">
        <v>8534</v>
      </c>
      <c r="L16" s="2">
        <v>6199</v>
      </c>
      <c r="M16" s="2">
        <v>1222</v>
      </c>
      <c r="N16" s="2">
        <v>1002</v>
      </c>
      <c r="O16" s="2">
        <v>0</v>
      </c>
      <c r="P16" s="2">
        <v>29017</v>
      </c>
    </row>
    <row r="17" spans="1:16">
      <c r="A17" s="70"/>
      <c r="B17" s="2" t="s">
        <v>37</v>
      </c>
      <c r="C17" s="412">
        <f t="shared" si="1"/>
        <v>33.542160514730782</v>
      </c>
      <c r="D17" s="412">
        <f t="shared" si="0"/>
        <v>32.19607179139858</v>
      </c>
      <c r="E17" s="412">
        <f t="shared" si="0"/>
        <v>24.678293261090417</v>
      </c>
      <c r="F17" s="412">
        <f t="shared" si="0"/>
        <v>6.9166948865560451</v>
      </c>
      <c r="G17" s="412">
        <f t="shared" si="0"/>
        <v>2.6667795462241788</v>
      </c>
      <c r="H17" s="412">
        <f t="shared" si="0"/>
        <v>0</v>
      </c>
      <c r="I17" s="412">
        <f t="shared" si="0"/>
        <v>100</v>
      </c>
      <c r="J17" s="409">
        <v>3962</v>
      </c>
      <c r="K17" s="2">
        <v>3803</v>
      </c>
      <c r="L17" s="2">
        <v>2915</v>
      </c>
      <c r="M17" s="2">
        <v>817</v>
      </c>
      <c r="N17" s="2">
        <v>315</v>
      </c>
      <c r="O17" s="2">
        <v>0</v>
      </c>
      <c r="P17" s="2">
        <v>11812</v>
      </c>
    </row>
    <row r="18" spans="1:16">
      <c r="A18" s="70"/>
      <c r="B18" s="2" t="s">
        <v>38</v>
      </c>
      <c r="C18" s="412">
        <f t="shared" si="1"/>
        <v>29.349058743479244</v>
      </c>
      <c r="D18" s="412">
        <f t="shared" si="0"/>
        <v>26.298480381038786</v>
      </c>
      <c r="E18" s="412">
        <f t="shared" si="0"/>
        <v>30.398049444318438</v>
      </c>
      <c r="F18" s="412">
        <f t="shared" si="0"/>
        <v>9.2254479473803581</v>
      </c>
      <c r="G18" s="412">
        <f t="shared" si="0"/>
        <v>4.7289634837831711</v>
      </c>
      <c r="H18" s="412">
        <f t="shared" si="0"/>
        <v>0</v>
      </c>
      <c r="I18" s="412">
        <f t="shared" si="0"/>
        <v>100</v>
      </c>
      <c r="J18" s="409">
        <v>5176</v>
      </c>
      <c r="K18" s="2">
        <v>4638</v>
      </c>
      <c r="L18" s="2">
        <v>5361</v>
      </c>
      <c r="M18" s="2">
        <v>1627</v>
      </c>
      <c r="N18" s="2">
        <v>834</v>
      </c>
      <c r="O18" s="2">
        <v>0</v>
      </c>
      <c r="P18" s="2">
        <v>17636</v>
      </c>
    </row>
    <row r="19" spans="1:16">
      <c r="A19" s="70"/>
      <c r="B19" s="2" t="s">
        <v>39</v>
      </c>
      <c r="C19" s="412">
        <f t="shared" si="1"/>
        <v>27.522328812437973</v>
      </c>
      <c r="D19" s="412">
        <f t="shared" si="0"/>
        <v>25.967581872312273</v>
      </c>
      <c r="E19" s="412">
        <f t="shared" si="0"/>
        <v>33.068695556290663</v>
      </c>
      <c r="F19" s="412">
        <f t="shared" si="0"/>
        <v>10.541404785533134</v>
      </c>
      <c r="G19" s="412">
        <f t="shared" si="0"/>
        <v>2.8999889734259567</v>
      </c>
      <c r="H19" s="412">
        <f t="shared" si="0"/>
        <v>0</v>
      </c>
      <c r="I19" s="412">
        <f t="shared" si="0"/>
        <v>100</v>
      </c>
      <c r="J19" s="409">
        <v>2496</v>
      </c>
      <c r="K19" s="2">
        <v>2355</v>
      </c>
      <c r="L19" s="2">
        <v>2999</v>
      </c>
      <c r="M19" s="2">
        <v>956</v>
      </c>
      <c r="N19" s="2">
        <v>263</v>
      </c>
      <c r="O19" s="2">
        <v>0</v>
      </c>
      <c r="P19" s="2">
        <v>9069</v>
      </c>
    </row>
    <row r="20" spans="1:16">
      <c r="A20" s="70"/>
      <c r="B20" s="2" t="s">
        <v>40</v>
      </c>
      <c r="C20" s="412">
        <f t="shared" si="1"/>
        <v>26.569186875891582</v>
      </c>
      <c r="D20" s="412">
        <f t="shared" si="0"/>
        <v>26.194721825962908</v>
      </c>
      <c r="E20" s="412">
        <f t="shared" si="0"/>
        <v>32.435805991440795</v>
      </c>
      <c r="F20" s="412">
        <f t="shared" si="0"/>
        <v>10.342368045649073</v>
      </c>
      <c r="G20" s="412">
        <f t="shared" si="0"/>
        <v>4.457917261055635</v>
      </c>
      <c r="H20" s="412">
        <f t="shared" si="0"/>
        <v>0</v>
      </c>
      <c r="I20" s="412">
        <f t="shared" si="0"/>
        <v>100</v>
      </c>
      <c r="J20" s="409">
        <v>1490</v>
      </c>
      <c r="K20" s="2">
        <v>1469</v>
      </c>
      <c r="L20" s="2">
        <v>1819</v>
      </c>
      <c r="M20" s="2">
        <v>580</v>
      </c>
      <c r="N20" s="2">
        <v>250</v>
      </c>
      <c r="O20" s="2">
        <v>0</v>
      </c>
      <c r="P20" s="2">
        <v>5608</v>
      </c>
    </row>
    <row r="21" spans="1:16">
      <c r="A21" s="70"/>
      <c r="B21" s="2" t="s">
        <v>41</v>
      </c>
      <c r="C21" s="412">
        <f t="shared" si="1"/>
        <v>25.998028585510102</v>
      </c>
      <c r="D21" s="412">
        <f t="shared" si="0"/>
        <v>27.52587481517989</v>
      </c>
      <c r="E21" s="412">
        <f t="shared" si="0"/>
        <v>31.8876293740759</v>
      </c>
      <c r="F21" s="412">
        <f t="shared" si="0"/>
        <v>11.237062592410055</v>
      </c>
      <c r="G21" s="412">
        <f t="shared" si="0"/>
        <v>3.351404632824051</v>
      </c>
      <c r="H21" s="412">
        <f t="shared" si="0"/>
        <v>0</v>
      </c>
      <c r="I21" s="412">
        <f t="shared" si="0"/>
        <v>100</v>
      </c>
      <c r="J21" s="409">
        <v>1055</v>
      </c>
      <c r="K21" s="2">
        <v>1117</v>
      </c>
      <c r="L21" s="2">
        <v>1294</v>
      </c>
      <c r="M21" s="2">
        <v>456</v>
      </c>
      <c r="N21" s="2">
        <v>136</v>
      </c>
      <c r="O21" s="2">
        <v>0</v>
      </c>
      <c r="P21" s="2">
        <v>4058</v>
      </c>
    </row>
    <row r="22" spans="1:16">
      <c r="A22" s="70"/>
      <c r="B22" s="5" t="s">
        <v>42</v>
      </c>
      <c r="C22" s="417">
        <f t="shared" si="1"/>
        <v>33.988341968911918</v>
      </c>
      <c r="D22" s="417">
        <f t="shared" si="1"/>
        <v>28.388601036269428</v>
      </c>
      <c r="E22" s="417">
        <f t="shared" si="1"/>
        <v>26.667098445595855</v>
      </c>
      <c r="F22" s="417">
        <f t="shared" si="1"/>
        <v>7.3290155440414502</v>
      </c>
      <c r="G22" s="417">
        <f t="shared" si="1"/>
        <v>3.6269430051813467</v>
      </c>
      <c r="H22" s="417">
        <f t="shared" si="1"/>
        <v>0</v>
      </c>
      <c r="I22" s="417">
        <f t="shared" si="1"/>
        <v>100</v>
      </c>
      <c r="J22" s="409">
        <f t="shared" ref="J22:P22" si="4">SUM(J16:J21)</f>
        <v>26239</v>
      </c>
      <c r="K22" s="2">
        <f t="shared" si="4"/>
        <v>21916</v>
      </c>
      <c r="L22" s="2">
        <f t="shared" si="4"/>
        <v>20587</v>
      </c>
      <c r="M22" s="2">
        <f t="shared" si="4"/>
        <v>5658</v>
      </c>
      <c r="N22" s="2">
        <f t="shared" si="4"/>
        <v>2800</v>
      </c>
      <c r="O22" s="2">
        <f t="shared" si="4"/>
        <v>0</v>
      </c>
      <c r="P22" s="2">
        <f t="shared" si="4"/>
        <v>77200</v>
      </c>
    </row>
    <row r="23" spans="1:16">
      <c r="A23" s="70"/>
      <c r="B23" s="2" t="s">
        <v>43</v>
      </c>
      <c r="C23" s="412">
        <f t="shared" si="1"/>
        <v>6.066542701553991</v>
      </c>
      <c r="D23" s="412">
        <f t="shared" si="1"/>
        <v>9.094833311196707</v>
      </c>
      <c r="E23" s="412">
        <f t="shared" si="1"/>
        <v>8.337760658786026</v>
      </c>
      <c r="F23" s="412">
        <f t="shared" si="1"/>
        <v>4.5025899853898261</v>
      </c>
      <c r="G23" s="412">
        <f t="shared" si="1"/>
        <v>3.4201089122061363</v>
      </c>
      <c r="H23" s="412">
        <f t="shared" si="1"/>
        <v>68.578164430867318</v>
      </c>
      <c r="I23" s="412">
        <f t="shared" si="1"/>
        <v>100</v>
      </c>
      <c r="J23" s="409">
        <v>1827</v>
      </c>
      <c r="K23" s="2">
        <v>2739</v>
      </c>
      <c r="L23" s="2">
        <v>2511</v>
      </c>
      <c r="M23" s="2">
        <v>1356</v>
      </c>
      <c r="N23" s="2">
        <v>1030</v>
      </c>
      <c r="O23" s="2">
        <v>20653</v>
      </c>
      <c r="P23" s="2">
        <v>30116</v>
      </c>
    </row>
    <row r="24" spans="1:16">
      <c r="A24" s="70"/>
      <c r="B24" s="2" t="s">
        <v>44</v>
      </c>
      <c r="C24" s="412">
        <f t="shared" si="1"/>
        <v>0</v>
      </c>
      <c r="D24" s="412">
        <f t="shared" si="1"/>
        <v>0</v>
      </c>
      <c r="E24" s="412">
        <f t="shared" si="1"/>
        <v>0</v>
      </c>
      <c r="F24" s="412">
        <f t="shared" si="1"/>
        <v>5.0879396984924625</v>
      </c>
      <c r="G24" s="412">
        <f t="shared" si="1"/>
        <v>7.4748743718592969</v>
      </c>
      <c r="H24" s="412">
        <f t="shared" si="1"/>
        <v>87.437185929648237</v>
      </c>
      <c r="I24" s="412">
        <f t="shared" si="1"/>
        <v>100</v>
      </c>
      <c r="J24" s="409">
        <v>0</v>
      </c>
      <c r="K24" s="2">
        <v>0</v>
      </c>
      <c r="L24" s="2">
        <v>0</v>
      </c>
      <c r="M24" s="2">
        <v>81</v>
      </c>
      <c r="N24" s="2">
        <v>119</v>
      </c>
      <c r="O24" s="2">
        <v>1392</v>
      </c>
      <c r="P24" s="2">
        <v>1592</v>
      </c>
    </row>
    <row r="25" spans="1:16">
      <c r="A25" s="72"/>
      <c r="B25" s="69" t="s">
        <v>45</v>
      </c>
      <c r="C25" s="418">
        <f t="shared" si="1"/>
        <v>25.770374995408968</v>
      </c>
      <c r="D25" s="418">
        <f t="shared" si="1"/>
        <v>22.638373673192053</v>
      </c>
      <c r="E25" s="418">
        <f t="shared" si="1"/>
        <v>21.208726631652404</v>
      </c>
      <c r="F25" s="418">
        <f t="shared" si="1"/>
        <v>6.5146729349542731</v>
      </c>
      <c r="G25" s="418">
        <f t="shared" si="1"/>
        <v>3.6259962537187351</v>
      </c>
      <c r="H25" s="418">
        <f t="shared" si="1"/>
        <v>20.241855511073567</v>
      </c>
      <c r="I25" s="418">
        <f t="shared" si="1"/>
        <v>100</v>
      </c>
      <c r="J25" s="410">
        <f t="shared" ref="J25:P25" si="5">SUM(J22:J24)</f>
        <v>28066</v>
      </c>
      <c r="K25" s="68">
        <f t="shared" si="5"/>
        <v>24655</v>
      </c>
      <c r="L25" s="68">
        <f t="shared" si="5"/>
        <v>23098</v>
      </c>
      <c r="M25" s="68">
        <f t="shared" si="5"/>
        <v>7095</v>
      </c>
      <c r="N25" s="68">
        <f t="shared" si="5"/>
        <v>3949</v>
      </c>
      <c r="O25" s="68">
        <f t="shared" si="5"/>
        <v>22045</v>
      </c>
      <c r="P25" s="68">
        <f t="shared" si="5"/>
        <v>108908</v>
      </c>
    </row>
    <row r="26" spans="1:16">
      <c r="A26" s="70" t="s">
        <v>4</v>
      </c>
      <c r="B26" s="2" t="s">
        <v>36</v>
      </c>
      <c r="C26" s="412">
        <f t="shared" si="1"/>
        <v>34.402945817990535</v>
      </c>
      <c r="D26" s="412">
        <f t="shared" si="1"/>
        <v>33.666491320357707</v>
      </c>
      <c r="E26" s="412">
        <f t="shared" si="1"/>
        <v>24.092582851130985</v>
      </c>
      <c r="F26" s="412">
        <f t="shared" si="1"/>
        <v>6.628090478695424</v>
      </c>
      <c r="G26" s="412">
        <f t="shared" si="1"/>
        <v>1.2098895318253551</v>
      </c>
      <c r="H26" s="412">
        <f t="shared" si="1"/>
        <v>0</v>
      </c>
      <c r="I26" s="412">
        <f t="shared" si="1"/>
        <v>100</v>
      </c>
      <c r="J26" s="409">
        <v>654</v>
      </c>
      <c r="K26" s="2">
        <v>640</v>
      </c>
      <c r="L26" s="2">
        <v>458</v>
      </c>
      <c r="M26" s="2">
        <v>126</v>
      </c>
      <c r="N26" s="2">
        <v>23</v>
      </c>
      <c r="O26" s="2">
        <v>0</v>
      </c>
      <c r="P26" s="2">
        <v>1901</v>
      </c>
    </row>
    <row r="27" spans="1:16">
      <c r="A27" s="70"/>
      <c r="B27" s="2" t="s">
        <v>37</v>
      </c>
      <c r="C27" s="412">
        <f t="shared" si="1"/>
        <v>25.933609958506228</v>
      </c>
      <c r="D27" s="412">
        <f t="shared" si="1"/>
        <v>37.344398340248965</v>
      </c>
      <c r="E27" s="412">
        <f t="shared" si="1"/>
        <v>27.800829875518673</v>
      </c>
      <c r="F27" s="412">
        <f t="shared" si="1"/>
        <v>3.7344398340248963</v>
      </c>
      <c r="G27" s="412">
        <f t="shared" si="1"/>
        <v>5.186721991701245</v>
      </c>
      <c r="H27" s="412">
        <f t="shared" si="1"/>
        <v>0</v>
      </c>
      <c r="I27" s="412">
        <f t="shared" si="1"/>
        <v>100</v>
      </c>
      <c r="J27" s="409">
        <v>125</v>
      </c>
      <c r="K27" s="2">
        <v>180</v>
      </c>
      <c r="L27" s="2">
        <v>134</v>
      </c>
      <c r="M27" s="2">
        <v>18</v>
      </c>
      <c r="N27" s="2">
        <v>25</v>
      </c>
      <c r="O27" s="2">
        <v>0</v>
      </c>
      <c r="P27" s="2">
        <v>482</v>
      </c>
    </row>
    <row r="28" spans="1:16">
      <c r="A28" s="70"/>
      <c r="B28" s="2" t="s">
        <v>38</v>
      </c>
      <c r="C28" s="412">
        <f t="shared" si="1"/>
        <v>28.935185185185187</v>
      </c>
      <c r="D28" s="412">
        <f t="shared" si="1"/>
        <v>23.919753086419753</v>
      </c>
      <c r="E28" s="412">
        <f t="shared" si="1"/>
        <v>33.564814814814817</v>
      </c>
      <c r="F28" s="412">
        <f t="shared" si="1"/>
        <v>11.959876543209877</v>
      </c>
      <c r="G28" s="412">
        <f t="shared" si="1"/>
        <v>1.6203703703703702</v>
      </c>
      <c r="H28" s="412">
        <f t="shared" si="1"/>
        <v>0</v>
      </c>
      <c r="I28" s="412">
        <f t="shared" si="1"/>
        <v>100</v>
      </c>
      <c r="J28" s="409">
        <v>375</v>
      </c>
      <c r="K28" s="2">
        <v>310</v>
      </c>
      <c r="L28" s="2">
        <v>435</v>
      </c>
      <c r="M28" s="2">
        <v>155</v>
      </c>
      <c r="N28" s="2">
        <v>21</v>
      </c>
      <c r="O28" s="2">
        <v>0</v>
      </c>
      <c r="P28" s="2">
        <v>1296</v>
      </c>
    </row>
    <row r="29" spans="1:16">
      <c r="A29" s="70"/>
      <c r="B29" s="2" t="s">
        <v>39</v>
      </c>
      <c r="C29" s="412">
        <f t="shared" si="1"/>
        <v>25.04378283712785</v>
      </c>
      <c r="D29" s="412">
        <f t="shared" si="1"/>
        <v>28.896672504378284</v>
      </c>
      <c r="E29" s="412">
        <f t="shared" si="1"/>
        <v>35.901926444833627</v>
      </c>
      <c r="F29" s="412">
        <f t="shared" si="1"/>
        <v>10.157618213660244</v>
      </c>
      <c r="G29" s="412">
        <f t="shared" si="1"/>
        <v>0</v>
      </c>
      <c r="H29" s="412">
        <f t="shared" si="1"/>
        <v>0</v>
      </c>
      <c r="I29" s="412">
        <f t="shared" si="1"/>
        <v>100</v>
      </c>
      <c r="J29" s="409">
        <v>143</v>
      </c>
      <c r="K29" s="2">
        <v>165</v>
      </c>
      <c r="L29" s="2">
        <v>205</v>
      </c>
      <c r="M29" s="2">
        <v>58</v>
      </c>
      <c r="N29" s="2">
        <v>0</v>
      </c>
      <c r="O29" s="2">
        <v>0</v>
      </c>
      <c r="P29" s="2">
        <v>571</v>
      </c>
    </row>
    <row r="30" spans="1:16">
      <c r="A30" s="70"/>
      <c r="B30" s="2" t="s">
        <v>40</v>
      </c>
      <c r="C30" s="412">
        <f t="shared" si="1"/>
        <v>23.851590106007066</v>
      </c>
      <c r="D30" s="412">
        <f t="shared" si="1"/>
        <v>25.265017667844525</v>
      </c>
      <c r="E30" s="412">
        <f t="shared" si="1"/>
        <v>34.275618374558306</v>
      </c>
      <c r="F30" s="412">
        <f t="shared" si="1"/>
        <v>16.25441696113074</v>
      </c>
      <c r="G30" s="412">
        <f t="shared" si="1"/>
        <v>0.35335689045936397</v>
      </c>
      <c r="H30" s="412">
        <f t="shared" si="1"/>
        <v>0</v>
      </c>
      <c r="I30" s="412">
        <f t="shared" si="1"/>
        <v>100</v>
      </c>
      <c r="J30" s="409">
        <v>135</v>
      </c>
      <c r="K30" s="2">
        <v>143</v>
      </c>
      <c r="L30" s="2">
        <v>194</v>
      </c>
      <c r="M30" s="2">
        <v>92</v>
      </c>
      <c r="N30" s="2">
        <v>2</v>
      </c>
      <c r="O30" s="2">
        <v>0</v>
      </c>
      <c r="P30" s="2">
        <v>566</v>
      </c>
    </row>
    <row r="31" spans="1:16">
      <c r="A31" s="70"/>
      <c r="B31" s="2" t="s">
        <v>41</v>
      </c>
      <c r="C31" s="412">
        <f t="shared" si="1"/>
        <v>36.363636363636367</v>
      </c>
      <c r="D31" s="412">
        <f t="shared" si="1"/>
        <v>21.212121212121211</v>
      </c>
      <c r="E31" s="412">
        <f t="shared" si="1"/>
        <v>42.424242424242422</v>
      </c>
      <c r="F31" s="412">
        <f t="shared" si="1"/>
        <v>0</v>
      </c>
      <c r="G31" s="412">
        <f t="shared" si="1"/>
        <v>0</v>
      </c>
      <c r="H31" s="412">
        <f t="shared" si="1"/>
        <v>0</v>
      </c>
      <c r="I31" s="412">
        <f t="shared" si="1"/>
        <v>100</v>
      </c>
      <c r="J31" s="409">
        <v>24</v>
      </c>
      <c r="K31" s="2">
        <v>14</v>
      </c>
      <c r="L31" s="2">
        <v>28</v>
      </c>
      <c r="M31" s="2">
        <v>0</v>
      </c>
      <c r="N31" s="2">
        <v>0</v>
      </c>
      <c r="O31" s="2">
        <v>0</v>
      </c>
      <c r="P31" s="2">
        <v>66</v>
      </c>
    </row>
    <row r="32" spans="1:16">
      <c r="A32" s="70"/>
      <c r="B32" s="5" t="s">
        <v>42</v>
      </c>
      <c r="C32" s="417">
        <f t="shared" si="1"/>
        <v>29.823842687423184</v>
      </c>
      <c r="D32" s="417">
        <f t="shared" si="1"/>
        <v>29.741909053666532</v>
      </c>
      <c r="E32" s="417">
        <f t="shared" si="1"/>
        <v>29.782875870544856</v>
      </c>
      <c r="F32" s="417">
        <f t="shared" si="1"/>
        <v>9.1970503891847599</v>
      </c>
      <c r="G32" s="417">
        <f t="shared" si="1"/>
        <v>1.4543219991806637</v>
      </c>
      <c r="H32" s="417">
        <f t="shared" si="1"/>
        <v>0</v>
      </c>
      <c r="I32" s="417">
        <f t="shared" si="1"/>
        <v>100</v>
      </c>
      <c r="J32" s="409">
        <f t="shared" ref="J32:P32" si="6">SUM(J26:J31)</f>
        <v>1456</v>
      </c>
      <c r="K32" s="2">
        <f t="shared" si="6"/>
        <v>1452</v>
      </c>
      <c r="L32" s="2">
        <f t="shared" si="6"/>
        <v>1454</v>
      </c>
      <c r="M32" s="2">
        <f t="shared" si="6"/>
        <v>449</v>
      </c>
      <c r="N32" s="2">
        <f t="shared" si="6"/>
        <v>71</v>
      </c>
      <c r="O32" s="2">
        <f t="shared" si="6"/>
        <v>0</v>
      </c>
      <c r="P32" s="2">
        <f t="shared" si="6"/>
        <v>4882</v>
      </c>
    </row>
    <row r="33" spans="1:16">
      <c r="A33" s="70"/>
      <c r="B33" s="2" t="s">
        <v>43</v>
      </c>
      <c r="C33" s="412">
        <f t="shared" si="1"/>
        <v>0</v>
      </c>
      <c r="D33" s="412">
        <f t="shared" si="1"/>
        <v>0</v>
      </c>
      <c r="E33" s="412">
        <f t="shared" si="1"/>
        <v>0</v>
      </c>
      <c r="F33" s="412">
        <f t="shared" si="1"/>
        <v>0</v>
      </c>
      <c r="G33" s="412">
        <f t="shared" si="1"/>
        <v>0</v>
      </c>
      <c r="H33" s="412">
        <f t="shared" si="1"/>
        <v>100</v>
      </c>
      <c r="I33" s="412">
        <f t="shared" si="1"/>
        <v>100</v>
      </c>
      <c r="J33" s="409">
        <v>0</v>
      </c>
      <c r="K33" s="2">
        <v>0</v>
      </c>
      <c r="L33" s="2">
        <v>0</v>
      </c>
      <c r="M33" s="2">
        <v>0</v>
      </c>
      <c r="N33" s="2">
        <v>0</v>
      </c>
      <c r="O33" s="2">
        <v>219</v>
      </c>
      <c r="P33" s="2">
        <v>219</v>
      </c>
    </row>
    <row r="34" spans="1:16">
      <c r="A34" s="70"/>
      <c r="B34" s="2" t="s">
        <v>44</v>
      </c>
      <c r="C34" s="412">
        <f t="shared" si="1"/>
        <v>0</v>
      </c>
      <c r="D34" s="412">
        <f t="shared" si="1"/>
        <v>0</v>
      </c>
      <c r="E34" s="412">
        <f t="shared" si="1"/>
        <v>0</v>
      </c>
      <c r="F34" s="412">
        <f t="shared" si="1"/>
        <v>0</v>
      </c>
      <c r="G34" s="412">
        <f t="shared" si="1"/>
        <v>0</v>
      </c>
      <c r="H34" s="412">
        <f t="shared" si="1"/>
        <v>100</v>
      </c>
      <c r="I34" s="412">
        <f t="shared" si="1"/>
        <v>100</v>
      </c>
      <c r="J34" s="409">
        <v>0</v>
      </c>
      <c r="K34" s="2">
        <v>0</v>
      </c>
      <c r="L34" s="2">
        <v>0</v>
      </c>
      <c r="M34" s="2">
        <v>0</v>
      </c>
      <c r="N34" s="2">
        <v>0</v>
      </c>
      <c r="O34" s="2">
        <v>357</v>
      </c>
      <c r="P34" s="2">
        <v>357</v>
      </c>
    </row>
    <row r="35" spans="1:16">
      <c r="A35" s="72"/>
      <c r="B35" s="69" t="s">
        <v>45</v>
      </c>
      <c r="C35" s="418">
        <f t="shared" si="1"/>
        <v>26.676438255771345</v>
      </c>
      <c r="D35" s="418">
        <f t="shared" si="1"/>
        <v>26.60315133748626</v>
      </c>
      <c r="E35" s="418">
        <f t="shared" si="1"/>
        <v>26.639794796628802</v>
      </c>
      <c r="F35" s="418">
        <f t="shared" si="1"/>
        <v>8.2264565775009171</v>
      </c>
      <c r="G35" s="418">
        <f t="shared" si="1"/>
        <v>1.3008427995602785</v>
      </c>
      <c r="H35" s="418">
        <f t="shared" si="1"/>
        <v>10.553316233052399</v>
      </c>
      <c r="I35" s="418">
        <f t="shared" si="1"/>
        <v>100</v>
      </c>
      <c r="J35" s="410">
        <f t="shared" ref="J35:P35" si="7">SUM(J32:J34)</f>
        <v>1456</v>
      </c>
      <c r="K35" s="68">
        <f t="shared" si="7"/>
        <v>1452</v>
      </c>
      <c r="L35" s="68">
        <f t="shared" si="7"/>
        <v>1454</v>
      </c>
      <c r="M35" s="68">
        <f t="shared" si="7"/>
        <v>449</v>
      </c>
      <c r="N35" s="68">
        <f t="shared" si="7"/>
        <v>71</v>
      </c>
      <c r="O35" s="68">
        <f t="shared" si="7"/>
        <v>576</v>
      </c>
      <c r="P35" s="68">
        <f t="shared" si="7"/>
        <v>5458</v>
      </c>
    </row>
    <row r="36" spans="1:16">
      <c r="A36" s="70" t="s">
        <v>5</v>
      </c>
      <c r="B36" s="2" t="s">
        <v>36</v>
      </c>
      <c r="C36" s="412">
        <f t="shared" si="1"/>
        <v>39.603960396039604</v>
      </c>
      <c r="D36" s="412">
        <f t="shared" si="1"/>
        <v>24.133663366336634</v>
      </c>
      <c r="E36" s="412">
        <f t="shared" si="1"/>
        <v>25.495049504950494</v>
      </c>
      <c r="F36" s="412">
        <f t="shared" si="1"/>
        <v>9.0346534653465351</v>
      </c>
      <c r="G36" s="412">
        <f t="shared" si="1"/>
        <v>1.7326732673267329</v>
      </c>
      <c r="H36" s="412">
        <f t="shared" si="1"/>
        <v>0</v>
      </c>
      <c r="I36" s="412">
        <f t="shared" si="1"/>
        <v>100</v>
      </c>
      <c r="J36" s="409">
        <v>320</v>
      </c>
      <c r="K36" s="2">
        <v>195</v>
      </c>
      <c r="L36" s="2">
        <v>206</v>
      </c>
      <c r="M36" s="2">
        <v>73</v>
      </c>
      <c r="N36" s="2">
        <v>14</v>
      </c>
      <c r="O36" s="2">
        <v>0</v>
      </c>
      <c r="P36" s="2">
        <v>808</v>
      </c>
    </row>
    <row r="37" spans="1:16">
      <c r="A37" s="70"/>
      <c r="B37" s="2" t="s">
        <v>37</v>
      </c>
      <c r="C37" s="412" t="e">
        <f t="shared" si="1"/>
        <v>#DIV/0!</v>
      </c>
      <c r="D37" s="412" t="e">
        <f t="shared" si="1"/>
        <v>#DIV/0!</v>
      </c>
      <c r="E37" s="412" t="e">
        <f t="shared" si="1"/>
        <v>#DIV/0!</v>
      </c>
      <c r="F37" s="412" t="e">
        <f t="shared" si="1"/>
        <v>#DIV/0!</v>
      </c>
      <c r="G37" s="412" t="e">
        <f t="shared" si="1"/>
        <v>#DIV/0!</v>
      </c>
      <c r="H37" s="412" t="e">
        <f t="shared" si="1"/>
        <v>#DIV/0!</v>
      </c>
      <c r="I37" s="412" t="e">
        <f t="shared" si="1"/>
        <v>#DIV/0!</v>
      </c>
      <c r="J37" s="409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</row>
    <row r="38" spans="1:16">
      <c r="A38" s="70"/>
      <c r="B38" s="2" t="s">
        <v>38</v>
      </c>
      <c r="C38" s="412">
        <f t="shared" si="1"/>
        <v>28.039041703637977</v>
      </c>
      <c r="D38" s="412">
        <f t="shared" si="1"/>
        <v>25.377107364685003</v>
      </c>
      <c r="E38" s="412">
        <f t="shared" si="1"/>
        <v>23.691215616681454</v>
      </c>
      <c r="F38" s="412">
        <f t="shared" si="1"/>
        <v>19.964507542147295</v>
      </c>
      <c r="G38" s="412">
        <f t="shared" si="1"/>
        <v>2.9281277728482697</v>
      </c>
      <c r="H38" s="412">
        <f t="shared" si="1"/>
        <v>0</v>
      </c>
      <c r="I38" s="412">
        <f t="shared" si="1"/>
        <v>100</v>
      </c>
      <c r="J38" s="409">
        <v>316</v>
      </c>
      <c r="K38" s="2">
        <v>286</v>
      </c>
      <c r="L38" s="2">
        <v>267</v>
      </c>
      <c r="M38" s="2">
        <v>225</v>
      </c>
      <c r="N38" s="2">
        <v>33</v>
      </c>
      <c r="O38" s="2">
        <v>0</v>
      </c>
      <c r="P38" s="2">
        <v>1127</v>
      </c>
    </row>
    <row r="39" spans="1:16">
      <c r="A39" s="70"/>
      <c r="B39" s="2" t="s">
        <v>39</v>
      </c>
      <c r="C39" s="412" t="e">
        <f t="shared" si="1"/>
        <v>#DIV/0!</v>
      </c>
      <c r="D39" s="412" t="e">
        <f t="shared" si="1"/>
        <v>#DIV/0!</v>
      </c>
      <c r="E39" s="412" t="e">
        <f t="shared" si="1"/>
        <v>#DIV/0!</v>
      </c>
      <c r="F39" s="412" t="e">
        <f t="shared" si="1"/>
        <v>#DIV/0!</v>
      </c>
      <c r="G39" s="412" t="e">
        <f t="shared" si="1"/>
        <v>#DIV/0!</v>
      </c>
      <c r="H39" s="412" t="e">
        <f t="shared" si="1"/>
        <v>#DIV/0!</v>
      </c>
      <c r="I39" s="412" t="e">
        <f t="shared" si="1"/>
        <v>#DIV/0!</v>
      </c>
      <c r="J39" s="409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</row>
    <row r="40" spans="1:16">
      <c r="A40" s="70"/>
      <c r="B40" s="2" t="s">
        <v>40</v>
      </c>
      <c r="C40" s="412">
        <f t="shared" si="1"/>
        <v>31.192660550458719</v>
      </c>
      <c r="D40" s="412">
        <f t="shared" si="1"/>
        <v>33.333333333333329</v>
      </c>
      <c r="E40" s="412">
        <f t="shared" si="1"/>
        <v>26.605504587155966</v>
      </c>
      <c r="F40" s="412">
        <f t="shared" si="1"/>
        <v>8.8685015290519882</v>
      </c>
      <c r="G40" s="412">
        <f t="shared" si="1"/>
        <v>0</v>
      </c>
      <c r="H40" s="412">
        <f t="shared" si="1"/>
        <v>0</v>
      </c>
      <c r="I40" s="412">
        <f t="shared" si="1"/>
        <v>100</v>
      </c>
      <c r="J40" s="409">
        <v>102</v>
      </c>
      <c r="K40" s="2">
        <v>109</v>
      </c>
      <c r="L40" s="2">
        <v>87</v>
      </c>
      <c r="M40" s="2">
        <v>29</v>
      </c>
      <c r="N40" s="2">
        <v>0</v>
      </c>
      <c r="O40" s="2">
        <v>0</v>
      </c>
      <c r="P40" s="2">
        <v>327</v>
      </c>
    </row>
    <row r="41" spans="1:16">
      <c r="A41" s="70"/>
      <c r="B41" s="2" t="s">
        <v>41</v>
      </c>
      <c r="C41" s="412">
        <f t="shared" si="1"/>
        <v>23.732718894009217</v>
      </c>
      <c r="D41" s="412">
        <f t="shared" si="1"/>
        <v>19.124423963133641</v>
      </c>
      <c r="E41" s="412">
        <f t="shared" si="1"/>
        <v>32.488479262672811</v>
      </c>
      <c r="F41" s="412">
        <f t="shared" si="1"/>
        <v>24.423963133640552</v>
      </c>
      <c r="G41" s="412">
        <f t="shared" si="1"/>
        <v>0.2304147465437788</v>
      </c>
      <c r="H41" s="412">
        <f t="shared" si="1"/>
        <v>0</v>
      </c>
      <c r="I41" s="412">
        <f t="shared" si="1"/>
        <v>100</v>
      </c>
      <c r="J41" s="409">
        <v>103</v>
      </c>
      <c r="K41" s="2">
        <v>83</v>
      </c>
      <c r="L41" s="2">
        <v>141</v>
      </c>
      <c r="M41" s="2">
        <v>106</v>
      </c>
      <c r="N41" s="2">
        <v>1</v>
      </c>
      <c r="O41" s="2">
        <v>0</v>
      </c>
      <c r="P41" s="2">
        <v>434</v>
      </c>
    </row>
    <row r="42" spans="1:16">
      <c r="A42" s="70"/>
      <c r="B42" s="5" t="s">
        <v>42</v>
      </c>
      <c r="C42" s="417">
        <f t="shared" si="1"/>
        <v>31.194362017804156</v>
      </c>
      <c r="D42" s="417">
        <f t="shared" si="1"/>
        <v>24.962908011869438</v>
      </c>
      <c r="E42" s="417">
        <f t="shared" si="1"/>
        <v>26.001483679525222</v>
      </c>
      <c r="F42" s="417">
        <f t="shared" si="1"/>
        <v>16.060830860534125</v>
      </c>
      <c r="G42" s="417">
        <f t="shared" si="1"/>
        <v>1.7804154302670623</v>
      </c>
      <c r="H42" s="417">
        <f t="shared" si="1"/>
        <v>0</v>
      </c>
      <c r="I42" s="417">
        <f t="shared" si="1"/>
        <v>100</v>
      </c>
      <c r="J42" s="409">
        <f t="shared" ref="J42:P42" si="8">SUM(J36:J41)</f>
        <v>841</v>
      </c>
      <c r="K42" s="2">
        <f t="shared" si="8"/>
        <v>673</v>
      </c>
      <c r="L42" s="2">
        <f t="shared" si="8"/>
        <v>701</v>
      </c>
      <c r="M42" s="2">
        <f t="shared" si="8"/>
        <v>433</v>
      </c>
      <c r="N42" s="2">
        <f t="shared" si="8"/>
        <v>48</v>
      </c>
      <c r="O42" s="2">
        <f t="shared" si="8"/>
        <v>0</v>
      </c>
      <c r="P42" s="2">
        <f t="shared" si="8"/>
        <v>2696</v>
      </c>
    </row>
    <row r="43" spans="1:16">
      <c r="A43" s="70"/>
      <c r="B43" s="2" t="s">
        <v>43</v>
      </c>
      <c r="C43" s="412">
        <f t="shared" si="1"/>
        <v>0</v>
      </c>
      <c r="D43" s="412">
        <f t="shared" si="1"/>
        <v>0</v>
      </c>
      <c r="E43" s="412">
        <f t="shared" si="1"/>
        <v>0</v>
      </c>
      <c r="F43" s="412">
        <f t="shared" si="1"/>
        <v>0</v>
      </c>
      <c r="G43" s="412">
        <f t="shared" si="1"/>
        <v>0</v>
      </c>
      <c r="H43" s="412">
        <f t="shared" si="1"/>
        <v>100</v>
      </c>
      <c r="I43" s="412">
        <f t="shared" si="1"/>
        <v>100</v>
      </c>
      <c r="J43" s="409">
        <v>0</v>
      </c>
      <c r="K43" s="2">
        <v>0</v>
      </c>
      <c r="L43" s="2">
        <v>0</v>
      </c>
      <c r="M43" s="2">
        <v>0</v>
      </c>
      <c r="N43" s="2">
        <v>0</v>
      </c>
      <c r="O43" s="2">
        <v>858</v>
      </c>
      <c r="P43" s="2">
        <v>858</v>
      </c>
    </row>
    <row r="44" spans="1:16">
      <c r="A44" s="70"/>
      <c r="B44" s="2" t="s">
        <v>44</v>
      </c>
      <c r="C44" s="412" t="e">
        <f t="shared" si="1"/>
        <v>#DIV/0!</v>
      </c>
      <c r="D44" s="412" t="e">
        <f t="shared" si="1"/>
        <v>#DIV/0!</v>
      </c>
      <c r="E44" s="412" t="e">
        <f t="shared" si="1"/>
        <v>#DIV/0!</v>
      </c>
      <c r="F44" s="412" t="e">
        <f t="shared" si="1"/>
        <v>#DIV/0!</v>
      </c>
      <c r="G44" s="412" t="e">
        <f t="shared" si="1"/>
        <v>#DIV/0!</v>
      </c>
      <c r="H44" s="412" t="e">
        <f t="shared" si="1"/>
        <v>#DIV/0!</v>
      </c>
      <c r="I44" s="412" t="e">
        <f t="shared" si="1"/>
        <v>#DIV/0!</v>
      </c>
      <c r="J44" s="409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</row>
    <row r="45" spans="1:16">
      <c r="A45" s="72"/>
      <c r="B45" s="69" t="s">
        <v>45</v>
      </c>
      <c r="C45" s="418">
        <f t="shared" si="1"/>
        <v>23.663477771525045</v>
      </c>
      <c r="D45" s="418">
        <f t="shared" si="1"/>
        <v>18.936409679234664</v>
      </c>
      <c r="E45" s="418">
        <f t="shared" si="1"/>
        <v>19.724254361283062</v>
      </c>
      <c r="F45" s="418">
        <f t="shared" si="1"/>
        <v>12.183455261676984</v>
      </c>
      <c r="G45" s="418">
        <f t="shared" si="1"/>
        <v>1.3505908835115363</v>
      </c>
      <c r="H45" s="418">
        <f t="shared" si="1"/>
        <v>24.141812042768713</v>
      </c>
      <c r="I45" s="418">
        <f t="shared" si="1"/>
        <v>100</v>
      </c>
      <c r="J45" s="410">
        <f t="shared" ref="J45:P45" si="9">SUM(J42:J44)</f>
        <v>841</v>
      </c>
      <c r="K45" s="68">
        <f t="shared" si="9"/>
        <v>673</v>
      </c>
      <c r="L45" s="68">
        <f t="shared" si="9"/>
        <v>701</v>
      </c>
      <c r="M45" s="68">
        <f t="shared" si="9"/>
        <v>433</v>
      </c>
      <c r="N45" s="68">
        <f t="shared" si="9"/>
        <v>48</v>
      </c>
      <c r="O45" s="68">
        <f t="shared" si="9"/>
        <v>858</v>
      </c>
      <c r="P45" s="68">
        <f t="shared" si="9"/>
        <v>3554</v>
      </c>
    </row>
    <row r="46" spans="1:16">
      <c r="A46" s="70" t="s">
        <v>82</v>
      </c>
      <c r="B46" s="2" t="s">
        <v>36</v>
      </c>
      <c r="C46" s="412">
        <f t="shared" si="1"/>
        <v>34.972677595628419</v>
      </c>
      <c r="D46" s="412">
        <f t="shared" si="1"/>
        <v>33.770491803278688</v>
      </c>
      <c r="E46" s="412">
        <f t="shared" si="1"/>
        <v>23.387978142076502</v>
      </c>
      <c r="F46" s="412">
        <f t="shared" si="1"/>
        <v>7.2131147540983616</v>
      </c>
      <c r="G46" s="412">
        <f t="shared" si="1"/>
        <v>0.65573770491803274</v>
      </c>
      <c r="H46" s="412">
        <f t="shared" si="1"/>
        <v>0</v>
      </c>
      <c r="I46" s="412">
        <f t="shared" si="1"/>
        <v>100</v>
      </c>
      <c r="J46" s="409">
        <v>320</v>
      </c>
      <c r="K46" s="74">
        <v>309</v>
      </c>
      <c r="L46" s="74">
        <v>214</v>
      </c>
      <c r="M46" s="74">
        <v>66</v>
      </c>
      <c r="N46" s="74">
        <v>6</v>
      </c>
      <c r="O46" s="74">
        <v>0</v>
      </c>
      <c r="P46" s="74">
        <f t="shared" ref="P46:P51" si="10">SUM(J46:O46)</f>
        <v>915</v>
      </c>
    </row>
    <row r="47" spans="1:16">
      <c r="A47" s="70"/>
      <c r="B47" s="2" t="s">
        <v>37</v>
      </c>
      <c r="C47" s="412" t="e">
        <f t="shared" si="1"/>
        <v>#DIV/0!</v>
      </c>
      <c r="D47" s="412" t="e">
        <f t="shared" si="1"/>
        <v>#DIV/0!</v>
      </c>
      <c r="E47" s="412" t="e">
        <f t="shared" si="1"/>
        <v>#DIV/0!</v>
      </c>
      <c r="F47" s="412" t="e">
        <f t="shared" si="1"/>
        <v>#DIV/0!</v>
      </c>
      <c r="G47" s="412" t="e">
        <f t="shared" si="1"/>
        <v>#DIV/0!</v>
      </c>
      <c r="H47" s="412" t="e">
        <f t="shared" si="1"/>
        <v>#DIV/0!</v>
      </c>
      <c r="I47" s="412" t="e">
        <f t="shared" si="1"/>
        <v>#DIV/0!</v>
      </c>
      <c r="J47" s="409">
        <v>0</v>
      </c>
      <c r="K47" s="74">
        <v>0</v>
      </c>
      <c r="L47" s="74">
        <v>0</v>
      </c>
      <c r="M47" s="74">
        <v>0</v>
      </c>
      <c r="N47" s="74">
        <v>0</v>
      </c>
      <c r="O47" s="74">
        <v>0</v>
      </c>
      <c r="P47" s="74">
        <f t="shared" si="10"/>
        <v>0</v>
      </c>
    </row>
    <row r="48" spans="1:16">
      <c r="A48" s="70"/>
      <c r="B48" s="2" t="s">
        <v>38</v>
      </c>
      <c r="C48" s="412" t="e">
        <f t="shared" si="1"/>
        <v>#DIV/0!</v>
      </c>
      <c r="D48" s="412" t="e">
        <f t="shared" si="1"/>
        <v>#DIV/0!</v>
      </c>
      <c r="E48" s="412" t="e">
        <f t="shared" si="1"/>
        <v>#DIV/0!</v>
      </c>
      <c r="F48" s="412" t="e">
        <f t="shared" si="1"/>
        <v>#DIV/0!</v>
      </c>
      <c r="G48" s="412" t="e">
        <f t="shared" si="1"/>
        <v>#DIV/0!</v>
      </c>
      <c r="H48" s="412" t="e">
        <f t="shared" si="1"/>
        <v>#DIV/0!</v>
      </c>
      <c r="I48" s="412" t="e">
        <f t="shared" si="1"/>
        <v>#DIV/0!</v>
      </c>
      <c r="J48" s="409">
        <v>0</v>
      </c>
      <c r="K48" s="74">
        <v>0</v>
      </c>
      <c r="L48" s="74">
        <v>0</v>
      </c>
      <c r="M48" s="74">
        <v>0</v>
      </c>
      <c r="N48" s="74">
        <v>0</v>
      </c>
      <c r="O48" s="74">
        <v>0</v>
      </c>
      <c r="P48" s="74">
        <f t="shared" si="10"/>
        <v>0</v>
      </c>
    </row>
    <row r="49" spans="1:16">
      <c r="A49" s="70"/>
      <c r="B49" s="2" t="s">
        <v>39</v>
      </c>
      <c r="C49" s="412">
        <f t="shared" si="1"/>
        <v>17.857142857142858</v>
      </c>
      <c r="D49" s="412">
        <f t="shared" si="1"/>
        <v>32.142857142857146</v>
      </c>
      <c r="E49" s="412">
        <f t="shared" si="1"/>
        <v>37.5</v>
      </c>
      <c r="F49" s="412">
        <f t="shared" si="1"/>
        <v>12.5</v>
      </c>
      <c r="G49" s="412">
        <f t="shared" si="1"/>
        <v>0</v>
      </c>
      <c r="H49" s="412">
        <f t="shared" si="1"/>
        <v>0</v>
      </c>
      <c r="I49" s="412">
        <f t="shared" si="1"/>
        <v>100</v>
      </c>
      <c r="J49" s="409">
        <v>30</v>
      </c>
      <c r="K49" s="74">
        <v>54</v>
      </c>
      <c r="L49" s="74">
        <v>63</v>
      </c>
      <c r="M49" s="74">
        <v>21</v>
      </c>
      <c r="N49" s="74">
        <v>0</v>
      </c>
      <c r="O49" s="74">
        <v>0</v>
      </c>
      <c r="P49" s="74">
        <f t="shared" si="10"/>
        <v>168</v>
      </c>
    </row>
    <row r="50" spans="1:16">
      <c r="A50" s="70"/>
      <c r="B50" s="2" t="s">
        <v>40</v>
      </c>
      <c r="C50" s="412" t="e">
        <f t="shared" si="1"/>
        <v>#DIV/0!</v>
      </c>
      <c r="D50" s="412" t="e">
        <f t="shared" si="1"/>
        <v>#DIV/0!</v>
      </c>
      <c r="E50" s="412" t="e">
        <f t="shared" si="1"/>
        <v>#DIV/0!</v>
      </c>
      <c r="F50" s="412" t="e">
        <f t="shared" si="1"/>
        <v>#DIV/0!</v>
      </c>
      <c r="G50" s="412" t="e">
        <f t="shared" si="1"/>
        <v>#DIV/0!</v>
      </c>
      <c r="H50" s="412" t="e">
        <f t="shared" si="1"/>
        <v>#DIV/0!</v>
      </c>
      <c r="I50" s="412" t="e">
        <f t="shared" si="1"/>
        <v>#DIV/0!</v>
      </c>
      <c r="J50" s="409">
        <v>0</v>
      </c>
      <c r="K50" s="74">
        <v>0</v>
      </c>
      <c r="L50" s="74">
        <v>0</v>
      </c>
      <c r="M50" s="74">
        <v>0</v>
      </c>
      <c r="N50" s="74">
        <v>0</v>
      </c>
      <c r="O50" s="74">
        <v>0</v>
      </c>
      <c r="P50" s="74">
        <f t="shared" si="10"/>
        <v>0</v>
      </c>
    </row>
    <row r="51" spans="1:16">
      <c r="A51" s="70"/>
      <c r="B51" s="2" t="s">
        <v>41</v>
      </c>
      <c r="C51" s="412" t="e">
        <f t="shared" si="1"/>
        <v>#DIV/0!</v>
      </c>
      <c r="D51" s="412" t="e">
        <f t="shared" si="1"/>
        <v>#DIV/0!</v>
      </c>
      <c r="E51" s="412" t="e">
        <f t="shared" si="1"/>
        <v>#DIV/0!</v>
      </c>
      <c r="F51" s="412" t="e">
        <f t="shared" si="1"/>
        <v>#DIV/0!</v>
      </c>
      <c r="G51" s="412" t="e">
        <f t="shared" si="1"/>
        <v>#DIV/0!</v>
      </c>
      <c r="H51" s="412" t="e">
        <f t="shared" si="1"/>
        <v>#DIV/0!</v>
      </c>
      <c r="I51" s="412" t="e">
        <f t="shared" si="1"/>
        <v>#DIV/0!</v>
      </c>
      <c r="J51" s="409">
        <v>0</v>
      </c>
      <c r="K51" s="74">
        <v>0</v>
      </c>
      <c r="L51" s="74">
        <v>0</v>
      </c>
      <c r="M51" s="74">
        <v>0</v>
      </c>
      <c r="N51" s="74">
        <v>0</v>
      </c>
      <c r="O51" s="74">
        <v>0</v>
      </c>
      <c r="P51" s="74">
        <f t="shared" si="10"/>
        <v>0</v>
      </c>
    </row>
    <row r="52" spans="1:16">
      <c r="A52" s="70"/>
      <c r="B52" s="5" t="s">
        <v>42</v>
      </c>
      <c r="C52" s="417">
        <f t="shared" si="1"/>
        <v>32.317636195752542</v>
      </c>
      <c r="D52" s="417">
        <f t="shared" si="1"/>
        <v>33.518005540166207</v>
      </c>
      <c r="E52" s="417">
        <f t="shared" si="1"/>
        <v>25.577100646352726</v>
      </c>
      <c r="F52" s="417">
        <f t="shared" si="1"/>
        <v>8.0332409972299157</v>
      </c>
      <c r="G52" s="417">
        <f t="shared" si="1"/>
        <v>0.554016620498615</v>
      </c>
      <c r="H52" s="417">
        <f t="shared" si="1"/>
        <v>0</v>
      </c>
      <c r="I52" s="417">
        <f t="shared" si="1"/>
        <v>100</v>
      </c>
      <c r="J52" s="409">
        <f t="shared" ref="J52:P52" si="11">SUM(J46:J51)</f>
        <v>350</v>
      </c>
      <c r="K52" s="74">
        <f t="shared" si="11"/>
        <v>363</v>
      </c>
      <c r="L52" s="74">
        <f t="shared" si="11"/>
        <v>277</v>
      </c>
      <c r="M52" s="74">
        <f t="shared" si="11"/>
        <v>87</v>
      </c>
      <c r="N52" s="74">
        <f t="shared" si="11"/>
        <v>6</v>
      </c>
      <c r="O52" s="74">
        <f t="shared" si="11"/>
        <v>0</v>
      </c>
      <c r="P52" s="74">
        <f t="shared" si="11"/>
        <v>1083</v>
      </c>
    </row>
    <row r="53" spans="1:16">
      <c r="A53" s="70"/>
      <c r="B53" s="2" t="s">
        <v>43</v>
      </c>
      <c r="C53" s="412">
        <f t="shared" si="1"/>
        <v>0</v>
      </c>
      <c r="D53" s="412">
        <f t="shared" si="1"/>
        <v>0</v>
      </c>
      <c r="E53" s="412">
        <f t="shared" si="1"/>
        <v>0</v>
      </c>
      <c r="F53" s="412">
        <f t="shared" si="1"/>
        <v>0</v>
      </c>
      <c r="G53" s="412">
        <f t="shared" si="1"/>
        <v>0</v>
      </c>
      <c r="H53" s="412">
        <f t="shared" si="1"/>
        <v>100</v>
      </c>
      <c r="I53" s="412">
        <f t="shared" si="1"/>
        <v>100</v>
      </c>
      <c r="J53" s="409">
        <v>0</v>
      </c>
      <c r="K53" s="74">
        <v>0</v>
      </c>
      <c r="L53" s="74">
        <v>0</v>
      </c>
      <c r="M53" s="74">
        <v>0</v>
      </c>
      <c r="N53" s="74">
        <v>0</v>
      </c>
      <c r="O53" s="74">
        <v>265</v>
      </c>
      <c r="P53" s="74">
        <f>SUM(J53:O53)</f>
        <v>265</v>
      </c>
    </row>
    <row r="54" spans="1:16">
      <c r="A54" s="70"/>
      <c r="B54" s="2" t="s">
        <v>44</v>
      </c>
      <c r="C54" s="412" t="e">
        <f t="shared" si="1"/>
        <v>#DIV/0!</v>
      </c>
      <c r="D54" s="412" t="e">
        <f t="shared" si="1"/>
        <v>#DIV/0!</v>
      </c>
      <c r="E54" s="412" t="e">
        <f t="shared" si="1"/>
        <v>#DIV/0!</v>
      </c>
      <c r="F54" s="412" t="e">
        <f t="shared" si="1"/>
        <v>#DIV/0!</v>
      </c>
      <c r="G54" s="412" t="e">
        <f t="shared" si="1"/>
        <v>#DIV/0!</v>
      </c>
      <c r="H54" s="412" t="e">
        <f t="shared" si="1"/>
        <v>#DIV/0!</v>
      </c>
      <c r="I54" s="412" t="e">
        <f t="shared" si="1"/>
        <v>#DIV/0!</v>
      </c>
      <c r="J54" s="409">
        <v>0</v>
      </c>
      <c r="K54" s="74">
        <v>0</v>
      </c>
      <c r="L54" s="74">
        <v>0</v>
      </c>
      <c r="M54" s="74">
        <v>0</v>
      </c>
      <c r="N54" s="74">
        <v>0</v>
      </c>
      <c r="O54" s="74">
        <v>0</v>
      </c>
      <c r="P54" s="74">
        <f>SUM(J54:O54)</f>
        <v>0</v>
      </c>
    </row>
    <row r="55" spans="1:16">
      <c r="A55" s="72"/>
      <c r="B55" s="69" t="s">
        <v>45</v>
      </c>
      <c r="C55" s="418">
        <f t="shared" si="1"/>
        <v>25.96439169139466</v>
      </c>
      <c r="D55" s="418">
        <f t="shared" si="1"/>
        <v>26.928783382789316</v>
      </c>
      <c r="E55" s="418">
        <f t="shared" si="1"/>
        <v>20.548961424332344</v>
      </c>
      <c r="F55" s="418">
        <f t="shared" si="1"/>
        <v>6.4540059347181007</v>
      </c>
      <c r="G55" s="418">
        <f t="shared" si="1"/>
        <v>0.44510385756676557</v>
      </c>
      <c r="H55" s="418">
        <f t="shared" si="1"/>
        <v>19.658753709198812</v>
      </c>
      <c r="I55" s="418">
        <f t="shared" si="1"/>
        <v>100</v>
      </c>
      <c r="J55" s="410">
        <f t="shared" ref="J55:P55" si="12">SUM(J52:J54)</f>
        <v>350</v>
      </c>
      <c r="K55" s="68">
        <f t="shared" si="12"/>
        <v>363</v>
      </c>
      <c r="L55" s="68">
        <f t="shared" si="12"/>
        <v>277</v>
      </c>
      <c r="M55" s="68">
        <f t="shared" si="12"/>
        <v>87</v>
      </c>
      <c r="N55" s="68">
        <f t="shared" si="12"/>
        <v>6</v>
      </c>
      <c r="O55" s="68">
        <f t="shared" si="12"/>
        <v>265</v>
      </c>
      <c r="P55" s="68">
        <f t="shared" si="12"/>
        <v>1348</v>
      </c>
    </row>
    <row r="56" spans="1:16">
      <c r="A56" s="70" t="s">
        <v>6</v>
      </c>
      <c r="B56" s="2" t="s">
        <v>36</v>
      </c>
      <c r="C56" s="412">
        <f t="shared" si="1"/>
        <v>44.053171641791046</v>
      </c>
      <c r="D56" s="412">
        <f t="shared" si="1"/>
        <v>31.273320895522389</v>
      </c>
      <c r="E56" s="412">
        <f t="shared" ref="E56:I106" si="13">(L56/$P56)*100</f>
        <v>20.615671641791046</v>
      </c>
      <c r="F56" s="412">
        <f t="shared" si="13"/>
        <v>3.2882462686567164</v>
      </c>
      <c r="G56" s="412">
        <f t="shared" si="13"/>
        <v>0.76958955223880599</v>
      </c>
      <c r="H56" s="412">
        <f t="shared" si="13"/>
        <v>0</v>
      </c>
      <c r="I56" s="412">
        <f t="shared" si="13"/>
        <v>100</v>
      </c>
      <c r="J56" s="409">
        <v>1889</v>
      </c>
      <c r="K56" s="2">
        <v>1341</v>
      </c>
      <c r="L56" s="2">
        <v>884</v>
      </c>
      <c r="M56" s="2">
        <v>141</v>
      </c>
      <c r="N56" s="2">
        <v>33</v>
      </c>
      <c r="O56" s="2">
        <v>0</v>
      </c>
      <c r="P56" s="2">
        <v>4288</v>
      </c>
    </row>
    <row r="57" spans="1:16">
      <c r="A57" s="70"/>
      <c r="B57" s="2" t="s">
        <v>37</v>
      </c>
      <c r="C57" s="412">
        <f t="shared" ref="C57:C88" si="14">(J57/$P57)*100</f>
        <v>34.604904632152589</v>
      </c>
      <c r="D57" s="412">
        <f t="shared" ref="D57:D88" si="15">(K57/$P57)*100</f>
        <v>33.424159854677562</v>
      </c>
      <c r="E57" s="412">
        <f t="shared" si="13"/>
        <v>24.613987284287013</v>
      </c>
      <c r="F57" s="412">
        <f t="shared" si="13"/>
        <v>6.0853769300635792</v>
      </c>
      <c r="G57" s="412">
        <f t="shared" si="13"/>
        <v>1.2715712988192553</v>
      </c>
      <c r="H57" s="412">
        <f t="shared" si="13"/>
        <v>0</v>
      </c>
      <c r="I57" s="412">
        <f t="shared" si="13"/>
        <v>100</v>
      </c>
      <c r="J57" s="409">
        <v>381</v>
      </c>
      <c r="K57" s="2">
        <v>368</v>
      </c>
      <c r="L57" s="2">
        <v>271</v>
      </c>
      <c r="M57" s="2">
        <v>67</v>
      </c>
      <c r="N57" s="2">
        <v>14</v>
      </c>
      <c r="O57" s="2">
        <v>0</v>
      </c>
      <c r="P57" s="2">
        <v>1101</v>
      </c>
    </row>
    <row r="58" spans="1:16">
      <c r="A58" s="70"/>
      <c r="B58" s="2" t="s">
        <v>38</v>
      </c>
      <c r="C58" s="412">
        <f t="shared" si="14"/>
        <v>22.88801571709234</v>
      </c>
      <c r="D58" s="412">
        <f t="shared" si="15"/>
        <v>30.648330058939095</v>
      </c>
      <c r="E58" s="412">
        <f t="shared" si="13"/>
        <v>30.746561886051083</v>
      </c>
      <c r="F58" s="412">
        <f t="shared" si="13"/>
        <v>15.324165029469548</v>
      </c>
      <c r="G58" s="412">
        <f t="shared" si="13"/>
        <v>0.39292730844793711</v>
      </c>
      <c r="H58" s="412">
        <f t="shared" si="13"/>
        <v>0</v>
      </c>
      <c r="I58" s="412">
        <f t="shared" si="13"/>
        <v>100</v>
      </c>
      <c r="J58" s="409">
        <v>233</v>
      </c>
      <c r="K58" s="2">
        <v>312</v>
      </c>
      <c r="L58" s="2">
        <v>313</v>
      </c>
      <c r="M58" s="2">
        <v>156</v>
      </c>
      <c r="N58" s="2">
        <v>4</v>
      </c>
      <c r="O58" s="2">
        <v>0</v>
      </c>
      <c r="P58" s="2">
        <v>1018</v>
      </c>
    </row>
    <row r="59" spans="1:16">
      <c r="A59" s="70"/>
      <c r="B59" s="2" t="s">
        <v>39</v>
      </c>
      <c r="C59" s="412">
        <f t="shared" si="14"/>
        <v>23.815620998719591</v>
      </c>
      <c r="D59" s="412">
        <f t="shared" si="15"/>
        <v>27.912932138284251</v>
      </c>
      <c r="E59" s="412">
        <f t="shared" si="13"/>
        <v>29.705505761843792</v>
      </c>
      <c r="F59" s="412">
        <f t="shared" si="13"/>
        <v>16.389244558258643</v>
      </c>
      <c r="G59" s="412">
        <f t="shared" si="13"/>
        <v>2.1766965428937262</v>
      </c>
      <c r="H59" s="412">
        <f t="shared" si="13"/>
        <v>0</v>
      </c>
      <c r="I59" s="412">
        <f t="shared" si="13"/>
        <v>100</v>
      </c>
      <c r="J59" s="409">
        <v>186</v>
      </c>
      <c r="K59" s="2">
        <v>218</v>
      </c>
      <c r="L59" s="2">
        <v>232</v>
      </c>
      <c r="M59" s="2">
        <v>128</v>
      </c>
      <c r="N59" s="2">
        <v>17</v>
      </c>
      <c r="O59" s="2">
        <v>0</v>
      </c>
      <c r="P59" s="2">
        <v>781</v>
      </c>
    </row>
    <row r="60" spans="1:16">
      <c r="A60" s="70"/>
      <c r="B60" s="2" t="s">
        <v>40</v>
      </c>
      <c r="C60" s="412" t="e">
        <f t="shared" si="14"/>
        <v>#DIV/0!</v>
      </c>
      <c r="D60" s="412" t="e">
        <f t="shared" si="15"/>
        <v>#DIV/0!</v>
      </c>
      <c r="E60" s="412" t="e">
        <f t="shared" si="13"/>
        <v>#DIV/0!</v>
      </c>
      <c r="F60" s="412" t="e">
        <f t="shared" si="13"/>
        <v>#DIV/0!</v>
      </c>
      <c r="G60" s="412" t="e">
        <f t="shared" si="13"/>
        <v>#DIV/0!</v>
      </c>
      <c r="H60" s="412" t="e">
        <f t="shared" si="13"/>
        <v>#DIV/0!</v>
      </c>
      <c r="I60" s="412" t="e">
        <f t="shared" si="13"/>
        <v>#DIV/0!</v>
      </c>
      <c r="J60" s="409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</row>
    <row r="61" spans="1:16">
      <c r="A61" s="70"/>
      <c r="B61" s="2" t="s">
        <v>41</v>
      </c>
      <c r="C61" s="412" t="e">
        <f t="shared" si="14"/>
        <v>#DIV/0!</v>
      </c>
      <c r="D61" s="412" t="e">
        <f t="shared" si="15"/>
        <v>#DIV/0!</v>
      </c>
      <c r="E61" s="412" t="e">
        <f t="shared" si="13"/>
        <v>#DIV/0!</v>
      </c>
      <c r="F61" s="412" t="e">
        <f t="shared" si="13"/>
        <v>#DIV/0!</v>
      </c>
      <c r="G61" s="412" t="e">
        <f t="shared" si="13"/>
        <v>#DIV/0!</v>
      </c>
      <c r="H61" s="412" t="e">
        <f t="shared" si="13"/>
        <v>#DIV/0!</v>
      </c>
      <c r="I61" s="412" t="e">
        <f t="shared" si="13"/>
        <v>#DIV/0!</v>
      </c>
      <c r="J61" s="409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</row>
    <row r="62" spans="1:16">
      <c r="A62" s="70"/>
      <c r="B62" s="5" t="s">
        <v>42</v>
      </c>
      <c r="C62" s="417">
        <f t="shared" si="14"/>
        <v>37.409571508069007</v>
      </c>
      <c r="D62" s="417">
        <f t="shared" si="15"/>
        <v>31.149137451307734</v>
      </c>
      <c r="E62" s="417">
        <f t="shared" si="13"/>
        <v>23.650528658875906</v>
      </c>
      <c r="F62" s="417">
        <f t="shared" si="13"/>
        <v>6.8447412353923207</v>
      </c>
      <c r="G62" s="417">
        <f t="shared" si="13"/>
        <v>0.94602114635503609</v>
      </c>
      <c r="H62" s="417">
        <f t="shared" si="13"/>
        <v>0</v>
      </c>
      <c r="I62" s="417">
        <f t="shared" si="13"/>
        <v>100</v>
      </c>
      <c r="J62" s="409">
        <f t="shared" ref="J62:P62" si="16">SUM(J56:J61)</f>
        <v>2689</v>
      </c>
      <c r="K62" s="2">
        <f t="shared" si="16"/>
        <v>2239</v>
      </c>
      <c r="L62" s="2">
        <f t="shared" si="16"/>
        <v>1700</v>
      </c>
      <c r="M62" s="2">
        <f t="shared" si="16"/>
        <v>492</v>
      </c>
      <c r="N62" s="2">
        <f t="shared" si="16"/>
        <v>68</v>
      </c>
      <c r="O62" s="2">
        <f t="shared" si="16"/>
        <v>0</v>
      </c>
      <c r="P62" s="2">
        <f t="shared" si="16"/>
        <v>7188</v>
      </c>
    </row>
    <row r="63" spans="1:16">
      <c r="A63" s="70"/>
      <c r="B63" s="2" t="s">
        <v>43</v>
      </c>
      <c r="C63" s="412">
        <f t="shared" si="14"/>
        <v>0</v>
      </c>
      <c r="D63" s="412">
        <f t="shared" si="15"/>
        <v>0</v>
      </c>
      <c r="E63" s="412">
        <f t="shared" si="13"/>
        <v>0</v>
      </c>
      <c r="F63" s="412">
        <f t="shared" si="13"/>
        <v>0</v>
      </c>
      <c r="G63" s="412">
        <f t="shared" si="13"/>
        <v>0</v>
      </c>
      <c r="H63" s="412">
        <f t="shared" si="13"/>
        <v>100</v>
      </c>
      <c r="I63" s="412">
        <f t="shared" si="13"/>
        <v>100</v>
      </c>
      <c r="J63" s="409">
        <v>0</v>
      </c>
      <c r="K63" s="2">
        <v>0</v>
      </c>
      <c r="L63" s="2">
        <v>0</v>
      </c>
      <c r="M63" s="2">
        <v>0</v>
      </c>
      <c r="N63" s="2">
        <v>0</v>
      </c>
      <c r="O63" s="2">
        <v>4680</v>
      </c>
      <c r="P63" s="2">
        <v>4680</v>
      </c>
    </row>
    <row r="64" spans="1:16">
      <c r="A64" s="70"/>
      <c r="B64" s="2" t="s">
        <v>44</v>
      </c>
      <c r="C64" s="412" t="e">
        <f t="shared" si="14"/>
        <v>#DIV/0!</v>
      </c>
      <c r="D64" s="412" t="e">
        <f t="shared" si="15"/>
        <v>#DIV/0!</v>
      </c>
      <c r="E64" s="412" t="e">
        <f t="shared" si="13"/>
        <v>#DIV/0!</v>
      </c>
      <c r="F64" s="412" t="e">
        <f t="shared" si="13"/>
        <v>#DIV/0!</v>
      </c>
      <c r="G64" s="412" t="e">
        <f t="shared" si="13"/>
        <v>#DIV/0!</v>
      </c>
      <c r="H64" s="412" t="e">
        <f t="shared" si="13"/>
        <v>#DIV/0!</v>
      </c>
      <c r="I64" s="412" t="e">
        <f t="shared" si="13"/>
        <v>#DIV/0!</v>
      </c>
      <c r="J64" s="409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</row>
    <row r="65" spans="1:16">
      <c r="A65" s="72"/>
      <c r="B65" s="69" t="s">
        <v>45</v>
      </c>
      <c r="C65" s="418">
        <f t="shared" si="14"/>
        <v>22.657566565554433</v>
      </c>
      <c r="D65" s="418">
        <f t="shared" si="15"/>
        <v>18.865857768790022</v>
      </c>
      <c r="E65" s="418">
        <f t="shared" si="13"/>
        <v>14.324233232221099</v>
      </c>
      <c r="F65" s="418">
        <f t="shared" si="13"/>
        <v>4.1456016177957533</v>
      </c>
      <c r="G65" s="418">
        <f t="shared" si="13"/>
        <v>0.57296932928884392</v>
      </c>
      <c r="H65" s="418">
        <f t="shared" si="13"/>
        <v>39.433771486349848</v>
      </c>
      <c r="I65" s="418">
        <f t="shared" si="13"/>
        <v>100</v>
      </c>
      <c r="J65" s="410">
        <f t="shared" ref="J65:P65" si="17">SUM(J62:J64)</f>
        <v>2689</v>
      </c>
      <c r="K65" s="68">
        <f t="shared" si="17"/>
        <v>2239</v>
      </c>
      <c r="L65" s="68">
        <f t="shared" si="17"/>
        <v>1700</v>
      </c>
      <c r="M65" s="68">
        <f t="shared" si="17"/>
        <v>492</v>
      </c>
      <c r="N65" s="68">
        <f t="shared" si="17"/>
        <v>68</v>
      </c>
      <c r="O65" s="68">
        <f t="shared" si="17"/>
        <v>4680</v>
      </c>
      <c r="P65" s="68">
        <f t="shared" si="17"/>
        <v>11868</v>
      </c>
    </row>
    <row r="66" spans="1:16">
      <c r="A66" s="70" t="s">
        <v>7</v>
      </c>
      <c r="B66" s="2" t="s">
        <v>36</v>
      </c>
      <c r="C66" s="412">
        <f t="shared" si="14"/>
        <v>39.832149774047771</v>
      </c>
      <c r="D66" s="412">
        <f t="shared" si="15"/>
        <v>32.537120723047124</v>
      </c>
      <c r="E66" s="412">
        <f t="shared" si="13"/>
        <v>18.334409296320207</v>
      </c>
      <c r="F66" s="412">
        <f t="shared" si="13"/>
        <v>9.2963202065848929</v>
      </c>
      <c r="G66" s="412">
        <f t="shared" si="13"/>
        <v>0</v>
      </c>
      <c r="H66" s="412">
        <f t="shared" si="13"/>
        <v>0</v>
      </c>
      <c r="I66" s="412">
        <f t="shared" si="13"/>
        <v>100</v>
      </c>
      <c r="J66" s="409">
        <v>617</v>
      </c>
      <c r="K66" s="2">
        <v>504</v>
      </c>
      <c r="L66" s="2">
        <v>284</v>
      </c>
      <c r="M66" s="2">
        <v>144</v>
      </c>
      <c r="N66" s="2">
        <v>0</v>
      </c>
      <c r="O66" s="2">
        <v>0</v>
      </c>
      <c r="P66" s="2">
        <v>1549</v>
      </c>
    </row>
    <row r="67" spans="1:16">
      <c r="A67" s="70"/>
      <c r="B67" s="2" t="s">
        <v>37</v>
      </c>
      <c r="C67" s="412">
        <f t="shared" si="14"/>
        <v>35.680433310765061</v>
      </c>
      <c r="D67" s="412">
        <f t="shared" si="15"/>
        <v>33.175355450236964</v>
      </c>
      <c r="E67" s="412">
        <f t="shared" si="13"/>
        <v>25.863236289776577</v>
      </c>
      <c r="F67" s="412">
        <f t="shared" si="13"/>
        <v>5.2809749492213944</v>
      </c>
      <c r="G67" s="412">
        <f t="shared" si="13"/>
        <v>0</v>
      </c>
      <c r="H67" s="412">
        <f t="shared" si="13"/>
        <v>0</v>
      </c>
      <c r="I67" s="412">
        <f t="shared" si="13"/>
        <v>100</v>
      </c>
      <c r="J67" s="409">
        <v>527</v>
      </c>
      <c r="K67" s="2">
        <v>490</v>
      </c>
      <c r="L67" s="2">
        <v>382</v>
      </c>
      <c r="M67" s="2">
        <v>78</v>
      </c>
      <c r="N67" s="2">
        <v>0</v>
      </c>
      <c r="O67" s="2">
        <v>0</v>
      </c>
      <c r="P67" s="2">
        <v>1477</v>
      </c>
    </row>
    <row r="68" spans="1:16">
      <c r="A68" s="70"/>
      <c r="B68" s="2" t="s">
        <v>38</v>
      </c>
      <c r="C68" s="412">
        <f t="shared" si="14"/>
        <v>22.912621359223301</v>
      </c>
      <c r="D68" s="412">
        <f t="shared" si="15"/>
        <v>28.543689320388349</v>
      </c>
      <c r="E68" s="412">
        <f t="shared" si="13"/>
        <v>38.446601941747574</v>
      </c>
      <c r="F68" s="412">
        <f t="shared" si="13"/>
        <v>10.097087378640776</v>
      </c>
      <c r="G68" s="412">
        <f t="shared" si="13"/>
        <v>0</v>
      </c>
      <c r="H68" s="412">
        <f t="shared" si="13"/>
        <v>0</v>
      </c>
      <c r="I68" s="412">
        <f t="shared" si="13"/>
        <v>100</v>
      </c>
      <c r="J68" s="409">
        <v>118</v>
      </c>
      <c r="K68" s="2">
        <v>147</v>
      </c>
      <c r="L68" s="2">
        <v>198</v>
      </c>
      <c r="M68" s="2">
        <v>52</v>
      </c>
      <c r="N68" s="2">
        <v>0</v>
      </c>
      <c r="O68" s="2">
        <v>0</v>
      </c>
      <c r="P68" s="2">
        <v>515</v>
      </c>
    </row>
    <row r="69" spans="1:16">
      <c r="A69" s="70"/>
      <c r="B69" s="2" t="s">
        <v>39</v>
      </c>
      <c r="C69" s="412">
        <f t="shared" si="14"/>
        <v>32.092426187419768</v>
      </c>
      <c r="D69" s="412">
        <f t="shared" si="15"/>
        <v>25.673940949935815</v>
      </c>
      <c r="E69" s="412">
        <f t="shared" si="13"/>
        <v>36.713735558408217</v>
      </c>
      <c r="F69" s="412">
        <f t="shared" si="13"/>
        <v>5.5198973042362001</v>
      </c>
      <c r="G69" s="412">
        <f t="shared" si="13"/>
        <v>0</v>
      </c>
      <c r="H69" s="412">
        <f t="shared" si="13"/>
        <v>0</v>
      </c>
      <c r="I69" s="412">
        <f t="shared" si="13"/>
        <v>100</v>
      </c>
      <c r="J69" s="409">
        <v>250</v>
      </c>
      <c r="K69" s="2">
        <v>200</v>
      </c>
      <c r="L69" s="2">
        <v>286</v>
      </c>
      <c r="M69" s="2">
        <v>43</v>
      </c>
      <c r="N69" s="2">
        <v>0</v>
      </c>
      <c r="O69" s="2">
        <v>0</v>
      </c>
      <c r="P69" s="2">
        <v>779</v>
      </c>
    </row>
    <row r="70" spans="1:16">
      <c r="A70" s="70"/>
      <c r="B70" s="2" t="s">
        <v>40</v>
      </c>
      <c r="C70" s="412">
        <f t="shared" si="14"/>
        <v>26.991565135895033</v>
      </c>
      <c r="D70" s="412">
        <f t="shared" si="15"/>
        <v>29.428303655107779</v>
      </c>
      <c r="E70" s="412">
        <f t="shared" si="13"/>
        <v>38.238050609184633</v>
      </c>
      <c r="F70" s="412">
        <f t="shared" si="13"/>
        <v>5.342080599812558</v>
      </c>
      <c r="G70" s="412">
        <f t="shared" si="13"/>
        <v>0</v>
      </c>
      <c r="H70" s="412">
        <f t="shared" si="13"/>
        <v>0</v>
      </c>
      <c r="I70" s="412">
        <f t="shared" si="13"/>
        <v>100</v>
      </c>
      <c r="J70" s="409">
        <v>288</v>
      </c>
      <c r="K70" s="2">
        <v>314</v>
      </c>
      <c r="L70" s="2">
        <v>408</v>
      </c>
      <c r="M70" s="2">
        <v>57</v>
      </c>
      <c r="N70" s="2">
        <v>0</v>
      </c>
      <c r="O70" s="2">
        <v>0</v>
      </c>
      <c r="P70" s="2">
        <v>1067</v>
      </c>
    </row>
    <row r="71" spans="1:16">
      <c r="A71" s="70"/>
      <c r="B71" s="2" t="s">
        <v>41</v>
      </c>
      <c r="C71" s="412">
        <f t="shared" si="14"/>
        <v>23.702031602708804</v>
      </c>
      <c r="D71" s="412">
        <f t="shared" si="15"/>
        <v>27.088036117381492</v>
      </c>
      <c r="E71" s="412">
        <f t="shared" si="13"/>
        <v>44.243792325056432</v>
      </c>
      <c r="F71" s="412">
        <f t="shared" si="13"/>
        <v>4.966139954853273</v>
      </c>
      <c r="G71" s="412">
        <f t="shared" si="13"/>
        <v>0</v>
      </c>
      <c r="H71" s="412">
        <f t="shared" si="13"/>
        <v>0</v>
      </c>
      <c r="I71" s="412">
        <f t="shared" si="13"/>
        <v>100</v>
      </c>
      <c r="J71" s="409">
        <v>105</v>
      </c>
      <c r="K71" s="2">
        <v>120</v>
      </c>
      <c r="L71" s="2">
        <v>196</v>
      </c>
      <c r="M71" s="2">
        <v>22</v>
      </c>
      <c r="N71" s="2">
        <v>0</v>
      </c>
      <c r="O71" s="2">
        <v>0</v>
      </c>
      <c r="P71" s="2">
        <v>443</v>
      </c>
    </row>
    <row r="72" spans="1:16">
      <c r="A72" s="70"/>
      <c r="B72" s="5" t="s">
        <v>42</v>
      </c>
      <c r="C72" s="417">
        <f t="shared" si="14"/>
        <v>32.675814751286445</v>
      </c>
      <c r="D72" s="417">
        <f t="shared" si="15"/>
        <v>30.445969125214408</v>
      </c>
      <c r="E72" s="417">
        <f t="shared" si="13"/>
        <v>30.085763293310464</v>
      </c>
      <c r="F72" s="417">
        <f t="shared" si="13"/>
        <v>6.7924528301886795</v>
      </c>
      <c r="G72" s="417">
        <f t="shared" si="13"/>
        <v>0</v>
      </c>
      <c r="H72" s="417">
        <f t="shared" si="13"/>
        <v>0</v>
      </c>
      <c r="I72" s="417">
        <f t="shared" si="13"/>
        <v>100</v>
      </c>
      <c r="J72" s="409">
        <f t="shared" ref="J72:P72" si="18">SUM(J66:J71)</f>
        <v>1905</v>
      </c>
      <c r="K72" s="2">
        <f t="shared" si="18"/>
        <v>1775</v>
      </c>
      <c r="L72" s="2">
        <f t="shared" si="18"/>
        <v>1754</v>
      </c>
      <c r="M72" s="2">
        <f t="shared" si="18"/>
        <v>396</v>
      </c>
      <c r="N72" s="2">
        <f t="shared" si="18"/>
        <v>0</v>
      </c>
      <c r="O72" s="2">
        <f t="shared" si="18"/>
        <v>0</v>
      </c>
      <c r="P72" s="2">
        <f t="shared" si="18"/>
        <v>5830</v>
      </c>
    </row>
    <row r="73" spans="1:16">
      <c r="A73" s="70"/>
      <c r="B73" s="2" t="s">
        <v>43</v>
      </c>
      <c r="C73" s="412">
        <f t="shared" si="14"/>
        <v>13.44178082191781</v>
      </c>
      <c r="D73" s="412">
        <f t="shared" si="15"/>
        <v>25.171232876712331</v>
      </c>
      <c r="E73" s="412">
        <f t="shared" si="13"/>
        <v>44.006849315068493</v>
      </c>
      <c r="F73" s="412">
        <f t="shared" si="13"/>
        <v>17.38013698630137</v>
      </c>
      <c r="G73" s="412">
        <f t="shared" si="13"/>
        <v>0</v>
      </c>
      <c r="H73" s="412">
        <f t="shared" si="13"/>
        <v>0</v>
      </c>
      <c r="I73" s="412">
        <f t="shared" si="13"/>
        <v>100</v>
      </c>
      <c r="J73" s="409">
        <v>157</v>
      </c>
      <c r="K73" s="2">
        <v>294</v>
      </c>
      <c r="L73" s="2">
        <v>514</v>
      </c>
      <c r="M73" s="2">
        <v>203</v>
      </c>
      <c r="N73" s="2">
        <v>0</v>
      </c>
      <c r="O73" s="2">
        <v>0</v>
      </c>
      <c r="P73" s="2">
        <v>1168</v>
      </c>
    </row>
    <row r="74" spans="1:16">
      <c r="A74" s="70"/>
      <c r="B74" s="2" t="s">
        <v>44</v>
      </c>
      <c r="C74" s="412">
        <f t="shared" si="14"/>
        <v>0</v>
      </c>
      <c r="D74" s="412">
        <f t="shared" si="15"/>
        <v>0</v>
      </c>
      <c r="E74" s="412">
        <f t="shared" si="13"/>
        <v>0</v>
      </c>
      <c r="F74" s="412">
        <f t="shared" si="13"/>
        <v>0</v>
      </c>
      <c r="G74" s="412">
        <f t="shared" si="13"/>
        <v>0</v>
      </c>
      <c r="H74" s="412">
        <f t="shared" si="13"/>
        <v>100</v>
      </c>
      <c r="I74" s="412">
        <f t="shared" si="13"/>
        <v>100</v>
      </c>
      <c r="J74" s="409">
        <v>0</v>
      </c>
      <c r="K74" s="2">
        <v>0</v>
      </c>
      <c r="L74" s="2">
        <v>0</v>
      </c>
      <c r="M74" s="2">
        <v>0</v>
      </c>
      <c r="N74" s="2">
        <v>0</v>
      </c>
      <c r="O74" s="2">
        <v>1035</v>
      </c>
      <c r="P74" s="2">
        <v>1035</v>
      </c>
    </row>
    <row r="75" spans="1:16">
      <c r="A75" s="72"/>
      <c r="B75" s="69" t="s">
        <v>45</v>
      </c>
      <c r="C75" s="418">
        <f t="shared" si="14"/>
        <v>25.669114901033236</v>
      </c>
      <c r="D75" s="418">
        <f t="shared" si="15"/>
        <v>25.756255446284076</v>
      </c>
      <c r="E75" s="418">
        <f t="shared" si="13"/>
        <v>28.23353666127225</v>
      </c>
      <c r="F75" s="418">
        <f t="shared" si="13"/>
        <v>7.4567409436076186</v>
      </c>
      <c r="G75" s="418">
        <f t="shared" si="13"/>
        <v>0</v>
      </c>
      <c r="H75" s="418">
        <f t="shared" si="13"/>
        <v>12.884352047802814</v>
      </c>
      <c r="I75" s="418">
        <f t="shared" si="13"/>
        <v>100</v>
      </c>
      <c r="J75" s="410">
        <f t="shared" ref="J75:P75" si="19">SUM(J72:J74)</f>
        <v>2062</v>
      </c>
      <c r="K75" s="68">
        <f t="shared" si="19"/>
        <v>2069</v>
      </c>
      <c r="L75" s="68">
        <f t="shared" si="19"/>
        <v>2268</v>
      </c>
      <c r="M75" s="68">
        <f t="shared" si="19"/>
        <v>599</v>
      </c>
      <c r="N75" s="68">
        <f t="shared" si="19"/>
        <v>0</v>
      </c>
      <c r="O75" s="68">
        <f t="shared" si="19"/>
        <v>1035</v>
      </c>
      <c r="P75" s="68">
        <f t="shared" si="19"/>
        <v>8033</v>
      </c>
    </row>
    <row r="76" spans="1:16">
      <c r="A76" s="70" t="s">
        <v>8</v>
      </c>
      <c r="B76" s="2" t="s">
        <v>36</v>
      </c>
      <c r="C76" s="412">
        <f t="shared" si="14"/>
        <v>39.256865912762521</v>
      </c>
      <c r="D76" s="412">
        <f t="shared" si="15"/>
        <v>35.945072697899839</v>
      </c>
      <c r="E76" s="412">
        <f t="shared" si="13"/>
        <v>23.828756058158319</v>
      </c>
      <c r="F76" s="412">
        <f t="shared" si="13"/>
        <v>0.96930533117932149</v>
      </c>
      <c r="G76" s="412">
        <f t="shared" si="13"/>
        <v>0</v>
      </c>
      <c r="H76" s="412">
        <f t="shared" si="13"/>
        <v>0</v>
      </c>
      <c r="I76" s="412">
        <f t="shared" si="13"/>
        <v>100</v>
      </c>
      <c r="J76" s="409">
        <v>486</v>
      </c>
      <c r="K76" s="2">
        <v>445</v>
      </c>
      <c r="L76" s="2">
        <v>295</v>
      </c>
      <c r="M76" s="2">
        <v>12</v>
      </c>
      <c r="N76" s="2">
        <v>0</v>
      </c>
      <c r="O76" s="2">
        <v>0</v>
      </c>
      <c r="P76" s="2">
        <v>1238</v>
      </c>
    </row>
    <row r="77" spans="1:16">
      <c r="A77" s="70"/>
      <c r="B77" s="2" t="s">
        <v>37</v>
      </c>
      <c r="C77" s="412">
        <f t="shared" si="14"/>
        <v>41.220238095238095</v>
      </c>
      <c r="D77" s="412">
        <f t="shared" si="15"/>
        <v>30.654761904761905</v>
      </c>
      <c r="E77" s="412">
        <f t="shared" si="13"/>
        <v>24.702380952380953</v>
      </c>
      <c r="F77" s="412">
        <f t="shared" si="13"/>
        <v>1.6369047619047621</v>
      </c>
      <c r="G77" s="412">
        <f t="shared" si="13"/>
        <v>1.7857142857142856</v>
      </c>
      <c r="H77" s="412">
        <f t="shared" si="13"/>
        <v>0</v>
      </c>
      <c r="I77" s="412">
        <f t="shared" si="13"/>
        <v>100</v>
      </c>
      <c r="J77" s="409">
        <v>277</v>
      </c>
      <c r="K77" s="2">
        <v>206</v>
      </c>
      <c r="L77" s="2">
        <v>166</v>
      </c>
      <c r="M77" s="2">
        <v>11</v>
      </c>
      <c r="N77" s="2">
        <v>12</v>
      </c>
      <c r="O77" s="2">
        <v>0</v>
      </c>
      <c r="P77" s="2">
        <v>672</v>
      </c>
    </row>
    <row r="78" spans="1:16">
      <c r="A78" s="70"/>
      <c r="B78" s="2" t="s">
        <v>38</v>
      </c>
      <c r="C78" s="412">
        <f t="shared" si="14"/>
        <v>36.852861035422343</v>
      </c>
      <c r="D78" s="412">
        <f t="shared" si="15"/>
        <v>25.681198910081743</v>
      </c>
      <c r="E78" s="412">
        <f t="shared" si="13"/>
        <v>28.405994550408721</v>
      </c>
      <c r="F78" s="412">
        <f t="shared" si="13"/>
        <v>5.9264305177111716</v>
      </c>
      <c r="G78" s="412">
        <f t="shared" si="13"/>
        <v>3.1335149863760217</v>
      </c>
      <c r="H78" s="412">
        <f t="shared" si="13"/>
        <v>0</v>
      </c>
      <c r="I78" s="412">
        <f t="shared" si="13"/>
        <v>100</v>
      </c>
      <c r="J78" s="409">
        <v>541</v>
      </c>
      <c r="K78" s="2">
        <v>377</v>
      </c>
      <c r="L78" s="2">
        <v>417</v>
      </c>
      <c r="M78" s="2">
        <v>87</v>
      </c>
      <c r="N78" s="2">
        <v>46</v>
      </c>
      <c r="O78" s="2">
        <v>0</v>
      </c>
      <c r="P78" s="2">
        <v>1468</v>
      </c>
    </row>
    <row r="79" spans="1:16">
      <c r="A79" s="70"/>
      <c r="B79" s="2" t="s">
        <v>39</v>
      </c>
      <c r="C79" s="412">
        <f t="shared" si="14"/>
        <v>25.519287833827892</v>
      </c>
      <c r="D79" s="412">
        <f t="shared" si="15"/>
        <v>25.222551928783382</v>
      </c>
      <c r="E79" s="412">
        <f t="shared" si="13"/>
        <v>40.35608308605341</v>
      </c>
      <c r="F79" s="412">
        <f t="shared" si="13"/>
        <v>8.9020771513353125</v>
      </c>
      <c r="G79" s="412">
        <f t="shared" si="13"/>
        <v>0</v>
      </c>
      <c r="H79" s="412">
        <f t="shared" si="13"/>
        <v>0</v>
      </c>
      <c r="I79" s="412">
        <f t="shared" si="13"/>
        <v>100</v>
      </c>
      <c r="J79" s="409">
        <v>86</v>
      </c>
      <c r="K79" s="2">
        <v>85</v>
      </c>
      <c r="L79" s="2">
        <v>136</v>
      </c>
      <c r="M79" s="2">
        <v>30</v>
      </c>
      <c r="N79" s="2">
        <v>0</v>
      </c>
      <c r="O79" s="2">
        <v>0</v>
      </c>
      <c r="P79" s="2">
        <v>337</v>
      </c>
    </row>
    <row r="80" spans="1:16">
      <c r="A80" s="70"/>
      <c r="B80" s="2" t="s">
        <v>40</v>
      </c>
      <c r="C80" s="412">
        <f t="shared" si="14"/>
        <v>27.077747989276141</v>
      </c>
      <c r="D80" s="412">
        <f t="shared" si="15"/>
        <v>29.490616621983911</v>
      </c>
      <c r="E80" s="412">
        <f t="shared" si="13"/>
        <v>24.128686327077748</v>
      </c>
      <c r="F80" s="412">
        <f t="shared" si="13"/>
        <v>1.6085790884718498</v>
      </c>
      <c r="G80" s="412">
        <f t="shared" si="13"/>
        <v>17.694369973190348</v>
      </c>
      <c r="H80" s="412">
        <f t="shared" si="13"/>
        <v>0</v>
      </c>
      <c r="I80" s="412">
        <f t="shared" si="13"/>
        <v>100</v>
      </c>
      <c r="J80" s="409">
        <v>101</v>
      </c>
      <c r="K80" s="2">
        <v>110</v>
      </c>
      <c r="L80" s="2">
        <v>90</v>
      </c>
      <c r="M80" s="2">
        <v>6</v>
      </c>
      <c r="N80" s="2">
        <v>66</v>
      </c>
      <c r="O80" s="2">
        <v>0</v>
      </c>
      <c r="P80" s="2">
        <v>373</v>
      </c>
    </row>
    <row r="81" spans="1:16">
      <c r="A81" s="70"/>
      <c r="B81" s="2" t="s">
        <v>41</v>
      </c>
      <c r="C81" s="412">
        <f t="shared" si="14"/>
        <v>19.685039370078741</v>
      </c>
      <c r="D81" s="412">
        <f t="shared" si="15"/>
        <v>32.283464566929133</v>
      </c>
      <c r="E81" s="412">
        <f t="shared" si="13"/>
        <v>37.795275590551178</v>
      </c>
      <c r="F81" s="412">
        <f t="shared" si="13"/>
        <v>7.8740157480314963</v>
      </c>
      <c r="G81" s="412">
        <f t="shared" si="13"/>
        <v>2.3622047244094486</v>
      </c>
      <c r="H81" s="412">
        <f t="shared" si="13"/>
        <v>0</v>
      </c>
      <c r="I81" s="412">
        <f t="shared" si="13"/>
        <v>100</v>
      </c>
      <c r="J81" s="409">
        <v>25</v>
      </c>
      <c r="K81" s="2">
        <v>41</v>
      </c>
      <c r="L81" s="2">
        <v>48</v>
      </c>
      <c r="M81" s="2">
        <v>10</v>
      </c>
      <c r="N81" s="2">
        <v>3</v>
      </c>
      <c r="O81" s="2">
        <v>0</v>
      </c>
      <c r="P81" s="2">
        <v>127</v>
      </c>
    </row>
    <row r="82" spans="1:16">
      <c r="A82" s="70"/>
      <c r="B82" s="5" t="s">
        <v>42</v>
      </c>
      <c r="C82" s="417">
        <f t="shared" si="14"/>
        <v>35.966785290628707</v>
      </c>
      <c r="D82" s="417">
        <f t="shared" si="15"/>
        <v>29.988137603795966</v>
      </c>
      <c r="E82" s="417">
        <f t="shared" si="13"/>
        <v>27.330960854092528</v>
      </c>
      <c r="F82" s="417">
        <f t="shared" si="13"/>
        <v>3.7010676156583626</v>
      </c>
      <c r="G82" s="417">
        <f t="shared" si="13"/>
        <v>3.0130486358244366</v>
      </c>
      <c r="H82" s="417">
        <f t="shared" si="13"/>
        <v>0</v>
      </c>
      <c r="I82" s="417">
        <f t="shared" si="13"/>
        <v>100</v>
      </c>
      <c r="J82" s="409">
        <f t="shared" ref="J82:P82" si="20">SUM(J76:J81)</f>
        <v>1516</v>
      </c>
      <c r="K82" s="2">
        <f t="shared" si="20"/>
        <v>1264</v>
      </c>
      <c r="L82" s="2">
        <f t="shared" si="20"/>
        <v>1152</v>
      </c>
      <c r="M82" s="2">
        <f t="shared" si="20"/>
        <v>156</v>
      </c>
      <c r="N82" s="2">
        <f t="shared" si="20"/>
        <v>127</v>
      </c>
      <c r="O82" s="2">
        <f t="shared" si="20"/>
        <v>0</v>
      </c>
      <c r="P82" s="2">
        <f t="shared" si="20"/>
        <v>4215</v>
      </c>
    </row>
    <row r="83" spans="1:16">
      <c r="A83" s="70"/>
      <c r="B83" s="2" t="s">
        <v>43</v>
      </c>
      <c r="C83" s="412">
        <f t="shared" si="14"/>
        <v>19.677093844601412</v>
      </c>
      <c r="D83" s="412">
        <f t="shared" si="15"/>
        <v>39.253279515640763</v>
      </c>
      <c r="E83" s="412">
        <f t="shared" si="13"/>
        <v>27.547931382441977</v>
      </c>
      <c r="F83" s="412">
        <f t="shared" si="13"/>
        <v>13.521695257315844</v>
      </c>
      <c r="G83" s="412">
        <f t="shared" si="13"/>
        <v>0</v>
      </c>
      <c r="H83" s="412">
        <f t="shared" si="13"/>
        <v>0</v>
      </c>
      <c r="I83" s="412">
        <f t="shared" si="13"/>
        <v>100</v>
      </c>
      <c r="J83" s="409">
        <v>195</v>
      </c>
      <c r="K83" s="2">
        <v>389</v>
      </c>
      <c r="L83" s="2">
        <v>273</v>
      </c>
      <c r="M83" s="2">
        <v>134</v>
      </c>
      <c r="N83" s="2">
        <v>0</v>
      </c>
      <c r="O83" s="2">
        <v>0</v>
      </c>
      <c r="P83" s="2">
        <v>991</v>
      </c>
    </row>
    <row r="84" spans="1:16">
      <c r="A84" s="70"/>
      <c r="B84" s="2" t="s">
        <v>44</v>
      </c>
      <c r="C84" s="412" t="e">
        <f t="shared" si="14"/>
        <v>#DIV/0!</v>
      </c>
      <c r="D84" s="412" t="e">
        <f t="shared" si="15"/>
        <v>#DIV/0!</v>
      </c>
      <c r="E84" s="412" t="e">
        <f t="shared" si="13"/>
        <v>#DIV/0!</v>
      </c>
      <c r="F84" s="412" t="e">
        <f t="shared" si="13"/>
        <v>#DIV/0!</v>
      </c>
      <c r="G84" s="412" t="e">
        <f t="shared" si="13"/>
        <v>#DIV/0!</v>
      </c>
      <c r="H84" s="412" t="e">
        <f t="shared" si="13"/>
        <v>#DIV/0!</v>
      </c>
      <c r="I84" s="412" t="e">
        <f t="shared" si="13"/>
        <v>#DIV/0!</v>
      </c>
      <c r="J84" s="409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</row>
    <row r="85" spans="1:16">
      <c r="A85" s="72"/>
      <c r="B85" s="69" t="s">
        <v>45</v>
      </c>
      <c r="C85" s="418">
        <f t="shared" si="14"/>
        <v>32.865923933922396</v>
      </c>
      <c r="D85" s="418">
        <f t="shared" si="15"/>
        <v>31.751824817518248</v>
      </c>
      <c r="E85" s="418">
        <f t="shared" si="13"/>
        <v>27.372262773722628</v>
      </c>
      <c r="F85" s="418">
        <f t="shared" si="13"/>
        <v>5.5704955820207447</v>
      </c>
      <c r="G85" s="418">
        <f t="shared" si="13"/>
        <v>2.4394928928159816</v>
      </c>
      <c r="H85" s="418">
        <f t="shared" si="13"/>
        <v>0</v>
      </c>
      <c r="I85" s="418">
        <f t="shared" si="13"/>
        <v>100</v>
      </c>
      <c r="J85" s="410">
        <f t="shared" ref="J85:P85" si="21">SUM(J82:J84)</f>
        <v>1711</v>
      </c>
      <c r="K85" s="68">
        <f t="shared" si="21"/>
        <v>1653</v>
      </c>
      <c r="L85" s="68">
        <f t="shared" si="21"/>
        <v>1425</v>
      </c>
      <c r="M85" s="68">
        <f t="shared" si="21"/>
        <v>290</v>
      </c>
      <c r="N85" s="68">
        <f t="shared" si="21"/>
        <v>127</v>
      </c>
      <c r="O85" s="68">
        <f t="shared" si="21"/>
        <v>0</v>
      </c>
      <c r="P85" s="68">
        <f t="shared" si="21"/>
        <v>5206</v>
      </c>
    </row>
    <row r="86" spans="1:16">
      <c r="A86" s="70" t="s">
        <v>9</v>
      </c>
      <c r="B86" s="2" t="s">
        <v>36</v>
      </c>
      <c r="C86" s="412">
        <f t="shared" si="14"/>
        <v>38.122923588039868</v>
      </c>
      <c r="D86" s="412">
        <f t="shared" si="15"/>
        <v>25.664451827242523</v>
      </c>
      <c r="E86" s="412">
        <f t="shared" si="13"/>
        <v>20.431893687707642</v>
      </c>
      <c r="F86" s="412">
        <f t="shared" si="13"/>
        <v>15.780730897009967</v>
      </c>
      <c r="G86" s="412">
        <f t="shared" si="13"/>
        <v>0</v>
      </c>
      <c r="H86" s="412">
        <f t="shared" si="13"/>
        <v>0</v>
      </c>
      <c r="I86" s="412">
        <f t="shared" si="13"/>
        <v>100</v>
      </c>
      <c r="J86" s="409">
        <v>459</v>
      </c>
      <c r="K86" s="2">
        <v>309</v>
      </c>
      <c r="L86" s="2">
        <v>246</v>
      </c>
      <c r="M86" s="2">
        <v>190</v>
      </c>
      <c r="N86" s="2">
        <v>0</v>
      </c>
      <c r="O86" s="2">
        <v>0</v>
      </c>
      <c r="P86" s="2">
        <v>1204</v>
      </c>
    </row>
    <row r="87" spans="1:16">
      <c r="A87" s="70"/>
      <c r="B87" s="2" t="s">
        <v>37</v>
      </c>
      <c r="C87" s="412">
        <f t="shared" si="14"/>
        <v>33.706816059757237</v>
      </c>
      <c r="D87" s="412">
        <f t="shared" si="15"/>
        <v>25.770308123249297</v>
      </c>
      <c r="E87" s="412">
        <f t="shared" si="13"/>
        <v>24.369747899159663</v>
      </c>
      <c r="F87" s="412">
        <f t="shared" si="13"/>
        <v>16.1531279178338</v>
      </c>
      <c r="G87" s="412">
        <f t="shared" si="13"/>
        <v>0</v>
      </c>
      <c r="H87" s="412">
        <f t="shared" si="13"/>
        <v>0</v>
      </c>
      <c r="I87" s="412">
        <f t="shared" si="13"/>
        <v>100</v>
      </c>
      <c r="J87" s="409">
        <v>361</v>
      </c>
      <c r="K87" s="2">
        <v>276</v>
      </c>
      <c r="L87" s="2">
        <v>261</v>
      </c>
      <c r="M87" s="2">
        <v>173</v>
      </c>
      <c r="N87" s="2">
        <v>0</v>
      </c>
      <c r="O87" s="2">
        <v>0</v>
      </c>
      <c r="P87" s="2">
        <v>1071</v>
      </c>
    </row>
    <row r="88" spans="1:16">
      <c r="A88" s="70"/>
      <c r="B88" s="2" t="s">
        <v>38</v>
      </c>
      <c r="C88" s="412">
        <f t="shared" si="14"/>
        <v>26.070287539936103</v>
      </c>
      <c r="D88" s="412">
        <f t="shared" si="15"/>
        <v>23.833865814696487</v>
      </c>
      <c r="E88" s="412">
        <f t="shared" si="13"/>
        <v>35.910543130990412</v>
      </c>
      <c r="F88" s="412">
        <f t="shared" si="13"/>
        <v>14.185303514376995</v>
      </c>
      <c r="G88" s="412">
        <f t="shared" si="13"/>
        <v>0</v>
      </c>
      <c r="H88" s="412">
        <f t="shared" si="13"/>
        <v>0</v>
      </c>
      <c r="I88" s="412">
        <f t="shared" si="13"/>
        <v>100</v>
      </c>
      <c r="J88" s="409">
        <v>408</v>
      </c>
      <c r="K88" s="2">
        <v>373</v>
      </c>
      <c r="L88" s="2">
        <v>562</v>
      </c>
      <c r="M88" s="2">
        <v>222</v>
      </c>
      <c r="N88" s="2">
        <v>0</v>
      </c>
      <c r="O88" s="2">
        <v>0</v>
      </c>
      <c r="P88" s="2">
        <v>1565</v>
      </c>
    </row>
    <row r="89" spans="1:16">
      <c r="A89" s="70"/>
      <c r="B89" s="2" t="s">
        <v>39</v>
      </c>
      <c r="C89" s="412">
        <f t="shared" ref="C89:C120" si="22">(J89/$P89)*100</f>
        <v>18.069815195071868</v>
      </c>
      <c r="D89" s="412">
        <f t="shared" ref="D89:D120" si="23">(K89/$P89)*100</f>
        <v>21.457905544147842</v>
      </c>
      <c r="E89" s="412">
        <f t="shared" si="13"/>
        <v>41.273100616016428</v>
      </c>
      <c r="F89" s="412">
        <f t="shared" si="13"/>
        <v>19.199178644763858</v>
      </c>
      <c r="G89" s="412">
        <f t="shared" si="13"/>
        <v>0</v>
      </c>
      <c r="H89" s="412">
        <f t="shared" si="13"/>
        <v>0</v>
      </c>
      <c r="I89" s="412">
        <f t="shared" si="13"/>
        <v>100</v>
      </c>
      <c r="J89" s="409">
        <v>176</v>
      </c>
      <c r="K89" s="2">
        <v>209</v>
      </c>
      <c r="L89" s="2">
        <v>402</v>
      </c>
      <c r="M89" s="2">
        <v>187</v>
      </c>
      <c r="N89" s="2">
        <v>0</v>
      </c>
      <c r="O89" s="2">
        <v>0</v>
      </c>
      <c r="P89" s="2">
        <v>974</v>
      </c>
    </row>
    <row r="90" spans="1:16">
      <c r="A90" s="70"/>
      <c r="B90" s="2" t="s">
        <v>40</v>
      </c>
      <c r="C90" s="412">
        <f t="shared" si="22"/>
        <v>25.912408759124091</v>
      </c>
      <c r="D90" s="412">
        <f t="shared" si="23"/>
        <v>22.445255474452555</v>
      </c>
      <c r="E90" s="412">
        <f t="shared" si="13"/>
        <v>34.67153284671533</v>
      </c>
      <c r="F90" s="412">
        <f t="shared" si="13"/>
        <v>13.321167883211679</v>
      </c>
      <c r="G90" s="412">
        <f t="shared" si="13"/>
        <v>3.6496350364963499</v>
      </c>
      <c r="H90" s="412">
        <f t="shared" si="13"/>
        <v>0</v>
      </c>
      <c r="I90" s="412">
        <f t="shared" si="13"/>
        <v>100</v>
      </c>
      <c r="J90" s="409">
        <v>142</v>
      </c>
      <c r="K90" s="2">
        <v>123</v>
      </c>
      <c r="L90" s="2">
        <v>190</v>
      </c>
      <c r="M90" s="2">
        <v>73</v>
      </c>
      <c r="N90" s="2">
        <v>20</v>
      </c>
      <c r="O90" s="2">
        <v>0</v>
      </c>
      <c r="P90" s="2">
        <v>548</v>
      </c>
    </row>
    <row r="91" spans="1:16">
      <c r="A91" s="70"/>
      <c r="B91" s="2" t="s">
        <v>41</v>
      </c>
      <c r="C91" s="412" t="e">
        <f t="shared" si="22"/>
        <v>#DIV/0!</v>
      </c>
      <c r="D91" s="412" t="e">
        <f t="shared" si="23"/>
        <v>#DIV/0!</v>
      </c>
      <c r="E91" s="412" t="e">
        <f t="shared" si="13"/>
        <v>#DIV/0!</v>
      </c>
      <c r="F91" s="412" t="e">
        <f t="shared" si="13"/>
        <v>#DIV/0!</v>
      </c>
      <c r="G91" s="412" t="e">
        <f t="shared" si="13"/>
        <v>#DIV/0!</v>
      </c>
      <c r="H91" s="412" t="e">
        <f t="shared" si="13"/>
        <v>#DIV/0!</v>
      </c>
      <c r="I91" s="412" t="e">
        <f t="shared" si="13"/>
        <v>#DIV/0!</v>
      </c>
      <c r="J91" s="409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</row>
    <row r="92" spans="1:16">
      <c r="A92" s="70"/>
      <c r="B92" s="5" t="s">
        <v>42</v>
      </c>
      <c r="C92" s="417">
        <f t="shared" si="22"/>
        <v>28.832525177172698</v>
      </c>
      <c r="D92" s="417">
        <f t="shared" si="23"/>
        <v>24.058187243565836</v>
      </c>
      <c r="E92" s="417">
        <f t="shared" si="13"/>
        <v>30.977247295785155</v>
      </c>
      <c r="F92" s="417">
        <f t="shared" si="13"/>
        <v>15.759045132413279</v>
      </c>
      <c r="G92" s="431">
        <f t="shared" si="13"/>
        <v>0.37299515106303616</v>
      </c>
      <c r="H92" s="417">
        <f t="shared" si="13"/>
        <v>0</v>
      </c>
      <c r="I92" s="417">
        <f t="shared" si="13"/>
        <v>100</v>
      </c>
      <c r="J92" s="409">
        <f t="shared" ref="J92:P92" si="24">SUM(J86:J91)</f>
        <v>1546</v>
      </c>
      <c r="K92" s="2">
        <f t="shared" si="24"/>
        <v>1290</v>
      </c>
      <c r="L92" s="2">
        <f t="shared" si="24"/>
        <v>1661</v>
      </c>
      <c r="M92" s="2">
        <f t="shared" si="24"/>
        <v>845</v>
      </c>
      <c r="N92" s="2">
        <f t="shared" si="24"/>
        <v>20</v>
      </c>
      <c r="O92" s="2">
        <f t="shared" si="24"/>
        <v>0</v>
      </c>
      <c r="P92" s="2">
        <f t="shared" si="24"/>
        <v>5362</v>
      </c>
    </row>
    <row r="93" spans="1:16">
      <c r="A93" s="70"/>
      <c r="B93" s="2" t="s">
        <v>43</v>
      </c>
      <c r="C93" s="412">
        <f t="shared" si="22"/>
        <v>10.442477876106194</v>
      </c>
      <c r="D93" s="412">
        <f t="shared" si="23"/>
        <v>28.495575221238941</v>
      </c>
      <c r="E93" s="412">
        <f t="shared" si="13"/>
        <v>27.43362831858407</v>
      </c>
      <c r="F93" s="412">
        <f t="shared" si="13"/>
        <v>33.628318584070797</v>
      </c>
      <c r="G93" s="412">
        <f t="shared" si="13"/>
        <v>0</v>
      </c>
      <c r="H93" s="412">
        <f t="shared" si="13"/>
        <v>0</v>
      </c>
      <c r="I93" s="412">
        <f t="shared" si="13"/>
        <v>100</v>
      </c>
      <c r="J93" s="409">
        <v>59</v>
      </c>
      <c r="K93" s="2">
        <v>161</v>
      </c>
      <c r="L93" s="2">
        <v>155</v>
      </c>
      <c r="M93" s="2">
        <v>190</v>
      </c>
      <c r="N93" s="2">
        <v>0</v>
      </c>
      <c r="O93" s="2">
        <v>0</v>
      </c>
      <c r="P93" s="2">
        <v>565</v>
      </c>
    </row>
    <row r="94" spans="1:16">
      <c r="A94" s="70"/>
      <c r="B94" s="2" t="s">
        <v>44</v>
      </c>
      <c r="C94" s="412" t="e">
        <f t="shared" si="22"/>
        <v>#DIV/0!</v>
      </c>
      <c r="D94" s="412" t="e">
        <f t="shared" si="23"/>
        <v>#DIV/0!</v>
      </c>
      <c r="E94" s="412" t="e">
        <f t="shared" si="13"/>
        <v>#DIV/0!</v>
      </c>
      <c r="F94" s="412" t="e">
        <f t="shared" si="13"/>
        <v>#DIV/0!</v>
      </c>
      <c r="G94" s="412" t="e">
        <f t="shared" si="13"/>
        <v>#DIV/0!</v>
      </c>
      <c r="H94" s="412" t="e">
        <f t="shared" si="13"/>
        <v>#DIV/0!</v>
      </c>
      <c r="I94" s="412" t="e">
        <f t="shared" si="13"/>
        <v>#DIV/0!</v>
      </c>
      <c r="J94" s="409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</row>
    <row r="95" spans="1:16">
      <c r="A95" s="72"/>
      <c r="B95" s="69" t="s">
        <v>45</v>
      </c>
      <c r="C95" s="418">
        <f t="shared" si="22"/>
        <v>27.079466846634048</v>
      </c>
      <c r="D95" s="418">
        <f t="shared" si="23"/>
        <v>24.48118778471402</v>
      </c>
      <c r="E95" s="418">
        <f t="shared" si="13"/>
        <v>30.639446600303692</v>
      </c>
      <c r="F95" s="418">
        <f t="shared" si="13"/>
        <v>17.462459929137843</v>
      </c>
      <c r="G95" s="418">
        <f t="shared" si="13"/>
        <v>0.33743883921039314</v>
      </c>
      <c r="H95" s="418">
        <f t="shared" si="13"/>
        <v>0</v>
      </c>
      <c r="I95" s="418">
        <f t="shared" si="13"/>
        <v>100</v>
      </c>
      <c r="J95" s="410">
        <f t="shared" ref="J95:P95" si="25">SUM(J92:J94)</f>
        <v>1605</v>
      </c>
      <c r="K95" s="68">
        <f t="shared" si="25"/>
        <v>1451</v>
      </c>
      <c r="L95" s="68">
        <f t="shared" si="25"/>
        <v>1816</v>
      </c>
      <c r="M95" s="68">
        <f t="shared" si="25"/>
        <v>1035</v>
      </c>
      <c r="N95" s="68">
        <f t="shared" si="25"/>
        <v>20</v>
      </c>
      <c r="O95" s="68">
        <f t="shared" si="25"/>
        <v>0</v>
      </c>
      <c r="P95" s="68">
        <f t="shared" si="25"/>
        <v>5927</v>
      </c>
    </row>
    <row r="96" spans="1:16">
      <c r="A96" s="70" t="s">
        <v>10</v>
      </c>
      <c r="B96" s="2" t="s">
        <v>36</v>
      </c>
      <c r="C96" s="412">
        <f t="shared" si="22"/>
        <v>43.194070080862531</v>
      </c>
      <c r="D96" s="412">
        <f t="shared" si="23"/>
        <v>28.436657681940702</v>
      </c>
      <c r="E96" s="412">
        <f t="shared" si="13"/>
        <v>15.229110512129379</v>
      </c>
      <c r="F96" s="412">
        <f t="shared" si="13"/>
        <v>4.8517520215633425</v>
      </c>
      <c r="G96" s="412">
        <f t="shared" si="13"/>
        <v>8.288409703504044</v>
      </c>
      <c r="H96" s="412">
        <f t="shared" si="13"/>
        <v>0</v>
      </c>
      <c r="I96" s="412">
        <f t="shared" si="13"/>
        <v>100</v>
      </c>
      <c r="J96" s="409">
        <v>641</v>
      </c>
      <c r="K96" s="2">
        <v>422</v>
      </c>
      <c r="L96" s="2">
        <v>226</v>
      </c>
      <c r="M96" s="2">
        <v>72</v>
      </c>
      <c r="N96" s="2">
        <v>123</v>
      </c>
      <c r="O96" s="2">
        <v>0</v>
      </c>
      <c r="P96" s="2">
        <v>1484</v>
      </c>
    </row>
    <row r="97" spans="1:16">
      <c r="A97" s="70"/>
      <c r="B97" s="2" t="s">
        <v>37</v>
      </c>
      <c r="C97" s="412">
        <f t="shared" si="22"/>
        <v>27.576601671309191</v>
      </c>
      <c r="D97" s="412">
        <f t="shared" si="23"/>
        <v>35.933147632311979</v>
      </c>
      <c r="E97" s="412">
        <f t="shared" si="13"/>
        <v>25.348189415041784</v>
      </c>
      <c r="F97" s="412">
        <f t="shared" si="13"/>
        <v>7.7994428969359335</v>
      </c>
      <c r="G97" s="412">
        <f t="shared" si="13"/>
        <v>3.3426183844011144</v>
      </c>
      <c r="H97" s="412">
        <f t="shared" si="13"/>
        <v>0</v>
      </c>
      <c r="I97" s="412">
        <f t="shared" si="13"/>
        <v>100</v>
      </c>
      <c r="J97" s="409">
        <v>99</v>
      </c>
      <c r="K97" s="2">
        <v>129</v>
      </c>
      <c r="L97" s="2">
        <v>91</v>
      </c>
      <c r="M97" s="2">
        <v>28</v>
      </c>
      <c r="N97" s="2">
        <v>12</v>
      </c>
      <c r="O97" s="2">
        <v>0</v>
      </c>
      <c r="P97" s="2">
        <v>359</v>
      </c>
    </row>
    <row r="98" spans="1:16">
      <c r="A98" s="70"/>
      <c r="B98" s="2" t="s">
        <v>38</v>
      </c>
      <c r="C98" s="412" t="e">
        <f t="shared" si="22"/>
        <v>#DIV/0!</v>
      </c>
      <c r="D98" s="412" t="e">
        <f t="shared" si="23"/>
        <v>#DIV/0!</v>
      </c>
      <c r="E98" s="412" t="e">
        <f t="shared" si="13"/>
        <v>#DIV/0!</v>
      </c>
      <c r="F98" s="412" t="e">
        <f t="shared" si="13"/>
        <v>#DIV/0!</v>
      </c>
      <c r="G98" s="412" t="e">
        <f t="shared" si="13"/>
        <v>#DIV/0!</v>
      </c>
      <c r="H98" s="412" t="e">
        <f t="shared" si="13"/>
        <v>#DIV/0!</v>
      </c>
      <c r="I98" s="412" t="e">
        <f t="shared" si="13"/>
        <v>#DIV/0!</v>
      </c>
      <c r="J98" s="409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</row>
    <row r="99" spans="1:16">
      <c r="A99" s="70"/>
      <c r="B99" s="2" t="s">
        <v>39</v>
      </c>
      <c r="C99" s="412">
        <f t="shared" si="22"/>
        <v>28.112449799196789</v>
      </c>
      <c r="D99" s="412">
        <f t="shared" si="23"/>
        <v>27.777777777777779</v>
      </c>
      <c r="E99" s="412">
        <f t="shared" si="13"/>
        <v>31.994645247657296</v>
      </c>
      <c r="F99" s="412">
        <f t="shared" si="13"/>
        <v>4.8192771084337354</v>
      </c>
      <c r="G99" s="412">
        <f t="shared" si="13"/>
        <v>7.2958500669344044</v>
      </c>
      <c r="H99" s="412">
        <f t="shared" si="13"/>
        <v>0</v>
      </c>
      <c r="I99" s="412">
        <f t="shared" si="13"/>
        <v>100</v>
      </c>
      <c r="J99" s="409">
        <v>420</v>
      </c>
      <c r="K99" s="2">
        <v>415</v>
      </c>
      <c r="L99" s="2">
        <v>478</v>
      </c>
      <c r="M99" s="2">
        <v>72</v>
      </c>
      <c r="N99" s="2">
        <v>109</v>
      </c>
      <c r="O99" s="2">
        <v>0</v>
      </c>
      <c r="P99" s="2">
        <v>1494</v>
      </c>
    </row>
    <row r="100" spans="1:16">
      <c r="A100" s="70"/>
      <c r="B100" s="2" t="s">
        <v>40</v>
      </c>
      <c r="C100" s="412">
        <f t="shared" si="22"/>
        <v>14.224137931034484</v>
      </c>
      <c r="D100" s="412">
        <f t="shared" si="23"/>
        <v>28.448275862068968</v>
      </c>
      <c r="E100" s="412">
        <f t="shared" si="13"/>
        <v>29.310344827586203</v>
      </c>
      <c r="F100" s="412">
        <f t="shared" si="13"/>
        <v>4.3103448275862073</v>
      </c>
      <c r="G100" s="412">
        <f t="shared" si="13"/>
        <v>23.706896551724139</v>
      </c>
      <c r="H100" s="412">
        <f t="shared" si="13"/>
        <v>0</v>
      </c>
      <c r="I100" s="412">
        <f t="shared" si="13"/>
        <v>100</v>
      </c>
      <c r="J100" s="409">
        <v>33</v>
      </c>
      <c r="K100" s="2">
        <v>66</v>
      </c>
      <c r="L100" s="2">
        <v>68</v>
      </c>
      <c r="M100" s="2">
        <v>10</v>
      </c>
      <c r="N100" s="2">
        <v>55</v>
      </c>
      <c r="O100" s="2">
        <v>0</v>
      </c>
      <c r="P100" s="2">
        <v>232</v>
      </c>
    </row>
    <row r="101" spans="1:16">
      <c r="A101" s="70"/>
      <c r="B101" s="2" t="s">
        <v>41</v>
      </c>
      <c r="C101" s="412">
        <f t="shared" si="22"/>
        <v>25</v>
      </c>
      <c r="D101" s="412">
        <f t="shared" si="23"/>
        <v>31.73076923076923</v>
      </c>
      <c r="E101" s="412">
        <f t="shared" si="13"/>
        <v>32.692307692307693</v>
      </c>
      <c r="F101" s="412">
        <f t="shared" si="13"/>
        <v>10.576923076923077</v>
      </c>
      <c r="G101" s="412">
        <f t="shared" si="13"/>
        <v>0</v>
      </c>
      <c r="H101" s="412">
        <f t="shared" si="13"/>
        <v>0</v>
      </c>
      <c r="I101" s="412">
        <f t="shared" si="13"/>
        <v>100</v>
      </c>
      <c r="J101" s="409">
        <v>26</v>
      </c>
      <c r="K101" s="2">
        <v>33</v>
      </c>
      <c r="L101" s="2">
        <v>34</v>
      </c>
      <c r="M101" s="2">
        <v>11</v>
      </c>
      <c r="N101" s="2">
        <v>0</v>
      </c>
      <c r="O101" s="2">
        <v>0</v>
      </c>
      <c r="P101" s="2">
        <v>104</v>
      </c>
    </row>
    <row r="102" spans="1:16">
      <c r="A102" s="70"/>
      <c r="B102" s="5" t="s">
        <v>42</v>
      </c>
      <c r="C102" s="417">
        <f t="shared" si="22"/>
        <v>33.188129594337056</v>
      </c>
      <c r="D102" s="417">
        <f t="shared" si="23"/>
        <v>28.995371630819495</v>
      </c>
      <c r="E102" s="417">
        <f t="shared" si="13"/>
        <v>24.421453852436699</v>
      </c>
      <c r="F102" s="417">
        <f t="shared" si="13"/>
        <v>5.2545603049278524</v>
      </c>
      <c r="G102" s="417">
        <f t="shared" si="13"/>
        <v>8.1404846174789007</v>
      </c>
      <c r="H102" s="417">
        <f t="shared" si="13"/>
        <v>0</v>
      </c>
      <c r="I102" s="417">
        <f t="shared" si="13"/>
        <v>100</v>
      </c>
      <c r="J102" s="409">
        <f t="shared" ref="J102:P102" si="26">SUM(J96:J101)</f>
        <v>1219</v>
      </c>
      <c r="K102" s="2">
        <f t="shared" si="26"/>
        <v>1065</v>
      </c>
      <c r="L102" s="2">
        <f t="shared" si="26"/>
        <v>897</v>
      </c>
      <c r="M102" s="2">
        <f t="shared" si="26"/>
        <v>193</v>
      </c>
      <c r="N102" s="2">
        <f t="shared" si="26"/>
        <v>299</v>
      </c>
      <c r="O102" s="2">
        <f t="shared" si="26"/>
        <v>0</v>
      </c>
      <c r="P102" s="2">
        <f t="shared" si="26"/>
        <v>3673</v>
      </c>
    </row>
    <row r="103" spans="1:16">
      <c r="A103" s="70"/>
      <c r="B103" s="2" t="s">
        <v>43</v>
      </c>
      <c r="C103" s="412">
        <f t="shared" si="22"/>
        <v>38.337801608579085</v>
      </c>
      <c r="D103" s="412">
        <f t="shared" si="23"/>
        <v>28.042895442359249</v>
      </c>
      <c r="E103" s="412">
        <f t="shared" si="13"/>
        <v>25.790884718498656</v>
      </c>
      <c r="F103" s="412">
        <f t="shared" si="13"/>
        <v>7.4530831099195716</v>
      </c>
      <c r="G103" s="412">
        <f t="shared" si="13"/>
        <v>0.37533512064343166</v>
      </c>
      <c r="H103" s="412">
        <f t="shared" si="13"/>
        <v>0</v>
      </c>
      <c r="I103" s="412">
        <f t="shared" si="13"/>
        <v>100</v>
      </c>
      <c r="J103" s="409">
        <v>715</v>
      </c>
      <c r="K103" s="2">
        <v>523</v>
      </c>
      <c r="L103" s="2">
        <v>481</v>
      </c>
      <c r="M103" s="2">
        <v>139</v>
      </c>
      <c r="N103" s="2">
        <v>7</v>
      </c>
      <c r="O103" s="2">
        <v>0</v>
      </c>
      <c r="P103" s="2">
        <v>1865</v>
      </c>
    </row>
    <row r="104" spans="1:16">
      <c r="A104" s="70"/>
      <c r="B104" s="2" t="s">
        <v>44</v>
      </c>
      <c r="C104" s="412" t="e">
        <f t="shared" si="22"/>
        <v>#DIV/0!</v>
      </c>
      <c r="D104" s="412" t="e">
        <f t="shared" si="23"/>
        <v>#DIV/0!</v>
      </c>
      <c r="E104" s="412" t="e">
        <f t="shared" si="13"/>
        <v>#DIV/0!</v>
      </c>
      <c r="F104" s="412" t="e">
        <f t="shared" si="13"/>
        <v>#DIV/0!</v>
      </c>
      <c r="G104" s="412" t="e">
        <f t="shared" si="13"/>
        <v>#DIV/0!</v>
      </c>
      <c r="H104" s="412" t="e">
        <f t="shared" si="13"/>
        <v>#DIV/0!</v>
      </c>
      <c r="I104" s="412" t="e">
        <f t="shared" si="13"/>
        <v>#DIV/0!</v>
      </c>
      <c r="J104" s="409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</row>
    <row r="105" spans="1:16">
      <c r="A105" s="72"/>
      <c r="B105" s="69" t="s">
        <v>45</v>
      </c>
      <c r="C105" s="418">
        <f t="shared" si="22"/>
        <v>34.922354640664501</v>
      </c>
      <c r="D105" s="418">
        <f t="shared" si="23"/>
        <v>28.674611773203324</v>
      </c>
      <c r="E105" s="418">
        <f t="shared" si="13"/>
        <v>24.88262910798122</v>
      </c>
      <c r="F105" s="418">
        <f t="shared" si="13"/>
        <v>5.9949440231130371</v>
      </c>
      <c r="G105" s="418">
        <f t="shared" si="13"/>
        <v>5.52546045503792</v>
      </c>
      <c r="H105" s="418">
        <f t="shared" si="13"/>
        <v>0</v>
      </c>
      <c r="I105" s="418">
        <f t="shared" si="13"/>
        <v>100</v>
      </c>
      <c r="J105" s="410">
        <f t="shared" ref="J105:P105" si="27">SUM(J102:J104)</f>
        <v>1934</v>
      </c>
      <c r="K105" s="68">
        <f t="shared" si="27"/>
        <v>1588</v>
      </c>
      <c r="L105" s="68">
        <f t="shared" si="27"/>
        <v>1378</v>
      </c>
      <c r="M105" s="68">
        <f t="shared" si="27"/>
        <v>332</v>
      </c>
      <c r="N105" s="68">
        <f t="shared" si="27"/>
        <v>306</v>
      </c>
      <c r="O105" s="68">
        <f t="shared" si="27"/>
        <v>0</v>
      </c>
      <c r="P105" s="68">
        <f t="shared" si="27"/>
        <v>5538</v>
      </c>
    </row>
    <row r="106" spans="1:16">
      <c r="A106" s="70" t="s">
        <v>11</v>
      </c>
      <c r="B106" s="2" t="s">
        <v>36</v>
      </c>
      <c r="C106" s="412">
        <f t="shared" si="22"/>
        <v>40.824468085106389</v>
      </c>
      <c r="D106" s="412">
        <f t="shared" si="23"/>
        <v>25.664893617021278</v>
      </c>
      <c r="E106" s="412">
        <f t="shared" si="13"/>
        <v>26.196808510638299</v>
      </c>
      <c r="F106" s="412">
        <f t="shared" si="13"/>
        <v>7.3138297872340425</v>
      </c>
      <c r="G106" s="412">
        <f t="shared" si="13"/>
        <v>0</v>
      </c>
      <c r="H106" s="412">
        <f t="shared" si="13"/>
        <v>0</v>
      </c>
      <c r="I106" s="412">
        <f t="shared" si="13"/>
        <v>100</v>
      </c>
      <c r="J106" s="409">
        <v>307</v>
      </c>
      <c r="K106" s="2">
        <v>193</v>
      </c>
      <c r="L106" s="2">
        <v>197</v>
      </c>
      <c r="M106" s="2">
        <v>55</v>
      </c>
      <c r="N106" s="2">
        <v>0</v>
      </c>
      <c r="O106" s="2">
        <v>0</v>
      </c>
      <c r="P106" s="2">
        <v>752</v>
      </c>
    </row>
    <row r="107" spans="1:16">
      <c r="A107" s="70"/>
      <c r="B107" s="2" t="s">
        <v>37</v>
      </c>
      <c r="C107" s="412">
        <f t="shared" si="22"/>
        <v>31.335952848722986</v>
      </c>
      <c r="D107" s="412">
        <f t="shared" si="23"/>
        <v>30.157170923379173</v>
      </c>
      <c r="E107" s="412">
        <f t="shared" ref="E107:E120" si="28">(L107/$P107)*100</f>
        <v>29.371316306483301</v>
      </c>
      <c r="F107" s="412">
        <f t="shared" ref="F107:F120" si="29">(M107/$P107)*100</f>
        <v>9.1355599214145382</v>
      </c>
      <c r="G107" s="412">
        <f t="shared" ref="G107:G120" si="30">(N107/$P107)*100</f>
        <v>0</v>
      </c>
      <c r="H107" s="412">
        <f t="shared" ref="H107:H120" si="31">(O107/$P107)*100</f>
        <v>0</v>
      </c>
      <c r="I107" s="412">
        <f t="shared" ref="I107:I120" si="32">(P107/$P107)*100</f>
        <v>100</v>
      </c>
      <c r="J107" s="409">
        <v>319</v>
      </c>
      <c r="K107" s="2">
        <v>307</v>
      </c>
      <c r="L107" s="2">
        <v>299</v>
      </c>
      <c r="M107" s="2">
        <v>93</v>
      </c>
      <c r="N107" s="2">
        <v>0</v>
      </c>
      <c r="O107" s="2">
        <v>0</v>
      </c>
      <c r="P107" s="2">
        <v>1018</v>
      </c>
    </row>
    <row r="108" spans="1:16">
      <c r="A108" s="70"/>
      <c r="B108" s="2" t="s">
        <v>38</v>
      </c>
      <c r="C108" s="412">
        <f t="shared" si="22"/>
        <v>25.846153846153847</v>
      </c>
      <c r="D108" s="412">
        <f t="shared" si="23"/>
        <v>27.692307692307693</v>
      </c>
      <c r="E108" s="412">
        <f t="shared" si="28"/>
        <v>30.461538461538463</v>
      </c>
      <c r="F108" s="412">
        <f t="shared" si="29"/>
        <v>16</v>
      </c>
      <c r="G108" s="412">
        <f t="shared" si="30"/>
        <v>0</v>
      </c>
      <c r="H108" s="412">
        <f t="shared" si="31"/>
        <v>0</v>
      </c>
      <c r="I108" s="412">
        <f t="shared" si="32"/>
        <v>100</v>
      </c>
      <c r="J108" s="409">
        <v>84</v>
      </c>
      <c r="K108" s="2">
        <v>90</v>
      </c>
      <c r="L108" s="2">
        <v>99</v>
      </c>
      <c r="M108" s="2">
        <v>52</v>
      </c>
      <c r="N108" s="2">
        <v>0</v>
      </c>
      <c r="O108" s="2">
        <v>0</v>
      </c>
      <c r="P108" s="2">
        <v>325</v>
      </c>
    </row>
    <row r="109" spans="1:16">
      <c r="A109" s="70"/>
      <c r="B109" s="2" t="s">
        <v>39</v>
      </c>
      <c r="C109" s="412" t="e">
        <f t="shared" si="22"/>
        <v>#DIV/0!</v>
      </c>
      <c r="D109" s="412" t="e">
        <f t="shared" si="23"/>
        <v>#DIV/0!</v>
      </c>
      <c r="E109" s="412" t="e">
        <f t="shared" si="28"/>
        <v>#DIV/0!</v>
      </c>
      <c r="F109" s="412" t="e">
        <f t="shared" si="29"/>
        <v>#DIV/0!</v>
      </c>
      <c r="G109" s="412" t="e">
        <f t="shared" si="30"/>
        <v>#DIV/0!</v>
      </c>
      <c r="H109" s="412" t="e">
        <f t="shared" si="31"/>
        <v>#DIV/0!</v>
      </c>
      <c r="I109" s="412" t="e">
        <f t="shared" si="32"/>
        <v>#DIV/0!</v>
      </c>
      <c r="J109" s="409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</row>
    <row r="110" spans="1:16">
      <c r="A110" s="70"/>
      <c r="B110" s="2" t="s">
        <v>40</v>
      </c>
      <c r="C110" s="412">
        <f t="shared" si="22"/>
        <v>31.104651162790699</v>
      </c>
      <c r="D110" s="412">
        <f t="shared" si="23"/>
        <v>15.406976744186046</v>
      </c>
      <c r="E110" s="412">
        <f t="shared" si="28"/>
        <v>30.232558139534881</v>
      </c>
      <c r="F110" s="412">
        <f t="shared" si="29"/>
        <v>23.255813953488371</v>
      </c>
      <c r="G110" s="412">
        <f t="shared" si="30"/>
        <v>0</v>
      </c>
      <c r="H110" s="412">
        <f t="shared" si="31"/>
        <v>0</v>
      </c>
      <c r="I110" s="412">
        <f t="shared" si="32"/>
        <v>100</v>
      </c>
      <c r="J110" s="409">
        <v>107</v>
      </c>
      <c r="K110" s="2">
        <v>53</v>
      </c>
      <c r="L110" s="2">
        <v>104</v>
      </c>
      <c r="M110" s="2">
        <v>80</v>
      </c>
      <c r="N110" s="2">
        <v>0</v>
      </c>
      <c r="O110" s="2">
        <v>0</v>
      </c>
      <c r="P110" s="2">
        <v>344</v>
      </c>
    </row>
    <row r="111" spans="1:16">
      <c r="A111" s="70"/>
      <c r="B111" s="2" t="s">
        <v>41</v>
      </c>
      <c r="C111" s="412">
        <f t="shared" si="22"/>
        <v>24.463519313304722</v>
      </c>
      <c r="D111" s="412">
        <f t="shared" si="23"/>
        <v>13.733905579399142</v>
      </c>
      <c r="E111" s="412">
        <f t="shared" si="28"/>
        <v>43.776824034334766</v>
      </c>
      <c r="F111" s="412">
        <f t="shared" si="29"/>
        <v>18.025751072961373</v>
      </c>
      <c r="G111" s="412">
        <f t="shared" si="30"/>
        <v>0</v>
      </c>
      <c r="H111" s="412">
        <f t="shared" si="31"/>
        <v>0</v>
      </c>
      <c r="I111" s="412">
        <f t="shared" si="32"/>
        <v>100</v>
      </c>
      <c r="J111" s="409">
        <v>57</v>
      </c>
      <c r="K111" s="2">
        <v>32</v>
      </c>
      <c r="L111" s="2">
        <v>102</v>
      </c>
      <c r="M111" s="2">
        <v>42</v>
      </c>
      <c r="N111" s="2">
        <v>0</v>
      </c>
      <c r="O111" s="2">
        <v>0</v>
      </c>
      <c r="P111" s="2">
        <v>233</v>
      </c>
    </row>
    <row r="112" spans="1:16">
      <c r="A112" s="70"/>
      <c r="B112" s="5" t="s">
        <v>42</v>
      </c>
      <c r="C112" s="417">
        <f t="shared" si="22"/>
        <v>32.709580838323355</v>
      </c>
      <c r="D112" s="417">
        <f t="shared" si="23"/>
        <v>25.261976047904195</v>
      </c>
      <c r="E112" s="417">
        <f t="shared" si="28"/>
        <v>29.977544910179642</v>
      </c>
      <c r="F112" s="417">
        <f t="shared" si="29"/>
        <v>12.050898203592816</v>
      </c>
      <c r="G112" s="417">
        <f t="shared" si="30"/>
        <v>0</v>
      </c>
      <c r="H112" s="417">
        <f t="shared" si="31"/>
        <v>0</v>
      </c>
      <c r="I112" s="417">
        <f t="shared" si="32"/>
        <v>100</v>
      </c>
      <c r="J112" s="409">
        <f t="shared" ref="J112:P112" si="33">SUM(J106:J111)</f>
        <v>874</v>
      </c>
      <c r="K112" s="2">
        <f t="shared" si="33"/>
        <v>675</v>
      </c>
      <c r="L112" s="2">
        <f t="shared" si="33"/>
        <v>801</v>
      </c>
      <c r="M112" s="2">
        <f t="shared" si="33"/>
        <v>322</v>
      </c>
      <c r="N112" s="2">
        <f t="shared" si="33"/>
        <v>0</v>
      </c>
      <c r="O112" s="2">
        <f t="shared" si="33"/>
        <v>0</v>
      </c>
      <c r="P112" s="2">
        <f t="shared" si="33"/>
        <v>2672</v>
      </c>
    </row>
    <row r="113" spans="1:16">
      <c r="A113" s="70"/>
      <c r="B113" s="2" t="s">
        <v>43</v>
      </c>
      <c r="C113" s="412">
        <f t="shared" si="22"/>
        <v>0</v>
      </c>
      <c r="D113" s="412">
        <f t="shared" si="23"/>
        <v>0</v>
      </c>
      <c r="E113" s="412">
        <f t="shared" si="28"/>
        <v>0</v>
      </c>
      <c r="F113" s="412">
        <f t="shared" si="29"/>
        <v>0</v>
      </c>
      <c r="G113" s="412">
        <f t="shared" si="30"/>
        <v>0</v>
      </c>
      <c r="H113" s="412">
        <f t="shared" si="31"/>
        <v>100</v>
      </c>
      <c r="I113" s="412">
        <f t="shared" si="32"/>
        <v>100</v>
      </c>
      <c r="J113" s="409">
        <v>0</v>
      </c>
      <c r="K113" s="2">
        <v>0</v>
      </c>
      <c r="L113" s="2">
        <v>0</v>
      </c>
      <c r="M113" s="2">
        <v>0</v>
      </c>
      <c r="N113" s="2">
        <v>0</v>
      </c>
      <c r="O113" s="2">
        <v>2110</v>
      </c>
      <c r="P113" s="2">
        <v>2110</v>
      </c>
    </row>
    <row r="114" spans="1:16">
      <c r="A114" s="70"/>
      <c r="B114" s="2" t="s">
        <v>44</v>
      </c>
      <c r="C114" s="412" t="e">
        <f t="shared" si="22"/>
        <v>#DIV/0!</v>
      </c>
      <c r="D114" s="412" t="e">
        <f t="shared" si="23"/>
        <v>#DIV/0!</v>
      </c>
      <c r="E114" s="412" t="e">
        <f t="shared" si="28"/>
        <v>#DIV/0!</v>
      </c>
      <c r="F114" s="412" t="e">
        <f t="shared" si="29"/>
        <v>#DIV/0!</v>
      </c>
      <c r="G114" s="412" t="e">
        <f t="shared" si="30"/>
        <v>#DIV/0!</v>
      </c>
      <c r="H114" s="412" t="e">
        <f t="shared" si="31"/>
        <v>#DIV/0!</v>
      </c>
      <c r="I114" s="412" t="e">
        <f t="shared" si="32"/>
        <v>#DIV/0!</v>
      </c>
      <c r="J114" s="409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</row>
    <row r="115" spans="1:16">
      <c r="A115" s="72"/>
      <c r="B115" s="79" t="s">
        <v>45</v>
      </c>
      <c r="C115" s="418">
        <f t="shared" si="22"/>
        <v>18.276871601840234</v>
      </c>
      <c r="D115" s="418">
        <f t="shared" si="23"/>
        <v>14.115432873274781</v>
      </c>
      <c r="E115" s="418">
        <f t="shared" si="28"/>
        <v>16.750313676286073</v>
      </c>
      <c r="F115" s="418">
        <f t="shared" si="29"/>
        <v>6.7335842743621921</v>
      </c>
      <c r="G115" s="418">
        <f t="shared" si="30"/>
        <v>0</v>
      </c>
      <c r="H115" s="418">
        <f t="shared" si="31"/>
        <v>44.123797574236725</v>
      </c>
      <c r="I115" s="418">
        <f t="shared" si="32"/>
        <v>100</v>
      </c>
      <c r="J115" s="410">
        <f t="shared" ref="J115:P115" si="34">SUM(J112:J114)</f>
        <v>874</v>
      </c>
      <c r="K115" s="68">
        <f t="shared" si="34"/>
        <v>675</v>
      </c>
      <c r="L115" s="68">
        <f t="shared" si="34"/>
        <v>801</v>
      </c>
      <c r="M115" s="68">
        <f t="shared" si="34"/>
        <v>322</v>
      </c>
      <c r="N115" s="68">
        <f t="shared" si="34"/>
        <v>0</v>
      </c>
      <c r="O115" s="68">
        <f t="shared" si="34"/>
        <v>2110</v>
      </c>
      <c r="P115" s="68">
        <f t="shared" si="34"/>
        <v>4782</v>
      </c>
    </row>
    <row r="116" spans="1:16">
      <c r="A116" s="70" t="s">
        <v>12</v>
      </c>
      <c r="B116" s="2" t="s">
        <v>36</v>
      </c>
      <c r="C116" s="412">
        <f t="shared" si="22"/>
        <v>43.261837312828817</v>
      </c>
      <c r="D116" s="412">
        <f t="shared" si="23"/>
        <v>25.981384055038447</v>
      </c>
      <c r="E116" s="412">
        <f t="shared" si="28"/>
        <v>17.118575475515986</v>
      </c>
      <c r="F116" s="412">
        <f t="shared" si="29"/>
        <v>1.0117361392148927</v>
      </c>
      <c r="G116" s="412">
        <f t="shared" si="30"/>
        <v>12.626467017401863</v>
      </c>
      <c r="H116" s="412">
        <f t="shared" si="31"/>
        <v>0</v>
      </c>
      <c r="I116" s="412">
        <f t="shared" si="32"/>
        <v>100</v>
      </c>
      <c r="J116" s="409">
        <v>1069</v>
      </c>
      <c r="K116" s="2">
        <v>642</v>
      </c>
      <c r="L116" s="2">
        <v>423</v>
      </c>
      <c r="M116" s="2">
        <v>25</v>
      </c>
      <c r="N116" s="2">
        <v>312</v>
      </c>
      <c r="O116" s="2">
        <v>0</v>
      </c>
      <c r="P116" s="2">
        <v>2471</v>
      </c>
    </row>
    <row r="117" spans="1:16">
      <c r="A117" s="70"/>
      <c r="B117" s="2" t="s">
        <v>37</v>
      </c>
      <c r="C117" s="412">
        <f t="shared" si="22"/>
        <v>25</v>
      </c>
      <c r="D117" s="412">
        <f t="shared" si="23"/>
        <v>31.569343065693428</v>
      </c>
      <c r="E117" s="412">
        <f t="shared" si="28"/>
        <v>23.357664233576642</v>
      </c>
      <c r="F117" s="412">
        <f t="shared" si="29"/>
        <v>1.6423357664233578</v>
      </c>
      <c r="G117" s="412">
        <f t="shared" si="30"/>
        <v>18.430656934306569</v>
      </c>
      <c r="H117" s="412">
        <f t="shared" si="31"/>
        <v>0</v>
      </c>
      <c r="I117" s="412">
        <f t="shared" si="32"/>
        <v>100</v>
      </c>
      <c r="J117" s="409">
        <v>137</v>
      </c>
      <c r="K117" s="2">
        <v>173</v>
      </c>
      <c r="L117" s="2">
        <v>128</v>
      </c>
      <c r="M117" s="2">
        <v>9</v>
      </c>
      <c r="N117" s="2">
        <v>101</v>
      </c>
      <c r="O117" s="2">
        <v>0</v>
      </c>
      <c r="P117" s="2">
        <v>548</v>
      </c>
    </row>
    <row r="118" spans="1:16">
      <c r="A118" s="70"/>
      <c r="B118" s="2" t="s">
        <v>38</v>
      </c>
      <c r="C118" s="412">
        <f t="shared" si="22"/>
        <v>27.430671566989645</v>
      </c>
      <c r="D118" s="412">
        <f t="shared" si="23"/>
        <v>28.934179752756435</v>
      </c>
      <c r="E118" s="412">
        <f t="shared" si="28"/>
        <v>27.998663548279318</v>
      </c>
      <c r="F118" s="412">
        <f t="shared" si="29"/>
        <v>1.4032743067156699</v>
      </c>
      <c r="G118" s="412">
        <f t="shared" si="30"/>
        <v>14.233210825258938</v>
      </c>
      <c r="H118" s="412">
        <f t="shared" si="31"/>
        <v>0</v>
      </c>
      <c r="I118" s="412">
        <f t="shared" si="32"/>
        <v>100</v>
      </c>
      <c r="J118" s="409">
        <v>821</v>
      </c>
      <c r="K118" s="2">
        <v>866</v>
      </c>
      <c r="L118" s="2">
        <v>838</v>
      </c>
      <c r="M118" s="2">
        <v>42</v>
      </c>
      <c r="N118" s="2">
        <v>426</v>
      </c>
      <c r="O118" s="2">
        <v>0</v>
      </c>
      <c r="P118" s="2">
        <v>2993</v>
      </c>
    </row>
    <row r="119" spans="1:16">
      <c r="A119" s="70"/>
      <c r="B119" s="2" t="s">
        <v>39</v>
      </c>
      <c r="C119" s="412">
        <f t="shared" si="22"/>
        <v>29.201101928374655</v>
      </c>
      <c r="D119" s="412">
        <f t="shared" si="23"/>
        <v>32.506887052341597</v>
      </c>
      <c r="E119" s="412">
        <f t="shared" si="28"/>
        <v>31.129476584022036</v>
      </c>
      <c r="F119" s="412">
        <f t="shared" si="29"/>
        <v>0.55096418732782371</v>
      </c>
      <c r="G119" s="412">
        <f t="shared" si="30"/>
        <v>6.6115702479338845</v>
      </c>
      <c r="H119" s="412">
        <f t="shared" si="31"/>
        <v>0</v>
      </c>
      <c r="I119" s="412">
        <f t="shared" si="32"/>
        <v>100</v>
      </c>
      <c r="J119" s="409">
        <v>106</v>
      </c>
      <c r="K119" s="2">
        <v>118</v>
      </c>
      <c r="L119" s="2">
        <v>113</v>
      </c>
      <c r="M119" s="2">
        <v>2</v>
      </c>
      <c r="N119" s="2">
        <v>24</v>
      </c>
      <c r="O119" s="2">
        <v>0</v>
      </c>
      <c r="P119" s="2">
        <v>363</v>
      </c>
    </row>
    <row r="120" spans="1:16">
      <c r="A120" s="70"/>
      <c r="B120" s="2" t="s">
        <v>40</v>
      </c>
      <c r="C120" s="412">
        <f t="shared" si="22"/>
        <v>21.142857142857142</v>
      </c>
      <c r="D120" s="412">
        <f t="shared" si="23"/>
        <v>32.571428571428577</v>
      </c>
      <c r="E120" s="412">
        <f t="shared" si="28"/>
        <v>26.571428571428573</v>
      </c>
      <c r="F120" s="412">
        <f t="shared" si="29"/>
        <v>0.85714285714285721</v>
      </c>
      <c r="G120" s="412">
        <f t="shared" si="30"/>
        <v>18.857142857142858</v>
      </c>
      <c r="H120" s="412">
        <f t="shared" si="31"/>
        <v>0</v>
      </c>
      <c r="I120" s="412">
        <f t="shared" si="32"/>
        <v>100</v>
      </c>
      <c r="J120" s="409">
        <v>74</v>
      </c>
      <c r="K120" s="2">
        <v>114</v>
      </c>
      <c r="L120" s="2">
        <v>93</v>
      </c>
      <c r="M120" s="2">
        <v>3</v>
      </c>
      <c r="N120" s="2">
        <v>66</v>
      </c>
      <c r="O120" s="2">
        <v>0</v>
      </c>
      <c r="P120" s="2">
        <v>350</v>
      </c>
    </row>
    <row r="121" spans="1:16">
      <c r="A121" s="70"/>
      <c r="B121" s="2" t="s">
        <v>41</v>
      </c>
      <c r="C121" s="412">
        <f t="shared" ref="C121:I157" si="35">(J121/$P121)*100</f>
        <v>27.033492822966508</v>
      </c>
      <c r="D121" s="412">
        <f t="shared" si="35"/>
        <v>28.947368421052634</v>
      </c>
      <c r="E121" s="412">
        <f t="shared" si="35"/>
        <v>21.770334928229666</v>
      </c>
      <c r="F121" s="412">
        <f t="shared" si="35"/>
        <v>2.3923444976076556</v>
      </c>
      <c r="G121" s="412">
        <f t="shared" si="35"/>
        <v>19.85645933014354</v>
      </c>
      <c r="H121" s="412">
        <f t="shared" si="35"/>
        <v>0</v>
      </c>
      <c r="I121" s="412">
        <f t="shared" si="35"/>
        <v>100</v>
      </c>
      <c r="J121" s="409">
        <v>113</v>
      </c>
      <c r="K121" s="2">
        <v>121</v>
      </c>
      <c r="L121" s="2">
        <v>91</v>
      </c>
      <c r="M121" s="2">
        <v>10</v>
      </c>
      <c r="N121" s="2">
        <v>83</v>
      </c>
      <c r="O121" s="2">
        <v>0</v>
      </c>
      <c r="P121" s="2">
        <v>418</v>
      </c>
    </row>
    <row r="122" spans="1:16">
      <c r="A122" s="70"/>
      <c r="B122" s="5" t="s">
        <v>42</v>
      </c>
      <c r="C122" s="417">
        <f t="shared" si="35"/>
        <v>32.479350412991742</v>
      </c>
      <c r="D122" s="417">
        <f t="shared" si="35"/>
        <v>28.475430491390174</v>
      </c>
      <c r="E122" s="417">
        <f t="shared" si="35"/>
        <v>23.603527929441412</v>
      </c>
      <c r="F122" s="417">
        <f t="shared" si="35"/>
        <v>1.2739745205095898</v>
      </c>
      <c r="G122" s="417">
        <f t="shared" si="35"/>
        <v>14.167716645667086</v>
      </c>
      <c r="H122" s="417">
        <f t="shared" si="35"/>
        <v>0</v>
      </c>
      <c r="I122" s="417">
        <f t="shared" si="35"/>
        <v>100</v>
      </c>
      <c r="J122" s="409">
        <f t="shared" ref="J122:P122" si="36">SUM(J116:J121)</f>
        <v>2320</v>
      </c>
      <c r="K122" s="2">
        <f t="shared" si="36"/>
        <v>2034</v>
      </c>
      <c r="L122" s="2">
        <f t="shared" si="36"/>
        <v>1686</v>
      </c>
      <c r="M122" s="2">
        <f t="shared" si="36"/>
        <v>91</v>
      </c>
      <c r="N122" s="2">
        <f t="shared" si="36"/>
        <v>1012</v>
      </c>
      <c r="O122" s="2">
        <f t="shared" si="36"/>
        <v>0</v>
      </c>
      <c r="P122" s="2">
        <f t="shared" si="36"/>
        <v>7143</v>
      </c>
    </row>
    <row r="123" spans="1:16">
      <c r="A123" s="70"/>
      <c r="B123" s="2" t="s">
        <v>43</v>
      </c>
      <c r="C123" s="412">
        <f t="shared" si="35"/>
        <v>0</v>
      </c>
      <c r="D123" s="412">
        <f t="shared" si="35"/>
        <v>0</v>
      </c>
      <c r="E123" s="412">
        <f t="shared" si="35"/>
        <v>0</v>
      </c>
      <c r="F123" s="412">
        <f t="shared" si="35"/>
        <v>0</v>
      </c>
      <c r="G123" s="412">
        <f t="shared" si="35"/>
        <v>0</v>
      </c>
      <c r="H123" s="412">
        <f t="shared" si="35"/>
        <v>100</v>
      </c>
      <c r="I123" s="412">
        <f t="shared" si="35"/>
        <v>100</v>
      </c>
      <c r="J123" s="409">
        <v>0</v>
      </c>
      <c r="K123" s="2">
        <v>0</v>
      </c>
      <c r="L123" s="2">
        <v>0</v>
      </c>
      <c r="M123" s="2">
        <v>0</v>
      </c>
      <c r="N123" s="2">
        <v>0</v>
      </c>
      <c r="O123" s="2">
        <v>3958</v>
      </c>
      <c r="P123" s="2">
        <v>3958</v>
      </c>
    </row>
    <row r="124" spans="1:16">
      <c r="A124" s="70"/>
      <c r="B124" s="2" t="s">
        <v>44</v>
      </c>
      <c r="C124" s="412" t="e">
        <f t="shared" si="35"/>
        <v>#DIV/0!</v>
      </c>
      <c r="D124" s="412" t="e">
        <f t="shared" si="35"/>
        <v>#DIV/0!</v>
      </c>
      <c r="E124" s="412" t="e">
        <f t="shared" si="35"/>
        <v>#DIV/0!</v>
      </c>
      <c r="F124" s="412" t="e">
        <f t="shared" si="35"/>
        <v>#DIV/0!</v>
      </c>
      <c r="G124" s="412" t="e">
        <f t="shared" si="35"/>
        <v>#DIV/0!</v>
      </c>
      <c r="H124" s="412" t="e">
        <f t="shared" si="35"/>
        <v>#DIV/0!</v>
      </c>
      <c r="I124" s="412" t="e">
        <f t="shared" si="35"/>
        <v>#DIV/0!</v>
      </c>
      <c r="J124" s="409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</row>
    <row r="125" spans="1:16">
      <c r="A125" s="72"/>
      <c r="B125" s="69" t="s">
        <v>45</v>
      </c>
      <c r="C125" s="418">
        <f t="shared" si="35"/>
        <v>20.899018106476895</v>
      </c>
      <c r="D125" s="418">
        <f t="shared" si="35"/>
        <v>18.322673633006033</v>
      </c>
      <c r="E125" s="418">
        <f t="shared" si="35"/>
        <v>15.1878209170345</v>
      </c>
      <c r="F125" s="418">
        <f t="shared" si="35"/>
        <v>0.81974596883163686</v>
      </c>
      <c r="G125" s="418">
        <f t="shared" si="35"/>
        <v>9.1162958292045762</v>
      </c>
      <c r="H125" s="418">
        <f t="shared" si="35"/>
        <v>35.654445545446357</v>
      </c>
      <c r="I125" s="418">
        <f t="shared" si="35"/>
        <v>100</v>
      </c>
      <c r="J125" s="410">
        <f t="shared" ref="J125:P125" si="37">SUM(J122:J124)</f>
        <v>2320</v>
      </c>
      <c r="K125" s="68">
        <f t="shared" si="37"/>
        <v>2034</v>
      </c>
      <c r="L125" s="68">
        <f t="shared" si="37"/>
        <v>1686</v>
      </c>
      <c r="M125" s="68">
        <f t="shared" si="37"/>
        <v>91</v>
      </c>
      <c r="N125" s="68">
        <f t="shared" si="37"/>
        <v>1012</v>
      </c>
      <c r="O125" s="68">
        <f t="shared" si="37"/>
        <v>3958</v>
      </c>
      <c r="P125" s="68">
        <f t="shared" si="37"/>
        <v>11101</v>
      </c>
    </row>
    <row r="126" spans="1:16">
      <c r="A126" s="70" t="s">
        <v>13</v>
      </c>
      <c r="B126" s="2" t="s">
        <v>36</v>
      </c>
      <c r="C126" s="412">
        <f t="shared" si="35"/>
        <v>39.348710990502035</v>
      </c>
      <c r="D126" s="412">
        <f t="shared" si="35"/>
        <v>31.071913161465396</v>
      </c>
      <c r="E126" s="412">
        <f t="shared" si="35"/>
        <v>26.119402985074625</v>
      </c>
      <c r="F126" s="412">
        <f t="shared" si="35"/>
        <v>3.4599728629579376</v>
      </c>
      <c r="G126" s="412">
        <f t="shared" si="35"/>
        <v>0</v>
      </c>
      <c r="H126" s="412">
        <f t="shared" si="35"/>
        <v>0</v>
      </c>
      <c r="I126" s="412">
        <f t="shared" si="35"/>
        <v>100</v>
      </c>
      <c r="J126" s="409">
        <v>580</v>
      </c>
      <c r="K126" s="2">
        <v>458</v>
      </c>
      <c r="L126" s="2">
        <v>385</v>
      </c>
      <c r="M126" s="2">
        <v>51</v>
      </c>
      <c r="N126" s="2">
        <v>0</v>
      </c>
      <c r="O126" s="2">
        <v>0</v>
      </c>
      <c r="P126" s="2">
        <v>1474</v>
      </c>
    </row>
    <row r="127" spans="1:16">
      <c r="A127" s="70"/>
      <c r="B127" s="2" t="s">
        <v>37</v>
      </c>
      <c r="C127" s="412" t="e">
        <f t="shared" si="35"/>
        <v>#DIV/0!</v>
      </c>
      <c r="D127" s="412" t="e">
        <f t="shared" si="35"/>
        <v>#DIV/0!</v>
      </c>
      <c r="E127" s="412" t="e">
        <f t="shared" si="35"/>
        <v>#DIV/0!</v>
      </c>
      <c r="F127" s="412" t="e">
        <f t="shared" si="35"/>
        <v>#DIV/0!</v>
      </c>
      <c r="G127" s="412" t="e">
        <f t="shared" si="35"/>
        <v>#DIV/0!</v>
      </c>
      <c r="H127" s="412" t="e">
        <f t="shared" si="35"/>
        <v>#DIV/0!</v>
      </c>
      <c r="I127" s="412" t="e">
        <f t="shared" si="35"/>
        <v>#DIV/0!</v>
      </c>
      <c r="J127" s="409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</row>
    <row r="128" spans="1:16">
      <c r="A128" s="70"/>
      <c r="B128" s="2" t="s">
        <v>38</v>
      </c>
      <c r="C128" s="412">
        <f t="shared" si="35"/>
        <v>29.274611398963728</v>
      </c>
      <c r="D128" s="412">
        <f t="shared" si="35"/>
        <v>15.803108808290157</v>
      </c>
      <c r="E128" s="412">
        <f t="shared" si="35"/>
        <v>42.746113989637308</v>
      </c>
      <c r="F128" s="412">
        <f t="shared" si="35"/>
        <v>12.176165803108809</v>
      </c>
      <c r="G128" s="412">
        <f t="shared" si="35"/>
        <v>0</v>
      </c>
      <c r="H128" s="412">
        <f t="shared" si="35"/>
        <v>0</v>
      </c>
      <c r="I128" s="412">
        <f t="shared" si="35"/>
        <v>100</v>
      </c>
      <c r="J128" s="409">
        <v>113</v>
      </c>
      <c r="K128" s="2">
        <v>61</v>
      </c>
      <c r="L128" s="2">
        <v>165</v>
      </c>
      <c r="M128" s="2">
        <v>47</v>
      </c>
      <c r="N128" s="2">
        <v>0</v>
      </c>
      <c r="O128" s="2">
        <v>0</v>
      </c>
      <c r="P128" s="2">
        <v>386</v>
      </c>
    </row>
    <row r="129" spans="1:16">
      <c r="A129" s="70"/>
      <c r="B129" s="2" t="s">
        <v>39</v>
      </c>
      <c r="C129" s="412">
        <f t="shared" si="35"/>
        <v>26.639344262295083</v>
      </c>
      <c r="D129" s="412">
        <f t="shared" si="35"/>
        <v>20.28688524590164</v>
      </c>
      <c r="E129" s="412">
        <f t="shared" si="35"/>
        <v>29.508196721311474</v>
      </c>
      <c r="F129" s="412">
        <f t="shared" si="35"/>
        <v>23.565573770491806</v>
      </c>
      <c r="G129" s="412">
        <f t="shared" si="35"/>
        <v>0</v>
      </c>
      <c r="H129" s="412">
        <f t="shared" si="35"/>
        <v>0</v>
      </c>
      <c r="I129" s="412">
        <f t="shared" si="35"/>
        <v>100</v>
      </c>
      <c r="J129" s="409">
        <v>130</v>
      </c>
      <c r="K129" s="2">
        <v>99</v>
      </c>
      <c r="L129" s="2">
        <v>144</v>
      </c>
      <c r="M129" s="2">
        <v>115</v>
      </c>
      <c r="N129" s="2">
        <v>0</v>
      </c>
      <c r="O129" s="2">
        <v>0</v>
      </c>
      <c r="P129" s="2">
        <v>488</v>
      </c>
    </row>
    <row r="130" spans="1:16">
      <c r="A130" s="70"/>
      <c r="B130" s="2" t="s">
        <v>40</v>
      </c>
      <c r="C130" s="412">
        <f t="shared" si="35"/>
        <v>21.708185053380781</v>
      </c>
      <c r="D130" s="412">
        <f t="shared" si="35"/>
        <v>17.615658362989322</v>
      </c>
      <c r="E130" s="412">
        <f t="shared" si="35"/>
        <v>38.790035587188612</v>
      </c>
      <c r="F130" s="412">
        <f t="shared" si="35"/>
        <v>22.241992882562279</v>
      </c>
      <c r="G130" s="412">
        <f t="shared" si="35"/>
        <v>0</v>
      </c>
      <c r="H130" s="412">
        <f t="shared" si="35"/>
        <v>0</v>
      </c>
      <c r="I130" s="412">
        <f t="shared" si="35"/>
        <v>100</v>
      </c>
      <c r="J130" s="409">
        <v>122</v>
      </c>
      <c r="K130" s="2">
        <v>99</v>
      </c>
      <c r="L130" s="2">
        <v>218</v>
      </c>
      <c r="M130" s="2">
        <v>125</v>
      </c>
      <c r="N130" s="2">
        <v>0</v>
      </c>
      <c r="O130" s="2">
        <v>0</v>
      </c>
      <c r="P130" s="2">
        <v>562</v>
      </c>
    </row>
    <row r="131" spans="1:16">
      <c r="A131" s="70"/>
      <c r="B131" s="2" t="s">
        <v>41</v>
      </c>
      <c r="C131" s="412">
        <f t="shared" si="35"/>
        <v>11.707317073170733</v>
      </c>
      <c r="D131" s="412">
        <f t="shared" si="35"/>
        <v>30.73170731707317</v>
      </c>
      <c r="E131" s="412">
        <f t="shared" si="35"/>
        <v>31.219512195121951</v>
      </c>
      <c r="F131" s="412">
        <f t="shared" si="35"/>
        <v>26.341463414634148</v>
      </c>
      <c r="G131" s="412">
        <f t="shared" si="35"/>
        <v>0</v>
      </c>
      <c r="H131" s="412">
        <f t="shared" si="35"/>
        <v>0</v>
      </c>
      <c r="I131" s="412">
        <f t="shared" si="35"/>
        <v>100</v>
      </c>
      <c r="J131" s="409">
        <v>24</v>
      </c>
      <c r="K131" s="2">
        <v>63</v>
      </c>
      <c r="L131" s="2">
        <v>64</v>
      </c>
      <c r="M131" s="2">
        <v>54</v>
      </c>
      <c r="N131" s="2">
        <v>0</v>
      </c>
      <c r="O131" s="2">
        <v>0</v>
      </c>
      <c r="P131" s="2">
        <v>205</v>
      </c>
    </row>
    <row r="132" spans="1:16">
      <c r="A132" s="70"/>
      <c r="B132" s="5" t="s">
        <v>42</v>
      </c>
      <c r="C132" s="417">
        <f t="shared" si="35"/>
        <v>31.107544141252006</v>
      </c>
      <c r="D132" s="417">
        <f t="shared" si="35"/>
        <v>25.040128410914932</v>
      </c>
      <c r="E132" s="417">
        <f t="shared" si="35"/>
        <v>31.332263242375603</v>
      </c>
      <c r="F132" s="417">
        <f t="shared" si="35"/>
        <v>12.584269662921349</v>
      </c>
      <c r="G132" s="417">
        <f t="shared" si="35"/>
        <v>0</v>
      </c>
      <c r="H132" s="417">
        <f t="shared" si="35"/>
        <v>0</v>
      </c>
      <c r="I132" s="417">
        <f t="shared" si="35"/>
        <v>100</v>
      </c>
      <c r="J132" s="409">
        <f t="shared" ref="J132:P132" si="38">SUM(J126:J131)</f>
        <v>969</v>
      </c>
      <c r="K132" s="2">
        <f t="shared" si="38"/>
        <v>780</v>
      </c>
      <c r="L132" s="2">
        <f t="shared" si="38"/>
        <v>976</v>
      </c>
      <c r="M132" s="2">
        <f t="shared" si="38"/>
        <v>392</v>
      </c>
      <c r="N132" s="2">
        <f t="shared" si="38"/>
        <v>0</v>
      </c>
      <c r="O132" s="2">
        <f t="shared" si="38"/>
        <v>0</v>
      </c>
      <c r="P132" s="2">
        <f t="shared" si="38"/>
        <v>3115</v>
      </c>
    </row>
    <row r="133" spans="1:16">
      <c r="A133" s="70"/>
      <c r="B133" s="2" t="s">
        <v>43</v>
      </c>
      <c r="C133" s="412">
        <f t="shared" si="35"/>
        <v>0</v>
      </c>
      <c r="D133" s="412">
        <f t="shared" si="35"/>
        <v>0</v>
      </c>
      <c r="E133" s="412">
        <f t="shared" si="35"/>
        <v>0</v>
      </c>
      <c r="F133" s="412">
        <f t="shared" si="35"/>
        <v>0</v>
      </c>
      <c r="G133" s="412">
        <f t="shared" si="35"/>
        <v>0</v>
      </c>
      <c r="H133" s="412">
        <f t="shared" si="35"/>
        <v>100</v>
      </c>
      <c r="I133" s="412">
        <f t="shared" si="35"/>
        <v>100</v>
      </c>
      <c r="J133" s="409">
        <v>0</v>
      </c>
      <c r="K133" s="2">
        <v>0</v>
      </c>
      <c r="L133" s="2">
        <v>0</v>
      </c>
      <c r="M133" s="2">
        <v>0</v>
      </c>
      <c r="N133" s="2">
        <v>0</v>
      </c>
      <c r="O133" s="2">
        <v>1109</v>
      </c>
      <c r="P133" s="2">
        <v>1109</v>
      </c>
    </row>
    <row r="134" spans="1:16">
      <c r="A134" s="70"/>
      <c r="B134" s="2" t="s">
        <v>44</v>
      </c>
      <c r="C134" s="412" t="e">
        <f t="shared" si="35"/>
        <v>#DIV/0!</v>
      </c>
      <c r="D134" s="412" t="e">
        <f t="shared" si="35"/>
        <v>#DIV/0!</v>
      </c>
      <c r="E134" s="412" t="e">
        <f t="shared" si="35"/>
        <v>#DIV/0!</v>
      </c>
      <c r="F134" s="412" t="e">
        <f t="shared" si="35"/>
        <v>#DIV/0!</v>
      </c>
      <c r="G134" s="412" t="e">
        <f t="shared" si="35"/>
        <v>#DIV/0!</v>
      </c>
      <c r="H134" s="412" t="e">
        <f t="shared" si="35"/>
        <v>#DIV/0!</v>
      </c>
      <c r="I134" s="412" t="e">
        <f t="shared" si="35"/>
        <v>#DIV/0!</v>
      </c>
      <c r="J134" s="409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</row>
    <row r="135" spans="1:16">
      <c r="A135" s="72"/>
      <c r="B135" s="69" t="s">
        <v>45</v>
      </c>
      <c r="C135" s="418">
        <f t="shared" si="35"/>
        <v>22.94034090909091</v>
      </c>
      <c r="D135" s="418">
        <f t="shared" si="35"/>
        <v>18.46590909090909</v>
      </c>
      <c r="E135" s="418">
        <f t="shared" si="35"/>
        <v>23.106060606060606</v>
      </c>
      <c r="F135" s="418">
        <f t="shared" si="35"/>
        <v>9.2803030303030312</v>
      </c>
      <c r="G135" s="418">
        <f t="shared" si="35"/>
        <v>0</v>
      </c>
      <c r="H135" s="418">
        <f t="shared" si="35"/>
        <v>26.254734848484851</v>
      </c>
      <c r="I135" s="418">
        <f t="shared" si="35"/>
        <v>100</v>
      </c>
      <c r="J135" s="410">
        <f t="shared" ref="J135:P135" si="39">SUM(J132:J134)</f>
        <v>969</v>
      </c>
      <c r="K135" s="68">
        <f t="shared" si="39"/>
        <v>780</v>
      </c>
      <c r="L135" s="68">
        <f t="shared" si="39"/>
        <v>976</v>
      </c>
      <c r="M135" s="68">
        <f t="shared" si="39"/>
        <v>392</v>
      </c>
      <c r="N135" s="68">
        <f t="shared" si="39"/>
        <v>0</v>
      </c>
      <c r="O135" s="68">
        <f t="shared" si="39"/>
        <v>1109</v>
      </c>
      <c r="P135" s="68">
        <f t="shared" si="39"/>
        <v>4224</v>
      </c>
    </row>
    <row r="136" spans="1:16">
      <c r="A136" s="70" t="s">
        <v>14</v>
      </c>
      <c r="B136" s="2" t="s">
        <v>36</v>
      </c>
      <c r="C136" s="412">
        <f t="shared" si="35"/>
        <v>40.373280943025541</v>
      </c>
      <c r="D136" s="412">
        <f t="shared" si="35"/>
        <v>31.335952848722986</v>
      </c>
      <c r="E136" s="412">
        <f t="shared" si="35"/>
        <v>19.253438113948921</v>
      </c>
      <c r="F136" s="412">
        <f t="shared" si="35"/>
        <v>6.0903732809430258</v>
      </c>
      <c r="G136" s="412">
        <f t="shared" si="35"/>
        <v>2.9469548133595285</v>
      </c>
      <c r="H136" s="412">
        <f t="shared" si="35"/>
        <v>0</v>
      </c>
      <c r="I136" s="412">
        <f t="shared" si="35"/>
        <v>100</v>
      </c>
      <c r="J136" s="409">
        <v>411</v>
      </c>
      <c r="K136" s="2">
        <v>319</v>
      </c>
      <c r="L136" s="2">
        <v>196</v>
      </c>
      <c r="M136" s="2">
        <v>62</v>
      </c>
      <c r="N136" s="2">
        <v>30</v>
      </c>
      <c r="O136" s="2">
        <v>0</v>
      </c>
      <c r="P136" s="2">
        <v>1018</v>
      </c>
    </row>
    <row r="137" spans="1:16">
      <c r="A137" s="70"/>
      <c r="B137" s="2" t="s">
        <v>37</v>
      </c>
      <c r="C137" s="412">
        <f t="shared" si="35"/>
        <v>42.093287827076225</v>
      </c>
      <c r="D137" s="412">
        <f t="shared" si="35"/>
        <v>27.872582480091012</v>
      </c>
      <c r="E137" s="412">
        <f t="shared" si="35"/>
        <v>18.998862343572238</v>
      </c>
      <c r="F137" s="412">
        <f t="shared" si="35"/>
        <v>4.8919226393629129</v>
      </c>
      <c r="G137" s="412">
        <f t="shared" si="35"/>
        <v>6.1433447098976108</v>
      </c>
      <c r="H137" s="412">
        <f t="shared" si="35"/>
        <v>0</v>
      </c>
      <c r="I137" s="412">
        <f t="shared" si="35"/>
        <v>100</v>
      </c>
      <c r="J137" s="409">
        <v>370</v>
      </c>
      <c r="K137" s="2">
        <v>245</v>
      </c>
      <c r="L137" s="2">
        <v>167</v>
      </c>
      <c r="M137" s="2">
        <v>43</v>
      </c>
      <c r="N137" s="2">
        <v>54</v>
      </c>
      <c r="O137" s="2">
        <v>0</v>
      </c>
      <c r="P137" s="2">
        <v>879</v>
      </c>
    </row>
    <row r="138" spans="1:16">
      <c r="A138" s="70"/>
      <c r="B138" s="2" t="s">
        <v>38</v>
      </c>
      <c r="C138" s="412">
        <f t="shared" si="35"/>
        <v>32.113821138211385</v>
      </c>
      <c r="D138" s="412">
        <f t="shared" si="35"/>
        <v>34.146341463414636</v>
      </c>
      <c r="E138" s="412">
        <f t="shared" si="35"/>
        <v>23.983739837398375</v>
      </c>
      <c r="F138" s="412">
        <f t="shared" si="35"/>
        <v>8.9430894308943092</v>
      </c>
      <c r="G138" s="412">
        <f t="shared" si="35"/>
        <v>0.81300813008130091</v>
      </c>
      <c r="H138" s="412">
        <f t="shared" si="35"/>
        <v>0</v>
      </c>
      <c r="I138" s="412">
        <f t="shared" si="35"/>
        <v>100</v>
      </c>
      <c r="J138" s="409">
        <v>79</v>
      </c>
      <c r="K138" s="2">
        <v>84</v>
      </c>
      <c r="L138" s="2">
        <v>59</v>
      </c>
      <c r="M138" s="2">
        <v>22</v>
      </c>
      <c r="N138" s="2">
        <v>2</v>
      </c>
      <c r="O138" s="2">
        <v>0</v>
      </c>
      <c r="P138" s="2">
        <v>246</v>
      </c>
    </row>
    <row r="139" spans="1:16">
      <c r="A139" s="70"/>
      <c r="B139" s="2" t="s">
        <v>39</v>
      </c>
      <c r="C139" s="412">
        <f t="shared" si="35"/>
        <v>25.360230547550433</v>
      </c>
      <c r="D139" s="412">
        <f t="shared" si="35"/>
        <v>25.648414985590779</v>
      </c>
      <c r="E139" s="412">
        <f t="shared" si="35"/>
        <v>38.616714697406337</v>
      </c>
      <c r="F139" s="412">
        <f t="shared" si="35"/>
        <v>10.37463976945245</v>
      </c>
      <c r="G139" s="412">
        <f t="shared" si="35"/>
        <v>0</v>
      </c>
      <c r="H139" s="412">
        <f t="shared" si="35"/>
        <v>0</v>
      </c>
      <c r="I139" s="412">
        <f t="shared" si="35"/>
        <v>100</v>
      </c>
      <c r="J139" s="409">
        <v>88</v>
      </c>
      <c r="K139" s="2">
        <v>89</v>
      </c>
      <c r="L139" s="2">
        <v>134</v>
      </c>
      <c r="M139" s="2">
        <v>36</v>
      </c>
      <c r="N139" s="2">
        <v>0</v>
      </c>
      <c r="O139" s="2">
        <v>0</v>
      </c>
      <c r="P139" s="2">
        <v>347</v>
      </c>
    </row>
    <row r="140" spans="1:16">
      <c r="A140" s="70"/>
      <c r="B140" s="2" t="s">
        <v>40</v>
      </c>
      <c r="C140" s="412">
        <f t="shared" si="35"/>
        <v>31.260794473229709</v>
      </c>
      <c r="D140" s="412">
        <f t="shared" si="35"/>
        <v>27.633851468048359</v>
      </c>
      <c r="E140" s="412">
        <f t="shared" si="35"/>
        <v>26.597582037996549</v>
      </c>
      <c r="F140" s="412">
        <f t="shared" si="35"/>
        <v>10.189982728842832</v>
      </c>
      <c r="G140" s="412">
        <f t="shared" si="35"/>
        <v>4.3177892918825558</v>
      </c>
      <c r="H140" s="412">
        <f t="shared" si="35"/>
        <v>0</v>
      </c>
      <c r="I140" s="412">
        <f t="shared" si="35"/>
        <v>100</v>
      </c>
      <c r="J140" s="409">
        <v>181</v>
      </c>
      <c r="K140" s="2">
        <v>160</v>
      </c>
      <c r="L140" s="2">
        <v>154</v>
      </c>
      <c r="M140" s="2">
        <v>59</v>
      </c>
      <c r="N140" s="2">
        <v>25</v>
      </c>
      <c r="O140" s="2">
        <v>0</v>
      </c>
      <c r="P140" s="2">
        <v>579</v>
      </c>
    </row>
    <row r="141" spans="1:16">
      <c r="A141" s="70"/>
      <c r="B141" s="2" t="s">
        <v>41</v>
      </c>
      <c r="C141" s="412">
        <f t="shared" si="35"/>
        <v>28.598848368522074</v>
      </c>
      <c r="D141" s="412">
        <f t="shared" si="35"/>
        <v>32.053742802303262</v>
      </c>
      <c r="E141" s="412">
        <f t="shared" si="35"/>
        <v>25.143953934740882</v>
      </c>
      <c r="F141" s="412">
        <f t="shared" si="35"/>
        <v>13.243761996161229</v>
      </c>
      <c r="G141" s="412">
        <f t="shared" si="35"/>
        <v>0.95969289827255266</v>
      </c>
      <c r="H141" s="412">
        <f t="shared" si="35"/>
        <v>0</v>
      </c>
      <c r="I141" s="412">
        <f t="shared" si="35"/>
        <v>100</v>
      </c>
      <c r="J141" s="409">
        <v>149</v>
      </c>
      <c r="K141" s="2">
        <v>167</v>
      </c>
      <c r="L141" s="2">
        <v>131</v>
      </c>
      <c r="M141" s="2">
        <v>69</v>
      </c>
      <c r="N141" s="2">
        <v>5</v>
      </c>
      <c r="O141" s="2">
        <v>0</v>
      </c>
      <c r="P141" s="2">
        <v>521</v>
      </c>
    </row>
    <row r="142" spans="1:16">
      <c r="A142" s="70"/>
      <c r="B142" s="5" t="s">
        <v>42</v>
      </c>
      <c r="C142" s="417">
        <f t="shared" si="35"/>
        <v>35.598885793871865</v>
      </c>
      <c r="D142" s="417">
        <f t="shared" si="35"/>
        <v>29.637883008356546</v>
      </c>
      <c r="E142" s="417">
        <f t="shared" si="35"/>
        <v>23.426183844011142</v>
      </c>
      <c r="F142" s="417">
        <f t="shared" si="35"/>
        <v>8.1058495821727021</v>
      </c>
      <c r="G142" s="417">
        <f t="shared" si="35"/>
        <v>3.2311977715877438</v>
      </c>
      <c r="H142" s="417">
        <f t="shared" si="35"/>
        <v>0</v>
      </c>
      <c r="I142" s="417">
        <f t="shared" si="35"/>
        <v>100</v>
      </c>
      <c r="J142" s="409">
        <f t="shared" ref="J142:P142" si="40">SUM(J136:J141)</f>
        <v>1278</v>
      </c>
      <c r="K142" s="2">
        <f t="shared" si="40"/>
        <v>1064</v>
      </c>
      <c r="L142" s="2">
        <f t="shared" si="40"/>
        <v>841</v>
      </c>
      <c r="M142" s="2">
        <f t="shared" si="40"/>
        <v>291</v>
      </c>
      <c r="N142" s="2">
        <f t="shared" si="40"/>
        <v>116</v>
      </c>
      <c r="O142" s="2">
        <f t="shared" si="40"/>
        <v>0</v>
      </c>
      <c r="P142" s="2">
        <f t="shared" si="40"/>
        <v>3590</v>
      </c>
    </row>
    <row r="143" spans="1:16">
      <c r="A143" s="70"/>
      <c r="B143" s="2" t="s">
        <v>43</v>
      </c>
      <c r="C143" s="412">
        <f t="shared" si="35"/>
        <v>3.9285714285714284</v>
      </c>
      <c r="D143" s="412">
        <f t="shared" si="35"/>
        <v>3.5714285714285712</v>
      </c>
      <c r="E143" s="412">
        <f t="shared" si="35"/>
        <v>2.8571428571428572</v>
      </c>
      <c r="F143" s="412">
        <f t="shared" si="35"/>
        <v>0.625</v>
      </c>
      <c r="G143" s="412">
        <f t="shared" si="35"/>
        <v>89.017857142857139</v>
      </c>
      <c r="H143" s="412">
        <f t="shared" si="35"/>
        <v>0</v>
      </c>
      <c r="I143" s="412">
        <f t="shared" si="35"/>
        <v>100</v>
      </c>
      <c r="J143" s="409">
        <v>44</v>
      </c>
      <c r="K143" s="2">
        <v>40</v>
      </c>
      <c r="L143" s="2">
        <v>32</v>
      </c>
      <c r="M143" s="2">
        <v>7</v>
      </c>
      <c r="N143" s="2">
        <v>997</v>
      </c>
      <c r="O143" s="2">
        <v>0</v>
      </c>
      <c r="P143" s="2">
        <v>1120</v>
      </c>
    </row>
    <row r="144" spans="1:16">
      <c r="A144" s="70"/>
      <c r="B144" s="2" t="s">
        <v>44</v>
      </c>
      <c r="C144" s="412" t="e">
        <f t="shared" si="35"/>
        <v>#DIV/0!</v>
      </c>
      <c r="D144" s="412" t="e">
        <f t="shared" si="35"/>
        <v>#DIV/0!</v>
      </c>
      <c r="E144" s="412" t="e">
        <f t="shared" si="35"/>
        <v>#DIV/0!</v>
      </c>
      <c r="F144" s="412" t="e">
        <f t="shared" si="35"/>
        <v>#DIV/0!</v>
      </c>
      <c r="G144" s="412" t="e">
        <f t="shared" si="35"/>
        <v>#DIV/0!</v>
      </c>
      <c r="H144" s="412" t="e">
        <f t="shared" si="35"/>
        <v>#DIV/0!</v>
      </c>
      <c r="I144" s="412" t="e">
        <f t="shared" si="35"/>
        <v>#DIV/0!</v>
      </c>
      <c r="J144" s="409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</row>
    <row r="145" spans="1:16">
      <c r="A145" s="72"/>
      <c r="B145" s="69" t="s">
        <v>45</v>
      </c>
      <c r="C145" s="418">
        <f t="shared" si="35"/>
        <v>28.067940552016985</v>
      </c>
      <c r="D145" s="418">
        <f t="shared" si="35"/>
        <v>23.439490445859875</v>
      </c>
      <c r="E145" s="418">
        <f t="shared" si="35"/>
        <v>18.535031847133755</v>
      </c>
      <c r="F145" s="418">
        <f t="shared" si="35"/>
        <v>6.3269639065817413</v>
      </c>
      <c r="G145" s="418">
        <f t="shared" si="35"/>
        <v>23.630573248407643</v>
      </c>
      <c r="H145" s="418">
        <f t="shared" si="35"/>
        <v>0</v>
      </c>
      <c r="I145" s="418">
        <f t="shared" si="35"/>
        <v>100</v>
      </c>
      <c r="J145" s="410">
        <f t="shared" ref="J145:P145" si="41">SUM(J142:J144)</f>
        <v>1322</v>
      </c>
      <c r="K145" s="68">
        <f t="shared" si="41"/>
        <v>1104</v>
      </c>
      <c r="L145" s="68">
        <f t="shared" si="41"/>
        <v>873</v>
      </c>
      <c r="M145" s="68">
        <f t="shared" si="41"/>
        <v>298</v>
      </c>
      <c r="N145" s="68">
        <f t="shared" si="41"/>
        <v>1113</v>
      </c>
      <c r="O145" s="68">
        <f t="shared" si="41"/>
        <v>0</v>
      </c>
      <c r="P145" s="68">
        <f t="shared" si="41"/>
        <v>4710</v>
      </c>
    </row>
    <row r="146" spans="1:16">
      <c r="A146" s="70" t="s">
        <v>15</v>
      </c>
      <c r="B146" s="2" t="s">
        <v>36</v>
      </c>
      <c r="C146" s="412">
        <f t="shared" si="35"/>
        <v>49.097162510748063</v>
      </c>
      <c r="D146" s="412">
        <f t="shared" si="35"/>
        <v>26.827171109200343</v>
      </c>
      <c r="E146" s="412">
        <f t="shared" si="35"/>
        <v>17.368873602751506</v>
      </c>
      <c r="F146" s="412">
        <f t="shared" si="35"/>
        <v>5.9329320722269996</v>
      </c>
      <c r="G146" s="412">
        <f t="shared" si="35"/>
        <v>0.7738607050730868</v>
      </c>
      <c r="H146" s="412">
        <f t="shared" si="35"/>
        <v>0</v>
      </c>
      <c r="I146" s="412">
        <f t="shared" si="35"/>
        <v>100</v>
      </c>
      <c r="J146" s="409">
        <v>571</v>
      </c>
      <c r="K146" s="2">
        <v>312</v>
      </c>
      <c r="L146" s="2">
        <v>202</v>
      </c>
      <c r="M146" s="2">
        <v>69</v>
      </c>
      <c r="N146" s="2">
        <v>9</v>
      </c>
      <c r="O146" s="2">
        <v>0</v>
      </c>
      <c r="P146" s="2">
        <v>1163</v>
      </c>
    </row>
    <row r="147" spans="1:16">
      <c r="A147" s="70"/>
      <c r="B147" s="2" t="s">
        <v>37</v>
      </c>
      <c r="C147" s="412">
        <f t="shared" si="35"/>
        <v>35.046113306982875</v>
      </c>
      <c r="D147" s="412">
        <f t="shared" si="35"/>
        <v>29.380764163372859</v>
      </c>
      <c r="E147" s="412">
        <f t="shared" si="35"/>
        <v>26.613965744400524</v>
      </c>
      <c r="F147" s="412">
        <f t="shared" si="35"/>
        <v>8.9591567852437421</v>
      </c>
      <c r="G147" s="412">
        <f t="shared" si="35"/>
        <v>0</v>
      </c>
      <c r="H147" s="412">
        <f t="shared" si="35"/>
        <v>0</v>
      </c>
      <c r="I147" s="412">
        <f t="shared" si="35"/>
        <v>100</v>
      </c>
      <c r="J147" s="409">
        <v>266</v>
      </c>
      <c r="K147" s="2">
        <v>223</v>
      </c>
      <c r="L147" s="2">
        <v>202</v>
      </c>
      <c r="M147" s="2">
        <v>68</v>
      </c>
      <c r="N147" s="2">
        <v>0</v>
      </c>
      <c r="O147" s="2">
        <v>0</v>
      </c>
      <c r="P147" s="2">
        <v>759</v>
      </c>
    </row>
    <row r="148" spans="1:16">
      <c r="A148" s="70"/>
      <c r="B148" s="2" t="s">
        <v>38</v>
      </c>
      <c r="C148" s="412">
        <f t="shared" si="35"/>
        <v>30.081300813008134</v>
      </c>
      <c r="D148" s="412">
        <f t="shared" si="35"/>
        <v>25.271002710027101</v>
      </c>
      <c r="E148" s="412">
        <f t="shared" si="35"/>
        <v>34.349593495934961</v>
      </c>
      <c r="F148" s="412">
        <f t="shared" si="35"/>
        <v>10.230352303523036</v>
      </c>
      <c r="G148" s="412">
        <f t="shared" si="35"/>
        <v>6.7750677506775062E-2</v>
      </c>
      <c r="H148" s="412">
        <f t="shared" si="35"/>
        <v>0</v>
      </c>
      <c r="I148" s="412">
        <f t="shared" si="35"/>
        <v>100</v>
      </c>
      <c r="J148" s="409">
        <v>444</v>
      </c>
      <c r="K148" s="2">
        <v>373</v>
      </c>
      <c r="L148" s="2">
        <v>507</v>
      </c>
      <c r="M148" s="2">
        <v>151</v>
      </c>
      <c r="N148" s="2">
        <v>1</v>
      </c>
      <c r="O148" s="2">
        <v>0</v>
      </c>
      <c r="P148" s="2">
        <v>1476</v>
      </c>
    </row>
    <row r="149" spans="1:16">
      <c r="A149" s="70"/>
      <c r="B149" s="2" t="s">
        <v>39</v>
      </c>
      <c r="C149" s="412">
        <f t="shared" si="35"/>
        <v>39.742212674543502</v>
      </c>
      <c r="D149" s="412">
        <f t="shared" si="35"/>
        <v>24.597207303974223</v>
      </c>
      <c r="E149" s="412">
        <f t="shared" si="35"/>
        <v>30.612244897959183</v>
      </c>
      <c r="F149" s="412">
        <f t="shared" si="35"/>
        <v>5.0483351235230938</v>
      </c>
      <c r="G149" s="412">
        <f t="shared" si="35"/>
        <v>0</v>
      </c>
      <c r="H149" s="412">
        <f t="shared" si="35"/>
        <v>0</v>
      </c>
      <c r="I149" s="412">
        <f t="shared" si="35"/>
        <v>100</v>
      </c>
      <c r="J149" s="409">
        <v>370</v>
      </c>
      <c r="K149" s="2">
        <v>229</v>
      </c>
      <c r="L149" s="2">
        <v>285</v>
      </c>
      <c r="M149" s="2">
        <v>47</v>
      </c>
      <c r="N149" s="2">
        <v>0</v>
      </c>
      <c r="O149" s="2">
        <v>0</v>
      </c>
      <c r="P149" s="2">
        <v>931</v>
      </c>
    </row>
    <row r="150" spans="1:16">
      <c r="A150" s="70"/>
      <c r="B150" s="2" t="s">
        <v>40</v>
      </c>
      <c r="C150" s="412">
        <f t="shared" si="35"/>
        <v>47.321428571428569</v>
      </c>
      <c r="D150" s="412">
        <f t="shared" si="35"/>
        <v>25</v>
      </c>
      <c r="E150" s="412">
        <f t="shared" si="35"/>
        <v>19.196428571428573</v>
      </c>
      <c r="F150" s="412">
        <f t="shared" si="35"/>
        <v>8.4821428571428577</v>
      </c>
      <c r="G150" s="412">
        <f t="shared" si="35"/>
        <v>0</v>
      </c>
      <c r="H150" s="412">
        <f t="shared" si="35"/>
        <v>0</v>
      </c>
      <c r="I150" s="412">
        <f t="shared" si="35"/>
        <v>100</v>
      </c>
      <c r="J150" s="409">
        <v>106</v>
      </c>
      <c r="K150" s="2">
        <v>56</v>
      </c>
      <c r="L150" s="2">
        <v>43</v>
      </c>
      <c r="M150" s="2">
        <v>19</v>
      </c>
      <c r="N150" s="2">
        <v>0</v>
      </c>
      <c r="O150" s="2">
        <v>0</v>
      </c>
      <c r="P150" s="2">
        <v>224</v>
      </c>
    </row>
    <row r="151" spans="1:16">
      <c r="A151" s="70"/>
      <c r="B151" s="2" t="s">
        <v>41</v>
      </c>
      <c r="C151" s="412" t="e">
        <f t="shared" si="35"/>
        <v>#DIV/0!</v>
      </c>
      <c r="D151" s="412" t="e">
        <f t="shared" si="35"/>
        <v>#DIV/0!</v>
      </c>
      <c r="E151" s="412" t="e">
        <f t="shared" si="35"/>
        <v>#DIV/0!</v>
      </c>
      <c r="F151" s="412" t="e">
        <f t="shared" si="35"/>
        <v>#DIV/0!</v>
      </c>
      <c r="G151" s="412" t="e">
        <f t="shared" si="35"/>
        <v>#DIV/0!</v>
      </c>
      <c r="H151" s="412" t="e">
        <f t="shared" si="35"/>
        <v>#DIV/0!</v>
      </c>
      <c r="I151" s="412" t="e">
        <f t="shared" si="35"/>
        <v>#DIV/0!</v>
      </c>
      <c r="J151" s="409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</row>
    <row r="152" spans="1:16">
      <c r="A152" s="70"/>
      <c r="B152" s="5" t="s">
        <v>42</v>
      </c>
      <c r="C152" s="417">
        <f t="shared" si="35"/>
        <v>38.589940698440586</v>
      </c>
      <c r="D152" s="417">
        <f t="shared" si="35"/>
        <v>26.202503843619589</v>
      </c>
      <c r="E152" s="417">
        <f t="shared" si="35"/>
        <v>27.212826707665279</v>
      </c>
      <c r="F152" s="417">
        <f t="shared" si="35"/>
        <v>7.775093345047221</v>
      </c>
      <c r="G152" s="417">
        <f t="shared" si="35"/>
        <v>0.21963540522732264</v>
      </c>
      <c r="H152" s="417">
        <f t="shared" si="35"/>
        <v>0</v>
      </c>
      <c r="I152" s="417">
        <f t="shared" si="35"/>
        <v>100</v>
      </c>
      <c r="J152" s="409">
        <f t="shared" ref="J152:P152" si="42">SUM(J146:J151)</f>
        <v>1757</v>
      </c>
      <c r="K152" s="2">
        <f t="shared" si="42"/>
        <v>1193</v>
      </c>
      <c r="L152" s="2">
        <f t="shared" si="42"/>
        <v>1239</v>
      </c>
      <c r="M152" s="2">
        <f t="shared" si="42"/>
        <v>354</v>
      </c>
      <c r="N152" s="2">
        <f t="shared" si="42"/>
        <v>10</v>
      </c>
      <c r="O152" s="2">
        <f t="shared" si="42"/>
        <v>0</v>
      </c>
      <c r="P152" s="2">
        <f t="shared" si="42"/>
        <v>4553</v>
      </c>
    </row>
    <row r="153" spans="1:16">
      <c r="A153" s="70"/>
      <c r="B153" s="2" t="s">
        <v>43</v>
      </c>
      <c r="C153" s="412">
        <f t="shared" si="35"/>
        <v>10.087719298245613</v>
      </c>
      <c r="D153" s="412">
        <f t="shared" si="35"/>
        <v>38.659147869674186</v>
      </c>
      <c r="E153" s="412">
        <f t="shared" si="35"/>
        <v>25.375939849624064</v>
      </c>
      <c r="F153" s="412">
        <f t="shared" si="35"/>
        <v>24.81203007518797</v>
      </c>
      <c r="G153" s="412">
        <f t="shared" si="35"/>
        <v>0.93984962406015038</v>
      </c>
      <c r="H153" s="412">
        <f t="shared" si="35"/>
        <v>0.12531328320802004</v>
      </c>
      <c r="I153" s="412">
        <f t="shared" si="35"/>
        <v>100</v>
      </c>
      <c r="J153" s="409">
        <v>161</v>
      </c>
      <c r="K153" s="2">
        <v>617</v>
      </c>
      <c r="L153" s="2">
        <v>405</v>
      </c>
      <c r="M153" s="2">
        <v>396</v>
      </c>
      <c r="N153" s="2">
        <v>15</v>
      </c>
      <c r="O153" s="2">
        <v>2</v>
      </c>
      <c r="P153" s="2">
        <v>1596</v>
      </c>
    </row>
    <row r="154" spans="1:16">
      <c r="A154" s="70"/>
      <c r="B154" s="2" t="s">
        <v>44</v>
      </c>
      <c r="C154" s="412">
        <f t="shared" si="35"/>
        <v>0</v>
      </c>
      <c r="D154" s="412">
        <f t="shared" si="35"/>
        <v>0</v>
      </c>
      <c r="E154" s="412">
        <f t="shared" si="35"/>
        <v>0</v>
      </c>
      <c r="F154" s="412">
        <f t="shared" si="35"/>
        <v>40.5</v>
      </c>
      <c r="G154" s="412">
        <f t="shared" si="35"/>
        <v>59.5</v>
      </c>
      <c r="H154" s="412">
        <f t="shared" si="35"/>
        <v>0</v>
      </c>
      <c r="I154" s="412">
        <f t="shared" si="35"/>
        <v>100</v>
      </c>
      <c r="J154" s="409">
        <v>0</v>
      </c>
      <c r="K154" s="2">
        <v>0</v>
      </c>
      <c r="L154" s="2">
        <v>0</v>
      </c>
      <c r="M154" s="2">
        <v>81</v>
      </c>
      <c r="N154" s="2">
        <v>119</v>
      </c>
      <c r="O154" s="2">
        <v>0</v>
      </c>
      <c r="P154" s="2">
        <v>200</v>
      </c>
    </row>
    <row r="155" spans="1:16">
      <c r="A155" s="72"/>
      <c r="B155" s="69" t="s">
        <v>45</v>
      </c>
      <c r="C155" s="418">
        <f t="shared" si="35"/>
        <v>30.209481808158767</v>
      </c>
      <c r="D155" s="418">
        <f t="shared" si="35"/>
        <v>28.508426523862024</v>
      </c>
      <c r="E155" s="418">
        <f t="shared" si="35"/>
        <v>25.893841549850372</v>
      </c>
      <c r="F155" s="418">
        <f t="shared" si="35"/>
        <v>13.088675381949914</v>
      </c>
      <c r="G155" s="418">
        <f t="shared" si="35"/>
        <v>2.2680737123956529</v>
      </c>
      <c r="H155" s="418">
        <f t="shared" si="35"/>
        <v>3.1501023783272956E-2</v>
      </c>
      <c r="I155" s="418">
        <f t="shared" si="35"/>
        <v>100</v>
      </c>
      <c r="J155" s="410">
        <f t="shared" ref="J155:P155" si="43">SUM(J152:J154)</f>
        <v>1918</v>
      </c>
      <c r="K155" s="68">
        <f t="shared" si="43"/>
        <v>1810</v>
      </c>
      <c r="L155" s="68">
        <f t="shared" si="43"/>
        <v>1644</v>
      </c>
      <c r="M155" s="68">
        <f t="shared" si="43"/>
        <v>831</v>
      </c>
      <c r="N155" s="68">
        <f t="shared" si="43"/>
        <v>144</v>
      </c>
      <c r="O155" s="68">
        <f t="shared" si="43"/>
        <v>2</v>
      </c>
      <c r="P155" s="68">
        <f t="shared" si="43"/>
        <v>6349</v>
      </c>
    </row>
    <row r="156" spans="1:16">
      <c r="A156" s="70" t="s">
        <v>16</v>
      </c>
      <c r="B156" s="2" t="s">
        <v>36</v>
      </c>
      <c r="C156" s="412">
        <f t="shared" si="35"/>
        <v>41.416376857413852</v>
      </c>
      <c r="D156" s="412">
        <f t="shared" si="35"/>
        <v>26.841606070186529</v>
      </c>
      <c r="E156" s="412">
        <f t="shared" si="35"/>
        <v>23.901359468858679</v>
      </c>
      <c r="F156" s="412">
        <f t="shared" si="35"/>
        <v>1.4226999683844452</v>
      </c>
      <c r="G156" s="412">
        <f t="shared" si="35"/>
        <v>6.4179576351564975</v>
      </c>
      <c r="H156" s="412">
        <f t="shared" si="35"/>
        <v>0</v>
      </c>
      <c r="I156" s="412">
        <f t="shared" si="35"/>
        <v>100</v>
      </c>
      <c r="J156" s="411">
        <v>2620</v>
      </c>
      <c r="K156" s="2">
        <v>1698</v>
      </c>
      <c r="L156" s="2">
        <v>1512</v>
      </c>
      <c r="M156" s="2">
        <v>90</v>
      </c>
      <c r="N156" s="2">
        <v>406</v>
      </c>
      <c r="O156" s="2">
        <v>0</v>
      </c>
      <c r="P156" s="2">
        <v>6326</v>
      </c>
    </row>
    <row r="157" spans="1:16">
      <c r="A157" s="70"/>
      <c r="B157" s="2" t="s">
        <v>37</v>
      </c>
      <c r="C157" s="412">
        <f t="shared" si="35"/>
        <v>35.382830626450115</v>
      </c>
      <c r="D157" s="412">
        <f t="shared" si="35"/>
        <v>32.598607888631093</v>
      </c>
      <c r="E157" s="412">
        <f t="shared" si="35"/>
        <v>22.273781902552201</v>
      </c>
      <c r="F157" s="412">
        <f t="shared" ref="F157:I185" si="44">(M157/$P157)*100</f>
        <v>5.1044083526682131</v>
      </c>
      <c r="G157" s="412">
        <f t="shared" si="44"/>
        <v>4.6403712296983759</v>
      </c>
      <c r="H157" s="412">
        <f t="shared" si="44"/>
        <v>0</v>
      </c>
      <c r="I157" s="412">
        <f t="shared" si="44"/>
        <v>100</v>
      </c>
      <c r="J157" s="411">
        <v>305</v>
      </c>
      <c r="K157" s="2">
        <v>281</v>
      </c>
      <c r="L157" s="2">
        <v>192</v>
      </c>
      <c r="M157" s="2">
        <v>44</v>
      </c>
      <c r="N157" s="2">
        <v>40</v>
      </c>
      <c r="O157" s="2">
        <v>0</v>
      </c>
      <c r="P157" s="2">
        <v>862</v>
      </c>
    </row>
    <row r="158" spans="1:16">
      <c r="A158" s="70"/>
      <c r="B158" s="2" t="s">
        <v>38</v>
      </c>
      <c r="C158" s="412">
        <f t="shared" ref="C158:E185" si="45">(J158/$P158)*100</f>
        <v>29.690048939641112</v>
      </c>
      <c r="D158" s="412">
        <f t="shared" si="45"/>
        <v>25.09904451176882</v>
      </c>
      <c r="E158" s="412">
        <f t="shared" si="45"/>
        <v>29.643439757632255</v>
      </c>
      <c r="F158" s="412">
        <f t="shared" si="44"/>
        <v>8.5527848986250294</v>
      </c>
      <c r="G158" s="412">
        <f t="shared" si="44"/>
        <v>7.0146818923327903</v>
      </c>
      <c r="H158" s="412">
        <f t="shared" si="44"/>
        <v>0</v>
      </c>
      <c r="I158" s="412">
        <f t="shared" si="44"/>
        <v>100</v>
      </c>
      <c r="J158" s="411">
        <v>1274</v>
      </c>
      <c r="K158" s="2">
        <v>1077</v>
      </c>
      <c r="L158" s="2">
        <v>1272</v>
      </c>
      <c r="M158" s="2">
        <v>367</v>
      </c>
      <c r="N158" s="2">
        <v>301</v>
      </c>
      <c r="O158" s="2">
        <v>0</v>
      </c>
      <c r="P158" s="2">
        <v>4291</v>
      </c>
    </row>
    <row r="159" spans="1:16">
      <c r="A159" s="70"/>
      <c r="B159" s="2" t="s">
        <v>39</v>
      </c>
      <c r="C159" s="412">
        <f t="shared" si="45"/>
        <v>22.202797202797203</v>
      </c>
      <c r="D159" s="412">
        <f t="shared" si="45"/>
        <v>22.98951048951049</v>
      </c>
      <c r="E159" s="412">
        <f t="shared" si="45"/>
        <v>31.11888111888112</v>
      </c>
      <c r="F159" s="412">
        <f t="shared" si="44"/>
        <v>13.898601398601398</v>
      </c>
      <c r="G159" s="412">
        <f t="shared" si="44"/>
        <v>9.79020979020979</v>
      </c>
      <c r="H159" s="412">
        <f t="shared" si="44"/>
        <v>0</v>
      </c>
      <c r="I159" s="412">
        <f t="shared" si="44"/>
        <v>100</v>
      </c>
      <c r="J159" s="411">
        <v>254</v>
      </c>
      <c r="K159" s="2">
        <v>263</v>
      </c>
      <c r="L159" s="2">
        <v>356</v>
      </c>
      <c r="M159" s="2">
        <v>159</v>
      </c>
      <c r="N159" s="2">
        <v>112</v>
      </c>
      <c r="O159" s="2">
        <v>0</v>
      </c>
      <c r="P159" s="2">
        <v>1144</v>
      </c>
    </row>
    <row r="160" spans="1:16">
      <c r="A160" s="70"/>
      <c r="B160" s="2" t="s">
        <v>40</v>
      </c>
      <c r="C160" s="412">
        <f t="shared" si="45"/>
        <v>17.870722433460077</v>
      </c>
      <c r="D160" s="412">
        <f t="shared" si="45"/>
        <v>26.615969581749049</v>
      </c>
      <c r="E160" s="412">
        <f t="shared" si="45"/>
        <v>41.064638783269963</v>
      </c>
      <c r="F160" s="412">
        <f t="shared" si="44"/>
        <v>8.3650190114068437</v>
      </c>
      <c r="G160" s="412">
        <f t="shared" si="44"/>
        <v>6.083650190114068</v>
      </c>
      <c r="H160" s="412">
        <f t="shared" si="44"/>
        <v>0</v>
      </c>
      <c r="I160" s="412">
        <f t="shared" si="44"/>
        <v>100</v>
      </c>
      <c r="J160" s="411">
        <v>47</v>
      </c>
      <c r="K160" s="2">
        <v>70</v>
      </c>
      <c r="L160" s="2">
        <v>108</v>
      </c>
      <c r="M160" s="2">
        <v>22</v>
      </c>
      <c r="N160" s="2">
        <v>16</v>
      </c>
      <c r="O160" s="2">
        <v>0</v>
      </c>
      <c r="P160" s="2">
        <v>263</v>
      </c>
    </row>
    <row r="161" spans="1:16">
      <c r="A161" s="70"/>
      <c r="B161" s="2" t="s">
        <v>41</v>
      </c>
      <c r="C161" s="412">
        <f t="shared" si="45"/>
        <v>11.445783132530121</v>
      </c>
      <c r="D161" s="412">
        <f t="shared" si="45"/>
        <v>32.53012048192771</v>
      </c>
      <c r="E161" s="412">
        <f t="shared" si="45"/>
        <v>34.337349397590359</v>
      </c>
      <c r="F161" s="412">
        <f t="shared" si="44"/>
        <v>2.4096385542168677</v>
      </c>
      <c r="G161" s="412">
        <f t="shared" si="44"/>
        <v>19.277108433734941</v>
      </c>
      <c r="H161" s="412">
        <f t="shared" si="44"/>
        <v>0</v>
      </c>
      <c r="I161" s="412">
        <f t="shared" si="44"/>
        <v>100</v>
      </c>
      <c r="J161" s="411">
        <v>19</v>
      </c>
      <c r="K161" s="2">
        <v>54</v>
      </c>
      <c r="L161" s="2">
        <v>57</v>
      </c>
      <c r="M161" s="2">
        <v>4</v>
      </c>
      <c r="N161" s="2">
        <v>32</v>
      </c>
      <c r="O161" s="2">
        <v>0</v>
      </c>
      <c r="P161" s="2">
        <v>166</v>
      </c>
    </row>
    <row r="162" spans="1:16">
      <c r="A162" s="70"/>
      <c r="B162" s="5" t="s">
        <v>42</v>
      </c>
      <c r="C162" s="417">
        <f t="shared" si="45"/>
        <v>34.623046276432731</v>
      </c>
      <c r="D162" s="417">
        <f t="shared" si="45"/>
        <v>26.379098988660743</v>
      </c>
      <c r="E162" s="417">
        <f t="shared" si="45"/>
        <v>26.792828685258961</v>
      </c>
      <c r="F162" s="417">
        <f t="shared" si="44"/>
        <v>5.2558994790070486</v>
      </c>
      <c r="G162" s="417">
        <f t="shared" si="44"/>
        <v>6.949126570640515</v>
      </c>
      <c r="H162" s="417">
        <f t="shared" si="44"/>
        <v>0</v>
      </c>
      <c r="I162" s="417">
        <f t="shared" si="44"/>
        <v>100</v>
      </c>
      <c r="J162" s="409">
        <f t="shared" ref="J162:P162" si="46">SUM(J156:J161)</f>
        <v>4519</v>
      </c>
      <c r="K162" s="2">
        <f t="shared" si="46"/>
        <v>3443</v>
      </c>
      <c r="L162" s="2">
        <f t="shared" si="46"/>
        <v>3497</v>
      </c>
      <c r="M162" s="2">
        <f t="shared" si="46"/>
        <v>686</v>
      </c>
      <c r="N162" s="2">
        <f t="shared" si="46"/>
        <v>907</v>
      </c>
      <c r="O162" s="2">
        <f t="shared" si="46"/>
        <v>0</v>
      </c>
      <c r="P162" s="2">
        <f t="shared" si="46"/>
        <v>13052</v>
      </c>
    </row>
    <row r="163" spans="1:16">
      <c r="A163" s="70"/>
      <c r="B163" s="2" t="s">
        <v>43</v>
      </c>
      <c r="C163" s="412">
        <f t="shared" si="45"/>
        <v>0</v>
      </c>
      <c r="D163" s="412">
        <f t="shared" si="45"/>
        <v>0</v>
      </c>
      <c r="E163" s="412">
        <f t="shared" si="45"/>
        <v>0</v>
      </c>
      <c r="F163" s="412">
        <f t="shared" si="44"/>
        <v>0</v>
      </c>
      <c r="G163" s="412">
        <f t="shared" si="44"/>
        <v>0</v>
      </c>
      <c r="H163" s="412">
        <f t="shared" si="44"/>
        <v>100</v>
      </c>
      <c r="I163" s="412">
        <f t="shared" si="44"/>
        <v>100</v>
      </c>
      <c r="J163" s="411">
        <v>0</v>
      </c>
      <c r="K163" s="2">
        <v>0</v>
      </c>
      <c r="L163" s="2">
        <v>0</v>
      </c>
      <c r="M163" s="2">
        <v>0</v>
      </c>
      <c r="N163" s="2">
        <v>0</v>
      </c>
      <c r="O163" s="2">
        <v>7719</v>
      </c>
      <c r="P163" s="2">
        <v>7719</v>
      </c>
    </row>
    <row r="164" spans="1:16">
      <c r="A164" s="70"/>
      <c r="B164" s="2" t="s">
        <v>44</v>
      </c>
      <c r="C164" s="412" t="e">
        <f t="shared" si="45"/>
        <v>#DIV/0!</v>
      </c>
      <c r="D164" s="412" t="e">
        <f t="shared" si="45"/>
        <v>#DIV/0!</v>
      </c>
      <c r="E164" s="412" t="e">
        <f t="shared" si="45"/>
        <v>#DIV/0!</v>
      </c>
      <c r="F164" s="412" t="e">
        <f t="shared" si="44"/>
        <v>#DIV/0!</v>
      </c>
      <c r="G164" s="412" t="e">
        <f t="shared" si="44"/>
        <v>#DIV/0!</v>
      </c>
      <c r="H164" s="412" t="e">
        <f t="shared" si="44"/>
        <v>#DIV/0!</v>
      </c>
      <c r="I164" s="412" t="e">
        <f t="shared" si="44"/>
        <v>#DIV/0!</v>
      </c>
      <c r="J164" s="411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</row>
    <row r="165" spans="1:16">
      <c r="A165" s="72"/>
      <c r="B165" s="69" t="s">
        <v>45</v>
      </c>
      <c r="C165" s="418">
        <f t="shared" si="45"/>
        <v>21.756294834143759</v>
      </c>
      <c r="D165" s="418">
        <f t="shared" si="45"/>
        <v>16.575995378171491</v>
      </c>
      <c r="E165" s="418">
        <f t="shared" si="45"/>
        <v>16.835973231909872</v>
      </c>
      <c r="F165" s="418">
        <f t="shared" si="44"/>
        <v>3.3026816234172647</v>
      </c>
      <c r="G165" s="418">
        <f t="shared" si="44"/>
        <v>4.3666650618651008</v>
      </c>
      <c r="H165" s="418">
        <f t="shared" si="44"/>
        <v>37.162389870492511</v>
      </c>
      <c r="I165" s="418">
        <f t="shared" si="44"/>
        <v>100</v>
      </c>
      <c r="J165" s="410">
        <f t="shared" ref="J165:P165" si="47">SUM(J162:J164)</f>
        <v>4519</v>
      </c>
      <c r="K165" s="68">
        <f t="shared" si="47"/>
        <v>3443</v>
      </c>
      <c r="L165" s="68">
        <f t="shared" si="47"/>
        <v>3497</v>
      </c>
      <c r="M165" s="68">
        <f t="shared" si="47"/>
        <v>686</v>
      </c>
      <c r="N165" s="68">
        <f t="shared" si="47"/>
        <v>907</v>
      </c>
      <c r="O165" s="68">
        <f t="shared" si="47"/>
        <v>7719</v>
      </c>
      <c r="P165" s="68">
        <f t="shared" si="47"/>
        <v>20771</v>
      </c>
    </row>
    <row r="166" spans="1:16">
      <c r="A166" s="70" t="s">
        <v>17</v>
      </c>
      <c r="B166" s="2" t="s">
        <v>36</v>
      </c>
      <c r="C166" s="412">
        <f t="shared" si="45"/>
        <v>44.090909090909093</v>
      </c>
      <c r="D166" s="412">
        <f t="shared" si="45"/>
        <v>32.975206611570243</v>
      </c>
      <c r="E166" s="412">
        <f t="shared" si="45"/>
        <v>17.190082644628099</v>
      </c>
      <c r="F166" s="412">
        <f t="shared" si="44"/>
        <v>3.9256198347107438</v>
      </c>
      <c r="G166" s="412">
        <f t="shared" si="44"/>
        <v>1.8181818181818181</v>
      </c>
      <c r="H166" s="412">
        <f t="shared" si="44"/>
        <v>0</v>
      </c>
      <c r="I166" s="412">
        <f t="shared" si="44"/>
        <v>100</v>
      </c>
      <c r="J166" s="409">
        <v>1067</v>
      </c>
      <c r="K166" s="2">
        <v>798</v>
      </c>
      <c r="L166" s="2">
        <v>416</v>
      </c>
      <c r="M166" s="2">
        <v>95</v>
      </c>
      <c r="N166" s="2">
        <v>44</v>
      </c>
      <c r="O166" s="2">
        <v>0</v>
      </c>
      <c r="P166" s="2">
        <v>2420</v>
      </c>
    </row>
    <row r="167" spans="1:16">
      <c r="A167" s="70"/>
      <c r="B167" s="2" t="s">
        <v>37</v>
      </c>
      <c r="C167" s="412">
        <f t="shared" si="45"/>
        <v>30.766253869969042</v>
      </c>
      <c r="D167" s="412">
        <f t="shared" si="45"/>
        <v>35.797213622291025</v>
      </c>
      <c r="E167" s="412">
        <f t="shared" si="45"/>
        <v>24.071207430340557</v>
      </c>
      <c r="F167" s="412">
        <f t="shared" si="44"/>
        <v>7.159442724458204</v>
      </c>
      <c r="G167" s="412">
        <f t="shared" si="44"/>
        <v>2.2058823529411766</v>
      </c>
      <c r="H167" s="412">
        <f t="shared" si="44"/>
        <v>0</v>
      </c>
      <c r="I167" s="412">
        <f t="shared" si="44"/>
        <v>100</v>
      </c>
      <c r="J167" s="409">
        <v>795</v>
      </c>
      <c r="K167" s="2">
        <v>925</v>
      </c>
      <c r="L167" s="2">
        <v>622</v>
      </c>
      <c r="M167" s="2">
        <v>185</v>
      </c>
      <c r="N167" s="2">
        <v>57</v>
      </c>
      <c r="O167" s="2">
        <v>0</v>
      </c>
      <c r="P167" s="2">
        <v>2584</v>
      </c>
    </row>
    <row r="168" spans="1:16">
      <c r="A168" s="70"/>
      <c r="B168" s="2" t="s">
        <v>38</v>
      </c>
      <c r="C168" s="412">
        <f t="shared" si="45"/>
        <v>39.962121212121211</v>
      </c>
      <c r="D168" s="412">
        <f t="shared" si="45"/>
        <v>29.734848484848484</v>
      </c>
      <c r="E168" s="412">
        <f t="shared" si="45"/>
        <v>24.810606060606062</v>
      </c>
      <c r="F168" s="412">
        <f t="shared" si="44"/>
        <v>5.4924242424242422</v>
      </c>
      <c r="G168" s="412">
        <f t="shared" si="44"/>
        <v>0</v>
      </c>
      <c r="H168" s="412">
        <f t="shared" si="44"/>
        <v>0</v>
      </c>
      <c r="I168" s="412">
        <f t="shared" si="44"/>
        <v>100</v>
      </c>
      <c r="J168" s="409">
        <v>211</v>
      </c>
      <c r="K168" s="2">
        <v>157</v>
      </c>
      <c r="L168" s="2">
        <v>131</v>
      </c>
      <c r="M168" s="2">
        <v>29</v>
      </c>
      <c r="N168" s="2">
        <v>0</v>
      </c>
      <c r="O168" s="2">
        <v>0</v>
      </c>
      <c r="P168" s="2">
        <v>528</v>
      </c>
    </row>
    <row r="169" spans="1:16">
      <c r="A169" s="70"/>
      <c r="B169" s="2" t="s">
        <v>39</v>
      </c>
      <c r="C169" s="412">
        <f t="shared" si="45"/>
        <v>33.372093023255815</v>
      </c>
      <c r="D169" s="412">
        <f t="shared" si="45"/>
        <v>30.813953488372093</v>
      </c>
      <c r="E169" s="412">
        <f t="shared" si="45"/>
        <v>26.511627906976742</v>
      </c>
      <c r="F169" s="412">
        <f t="shared" si="44"/>
        <v>9.1860465116279073</v>
      </c>
      <c r="G169" s="412">
        <f t="shared" si="44"/>
        <v>0.11627906976744186</v>
      </c>
      <c r="H169" s="412">
        <f t="shared" si="44"/>
        <v>0</v>
      </c>
      <c r="I169" s="412">
        <f t="shared" si="44"/>
        <v>100</v>
      </c>
      <c r="J169" s="409">
        <v>287</v>
      </c>
      <c r="K169" s="2">
        <v>265</v>
      </c>
      <c r="L169" s="2">
        <v>228</v>
      </c>
      <c r="M169" s="2">
        <v>79</v>
      </c>
      <c r="N169" s="2">
        <v>1</v>
      </c>
      <c r="O169" s="2">
        <v>0</v>
      </c>
      <c r="P169" s="2">
        <v>860</v>
      </c>
    </row>
    <row r="170" spans="1:16">
      <c r="A170" s="70"/>
      <c r="B170" s="2" t="s">
        <v>40</v>
      </c>
      <c r="C170" s="412">
        <f t="shared" si="45"/>
        <v>25.477707006369428</v>
      </c>
      <c r="D170" s="412">
        <f t="shared" si="45"/>
        <v>31.847133757961782</v>
      </c>
      <c r="E170" s="412">
        <f t="shared" si="45"/>
        <v>35.668789808917197</v>
      </c>
      <c r="F170" s="412">
        <f t="shared" si="44"/>
        <v>7.0063694267515926</v>
      </c>
      <c r="G170" s="412">
        <f t="shared" si="44"/>
        <v>0</v>
      </c>
      <c r="H170" s="412">
        <f t="shared" si="44"/>
        <v>0</v>
      </c>
      <c r="I170" s="412">
        <f t="shared" si="44"/>
        <v>100</v>
      </c>
      <c r="J170" s="409">
        <v>40</v>
      </c>
      <c r="K170" s="2">
        <v>50</v>
      </c>
      <c r="L170" s="2">
        <v>56</v>
      </c>
      <c r="M170" s="2">
        <v>11</v>
      </c>
      <c r="N170" s="2">
        <v>0</v>
      </c>
      <c r="O170" s="2">
        <v>0</v>
      </c>
      <c r="P170" s="2">
        <v>157</v>
      </c>
    </row>
    <row r="171" spans="1:16">
      <c r="A171" s="70"/>
      <c r="B171" s="2" t="s">
        <v>41</v>
      </c>
      <c r="C171" s="412">
        <f t="shared" si="45"/>
        <v>32.658227848101269</v>
      </c>
      <c r="D171" s="412">
        <f t="shared" si="45"/>
        <v>25.822784810126581</v>
      </c>
      <c r="E171" s="412">
        <f t="shared" si="45"/>
        <v>34.683544303797468</v>
      </c>
      <c r="F171" s="412">
        <f t="shared" si="44"/>
        <v>6.0759493670886071</v>
      </c>
      <c r="G171" s="412">
        <f t="shared" si="44"/>
        <v>0.75949367088607589</v>
      </c>
      <c r="H171" s="412">
        <f t="shared" si="44"/>
        <v>0</v>
      </c>
      <c r="I171" s="412">
        <f t="shared" si="44"/>
        <v>100</v>
      </c>
      <c r="J171" s="409">
        <v>129</v>
      </c>
      <c r="K171" s="2">
        <v>102</v>
      </c>
      <c r="L171" s="2">
        <v>137</v>
      </c>
      <c r="M171" s="2">
        <v>24</v>
      </c>
      <c r="N171" s="2">
        <v>3</v>
      </c>
      <c r="O171" s="2">
        <v>0</v>
      </c>
      <c r="P171" s="2">
        <v>395</v>
      </c>
    </row>
    <row r="172" spans="1:16">
      <c r="A172" s="70"/>
      <c r="B172" s="5" t="s">
        <v>42</v>
      </c>
      <c r="C172" s="417">
        <f t="shared" si="45"/>
        <v>36.419930875576036</v>
      </c>
      <c r="D172" s="417">
        <f t="shared" si="45"/>
        <v>33.078917050691246</v>
      </c>
      <c r="E172" s="417">
        <f t="shared" si="45"/>
        <v>22.897465437788018</v>
      </c>
      <c r="F172" s="417">
        <f t="shared" si="44"/>
        <v>6.0915898617511521</v>
      </c>
      <c r="G172" s="417">
        <f t="shared" si="44"/>
        <v>1.5120967741935485</v>
      </c>
      <c r="H172" s="417">
        <f t="shared" si="44"/>
        <v>0</v>
      </c>
      <c r="I172" s="417">
        <f t="shared" si="44"/>
        <v>100</v>
      </c>
      <c r="J172" s="409">
        <f t="shared" ref="J172:P172" si="48">SUM(J166:J171)</f>
        <v>2529</v>
      </c>
      <c r="K172" s="2">
        <f t="shared" si="48"/>
        <v>2297</v>
      </c>
      <c r="L172" s="2">
        <f t="shared" si="48"/>
        <v>1590</v>
      </c>
      <c r="M172" s="2">
        <f t="shared" si="48"/>
        <v>423</v>
      </c>
      <c r="N172" s="2">
        <f t="shared" si="48"/>
        <v>105</v>
      </c>
      <c r="O172" s="2">
        <f t="shared" si="48"/>
        <v>0</v>
      </c>
      <c r="P172" s="2">
        <f t="shared" si="48"/>
        <v>6944</v>
      </c>
    </row>
    <row r="173" spans="1:16">
      <c r="A173" s="70"/>
      <c r="B173" s="2" t="s">
        <v>43</v>
      </c>
      <c r="C173" s="412">
        <f t="shared" si="45"/>
        <v>21.413721413721415</v>
      </c>
      <c r="D173" s="412">
        <f t="shared" si="45"/>
        <v>34.407484407484404</v>
      </c>
      <c r="E173" s="412">
        <f t="shared" si="45"/>
        <v>30.873180873180871</v>
      </c>
      <c r="F173" s="412">
        <f t="shared" si="44"/>
        <v>13.045738045738045</v>
      </c>
      <c r="G173" s="412">
        <f t="shared" si="44"/>
        <v>0.25987525987525989</v>
      </c>
      <c r="H173" s="412">
        <f t="shared" si="44"/>
        <v>0</v>
      </c>
      <c r="I173" s="412">
        <f t="shared" si="44"/>
        <v>100</v>
      </c>
      <c r="J173" s="409">
        <v>412</v>
      </c>
      <c r="K173" s="2">
        <v>662</v>
      </c>
      <c r="L173" s="2">
        <v>594</v>
      </c>
      <c r="M173" s="2">
        <v>251</v>
      </c>
      <c r="N173" s="2">
        <v>5</v>
      </c>
      <c r="O173" s="2">
        <v>0</v>
      </c>
      <c r="P173" s="2">
        <v>1924</v>
      </c>
    </row>
    <row r="174" spans="1:16">
      <c r="A174" s="70"/>
      <c r="B174" s="2" t="s">
        <v>44</v>
      </c>
      <c r="C174" s="412" t="e">
        <f t="shared" si="45"/>
        <v>#DIV/0!</v>
      </c>
      <c r="D174" s="412" t="e">
        <f t="shared" si="45"/>
        <v>#DIV/0!</v>
      </c>
      <c r="E174" s="412" t="e">
        <f t="shared" si="45"/>
        <v>#DIV/0!</v>
      </c>
      <c r="F174" s="412" t="e">
        <f t="shared" si="44"/>
        <v>#DIV/0!</v>
      </c>
      <c r="G174" s="412" t="e">
        <f t="shared" si="44"/>
        <v>#DIV/0!</v>
      </c>
      <c r="H174" s="412" t="e">
        <f t="shared" si="44"/>
        <v>#DIV/0!</v>
      </c>
      <c r="I174" s="412" t="e">
        <f t="shared" si="44"/>
        <v>#DIV/0!</v>
      </c>
      <c r="J174" s="409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</row>
    <row r="175" spans="1:16">
      <c r="A175" s="72"/>
      <c r="B175" s="69" t="s">
        <v>45</v>
      </c>
      <c r="C175" s="418">
        <f t="shared" si="45"/>
        <v>33.164185836716278</v>
      </c>
      <c r="D175" s="418">
        <f t="shared" si="45"/>
        <v>33.367162832656746</v>
      </c>
      <c r="E175" s="418">
        <f t="shared" si="45"/>
        <v>24.627875507442489</v>
      </c>
      <c r="F175" s="418">
        <f t="shared" si="44"/>
        <v>7.6003608479927838</v>
      </c>
      <c r="G175" s="418">
        <f t="shared" si="44"/>
        <v>1.2404149751917006</v>
      </c>
      <c r="H175" s="418">
        <f t="shared" si="44"/>
        <v>0</v>
      </c>
      <c r="I175" s="418">
        <f t="shared" si="44"/>
        <v>100</v>
      </c>
      <c r="J175" s="410">
        <f t="shared" ref="J175:P175" si="49">SUM(J172:J174)</f>
        <v>2941</v>
      </c>
      <c r="K175" s="68">
        <f t="shared" si="49"/>
        <v>2959</v>
      </c>
      <c r="L175" s="68">
        <f t="shared" si="49"/>
        <v>2184</v>
      </c>
      <c r="M175" s="68">
        <f t="shared" si="49"/>
        <v>674</v>
      </c>
      <c r="N175" s="68">
        <f t="shared" si="49"/>
        <v>110</v>
      </c>
      <c r="O175" s="68">
        <f t="shared" si="49"/>
        <v>0</v>
      </c>
      <c r="P175" s="68">
        <f t="shared" si="49"/>
        <v>8868</v>
      </c>
    </row>
    <row r="176" spans="1:16">
      <c r="A176" s="70" t="s">
        <v>18</v>
      </c>
      <c r="B176" s="2" t="s">
        <v>36</v>
      </c>
      <c r="C176" s="412">
        <f t="shared" si="45"/>
        <v>40.065146579804562</v>
      </c>
      <c r="D176" s="412">
        <f t="shared" si="45"/>
        <v>28.013029315960914</v>
      </c>
      <c r="E176" s="412">
        <f t="shared" si="45"/>
        <v>29.207383279044517</v>
      </c>
      <c r="F176" s="412">
        <f t="shared" si="44"/>
        <v>1.8458197611292075</v>
      </c>
      <c r="G176" s="412">
        <f t="shared" si="44"/>
        <v>0.86862106406080353</v>
      </c>
      <c r="H176" s="412">
        <f t="shared" si="44"/>
        <v>0</v>
      </c>
      <c r="I176" s="412">
        <f t="shared" si="44"/>
        <v>100</v>
      </c>
      <c r="J176" s="409">
        <v>369</v>
      </c>
      <c r="K176" s="2">
        <v>258</v>
      </c>
      <c r="L176" s="2">
        <v>269</v>
      </c>
      <c r="M176" s="2">
        <v>17</v>
      </c>
      <c r="N176" s="2">
        <v>8</v>
      </c>
      <c r="O176" s="2">
        <v>0</v>
      </c>
      <c r="P176" s="2">
        <v>921</v>
      </c>
    </row>
    <row r="177" spans="1:16">
      <c r="A177" s="70"/>
      <c r="B177" s="2" t="s">
        <v>37</v>
      </c>
      <c r="C177" s="412" t="e">
        <f t="shared" si="45"/>
        <v>#DIV/0!</v>
      </c>
      <c r="D177" s="412" t="e">
        <f t="shared" si="45"/>
        <v>#DIV/0!</v>
      </c>
      <c r="E177" s="412" t="e">
        <f t="shared" si="45"/>
        <v>#DIV/0!</v>
      </c>
      <c r="F177" s="412" t="e">
        <f t="shared" si="44"/>
        <v>#DIV/0!</v>
      </c>
      <c r="G177" s="412" t="e">
        <f t="shared" si="44"/>
        <v>#DIV/0!</v>
      </c>
      <c r="H177" s="412" t="e">
        <f t="shared" si="44"/>
        <v>#DIV/0!</v>
      </c>
      <c r="I177" s="412" t="e">
        <f t="shared" si="44"/>
        <v>#DIV/0!</v>
      </c>
      <c r="J177" s="409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</row>
    <row r="178" spans="1:16">
      <c r="A178" s="70"/>
      <c r="B178" s="2" t="s">
        <v>38</v>
      </c>
      <c r="C178" s="412">
        <f t="shared" si="45"/>
        <v>39.552238805970148</v>
      </c>
      <c r="D178" s="412">
        <f t="shared" si="45"/>
        <v>31.094527363184078</v>
      </c>
      <c r="E178" s="412">
        <f t="shared" si="45"/>
        <v>24.378109452736318</v>
      </c>
      <c r="F178" s="412">
        <f t="shared" si="44"/>
        <v>4.9751243781094532</v>
      </c>
      <c r="G178" s="412">
        <f t="shared" si="44"/>
        <v>0</v>
      </c>
      <c r="H178" s="412">
        <f t="shared" si="44"/>
        <v>0</v>
      </c>
      <c r="I178" s="412">
        <f t="shared" si="44"/>
        <v>100</v>
      </c>
      <c r="J178" s="409">
        <v>159</v>
      </c>
      <c r="K178" s="2">
        <v>125</v>
      </c>
      <c r="L178" s="2">
        <v>98</v>
      </c>
      <c r="M178" s="2">
        <v>20</v>
      </c>
      <c r="N178" s="2">
        <v>0</v>
      </c>
      <c r="O178" s="2">
        <v>0</v>
      </c>
      <c r="P178" s="2">
        <v>402</v>
      </c>
    </row>
    <row r="179" spans="1:16">
      <c r="A179" s="70"/>
      <c r="B179" s="2" t="s">
        <v>39</v>
      </c>
      <c r="C179" s="412" t="e">
        <f t="shared" si="45"/>
        <v>#DIV/0!</v>
      </c>
      <c r="D179" s="412" t="e">
        <f t="shared" si="45"/>
        <v>#DIV/0!</v>
      </c>
      <c r="E179" s="412" t="e">
        <f t="shared" si="45"/>
        <v>#DIV/0!</v>
      </c>
      <c r="F179" s="412" t="e">
        <f t="shared" si="44"/>
        <v>#DIV/0!</v>
      </c>
      <c r="G179" s="412" t="e">
        <f t="shared" si="44"/>
        <v>#DIV/0!</v>
      </c>
      <c r="H179" s="412" t="e">
        <f t="shared" si="44"/>
        <v>#DIV/0!</v>
      </c>
      <c r="I179" s="412" t="e">
        <f t="shared" si="44"/>
        <v>#DIV/0!</v>
      </c>
      <c r="J179" s="409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</row>
    <row r="180" spans="1:16">
      <c r="A180" s="70"/>
      <c r="B180" s="2" t="s">
        <v>40</v>
      </c>
      <c r="C180" s="412" t="e">
        <f t="shared" si="45"/>
        <v>#DIV/0!</v>
      </c>
      <c r="D180" s="412" t="e">
        <f t="shared" si="45"/>
        <v>#DIV/0!</v>
      </c>
      <c r="E180" s="412" t="e">
        <f t="shared" si="45"/>
        <v>#DIV/0!</v>
      </c>
      <c r="F180" s="412" t="e">
        <f t="shared" si="44"/>
        <v>#DIV/0!</v>
      </c>
      <c r="G180" s="412" t="e">
        <f t="shared" si="44"/>
        <v>#DIV/0!</v>
      </c>
      <c r="H180" s="412" t="e">
        <f t="shared" si="44"/>
        <v>#DIV/0!</v>
      </c>
      <c r="I180" s="412" t="e">
        <f t="shared" si="44"/>
        <v>#DIV/0!</v>
      </c>
      <c r="J180" s="409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</row>
    <row r="181" spans="1:16">
      <c r="A181" s="70"/>
      <c r="B181" s="2" t="s">
        <v>41</v>
      </c>
      <c r="C181" s="412">
        <f t="shared" si="45"/>
        <v>29.704016913319236</v>
      </c>
      <c r="D181" s="412">
        <f t="shared" si="45"/>
        <v>30.338266384778013</v>
      </c>
      <c r="E181" s="412">
        <f t="shared" si="45"/>
        <v>28.012684989429175</v>
      </c>
      <c r="F181" s="412">
        <f t="shared" si="44"/>
        <v>10.993657505285412</v>
      </c>
      <c r="G181" s="412">
        <f t="shared" si="44"/>
        <v>0.95137420718816068</v>
      </c>
      <c r="H181" s="412">
        <f t="shared" si="44"/>
        <v>0</v>
      </c>
      <c r="I181" s="412">
        <f t="shared" si="44"/>
        <v>100</v>
      </c>
      <c r="J181" s="409">
        <v>281</v>
      </c>
      <c r="K181" s="2">
        <v>287</v>
      </c>
      <c r="L181" s="2">
        <v>265</v>
      </c>
      <c r="M181" s="2">
        <v>104</v>
      </c>
      <c r="N181" s="2">
        <v>9</v>
      </c>
      <c r="O181" s="2">
        <v>0</v>
      </c>
      <c r="P181" s="2">
        <v>946</v>
      </c>
    </row>
    <row r="182" spans="1:16">
      <c r="A182" s="70"/>
      <c r="B182" s="5" t="s">
        <v>42</v>
      </c>
      <c r="C182" s="417">
        <f t="shared" si="45"/>
        <v>35.654473336271487</v>
      </c>
      <c r="D182" s="417">
        <f t="shared" si="45"/>
        <v>29.528426619656233</v>
      </c>
      <c r="E182" s="417">
        <f t="shared" si="45"/>
        <v>27.85368003525782</v>
      </c>
      <c r="F182" s="417">
        <f t="shared" si="44"/>
        <v>6.2141912736888498</v>
      </c>
      <c r="G182" s="417">
        <f t="shared" si="44"/>
        <v>0.74922873512560606</v>
      </c>
      <c r="H182" s="417">
        <f t="shared" si="44"/>
        <v>0</v>
      </c>
      <c r="I182" s="417">
        <f t="shared" si="44"/>
        <v>100</v>
      </c>
      <c r="J182" s="409">
        <f t="shared" ref="J182:P182" si="50">SUM(J176:J181)</f>
        <v>809</v>
      </c>
      <c r="K182" s="2">
        <f t="shared" si="50"/>
        <v>670</v>
      </c>
      <c r="L182" s="2">
        <f t="shared" si="50"/>
        <v>632</v>
      </c>
      <c r="M182" s="2">
        <f t="shared" si="50"/>
        <v>141</v>
      </c>
      <c r="N182" s="2">
        <f t="shared" si="50"/>
        <v>17</v>
      </c>
      <c r="O182" s="2">
        <f t="shared" si="50"/>
        <v>0</v>
      </c>
      <c r="P182" s="2">
        <f t="shared" si="50"/>
        <v>2269</v>
      </c>
    </row>
    <row r="183" spans="1:16">
      <c r="A183" s="70"/>
      <c r="B183" s="2" t="s">
        <v>43</v>
      </c>
      <c r="C183" s="412">
        <f t="shared" si="45"/>
        <v>34.375</v>
      </c>
      <c r="D183" s="412">
        <f t="shared" si="45"/>
        <v>23.214285714285715</v>
      </c>
      <c r="E183" s="412">
        <f t="shared" si="45"/>
        <v>25</v>
      </c>
      <c r="F183" s="412">
        <f t="shared" si="44"/>
        <v>15.625</v>
      </c>
      <c r="G183" s="412">
        <f t="shared" si="44"/>
        <v>1.7857142857142856</v>
      </c>
      <c r="H183" s="412">
        <f t="shared" si="44"/>
        <v>0</v>
      </c>
      <c r="I183" s="412">
        <f t="shared" si="44"/>
        <v>100</v>
      </c>
      <c r="J183" s="409">
        <v>77</v>
      </c>
      <c r="K183" s="2">
        <v>52</v>
      </c>
      <c r="L183" s="2">
        <v>56</v>
      </c>
      <c r="M183" s="2">
        <v>35</v>
      </c>
      <c r="N183" s="2">
        <v>4</v>
      </c>
      <c r="O183" s="2">
        <v>0</v>
      </c>
      <c r="P183" s="2">
        <v>224</v>
      </c>
    </row>
    <row r="184" spans="1:16">
      <c r="A184" s="70"/>
      <c r="B184" s="2" t="s">
        <v>44</v>
      </c>
      <c r="C184" s="412" t="e">
        <f t="shared" si="45"/>
        <v>#DIV/0!</v>
      </c>
      <c r="D184" s="412" t="e">
        <f t="shared" si="45"/>
        <v>#DIV/0!</v>
      </c>
      <c r="E184" s="412" t="e">
        <f t="shared" si="45"/>
        <v>#DIV/0!</v>
      </c>
      <c r="F184" s="412" t="e">
        <f t="shared" si="44"/>
        <v>#DIV/0!</v>
      </c>
      <c r="G184" s="412" t="e">
        <f t="shared" si="44"/>
        <v>#DIV/0!</v>
      </c>
      <c r="H184" s="412" t="e">
        <f t="shared" si="44"/>
        <v>#DIV/0!</v>
      </c>
      <c r="I184" s="412" t="e">
        <f t="shared" si="44"/>
        <v>#DIV/0!</v>
      </c>
      <c r="J184" s="409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</row>
    <row r="185" spans="1:16">
      <c r="A185" s="72"/>
      <c r="B185" s="69" t="s">
        <v>45</v>
      </c>
      <c r="C185" s="418">
        <f t="shared" si="45"/>
        <v>35.539510629763335</v>
      </c>
      <c r="D185" s="418">
        <f t="shared" si="45"/>
        <v>28.961091054953869</v>
      </c>
      <c r="E185" s="418">
        <f t="shared" si="45"/>
        <v>27.597272362615321</v>
      </c>
      <c r="F185" s="418">
        <f t="shared" si="44"/>
        <v>7.0597673485760124</v>
      </c>
      <c r="G185" s="418">
        <f t="shared" si="44"/>
        <v>0.84235860409145602</v>
      </c>
      <c r="H185" s="418">
        <f t="shared" si="44"/>
        <v>0</v>
      </c>
      <c r="I185" s="418">
        <f t="shared" si="44"/>
        <v>100</v>
      </c>
      <c r="J185" s="410">
        <f t="shared" ref="J185:P185" si="51">SUM(J182:J184)</f>
        <v>886</v>
      </c>
      <c r="K185" s="68">
        <f t="shared" si="51"/>
        <v>722</v>
      </c>
      <c r="L185" s="68">
        <f t="shared" si="51"/>
        <v>688</v>
      </c>
      <c r="M185" s="68">
        <f t="shared" si="51"/>
        <v>176</v>
      </c>
      <c r="N185" s="68">
        <f t="shared" si="51"/>
        <v>21</v>
      </c>
      <c r="O185" s="68">
        <f t="shared" si="51"/>
        <v>0</v>
      </c>
      <c r="P185" s="68">
        <f t="shared" si="51"/>
        <v>2493</v>
      </c>
    </row>
    <row r="186" spans="1:16">
      <c r="A186" s="4"/>
      <c r="B186" s="4"/>
      <c r="C186" s="2"/>
      <c r="D186" s="2"/>
      <c r="E186" s="2"/>
      <c r="F186" s="2"/>
      <c r="G186" s="2"/>
      <c r="H186" s="2"/>
      <c r="I186" s="2"/>
      <c r="J186" s="4"/>
      <c r="K186" s="4"/>
      <c r="L186" s="4"/>
      <c r="M186" s="4"/>
      <c r="N186" s="4"/>
      <c r="O186" s="4"/>
      <c r="P186" s="4"/>
    </row>
    <row r="187" spans="1:16">
      <c r="C187" s="2"/>
      <c r="D187" s="2"/>
      <c r="E187" s="2"/>
      <c r="F187" s="2"/>
      <c r="G187" s="2"/>
      <c r="H187" s="2"/>
      <c r="I187" s="2"/>
    </row>
    <row r="188" spans="1:16">
      <c r="C188" s="2"/>
      <c r="D188" s="2"/>
      <c r="E188" s="2"/>
      <c r="F188" s="2"/>
      <c r="G188" s="2"/>
      <c r="H188" s="2"/>
      <c r="I188" s="2"/>
    </row>
    <row r="189" spans="1:16">
      <c r="C189" s="2"/>
      <c r="D189" s="2"/>
      <c r="E189" s="2"/>
      <c r="F189" s="2"/>
      <c r="G189" s="2"/>
      <c r="H189" s="2"/>
      <c r="I189" s="2"/>
    </row>
    <row r="190" spans="1:16">
      <c r="C190" s="2"/>
      <c r="D190" s="2"/>
      <c r="E190" s="2"/>
      <c r="F190" s="2"/>
      <c r="G190" s="2"/>
      <c r="H190" s="2"/>
      <c r="I190" s="2"/>
    </row>
    <row r="191" spans="1:16">
      <c r="C191" s="2"/>
      <c r="D191" s="2"/>
      <c r="E191" s="2"/>
      <c r="F191" s="2"/>
      <c r="G191" s="2"/>
      <c r="H191" s="2"/>
      <c r="I191" s="2"/>
    </row>
    <row r="192" spans="1:16">
      <c r="C192" s="2"/>
      <c r="D192" s="2"/>
      <c r="E192" s="2"/>
      <c r="F192" s="2"/>
      <c r="G192" s="2"/>
      <c r="H192" s="2"/>
      <c r="I192" s="2"/>
    </row>
    <row r="193" spans="3:9">
      <c r="C193" s="2"/>
      <c r="D193" s="2"/>
      <c r="E193" s="2"/>
      <c r="F193" s="2"/>
      <c r="G193" s="2"/>
      <c r="H193" s="2"/>
      <c r="I193" s="2"/>
    </row>
    <row r="194" spans="3:9">
      <c r="C194" s="2"/>
      <c r="D194" s="2"/>
      <c r="E194" s="2"/>
      <c r="F194" s="2"/>
      <c r="G194" s="2"/>
      <c r="H194" s="2"/>
      <c r="I194" s="2"/>
    </row>
  </sheetData>
  <phoneticPr fontId="0" type="noConversion"/>
  <pageMargins left="0.75" right="0.5" top="0.5" bottom="0.4" header="0" footer="0"/>
  <pageSetup orientation="portrait" verticalDpi="300" r:id="rId1"/>
  <headerFooter alignWithMargins="0">
    <oddFooter>&amp;LSREB Fact Book 1996/1997&amp;CDraft&amp;R&amp;D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187"/>
  <sheetViews>
    <sheetView workbookViewId="0"/>
  </sheetViews>
  <sheetFormatPr defaultColWidth="7.5546875" defaultRowHeight="12.75"/>
  <cols>
    <col min="1" max="1" width="4.77734375" style="153" customWidth="1"/>
    <col min="2" max="2" width="13.77734375" style="9" customWidth="1"/>
    <col min="3" max="3" width="8" style="9" customWidth="1"/>
    <col min="4" max="4" width="8.6640625" style="9" customWidth="1"/>
    <col min="5" max="5" width="7.88671875" style="9" customWidth="1"/>
    <col min="6" max="6" width="7.5546875" style="9" customWidth="1"/>
    <col min="7" max="7" width="11.5546875" style="9" customWidth="1"/>
    <col min="8" max="8" width="9.21875" style="9" customWidth="1"/>
    <col min="9" max="9" width="10.44140625" style="9" customWidth="1"/>
    <col min="10" max="16384" width="7.5546875" style="153"/>
  </cols>
  <sheetData>
    <row r="1" spans="1:9">
      <c r="A1" s="153" t="s">
        <v>83</v>
      </c>
    </row>
    <row r="3" spans="1:9">
      <c r="A3" s="154" t="s">
        <v>100</v>
      </c>
      <c r="B3" s="155"/>
      <c r="C3" s="155"/>
      <c r="D3" s="155"/>
      <c r="E3" s="155"/>
      <c r="F3" s="155"/>
      <c r="G3" s="155"/>
      <c r="H3" s="156"/>
      <c r="I3" s="156"/>
    </row>
    <row r="4" spans="1:9" ht="15">
      <c r="A4" s="143" t="s">
        <v>129</v>
      </c>
      <c r="B4" s="156"/>
      <c r="C4" s="155"/>
      <c r="D4" s="155"/>
      <c r="E4" s="155"/>
      <c r="F4" s="155"/>
      <c r="G4" s="155"/>
      <c r="H4" s="155"/>
      <c r="I4" s="155"/>
    </row>
    <row r="5" spans="1:9">
      <c r="A5" s="152"/>
    </row>
    <row r="6" spans="1:9">
      <c r="A6" s="157"/>
      <c r="B6" s="158"/>
      <c r="C6" s="159" t="s">
        <v>53</v>
      </c>
      <c r="D6" s="159" t="s">
        <v>105</v>
      </c>
      <c r="E6" s="159" t="s">
        <v>106</v>
      </c>
      <c r="F6" s="159" t="s">
        <v>78</v>
      </c>
      <c r="G6" s="160" t="s">
        <v>101</v>
      </c>
      <c r="H6" s="159" t="s">
        <v>58</v>
      </c>
      <c r="I6" s="159" t="s">
        <v>107</v>
      </c>
    </row>
    <row r="7" spans="1:9">
      <c r="A7" s="161"/>
      <c r="B7" s="162"/>
      <c r="C7" s="163"/>
      <c r="D7" s="163"/>
      <c r="E7" s="163"/>
      <c r="F7" s="163"/>
      <c r="G7" s="163"/>
      <c r="H7" s="163"/>
      <c r="I7" s="163"/>
    </row>
    <row r="8" spans="1:9">
      <c r="A8" s="161" t="s">
        <v>2</v>
      </c>
      <c r="B8" s="164" t="s">
        <v>36</v>
      </c>
      <c r="C8" s="165">
        <v>34981</v>
      </c>
      <c r="D8" s="165">
        <v>23236</v>
      </c>
      <c r="E8" s="165">
        <v>17815</v>
      </c>
      <c r="F8" s="165">
        <v>2518</v>
      </c>
      <c r="G8" s="165">
        <f>2554+518</f>
        <v>3072</v>
      </c>
      <c r="H8" s="165">
        <v>0</v>
      </c>
      <c r="I8" s="165">
        <f>SUM(C8:H8)</f>
        <v>81622</v>
      </c>
    </row>
    <row r="9" spans="1:9">
      <c r="A9" s="161"/>
      <c r="B9" s="164" t="s">
        <v>37</v>
      </c>
      <c r="C9" s="165">
        <v>9625</v>
      </c>
      <c r="D9" s="165">
        <v>8605</v>
      </c>
      <c r="E9" s="165">
        <v>7048</v>
      </c>
      <c r="F9" s="165">
        <v>1282</v>
      </c>
      <c r="G9" s="165">
        <f>756+93</f>
        <v>849</v>
      </c>
      <c r="H9" s="165">
        <v>0</v>
      </c>
      <c r="I9" s="165">
        <f t="shared" ref="I9:I16" si="0">SUM(C9:H9)</f>
        <v>27409</v>
      </c>
    </row>
    <row r="10" spans="1:9">
      <c r="A10" s="161"/>
      <c r="B10" s="162" t="s">
        <v>38</v>
      </c>
      <c r="C10" s="165">
        <v>18811</v>
      </c>
      <c r="D10" s="165">
        <v>12523</v>
      </c>
      <c r="E10" s="165">
        <v>12091</v>
      </c>
      <c r="F10" s="165">
        <v>2917</v>
      </c>
      <c r="G10" s="165">
        <f>1018+501</f>
        <v>1519</v>
      </c>
      <c r="H10" s="165">
        <v>0</v>
      </c>
      <c r="I10" s="165">
        <f t="shared" si="0"/>
        <v>47861</v>
      </c>
    </row>
    <row r="11" spans="1:9">
      <c r="A11" s="161"/>
      <c r="B11" s="162" t="s">
        <v>39</v>
      </c>
      <c r="C11" s="165">
        <v>7490</v>
      </c>
      <c r="D11" s="165">
        <v>6350</v>
      </c>
      <c r="E11" s="165">
        <v>6841</v>
      </c>
      <c r="F11" s="165">
        <v>1502</v>
      </c>
      <c r="G11" s="165">
        <f>761+41</f>
        <v>802</v>
      </c>
      <c r="H11" s="165">
        <v>0</v>
      </c>
      <c r="I11" s="165">
        <f t="shared" si="0"/>
        <v>22985</v>
      </c>
    </row>
    <row r="12" spans="1:9">
      <c r="A12" s="161"/>
      <c r="B12" s="162" t="s">
        <v>40</v>
      </c>
      <c r="C12" s="165">
        <v>5030</v>
      </c>
      <c r="D12" s="165">
        <v>4317</v>
      </c>
      <c r="E12" s="165">
        <v>4960</v>
      </c>
      <c r="F12" s="165">
        <v>1358</v>
      </c>
      <c r="G12" s="165">
        <f>539+221</f>
        <v>760</v>
      </c>
      <c r="H12" s="165">
        <v>0</v>
      </c>
      <c r="I12" s="165">
        <f t="shared" si="0"/>
        <v>16425</v>
      </c>
    </row>
    <row r="13" spans="1:9">
      <c r="A13" s="161"/>
      <c r="B13" s="162" t="s">
        <v>41</v>
      </c>
      <c r="C13" s="165">
        <v>2297</v>
      </c>
      <c r="D13" s="165">
        <v>2574</v>
      </c>
      <c r="E13" s="165">
        <v>2696</v>
      </c>
      <c r="F13" s="165">
        <v>820</v>
      </c>
      <c r="G13" s="165">
        <f>215+51</f>
        <v>266</v>
      </c>
      <c r="H13" s="165">
        <v>0</v>
      </c>
      <c r="I13" s="165">
        <f t="shared" si="0"/>
        <v>8653</v>
      </c>
    </row>
    <row r="14" spans="1:9">
      <c r="A14" s="161"/>
      <c r="B14" s="166" t="s">
        <v>90</v>
      </c>
      <c r="C14" s="167">
        <f>SUM(C8:C13)</f>
        <v>78234</v>
      </c>
      <c r="D14" s="167">
        <f t="shared" ref="D14:I14" si="1">SUM(D8:D13)</f>
        <v>57605</v>
      </c>
      <c r="E14" s="167">
        <f t="shared" si="1"/>
        <v>51451</v>
      </c>
      <c r="F14" s="167">
        <f t="shared" si="1"/>
        <v>10397</v>
      </c>
      <c r="G14" s="167">
        <f t="shared" si="1"/>
        <v>7268</v>
      </c>
      <c r="H14" s="167">
        <f t="shared" si="1"/>
        <v>0</v>
      </c>
      <c r="I14" s="167">
        <f t="shared" si="1"/>
        <v>204955</v>
      </c>
    </row>
    <row r="15" spans="1:9">
      <c r="A15" s="161"/>
      <c r="B15" s="162" t="s">
        <v>102</v>
      </c>
      <c r="C15" s="165">
        <v>7634</v>
      </c>
      <c r="D15" s="165">
        <v>6996</v>
      </c>
      <c r="E15" s="165">
        <v>6817</v>
      </c>
      <c r="F15" s="165">
        <v>4241</v>
      </c>
      <c r="G15" s="165">
        <f>212+66</f>
        <v>278</v>
      </c>
      <c r="H15" s="165">
        <v>33096</v>
      </c>
      <c r="I15" s="165">
        <f t="shared" si="0"/>
        <v>59062</v>
      </c>
    </row>
    <row r="16" spans="1:9">
      <c r="A16" s="161"/>
      <c r="B16" s="162" t="s">
        <v>103</v>
      </c>
      <c r="C16" s="165">
        <v>220</v>
      </c>
      <c r="D16" s="165">
        <v>204</v>
      </c>
      <c r="E16" s="165">
        <v>145</v>
      </c>
      <c r="F16" s="165">
        <v>114</v>
      </c>
      <c r="G16" s="165">
        <f>69+25</f>
        <v>94</v>
      </c>
      <c r="H16" s="165">
        <v>3988</v>
      </c>
      <c r="I16" s="165">
        <f t="shared" si="0"/>
        <v>4765</v>
      </c>
    </row>
    <row r="17" spans="1:10">
      <c r="A17" s="168"/>
      <c r="B17" s="169" t="s">
        <v>104</v>
      </c>
      <c r="C17" s="170">
        <f>SUM(C14:C16)</f>
        <v>86088</v>
      </c>
      <c r="D17" s="170">
        <f t="shared" ref="D17:I17" si="2">SUM(D14:D16)</f>
        <v>64805</v>
      </c>
      <c r="E17" s="170">
        <f t="shared" si="2"/>
        <v>58413</v>
      </c>
      <c r="F17" s="170">
        <f t="shared" si="2"/>
        <v>14752</v>
      </c>
      <c r="G17" s="170">
        <f t="shared" si="2"/>
        <v>7640</v>
      </c>
      <c r="H17" s="170">
        <f t="shared" si="2"/>
        <v>37084</v>
      </c>
      <c r="I17" s="170">
        <f t="shared" si="2"/>
        <v>268782</v>
      </c>
    </row>
    <row r="18" spans="1:10">
      <c r="A18" s="171" t="s">
        <v>3</v>
      </c>
      <c r="B18" s="164" t="s">
        <v>36</v>
      </c>
      <c r="C18" s="172">
        <f>C28+C38+C48+C58+C68+C78+C88+C98+C108+C118+C128+C138+C148+C158+C168+C178</f>
        <v>11749</v>
      </c>
      <c r="D18" s="172">
        <f t="shared" ref="D18:I18" si="3">D28+D38+D48+D58+D68+D78+D88+D98+D108+D118+D128+D138+D148+D158+D168+D178</f>
        <v>8505</v>
      </c>
      <c r="E18" s="172">
        <f t="shared" si="3"/>
        <v>6304</v>
      </c>
      <c r="F18" s="172">
        <f t="shared" si="3"/>
        <v>1247</v>
      </c>
      <c r="G18" s="172">
        <f t="shared" si="3"/>
        <v>970</v>
      </c>
      <c r="H18" s="172">
        <f t="shared" si="3"/>
        <v>0</v>
      </c>
      <c r="I18" s="172">
        <f t="shared" si="3"/>
        <v>28775</v>
      </c>
    </row>
    <row r="19" spans="1:10">
      <c r="A19" s="161"/>
      <c r="B19" s="164" t="s">
        <v>37</v>
      </c>
      <c r="C19" s="173">
        <f>C29+C39+C49+C59+C69+C79+C89+C99+C109+C119+C129+C139+C149+C159+C169+C179</f>
        <v>3806</v>
      </c>
      <c r="D19" s="173">
        <f t="shared" ref="D19:I19" si="4">D29+D39+D49+D59+D69+D79+D89+D99+D109+D119+D129+D139+D149+D159+D169+D179</f>
        <v>3598</v>
      </c>
      <c r="E19" s="173">
        <f t="shared" si="4"/>
        <v>2805</v>
      </c>
      <c r="F19" s="173">
        <f t="shared" si="4"/>
        <v>697</v>
      </c>
      <c r="G19" s="173">
        <f t="shared" si="4"/>
        <v>355</v>
      </c>
      <c r="H19" s="173">
        <f t="shared" si="4"/>
        <v>0</v>
      </c>
      <c r="I19" s="173">
        <f t="shared" si="4"/>
        <v>11261</v>
      </c>
    </row>
    <row r="20" spans="1:10">
      <c r="A20" s="161"/>
      <c r="B20" s="162" t="s">
        <v>38</v>
      </c>
      <c r="C20" s="173">
        <f t="shared" ref="C20:I27" si="5">C30+C40+C50+C60+C70+C80+C90+C100+C110+C120+C130+C140+C150+C160+C170+C180</f>
        <v>5500</v>
      </c>
      <c r="D20" s="173">
        <f t="shared" si="5"/>
        <v>4832</v>
      </c>
      <c r="E20" s="173">
        <f t="shared" si="5"/>
        <v>5547</v>
      </c>
      <c r="F20" s="173">
        <f t="shared" si="5"/>
        <v>1678</v>
      </c>
      <c r="G20" s="173">
        <f t="shared" si="5"/>
        <v>875</v>
      </c>
      <c r="H20" s="173">
        <f t="shared" si="5"/>
        <v>0</v>
      </c>
      <c r="I20" s="173">
        <f t="shared" si="5"/>
        <v>18432</v>
      </c>
    </row>
    <row r="21" spans="1:10">
      <c r="A21" s="161"/>
      <c r="B21" s="162" t="s">
        <v>39</v>
      </c>
      <c r="C21" s="173">
        <f t="shared" si="5"/>
        <v>2489</v>
      </c>
      <c r="D21" s="173">
        <f t="shared" si="5"/>
        <v>2333</v>
      </c>
      <c r="E21" s="173">
        <f t="shared" si="5"/>
        <v>3035</v>
      </c>
      <c r="F21" s="173">
        <f t="shared" si="5"/>
        <v>907</v>
      </c>
      <c r="G21" s="173">
        <f t="shared" si="5"/>
        <v>263</v>
      </c>
      <c r="H21" s="173">
        <f t="shared" si="5"/>
        <v>0</v>
      </c>
      <c r="I21" s="173">
        <f t="shared" si="5"/>
        <v>9027</v>
      </c>
    </row>
    <row r="22" spans="1:10">
      <c r="A22" s="161"/>
      <c r="B22" s="162" t="s">
        <v>40</v>
      </c>
      <c r="C22" s="173">
        <f t="shared" si="5"/>
        <v>1525</v>
      </c>
      <c r="D22" s="173">
        <f t="shared" si="5"/>
        <v>1445</v>
      </c>
      <c r="E22" s="173">
        <f t="shared" si="5"/>
        <v>1825</v>
      </c>
      <c r="F22" s="173">
        <f t="shared" si="5"/>
        <v>630</v>
      </c>
      <c r="G22" s="173">
        <f t="shared" si="5"/>
        <v>177</v>
      </c>
      <c r="H22" s="173">
        <f t="shared" si="5"/>
        <v>0</v>
      </c>
      <c r="I22" s="173">
        <f t="shared" si="5"/>
        <v>5602</v>
      </c>
    </row>
    <row r="23" spans="1:10">
      <c r="A23" s="161"/>
      <c r="B23" s="162" t="s">
        <v>41</v>
      </c>
      <c r="C23" s="173">
        <f t="shared" si="5"/>
        <v>1103</v>
      </c>
      <c r="D23" s="173">
        <f t="shared" si="5"/>
        <v>1165</v>
      </c>
      <c r="E23" s="173">
        <f t="shared" si="5"/>
        <v>1377</v>
      </c>
      <c r="F23" s="173">
        <f t="shared" si="5"/>
        <v>499</v>
      </c>
      <c r="G23" s="173">
        <f t="shared" si="5"/>
        <v>189</v>
      </c>
      <c r="H23" s="173">
        <f t="shared" si="5"/>
        <v>0</v>
      </c>
      <c r="I23" s="173">
        <f t="shared" si="5"/>
        <v>4333</v>
      </c>
    </row>
    <row r="24" spans="1:10">
      <c r="A24" s="161"/>
      <c r="B24" s="166" t="s">
        <v>90</v>
      </c>
      <c r="C24" s="174">
        <f t="shared" si="5"/>
        <v>26172</v>
      </c>
      <c r="D24" s="174">
        <f t="shared" si="5"/>
        <v>21878</v>
      </c>
      <c r="E24" s="174">
        <f t="shared" si="5"/>
        <v>20893</v>
      </c>
      <c r="F24" s="174">
        <f t="shared" si="5"/>
        <v>5658</v>
      </c>
      <c r="G24" s="174">
        <f t="shared" si="5"/>
        <v>2829</v>
      </c>
      <c r="H24" s="174">
        <f t="shared" si="5"/>
        <v>0</v>
      </c>
      <c r="I24" s="174">
        <f t="shared" si="5"/>
        <v>77430</v>
      </c>
    </row>
    <row r="25" spans="1:10">
      <c r="A25" s="161"/>
      <c r="B25" s="162" t="s">
        <v>102</v>
      </c>
      <c r="C25" s="173">
        <f t="shared" si="5"/>
        <v>1819</v>
      </c>
      <c r="D25" s="173">
        <f t="shared" si="5"/>
        <v>2692</v>
      </c>
      <c r="E25" s="173">
        <f t="shared" si="5"/>
        <v>2555</v>
      </c>
      <c r="F25" s="173">
        <f t="shared" si="5"/>
        <v>2095</v>
      </c>
      <c r="G25" s="173">
        <f t="shared" si="5"/>
        <v>951</v>
      </c>
      <c r="H25" s="173">
        <f t="shared" si="5"/>
        <v>22729.200000000001</v>
      </c>
      <c r="I25" s="173">
        <f t="shared" si="5"/>
        <v>32841.199999999997</v>
      </c>
    </row>
    <row r="26" spans="1:10">
      <c r="A26" s="161"/>
      <c r="B26" s="162" t="s">
        <v>103</v>
      </c>
      <c r="C26" s="173">
        <f t="shared" si="5"/>
        <v>0</v>
      </c>
      <c r="D26" s="173">
        <f t="shared" si="5"/>
        <v>0</v>
      </c>
      <c r="E26" s="173">
        <f t="shared" si="5"/>
        <v>0</v>
      </c>
      <c r="F26" s="173">
        <f t="shared" si="5"/>
        <v>0</v>
      </c>
      <c r="G26" s="173">
        <f t="shared" si="5"/>
        <v>0</v>
      </c>
      <c r="H26" s="173">
        <f t="shared" si="5"/>
        <v>3821</v>
      </c>
      <c r="I26" s="173">
        <f t="shared" si="5"/>
        <v>3821</v>
      </c>
    </row>
    <row r="27" spans="1:10">
      <c r="A27" s="168"/>
      <c r="B27" s="169" t="s">
        <v>104</v>
      </c>
      <c r="C27" s="175">
        <f t="shared" si="5"/>
        <v>27991</v>
      </c>
      <c r="D27" s="175">
        <f t="shared" si="5"/>
        <v>24570</v>
      </c>
      <c r="E27" s="175">
        <f t="shared" si="5"/>
        <v>23448</v>
      </c>
      <c r="F27" s="175">
        <f t="shared" si="5"/>
        <v>7753</v>
      </c>
      <c r="G27" s="175">
        <f t="shared" si="5"/>
        <v>3780</v>
      </c>
      <c r="H27" s="175">
        <f t="shared" si="5"/>
        <v>26550.2</v>
      </c>
      <c r="I27" s="175">
        <f t="shared" si="5"/>
        <v>114092.2</v>
      </c>
    </row>
    <row r="28" spans="1:10">
      <c r="A28" s="171" t="s">
        <v>4</v>
      </c>
      <c r="B28" s="164" t="s">
        <v>36</v>
      </c>
      <c r="C28" s="172">
        <v>649</v>
      </c>
      <c r="D28" s="172">
        <v>622</v>
      </c>
      <c r="E28" s="172">
        <v>509</v>
      </c>
      <c r="F28" s="172">
        <v>126</v>
      </c>
      <c r="G28" s="172">
        <v>32</v>
      </c>
      <c r="H28" s="172">
        <v>0</v>
      </c>
      <c r="I28" s="172">
        <v>1938</v>
      </c>
      <c r="J28" s="176"/>
    </row>
    <row r="29" spans="1:10">
      <c r="A29" s="171"/>
      <c r="B29" s="164" t="s">
        <v>37</v>
      </c>
      <c r="C29" s="172">
        <v>120</v>
      </c>
      <c r="D29" s="172">
        <v>186</v>
      </c>
      <c r="E29" s="172">
        <v>146</v>
      </c>
      <c r="F29" s="172">
        <v>47</v>
      </c>
      <c r="G29" s="172">
        <v>6</v>
      </c>
      <c r="H29" s="172">
        <v>0</v>
      </c>
      <c r="I29" s="172">
        <v>505</v>
      </c>
    </row>
    <row r="30" spans="1:10">
      <c r="A30" s="161"/>
      <c r="B30" s="162" t="s">
        <v>38</v>
      </c>
      <c r="C30" s="173">
        <v>370</v>
      </c>
      <c r="D30" s="173">
        <v>300</v>
      </c>
      <c r="E30" s="173">
        <v>425</v>
      </c>
      <c r="F30" s="173">
        <v>144</v>
      </c>
      <c r="G30" s="173">
        <v>21</v>
      </c>
      <c r="H30" s="173">
        <v>0</v>
      </c>
      <c r="I30" s="173">
        <v>1260</v>
      </c>
    </row>
    <row r="31" spans="1:10">
      <c r="A31" s="161"/>
      <c r="B31" s="162" t="s">
        <v>39</v>
      </c>
      <c r="C31" s="173">
        <v>145</v>
      </c>
      <c r="D31" s="173">
        <v>154</v>
      </c>
      <c r="E31" s="173">
        <v>229</v>
      </c>
      <c r="F31" s="173">
        <v>50</v>
      </c>
      <c r="G31" s="173">
        <v>0</v>
      </c>
      <c r="H31" s="173">
        <v>0</v>
      </c>
      <c r="I31" s="173">
        <v>578</v>
      </c>
    </row>
    <row r="32" spans="1:10">
      <c r="A32" s="161"/>
      <c r="B32" s="162" t="s">
        <v>40</v>
      </c>
      <c r="C32" s="173">
        <v>133</v>
      </c>
      <c r="D32" s="173">
        <v>143</v>
      </c>
      <c r="E32" s="173">
        <v>201</v>
      </c>
      <c r="F32" s="173">
        <v>99</v>
      </c>
      <c r="G32" s="173">
        <v>4</v>
      </c>
      <c r="H32" s="173">
        <v>0</v>
      </c>
      <c r="I32" s="173">
        <v>580</v>
      </c>
    </row>
    <row r="33" spans="1:9">
      <c r="A33" s="161"/>
      <c r="B33" s="162" t="s">
        <v>41</v>
      </c>
      <c r="C33" s="173">
        <v>22</v>
      </c>
      <c r="D33" s="173">
        <v>16</v>
      </c>
      <c r="E33" s="173">
        <v>31</v>
      </c>
      <c r="F33" s="173">
        <v>0</v>
      </c>
      <c r="G33" s="173">
        <v>0</v>
      </c>
      <c r="H33" s="173">
        <v>0</v>
      </c>
      <c r="I33" s="173">
        <v>69</v>
      </c>
    </row>
    <row r="34" spans="1:9">
      <c r="A34" s="161"/>
      <c r="B34" s="166" t="s">
        <v>90</v>
      </c>
      <c r="C34" s="174">
        <f>SUM(C28:C33)</f>
        <v>1439</v>
      </c>
      <c r="D34" s="174">
        <f t="shared" ref="D34:I34" si="6">SUM(D28:D33)</f>
        <v>1421</v>
      </c>
      <c r="E34" s="174">
        <f t="shared" si="6"/>
        <v>1541</v>
      </c>
      <c r="F34" s="174">
        <f t="shared" si="6"/>
        <v>466</v>
      </c>
      <c r="G34" s="174">
        <f t="shared" si="6"/>
        <v>63</v>
      </c>
      <c r="H34" s="174">
        <f t="shared" si="6"/>
        <v>0</v>
      </c>
      <c r="I34" s="174">
        <f t="shared" si="6"/>
        <v>4930</v>
      </c>
    </row>
    <row r="35" spans="1:9">
      <c r="A35" s="161"/>
      <c r="B35" s="162" t="s">
        <v>102</v>
      </c>
      <c r="C35" s="173">
        <v>0</v>
      </c>
      <c r="D35" s="173">
        <v>0</v>
      </c>
      <c r="E35" s="173">
        <v>0</v>
      </c>
      <c r="F35" s="173">
        <v>0</v>
      </c>
      <c r="G35" s="173">
        <v>0</v>
      </c>
      <c r="H35" s="173">
        <v>1545</v>
      </c>
      <c r="I35" s="173">
        <v>1545</v>
      </c>
    </row>
    <row r="36" spans="1:9">
      <c r="A36" s="161"/>
      <c r="B36" s="162" t="s">
        <v>103</v>
      </c>
      <c r="C36" s="173">
        <v>0</v>
      </c>
      <c r="D36" s="173">
        <v>0</v>
      </c>
      <c r="E36" s="173">
        <v>0</v>
      </c>
      <c r="F36" s="173">
        <v>0</v>
      </c>
      <c r="G36" s="173">
        <v>0</v>
      </c>
      <c r="H36" s="173">
        <v>401</v>
      </c>
      <c r="I36" s="173">
        <v>401</v>
      </c>
    </row>
    <row r="37" spans="1:9">
      <c r="A37" s="177"/>
      <c r="B37" s="178" t="s">
        <v>104</v>
      </c>
      <c r="C37" s="179">
        <v>1439</v>
      </c>
      <c r="D37" s="179">
        <v>1421</v>
      </c>
      <c r="E37" s="179">
        <v>1541</v>
      </c>
      <c r="F37" s="179">
        <v>466</v>
      </c>
      <c r="G37" s="179">
        <v>63</v>
      </c>
      <c r="H37" s="179">
        <v>1946</v>
      </c>
      <c r="I37" s="179">
        <v>6876</v>
      </c>
    </row>
    <row r="38" spans="1:9">
      <c r="A38" s="161" t="s">
        <v>5</v>
      </c>
      <c r="B38" s="162" t="s">
        <v>36</v>
      </c>
      <c r="C38" s="173">
        <v>308</v>
      </c>
      <c r="D38" s="173">
        <v>198</v>
      </c>
      <c r="E38" s="173">
        <v>217</v>
      </c>
      <c r="F38" s="173">
        <v>59</v>
      </c>
      <c r="G38" s="173">
        <v>13</v>
      </c>
      <c r="H38" s="173">
        <v>0</v>
      </c>
      <c r="I38" s="173">
        <v>795</v>
      </c>
    </row>
    <row r="39" spans="1:9">
      <c r="A39" s="161"/>
      <c r="B39" s="162" t="s">
        <v>37</v>
      </c>
      <c r="C39" s="173">
        <v>0</v>
      </c>
      <c r="D39" s="173">
        <v>0</v>
      </c>
      <c r="E39" s="173">
        <v>0</v>
      </c>
      <c r="F39" s="173">
        <v>0</v>
      </c>
      <c r="G39" s="173">
        <v>0</v>
      </c>
      <c r="H39" s="173">
        <v>0</v>
      </c>
      <c r="I39" s="173">
        <v>0</v>
      </c>
    </row>
    <row r="40" spans="1:9">
      <c r="A40" s="161"/>
      <c r="B40" s="162" t="s">
        <v>38</v>
      </c>
      <c r="C40" s="173">
        <v>324</v>
      </c>
      <c r="D40" s="173">
        <v>301</v>
      </c>
      <c r="E40" s="173">
        <v>272</v>
      </c>
      <c r="F40" s="173">
        <v>209</v>
      </c>
      <c r="G40" s="173">
        <v>30</v>
      </c>
      <c r="H40" s="173">
        <v>0</v>
      </c>
      <c r="I40" s="173">
        <v>1136</v>
      </c>
    </row>
    <row r="41" spans="1:9">
      <c r="A41" s="161"/>
      <c r="B41" s="162" t="s">
        <v>39</v>
      </c>
      <c r="C41" s="173">
        <v>0</v>
      </c>
      <c r="D41" s="173">
        <v>0</v>
      </c>
      <c r="E41" s="173">
        <v>0</v>
      </c>
      <c r="F41" s="173">
        <v>0</v>
      </c>
      <c r="G41" s="173">
        <v>0</v>
      </c>
      <c r="H41" s="173">
        <v>0</v>
      </c>
      <c r="I41" s="173">
        <v>0</v>
      </c>
    </row>
    <row r="42" spans="1:9">
      <c r="A42" s="161"/>
      <c r="B42" s="162" t="s">
        <v>40</v>
      </c>
      <c r="C42" s="173">
        <v>109</v>
      </c>
      <c r="D42" s="173">
        <v>109</v>
      </c>
      <c r="E42" s="173">
        <v>91</v>
      </c>
      <c r="F42" s="173">
        <v>29</v>
      </c>
      <c r="G42" s="173">
        <v>0</v>
      </c>
      <c r="H42" s="173">
        <v>0</v>
      </c>
      <c r="I42" s="173">
        <v>338</v>
      </c>
    </row>
    <row r="43" spans="1:9">
      <c r="A43" s="161"/>
      <c r="B43" s="162" t="s">
        <v>41</v>
      </c>
      <c r="C43" s="173">
        <v>103</v>
      </c>
      <c r="D43" s="173">
        <v>84</v>
      </c>
      <c r="E43" s="173">
        <v>147</v>
      </c>
      <c r="F43" s="173">
        <v>100</v>
      </c>
      <c r="G43" s="173">
        <v>3</v>
      </c>
      <c r="H43" s="173">
        <v>0</v>
      </c>
      <c r="I43" s="173">
        <v>437</v>
      </c>
    </row>
    <row r="44" spans="1:9">
      <c r="A44" s="161"/>
      <c r="B44" s="166" t="s">
        <v>90</v>
      </c>
      <c r="C44" s="174">
        <f>SUM(C38:C43)</f>
        <v>844</v>
      </c>
      <c r="D44" s="174">
        <f t="shared" ref="D44:I44" si="7">SUM(D38:D43)</f>
        <v>692</v>
      </c>
      <c r="E44" s="174">
        <f t="shared" si="7"/>
        <v>727</v>
      </c>
      <c r="F44" s="174">
        <f t="shared" si="7"/>
        <v>397</v>
      </c>
      <c r="G44" s="174">
        <f t="shared" si="7"/>
        <v>46</v>
      </c>
      <c r="H44" s="174">
        <f t="shared" si="7"/>
        <v>0</v>
      </c>
      <c r="I44" s="174">
        <f t="shared" si="7"/>
        <v>2706</v>
      </c>
    </row>
    <row r="45" spans="1:9">
      <c r="A45" s="161"/>
      <c r="B45" s="162" t="s">
        <v>102</v>
      </c>
      <c r="C45" s="173">
        <v>0</v>
      </c>
      <c r="D45" s="173">
        <v>0</v>
      </c>
      <c r="E45" s="173">
        <v>0</v>
      </c>
      <c r="F45" s="173">
        <v>0</v>
      </c>
      <c r="G45" s="173">
        <v>0</v>
      </c>
      <c r="H45" s="173">
        <v>805</v>
      </c>
      <c r="I45" s="173">
        <v>805</v>
      </c>
    </row>
    <row r="46" spans="1:9">
      <c r="A46" s="161"/>
      <c r="B46" s="162" t="s">
        <v>103</v>
      </c>
      <c r="C46" s="173">
        <v>0</v>
      </c>
      <c r="D46" s="173">
        <v>0</v>
      </c>
      <c r="E46" s="173">
        <v>0</v>
      </c>
      <c r="F46" s="173">
        <v>0</v>
      </c>
      <c r="G46" s="173">
        <v>0</v>
      </c>
      <c r="H46" s="173">
        <v>0</v>
      </c>
      <c r="I46" s="173">
        <v>0</v>
      </c>
    </row>
    <row r="47" spans="1:9">
      <c r="A47" s="177"/>
      <c r="B47" s="178" t="s">
        <v>104</v>
      </c>
      <c r="C47" s="179">
        <v>844</v>
      </c>
      <c r="D47" s="179">
        <v>692</v>
      </c>
      <c r="E47" s="179">
        <v>727</v>
      </c>
      <c r="F47" s="179">
        <v>397</v>
      </c>
      <c r="G47" s="179">
        <v>46</v>
      </c>
      <c r="H47" s="179">
        <v>805</v>
      </c>
      <c r="I47" s="179">
        <v>3511</v>
      </c>
    </row>
    <row r="48" spans="1:9">
      <c r="A48" s="171" t="s">
        <v>82</v>
      </c>
      <c r="B48" s="162" t="s">
        <v>36</v>
      </c>
      <c r="C48" s="172">
        <v>315</v>
      </c>
      <c r="D48" s="172">
        <v>308</v>
      </c>
      <c r="E48" s="172">
        <v>206</v>
      </c>
      <c r="F48" s="172">
        <v>67</v>
      </c>
      <c r="G48" s="172">
        <v>9</v>
      </c>
      <c r="H48" s="172">
        <v>0</v>
      </c>
      <c r="I48" s="172">
        <f>SUM(C48:H48)</f>
        <v>905</v>
      </c>
    </row>
    <row r="49" spans="1:10">
      <c r="A49" s="171"/>
      <c r="B49" s="162" t="s">
        <v>37</v>
      </c>
      <c r="C49" s="172">
        <v>0</v>
      </c>
      <c r="D49" s="172">
        <v>0</v>
      </c>
      <c r="E49" s="172">
        <v>0</v>
      </c>
      <c r="F49" s="172">
        <v>0</v>
      </c>
      <c r="G49" s="172">
        <v>0</v>
      </c>
      <c r="H49" s="172">
        <v>0</v>
      </c>
      <c r="I49" s="172">
        <f t="shared" ref="I49:I57" si="8">SUM(C49:H49)</f>
        <v>0</v>
      </c>
    </row>
    <row r="50" spans="1:10">
      <c r="A50" s="171"/>
      <c r="B50" s="162" t="s">
        <v>38</v>
      </c>
      <c r="C50" s="172">
        <v>0</v>
      </c>
      <c r="D50" s="172">
        <v>0</v>
      </c>
      <c r="E50" s="172">
        <v>0</v>
      </c>
      <c r="F50" s="172">
        <v>0</v>
      </c>
      <c r="G50" s="172">
        <v>0</v>
      </c>
      <c r="H50" s="172">
        <v>0</v>
      </c>
      <c r="I50" s="172">
        <f t="shared" si="8"/>
        <v>0</v>
      </c>
    </row>
    <row r="51" spans="1:10">
      <c r="A51" s="171"/>
      <c r="B51" s="162" t="s">
        <v>39</v>
      </c>
      <c r="C51" s="172">
        <v>32</v>
      </c>
      <c r="D51" s="172">
        <v>48</v>
      </c>
      <c r="E51" s="172">
        <v>60</v>
      </c>
      <c r="F51" s="172">
        <v>29</v>
      </c>
      <c r="G51" s="172">
        <v>0</v>
      </c>
      <c r="H51" s="172">
        <v>0</v>
      </c>
      <c r="I51" s="172">
        <f t="shared" si="8"/>
        <v>169</v>
      </c>
    </row>
    <row r="52" spans="1:10">
      <c r="A52" s="171"/>
      <c r="B52" s="162" t="s">
        <v>40</v>
      </c>
      <c r="C52" s="172">
        <v>0</v>
      </c>
      <c r="D52" s="172">
        <v>0</v>
      </c>
      <c r="E52" s="172">
        <v>0</v>
      </c>
      <c r="F52" s="172">
        <v>0</v>
      </c>
      <c r="G52" s="172">
        <v>0</v>
      </c>
      <c r="H52" s="172">
        <v>0</v>
      </c>
      <c r="I52" s="172">
        <f t="shared" si="8"/>
        <v>0</v>
      </c>
    </row>
    <row r="53" spans="1:10">
      <c r="A53" s="171"/>
      <c r="B53" s="162" t="s">
        <v>41</v>
      </c>
      <c r="C53" s="172">
        <v>0</v>
      </c>
      <c r="D53" s="172">
        <v>0</v>
      </c>
      <c r="E53" s="172">
        <v>0</v>
      </c>
      <c r="F53" s="172">
        <v>0</v>
      </c>
      <c r="G53" s="172">
        <v>0</v>
      </c>
      <c r="H53" s="172">
        <v>0</v>
      </c>
      <c r="I53" s="172">
        <f t="shared" si="8"/>
        <v>0</v>
      </c>
    </row>
    <row r="54" spans="1:10">
      <c r="A54" s="171"/>
      <c r="B54" s="166" t="s">
        <v>90</v>
      </c>
      <c r="C54" s="174">
        <f t="shared" ref="C54:I54" si="9">SUM(C48:C53)</f>
        <v>347</v>
      </c>
      <c r="D54" s="174">
        <f t="shared" si="9"/>
        <v>356</v>
      </c>
      <c r="E54" s="174">
        <f t="shared" si="9"/>
        <v>266</v>
      </c>
      <c r="F54" s="174">
        <f t="shared" si="9"/>
        <v>96</v>
      </c>
      <c r="G54" s="174">
        <f t="shared" si="9"/>
        <v>9</v>
      </c>
      <c r="H54" s="174">
        <f t="shared" si="9"/>
        <v>0</v>
      </c>
      <c r="I54" s="174">
        <f t="shared" si="9"/>
        <v>1074</v>
      </c>
    </row>
    <row r="55" spans="1:10">
      <c r="A55" s="171"/>
      <c r="B55" s="162" t="s">
        <v>102</v>
      </c>
      <c r="C55" s="172">
        <v>0</v>
      </c>
      <c r="D55" s="172">
        <v>0</v>
      </c>
      <c r="E55" s="172">
        <v>0</v>
      </c>
      <c r="F55" s="172">
        <v>0</v>
      </c>
      <c r="G55" s="172">
        <v>0</v>
      </c>
      <c r="H55" s="172">
        <v>246</v>
      </c>
      <c r="I55" s="172">
        <f t="shared" si="8"/>
        <v>246</v>
      </c>
    </row>
    <row r="56" spans="1:10">
      <c r="A56" s="171"/>
      <c r="B56" s="162" t="s">
        <v>103</v>
      </c>
      <c r="C56" s="172">
        <v>0</v>
      </c>
      <c r="D56" s="172">
        <v>0</v>
      </c>
      <c r="E56" s="172">
        <v>0</v>
      </c>
      <c r="F56" s="172">
        <v>0</v>
      </c>
      <c r="G56" s="172">
        <v>0</v>
      </c>
      <c r="H56" s="172">
        <v>0</v>
      </c>
      <c r="I56" s="172">
        <f t="shared" si="8"/>
        <v>0</v>
      </c>
    </row>
    <row r="57" spans="1:10">
      <c r="A57" s="168"/>
      <c r="B57" s="180" t="s">
        <v>104</v>
      </c>
      <c r="C57" s="181">
        <f t="shared" ref="C57:H57" si="10">SUM(C54:C56)</f>
        <v>347</v>
      </c>
      <c r="D57" s="181">
        <f t="shared" si="10"/>
        <v>356</v>
      </c>
      <c r="E57" s="181">
        <f t="shared" si="10"/>
        <v>266</v>
      </c>
      <c r="F57" s="181">
        <f t="shared" si="10"/>
        <v>96</v>
      </c>
      <c r="G57" s="181">
        <f t="shared" si="10"/>
        <v>9</v>
      </c>
      <c r="H57" s="181">
        <f t="shared" si="10"/>
        <v>246</v>
      </c>
      <c r="I57" s="181">
        <f t="shared" si="8"/>
        <v>1320</v>
      </c>
      <c r="J57" s="182"/>
    </row>
    <row r="58" spans="1:10">
      <c r="A58" s="171" t="s">
        <v>6</v>
      </c>
      <c r="B58" s="164" t="s">
        <v>36</v>
      </c>
      <c r="C58" s="172">
        <v>1506</v>
      </c>
      <c r="D58" s="172">
        <v>1027</v>
      </c>
      <c r="E58" s="172">
        <v>663</v>
      </c>
      <c r="F58" s="172">
        <v>47</v>
      </c>
      <c r="G58" s="172">
        <v>5</v>
      </c>
      <c r="H58" s="172">
        <v>0</v>
      </c>
      <c r="I58" s="172">
        <v>3248</v>
      </c>
    </row>
    <row r="59" spans="1:10">
      <c r="A59" s="161"/>
      <c r="B59" s="162" t="s">
        <v>37</v>
      </c>
      <c r="C59" s="173">
        <v>584</v>
      </c>
      <c r="D59" s="173">
        <v>483</v>
      </c>
      <c r="E59" s="173">
        <v>326</v>
      </c>
      <c r="F59" s="173">
        <v>98</v>
      </c>
      <c r="G59" s="173">
        <v>71</v>
      </c>
      <c r="H59" s="173">
        <v>0</v>
      </c>
      <c r="I59" s="173">
        <v>1562</v>
      </c>
    </row>
    <row r="60" spans="1:10">
      <c r="A60" s="161"/>
      <c r="B60" s="162" t="s">
        <v>38</v>
      </c>
      <c r="C60" s="173">
        <v>406</v>
      </c>
      <c r="D60" s="173">
        <v>504</v>
      </c>
      <c r="E60" s="173">
        <v>469</v>
      </c>
      <c r="F60" s="173">
        <v>190</v>
      </c>
      <c r="G60" s="173">
        <v>9</v>
      </c>
      <c r="H60" s="173">
        <v>0</v>
      </c>
      <c r="I60" s="173">
        <v>1578</v>
      </c>
    </row>
    <row r="61" spans="1:10">
      <c r="A61" s="161"/>
      <c r="B61" s="162" t="s">
        <v>39</v>
      </c>
      <c r="C61" s="173">
        <v>161</v>
      </c>
      <c r="D61" s="173">
        <v>203</v>
      </c>
      <c r="E61" s="173">
        <v>215</v>
      </c>
      <c r="F61" s="173">
        <v>62</v>
      </c>
      <c r="G61" s="173">
        <v>0</v>
      </c>
      <c r="H61" s="173">
        <v>0</v>
      </c>
      <c r="I61" s="173">
        <v>641</v>
      </c>
    </row>
    <row r="62" spans="1:10">
      <c r="A62" s="161"/>
      <c r="B62" s="162" t="s">
        <v>40</v>
      </c>
      <c r="C62" s="173">
        <v>0</v>
      </c>
      <c r="D62" s="173">
        <v>0</v>
      </c>
      <c r="E62" s="173">
        <v>0</v>
      </c>
      <c r="F62" s="173">
        <v>0</v>
      </c>
      <c r="G62" s="173">
        <v>0</v>
      </c>
      <c r="H62" s="173">
        <v>0</v>
      </c>
      <c r="I62" s="173">
        <v>0</v>
      </c>
    </row>
    <row r="63" spans="1:10">
      <c r="A63" s="161"/>
      <c r="B63" s="162" t="s">
        <v>41</v>
      </c>
      <c r="C63" s="173">
        <v>0</v>
      </c>
      <c r="D63" s="173">
        <v>0</v>
      </c>
      <c r="E63" s="173">
        <v>0</v>
      </c>
      <c r="F63" s="173">
        <v>0</v>
      </c>
      <c r="G63" s="173">
        <v>0</v>
      </c>
      <c r="H63" s="173">
        <v>0</v>
      </c>
      <c r="I63" s="173">
        <v>0</v>
      </c>
    </row>
    <row r="64" spans="1:10">
      <c r="A64" s="161"/>
      <c r="B64" s="166" t="s">
        <v>90</v>
      </c>
      <c r="C64" s="174">
        <f t="shared" ref="C64:I64" si="11">SUM(C58:C63)</f>
        <v>2657</v>
      </c>
      <c r="D64" s="174">
        <f t="shared" si="11"/>
        <v>2217</v>
      </c>
      <c r="E64" s="174">
        <f t="shared" si="11"/>
        <v>1673</v>
      </c>
      <c r="F64" s="174">
        <f t="shared" si="11"/>
        <v>397</v>
      </c>
      <c r="G64" s="174">
        <f t="shared" si="11"/>
        <v>85</v>
      </c>
      <c r="H64" s="174">
        <f t="shared" si="11"/>
        <v>0</v>
      </c>
      <c r="I64" s="174">
        <f t="shared" si="11"/>
        <v>7029</v>
      </c>
    </row>
    <row r="65" spans="1:9">
      <c r="A65" s="161"/>
      <c r="B65" s="162" t="s">
        <v>102</v>
      </c>
      <c r="C65" s="173">
        <v>0</v>
      </c>
      <c r="D65" s="173">
        <v>0</v>
      </c>
      <c r="E65" s="173">
        <v>0</v>
      </c>
      <c r="F65" s="173">
        <v>0</v>
      </c>
      <c r="G65" s="173">
        <v>0</v>
      </c>
      <c r="H65" s="173">
        <v>4737</v>
      </c>
      <c r="I65" s="173">
        <v>4737</v>
      </c>
    </row>
    <row r="66" spans="1:9">
      <c r="A66" s="161"/>
      <c r="B66" s="162" t="s">
        <v>103</v>
      </c>
      <c r="C66" s="173">
        <v>0</v>
      </c>
      <c r="D66" s="173">
        <v>0</v>
      </c>
      <c r="E66" s="173">
        <v>0</v>
      </c>
      <c r="F66" s="173">
        <v>0</v>
      </c>
      <c r="G66" s="173">
        <v>0</v>
      </c>
      <c r="H66" s="173">
        <v>0</v>
      </c>
      <c r="I66" s="173">
        <v>0</v>
      </c>
    </row>
    <row r="67" spans="1:9">
      <c r="A67" s="177"/>
      <c r="B67" s="178" t="s">
        <v>104</v>
      </c>
      <c r="C67" s="179">
        <v>2657</v>
      </c>
      <c r="D67" s="179">
        <v>2217</v>
      </c>
      <c r="E67" s="179">
        <v>1673</v>
      </c>
      <c r="F67" s="179">
        <v>397</v>
      </c>
      <c r="G67" s="179">
        <v>85</v>
      </c>
      <c r="H67" s="179">
        <v>4737</v>
      </c>
      <c r="I67" s="179">
        <v>11766</v>
      </c>
    </row>
    <row r="68" spans="1:9">
      <c r="A68" s="161" t="s">
        <v>7</v>
      </c>
      <c r="B68" s="162" t="s">
        <v>36</v>
      </c>
      <c r="C68" s="173">
        <v>602</v>
      </c>
      <c r="D68" s="173">
        <v>497</v>
      </c>
      <c r="E68" s="173">
        <v>292</v>
      </c>
      <c r="F68" s="173">
        <v>155</v>
      </c>
      <c r="G68" s="173">
        <v>0</v>
      </c>
      <c r="H68" s="173">
        <v>0</v>
      </c>
      <c r="I68" s="173">
        <v>1546</v>
      </c>
    </row>
    <row r="69" spans="1:9">
      <c r="A69" s="161"/>
      <c r="B69" s="162" t="s">
        <v>37</v>
      </c>
      <c r="C69" s="173">
        <v>513</v>
      </c>
      <c r="D69" s="173">
        <v>476</v>
      </c>
      <c r="E69" s="173">
        <v>394</v>
      </c>
      <c r="F69" s="173">
        <v>83</v>
      </c>
      <c r="G69" s="173">
        <v>0</v>
      </c>
      <c r="H69" s="173">
        <v>0</v>
      </c>
      <c r="I69" s="173">
        <v>1466</v>
      </c>
    </row>
    <row r="70" spans="1:9">
      <c r="A70" s="161"/>
      <c r="B70" s="162" t="s">
        <v>38</v>
      </c>
      <c r="C70" s="173">
        <v>108</v>
      </c>
      <c r="D70" s="173">
        <v>139</v>
      </c>
      <c r="E70" s="173">
        <v>197</v>
      </c>
      <c r="F70" s="173">
        <v>49</v>
      </c>
      <c r="G70" s="173">
        <v>0</v>
      </c>
      <c r="H70" s="173">
        <v>0</v>
      </c>
      <c r="I70" s="173">
        <v>493</v>
      </c>
    </row>
    <row r="71" spans="1:9">
      <c r="A71" s="161"/>
      <c r="B71" s="162" t="s">
        <v>39</v>
      </c>
      <c r="C71" s="173">
        <v>240</v>
      </c>
      <c r="D71" s="173">
        <v>184</v>
      </c>
      <c r="E71" s="173">
        <v>252</v>
      </c>
      <c r="F71" s="173">
        <v>37</v>
      </c>
      <c r="G71" s="173">
        <v>0</v>
      </c>
      <c r="H71" s="173">
        <v>0</v>
      </c>
      <c r="I71" s="173">
        <v>713</v>
      </c>
    </row>
    <row r="72" spans="1:9">
      <c r="A72" s="161"/>
      <c r="B72" s="162" t="s">
        <v>40</v>
      </c>
      <c r="C72" s="173">
        <v>305</v>
      </c>
      <c r="D72" s="173">
        <v>309</v>
      </c>
      <c r="E72" s="173">
        <v>411</v>
      </c>
      <c r="F72" s="173">
        <v>76</v>
      </c>
      <c r="G72" s="173">
        <v>0</v>
      </c>
      <c r="H72" s="173">
        <v>0</v>
      </c>
      <c r="I72" s="173">
        <v>1101</v>
      </c>
    </row>
    <row r="73" spans="1:9">
      <c r="A73" s="161"/>
      <c r="B73" s="162" t="s">
        <v>41</v>
      </c>
      <c r="C73" s="173">
        <v>106</v>
      </c>
      <c r="D73" s="173">
        <v>113</v>
      </c>
      <c r="E73" s="173">
        <v>186</v>
      </c>
      <c r="F73" s="173">
        <v>29</v>
      </c>
      <c r="G73" s="173">
        <v>0</v>
      </c>
      <c r="H73" s="173">
        <v>0</v>
      </c>
      <c r="I73" s="173">
        <v>434</v>
      </c>
    </row>
    <row r="74" spans="1:9">
      <c r="A74" s="161"/>
      <c r="B74" s="166" t="s">
        <v>90</v>
      </c>
      <c r="C74" s="174">
        <f t="shared" ref="C74:I74" si="12">SUM(C68:C73)</f>
        <v>1874</v>
      </c>
      <c r="D74" s="174">
        <f t="shared" si="12"/>
        <v>1718</v>
      </c>
      <c r="E74" s="174">
        <f t="shared" si="12"/>
        <v>1732</v>
      </c>
      <c r="F74" s="174">
        <f t="shared" si="12"/>
        <v>429</v>
      </c>
      <c r="G74" s="174">
        <f t="shared" si="12"/>
        <v>0</v>
      </c>
      <c r="H74" s="174">
        <f t="shared" si="12"/>
        <v>0</v>
      </c>
      <c r="I74" s="174">
        <f t="shared" si="12"/>
        <v>5753</v>
      </c>
    </row>
    <row r="75" spans="1:9">
      <c r="A75" s="161"/>
      <c r="B75" s="162" t="s">
        <v>102</v>
      </c>
      <c r="C75" s="173">
        <v>158</v>
      </c>
      <c r="D75" s="173">
        <v>277</v>
      </c>
      <c r="E75" s="173">
        <v>469</v>
      </c>
      <c r="F75" s="173">
        <v>213</v>
      </c>
      <c r="G75" s="173">
        <v>0</v>
      </c>
      <c r="H75" s="173">
        <v>0</v>
      </c>
      <c r="I75" s="173">
        <v>1117</v>
      </c>
    </row>
    <row r="76" spans="1:9">
      <c r="A76" s="161"/>
      <c r="B76" s="162" t="s">
        <v>103</v>
      </c>
      <c r="C76" s="173">
        <v>0</v>
      </c>
      <c r="D76" s="173">
        <v>0</v>
      </c>
      <c r="E76" s="173">
        <v>0</v>
      </c>
      <c r="F76" s="173">
        <v>0</v>
      </c>
      <c r="G76" s="173">
        <v>0</v>
      </c>
      <c r="H76" s="173">
        <v>1483</v>
      </c>
      <c r="I76" s="173">
        <v>1483</v>
      </c>
    </row>
    <row r="77" spans="1:9">
      <c r="A77" s="177"/>
      <c r="B77" s="178" t="s">
        <v>104</v>
      </c>
      <c r="C77" s="179">
        <v>2032</v>
      </c>
      <c r="D77" s="179">
        <v>1995</v>
      </c>
      <c r="E77" s="179">
        <v>2201</v>
      </c>
      <c r="F77" s="179">
        <v>642</v>
      </c>
      <c r="G77" s="179">
        <v>0</v>
      </c>
      <c r="H77" s="179">
        <v>1483</v>
      </c>
      <c r="I77" s="179">
        <v>8353</v>
      </c>
    </row>
    <row r="78" spans="1:9">
      <c r="A78" s="161" t="s">
        <v>8</v>
      </c>
      <c r="B78" s="162" t="s">
        <v>36</v>
      </c>
      <c r="C78" s="173">
        <v>478</v>
      </c>
      <c r="D78" s="173">
        <v>444</v>
      </c>
      <c r="E78" s="173">
        <v>294</v>
      </c>
      <c r="F78" s="173">
        <v>12</v>
      </c>
      <c r="G78" s="173">
        <v>0</v>
      </c>
      <c r="H78" s="173">
        <v>0</v>
      </c>
      <c r="I78" s="173">
        <v>1228</v>
      </c>
    </row>
    <row r="79" spans="1:9">
      <c r="A79" s="161"/>
      <c r="B79" s="162" t="s">
        <v>37</v>
      </c>
      <c r="C79" s="173">
        <v>276</v>
      </c>
      <c r="D79" s="173">
        <v>205</v>
      </c>
      <c r="E79" s="173">
        <v>162</v>
      </c>
      <c r="F79" s="173">
        <v>12</v>
      </c>
      <c r="G79" s="173">
        <v>13</v>
      </c>
      <c r="H79" s="173">
        <v>0</v>
      </c>
      <c r="I79" s="173">
        <v>668</v>
      </c>
    </row>
    <row r="80" spans="1:9">
      <c r="A80" s="161"/>
      <c r="B80" s="162" t="s">
        <v>38</v>
      </c>
      <c r="C80" s="173">
        <v>552</v>
      </c>
      <c r="D80" s="173">
        <v>372</v>
      </c>
      <c r="E80" s="173">
        <v>416</v>
      </c>
      <c r="F80" s="173">
        <v>86</v>
      </c>
      <c r="G80" s="173">
        <v>41</v>
      </c>
      <c r="H80" s="173">
        <v>0</v>
      </c>
      <c r="I80" s="173">
        <v>1467</v>
      </c>
    </row>
    <row r="81" spans="1:9">
      <c r="A81" s="161"/>
      <c r="B81" s="162" t="s">
        <v>39</v>
      </c>
      <c r="C81" s="173">
        <v>89</v>
      </c>
      <c r="D81" s="173">
        <v>92</v>
      </c>
      <c r="E81" s="173">
        <v>132</v>
      </c>
      <c r="F81" s="173">
        <v>28</v>
      </c>
      <c r="G81" s="173">
        <v>0</v>
      </c>
      <c r="H81" s="173">
        <v>0</v>
      </c>
      <c r="I81" s="173">
        <v>341</v>
      </c>
    </row>
    <row r="82" spans="1:9">
      <c r="A82" s="161"/>
      <c r="B82" s="162" t="s">
        <v>40</v>
      </c>
      <c r="C82" s="173">
        <v>104</v>
      </c>
      <c r="D82" s="173">
        <v>102</v>
      </c>
      <c r="E82" s="173">
        <v>96</v>
      </c>
      <c r="F82" s="173">
        <v>8</v>
      </c>
      <c r="G82" s="173">
        <v>57</v>
      </c>
      <c r="H82" s="173">
        <v>0</v>
      </c>
      <c r="I82" s="173">
        <v>367</v>
      </c>
    </row>
    <row r="83" spans="1:9">
      <c r="A83" s="161"/>
      <c r="B83" s="162" t="s">
        <v>41</v>
      </c>
      <c r="C83" s="173">
        <v>25</v>
      </c>
      <c r="D83" s="173">
        <v>36</v>
      </c>
      <c r="E83" s="173">
        <v>52</v>
      </c>
      <c r="F83" s="173">
        <v>11</v>
      </c>
      <c r="G83" s="173">
        <v>2</v>
      </c>
      <c r="H83" s="173">
        <v>0</v>
      </c>
      <c r="I83" s="173">
        <v>126</v>
      </c>
    </row>
    <row r="84" spans="1:9">
      <c r="A84" s="161"/>
      <c r="B84" s="166" t="s">
        <v>90</v>
      </c>
      <c r="C84" s="174">
        <f t="shared" ref="C84:I84" si="13">SUM(C78:C83)</f>
        <v>1524</v>
      </c>
      <c r="D84" s="174">
        <f t="shared" si="13"/>
        <v>1251</v>
      </c>
      <c r="E84" s="174">
        <f t="shared" si="13"/>
        <v>1152</v>
      </c>
      <c r="F84" s="174">
        <f t="shared" si="13"/>
        <v>157</v>
      </c>
      <c r="G84" s="174">
        <f t="shared" si="13"/>
        <v>113</v>
      </c>
      <c r="H84" s="174">
        <f t="shared" si="13"/>
        <v>0</v>
      </c>
      <c r="I84" s="174">
        <f t="shared" si="13"/>
        <v>4197</v>
      </c>
    </row>
    <row r="85" spans="1:9">
      <c r="A85" s="161"/>
      <c r="B85" s="162" t="s">
        <v>102</v>
      </c>
      <c r="C85" s="173">
        <v>199</v>
      </c>
      <c r="D85" s="173">
        <v>366</v>
      </c>
      <c r="E85" s="173">
        <v>299</v>
      </c>
      <c r="F85" s="173">
        <v>136</v>
      </c>
      <c r="G85" s="173">
        <v>0</v>
      </c>
      <c r="H85" s="173">
        <v>0</v>
      </c>
      <c r="I85" s="173">
        <v>1000</v>
      </c>
    </row>
    <row r="86" spans="1:9">
      <c r="A86" s="161"/>
      <c r="B86" s="162" t="s">
        <v>103</v>
      </c>
      <c r="C86" s="173">
        <v>0</v>
      </c>
      <c r="D86" s="173">
        <v>0</v>
      </c>
      <c r="E86" s="173">
        <v>0</v>
      </c>
      <c r="F86" s="173">
        <v>0</v>
      </c>
      <c r="G86" s="173">
        <v>0</v>
      </c>
      <c r="H86" s="173">
        <v>689</v>
      </c>
      <c r="I86" s="173">
        <v>689</v>
      </c>
    </row>
    <row r="87" spans="1:9">
      <c r="A87" s="177"/>
      <c r="B87" s="178" t="s">
        <v>104</v>
      </c>
      <c r="C87" s="179">
        <v>1723</v>
      </c>
      <c r="D87" s="179">
        <v>1617</v>
      </c>
      <c r="E87" s="179">
        <v>1451</v>
      </c>
      <c r="F87" s="179">
        <v>293</v>
      </c>
      <c r="G87" s="179">
        <v>113</v>
      </c>
      <c r="H87" s="179">
        <v>689</v>
      </c>
      <c r="I87" s="179">
        <v>5886</v>
      </c>
    </row>
    <row r="88" spans="1:9">
      <c r="A88" s="161" t="s">
        <v>9</v>
      </c>
      <c r="B88" s="162" t="s">
        <v>36</v>
      </c>
      <c r="C88" s="173">
        <v>420</v>
      </c>
      <c r="D88" s="173">
        <v>324</v>
      </c>
      <c r="E88" s="173">
        <v>286</v>
      </c>
      <c r="F88" s="173">
        <v>163</v>
      </c>
      <c r="G88" s="173">
        <v>0</v>
      </c>
      <c r="H88" s="173">
        <v>0</v>
      </c>
      <c r="I88" s="173">
        <v>1193</v>
      </c>
    </row>
    <row r="89" spans="1:9">
      <c r="A89" s="161"/>
      <c r="B89" s="162" t="s">
        <v>37</v>
      </c>
      <c r="C89" s="173">
        <v>150</v>
      </c>
      <c r="D89" s="173">
        <v>136</v>
      </c>
      <c r="E89" s="173">
        <v>130</v>
      </c>
      <c r="F89" s="173">
        <v>76</v>
      </c>
      <c r="G89" s="173">
        <v>0</v>
      </c>
      <c r="H89" s="173">
        <v>0</v>
      </c>
      <c r="I89" s="173">
        <v>492</v>
      </c>
    </row>
    <row r="90" spans="1:9">
      <c r="A90" s="161"/>
      <c r="B90" s="162" t="s">
        <v>38</v>
      </c>
      <c r="C90" s="173">
        <v>531</v>
      </c>
      <c r="D90" s="173">
        <v>407</v>
      </c>
      <c r="E90" s="173">
        <v>585</v>
      </c>
      <c r="F90" s="173">
        <v>210</v>
      </c>
      <c r="G90" s="173">
        <v>0</v>
      </c>
      <c r="H90" s="173">
        <v>0</v>
      </c>
      <c r="I90" s="173">
        <v>1733</v>
      </c>
    </row>
    <row r="91" spans="1:9">
      <c r="A91" s="161"/>
      <c r="B91" s="162" t="s">
        <v>39</v>
      </c>
      <c r="C91" s="173">
        <v>244</v>
      </c>
      <c r="D91" s="173">
        <v>258</v>
      </c>
      <c r="E91" s="173">
        <v>484</v>
      </c>
      <c r="F91" s="173">
        <v>192</v>
      </c>
      <c r="G91" s="173">
        <v>0</v>
      </c>
      <c r="H91" s="173">
        <v>0</v>
      </c>
      <c r="I91" s="173">
        <v>1178</v>
      </c>
    </row>
    <row r="92" spans="1:9">
      <c r="A92" s="161"/>
      <c r="B92" s="162" t="s">
        <v>40</v>
      </c>
      <c r="C92" s="173">
        <v>142</v>
      </c>
      <c r="D92" s="173">
        <v>124</v>
      </c>
      <c r="E92" s="173">
        <v>186</v>
      </c>
      <c r="F92" s="173">
        <v>65</v>
      </c>
      <c r="G92" s="173">
        <v>0</v>
      </c>
      <c r="H92" s="173">
        <v>0</v>
      </c>
      <c r="I92" s="173">
        <v>517</v>
      </c>
    </row>
    <row r="93" spans="1:9">
      <c r="A93" s="161"/>
      <c r="B93" s="162" t="s">
        <v>41</v>
      </c>
      <c r="C93" s="173">
        <v>0</v>
      </c>
      <c r="D93" s="173">
        <v>0</v>
      </c>
      <c r="E93" s="173">
        <v>0</v>
      </c>
      <c r="F93" s="173">
        <v>0</v>
      </c>
      <c r="G93" s="173">
        <v>0</v>
      </c>
      <c r="H93" s="173">
        <v>0</v>
      </c>
      <c r="I93" s="173">
        <v>0</v>
      </c>
    </row>
    <row r="94" spans="1:9">
      <c r="A94" s="161"/>
      <c r="B94" s="166" t="s">
        <v>90</v>
      </c>
      <c r="C94" s="174">
        <f t="shared" ref="C94:I94" si="14">SUM(C88:C93)</f>
        <v>1487</v>
      </c>
      <c r="D94" s="174">
        <f t="shared" si="14"/>
        <v>1249</v>
      </c>
      <c r="E94" s="174">
        <f t="shared" si="14"/>
        <v>1671</v>
      </c>
      <c r="F94" s="174">
        <f t="shared" si="14"/>
        <v>706</v>
      </c>
      <c r="G94" s="174">
        <f t="shared" si="14"/>
        <v>0</v>
      </c>
      <c r="H94" s="174">
        <f t="shared" si="14"/>
        <v>0</v>
      </c>
      <c r="I94" s="174">
        <f t="shared" si="14"/>
        <v>5113</v>
      </c>
    </row>
    <row r="95" spans="1:9">
      <c r="A95" s="161"/>
      <c r="B95" s="162" t="s">
        <v>102</v>
      </c>
      <c r="C95" s="173">
        <v>48</v>
      </c>
      <c r="D95" s="173">
        <v>122</v>
      </c>
      <c r="E95" s="173">
        <v>152</v>
      </c>
      <c r="F95" s="173">
        <v>196</v>
      </c>
      <c r="G95" s="173">
        <v>0</v>
      </c>
      <c r="H95" s="173">
        <v>0</v>
      </c>
      <c r="I95" s="173">
        <v>518</v>
      </c>
    </row>
    <row r="96" spans="1:9">
      <c r="A96" s="161"/>
      <c r="B96" s="162" t="s">
        <v>103</v>
      </c>
      <c r="C96" s="173">
        <v>0</v>
      </c>
      <c r="D96" s="173">
        <v>0</v>
      </c>
      <c r="E96" s="173">
        <v>0</v>
      </c>
      <c r="F96" s="173">
        <v>0</v>
      </c>
      <c r="G96" s="173">
        <v>0</v>
      </c>
      <c r="H96" s="173">
        <v>812</v>
      </c>
      <c r="I96" s="173">
        <v>812</v>
      </c>
    </row>
    <row r="97" spans="1:9">
      <c r="A97" s="177"/>
      <c r="B97" s="178" t="s">
        <v>104</v>
      </c>
      <c r="C97" s="179">
        <v>1535</v>
      </c>
      <c r="D97" s="179">
        <v>1371</v>
      </c>
      <c r="E97" s="179">
        <v>1823</v>
      </c>
      <c r="F97" s="179">
        <v>902</v>
      </c>
      <c r="G97" s="179">
        <v>0</v>
      </c>
      <c r="H97" s="179">
        <v>812</v>
      </c>
      <c r="I97" s="179">
        <v>6443</v>
      </c>
    </row>
    <row r="98" spans="1:9">
      <c r="A98" s="161" t="s">
        <v>10</v>
      </c>
      <c r="B98" s="162" t="s">
        <v>36</v>
      </c>
      <c r="C98" s="173">
        <v>545</v>
      </c>
      <c r="D98" s="173">
        <v>377</v>
      </c>
      <c r="E98" s="173">
        <v>177</v>
      </c>
      <c r="F98" s="173">
        <v>122</v>
      </c>
      <c r="G98" s="173">
        <v>60</v>
      </c>
      <c r="H98" s="173">
        <v>0</v>
      </c>
      <c r="I98" s="173">
        <v>1281</v>
      </c>
    </row>
    <row r="99" spans="1:9">
      <c r="A99" s="161"/>
      <c r="B99" s="162" t="s">
        <v>37</v>
      </c>
      <c r="C99" s="173">
        <v>0</v>
      </c>
      <c r="D99" s="173">
        <v>0</v>
      </c>
      <c r="E99" s="173">
        <v>0</v>
      </c>
      <c r="F99" s="173">
        <v>0</v>
      </c>
      <c r="G99" s="173">
        <v>0</v>
      </c>
      <c r="H99" s="173">
        <v>0</v>
      </c>
      <c r="I99" s="173">
        <v>0</v>
      </c>
    </row>
    <row r="100" spans="1:9">
      <c r="A100" s="161"/>
      <c r="B100" s="162" t="s">
        <v>38</v>
      </c>
      <c r="C100" s="173">
        <v>93</v>
      </c>
      <c r="D100" s="173">
        <v>124</v>
      </c>
      <c r="E100" s="173">
        <v>99</v>
      </c>
      <c r="F100" s="173">
        <v>38</v>
      </c>
      <c r="G100" s="173">
        <v>12</v>
      </c>
      <c r="H100" s="173">
        <v>0</v>
      </c>
      <c r="I100" s="173">
        <v>366</v>
      </c>
    </row>
    <row r="101" spans="1:9">
      <c r="A101" s="161"/>
      <c r="B101" s="162" t="s">
        <v>39</v>
      </c>
      <c r="C101" s="173">
        <v>416</v>
      </c>
      <c r="D101" s="173">
        <v>406</v>
      </c>
      <c r="E101" s="173">
        <v>503</v>
      </c>
      <c r="F101" s="173">
        <v>82</v>
      </c>
      <c r="G101" s="173">
        <v>93</v>
      </c>
      <c r="H101" s="173">
        <v>0</v>
      </c>
      <c r="I101" s="173">
        <v>1500</v>
      </c>
    </row>
    <row r="102" spans="1:9">
      <c r="A102" s="161"/>
      <c r="B102" s="162" t="s">
        <v>40</v>
      </c>
      <c r="C102" s="173">
        <v>26</v>
      </c>
      <c r="D102" s="173">
        <v>31</v>
      </c>
      <c r="E102" s="173">
        <v>34</v>
      </c>
      <c r="F102" s="173">
        <v>4</v>
      </c>
      <c r="G102" s="173">
        <v>9</v>
      </c>
      <c r="H102" s="173">
        <v>0</v>
      </c>
      <c r="I102" s="173">
        <v>104</v>
      </c>
    </row>
    <row r="103" spans="1:9">
      <c r="A103" s="161"/>
      <c r="B103" s="162" t="s">
        <v>41</v>
      </c>
      <c r="C103" s="173">
        <v>33</v>
      </c>
      <c r="D103" s="173">
        <v>71</v>
      </c>
      <c r="E103" s="173">
        <v>67</v>
      </c>
      <c r="F103" s="173">
        <v>15</v>
      </c>
      <c r="G103" s="173">
        <v>48</v>
      </c>
      <c r="H103" s="173">
        <v>0</v>
      </c>
      <c r="I103" s="173">
        <v>234</v>
      </c>
    </row>
    <row r="104" spans="1:9">
      <c r="A104" s="161"/>
      <c r="B104" s="166" t="s">
        <v>90</v>
      </c>
      <c r="C104" s="174">
        <f t="shared" ref="C104:I104" si="15">SUM(C98:C103)</f>
        <v>1113</v>
      </c>
      <c r="D104" s="174">
        <f t="shared" si="15"/>
        <v>1009</v>
      </c>
      <c r="E104" s="174">
        <f t="shared" si="15"/>
        <v>880</v>
      </c>
      <c r="F104" s="174">
        <f t="shared" si="15"/>
        <v>261</v>
      </c>
      <c r="G104" s="174">
        <f t="shared" si="15"/>
        <v>222</v>
      </c>
      <c r="H104" s="174">
        <f t="shared" si="15"/>
        <v>0</v>
      </c>
      <c r="I104" s="174">
        <f t="shared" si="15"/>
        <v>3485</v>
      </c>
    </row>
    <row r="105" spans="1:9">
      <c r="A105" s="161"/>
      <c r="B105" s="162" t="s">
        <v>102</v>
      </c>
      <c r="C105" s="173">
        <v>741</v>
      </c>
      <c r="D105" s="173">
        <v>557</v>
      </c>
      <c r="E105" s="173">
        <v>511</v>
      </c>
      <c r="F105" s="173">
        <v>148</v>
      </c>
      <c r="G105" s="173">
        <v>7</v>
      </c>
      <c r="H105" s="173">
        <v>0</v>
      </c>
      <c r="I105" s="173">
        <v>1964</v>
      </c>
    </row>
    <row r="106" spans="1:9">
      <c r="A106" s="161"/>
      <c r="B106" s="162" t="s">
        <v>103</v>
      </c>
      <c r="C106" s="173">
        <v>0</v>
      </c>
      <c r="D106" s="173">
        <v>0</v>
      </c>
      <c r="E106" s="173">
        <v>0</v>
      </c>
      <c r="F106" s="173">
        <v>0</v>
      </c>
      <c r="G106" s="173">
        <v>0</v>
      </c>
      <c r="H106" s="173">
        <v>0</v>
      </c>
      <c r="I106" s="173">
        <v>0</v>
      </c>
    </row>
    <row r="107" spans="1:9">
      <c r="A107" s="177"/>
      <c r="B107" s="178" t="s">
        <v>104</v>
      </c>
      <c r="C107" s="179">
        <v>1854</v>
      </c>
      <c r="D107" s="179">
        <v>1566</v>
      </c>
      <c r="E107" s="179">
        <v>1391</v>
      </c>
      <c r="F107" s="179">
        <v>409</v>
      </c>
      <c r="G107" s="179">
        <v>229</v>
      </c>
      <c r="H107" s="179">
        <v>0</v>
      </c>
      <c r="I107" s="179">
        <v>5449</v>
      </c>
    </row>
    <row r="108" spans="1:9">
      <c r="A108" s="161" t="s">
        <v>11</v>
      </c>
      <c r="B108" s="162" t="s">
        <v>36</v>
      </c>
      <c r="C108" s="173">
        <v>313</v>
      </c>
      <c r="D108" s="173">
        <v>213</v>
      </c>
      <c r="E108" s="173">
        <v>187</v>
      </c>
      <c r="F108" s="173">
        <v>59</v>
      </c>
      <c r="G108" s="173">
        <v>0</v>
      </c>
      <c r="H108" s="173">
        <v>0</v>
      </c>
      <c r="I108" s="173">
        <v>772</v>
      </c>
    </row>
    <row r="109" spans="1:9">
      <c r="A109" s="161"/>
      <c r="B109" s="162" t="s">
        <v>37</v>
      </c>
      <c r="C109" s="173">
        <v>321</v>
      </c>
      <c r="D109" s="173">
        <v>298</v>
      </c>
      <c r="E109" s="173">
        <v>303</v>
      </c>
      <c r="F109" s="173">
        <v>96</v>
      </c>
      <c r="G109" s="173">
        <v>0</v>
      </c>
      <c r="H109" s="173">
        <v>0</v>
      </c>
      <c r="I109" s="173">
        <v>1018</v>
      </c>
    </row>
    <row r="110" spans="1:9">
      <c r="A110" s="161"/>
      <c r="B110" s="162" t="s">
        <v>38</v>
      </c>
      <c r="C110" s="173">
        <v>89</v>
      </c>
      <c r="D110" s="173">
        <v>88</v>
      </c>
      <c r="E110" s="173">
        <v>108</v>
      </c>
      <c r="F110" s="173">
        <v>52</v>
      </c>
      <c r="G110" s="173">
        <v>0</v>
      </c>
      <c r="H110" s="173">
        <v>0</v>
      </c>
      <c r="I110" s="173">
        <v>337</v>
      </c>
    </row>
    <row r="111" spans="1:9">
      <c r="A111" s="161"/>
      <c r="B111" s="162" t="s">
        <v>39</v>
      </c>
      <c r="C111" s="173">
        <v>0</v>
      </c>
      <c r="D111" s="173">
        <v>0</v>
      </c>
      <c r="E111" s="173">
        <v>0</v>
      </c>
      <c r="F111" s="173">
        <v>0</v>
      </c>
      <c r="G111" s="173">
        <v>0</v>
      </c>
      <c r="H111" s="173">
        <v>0</v>
      </c>
      <c r="I111" s="173">
        <v>0</v>
      </c>
    </row>
    <row r="112" spans="1:9">
      <c r="A112" s="161"/>
      <c r="B112" s="162" t="s">
        <v>40</v>
      </c>
      <c r="C112" s="173">
        <v>96</v>
      </c>
      <c r="D112" s="173">
        <v>54</v>
      </c>
      <c r="E112" s="173">
        <v>96</v>
      </c>
      <c r="F112" s="173">
        <v>84</v>
      </c>
      <c r="G112" s="173">
        <v>0</v>
      </c>
      <c r="H112" s="173">
        <v>0</v>
      </c>
      <c r="I112" s="173">
        <v>330</v>
      </c>
    </row>
    <row r="113" spans="1:9">
      <c r="A113" s="161"/>
      <c r="B113" s="162" t="s">
        <v>41</v>
      </c>
      <c r="C113" s="173">
        <v>59</v>
      </c>
      <c r="D113" s="173">
        <v>29</v>
      </c>
      <c r="E113" s="173">
        <v>85</v>
      </c>
      <c r="F113" s="173">
        <v>54</v>
      </c>
      <c r="G113" s="173">
        <v>0</v>
      </c>
      <c r="H113" s="173">
        <v>0</v>
      </c>
      <c r="I113" s="173">
        <v>227</v>
      </c>
    </row>
    <row r="114" spans="1:9">
      <c r="A114" s="161"/>
      <c r="B114" s="166" t="s">
        <v>90</v>
      </c>
      <c r="C114" s="174">
        <f t="shared" ref="C114:I114" si="16">SUM(C108:C113)</f>
        <v>878</v>
      </c>
      <c r="D114" s="174">
        <f t="shared" si="16"/>
        <v>682</v>
      </c>
      <c r="E114" s="174">
        <f t="shared" si="16"/>
        <v>779</v>
      </c>
      <c r="F114" s="174">
        <f t="shared" si="16"/>
        <v>345</v>
      </c>
      <c r="G114" s="174">
        <f t="shared" si="16"/>
        <v>0</v>
      </c>
      <c r="H114" s="174">
        <f t="shared" si="16"/>
        <v>0</v>
      </c>
      <c r="I114" s="174">
        <f t="shared" si="16"/>
        <v>2684</v>
      </c>
    </row>
    <row r="115" spans="1:9">
      <c r="A115" s="161"/>
      <c r="B115" s="162" t="s">
        <v>102</v>
      </c>
      <c r="C115" s="173">
        <v>0</v>
      </c>
      <c r="D115" s="173">
        <v>0</v>
      </c>
      <c r="E115" s="173">
        <v>0</v>
      </c>
      <c r="F115" s="173">
        <v>0</v>
      </c>
      <c r="G115" s="173">
        <v>0</v>
      </c>
      <c r="H115" s="173">
        <v>2109.1999999999998</v>
      </c>
      <c r="I115" s="173">
        <v>2109.1999999999998</v>
      </c>
    </row>
    <row r="116" spans="1:9">
      <c r="A116" s="161"/>
      <c r="B116" s="162" t="s">
        <v>103</v>
      </c>
      <c r="C116" s="173">
        <v>0</v>
      </c>
      <c r="D116" s="173">
        <v>0</v>
      </c>
      <c r="E116" s="173">
        <v>0</v>
      </c>
      <c r="F116" s="173">
        <v>0</v>
      </c>
      <c r="G116" s="173">
        <v>0</v>
      </c>
      <c r="H116" s="173">
        <v>0</v>
      </c>
      <c r="I116" s="173">
        <v>0</v>
      </c>
    </row>
    <row r="117" spans="1:9">
      <c r="A117" s="177"/>
      <c r="B117" s="178" t="s">
        <v>104</v>
      </c>
      <c r="C117" s="179">
        <v>878</v>
      </c>
      <c r="D117" s="179">
        <v>682</v>
      </c>
      <c r="E117" s="179">
        <v>779</v>
      </c>
      <c r="F117" s="179">
        <v>345</v>
      </c>
      <c r="G117" s="179">
        <v>0</v>
      </c>
      <c r="H117" s="179">
        <v>2109.1999999999998</v>
      </c>
      <c r="I117" s="179">
        <v>4793.2</v>
      </c>
    </row>
    <row r="118" spans="1:9">
      <c r="A118" s="161" t="s">
        <v>12</v>
      </c>
      <c r="B118" s="162" t="s">
        <v>36</v>
      </c>
      <c r="C118" s="173">
        <v>1031</v>
      </c>
      <c r="D118" s="173">
        <v>671</v>
      </c>
      <c r="E118" s="173">
        <v>410</v>
      </c>
      <c r="F118" s="173">
        <v>31</v>
      </c>
      <c r="G118" s="173">
        <v>344</v>
      </c>
      <c r="H118" s="173">
        <v>0</v>
      </c>
      <c r="I118" s="173">
        <v>2487</v>
      </c>
    </row>
    <row r="119" spans="1:9">
      <c r="A119" s="161"/>
      <c r="B119" s="162" t="s">
        <v>37</v>
      </c>
      <c r="C119" s="173">
        <v>139</v>
      </c>
      <c r="D119" s="173">
        <v>166</v>
      </c>
      <c r="E119" s="173">
        <v>135</v>
      </c>
      <c r="F119" s="173">
        <v>14</v>
      </c>
      <c r="G119" s="173">
        <v>104</v>
      </c>
      <c r="H119" s="173">
        <v>0</v>
      </c>
      <c r="I119" s="173">
        <v>558</v>
      </c>
    </row>
    <row r="120" spans="1:9">
      <c r="A120" s="161"/>
      <c r="B120" s="162" t="s">
        <v>38</v>
      </c>
      <c r="C120" s="173">
        <v>817</v>
      </c>
      <c r="D120" s="173">
        <v>829</v>
      </c>
      <c r="E120" s="173">
        <v>841</v>
      </c>
      <c r="F120" s="173">
        <v>60</v>
      </c>
      <c r="G120" s="173">
        <v>437</v>
      </c>
      <c r="H120" s="173">
        <v>0</v>
      </c>
      <c r="I120" s="173">
        <v>2984</v>
      </c>
    </row>
    <row r="121" spans="1:9">
      <c r="A121" s="161"/>
      <c r="B121" s="162" t="s">
        <v>39</v>
      </c>
      <c r="C121" s="173">
        <v>99</v>
      </c>
      <c r="D121" s="173">
        <v>112</v>
      </c>
      <c r="E121" s="173">
        <v>112</v>
      </c>
      <c r="F121" s="173">
        <v>1</v>
      </c>
      <c r="G121" s="173">
        <v>35</v>
      </c>
      <c r="H121" s="173">
        <v>0</v>
      </c>
      <c r="I121" s="173">
        <v>359</v>
      </c>
    </row>
    <row r="122" spans="1:9">
      <c r="A122" s="161"/>
      <c r="B122" s="162" t="s">
        <v>40</v>
      </c>
      <c r="C122" s="173">
        <v>79</v>
      </c>
      <c r="D122" s="173">
        <v>106</v>
      </c>
      <c r="E122" s="173">
        <v>85</v>
      </c>
      <c r="F122" s="173">
        <v>7</v>
      </c>
      <c r="G122" s="173">
        <v>66</v>
      </c>
      <c r="H122" s="173">
        <v>0</v>
      </c>
      <c r="I122" s="173">
        <v>343</v>
      </c>
    </row>
    <row r="123" spans="1:9">
      <c r="A123" s="161"/>
      <c r="B123" s="162" t="s">
        <v>41</v>
      </c>
      <c r="C123" s="173">
        <v>117</v>
      </c>
      <c r="D123" s="173">
        <v>120</v>
      </c>
      <c r="E123" s="173">
        <v>83</v>
      </c>
      <c r="F123" s="173">
        <v>8</v>
      </c>
      <c r="G123" s="173">
        <v>74</v>
      </c>
      <c r="H123" s="173">
        <v>0</v>
      </c>
      <c r="I123" s="173">
        <v>402</v>
      </c>
    </row>
    <row r="124" spans="1:9">
      <c r="A124" s="161"/>
      <c r="B124" s="166" t="s">
        <v>90</v>
      </c>
      <c r="C124" s="174">
        <f t="shared" ref="C124:I124" si="17">SUM(C118:C123)</f>
        <v>2282</v>
      </c>
      <c r="D124" s="174">
        <f t="shared" si="17"/>
        <v>2004</v>
      </c>
      <c r="E124" s="174">
        <f t="shared" si="17"/>
        <v>1666</v>
      </c>
      <c r="F124" s="174">
        <f t="shared" si="17"/>
        <v>121</v>
      </c>
      <c r="G124" s="174">
        <f t="shared" si="17"/>
        <v>1060</v>
      </c>
      <c r="H124" s="174">
        <f t="shared" si="17"/>
        <v>0</v>
      </c>
      <c r="I124" s="174">
        <f t="shared" si="17"/>
        <v>7133</v>
      </c>
    </row>
    <row r="125" spans="1:9">
      <c r="A125" s="161"/>
      <c r="B125" s="162" t="s">
        <v>102</v>
      </c>
      <c r="C125" s="173">
        <v>0</v>
      </c>
      <c r="D125" s="173">
        <v>0</v>
      </c>
      <c r="E125" s="173">
        <v>0</v>
      </c>
      <c r="F125" s="173">
        <v>0</v>
      </c>
      <c r="G125" s="173">
        <v>0</v>
      </c>
      <c r="H125" s="173">
        <v>3956</v>
      </c>
      <c r="I125" s="173">
        <v>3956</v>
      </c>
    </row>
    <row r="126" spans="1:9">
      <c r="A126" s="161"/>
      <c r="B126" s="162" t="s">
        <v>103</v>
      </c>
      <c r="C126" s="173">
        <v>0</v>
      </c>
      <c r="D126" s="173">
        <v>0</v>
      </c>
      <c r="E126" s="173">
        <v>0</v>
      </c>
      <c r="F126" s="173">
        <v>0</v>
      </c>
      <c r="G126" s="173">
        <v>0</v>
      </c>
      <c r="H126" s="173">
        <v>0</v>
      </c>
      <c r="I126" s="173">
        <v>0</v>
      </c>
    </row>
    <row r="127" spans="1:9">
      <c r="A127" s="177"/>
      <c r="B127" s="178" t="s">
        <v>104</v>
      </c>
      <c r="C127" s="179">
        <v>2282</v>
      </c>
      <c r="D127" s="179">
        <v>2004</v>
      </c>
      <c r="E127" s="179">
        <v>1666</v>
      </c>
      <c r="F127" s="179">
        <v>121</v>
      </c>
      <c r="G127" s="179">
        <v>1060</v>
      </c>
      <c r="H127" s="179">
        <v>3956</v>
      </c>
      <c r="I127" s="179">
        <v>11089</v>
      </c>
    </row>
    <row r="128" spans="1:9">
      <c r="A128" s="161" t="s">
        <v>13</v>
      </c>
      <c r="B128" s="162" t="s">
        <v>36</v>
      </c>
      <c r="C128" s="173">
        <v>564</v>
      </c>
      <c r="D128" s="173">
        <v>436</v>
      </c>
      <c r="E128" s="173">
        <v>407</v>
      </c>
      <c r="F128" s="173">
        <v>50</v>
      </c>
      <c r="G128" s="173">
        <v>0</v>
      </c>
      <c r="H128" s="173">
        <v>0</v>
      </c>
      <c r="I128" s="173">
        <v>1457</v>
      </c>
    </row>
    <row r="129" spans="1:9">
      <c r="A129" s="161"/>
      <c r="B129" s="162" t="s">
        <v>37</v>
      </c>
      <c r="C129" s="173">
        <v>0</v>
      </c>
      <c r="D129" s="173">
        <v>0</v>
      </c>
      <c r="E129" s="173">
        <v>0</v>
      </c>
      <c r="F129" s="173">
        <v>0</v>
      </c>
      <c r="G129" s="173">
        <v>0</v>
      </c>
      <c r="H129" s="173">
        <v>0</v>
      </c>
      <c r="I129" s="173">
        <v>0</v>
      </c>
    </row>
    <row r="130" spans="1:9">
      <c r="A130" s="161"/>
      <c r="B130" s="162" t="s">
        <v>38</v>
      </c>
      <c r="C130" s="173">
        <v>107</v>
      </c>
      <c r="D130" s="173">
        <v>64</v>
      </c>
      <c r="E130" s="173">
        <v>169</v>
      </c>
      <c r="F130" s="173">
        <v>47</v>
      </c>
      <c r="G130" s="173">
        <v>1</v>
      </c>
      <c r="H130" s="173">
        <v>0</v>
      </c>
      <c r="I130" s="173">
        <v>388</v>
      </c>
    </row>
    <row r="131" spans="1:9">
      <c r="A131" s="161"/>
      <c r="B131" s="162" t="s">
        <v>39</v>
      </c>
      <c r="C131" s="173">
        <v>131</v>
      </c>
      <c r="D131" s="173">
        <v>96</v>
      </c>
      <c r="E131" s="173">
        <v>133</v>
      </c>
      <c r="F131" s="173">
        <v>122</v>
      </c>
      <c r="G131" s="173">
        <v>0</v>
      </c>
      <c r="H131" s="173">
        <v>0</v>
      </c>
      <c r="I131" s="173">
        <v>482</v>
      </c>
    </row>
    <row r="132" spans="1:9">
      <c r="A132" s="161"/>
      <c r="B132" s="162" t="s">
        <v>40</v>
      </c>
      <c r="C132" s="173">
        <v>83</v>
      </c>
      <c r="D132" s="173">
        <v>55</v>
      </c>
      <c r="E132" s="173">
        <v>150</v>
      </c>
      <c r="F132" s="173">
        <v>93</v>
      </c>
      <c r="G132" s="173">
        <v>0</v>
      </c>
      <c r="H132" s="173">
        <v>0</v>
      </c>
      <c r="I132" s="173">
        <v>381</v>
      </c>
    </row>
    <row r="133" spans="1:9">
      <c r="A133" s="161"/>
      <c r="B133" s="162" t="s">
        <v>41</v>
      </c>
      <c r="C133" s="173">
        <v>79</v>
      </c>
      <c r="D133" s="173">
        <v>90</v>
      </c>
      <c r="E133" s="173">
        <v>113</v>
      </c>
      <c r="F133" s="173">
        <v>64</v>
      </c>
      <c r="G133" s="173">
        <v>0</v>
      </c>
      <c r="H133" s="173">
        <v>0</v>
      </c>
      <c r="I133" s="173">
        <v>346</v>
      </c>
    </row>
    <row r="134" spans="1:9">
      <c r="A134" s="161"/>
      <c r="B134" s="166" t="s">
        <v>90</v>
      </c>
      <c r="C134" s="174">
        <f t="shared" ref="C134:I134" si="18">SUM(C128:C133)</f>
        <v>964</v>
      </c>
      <c r="D134" s="174">
        <f t="shared" si="18"/>
        <v>741</v>
      </c>
      <c r="E134" s="174">
        <f t="shared" si="18"/>
        <v>972</v>
      </c>
      <c r="F134" s="174">
        <f t="shared" si="18"/>
        <v>376</v>
      </c>
      <c r="G134" s="174">
        <f t="shared" si="18"/>
        <v>1</v>
      </c>
      <c r="H134" s="174">
        <f t="shared" si="18"/>
        <v>0</v>
      </c>
      <c r="I134" s="174">
        <f t="shared" si="18"/>
        <v>3054</v>
      </c>
    </row>
    <row r="135" spans="1:9">
      <c r="A135" s="161"/>
      <c r="B135" s="162" t="s">
        <v>102</v>
      </c>
      <c r="C135" s="173">
        <v>13</v>
      </c>
      <c r="D135" s="173">
        <v>13</v>
      </c>
      <c r="E135" s="173">
        <v>17</v>
      </c>
      <c r="F135" s="173">
        <v>116</v>
      </c>
      <c r="G135" s="173">
        <v>0</v>
      </c>
      <c r="H135" s="173">
        <v>1099</v>
      </c>
      <c r="I135" s="173">
        <v>1258</v>
      </c>
    </row>
    <row r="136" spans="1:9">
      <c r="A136" s="161"/>
      <c r="B136" s="162" t="s">
        <v>103</v>
      </c>
      <c r="C136" s="173">
        <v>0</v>
      </c>
      <c r="D136" s="173">
        <v>0</v>
      </c>
      <c r="E136" s="173">
        <v>0</v>
      </c>
      <c r="F136" s="173">
        <v>0</v>
      </c>
      <c r="G136" s="173">
        <v>0</v>
      </c>
      <c r="H136" s="173">
        <v>0</v>
      </c>
      <c r="I136" s="173">
        <v>0</v>
      </c>
    </row>
    <row r="137" spans="1:9">
      <c r="A137" s="177"/>
      <c r="B137" s="178" t="s">
        <v>104</v>
      </c>
      <c r="C137" s="179">
        <v>977</v>
      </c>
      <c r="D137" s="179">
        <v>754</v>
      </c>
      <c r="E137" s="179">
        <v>989</v>
      </c>
      <c r="F137" s="179">
        <v>492</v>
      </c>
      <c r="G137" s="179">
        <v>1</v>
      </c>
      <c r="H137" s="179">
        <v>1099</v>
      </c>
      <c r="I137" s="179">
        <v>4312</v>
      </c>
    </row>
    <row r="138" spans="1:9">
      <c r="A138" s="161" t="s">
        <v>14</v>
      </c>
      <c r="B138" s="162" t="s">
        <v>36</v>
      </c>
      <c r="C138" s="173">
        <v>409</v>
      </c>
      <c r="D138" s="173">
        <v>322</v>
      </c>
      <c r="E138" s="173">
        <v>198</v>
      </c>
      <c r="F138" s="173">
        <v>59</v>
      </c>
      <c r="G138" s="173">
        <v>29</v>
      </c>
      <c r="H138" s="173">
        <v>0</v>
      </c>
      <c r="I138" s="173">
        <v>1017</v>
      </c>
    </row>
    <row r="139" spans="1:9">
      <c r="A139" s="161"/>
      <c r="B139" s="162" t="s">
        <v>37</v>
      </c>
      <c r="C139" s="173">
        <v>333</v>
      </c>
      <c r="D139" s="173">
        <v>224</v>
      </c>
      <c r="E139" s="173">
        <v>173</v>
      </c>
      <c r="F139" s="173">
        <v>42</v>
      </c>
      <c r="G139" s="173">
        <v>43</v>
      </c>
      <c r="H139" s="173">
        <v>0</v>
      </c>
      <c r="I139" s="173">
        <v>815</v>
      </c>
    </row>
    <row r="140" spans="1:9">
      <c r="A140" s="161"/>
      <c r="B140" s="162" t="s">
        <v>38</v>
      </c>
      <c r="C140" s="173">
        <v>83</v>
      </c>
      <c r="D140" s="173">
        <v>74</v>
      </c>
      <c r="E140" s="173">
        <v>65</v>
      </c>
      <c r="F140" s="173">
        <v>17</v>
      </c>
      <c r="G140" s="173">
        <v>2</v>
      </c>
      <c r="H140" s="173">
        <v>0</v>
      </c>
      <c r="I140" s="173">
        <v>241</v>
      </c>
    </row>
    <row r="141" spans="1:9">
      <c r="A141" s="161"/>
      <c r="B141" s="162" t="s">
        <v>39</v>
      </c>
      <c r="C141" s="173">
        <v>0</v>
      </c>
      <c r="D141" s="173">
        <v>0</v>
      </c>
      <c r="E141" s="173">
        <v>0</v>
      </c>
      <c r="F141" s="173">
        <v>0</v>
      </c>
      <c r="G141" s="173">
        <v>0</v>
      </c>
      <c r="H141" s="173">
        <v>0</v>
      </c>
      <c r="I141" s="173">
        <v>0</v>
      </c>
    </row>
    <row r="142" spans="1:9">
      <c r="A142" s="161"/>
      <c r="B142" s="162" t="s">
        <v>40</v>
      </c>
      <c r="C142" s="173">
        <v>264</v>
      </c>
      <c r="D142" s="173">
        <v>240</v>
      </c>
      <c r="E142" s="173">
        <v>267</v>
      </c>
      <c r="F142" s="173">
        <v>103</v>
      </c>
      <c r="G142" s="173">
        <v>25</v>
      </c>
      <c r="H142" s="173">
        <v>0</v>
      </c>
      <c r="I142" s="173">
        <v>899</v>
      </c>
    </row>
    <row r="143" spans="1:9">
      <c r="A143" s="161"/>
      <c r="B143" s="162" t="s">
        <v>41</v>
      </c>
      <c r="C143" s="173">
        <v>145</v>
      </c>
      <c r="D143" s="173">
        <v>163</v>
      </c>
      <c r="E143" s="173">
        <v>145</v>
      </c>
      <c r="F143" s="173">
        <v>71</v>
      </c>
      <c r="G143" s="173">
        <v>7</v>
      </c>
      <c r="H143" s="173">
        <v>0</v>
      </c>
      <c r="I143" s="173">
        <v>531</v>
      </c>
    </row>
    <row r="144" spans="1:9">
      <c r="A144" s="161"/>
      <c r="B144" s="166" t="s">
        <v>90</v>
      </c>
      <c r="C144" s="174">
        <f t="shared" ref="C144:I144" si="19">SUM(C138:C143)</f>
        <v>1234</v>
      </c>
      <c r="D144" s="174">
        <f t="shared" si="19"/>
        <v>1023</v>
      </c>
      <c r="E144" s="174">
        <f t="shared" si="19"/>
        <v>848</v>
      </c>
      <c r="F144" s="174">
        <f t="shared" si="19"/>
        <v>292</v>
      </c>
      <c r="G144" s="174">
        <f t="shared" si="19"/>
        <v>106</v>
      </c>
      <c r="H144" s="174">
        <f t="shared" si="19"/>
        <v>0</v>
      </c>
      <c r="I144" s="174">
        <f t="shared" si="19"/>
        <v>3503</v>
      </c>
    </row>
    <row r="145" spans="1:9">
      <c r="A145" s="161"/>
      <c r="B145" s="162" t="s">
        <v>102</v>
      </c>
      <c r="C145" s="173">
        <v>42</v>
      </c>
      <c r="D145" s="173">
        <v>41</v>
      </c>
      <c r="E145" s="173">
        <v>29</v>
      </c>
      <c r="F145" s="173">
        <v>561</v>
      </c>
      <c r="G145" s="173">
        <v>929</v>
      </c>
      <c r="H145" s="173">
        <v>0</v>
      </c>
      <c r="I145" s="173">
        <v>1602</v>
      </c>
    </row>
    <row r="146" spans="1:9">
      <c r="A146" s="161"/>
      <c r="B146" s="162" t="s">
        <v>103</v>
      </c>
      <c r="C146" s="173">
        <v>0</v>
      </c>
      <c r="D146" s="173">
        <v>0</v>
      </c>
      <c r="E146" s="173">
        <v>0</v>
      </c>
      <c r="F146" s="173">
        <v>0</v>
      </c>
      <c r="G146" s="173">
        <v>0</v>
      </c>
      <c r="H146" s="173">
        <v>0</v>
      </c>
      <c r="I146" s="173">
        <v>0</v>
      </c>
    </row>
    <row r="147" spans="1:9">
      <c r="A147" s="177"/>
      <c r="B147" s="178" t="s">
        <v>104</v>
      </c>
      <c r="C147" s="179">
        <v>1276</v>
      </c>
      <c r="D147" s="179">
        <v>1064</v>
      </c>
      <c r="E147" s="179">
        <v>877</v>
      </c>
      <c r="F147" s="179">
        <v>853</v>
      </c>
      <c r="G147" s="179">
        <v>1035</v>
      </c>
      <c r="H147" s="179">
        <v>0</v>
      </c>
      <c r="I147" s="179">
        <v>5105</v>
      </c>
    </row>
    <row r="148" spans="1:9">
      <c r="A148" s="161" t="s">
        <v>15</v>
      </c>
      <c r="B148" s="162" t="s">
        <v>36</v>
      </c>
      <c r="C148" s="173">
        <v>558</v>
      </c>
      <c r="D148" s="173">
        <v>323</v>
      </c>
      <c r="E148" s="173">
        <v>194</v>
      </c>
      <c r="F148" s="173">
        <v>56</v>
      </c>
      <c r="G148" s="173">
        <v>9</v>
      </c>
      <c r="H148" s="173">
        <v>0</v>
      </c>
      <c r="I148" s="173">
        <v>1140</v>
      </c>
    </row>
    <row r="149" spans="1:9">
      <c r="A149" s="161"/>
      <c r="B149" s="162" t="s">
        <v>37</v>
      </c>
      <c r="C149" s="173">
        <v>273</v>
      </c>
      <c r="D149" s="173">
        <v>210</v>
      </c>
      <c r="E149" s="173">
        <v>207</v>
      </c>
      <c r="F149" s="173">
        <v>69</v>
      </c>
      <c r="G149" s="173">
        <v>0</v>
      </c>
      <c r="H149" s="173">
        <v>0</v>
      </c>
      <c r="I149" s="173">
        <v>759</v>
      </c>
    </row>
    <row r="150" spans="1:9">
      <c r="A150" s="161"/>
      <c r="B150" s="162" t="s">
        <v>38</v>
      </c>
      <c r="C150" s="173">
        <v>449</v>
      </c>
      <c r="D150" s="173">
        <v>364</v>
      </c>
      <c r="E150" s="173">
        <v>502</v>
      </c>
      <c r="F150" s="173">
        <v>162</v>
      </c>
      <c r="G150" s="173">
        <v>1</v>
      </c>
      <c r="H150" s="173">
        <v>0</v>
      </c>
      <c r="I150" s="173">
        <v>1478</v>
      </c>
    </row>
    <row r="151" spans="1:9">
      <c r="A151" s="161"/>
      <c r="B151" s="162" t="s">
        <v>39</v>
      </c>
      <c r="C151" s="173">
        <v>356</v>
      </c>
      <c r="D151" s="173">
        <v>206</v>
      </c>
      <c r="E151" s="173">
        <v>307</v>
      </c>
      <c r="F151" s="173">
        <v>50</v>
      </c>
      <c r="G151" s="173">
        <v>0</v>
      </c>
      <c r="H151" s="173">
        <v>0</v>
      </c>
      <c r="I151" s="173">
        <v>919</v>
      </c>
    </row>
    <row r="152" spans="1:9">
      <c r="A152" s="161"/>
      <c r="B152" s="162" t="s">
        <v>40</v>
      </c>
      <c r="C152" s="173">
        <v>103</v>
      </c>
      <c r="D152" s="173">
        <v>54</v>
      </c>
      <c r="E152" s="173">
        <v>51</v>
      </c>
      <c r="F152" s="173">
        <v>17</v>
      </c>
      <c r="G152" s="173">
        <v>0</v>
      </c>
      <c r="H152" s="173">
        <v>0</v>
      </c>
      <c r="I152" s="173">
        <v>225</v>
      </c>
    </row>
    <row r="153" spans="1:9">
      <c r="A153" s="161"/>
      <c r="B153" s="162" t="s">
        <v>41</v>
      </c>
      <c r="C153" s="173">
        <v>0</v>
      </c>
      <c r="D153" s="173">
        <v>0</v>
      </c>
      <c r="E153" s="173">
        <v>0</v>
      </c>
      <c r="F153" s="173">
        <v>0</v>
      </c>
      <c r="G153" s="173">
        <v>0</v>
      </c>
      <c r="H153" s="173">
        <v>0</v>
      </c>
      <c r="I153" s="173">
        <v>0</v>
      </c>
    </row>
    <row r="154" spans="1:9">
      <c r="A154" s="161"/>
      <c r="B154" s="166" t="s">
        <v>90</v>
      </c>
      <c r="C154" s="174">
        <f t="shared" ref="C154:I154" si="20">SUM(C148:C153)</f>
        <v>1739</v>
      </c>
      <c r="D154" s="174">
        <f t="shared" si="20"/>
        <v>1157</v>
      </c>
      <c r="E154" s="174">
        <f t="shared" si="20"/>
        <v>1261</v>
      </c>
      <c r="F154" s="174">
        <f t="shared" si="20"/>
        <v>354</v>
      </c>
      <c r="G154" s="174">
        <f t="shared" si="20"/>
        <v>10</v>
      </c>
      <c r="H154" s="174">
        <f t="shared" si="20"/>
        <v>0</v>
      </c>
      <c r="I154" s="174">
        <f t="shared" si="20"/>
        <v>4521</v>
      </c>
    </row>
    <row r="155" spans="1:9">
      <c r="A155" s="161"/>
      <c r="B155" s="162" t="s">
        <v>102</v>
      </c>
      <c r="C155" s="173">
        <v>147</v>
      </c>
      <c r="D155" s="173">
        <v>589</v>
      </c>
      <c r="E155" s="173">
        <v>409</v>
      </c>
      <c r="F155" s="173">
        <v>395</v>
      </c>
      <c r="G155" s="173">
        <v>2</v>
      </c>
      <c r="H155" s="173">
        <v>17</v>
      </c>
      <c r="I155" s="173">
        <v>1559</v>
      </c>
    </row>
    <row r="156" spans="1:9">
      <c r="A156" s="161"/>
      <c r="B156" s="162" t="s">
        <v>103</v>
      </c>
      <c r="C156" s="173">
        <v>0</v>
      </c>
      <c r="D156" s="173">
        <v>0</v>
      </c>
      <c r="E156" s="173">
        <v>0</v>
      </c>
      <c r="F156" s="173">
        <v>0</v>
      </c>
      <c r="G156" s="173">
        <v>0</v>
      </c>
      <c r="H156" s="173">
        <v>436</v>
      </c>
      <c r="I156" s="173">
        <v>436</v>
      </c>
    </row>
    <row r="157" spans="1:9">
      <c r="A157" s="177"/>
      <c r="B157" s="178" t="s">
        <v>104</v>
      </c>
      <c r="C157" s="179">
        <v>1886</v>
      </c>
      <c r="D157" s="179">
        <v>1746</v>
      </c>
      <c r="E157" s="179">
        <v>1670</v>
      </c>
      <c r="F157" s="179">
        <v>749</v>
      </c>
      <c r="G157" s="179">
        <v>12</v>
      </c>
      <c r="H157" s="179">
        <v>453</v>
      </c>
      <c r="I157" s="179">
        <v>6516</v>
      </c>
    </row>
    <row r="158" spans="1:9">
      <c r="A158" s="161" t="s">
        <v>16</v>
      </c>
      <c r="B158" s="162" t="s">
        <v>36</v>
      </c>
      <c r="C158" s="183">
        <v>2610</v>
      </c>
      <c r="D158" s="173">
        <v>1694</v>
      </c>
      <c r="E158" s="173">
        <v>1536</v>
      </c>
      <c r="F158" s="173">
        <v>111</v>
      </c>
      <c r="G158" s="173">
        <v>415</v>
      </c>
      <c r="H158" s="173">
        <v>0</v>
      </c>
      <c r="I158" s="173">
        <v>6366</v>
      </c>
    </row>
    <row r="159" spans="1:9">
      <c r="A159" s="161"/>
      <c r="B159" s="162" t="s">
        <v>37</v>
      </c>
      <c r="C159" s="183">
        <v>310</v>
      </c>
      <c r="D159" s="173">
        <v>285</v>
      </c>
      <c r="E159" s="173">
        <v>187</v>
      </c>
      <c r="F159" s="173">
        <v>1</v>
      </c>
      <c r="G159" s="173">
        <v>68</v>
      </c>
      <c r="H159" s="173">
        <v>0</v>
      </c>
      <c r="I159" s="173">
        <v>851</v>
      </c>
    </row>
    <row r="160" spans="1:9">
      <c r="A160" s="161"/>
      <c r="B160" s="162" t="s">
        <v>38</v>
      </c>
      <c r="C160" s="183">
        <v>1217</v>
      </c>
      <c r="D160" s="173">
        <v>987</v>
      </c>
      <c r="E160" s="173">
        <v>1167</v>
      </c>
      <c r="F160" s="173">
        <v>359</v>
      </c>
      <c r="G160" s="173">
        <v>321</v>
      </c>
      <c r="H160" s="173">
        <v>0</v>
      </c>
      <c r="I160" s="173">
        <v>4051</v>
      </c>
    </row>
    <row r="161" spans="1:10">
      <c r="A161" s="161"/>
      <c r="B161" s="162" t="s">
        <v>39</v>
      </c>
      <c r="C161" s="183">
        <v>297</v>
      </c>
      <c r="D161" s="173">
        <v>312</v>
      </c>
      <c r="E161" s="173">
        <v>369</v>
      </c>
      <c r="F161" s="173">
        <v>164</v>
      </c>
      <c r="G161" s="173">
        <v>127</v>
      </c>
      <c r="H161" s="173">
        <v>0</v>
      </c>
      <c r="I161" s="173">
        <v>1269</v>
      </c>
    </row>
    <row r="162" spans="1:10">
      <c r="A162" s="161"/>
      <c r="B162" s="162" t="s">
        <v>40</v>
      </c>
      <c r="C162" s="183">
        <v>43</v>
      </c>
      <c r="D162" s="173">
        <v>69</v>
      </c>
      <c r="E162" s="173">
        <v>103</v>
      </c>
      <c r="F162" s="173">
        <v>33</v>
      </c>
      <c r="G162" s="173">
        <v>16</v>
      </c>
      <c r="H162" s="173">
        <v>0</v>
      </c>
      <c r="I162" s="173">
        <v>264</v>
      </c>
    </row>
    <row r="163" spans="1:10">
      <c r="A163" s="161"/>
      <c r="B163" s="162" t="s">
        <v>41</v>
      </c>
      <c r="C163" s="183">
        <v>20</v>
      </c>
      <c r="D163" s="173">
        <v>52</v>
      </c>
      <c r="E163" s="173">
        <v>50</v>
      </c>
      <c r="F163" s="173">
        <v>4</v>
      </c>
      <c r="G163" s="173">
        <v>31</v>
      </c>
      <c r="H163" s="173">
        <v>0</v>
      </c>
      <c r="I163" s="173">
        <v>157</v>
      </c>
    </row>
    <row r="164" spans="1:10">
      <c r="A164" s="161"/>
      <c r="B164" s="166" t="s">
        <v>90</v>
      </c>
      <c r="C164" s="174">
        <f t="shared" ref="C164:I164" si="21">SUM(C158:C163)</f>
        <v>4497</v>
      </c>
      <c r="D164" s="174">
        <f t="shared" si="21"/>
        <v>3399</v>
      </c>
      <c r="E164" s="174">
        <f t="shared" si="21"/>
        <v>3412</v>
      </c>
      <c r="F164" s="174">
        <f t="shared" si="21"/>
        <v>672</v>
      </c>
      <c r="G164" s="174">
        <f t="shared" si="21"/>
        <v>978</v>
      </c>
      <c r="H164" s="174">
        <f t="shared" si="21"/>
        <v>0</v>
      </c>
      <c r="I164" s="174">
        <f t="shared" si="21"/>
        <v>12958</v>
      </c>
    </row>
    <row r="165" spans="1:10">
      <c r="A165" s="161"/>
      <c r="B165" s="162" t="s">
        <v>102</v>
      </c>
      <c r="C165" s="183">
        <v>0</v>
      </c>
      <c r="D165" s="173">
        <v>0</v>
      </c>
      <c r="E165" s="173">
        <v>0</v>
      </c>
      <c r="F165" s="173">
        <v>0</v>
      </c>
      <c r="G165" s="173">
        <v>0</v>
      </c>
      <c r="H165" s="173">
        <v>8215</v>
      </c>
      <c r="I165" s="173">
        <v>8215</v>
      </c>
    </row>
    <row r="166" spans="1:10">
      <c r="A166" s="161"/>
      <c r="B166" s="162" t="s">
        <v>103</v>
      </c>
      <c r="C166" s="183">
        <v>0</v>
      </c>
      <c r="D166" s="173">
        <v>0</v>
      </c>
      <c r="E166" s="173">
        <v>0</v>
      </c>
      <c r="F166" s="173">
        <v>0</v>
      </c>
      <c r="G166" s="173">
        <v>0</v>
      </c>
      <c r="H166" s="173">
        <v>0</v>
      </c>
      <c r="I166" s="173">
        <v>0</v>
      </c>
    </row>
    <row r="167" spans="1:10">
      <c r="A167" s="171"/>
      <c r="B167" s="164" t="s">
        <v>104</v>
      </c>
      <c r="C167" s="172">
        <v>4497</v>
      </c>
      <c r="D167" s="172">
        <v>3399</v>
      </c>
      <c r="E167" s="172">
        <v>3412</v>
      </c>
      <c r="F167" s="172">
        <v>672</v>
      </c>
      <c r="G167" s="172">
        <v>978</v>
      </c>
      <c r="H167" s="172">
        <v>8215</v>
      </c>
      <c r="I167" s="172">
        <v>21173</v>
      </c>
    </row>
    <row r="168" spans="1:10">
      <c r="A168" s="184" t="s">
        <v>17</v>
      </c>
      <c r="B168" s="185" t="s">
        <v>36</v>
      </c>
      <c r="C168" s="186">
        <v>1067</v>
      </c>
      <c r="D168" s="186">
        <v>806</v>
      </c>
      <c r="E168" s="186">
        <v>445</v>
      </c>
      <c r="F168" s="186">
        <v>103</v>
      </c>
      <c r="G168" s="186">
        <v>32</v>
      </c>
      <c r="H168" s="186">
        <v>0</v>
      </c>
      <c r="I168" s="186">
        <v>2453</v>
      </c>
      <c r="J168" s="176"/>
    </row>
    <row r="169" spans="1:10">
      <c r="A169" s="171"/>
      <c r="B169" s="164" t="s">
        <v>37</v>
      </c>
      <c r="C169" s="172">
        <v>787</v>
      </c>
      <c r="D169" s="172">
        <v>929</v>
      </c>
      <c r="E169" s="172">
        <v>642</v>
      </c>
      <c r="F169" s="172">
        <v>159</v>
      </c>
      <c r="G169" s="172">
        <v>50</v>
      </c>
      <c r="H169" s="172">
        <v>0</v>
      </c>
      <c r="I169" s="172">
        <v>2567</v>
      </c>
    </row>
    <row r="170" spans="1:10">
      <c r="A170" s="161"/>
      <c r="B170" s="162" t="s">
        <v>38</v>
      </c>
      <c r="C170" s="173">
        <v>202</v>
      </c>
      <c r="D170" s="173">
        <v>154</v>
      </c>
      <c r="E170" s="173">
        <v>130</v>
      </c>
      <c r="F170" s="173">
        <v>34</v>
      </c>
      <c r="G170" s="173">
        <v>0</v>
      </c>
      <c r="H170" s="173">
        <v>0</v>
      </c>
      <c r="I170" s="173">
        <v>520</v>
      </c>
    </row>
    <row r="171" spans="1:10">
      <c r="A171" s="161"/>
      <c r="B171" s="162" t="s">
        <v>39</v>
      </c>
      <c r="C171" s="173">
        <v>279</v>
      </c>
      <c r="D171" s="173">
        <v>262</v>
      </c>
      <c r="E171" s="173">
        <v>239</v>
      </c>
      <c r="F171" s="173">
        <v>90</v>
      </c>
      <c r="G171" s="173">
        <v>8</v>
      </c>
      <c r="H171" s="173">
        <v>0</v>
      </c>
      <c r="I171" s="173">
        <v>878</v>
      </c>
    </row>
    <row r="172" spans="1:10">
      <c r="A172" s="161"/>
      <c r="B172" s="162" t="s">
        <v>40</v>
      </c>
      <c r="C172" s="173">
        <v>38</v>
      </c>
      <c r="D172" s="173">
        <v>49</v>
      </c>
      <c r="E172" s="173">
        <v>54</v>
      </c>
      <c r="F172" s="173">
        <v>12</v>
      </c>
      <c r="G172" s="173">
        <v>0</v>
      </c>
      <c r="H172" s="173">
        <v>0</v>
      </c>
      <c r="I172" s="173">
        <v>153</v>
      </c>
    </row>
    <row r="173" spans="1:10">
      <c r="A173" s="161"/>
      <c r="B173" s="162" t="s">
        <v>41</v>
      </c>
      <c r="C173" s="173">
        <v>125</v>
      </c>
      <c r="D173" s="173">
        <v>94</v>
      </c>
      <c r="E173" s="173">
        <v>150</v>
      </c>
      <c r="F173" s="173">
        <v>17</v>
      </c>
      <c r="G173" s="173">
        <v>13</v>
      </c>
      <c r="H173" s="173">
        <v>0</v>
      </c>
      <c r="I173" s="173">
        <v>399</v>
      </c>
    </row>
    <row r="174" spans="1:10">
      <c r="A174" s="161"/>
      <c r="B174" s="166" t="s">
        <v>90</v>
      </c>
      <c r="C174" s="174">
        <f t="shared" ref="C174:I174" si="22">SUM(C168:C173)</f>
        <v>2498</v>
      </c>
      <c r="D174" s="174">
        <f t="shared" si="22"/>
        <v>2294</v>
      </c>
      <c r="E174" s="174">
        <f t="shared" si="22"/>
        <v>1660</v>
      </c>
      <c r="F174" s="174">
        <f t="shared" si="22"/>
        <v>415</v>
      </c>
      <c r="G174" s="174">
        <f t="shared" si="22"/>
        <v>103</v>
      </c>
      <c r="H174" s="174">
        <f t="shared" si="22"/>
        <v>0</v>
      </c>
      <c r="I174" s="174">
        <f t="shared" si="22"/>
        <v>6970</v>
      </c>
    </row>
    <row r="175" spans="1:10">
      <c r="A175" s="161"/>
      <c r="B175" s="162" t="s">
        <v>102</v>
      </c>
      <c r="C175" s="173">
        <v>391</v>
      </c>
      <c r="D175" s="173">
        <v>674</v>
      </c>
      <c r="E175" s="173">
        <v>618</v>
      </c>
      <c r="F175" s="173">
        <v>285</v>
      </c>
      <c r="G175" s="173">
        <v>8</v>
      </c>
      <c r="H175" s="173">
        <v>0</v>
      </c>
      <c r="I175" s="173">
        <v>1976</v>
      </c>
    </row>
    <row r="176" spans="1:10">
      <c r="A176" s="161"/>
      <c r="B176" s="162" t="s">
        <v>103</v>
      </c>
      <c r="C176" s="173">
        <v>0</v>
      </c>
      <c r="D176" s="173">
        <v>0</v>
      </c>
      <c r="E176" s="173">
        <v>0</v>
      </c>
      <c r="F176" s="173">
        <v>0</v>
      </c>
      <c r="G176" s="173">
        <v>0</v>
      </c>
      <c r="H176" s="173">
        <v>0</v>
      </c>
      <c r="I176" s="173">
        <v>0</v>
      </c>
    </row>
    <row r="177" spans="1:9">
      <c r="A177" s="177"/>
      <c r="B177" s="178" t="s">
        <v>104</v>
      </c>
      <c r="C177" s="179">
        <v>2889</v>
      </c>
      <c r="D177" s="179">
        <v>2968</v>
      </c>
      <c r="E177" s="179">
        <v>2278</v>
      </c>
      <c r="F177" s="179">
        <v>700</v>
      </c>
      <c r="G177" s="179">
        <v>111</v>
      </c>
      <c r="H177" s="179">
        <v>0</v>
      </c>
      <c r="I177" s="179">
        <v>8946</v>
      </c>
    </row>
    <row r="178" spans="1:9">
      <c r="A178" s="161" t="s">
        <v>18</v>
      </c>
      <c r="B178" s="162" t="s">
        <v>36</v>
      </c>
      <c r="C178" s="173">
        <v>374</v>
      </c>
      <c r="D178" s="173">
        <v>243</v>
      </c>
      <c r="E178" s="173">
        <v>283</v>
      </c>
      <c r="F178" s="173">
        <v>27</v>
      </c>
      <c r="G178" s="173">
        <v>22</v>
      </c>
      <c r="H178" s="173">
        <v>0</v>
      </c>
      <c r="I178" s="173">
        <v>949</v>
      </c>
    </row>
    <row r="179" spans="1:9">
      <c r="A179" s="161"/>
      <c r="B179" s="162" t="s">
        <v>37</v>
      </c>
      <c r="C179" s="173">
        <v>0</v>
      </c>
      <c r="D179" s="173">
        <v>0</v>
      </c>
      <c r="E179" s="173">
        <v>0</v>
      </c>
      <c r="F179" s="173">
        <v>0</v>
      </c>
      <c r="G179" s="173">
        <v>0</v>
      </c>
      <c r="H179" s="173">
        <v>0</v>
      </c>
      <c r="I179" s="173">
        <v>0</v>
      </c>
    </row>
    <row r="180" spans="1:9">
      <c r="A180" s="161"/>
      <c r="B180" s="162" t="s">
        <v>38</v>
      </c>
      <c r="C180" s="173">
        <v>152</v>
      </c>
      <c r="D180" s="173">
        <v>125</v>
      </c>
      <c r="E180" s="173">
        <v>102</v>
      </c>
      <c r="F180" s="173">
        <v>21</v>
      </c>
      <c r="G180" s="173">
        <v>0</v>
      </c>
      <c r="H180" s="173">
        <v>0</v>
      </c>
      <c r="I180" s="173">
        <v>400</v>
      </c>
    </row>
    <row r="181" spans="1:9">
      <c r="A181" s="161"/>
      <c r="B181" s="162" t="s">
        <v>39</v>
      </c>
      <c r="C181" s="173">
        <v>0</v>
      </c>
      <c r="D181" s="173">
        <v>0</v>
      </c>
      <c r="E181" s="173">
        <v>0</v>
      </c>
      <c r="F181" s="173">
        <v>0</v>
      </c>
      <c r="G181" s="173">
        <v>0</v>
      </c>
      <c r="H181" s="173">
        <v>0</v>
      </c>
      <c r="I181" s="173">
        <v>0</v>
      </c>
    </row>
    <row r="182" spans="1:9">
      <c r="A182" s="161"/>
      <c r="B182" s="162" t="s">
        <v>40</v>
      </c>
      <c r="C182" s="173">
        <v>0</v>
      </c>
      <c r="D182" s="173">
        <v>0</v>
      </c>
      <c r="E182" s="173">
        <v>0</v>
      </c>
      <c r="F182" s="173">
        <v>0</v>
      </c>
      <c r="G182" s="173">
        <v>0</v>
      </c>
      <c r="H182" s="173">
        <v>0</v>
      </c>
      <c r="I182" s="173">
        <v>0</v>
      </c>
    </row>
    <row r="183" spans="1:9">
      <c r="A183" s="161"/>
      <c r="B183" s="162" t="s">
        <v>41</v>
      </c>
      <c r="C183" s="173">
        <v>269</v>
      </c>
      <c r="D183" s="173">
        <v>297</v>
      </c>
      <c r="E183" s="173">
        <v>268</v>
      </c>
      <c r="F183" s="173">
        <v>126</v>
      </c>
      <c r="G183" s="173">
        <v>11</v>
      </c>
      <c r="H183" s="173">
        <v>0</v>
      </c>
      <c r="I183" s="173">
        <v>971</v>
      </c>
    </row>
    <row r="184" spans="1:9">
      <c r="A184" s="161"/>
      <c r="B184" s="166" t="s">
        <v>90</v>
      </c>
      <c r="C184" s="174">
        <f t="shared" ref="C184:I184" si="23">SUM(C178:C183)</f>
        <v>795</v>
      </c>
      <c r="D184" s="174">
        <f t="shared" si="23"/>
        <v>665</v>
      </c>
      <c r="E184" s="174">
        <f t="shared" si="23"/>
        <v>653</v>
      </c>
      <c r="F184" s="174">
        <f t="shared" si="23"/>
        <v>174</v>
      </c>
      <c r="G184" s="174">
        <f t="shared" si="23"/>
        <v>33</v>
      </c>
      <c r="H184" s="174">
        <f t="shared" si="23"/>
        <v>0</v>
      </c>
      <c r="I184" s="174">
        <f t="shared" si="23"/>
        <v>2320</v>
      </c>
    </row>
    <row r="185" spans="1:9">
      <c r="A185" s="161"/>
      <c r="B185" s="162" t="s">
        <v>102</v>
      </c>
      <c r="C185" s="173">
        <v>80</v>
      </c>
      <c r="D185" s="173">
        <v>53</v>
      </c>
      <c r="E185" s="173">
        <v>51</v>
      </c>
      <c r="F185" s="173">
        <v>45</v>
      </c>
      <c r="G185" s="173">
        <v>5</v>
      </c>
      <c r="H185" s="173">
        <v>0</v>
      </c>
      <c r="I185" s="173">
        <v>234</v>
      </c>
    </row>
    <row r="186" spans="1:9">
      <c r="A186" s="161"/>
      <c r="B186" s="162" t="s">
        <v>103</v>
      </c>
      <c r="C186" s="173">
        <v>0</v>
      </c>
      <c r="D186" s="173">
        <v>0</v>
      </c>
      <c r="E186" s="173">
        <v>0</v>
      </c>
      <c r="F186" s="173">
        <v>0</v>
      </c>
      <c r="G186" s="173">
        <v>0</v>
      </c>
      <c r="H186" s="173">
        <v>0</v>
      </c>
      <c r="I186" s="173">
        <v>0</v>
      </c>
    </row>
    <row r="187" spans="1:9">
      <c r="A187" s="177"/>
      <c r="B187" s="178" t="s">
        <v>104</v>
      </c>
      <c r="C187" s="179">
        <v>875</v>
      </c>
      <c r="D187" s="179">
        <v>718</v>
      </c>
      <c r="E187" s="179">
        <v>704</v>
      </c>
      <c r="F187" s="179">
        <v>219</v>
      </c>
      <c r="G187" s="179">
        <v>38</v>
      </c>
      <c r="H187" s="179">
        <v>0</v>
      </c>
      <c r="I187" s="179">
        <v>2554</v>
      </c>
    </row>
  </sheetData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"/>
  <dimension ref="A1:Y222"/>
  <sheetViews>
    <sheetView workbookViewId="0"/>
  </sheetViews>
  <sheetFormatPr defaultColWidth="9.6640625" defaultRowHeight="12.75"/>
  <cols>
    <col min="1" max="1" width="4.6640625" style="73" customWidth="1"/>
    <col min="2" max="9" width="9.6640625" style="1" customWidth="1"/>
    <col min="10" max="16" width="8.6640625" style="1" customWidth="1"/>
    <col min="17" max="17" width="9.6640625" style="1" customWidth="1"/>
    <col min="18" max="18" width="5.6640625" style="1" customWidth="1"/>
    <col min="19" max="19" width="3.6640625" style="1" customWidth="1"/>
    <col min="20" max="24" width="10.6640625" style="1" customWidth="1"/>
    <col min="25" max="16384" width="9.6640625" style="1"/>
  </cols>
  <sheetData>
    <row r="1" spans="1:25">
      <c r="A1" s="75" t="s">
        <v>83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5">
      <c r="A2" s="76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2"/>
      <c r="R2" s="2"/>
      <c r="S2" s="2"/>
      <c r="T2" s="2"/>
      <c r="U2" s="2"/>
      <c r="V2" s="2"/>
      <c r="W2" s="2"/>
      <c r="X2" s="2"/>
      <c r="Y2" s="2"/>
    </row>
    <row r="3" spans="1:25" ht="15">
      <c r="A3" s="76" t="s">
        <v>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2"/>
      <c r="R3" s="2"/>
      <c r="S3" s="2"/>
      <c r="T3" s="2"/>
      <c r="U3" s="2"/>
      <c r="V3" s="2"/>
      <c r="W3" s="2"/>
      <c r="X3" s="2"/>
      <c r="Y3" s="2"/>
    </row>
    <row r="4" spans="1:25" ht="15">
      <c r="A4" s="143" t="s">
        <v>129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2"/>
      <c r="R4" s="2"/>
      <c r="S4" s="2"/>
      <c r="T4" s="2"/>
      <c r="U4" s="2"/>
      <c r="V4" s="2"/>
      <c r="W4" s="2"/>
      <c r="X4" s="2"/>
      <c r="Y4" s="2"/>
    </row>
    <row r="5" spans="1:25">
      <c r="A5" s="77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>
      <c r="A6" s="78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>
      <c r="A7" s="71"/>
      <c r="B7" s="66"/>
      <c r="C7" s="67" t="s">
        <v>28</v>
      </c>
      <c r="D7" s="67" t="s">
        <v>29</v>
      </c>
      <c r="E7" s="67" t="s">
        <v>30</v>
      </c>
      <c r="F7" s="67" t="s">
        <v>31</v>
      </c>
      <c r="G7" s="67" t="s">
        <v>32</v>
      </c>
      <c r="H7" s="67" t="s">
        <v>33</v>
      </c>
      <c r="I7" s="67" t="s">
        <v>34</v>
      </c>
      <c r="J7" s="408" t="s">
        <v>28</v>
      </c>
      <c r="K7" s="67" t="s">
        <v>29</v>
      </c>
      <c r="L7" s="67" t="s">
        <v>30</v>
      </c>
      <c r="M7" s="67" t="s">
        <v>31</v>
      </c>
      <c r="N7" s="67" t="s">
        <v>32</v>
      </c>
      <c r="O7" s="67" t="s">
        <v>33</v>
      </c>
      <c r="P7" s="67" t="s">
        <v>34</v>
      </c>
      <c r="Q7" s="2"/>
      <c r="R7" s="2"/>
      <c r="S7" s="2"/>
      <c r="T7" s="2"/>
      <c r="U7" s="2"/>
      <c r="V7" s="2"/>
      <c r="W7" s="2"/>
      <c r="X7" s="2"/>
      <c r="Y7" s="2"/>
    </row>
    <row r="8" spans="1:25">
      <c r="A8" s="70" t="s">
        <v>2</v>
      </c>
      <c r="B8" s="2" t="s">
        <v>19</v>
      </c>
      <c r="C8" s="412">
        <f>(J8/$P8)*100</f>
        <v>42.801354457599047</v>
      </c>
      <c r="D8" s="412">
        <f t="shared" ref="D8:I8" si="0">(K8/$P8)*100</f>
        <v>28.093872809510863</v>
      </c>
      <c r="E8" s="412">
        <f t="shared" si="0"/>
        <v>22.310239996045379</v>
      </c>
      <c r="F8" s="412">
        <f t="shared" si="0"/>
        <v>3.1204429175214417</v>
      </c>
      <c r="G8" s="412">
        <f t="shared" si="0"/>
        <v>3.6740898193232652</v>
      </c>
      <c r="H8" s="412">
        <f t="shared" si="0"/>
        <v>0</v>
      </c>
      <c r="I8" s="412">
        <f t="shared" si="0"/>
        <v>100</v>
      </c>
      <c r="J8" s="409">
        <v>34634</v>
      </c>
      <c r="K8" s="2">
        <v>22733</v>
      </c>
      <c r="L8" s="2">
        <v>18053</v>
      </c>
      <c r="M8" s="2">
        <v>2525</v>
      </c>
      <c r="N8" s="2">
        <f>2474+499</f>
        <v>2973</v>
      </c>
      <c r="O8" s="2"/>
      <c r="P8" s="2">
        <v>80918</v>
      </c>
      <c r="Q8" s="2"/>
      <c r="R8" s="2"/>
      <c r="S8" s="2"/>
      <c r="T8" s="2"/>
      <c r="U8" s="2"/>
      <c r="V8" s="2"/>
      <c r="W8" s="2"/>
      <c r="X8" s="2"/>
      <c r="Y8" s="2"/>
    </row>
    <row r="9" spans="1:25">
      <c r="A9" s="70"/>
      <c r="B9" s="2" t="s">
        <v>20</v>
      </c>
      <c r="C9" s="412">
        <f t="shared" ref="C9:C72" si="1">(J9/$P9)*100</f>
        <v>34.83122362869198</v>
      </c>
      <c r="D9" s="412">
        <f t="shared" ref="D9:D72" si="2">(K9/$P9)*100</f>
        <v>30.668073136427566</v>
      </c>
      <c r="E9" s="412">
        <f t="shared" ref="E9:E72" si="3">(L9/$P9)*100</f>
        <v>26.793248945147681</v>
      </c>
      <c r="F9" s="412">
        <f t="shared" ref="F9:F72" si="4">(M9/$P9)*100</f>
        <v>4.9261603375527425</v>
      </c>
      <c r="G9" s="412">
        <f t="shared" ref="G9:G72" si="5">(N9/$P9)*100</f>
        <v>2.7812939521800284</v>
      </c>
      <c r="H9" s="412">
        <f t="shared" ref="H9:H72" si="6">(O9/$P9)*100</f>
        <v>0</v>
      </c>
      <c r="I9" s="412">
        <f t="shared" ref="I9:I72" si="7">(P9/$P9)*100</f>
        <v>100</v>
      </c>
      <c r="J9" s="409">
        <v>9906</v>
      </c>
      <c r="K9" s="2">
        <v>8722</v>
      </c>
      <c r="L9" s="2">
        <v>7620</v>
      </c>
      <c r="M9" s="2">
        <v>1401</v>
      </c>
      <c r="N9" s="2">
        <f>708+83</f>
        <v>791</v>
      </c>
      <c r="O9" s="2"/>
      <c r="P9" s="2">
        <v>28440</v>
      </c>
      <c r="Q9" s="2"/>
      <c r="R9" s="2"/>
      <c r="S9" s="2"/>
      <c r="T9" s="2"/>
      <c r="U9" s="2"/>
      <c r="V9" s="2"/>
      <c r="W9" s="2"/>
      <c r="X9" s="2"/>
      <c r="Y9" s="2"/>
    </row>
    <row r="10" spans="1:25">
      <c r="A10" s="70"/>
      <c r="B10" s="2" t="s">
        <v>21</v>
      </c>
      <c r="C10" s="412">
        <f t="shared" si="1"/>
        <v>39.017370960061285</v>
      </c>
      <c r="D10" s="412">
        <f t="shared" si="2"/>
        <v>26.188948011345992</v>
      </c>
      <c r="E10" s="412">
        <f t="shared" si="3"/>
        <v>25.64028240750326</v>
      </c>
      <c r="F10" s="412">
        <f t="shared" si="4"/>
        <v>5.8924615416468251</v>
      </c>
      <c r="G10" s="412">
        <f t="shared" si="5"/>
        <v>3.2609370794426384</v>
      </c>
      <c r="H10" s="412">
        <f t="shared" si="6"/>
        <v>0</v>
      </c>
      <c r="I10" s="412">
        <f t="shared" si="7"/>
        <v>100</v>
      </c>
      <c r="J10" s="409">
        <v>18845</v>
      </c>
      <c r="K10" s="2">
        <v>12649</v>
      </c>
      <c r="L10" s="2">
        <v>12384</v>
      </c>
      <c r="M10" s="2">
        <v>2846</v>
      </c>
      <c r="N10" s="2">
        <f>1056+519</f>
        <v>1575</v>
      </c>
      <c r="O10" s="2"/>
      <c r="P10" s="2">
        <v>48299</v>
      </c>
      <c r="Q10" s="2"/>
      <c r="R10" s="2"/>
      <c r="S10" s="2"/>
      <c r="T10" s="2"/>
      <c r="U10" s="2"/>
      <c r="V10" s="2"/>
      <c r="W10" s="2"/>
      <c r="X10" s="2"/>
      <c r="Y10" s="2"/>
    </row>
    <row r="11" spans="1:25">
      <c r="A11" s="70"/>
      <c r="B11" s="2" t="s">
        <v>22</v>
      </c>
      <c r="C11" s="412">
        <f t="shared" si="1"/>
        <v>33.056990320760448</v>
      </c>
      <c r="D11" s="412">
        <f t="shared" si="2"/>
        <v>26.928252094274924</v>
      </c>
      <c r="E11" s="412">
        <f t="shared" si="3"/>
        <v>30.118494726333605</v>
      </c>
      <c r="F11" s="412">
        <f t="shared" si="4"/>
        <v>7.005512392030905</v>
      </c>
      <c r="G11" s="412">
        <f t="shared" si="5"/>
        <v>2.8907504666001129</v>
      </c>
      <c r="H11" s="412">
        <f t="shared" si="6"/>
        <v>0</v>
      </c>
      <c r="I11" s="412">
        <f t="shared" si="7"/>
        <v>100</v>
      </c>
      <c r="J11" s="409">
        <v>7616</v>
      </c>
      <c r="K11" s="2">
        <v>6204</v>
      </c>
      <c r="L11" s="2">
        <v>6939</v>
      </c>
      <c r="M11" s="2">
        <v>1614</v>
      </c>
      <c r="N11" s="2">
        <f>648+18</f>
        <v>666</v>
      </c>
      <c r="O11" s="2"/>
      <c r="P11" s="2">
        <v>23039</v>
      </c>
      <c r="Q11" s="2"/>
      <c r="R11" s="2"/>
      <c r="S11" s="2"/>
      <c r="T11" s="2"/>
      <c r="U11" s="2"/>
      <c r="V11" s="2"/>
      <c r="W11" s="2"/>
      <c r="X11" s="2"/>
      <c r="Y11" s="2"/>
    </row>
    <row r="12" spans="1:25">
      <c r="A12" s="70"/>
      <c r="B12" s="2" t="s">
        <v>23</v>
      </c>
      <c r="C12" s="412">
        <f t="shared" si="1"/>
        <v>30.895743227862511</v>
      </c>
      <c r="D12" s="412">
        <f t="shared" si="2"/>
        <v>26.718643296152973</v>
      </c>
      <c r="E12" s="412">
        <f t="shared" si="3"/>
        <v>29.78033234691555</v>
      </c>
      <c r="F12" s="412">
        <f t="shared" si="4"/>
        <v>8.3086728886865462</v>
      </c>
      <c r="G12" s="412">
        <f t="shared" si="5"/>
        <v>4.2966082403824268</v>
      </c>
      <c r="H12" s="412">
        <f t="shared" si="6"/>
        <v>0</v>
      </c>
      <c r="I12" s="412">
        <f t="shared" si="7"/>
        <v>100</v>
      </c>
      <c r="J12" s="409">
        <v>5429</v>
      </c>
      <c r="K12" s="2">
        <v>4695</v>
      </c>
      <c r="L12" s="2">
        <v>5233</v>
      </c>
      <c r="M12" s="2">
        <v>1460</v>
      </c>
      <c r="N12" s="2">
        <f>544+211</f>
        <v>755</v>
      </c>
      <c r="O12" s="2"/>
      <c r="P12" s="2">
        <v>17572</v>
      </c>
      <c r="Q12" s="2"/>
      <c r="R12" s="2"/>
      <c r="S12" s="2"/>
      <c r="T12" s="2"/>
      <c r="U12" s="2"/>
      <c r="V12" s="2"/>
      <c r="W12" s="2"/>
      <c r="X12" s="2"/>
      <c r="Y12" s="2"/>
    </row>
    <row r="13" spans="1:25">
      <c r="A13" s="70"/>
      <c r="B13" s="2" t="s">
        <v>24</v>
      </c>
      <c r="C13" s="412">
        <f t="shared" si="1"/>
        <v>25.719325322456179</v>
      </c>
      <c r="D13" s="412">
        <f t="shared" si="2"/>
        <v>30.151030757358615</v>
      </c>
      <c r="E13" s="412">
        <f t="shared" si="3"/>
        <v>31.418807187741155</v>
      </c>
      <c r="F13" s="412">
        <f t="shared" si="4"/>
        <v>9.4476904420681294</v>
      </c>
      <c r="G13" s="412">
        <f t="shared" si="5"/>
        <v>3.2631462903759232</v>
      </c>
      <c r="H13" s="412">
        <f t="shared" si="6"/>
        <v>0</v>
      </c>
      <c r="I13" s="412">
        <f t="shared" si="7"/>
        <v>100</v>
      </c>
      <c r="J13" s="409">
        <v>2333</v>
      </c>
      <c r="K13" s="2">
        <v>2735</v>
      </c>
      <c r="L13" s="2">
        <v>2850</v>
      </c>
      <c r="M13" s="2">
        <v>857</v>
      </c>
      <c r="N13" s="2">
        <f>247+49</f>
        <v>296</v>
      </c>
      <c r="O13" s="2"/>
      <c r="P13" s="2">
        <v>9071</v>
      </c>
      <c r="Q13" s="2"/>
      <c r="R13" s="2"/>
      <c r="S13" s="2"/>
      <c r="T13" s="2"/>
      <c r="U13" s="2"/>
      <c r="V13" s="2"/>
      <c r="W13" s="2"/>
      <c r="X13" s="2"/>
      <c r="Y13" s="2"/>
    </row>
    <row r="14" spans="1:25">
      <c r="A14" s="70"/>
      <c r="B14" s="5" t="s">
        <v>80</v>
      </c>
      <c r="C14" s="412">
        <f t="shared" si="1"/>
        <v>37.987546964150496</v>
      </c>
      <c r="D14" s="412">
        <f t="shared" si="2"/>
        <v>27.847148872136934</v>
      </c>
      <c r="E14" s="412">
        <f t="shared" si="3"/>
        <v>25.60010417721702</v>
      </c>
      <c r="F14" s="412">
        <f t="shared" si="4"/>
        <v>5.1620775637964877</v>
      </c>
      <c r="G14" s="412">
        <f t="shared" si="5"/>
        <v>3.4031224226990577</v>
      </c>
      <c r="H14" s="412">
        <f t="shared" si="6"/>
        <v>0</v>
      </c>
      <c r="I14" s="412">
        <f t="shared" si="7"/>
        <v>100</v>
      </c>
      <c r="J14" s="409">
        <v>78763</v>
      </c>
      <c r="K14" s="2">
        <v>57738</v>
      </c>
      <c r="L14" s="2">
        <v>53079</v>
      </c>
      <c r="M14" s="2">
        <v>10703</v>
      </c>
      <c r="N14" s="2">
        <v>7056</v>
      </c>
      <c r="O14" s="2">
        <v>0</v>
      </c>
      <c r="P14" s="2">
        <v>207339</v>
      </c>
      <c r="Q14" s="2"/>
      <c r="R14" s="2"/>
      <c r="S14" s="2"/>
      <c r="T14" s="2"/>
      <c r="U14" s="2"/>
      <c r="V14" s="2"/>
      <c r="W14" s="2"/>
      <c r="X14" s="2"/>
      <c r="Y14" s="2"/>
    </row>
    <row r="15" spans="1:25">
      <c r="A15" s="70"/>
      <c r="B15" s="2" t="s">
        <v>25</v>
      </c>
      <c r="C15" s="412">
        <f t="shared" si="1"/>
        <v>12.087023035509398</v>
      </c>
      <c r="D15" s="412">
        <f t="shared" si="2"/>
        <v>11.141184431172956</v>
      </c>
      <c r="E15" s="412">
        <f t="shared" si="3"/>
        <v>11.0661645729752</v>
      </c>
      <c r="F15" s="412">
        <f t="shared" si="4"/>
        <v>7.4534435585890391</v>
      </c>
      <c r="G15" s="412">
        <f t="shared" si="5"/>
        <v>0.41187373128180987</v>
      </c>
      <c r="H15" s="412">
        <f t="shared" si="6"/>
        <v>57.840310670471595</v>
      </c>
      <c r="I15" s="412">
        <f t="shared" si="7"/>
        <v>100</v>
      </c>
      <c r="J15" s="409">
        <v>8217</v>
      </c>
      <c r="K15" s="2">
        <v>7574</v>
      </c>
      <c r="L15" s="2">
        <v>7523</v>
      </c>
      <c r="M15" s="2">
        <v>5067</v>
      </c>
      <c r="N15" s="2">
        <f>194+86</f>
        <v>280</v>
      </c>
      <c r="O15" s="2">
        <v>39321</v>
      </c>
      <c r="P15" s="2">
        <f>28661+O15</f>
        <v>67982</v>
      </c>
      <c r="Q15" s="2"/>
      <c r="R15" s="2"/>
      <c r="S15" s="2"/>
      <c r="T15" s="2"/>
      <c r="U15" s="2"/>
      <c r="V15" s="2"/>
      <c r="W15" s="2"/>
      <c r="X15" s="2"/>
      <c r="Y15" s="2"/>
    </row>
    <row r="16" spans="1:25">
      <c r="A16" s="70"/>
      <c r="B16" s="2" t="s">
        <v>26</v>
      </c>
      <c r="C16" s="413">
        <f t="shared" si="1"/>
        <v>4.4100801832760599</v>
      </c>
      <c r="D16" s="413">
        <f t="shared" si="2"/>
        <v>3.8373424971363117</v>
      </c>
      <c r="E16" s="413">
        <f t="shared" si="3"/>
        <v>3.1500572737686139</v>
      </c>
      <c r="F16" s="413">
        <f t="shared" si="4"/>
        <v>1.9663993890798013</v>
      </c>
      <c r="G16" s="413">
        <f t="shared" si="5"/>
        <v>0.87819778541428029</v>
      </c>
      <c r="H16" s="413">
        <f t="shared" si="6"/>
        <v>85.757922871324936</v>
      </c>
      <c r="I16" s="414">
        <f t="shared" si="7"/>
        <v>100</v>
      </c>
      <c r="J16" s="409">
        <v>231</v>
      </c>
      <c r="K16" s="2">
        <v>201</v>
      </c>
      <c r="L16" s="2">
        <v>165</v>
      </c>
      <c r="M16" s="2">
        <v>103</v>
      </c>
      <c r="N16" s="2">
        <v>46</v>
      </c>
      <c r="O16" s="2">
        <v>4492</v>
      </c>
      <c r="P16" s="2">
        <f>746+O16</f>
        <v>5238</v>
      </c>
      <c r="Q16" s="2"/>
      <c r="R16" s="2"/>
      <c r="S16" s="2"/>
      <c r="T16" s="2"/>
      <c r="U16" s="2"/>
      <c r="V16" s="2"/>
      <c r="W16" s="2"/>
      <c r="X16" s="2"/>
      <c r="Y16" s="2"/>
    </row>
    <row r="17" spans="1:25">
      <c r="A17" s="72"/>
      <c r="B17" s="69" t="s">
        <v>27</v>
      </c>
      <c r="C17" s="415">
        <f t="shared" si="1"/>
        <v>31.084727276615613</v>
      </c>
      <c r="D17" s="415">
        <f t="shared" si="2"/>
        <v>23.35088163274035</v>
      </c>
      <c r="E17" s="415">
        <f t="shared" si="3"/>
        <v>21.6592588368222</v>
      </c>
      <c r="F17" s="415">
        <f t="shared" si="4"/>
        <v>5.6576335102420519</v>
      </c>
      <c r="G17" s="415">
        <f t="shared" si="5"/>
        <v>2.6311756172498475</v>
      </c>
      <c r="H17" s="415">
        <f t="shared" si="6"/>
        <v>15.616323126329934</v>
      </c>
      <c r="I17" s="416">
        <f t="shared" si="7"/>
        <v>100</v>
      </c>
      <c r="J17" s="410">
        <f t="shared" ref="J17:P17" si="8">SUM(J14:J16)</f>
        <v>87211</v>
      </c>
      <c r="K17" s="68">
        <f t="shared" si="8"/>
        <v>65513</v>
      </c>
      <c r="L17" s="68">
        <f t="shared" si="8"/>
        <v>60767</v>
      </c>
      <c r="M17" s="68">
        <f t="shared" si="8"/>
        <v>15873</v>
      </c>
      <c r="N17" s="68">
        <f t="shared" si="8"/>
        <v>7382</v>
      </c>
      <c r="O17" s="68">
        <f t="shared" si="8"/>
        <v>43813</v>
      </c>
      <c r="P17" s="68">
        <f t="shared" si="8"/>
        <v>280559</v>
      </c>
      <c r="Q17" s="2"/>
      <c r="R17" s="2"/>
      <c r="S17" s="2"/>
      <c r="T17" s="2"/>
      <c r="U17" s="2"/>
      <c r="V17" s="2"/>
      <c r="W17" s="2"/>
      <c r="X17" s="2"/>
      <c r="Y17" s="2"/>
    </row>
    <row r="18" spans="1:25">
      <c r="A18" s="70" t="s">
        <v>3</v>
      </c>
      <c r="B18" s="2" t="s">
        <v>19</v>
      </c>
      <c r="C18" s="412">
        <f t="shared" si="1"/>
        <v>40.675831294083778</v>
      </c>
      <c r="D18" s="412">
        <f t="shared" si="2"/>
        <v>29.113286310637687</v>
      </c>
      <c r="E18" s="412">
        <f t="shared" si="3"/>
        <v>22.211026342306031</v>
      </c>
      <c r="F18" s="412">
        <f t="shared" si="4"/>
        <v>4.419173744062185</v>
      </c>
      <c r="G18" s="412">
        <f t="shared" si="5"/>
        <v>3.5806823089103212</v>
      </c>
      <c r="H18" s="412">
        <f t="shared" si="6"/>
        <v>0</v>
      </c>
      <c r="I18" s="412">
        <f t="shared" si="7"/>
        <v>100</v>
      </c>
      <c r="J18" s="409">
        <f t="shared" ref="J18:P23" si="9">J28+J38+J58+J68+J78+J88+J98+J108+J118+J128+J138+J148+J158+J168+J178</f>
        <v>11303</v>
      </c>
      <c r="K18" s="2">
        <f t="shared" si="9"/>
        <v>8090</v>
      </c>
      <c r="L18" s="2">
        <f t="shared" si="9"/>
        <v>6172</v>
      </c>
      <c r="M18" s="2">
        <f t="shared" si="9"/>
        <v>1228</v>
      </c>
      <c r="N18" s="2">
        <f t="shared" si="9"/>
        <v>995</v>
      </c>
      <c r="O18" s="2">
        <f t="shared" si="9"/>
        <v>0</v>
      </c>
      <c r="P18" s="2">
        <f t="shared" si="9"/>
        <v>27788</v>
      </c>
      <c r="Q18" s="2"/>
      <c r="R18" s="2"/>
      <c r="S18" s="2"/>
      <c r="T18" s="2"/>
      <c r="U18" s="2"/>
      <c r="V18" s="2"/>
      <c r="W18" s="2"/>
      <c r="X18" s="2"/>
      <c r="Y18" s="2"/>
    </row>
    <row r="19" spans="1:25">
      <c r="A19" s="70"/>
      <c r="B19" s="2" t="s">
        <v>20</v>
      </c>
      <c r="C19" s="412">
        <f t="shared" si="1"/>
        <v>33.393518100568748</v>
      </c>
      <c r="D19" s="412">
        <f t="shared" si="2"/>
        <v>31.903945111492284</v>
      </c>
      <c r="E19" s="412">
        <f t="shared" si="3"/>
        <v>25.855376004333301</v>
      </c>
      <c r="F19" s="412">
        <f t="shared" si="4"/>
        <v>5.7687099395143093</v>
      </c>
      <c r="G19" s="412">
        <f t="shared" si="5"/>
        <v>3.0784508440913605</v>
      </c>
      <c r="H19" s="412">
        <f t="shared" si="6"/>
        <v>0</v>
      </c>
      <c r="I19" s="412">
        <f t="shared" si="7"/>
        <v>100</v>
      </c>
      <c r="J19" s="409">
        <f t="shared" si="9"/>
        <v>3699</v>
      </c>
      <c r="K19" s="2">
        <f t="shared" si="9"/>
        <v>3534</v>
      </c>
      <c r="L19" s="2">
        <f t="shared" si="9"/>
        <v>2864</v>
      </c>
      <c r="M19" s="2">
        <f t="shared" si="9"/>
        <v>639</v>
      </c>
      <c r="N19" s="2">
        <f t="shared" si="9"/>
        <v>341</v>
      </c>
      <c r="O19" s="2">
        <f t="shared" si="9"/>
        <v>0</v>
      </c>
      <c r="P19" s="2">
        <f t="shared" si="9"/>
        <v>11077</v>
      </c>
      <c r="Q19" s="2"/>
      <c r="R19" s="2"/>
      <c r="S19" s="2"/>
      <c r="T19" s="2"/>
      <c r="U19" s="2"/>
      <c r="V19" s="2"/>
      <c r="W19" s="2"/>
      <c r="X19" s="2"/>
      <c r="Y19" s="2"/>
    </row>
    <row r="20" spans="1:25">
      <c r="A20" s="70"/>
      <c r="B20" s="2" t="s">
        <v>21</v>
      </c>
      <c r="C20" s="412">
        <f t="shared" si="1"/>
        <v>29.620154607641396</v>
      </c>
      <c r="D20" s="412">
        <f t="shared" si="2"/>
        <v>26.155386241032204</v>
      </c>
      <c r="E20" s="412">
        <f t="shared" si="3"/>
        <v>30.515544185529169</v>
      </c>
      <c r="F20" s="412">
        <f t="shared" si="4"/>
        <v>8.9650186307769317</v>
      </c>
      <c r="G20" s="412">
        <f t="shared" si="5"/>
        <v>4.7438963350202989</v>
      </c>
      <c r="H20" s="412">
        <f t="shared" si="6"/>
        <v>0</v>
      </c>
      <c r="I20" s="412">
        <f t="shared" si="7"/>
        <v>100</v>
      </c>
      <c r="J20" s="409">
        <f t="shared" si="9"/>
        <v>5326</v>
      </c>
      <c r="K20" s="2">
        <f t="shared" si="9"/>
        <v>4703</v>
      </c>
      <c r="L20" s="2">
        <f t="shared" si="9"/>
        <v>5487</v>
      </c>
      <c r="M20" s="2">
        <f t="shared" si="9"/>
        <v>1612</v>
      </c>
      <c r="N20" s="2">
        <f t="shared" si="9"/>
        <v>853</v>
      </c>
      <c r="O20" s="2">
        <f t="shared" si="9"/>
        <v>0</v>
      </c>
      <c r="P20" s="2">
        <f t="shared" si="9"/>
        <v>17981</v>
      </c>
      <c r="Q20" s="2"/>
      <c r="R20" s="2"/>
      <c r="S20" s="2"/>
      <c r="T20" s="2"/>
      <c r="U20" s="2"/>
      <c r="V20" s="2"/>
      <c r="W20" s="2"/>
      <c r="X20" s="2"/>
      <c r="Y20" s="2"/>
    </row>
    <row r="21" spans="1:25">
      <c r="A21" s="70"/>
      <c r="B21" s="2" t="s">
        <v>22</v>
      </c>
      <c r="C21" s="412">
        <f t="shared" si="1"/>
        <v>28.195698205728299</v>
      </c>
      <c r="D21" s="412">
        <f t="shared" si="2"/>
        <v>25.409562019391508</v>
      </c>
      <c r="E21" s="412">
        <f t="shared" si="3"/>
        <v>32.976707901482222</v>
      </c>
      <c r="F21" s="412">
        <f t="shared" si="4"/>
        <v>11.946951967012149</v>
      </c>
      <c r="G21" s="412">
        <f t="shared" si="5"/>
        <v>1.4710799063858242</v>
      </c>
      <c r="H21" s="412">
        <f t="shared" si="6"/>
        <v>0</v>
      </c>
      <c r="I21" s="412">
        <f t="shared" si="7"/>
        <v>100</v>
      </c>
      <c r="J21" s="409">
        <f t="shared" si="9"/>
        <v>2530</v>
      </c>
      <c r="K21" s="2">
        <f t="shared" si="9"/>
        <v>2280</v>
      </c>
      <c r="L21" s="2">
        <f t="shared" si="9"/>
        <v>2959</v>
      </c>
      <c r="M21" s="2">
        <f t="shared" si="9"/>
        <v>1072</v>
      </c>
      <c r="N21" s="2">
        <f t="shared" si="9"/>
        <v>132</v>
      </c>
      <c r="O21" s="2">
        <f t="shared" si="9"/>
        <v>0</v>
      </c>
      <c r="P21" s="2">
        <f t="shared" si="9"/>
        <v>8973</v>
      </c>
      <c r="Q21" s="2"/>
      <c r="R21" s="2"/>
      <c r="S21" s="2"/>
      <c r="T21" s="2"/>
      <c r="U21" s="2"/>
      <c r="V21" s="2"/>
      <c r="W21" s="2"/>
      <c r="X21" s="2"/>
      <c r="Y21" s="2"/>
    </row>
    <row r="22" spans="1:25">
      <c r="A22" s="70"/>
      <c r="B22" s="2" t="s">
        <v>23</v>
      </c>
      <c r="C22" s="412">
        <f t="shared" si="1"/>
        <v>26.242613833854712</v>
      </c>
      <c r="D22" s="412">
        <f t="shared" si="2"/>
        <v>27.128953771289538</v>
      </c>
      <c r="E22" s="412">
        <f t="shared" si="3"/>
        <v>32.516510253736527</v>
      </c>
      <c r="F22" s="412">
        <f t="shared" si="4"/>
        <v>11.244351755300661</v>
      </c>
      <c r="G22" s="412">
        <f t="shared" si="5"/>
        <v>2.8675703858185608</v>
      </c>
      <c r="H22" s="412">
        <f t="shared" si="6"/>
        <v>0</v>
      </c>
      <c r="I22" s="412">
        <f t="shared" si="7"/>
        <v>100</v>
      </c>
      <c r="J22" s="409">
        <f t="shared" si="9"/>
        <v>1510</v>
      </c>
      <c r="K22" s="2">
        <f t="shared" si="9"/>
        <v>1561</v>
      </c>
      <c r="L22" s="2">
        <f t="shared" si="9"/>
        <v>1871</v>
      </c>
      <c r="M22" s="2">
        <f t="shared" si="9"/>
        <v>647</v>
      </c>
      <c r="N22" s="2">
        <f t="shared" si="9"/>
        <v>165</v>
      </c>
      <c r="O22" s="2">
        <f t="shared" si="9"/>
        <v>0</v>
      </c>
      <c r="P22" s="2">
        <f t="shared" si="9"/>
        <v>5754</v>
      </c>
      <c r="Q22" s="2"/>
      <c r="R22" s="2"/>
      <c r="S22" s="2"/>
      <c r="T22" s="2"/>
      <c r="U22" s="2"/>
      <c r="V22" s="2"/>
      <c r="W22" s="2"/>
      <c r="X22" s="2"/>
      <c r="Y22" s="2"/>
    </row>
    <row r="23" spans="1:25">
      <c r="A23" s="70"/>
      <c r="B23" s="2" t="s">
        <v>24</v>
      </c>
      <c r="C23" s="412">
        <f t="shared" si="1"/>
        <v>25.493885230479773</v>
      </c>
      <c r="D23" s="412">
        <f t="shared" si="2"/>
        <v>27.06961429915334</v>
      </c>
      <c r="E23" s="412">
        <f t="shared" si="3"/>
        <v>30.785512699905926</v>
      </c>
      <c r="F23" s="412">
        <f t="shared" si="4"/>
        <v>11.735653809971778</v>
      </c>
      <c r="G23" s="412">
        <f t="shared" si="5"/>
        <v>4.915333960489181</v>
      </c>
      <c r="H23" s="412">
        <f t="shared" si="6"/>
        <v>0</v>
      </c>
      <c r="I23" s="412">
        <f t="shared" si="7"/>
        <v>100</v>
      </c>
      <c r="J23" s="409">
        <f t="shared" si="9"/>
        <v>1084</v>
      </c>
      <c r="K23" s="2">
        <f t="shared" si="9"/>
        <v>1151</v>
      </c>
      <c r="L23" s="2">
        <f t="shared" si="9"/>
        <v>1309</v>
      </c>
      <c r="M23" s="2">
        <f t="shared" si="9"/>
        <v>499</v>
      </c>
      <c r="N23" s="2">
        <f t="shared" si="9"/>
        <v>209</v>
      </c>
      <c r="O23" s="2">
        <f t="shared" si="9"/>
        <v>0</v>
      </c>
      <c r="P23" s="2">
        <f t="shared" si="9"/>
        <v>4252</v>
      </c>
      <c r="Q23" s="2"/>
      <c r="R23" s="2"/>
      <c r="S23" s="2"/>
      <c r="T23" s="2"/>
      <c r="U23" s="2"/>
      <c r="V23" s="2"/>
      <c r="W23" s="2"/>
      <c r="X23" s="2"/>
      <c r="Y23" s="2"/>
    </row>
    <row r="24" spans="1:25">
      <c r="A24" s="70"/>
      <c r="B24" s="5" t="s">
        <v>80</v>
      </c>
      <c r="C24" s="417">
        <f t="shared" si="1"/>
        <v>33.566765578635014</v>
      </c>
      <c r="D24" s="417">
        <f t="shared" si="2"/>
        <v>28.116056709528518</v>
      </c>
      <c r="E24" s="417">
        <f t="shared" si="3"/>
        <v>27.249587866798546</v>
      </c>
      <c r="F24" s="417">
        <f t="shared" si="4"/>
        <v>7.5133531157270035</v>
      </c>
      <c r="G24" s="417">
        <f t="shared" si="5"/>
        <v>3.5542367293109134</v>
      </c>
      <c r="H24" s="417">
        <f t="shared" si="6"/>
        <v>0</v>
      </c>
      <c r="I24" s="417">
        <f t="shared" si="7"/>
        <v>100</v>
      </c>
      <c r="J24" s="409">
        <f t="shared" ref="J24:P24" si="10">SUM(J18:J23)</f>
        <v>25452</v>
      </c>
      <c r="K24" s="2">
        <f t="shared" si="10"/>
        <v>21319</v>
      </c>
      <c r="L24" s="2">
        <f t="shared" si="10"/>
        <v>20662</v>
      </c>
      <c r="M24" s="2">
        <f t="shared" si="10"/>
        <v>5697</v>
      </c>
      <c r="N24" s="2">
        <f t="shared" si="10"/>
        <v>2695</v>
      </c>
      <c r="O24" s="2">
        <f t="shared" si="10"/>
        <v>0</v>
      </c>
      <c r="P24" s="2">
        <f t="shared" si="10"/>
        <v>75825</v>
      </c>
      <c r="Q24" s="2"/>
      <c r="R24" s="2"/>
      <c r="S24" s="2"/>
      <c r="T24" s="2"/>
      <c r="U24" s="2"/>
      <c r="V24" s="2"/>
      <c r="W24" s="2"/>
      <c r="X24" s="2"/>
      <c r="Y24" s="2"/>
    </row>
    <row r="25" spans="1:25">
      <c r="A25" s="70"/>
      <c r="B25" s="2" t="s">
        <v>25</v>
      </c>
      <c r="C25" s="412">
        <f t="shared" si="1"/>
        <v>5.6732465672863022</v>
      </c>
      <c r="D25" s="412">
        <f t="shared" si="2"/>
        <v>8.2397913523741337</v>
      </c>
      <c r="E25" s="412">
        <f t="shared" si="3"/>
        <v>8.0000767086859792</v>
      </c>
      <c r="F25" s="412">
        <f t="shared" si="4"/>
        <v>10.870260042445473</v>
      </c>
      <c r="G25" s="412">
        <f t="shared" si="5"/>
        <v>3.4710680406044645</v>
      </c>
      <c r="H25" s="412">
        <f t="shared" si="6"/>
        <v>63.745557288603649</v>
      </c>
      <c r="I25" s="412">
        <f t="shared" si="7"/>
        <v>100</v>
      </c>
      <c r="J25" s="409">
        <f t="shared" ref="J25:P27" si="11">J35+J45+J65+J75+J85+J95+J105+J115+J125+J135+J145+J155+J165+J175+J185</f>
        <v>1775</v>
      </c>
      <c r="K25" s="2">
        <f t="shared" si="11"/>
        <v>2578</v>
      </c>
      <c r="L25" s="2">
        <f t="shared" si="11"/>
        <v>2503</v>
      </c>
      <c r="M25" s="2">
        <f t="shared" si="11"/>
        <v>3401</v>
      </c>
      <c r="N25" s="2">
        <f t="shared" si="11"/>
        <v>1086</v>
      </c>
      <c r="O25" s="2">
        <f t="shared" si="11"/>
        <v>19944.2</v>
      </c>
      <c r="P25" s="2">
        <f t="shared" si="11"/>
        <v>31287.200000000001</v>
      </c>
      <c r="Q25" s="2"/>
      <c r="R25" s="2"/>
      <c r="S25" s="2"/>
      <c r="T25" s="2"/>
      <c r="U25" s="2"/>
      <c r="V25" s="2"/>
      <c r="W25" s="2"/>
      <c r="X25" s="2"/>
      <c r="Y25" s="2"/>
    </row>
    <row r="26" spans="1:25">
      <c r="A26" s="70"/>
      <c r="B26" s="2" t="s">
        <v>26</v>
      </c>
      <c r="C26" s="412">
        <f t="shared" si="1"/>
        <v>0</v>
      </c>
      <c r="D26" s="412">
        <f t="shared" si="2"/>
        <v>0</v>
      </c>
      <c r="E26" s="412">
        <f t="shared" si="3"/>
        <v>0</v>
      </c>
      <c r="F26" s="412">
        <f t="shared" si="4"/>
        <v>14.596670934699105</v>
      </c>
      <c r="G26" s="412">
        <f t="shared" si="5"/>
        <v>8.092189500640206</v>
      </c>
      <c r="H26" s="412">
        <f t="shared" si="6"/>
        <v>77.311139564660692</v>
      </c>
      <c r="I26" s="412">
        <f t="shared" si="7"/>
        <v>100</v>
      </c>
      <c r="J26" s="409">
        <f t="shared" si="11"/>
        <v>0</v>
      </c>
      <c r="K26" s="2">
        <f t="shared" si="11"/>
        <v>0</v>
      </c>
      <c r="L26" s="2">
        <f t="shared" si="11"/>
        <v>0</v>
      </c>
      <c r="M26" s="2">
        <f t="shared" si="11"/>
        <v>570</v>
      </c>
      <c r="N26" s="2">
        <f t="shared" si="11"/>
        <v>316</v>
      </c>
      <c r="O26" s="2">
        <f t="shared" si="11"/>
        <v>3019</v>
      </c>
      <c r="P26" s="2">
        <f t="shared" si="11"/>
        <v>3905</v>
      </c>
      <c r="Q26" s="2"/>
      <c r="R26" s="2"/>
      <c r="S26" s="2"/>
      <c r="T26" s="2"/>
      <c r="U26" s="2"/>
      <c r="V26" s="2"/>
      <c r="W26" s="2"/>
      <c r="X26" s="2"/>
      <c r="Y26" s="2"/>
    </row>
    <row r="27" spans="1:25">
      <c r="A27" s="72"/>
      <c r="B27" s="69" t="s">
        <v>27</v>
      </c>
      <c r="C27" s="418">
        <f t="shared" si="1"/>
        <v>24.525028554133954</v>
      </c>
      <c r="D27" s="418">
        <f t="shared" si="2"/>
        <v>21.525493346976866</v>
      </c>
      <c r="E27" s="418">
        <f t="shared" si="3"/>
        <v>20.866136058196389</v>
      </c>
      <c r="F27" s="418">
        <f t="shared" si="4"/>
        <v>8.7085604753137353</v>
      </c>
      <c r="G27" s="418">
        <f t="shared" si="5"/>
        <v>3.6904191422590373</v>
      </c>
      <c r="H27" s="418">
        <f t="shared" si="6"/>
        <v>20.684362423120024</v>
      </c>
      <c r="I27" s="418">
        <f t="shared" si="7"/>
        <v>100</v>
      </c>
      <c r="J27" s="410">
        <f t="shared" si="11"/>
        <v>27227</v>
      </c>
      <c r="K27" s="68">
        <f t="shared" si="11"/>
        <v>23897</v>
      </c>
      <c r="L27" s="68">
        <f t="shared" si="11"/>
        <v>23165</v>
      </c>
      <c r="M27" s="68">
        <f t="shared" si="11"/>
        <v>9668</v>
      </c>
      <c r="N27" s="68">
        <f t="shared" si="11"/>
        <v>4097</v>
      </c>
      <c r="O27" s="68">
        <f t="shared" si="11"/>
        <v>22963.200000000001</v>
      </c>
      <c r="P27" s="68">
        <f t="shared" si="11"/>
        <v>111017.2</v>
      </c>
      <c r="Q27" s="2"/>
      <c r="R27" s="2"/>
      <c r="S27" s="2"/>
      <c r="T27" s="2"/>
      <c r="U27" s="2"/>
      <c r="V27" s="2"/>
      <c r="W27" s="2"/>
      <c r="X27" s="2"/>
      <c r="Y27" s="2"/>
    </row>
    <row r="28" spans="1:25">
      <c r="A28" s="70" t="s">
        <v>4</v>
      </c>
      <c r="B28" s="2" t="s">
        <v>19</v>
      </c>
      <c r="C28" s="412">
        <f t="shared" si="1"/>
        <v>33.832175307322288</v>
      </c>
      <c r="D28" s="412">
        <f t="shared" si="2"/>
        <v>29.930518439337249</v>
      </c>
      <c r="E28" s="412">
        <f t="shared" si="3"/>
        <v>27.097808658471408</v>
      </c>
      <c r="F28" s="412">
        <f t="shared" si="4"/>
        <v>7.5895243185462311</v>
      </c>
      <c r="G28" s="412">
        <f t="shared" si="5"/>
        <v>1.549973276322822</v>
      </c>
      <c r="H28" s="412">
        <f t="shared" si="6"/>
        <v>0</v>
      </c>
      <c r="I28" s="412">
        <f t="shared" si="7"/>
        <v>100</v>
      </c>
      <c r="J28" s="409">
        <v>633</v>
      </c>
      <c r="K28" s="2">
        <v>560</v>
      </c>
      <c r="L28" s="2">
        <v>507</v>
      </c>
      <c r="M28" s="2">
        <v>142</v>
      </c>
      <c r="N28" s="2">
        <v>29</v>
      </c>
      <c r="O28" s="2">
        <v>0</v>
      </c>
      <c r="P28" s="2">
        <v>1871</v>
      </c>
      <c r="Q28" s="2"/>
      <c r="R28" s="2"/>
      <c r="S28" s="2"/>
      <c r="T28" s="2"/>
      <c r="U28" s="2"/>
      <c r="V28" s="2"/>
      <c r="W28" s="2"/>
      <c r="X28" s="2"/>
      <c r="Y28" s="2"/>
    </row>
    <row r="29" spans="1:25">
      <c r="A29" s="70"/>
      <c r="B29" s="2" t="s">
        <v>20</v>
      </c>
      <c r="C29" s="412">
        <f t="shared" si="1"/>
        <v>25.308641975308642</v>
      </c>
      <c r="D29" s="412">
        <f t="shared" si="2"/>
        <v>37.860082304526749</v>
      </c>
      <c r="E29" s="412">
        <f t="shared" si="3"/>
        <v>30.452674897119341</v>
      </c>
      <c r="F29" s="412">
        <f t="shared" si="4"/>
        <v>4.1152263374485596</v>
      </c>
      <c r="G29" s="412">
        <f t="shared" si="5"/>
        <v>2.263374485596708</v>
      </c>
      <c r="H29" s="412">
        <f t="shared" si="6"/>
        <v>0</v>
      </c>
      <c r="I29" s="412">
        <f t="shared" si="7"/>
        <v>100</v>
      </c>
      <c r="J29" s="409">
        <v>123</v>
      </c>
      <c r="K29" s="2">
        <v>184</v>
      </c>
      <c r="L29" s="2">
        <v>148</v>
      </c>
      <c r="M29" s="2">
        <v>20</v>
      </c>
      <c r="N29" s="2">
        <v>11</v>
      </c>
      <c r="O29" s="2">
        <v>0</v>
      </c>
      <c r="P29" s="2">
        <v>486</v>
      </c>
      <c r="Q29" s="2"/>
      <c r="R29" s="2"/>
      <c r="S29" s="2"/>
      <c r="T29" s="2"/>
      <c r="U29" s="2"/>
      <c r="V29" s="2"/>
      <c r="W29" s="2"/>
      <c r="X29" s="2"/>
      <c r="Y29" s="2"/>
    </row>
    <row r="30" spans="1:25">
      <c r="A30" s="70"/>
      <c r="B30" s="2" t="s">
        <v>21</v>
      </c>
      <c r="C30" s="412">
        <f t="shared" si="1"/>
        <v>28.48</v>
      </c>
      <c r="D30" s="412">
        <f t="shared" si="2"/>
        <v>24.72</v>
      </c>
      <c r="E30" s="412">
        <f t="shared" si="3"/>
        <v>32.64</v>
      </c>
      <c r="F30" s="412">
        <f t="shared" si="4"/>
        <v>12.24</v>
      </c>
      <c r="G30" s="412">
        <f t="shared" si="5"/>
        <v>1.92</v>
      </c>
      <c r="H30" s="412">
        <f t="shared" si="6"/>
        <v>0</v>
      </c>
      <c r="I30" s="412">
        <f t="shared" si="7"/>
        <v>100</v>
      </c>
      <c r="J30" s="409">
        <v>356</v>
      </c>
      <c r="K30" s="2">
        <v>309</v>
      </c>
      <c r="L30" s="2">
        <v>408</v>
      </c>
      <c r="M30" s="2">
        <v>153</v>
      </c>
      <c r="N30" s="2">
        <v>24</v>
      </c>
      <c r="O30" s="2">
        <v>0</v>
      </c>
      <c r="P30" s="2">
        <v>1250</v>
      </c>
      <c r="Q30" s="2"/>
      <c r="R30" s="2"/>
      <c r="S30" s="2"/>
      <c r="T30" s="2"/>
      <c r="U30" s="2"/>
      <c r="V30" s="2"/>
      <c r="W30" s="2"/>
      <c r="X30" s="2"/>
      <c r="Y30" s="2"/>
    </row>
    <row r="31" spans="1:25">
      <c r="A31" s="70"/>
      <c r="B31" s="2" t="s">
        <v>22</v>
      </c>
      <c r="C31" s="412">
        <f t="shared" si="1"/>
        <v>25.402504472271914</v>
      </c>
      <c r="D31" s="412">
        <f t="shared" si="2"/>
        <v>26.833631484794275</v>
      </c>
      <c r="E31" s="412">
        <f t="shared" si="3"/>
        <v>38.819320214669048</v>
      </c>
      <c r="F31" s="412">
        <f t="shared" si="4"/>
        <v>8.7656529516994635</v>
      </c>
      <c r="G31" s="412">
        <f t="shared" si="5"/>
        <v>0.17889087656529518</v>
      </c>
      <c r="H31" s="412">
        <f t="shared" si="6"/>
        <v>0</v>
      </c>
      <c r="I31" s="412">
        <f t="shared" si="7"/>
        <v>100</v>
      </c>
      <c r="J31" s="409">
        <v>142</v>
      </c>
      <c r="K31" s="2">
        <v>150</v>
      </c>
      <c r="L31" s="2">
        <v>217</v>
      </c>
      <c r="M31" s="2">
        <v>49</v>
      </c>
      <c r="N31" s="2">
        <v>1</v>
      </c>
      <c r="O31" s="2">
        <v>0</v>
      </c>
      <c r="P31" s="2">
        <v>559</v>
      </c>
      <c r="Q31" s="2"/>
      <c r="R31" s="2"/>
      <c r="S31" s="2"/>
      <c r="T31" s="2"/>
      <c r="U31" s="2"/>
      <c r="V31" s="2"/>
      <c r="W31" s="2"/>
      <c r="X31" s="2"/>
      <c r="Y31" s="2"/>
    </row>
    <row r="32" spans="1:25">
      <c r="A32" s="70"/>
      <c r="B32" s="2" t="s">
        <v>23</v>
      </c>
      <c r="C32" s="412">
        <f t="shared" si="1"/>
        <v>23.518850987432675</v>
      </c>
      <c r="D32" s="412">
        <f t="shared" si="2"/>
        <v>25.673249551166965</v>
      </c>
      <c r="E32" s="412">
        <f t="shared" si="3"/>
        <v>32.136445242369838</v>
      </c>
      <c r="F32" s="412">
        <f t="shared" si="4"/>
        <v>18.312387791741472</v>
      </c>
      <c r="G32" s="412">
        <f t="shared" si="5"/>
        <v>0.35906642728904847</v>
      </c>
      <c r="H32" s="412">
        <f t="shared" si="6"/>
        <v>0</v>
      </c>
      <c r="I32" s="412">
        <f t="shared" si="7"/>
        <v>100</v>
      </c>
      <c r="J32" s="409">
        <v>131</v>
      </c>
      <c r="K32" s="2">
        <v>143</v>
      </c>
      <c r="L32" s="2">
        <v>179</v>
      </c>
      <c r="M32" s="2">
        <v>102</v>
      </c>
      <c r="N32" s="2">
        <v>2</v>
      </c>
      <c r="O32" s="2">
        <v>0</v>
      </c>
      <c r="P32" s="2">
        <v>557</v>
      </c>
      <c r="Q32" s="2"/>
      <c r="R32" s="2"/>
      <c r="S32" s="2"/>
      <c r="T32" s="2"/>
      <c r="U32" s="2"/>
      <c r="V32" s="2"/>
      <c r="W32" s="2"/>
      <c r="X32" s="2"/>
      <c r="Y32" s="2"/>
    </row>
    <row r="33" spans="1:25">
      <c r="A33" s="70"/>
      <c r="B33" s="2" t="s">
        <v>24</v>
      </c>
      <c r="C33" s="412">
        <f t="shared" si="1"/>
        <v>27.631578947368425</v>
      </c>
      <c r="D33" s="412">
        <f t="shared" si="2"/>
        <v>21.052631578947366</v>
      </c>
      <c r="E33" s="412">
        <f t="shared" si="3"/>
        <v>51.315789473684212</v>
      </c>
      <c r="F33" s="412">
        <f t="shared" si="4"/>
        <v>0</v>
      </c>
      <c r="G33" s="412">
        <f t="shared" si="5"/>
        <v>0</v>
      </c>
      <c r="H33" s="412">
        <f t="shared" si="6"/>
        <v>0</v>
      </c>
      <c r="I33" s="412">
        <f t="shared" si="7"/>
        <v>100</v>
      </c>
      <c r="J33" s="409">
        <v>21</v>
      </c>
      <c r="K33" s="2">
        <v>16</v>
      </c>
      <c r="L33" s="2">
        <v>39</v>
      </c>
      <c r="M33" s="2">
        <v>0</v>
      </c>
      <c r="N33" s="2">
        <v>0</v>
      </c>
      <c r="O33" s="2">
        <v>0</v>
      </c>
      <c r="P33" s="2">
        <v>76</v>
      </c>
      <c r="Q33" s="2"/>
      <c r="R33" s="2"/>
      <c r="S33" s="2"/>
      <c r="T33" s="2"/>
      <c r="U33" s="2"/>
      <c r="V33" s="2"/>
      <c r="W33" s="2"/>
      <c r="X33" s="2"/>
      <c r="Y33" s="2"/>
    </row>
    <row r="34" spans="1:25">
      <c r="A34" s="70"/>
      <c r="B34" s="5" t="s">
        <v>80</v>
      </c>
      <c r="C34" s="417">
        <f t="shared" si="1"/>
        <v>29.297770368826836</v>
      </c>
      <c r="D34" s="417">
        <f t="shared" si="2"/>
        <v>28.380912690143777</v>
      </c>
      <c r="E34" s="417">
        <f t="shared" si="3"/>
        <v>31.214836424255054</v>
      </c>
      <c r="F34" s="417">
        <f t="shared" si="4"/>
        <v>9.7103563242342155</v>
      </c>
      <c r="G34" s="417">
        <f t="shared" si="5"/>
        <v>1.3961241925401124</v>
      </c>
      <c r="H34" s="417">
        <f t="shared" si="6"/>
        <v>0</v>
      </c>
      <c r="I34" s="417">
        <f t="shared" si="7"/>
        <v>100</v>
      </c>
      <c r="J34" s="409">
        <f t="shared" ref="J34:P34" si="12">SUM(J28:J33)</f>
        <v>1406</v>
      </c>
      <c r="K34" s="2">
        <f t="shared" si="12"/>
        <v>1362</v>
      </c>
      <c r="L34" s="2">
        <f t="shared" si="12"/>
        <v>1498</v>
      </c>
      <c r="M34" s="2">
        <f t="shared" si="12"/>
        <v>466</v>
      </c>
      <c r="N34" s="2">
        <f t="shared" si="12"/>
        <v>67</v>
      </c>
      <c r="O34" s="2">
        <f t="shared" si="12"/>
        <v>0</v>
      </c>
      <c r="P34" s="2">
        <f t="shared" si="12"/>
        <v>4799</v>
      </c>
      <c r="Q34" s="2"/>
      <c r="R34" s="2"/>
      <c r="S34" s="2"/>
      <c r="T34" s="2"/>
      <c r="U34" s="2"/>
      <c r="V34" s="2"/>
      <c r="W34" s="2"/>
      <c r="X34" s="2"/>
      <c r="Y34" s="2"/>
    </row>
    <row r="35" spans="1:25">
      <c r="A35" s="70"/>
      <c r="B35" s="2" t="s">
        <v>25</v>
      </c>
      <c r="C35" s="412">
        <f t="shared" si="1"/>
        <v>0</v>
      </c>
      <c r="D35" s="412">
        <f t="shared" si="2"/>
        <v>0</v>
      </c>
      <c r="E35" s="412">
        <f t="shared" si="3"/>
        <v>0</v>
      </c>
      <c r="F35" s="412">
        <f t="shared" si="4"/>
        <v>63.83543463835435</v>
      </c>
      <c r="G35" s="412">
        <f t="shared" si="5"/>
        <v>36.164565361645657</v>
      </c>
      <c r="H35" s="412">
        <f t="shared" si="6"/>
        <v>0</v>
      </c>
      <c r="I35" s="412">
        <f t="shared" si="7"/>
        <v>100</v>
      </c>
      <c r="J35" s="409">
        <v>0</v>
      </c>
      <c r="K35" s="2">
        <v>0</v>
      </c>
      <c r="L35" s="2">
        <v>0</v>
      </c>
      <c r="M35" s="2">
        <v>962</v>
      </c>
      <c r="N35" s="2">
        <v>545</v>
      </c>
      <c r="O35" s="2">
        <v>0</v>
      </c>
      <c r="P35" s="2">
        <v>1507</v>
      </c>
      <c r="Q35" s="2"/>
      <c r="R35" s="2"/>
      <c r="S35" s="2"/>
      <c r="T35" s="2"/>
      <c r="U35" s="2"/>
      <c r="V35" s="2"/>
      <c r="W35" s="2"/>
      <c r="X35" s="2"/>
      <c r="Y35" s="2"/>
    </row>
    <row r="36" spans="1:25">
      <c r="A36" s="70"/>
      <c r="B36" s="2" t="s">
        <v>26</v>
      </c>
      <c r="C36" s="412">
        <f t="shared" si="1"/>
        <v>0</v>
      </c>
      <c r="D36" s="412">
        <f t="shared" si="2"/>
        <v>0</v>
      </c>
      <c r="E36" s="412">
        <f t="shared" si="3"/>
        <v>0</v>
      </c>
      <c r="F36" s="412">
        <f t="shared" si="4"/>
        <v>87.096774193548384</v>
      </c>
      <c r="G36" s="412">
        <f t="shared" si="5"/>
        <v>12.903225806451612</v>
      </c>
      <c r="H36" s="412">
        <f t="shared" si="6"/>
        <v>0</v>
      </c>
      <c r="I36" s="412">
        <f t="shared" si="7"/>
        <v>100</v>
      </c>
      <c r="J36" s="409">
        <v>0</v>
      </c>
      <c r="K36" s="2">
        <v>0</v>
      </c>
      <c r="L36" s="2">
        <v>0</v>
      </c>
      <c r="M36" s="2">
        <v>405</v>
      </c>
      <c r="N36" s="2">
        <v>60</v>
      </c>
      <c r="O36" s="2">
        <v>0</v>
      </c>
      <c r="P36" s="2">
        <v>465</v>
      </c>
      <c r="Q36" s="2"/>
      <c r="R36" s="2"/>
      <c r="S36" s="2"/>
      <c r="T36" s="2"/>
      <c r="U36" s="2"/>
      <c r="V36" s="2"/>
      <c r="W36" s="2"/>
      <c r="X36" s="2"/>
      <c r="Y36" s="2"/>
    </row>
    <row r="37" spans="1:25">
      <c r="A37" s="72"/>
      <c r="B37" s="69" t="s">
        <v>27</v>
      </c>
      <c r="C37" s="418">
        <f t="shared" si="1"/>
        <v>20.765027322404372</v>
      </c>
      <c r="D37" s="418">
        <f t="shared" si="2"/>
        <v>20.115197164377495</v>
      </c>
      <c r="E37" s="418">
        <f t="shared" si="3"/>
        <v>22.123763107369665</v>
      </c>
      <c r="F37" s="418">
        <f t="shared" si="4"/>
        <v>27.071333628710676</v>
      </c>
      <c r="G37" s="418">
        <f t="shared" si="5"/>
        <v>9.9246787771377942</v>
      </c>
      <c r="H37" s="418">
        <f t="shared" si="6"/>
        <v>0</v>
      </c>
      <c r="I37" s="418">
        <f t="shared" si="7"/>
        <v>100</v>
      </c>
      <c r="J37" s="410">
        <v>1406</v>
      </c>
      <c r="K37" s="68">
        <v>1362</v>
      </c>
      <c r="L37" s="68">
        <v>1498</v>
      </c>
      <c r="M37" s="68">
        <v>1833</v>
      </c>
      <c r="N37" s="68">
        <v>672</v>
      </c>
      <c r="O37" s="68">
        <v>0</v>
      </c>
      <c r="P37" s="68">
        <v>6771</v>
      </c>
      <c r="Q37" s="2"/>
      <c r="R37" s="2"/>
      <c r="S37" s="2"/>
      <c r="T37" s="2"/>
      <c r="U37" s="2"/>
      <c r="V37" s="2"/>
      <c r="W37" s="2"/>
      <c r="X37" s="2"/>
      <c r="Y37" s="2"/>
    </row>
    <row r="38" spans="1:25">
      <c r="A38" s="70" t="s">
        <v>5</v>
      </c>
      <c r="B38" s="2" t="s">
        <v>19</v>
      </c>
      <c r="C38" s="412">
        <f t="shared" si="1"/>
        <v>38.95781637717122</v>
      </c>
      <c r="D38" s="412">
        <f t="shared" si="2"/>
        <v>24.565756823821339</v>
      </c>
      <c r="E38" s="412">
        <f t="shared" si="3"/>
        <v>27.915632754342433</v>
      </c>
      <c r="F38" s="412">
        <f t="shared" si="4"/>
        <v>6.6997518610421833</v>
      </c>
      <c r="G38" s="412">
        <f t="shared" si="5"/>
        <v>1.8610421836228286</v>
      </c>
      <c r="H38" s="412">
        <f t="shared" si="6"/>
        <v>0</v>
      </c>
      <c r="I38" s="412">
        <f t="shared" si="7"/>
        <v>100</v>
      </c>
      <c r="J38" s="409">
        <v>314</v>
      </c>
      <c r="K38" s="2">
        <v>198</v>
      </c>
      <c r="L38" s="2">
        <v>225</v>
      </c>
      <c r="M38" s="2">
        <v>54</v>
      </c>
      <c r="N38" s="2">
        <v>15</v>
      </c>
      <c r="O38" s="2">
        <v>0</v>
      </c>
      <c r="P38" s="2">
        <v>806</v>
      </c>
      <c r="Q38" s="2"/>
      <c r="R38" s="2"/>
      <c r="S38" s="2"/>
      <c r="T38" s="2"/>
      <c r="U38" s="2"/>
      <c r="V38" s="2"/>
      <c r="W38" s="2"/>
      <c r="X38" s="2"/>
      <c r="Y38" s="2"/>
    </row>
    <row r="39" spans="1:25">
      <c r="A39" s="70"/>
      <c r="B39" s="2" t="s">
        <v>20</v>
      </c>
      <c r="C39" s="412" t="e">
        <f t="shared" si="1"/>
        <v>#DIV/0!</v>
      </c>
      <c r="D39" s="412" t="e">
        <f t="shared" si="2"/>
        <v>#DIV/0!</v>
      </c>
      <c r="E39" s="412" t="e">
        <f t="shared" si="3"/>
        <v>#DIV/0!</v>
      </c>
      <c r="F39" s="412" t="e">
        <f t="shared" si="4"/>
        <v>#DIV/0!</v>
      </c>
      <c r="G39" s="412" t="e">
        <f t="shared" si="5"/>
        <v>#DIV/0!</v>
      </c>
      <c r="H39" s="412" t="e">
        <f t="shared" si="6"/>
        <v>#DIV/0!</v>
      </c>
      <c r="I39" s="412" t="e">
        <f t="shared" si="7"/>
        <v>#DIV/0!</v>
      </c>
      <c r="J39" s="409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/>
      <c r="R39" s="2"/>
      <c r="S39" s="2"/>
      <c r="T39" s="2"/>
      <c r="U39" s="2"/>
      <c r="V39" s="2"/>
      <c r="W39" s="2"/>
      <c r="X39" s="2"/>
      <c r="Y39" s="2"/>
    </row>
    <row r="40" spans="1:25">
      <c r="A40" s="70"/>
      <c r="B40" s="2" t="s">
        <v>21</v>
      </c>
      <c r="C40" s="412">
        <f t="shared" si="1"/>
        <v>29.166666666666668</v>
      </c>
      <c r="D40" s="412">
        <f t="shared" si="2"/>
        <v>25.757575757575758</v>
      </c>
      <c r="E40" s="412">
        <f t="shared" si="3"/>
        <v>26.893939393939391</v>
      </c>
      <c r="F40" s="412">
        <f t="shared" si="4"/>
        <v>15.909090909090908</v>
      </c>
      <c r="G40" s="412">
        <f t="shared" si="5"/>
        <v>2.2727272727272729</v>
      </c>
      <c r="H40" s="412">
        <f t="shared" si="6"/>
        <v>0</v>
      </c>
      <c r="I40" s="412">
        <f t="shared" si="7"/>
        <v>100</v>
      </c>
      <c r="J40" s="409">
        <v>231</v>
      </c>
      <c r="K40" s="2">
        <v>204</v>
      </c>
      <c r="L40" s="2">
        <v>213</v>
      </c>
      <c r="M40" s="2">
        <v>126</v>
      </c>
      <c r="N40" s="2">
        <v>18</v>
      </c>
      <c r="O40" s="2">
        <v>0</v>
      </c>
      <c r="P40" s="2">
        <v>792</v>
      </c>
      <c r="Q40" s="2"/>
      <c r="R40" s="2"/>
      <c r="S40" s="2"/>
      <c r="T40" s="2"/>
      <c r="U40" s="2"/>
      <c r="V40" s="2"/>
      <c r="W40" s="2"/>
      <c r="X40" s="2"/>
      <c r="Y40" s="2"/>
    </row>
    <row r="41" spans="1:25">
      <c r="A41" s="70"/>
      <c r="B41" s="2" t="s">
        <v>22</v>
      </c>
      <c r="C41" s="412">
        <f t="shared" si="1"/>
        <v>27.352941176470591</v>
      </c>
      <c r="D41" s="412">
        <f t="shared" si="2"/>
        <v>26.176470588235297</v>
      </c>
      <c r="E41" s="412">
        <f t="shared" si="3"/>
        <v>24.117647058823529</v>
      </c>
      <c r="F41" s="412">
        <f t="shared" si="4"/>
        <v>22.352941176470591</v>
      </c>
      <c r="G41" s="412">
        <f t="shared" si="5"/>
        <v>0</v>
      </c>
      <c r="H41" s="412">
        <f t="shared" si="6"/>
        <v>0</v>
      </c>
      <c r="I41" s="412">
        <f t="shared" si="7"/>
        <v>100</v>
      </c>
      <c r="J41" s="409">
        <v>93</v>
      </c>
      <c r="K41" s="2">
        <v>89</v>
      </c>
      <c r="L41" s="2">
        <v>82</v>
      </c>
      <c r="M41" s="2">
        <v>76</v>
      </c>
      <c r="N41" s="2">
        <v>0</v>
      </c>
      <c r="O41" s="2">
        <v>0</v>
      </c>
      <c r="P41" s="2">
        <v>340</v>
      </c>
      <c r="Q41" s="2"/>
      <c r="R41" s="2"/>
      <c r="S41" s="2"/>
      <c r="T41" s="2"/>
      <c r="U41" s="2"/>
      <c r="V41" s="2"/>
      <c r="W41" s="2"/>
      <c r="X41" s="2"/>
      <c r="Y41" s="2"/>
    </row>
    <row r="42" spans="1:25">
      <c r="A42" s="70"/>
      <c r="B42" s="2" t="s">
        <v>23</v>
      </c>
      <c r="C42" s="412">
        <f t="shared" si="1"/>
        <v>30.588235294117649</v>
      </c>
      <c r="D42" s="412">
        <f t="shared" si="2"/>
        <v>33.235294117647058</v>
      </c>
      <c r="E42" s="412">
        <f t="shared" si="3"/>
        <v>25</v>
      </c>
      <c r="F42" s="412">
        <f t="shared" si="4"/>
        <v>11.176470588235295</v>
      </c>
      <c r="G42" s="412">
        <f t="shared" si="5"/>
        <v>0</v>
      </c>
      <c r="H42" s="412">
        <f t="shared" si="6"/>
        <v>0</v>
      </c>
      <c r="I42" s="412">
        <f t="shared" si="7"/>
        <v>100</v>
      </c>
      <c r="J42" s="409">
        <v>104</v>
      </c>
      <c r="K42" s="2">
        <v>113</v>
      </c>
      <c r="L42" s="2">
        <v>85</v>
      </c>
      <c r="M42" s="2">
        <v>38</v>
      </c>
      <c r="N42" s="2">
        <v>0</v>
      </c>
      <c r="O42" s="2">
        <v>0</v>
      </c>
      <c r="P42" s="2">
        <v>340</v>
      </c>
      <c r="Q42" s="2"/>
      <c r="R42" s="2"/>
      <c r="S42" s="2"/>
      <c r="T42" s="2"/>
      <c r="U42" s="2"/>
      <c r="V42" s="2"/>
      <c r="W42" s="2"/>
      <c r="X42" s="2"/>
      <c r="Y42" s="2"/>
    </row>
    <row r="43" spans="1:25">
      <c r="A43" s="70"/>
      <c r="B43" s="2" t="s">
        <v>24</v>
      </c>
      <c r="C43" s="412">
        <f t="shared" si="1"/>
        <v>21.479713603818613</v>
      </c>
      <c r="D43" s="412">
        <f t="shared" si="2"/>
        <v>21.002386634844868</v>
      </c>
      <c r="E43" s="412">
        <f t="shared" si="3"/>
        <v>35.322195704057279</v>
      </c>
      <c r="F43" s="412">
        <f t="shared" si="4"/>
        <v>21.718377088305491</v>
      </c>
      <c r="G43" s="412">
        <f t="shared" si="5"/>
        <v>0.47732696897374705</v>
      </c>
      <c r="H43" s="412">
        <f t="shared" si="6"/>
        <v>0</v>
      </c>
      <c r="I43" s="412">
        <f t="shared" si="7"/>
        <v>100</v>
      </c>
      <c r="J43" s="409">
        <v>90</v>
      </c>
      <c r="K43" s="2">
        <v>88</v>
      </c>
      <c r="L43" s="2">
        <v>148</v>
      </c>
      <c r="M43" s="2">
        <v>91</v>
      </c>
      <c r="N43" s="2">
        <v>2</v>
      </c>
      <c r="O43" s="2">
        <v>0</v>
      </c>
      <c r="P43" s="2">
        <v>419</v>
      </c>
      <c r="Q43" s="2"/>
      <c r="R43" s="2"/>
      <c r="S43" s="2"/>
      <c r="T43" s="2"/>
      <c r="U43" s="2"/>
      <c r="V43" s="2"/>
      <c r="W43" s="2"/>
      <c r="X43" s="2"/>
      <c r="Y43" s="2"/>
    </row>
    <row r="44" spans="1:25">
      <c r="A44" s="70"/>
      <c r="B44" s="5" t="s">
        <v>80</v>
      </c>
      <c r="C44" s="417">
        <f t="shared" si="1"/>
        <v>30.849091583240639</v>
      </c>
      <c r="D44" s="417">
        <f t="shared" si="2"/>
        <v>25.658138672599186</v>
      </c>
      <c r="E44" s="417">
        <f t="shared" si="3"/>
        <v>27.919911012235815</v>
      </c>
      <c r="F44" s="417">
        <f t="shared" si="4"/>
        <v>14.275120504263997</v>
      </c>
      <c r="G44" s="417">
        <f t="shared" si="5"/>
        <v>1.2977382276603633</v>
      </c>
      <c r="H44" s="417">
        <f t="shared" si="6"/>
        <v>0</v>
      </c>
      <c r="I44" s="417">
        <f t="shared" si="7"/>
        <v>100</v>
      </c>
      <c r="J44" s="409">
        <f t="shared" ref="J44:P44" si="13">SUM(J38:J43)</f>
        <v>832</v>
      </c>
      <c r="K44" s="2">
        <f t="shared" si="13"/>
        <v>692</v>
      </c>
      <c r="L44" s="2">
        <f t="shared" si="13"/>
        <v>753</v>
      </c>
      <c r="M44" s="2">
        <f t="shared" si="13"/>
        <v>385</v>
      </c>
      <c r="N44" s="2">
        <f t="shared" si="13"/>
        <v>35</v>
      </c>
      <c r="O44" s="2">
        <f t="shared" si="13"/>
        <v>0</v>
      </c>
      <c r="P44" s="2">
        <f t="shared" si="13"/>
        <v>2697</v>
      </c>
      <c r="Q44" s="2"/>
      <c r="R44" s="2"/>
      <c r="S44" s="2"/>
      <c r="T44" s="2"/>
      <c r="U44" s="2"/>
      <c r="V44" s="2"/>
      <c r="W44" s="2"/>
      <c r="X44" s="2"/>
      <c r="Y44" s="2"/>
    </row>
    <row r="45" spans="1:25">
      <c r="A45" s="70"/>
      <c r="B45" s="2" t="s">
        <v>25</v>
      </c>
      <c r="C45" s="412">
        <f t="shared" si="1"/>
        <v>0</v>
      </c>
      <c r="D45" s="412">
        <f t="shared" si="2"/>
        <v>0</v>
      </c>
      <c r="E45" s="412">
        <f t="shared" si="3"/>
        <v>0</v>
      </c>
      <c r="F45" s="412">
        <f t="shared" si="4"/>
        <v>0</v>
      </c>
      <c r="G45" s="412">
        <f t="shared" si="5"/>
        <v>0</v>
      </c>
      <c r="H45" s="412">
        <f t="shared" si="6"/>
        <v>100</v>
      </c>
      <c r="I45" s="412">
        <f t="shared" si="7"/>
        <v>100</v>
      </c>
      <c r="J45" s="409">
        <v>0</v>
      </c>
      <c r="K45" s="2">
        <v>0</v>
      </c>
      <c r="L45" s="2">
        <v>0</v>
      </c>
      <c r="M45" s="2">
        <v>0</v>
      </c>
      <c r="N45" s="2">
        <v>0</v>
      </c>
      <c r="O45" s="2">
        <v>794</v>
      </c>
      <c r="P45" s="2">
        <v>794</v>
      </c>
      <c r="Q45" s="2"/>
      <c r="R45" s="2"/>
      <c r="S45" s="2"/>
      <c r="T45" s="2"/>
      <c r="U45" s="2"/>
      <c r="V45" s="2"/>
      <c r="W45" s="2"/>
      <c r="X45" s="2"/>
      <c r="Y45" s="2"/>
    </row>
    <row r="46" spans="1:25">
      <c r="A46" s="70"/>
      <c r="B46" s="2" t="s">
        <v>26</v>
      </c>
      <c r="C46" s="412" t="e">
        <f t="shared" si="1"/>
        <v>#DIV/0!</v>
      </c>
      <c r="D46" s="412" t="e">
        <f t="shared" si="2"/>
        <v>#DIV/0!</v>
      </c>
      <c r="E46" s="412" t="e">
        <f t="shared" si="3"/>
        <v>#DIV/0!</v>
      </c>
      <c r="F46" s="412" t="e">
        <f t="shared" si="4"/>
        <v>#DIV/0!</v>
      </c>
      <c r="G46" s="412" t="e">
        <f t="shared" si="5"/>
        <v>#DIV/0!</v>
      </c>
      <c r="H46" s="412" t="e">
        <f t="shared" si="6"/>
        <v>#DIV/0!</v>
      </c>
      <c r="I46" s="412" t="e">
        <f t="shared" si="7"/>
        <v>#DIV/0!</v>
      </c>
      <c r="J46" s="409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/>
      <c r="R46" s="2"/>
      <c r="S46" s="2"/>
      <c r="T46" s="2"/>
      <c r="U46" s="2"/>
      <c r="V46" s="2"/>
      <c r="W46" s="2"/>
      <c r="X46" s="2"/>
      <c r="Y46" s="2"/>
    </row>
    <row r="47" spans="1:25">
      <c r="A47" s="72"/>
      <c r="B47" s="69" t="s">
        <v>27</v>
      </c>
      <c r="C47" s="418">
        <f t="shared" si="1"/>
        <v>23.832712689773704</v>
      </c>
      <c r="D47" s="418">
        <f t="shared" si="2"/>
        <v>19.822400458321397</v>
      </c>
      <c r="E47" s="418">
        <f t="shared" si="3"/>
        <v>21.569750787739903</v>
      </c>
      <c r="F47" s="418">
        <f t="shared" si="4"/>
        <v>11.028358636493842</v>
      </c>
      <c r="G47" s="418">
        <f t="shared" si="5"/>
        <v>1.0025780578630765</v>
      </c>
      <c r="H47" s="418">
        <f t="shared" si="6"/>
        <v>22.744199369808076</v>
      </c>
      <c r="I47" s="418">
        <f t="shared" si="7"/>
        <v>100</v>
      </c>
      <c r="J47" s="410">
        <v>832</v>
      </c>
      <c r="K47" s="68">
        <v>692</v>
      </c>
      <c r="L47" s="68">
        <v>753</v>
      </c>
      <c r="M47" s="68">
        <v>385</v>
      </c>
      <c r="N47" s="68">
        <v>35</v>
      </c>
      <c r="O47" s="68">
        <v>794</v>
      </c>
      <c r="P47" s="68">
        <v>3491</v>
      </c>
      <c r="Q47" s="2"/>
      <c r="R47" s="2"/>
      <c r="S47" s="2"/>
      <c r="T47" s="2"/>
      <c r="U47" s="2"/>
      <c r="V47" s="2"/>
      <c r="W47" s="2"/>
      <c r="X47" s="2"/>
      <c r="Y47" s="2"/>
    </row>
    <row r="48" spans="1:25">
      <c r="A48" s="70" t="s">
        <v>82</v>
      </c>
      <c r="B48" s="2" t="s">
        <v>19</v>
      </c>
      <c r="C48" s="412">
        <f t="shared" si="1"/>
        <v>36.199575371549891</v>
      </c>
      <c r="D48" s="412">
        <f t="shared" si="2"/>
        <v>33.86411889596603</v>
      </c>
      <c r="E48" s="412">
        <f t="shared" si="3"/>
        <v>23.036093418259025</v>
      </c>
      <c r="F48" s="412">
        <f t="shared" si="4"/>
        <v>6.9002123142250529</v>
      </c>
      <c r="G48" s="412">
        <f t="shared" si="5"/>
        <v>0</v>
      </c>
      <c r="H48" s="412">
        <f t="shared" si="6"/>
        <v>0</v>
      </c>
      <c r="I48" s="412">
        <f t="shared" si="7"/>
        <v>100</v>
      </c>
      <c r="J48" s="409">
        <v>341</v>
      </c>
      <c r="K48" s="74">
        <v>319</v>
      </c>
      <c r="L48" s="74">
        <v>217</v>
      </c>
      <c r="M48" s="74">
        <v>65</v>
      </c>
      <c r="N48" s="74">
        <v>0</v>
      </c>
      <c r="O48" s="74">
        <v>0</v>
      </c>
      <c r="P48" s="74">
        <v>942</v>
      </c>
      <c r="Q48" s="2"/>
      <c r="R48" s="2"/>
      <c r="S48" s="2"/>
      <c r="T48" s="2"/>
      <c r="U48" s="2"/>
      <c r="V48" s="2"/>
      <c r="W48" s="2"/>
      <c r="X48" s="2"/>
      <c r="Y48" s="2"/>
    </row>
    <row r="49" spans="1:25">
      <c r="A49" s="70"/>
      <c r="B49" s="2" t="s">
        <v>20</v>
      </c>
      <c r="C49" s="412" t="e">
        <f t="shared" si="1"/>
        <v>#DIV/0!</v>
      </c>
      <c r="D49" s="412" t="e">
        <f t="shared" si="2"/>
        <v>#DIV/0!</v>
      </c>
      <c r="E49" s="412" t="e">
        <f t="shared" si="3"/>
        <v>#DIV/0!</v>
      </c>
      <c r="F49" s="412" t="e">
        <f t="shared" si="4"/>
        <v>#DIV/0!</v>
      </c>
      <c r="G49" s="412" t="e">
        <f t="shared" si="5"/>
        <v>#DIV/0!</v>
      </c>
      <c r="H49" s="412" t="e">
        <f t="shared" si="6"/>
        <v>#DIV/0!</v>
      </c>
      <c r="I49" s="412" t="e">
        <f t="shared" si="7"/>
        <v>#DIV/0!</v>
      </c>
      <c r="J49" s="409">
        <v>0</v>
      </c>
      <c r="K49" s="74">
        <v>0</v>
      </c>
      <c r="L49" s="74">
        <v>0</v>
      </c>
      <c r="M49" s="74">
        <v>0</v>
      </c>
      <c r="N49" s="74">
        <v>0</v>
      </c>
      <c r="O49" s="74">
        <v>0</v>
      </c>
      <c r="P49" s="74">
        <v>0</v>
      </c>
      <c r="Q49" s="2"/>
      <c r="R49" s="2"/>
      <c r="S49" s="2"/>
      <c r="T49" s="2"/>
      <c r="U49" s="2"/>
      <c r="V49" s="2"/>
      <c r="W49" s="2"/>
      <c r="X49" s="2"/>
      <c r="Y49" s="2"/>
    </row>
    <row r="50" spans="1:25">
      <c r="A50" s="70"/>
      <c r="B50" s="2" t="s">
        <v>21</v>
      </c>
      <c r="C50" s="412" t="e">
        <f t="shared" si="1"/>
        <v>#DIV/0!</v>
      </c>
      <c r="D50" s="412" t="e">
        <f t="shared" si="2"/>
        <v>#DIV/0!</v>
      </c>
      <c r="E50" s="412" t="e">
        <f t="shared" si="3"/>
        <v>#DIV/0!</v>
      </c>
      <c r="F50" s="412" t="e">
        <f t="shared" si="4"/>
        <v>#DIV/0!</v>
      </c>
      <c r="G50" s="412" t="e">
        <f t="shared" si="5"/>
        <v>#DIV/0!</v>
      </c>
      <c r="H50" s="412" t="e">
        <f t="shared" si="6"/>
        <v>#DIV/0!</v>
      </c>
      <c r="I50" s="412" t="e">
        <f t="shared" si="7"/>
        <v>#DIV/0!</v>
      </c>
      <c r="J50" s="409">
        <v>0</v>
      </c>
      <c r="K50" s="74">
        <v>0</v>
      </c>
      <c r="L50" s="74">
        <v>0</v>
      </c>
      <c r="M50" s="74">
        <v>0</v>
      </c>
      <c r="N50" s="74">
        <v>0</v>
      </c>
      <c r="O50" s="74">
        <v>0</v>
      </c>
      <c r="P50" s="74">
        <v>0</v>
      </c>
      <c r="Q50" s="2"/>
      <c r="R50" s="2"/>
      <c r="S50" s="2"/>
      <c r="T50" s="2"/>
      <c r="U50" s="2"/>
      <c r="V50" s="2"/>
      <c r="W50" s="2"/>
      <c r="X50" s="2"/>
      <c r="Y50" s="2"/>
    </row>
    <row r="51" spans="1:25">
      <c r="A51" s="70"/>
      <c r="B51" s="2" t="s">
        <v>22</v>
      </c>
      <c r="C51" s="412">
        <f t="shared" si="1"/>
        <v>16.959064327485379</v>
      </c>
      <c r="D51" s="412">
        <f t="shared" si="2"/>
        <v>27.485380116959064</v>
      </c>
      <c r="E51" s="412">
        <f t="shared" si="3"/>
        <v>35.672514619883039</v>
      </c>
      <c r="F51" s="412">
        <f t="shared" si="4"/>
        <v>19.883040935672515</v>
      </c>
      <c r="G51" s="412">
        <f t="shared" si="5"/>
        <v>0</v>
      </c>
      <c r="H51" s="412">
        <f t="shared" si="6"/>
        <v>0</v>
      </c>
      <c r="I51" s="412">
        <f t="shared" si="7"/>
        <v>100</v>
      </c>
      <c r="J51" s="409">
        <v>29</v>
      </c>
      <c r="K51" s="74">
        <v>47</v>
      </c>
      <c r="L51" s="74">
        <v>61</v>
      </c>
      <c r="M51" s="74">
        <v>34</v>
      </c>
      <c r="N51" s="74">
        <v>0</v>
      </c>
      <c r="O51" s="74">
        <v>0</v>
      </c>
      <c r="P51" s="74">
        <v>171</v>
      </c>
      <c r="Q51" s="2"/>
      <c r="R51" s="2"/>
      <c r="S51" s="2"/>
      <c r="T51" s="2"/>
      <c r="U51" s="2"/>
      <c r="V51" s="2"/>
      <c r="W51" s="2"/>
      <c r="X51" s="2"/>
      <c r="Y51" s="2"/>
    </row>
    <row r="52" spans="1:25">
      <c r="A52" s="70"/>
      <c r="B52" s="2" t="s">
        <v>23</v>
      </c>
      <c r="C52" s="412" t="e">
        <f t="shared" si="1"/>
        <v>#DIV/0!</v>
      </c>
      <c r="D52" s="412" t="e">
        <f t="shared" si="2"/>
        <v>#DIV/0!</v>
      </c>
      <c r="E52" s="412" t="e">
        <f t="shared" si="3"/>
        <v>#DIV/0!</v>
      </c>
      <c r="F52" s="412" t="e">
        <f t="shared" si="4"/>
        <v>#DIV/0!</v>
      </c>
      <c r="G52" s="412" t="e">
        <f t="shared" si="5"/>
        <v>#DIV/0!</v>
      </c>
      <c r="H52" s="412" t="e">
        <f t="shared" si="6"/>
        <v>#DIV/0!</v>
      </c>
      <c r="I52" s="412" t="e">
        <f t="shared" si="7"/>
        <v>#DIV/0!</v>
      </c>
      <c r="J52" s="409">
        <v>0</v>
      </c>
      <c r="K52" s="74">
        <v>0</v>
      </c>
      <c r="L52" s="74">
        <v>0</v>
      </c>
      <c r="M52" s="74">
        <v>0</v>
      </c>
      <c r="N52" s="74">
        <v>0</v>
      </c>
      <c r="O52" s="74">
        <v>0</v>
      </c>
      <c r="P52" s="74">
        <v>0</v>
      </c>
      <c r="Q52" s="2"/>
      <c r="R52" s="2"/>
      <c r="S52" s="2"/>
      <c r="T52" s="2"/>
      <c r="U52" s="2"/>
      <c r="V52" s="2"/>
      <c r="W52" s="2"/>
      <c r="X52" s="2"/>
      <c r="Y52" s="2"/>
    </row>
    <row r="53" spans="1:25">
      <c r="A53" s="70"/>
      <c r="B53" s="2" t="s">
        <v>24</v>
      </c>
      <c r="C53" s="412" t="e">
        <f t="shared" si="1"/>
        <v>#DIV/0!</v>
      </c>
      <c r="D53" s="412" t="e">
        <f t="shared" si="2"/>
        <v>#DIV/0!</v>
      </c>
      <c r="E53" s="412" t="e">
        <f t="shared" si="3"/>
        <v>#DIV/0!</v>
      </c>
      <c r="F53" s="412" t="e">
        <f t="shared" si="4"/>
        <v>#DIV/0!</v>
      </c>
      <c r="G53" s="412" t="e">
        <f t="shared" si="5"/>
        <v>#DIV/0!</v>
      </c>
      <c r="H53" s="412" t="e">
        <f t="shared" si="6"/>
        <v>#DIV/0!</v>
      </c>
      <c r="I53" s="412" t="e">
        <f t="shared" si="7"/>
        <v>#DIV/0!</v>
      </c>
      <c r="J53" s="409">
        <v>0</v>
      </c>
      <c r="K53" s="74">
        <v>0</v>
      </c>
      <c r="L53" s="74">
        <v>0</v>
      </c>
      <c r="M53" s="74">
        <v>0</v>
      </c>
      <c r="N53" s="74">
        <v>0</v>
      </c>
      <c r="O53" s="74">
        <v>0</v>
      </c>
      <c r="P53" s="74">
        <v>0</v>
      </c>
      <c r="Q53" s="2"/>
      <c r="R53" s="2"/>
      <c r="S53" s="2"/>
      <c r="T53" s="2"/>
      <c r="U53" s="2"/>
      <c r="V53" s="2"/>
      <c r="W53" s="2"/>
      <c r="X53" s="2"/>
      <c r="Y53" s="2"/>
    </row>
    <row r="54" spans="1:25">
      <c r="A54" s="70"/>
      <c r="B54" s="5" t="s">
        <v>80</v>
      </c>
      <c r="C54" s="417">
        <f t="shared" si="1"/>
        <v>33.243486073674752</v>
      </c>
      <c r="D54" s="417">
        <f t="shared" si="2"/>
        <v>32.884097035040433</v>
      </c>
      <c r="E54" s="417">
        <f t="shared" si="3"/>
        <v>24.977538185085354</v>
      </c>
      <c r="F54" s="417">
        <f t="shared" si="4"/>
        <v>8.8948787061994601</v>
      </c>
      <c r="G54" s="417">
        <f t="shared" si="5"/>
        <v>0</v>
      </c>
      <c r="H54" s="417">
        <f t="shared" si="6"/>
        <v>0</v>
      </c>
      <c r="I54" s="417">
        <f t="shared" si="7"/>
        <v>100</v>
      </c>
      <c r="J54" s="409">
        <f t="shared" ref="J54:P54" si="14">SUM(J48:J53)</f>
        <v>370</v>
      </c>
      <c r="K54" s="74">
        <f t="shared" si="14"/>
        <v>366</v>
      </c>
      <c r="L54" s="74">
        <f t="shared" si="14"/>
        <v>278</v>
      </c>
      <c r="M54" s="74">
        <f t="shared" si="14"/>
        <v>99</v>
      </c>
      <c r="N54" s="74">
        <f t="shared" si="14"/>
        <v>0</v>
      </c>
      <c r="O54" s="74">
        <f t="shared" si="14"/>
        <v>0</v>
      </c>
      <c r="P54" s="74">
        <f t="shared" si="14"/>
        <v>1113</v>
      </c>
      <c r="Q54" s="2"/>
      <c r="R54" s="2"/>
      <c r="S54" s="2"/>
      <c r="T54" s="2"/>
      <c r="U54" s="2"/>
      <c r="V54" s="2"/>
      <c r="W54" s="2"/>
      <c r="X54" s="2"/>
      <c r="Y54" s="2"/>
    </row>
    <row r="55" spans="1:25">
      <c r="A55" s="70"/>
      <c r="B55" s="2" t="s">
        <v>25</v>
      </c>
      <c r="C55" s="412" t="e">
        <f t="shared" si="1"/>
        <v>#DIV/0!</v>
      </c>
      <c r="D55" s="412" t="e">
        <f t="shared" si="2"/>
        <v>#DIV/0!</v>
      </c>
      <c r="E55" s="412" t="e">
        <f t="shared" si="3"/>
        <v>#DIV/0!</v>
      </c>
      <c r="F55" s="412" t="e">
        <f t="shared" si="4"/>
        <v>#DIV/0!</v>
      </c>
      <c r="G55" s="412" t="e">
        <f t="shared" si="5"/>
        <v>#DIV/0!</v>
      </c>
      <c r="H55" s="412" t="e">
        <f t="shared" si="6"/>
        <v>#DIV/0!</v>
      </c>
      <c r="I55" s="412" t="e">
        <f t="shared" si="7"/>
        <v>#DIV/0!</v>
      </c>
      <c r="J55" s="409">
        <v>0</v>
      </c>
      <c r="K55" s="74">
        <v>0</v>
      </c>
      <c r="L55" s="74">
        <v>0</v>
      </c>
      <c r="M55" s="74">
        <v>0</v>
      </c>
      <c r="N55" s="74">
        <v>0</v>
      </c>
      <c r="O55" s="74">
        <v>0</v>
      </c>
      <c r="P55" s="74">
        <v>0</v>
      </c>
      <c r="Q55" s="2"/>
      <c r="R55" s="2"/>
      <c r="S55" s="2"/>
      <c r="T55" s="2"/>
      <c r="U55" s="2"/>
      <c r="V55" s="2"/>
      <c r="W55" s="2"/>
      <c r="X55" s="2"/>
      <c r="Y55" s="2"/>
    </row>
    <row r="56" spans="1:25">
      <c r="A56" s="70"/>
      <c r="B56" s="2" t="s">
        <v>26</v>
      </c>
      <c r="C56" s="412" t="e">
        <f t="shared" si="1"/>
        <v>#DIV/0!</v>
      </c>
      <c r="D56" s="412" t="e">
        <f t="shared" si="2"/>
        <v>#DIV/0!</v>
      </c>
      <c r="E56" s="412" t="e">
        <f t="shared" si="3"/>
        <v>#DIV/0!</v>
      </c>
      <c r="F56" s="412" t="e">
        <f t="shared" si="4"/>
        <v>#DIV/0!</v>
      </c>
      <c r="G56" s="412" t="e">
        <f t="shared" si="5"/>
        <v>#DIV/0!</v>
      </c>
      <c r="H56" s="412" t="e">
        <f t="shared" si="6"/>
        <v>#DIV/0!</v>
      </c>
      <c r="I56" s="412" t="e">
        <f t="shared" si="7"/>
        <v>#DIV/0!</v>
      </c>
      <c r="J56" s="409">
        <v>0</v>
      </c>
      <c r="K56" s="74">
        <v>0</v>
      </c>
      <c r="L56" s="74">
        <v>0</v>
      </c>
      <c r="M56" s="74">
        <v>0</v>
      </c>
      <c r="N56" s="74">
        <v>0</v>
      </c>
      <c r="O56" s="74">
        <v>0</v>
      </c>
      <c r="P56" s="74">
        <v>0</v>
      </c>
      <c r="Q56" s="2"/>
      <c r="R56" s="2"/>
      <c r="S56" s="2"/>
      <c r="T56" s="2"/>
      <c r="U56" s="2"/>
      <c r="V56" s="2"/>
      <c r="W56" s="2"/>
      <c r="X56" s="2"/>
      <c r="Y56" s="2"/>
    </row>
    <row r="57" spans="1:25">
      <c r="A57" s="72"/>
      <c r="B57" s="69" t="s">
        <v>27</v>
      </c>
      <c r="C57" s="418">
        <f t="shared" si="1"/>
        <v>33.243486073674752</v>
      </c>
      <c r="D57" s="418">
        <f t="shared" si="2"/>
        <v>32.884097035040433</v>
      </c>
      <c r="E57" s="418">
        <f t="shared" si="3"/>
        <v>24.977538185085354</v>
      </c>
      <c r="F57" s="418">
        <f t="shared" si="4"/>
        <v>8.8948787061994601</v>
      </c>
      <c r="G57" s="418">
        <f t="shared" si="5"/>
        <v>0</v>
      </c>
      <c r="H57" s="418">
        <f t="shared" si="6"/>
        <v>0</v>
      </c>
      <c r="I57" s="418">
        <f t="shared" si="7"/>
        <v>100</v>
      </c>
      <c r="J57" s="410">
        <v>370</v>
      </c>
      <c r="K57" s="68">
        <v>366</v>
      </c>
      <c r="L57" s="68">
        <v>278</v>
      </c>
      <c r="M57" s="68">
        <v>99</v>
      </c>
      <c r="N57" s="68">
        <v>0</v>
      </c>
      <c r="O57" s="68">
        <v>0</v>
      </c>
      <c r="P57" s="68">
        <v>1113</v>
      </c>
      <c r="Q57" s="2"/>
      <c r="R57" s="2"/>
      <c r="S57" s="2"/>
      <c r="T57" s="2"/>
      <c r="U57" s="2"/>
      <c r="V57" s="2"/>
      <c r="W57" s="2"/>
      <c r="X57" s="2"/>
      <c r="Y57" s="2"/>
    </row>
    <row r="58" spans="1:25">
      <c r="A58" s="70" t="s">
        <v>6</v>
      </c>
      <c r="B58" s="2" t="s">
        <v>19</v>
      </c>
      <c r="C58" s="412">
        <f t="shared" si="1"/>
        <v>45.1955137920582</v>
      </c>
      <c r="D58" s="412">
        <f t="shared" si="2"/>
        <v>31.433767808426794</v>
      </c>
      <c r="E58" s="412">
        <f t="shared" si="3"/>
        <v>21.279175507729615</v>
      </c>
      <c r="F58" s="412">
        <f t="shared" si="4"/>
        <v>1.9702940284934827</v>
      </c>
      <c r="G58" s="412">
        <f t="shared" si="5"/>
        <v>0.12124886329190664</v>
      </c>
      <c r="H58" s="412">
        <f t="shared" si="6"/>
        <v>0</v>
      </c>
      <c r="I58" s="412">
        <f t="shared" si="7"/>
        <v>100</v>
      </c>
      <c r="J58" s="409">
        <v>1491</v>
      </c>
      <c r="K58" s="2">
        <v>1037</v>
      </c>
      <c r="L58" s="2">
        <v>702</v>
      </c>
      <c r="M58" s="2">
        <v>65</v>
      </c>
      <c r="N58" s="2">
        <v>4</v>
      </c>
      <c r="O58" s="2">
        <v>0</v>
      </c>
      <c r="P58" s="2">
        <v>3299</v>
      </c>
      <c r="Q58" s="2"/>
      <c r="R58" s="2"/>
      <c r="S58" s="2"/>
      <c r="T58" s="2"/>
      <c r="U58" s="2"/>
      <c r="V58" s="2"/>
      <c r="W58" s="2"/>
      <c r="X58" s="2"/>
      <c r="Y58" s="2"/>
    </row>
    <row r="59" spans="1:25">
      <c r="A59" s="70"/>
      <c r="B59" s="2" t="s">
        <v>20</v>
      </c>
      <c r="C59" s="412">
        <f t="shared" si="1"/>
        <v>37.26135615536537</v>
      </c>
      <c r="D59" s="412">
        <f t="shared" si="2"/>
        <v>30.480579328505598</v>
      </c>
      <c r="E59" s="412">
        <f t="shared" si="3"/>
        <v>24.160631994733379</v>
      </c>
      <c r="F59" s="412">
        <f t="shared" si="4"/>
        <v>4.4766293614219883</v>
      </c>
      <c r="G59" s="412">
        <f t="shared" si="5"/>
        <v>3.6208031599736672</v>
      </c>
      <c r="H59" s="412">
        <f t="shared" si="6"/>
        <v>0</v>
      </c>
      <c r="I59" s="412">
        <f t="shared" si="7"/>
        <v>100</v>
      </c>
      <c r="J59" s="409">
        <v>566</v>
      </c>
      <c r="K59" s="2">
        <v>463</v>
      </c>
      <c r="L59" s="2">
        <v>367</v>
      </c>
      <c r="M59" s="2">
        <v>68</v>
      </c>
      <c r="N59" s="2">
        <v>55</v>
      </c>
      <c r="O59" s="2">
        <v>0</v>
      </c>
      <c r="P59" s="2">
        <v>1519</v>
      </c>
      <c r="Q59" s="2"/>
      <c r="R59" s="2"/>
      <c r="S59" s="2"/>
      <c r="T59" s="2"/>
      <c r="U59" s="2"/>
      <c r="V59" s="2"/>
      <c r="W59" s="2"/>
      <c r="X59" s="2"/>
      <c r="Y59" s="2"/>
    </row>
    <row r="60" spans="1:25">
      <c r="A60" s="70"/>
      <c r="B60" s="2" t="s">
        <v>21</v>
      </c>
      <c r="C60" s="412">
        <f t="shared" si="1"/>
        <v>26.560509554140125</v>
      </c>
      <c r="D60" s="412">
        <f t="shared" si="2"/>
        <v>33.248407643312099</v>
      </c>
      <c r="E60" s="412">
        <f t="shared" si="3"/>
        <v>29.108280254777068</v>
      </c>
      <c r="F60" s="412">
        <f t="shared" si="4"/>
        <v>8.9171974522292992</v>
      </c>
      <c r="G60" s="412">
        <f t="shared" si="5"/>
        <v>2.1656050955414012</v>
      </c>
      <c r="H60" s="412">
        <f t="shared" si="6"/>
        <v>0</v>
      </c>
      <c r="I60" s="412">
        <f t="shared" si="7"/>
        <v>100</v>
      </c>
      <c r="J60" s="409">
        <v>417</v>
      </c>
      <c r="K60" s="2">
        <v>522</v>
      </c>
      <c r="L60" s="2">
        <v>457</v>
      </c>
      <c r="M60" s="2">
        <v>140</v>
      </c>
      <c r="N60" s="2">
        <v>34</v>
      </c>
      <c r="O60" s="2">
        <v>0</v>
      </c>
      <c r="P60" s="2">
        <v>1570</v>
      </c>
      <c r="Q60" s="2"/>
      <c r="R60" s="2"/>
      <c r="S60" s="2"/>
      <c r="T60" s="2"/>
      <c r="U60" s="2"/>
      <c r="V60" s="2"/>
      <c r="W60" s="2"/>
      <c r="X60" s="2"/>
      <c r="Y60" s="2"/>
    </row>
    <row r="61" spans="1:25">
      <c r="A61" s="70"/>
      <c r="B61" s="2" t="s">
        <v>22</v>
      </c>
      <c r="C61" s="412">
        <f t="shared" si="1"/>
        <v>29.629629629629626</v>
      </c>
      <c r="D61" s="412">
        <f t="shared" si="2"/>
        <v>34.343434343434339</v>
      </c>
      <c r="E61" s="412">
        <f t="shared" si="3"/>
        <v>28.28282828282828</v>
      </c>
      <c r="F61" s="412">
        <f t="shared" si="4"/>
        <v>7.7441077441077439</v>
      </c>
      <c r="G61" s="412">
        <f t="shared" si="5"/>
        <v>0</v>
      </c>
      <c r="H61" s="412">
        <f t="shared" si="6"/>
        <v>0</v>
      </c>
      <c r="I61" s="412">
        <f t="shared" si="7"/>
        <v>100</v>
      </c>
      <c r="J61" s="409">
        <v>176</v>
      </c>
      <c r="K61" s="2">
        <v>204</v>
      </c>
      <c r="L61" s="2">
        <v>168</v>
      </c>
      <c r="M61" s="2">
        <v>46</v>
      </c>
      <c r="N61" s="2">
        <v>0</v>
      </c>
      <c r="O61" s="2">
        <v>0</v>
      </c>
      <c r="P61" s="2">
        <v>594</v>
      </c>
      <c r="Q61" s="2"/>
      <c r="R61" s="2"/>
      <c r="S61" s="2"/>
      <c r="T61" s="2"/>
      <c r="U61" s="2"/>
      <c r="V61" s="2"/>
      <c r="W61" s="2"/>
      <c r="X61" s="2"/>
      <c r="Y61" s="2"/>
    </row>
    <row r="62" spans="1:25">
      <c r="A62" s="70"/>
      <c r="B62" s="2" t="s">
        <v>23</v>
      </c>
      <c r="C62" s="412" t="e">
        <f t="shared" si="1"/>
        <v>#DIV/0!</v>
      </c>
      <c r="D62" s="412" t="e">
        <f t="shared" si="2"/>
        <v>#DIV/0!</v>
      </c>
      <c r="E62" s="412" t="e">
        <f t="shared" si="3"/>
        <v>#DIV/0!</v>
      </c>
      <c r="F62" s="412" t="e">
        <f t="shared" si="4"/>
        <v>#DIV/0!</v>
      </c>
      <c r="G62" s="412" t="e">
        <f t="shared" si="5"/>
        <v>#DIV/0!</v>
      </c>
      <c r="H62" s="412" t="e">
        <f t="shared" si="6"/>
        <v>#DIV/0!</v>
      </c>
      <c r="I62" s="412" t="e">
        <f t="shared" si="7"/>
        <v>#DIV/0!</v>
      </c>
      <c r="J62" s="409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/>
      <c r="R62" s="2"/>
      <c r="S62" s="2"/>
      <c r="T62" s="2"/>
      <c r="U62" s="2"/>
      <c r="V62" s="2"/>
      <c r="W62" s="2"/>
      <c r="X62" s="2"/>
      <c r="Y62" s="2"/>
    </row>
    <row r="63" spans="1:25">
      <c r="A63" s="70"/>
      <c r="B63" s="2" t="s">
        <v>24</v>
      </c>
      <c r="C63" s="412" t="e">
        <f t="shared" si="1"/>
        <v>#DIV/0!</v>
      </c>
      <c r="D63" s="412" t="e">
        <f t="shared" si="2"/>
        <v>#DIV/0!</v>
      </c>
      <c r="E63" s="412" t="e">
        <f t="shared" si="3"/>
        <v>#DIV/0!</v>
      </c>
      <c r="F63" s="412" t="e">
        <f t="shared" si="4"/>
        <v>#DIV/0!</v>
      </c>
      <c r="G63" s="412" t="e">
        <f t="shared" si="5"/>
        <v>#DIV/0!</v>
      </c>
      <c r="H63" s="412" t="e">
        <f t="shared" si="6"/>
        <v>#DIV/0!</v>
      </c>
      <c r="I63" s="412" t="e">
        <f t="shared" si="7"/>
        <v>#DIV/0!</v>
      </c>
      <c r="J63" s="409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/>
      <c r="R63" s="2"/>
      <c r="S63" s="2"/>
      <c r="T63" s="2"/>
      <c r="U63" s="2"/>
      <c r="V63" s="2"/>
      <c r="W63" s="2"/>
      <c r="X63" s="2"/>
      <c r="Y63" s="2"/>
    </row>
    <row r="64" spans="1:25">
      <c r="A64" s="70"/>
      <c r="B64" s="5" t="s">
        <v>80</v>
      </c>
      <c r="C64" s="417">
        <f t="shared" si="1"/>
        <v>37.954740761959322</v>
      </c>
      <c r="D64" s="417">
        <f t="shared" si="2"/>
        <v>31.881982240045829</v>
      </c>
      <c r="E64" s="417">
        <f t="shared" si="3"/>
        <v>24.262389000286451</v>
      </c>
      <c r="F64" s="417">
        <f t="shared" si="4"/>
        <v>4.5688914351188767</v>
      </c>
      <c r="G64" s="417">
        <f t="shared" si="5"/>
        <v>1.3319965625895158</v>
      </c>
      <c r="H64" s="417">
        <f t="shared" si="6"/>
        <v>0</v>
      </c>
      <c r="I64" s="417">
        <f t="shared" si="7"/>
        <v>100</v>
      </c>
      <c r="J64" s="409">
        <f t="shared" ref="J64:P64" si="15">SUM(J58:J63)</f>
        <v>2650</v>
      </c>
      <c r="K64" s="2">
        <f t="shared" si="15"/>
        <v>2226</v>
      </c>
      <c r="L64" s="2">
        <f t="shared" si="15"/>
        <v>1694</v>
      </c>
      <c r="M64" s="2">
        <f t="shared" si="15"/>
        <v>319</v>
      </c>
      <c r="N64" s="2">
        <f t="shared" si="15"/>
        <v>93</v>
      </c>
      <c r="O64" s="2">
        <f t="shared" si="15"/>
        <v>0</v>
      </c>
      <c r="P64" s="2">
        <f t="shared" si="15"/>
        <v>6982</v>
      </c>
      <c r="Q64" s="2"/>
      <c r="R64" s="2"/>
      <c r="S64" s="2"/>
      <c r="T64" s="2"/>
      <c r="U64" s="2"/>
      <c r="V64" s="2"/>
      <c r="W64" s="2"/>
      <c r="X64" s="2"/>
      <c r="Y64" s="2"/>
    </row>
    <row r="65" spans="1:25">
      <c r="A65" s="70"/>
      <c r="B65" s="2" t="s">
        <v>25</v>
      </c>
      <c r="C65" s="412">
        <f t="shared" si="1"/>
        <v>0</v>
      </c>
      <c r="D65" s="412">
        <f t="shared" si="2"/>
        <v>0</v>
      </c>
      <c r="E65" s="412">
        <f t="shared" si="3"/>
        <v>0</v>
      </c>
      <c r="F65" s="412">
        <f t="shared" si="4"/>
        <v>0</v>
      </c>
      <c r="G65" s="412">
        <f t="shared" si="5"/>
        <v>0</v>
      </c>
      <c r="H65" s="412">
        <f t="shared" si="6"/>
        <v>100</v>
      </c>
      <c r="I65" s="412">
        <f t="shared" si="7"/>
        <v>100</v>
      </c>
      <c r="J65" s="409">
        <v>0</v>
      </c>
      <c r="K65" s="2">
        <v>0</v>
      </c>
      <c r="L65" s="2">
        <v>0</v>
      </c>
      <c r="M65" s="2">
        <v>0</v>
      </c>
      <c r="N65" s="2">
        <v>0</v>
      </c>
      <c r="O65" s="2">
        <v>4685</v>
      </c>
      <c r="P65" s="2">
        <v>4685</v>
      </c>
      <c r="Q65" s="2"/>
      <c r="R65" s="2"/>
      <c r="S65" s="2"/>
      <c r="T65" s="2"/>
      <c r="U65" s="2"/>
      <c r="V65" s="2"/>
      <c r="W65" s="2"/>
      <c r="X65" s="2"/>
      <c r="Y65" s="2"/>
    </row>
    <row r="66" spans="1:25">
      <c r="A66" s="70"/>
      <c r="B66" s="2" t="s">
        <v>26</v>
      </c>
      <c r="C66" s="412" t="e">
        <f t="shared" si="1"/>
        <v>#DIV/0!</v>
      </c>
      <c r="D66" s="412" t="e">
        <f t="shared" si="2"/>
        <v>#DIV/0!</v>
      </c>
      <c r="E66" s="412" t="e">
        <f t="shared" si="3"/>
        <v>#DIV/0!</v>
      </c>
      <c r="F66" s="412" t="e">
        <f t="shared" si="4"/>
        <v>#DIV/0!</v>
      </c>
      <c r="G66" s="412" t="e">
        <f t="shared" si="5"/>
        <v>#DIV/0!</v>
      </c>
      <c r="H66" s="412" t="e">
        <f t="shared" si="6"/>
        <v>#DIV/0!</v>
      </c>
      <c r="I66" s="412" t="e">
        <f t="shared" si="7"/>
        <v>#DIV/0!</v>
      </c>
      <c r="J66" s="409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/>
      <c r="R66" s="2"/>
      <c r="S66" s="2"/>
      <c r="T66" s="2"/>
      <c r="U66" s="2"/>
      <c r="V66" s="2"/>
      <c r="W66" s="2"/>
      <c r="X66" s="2"/>
      <c r="Y66" s="2"/>
    </row>
    <row r="67" spans="1:25">
      <c r="A67" s="72"/>
      <c r="B67" s="69" t="s">
        <v>27</v>
      </c>
      <c r="C67" s="418">
        <f t="shared" si="1"/>
        <v>22.713636753235622</v>
      </c>
      <c r="D67" s="418">
        <f t="shared" si="2"/>
        <v>19.079454872717921</v>
      </c>
      <c r="E67" s="418">
        <f t="shared" si="3"/>
        <v>14.519585154709866</v>
      </c>
      <c r="F67" s="418">
        <f t="shared" si="4"/>
        <v>2.7342075940687409</v>
      </c>
      <c r="G67" s="418">
        <f t="shared" si="5"/>
        <v>0.7971200822833634</v>
      </c>
      <c r="H67" s="418">
        <f t="shared" si="6"/>
        <v>40.155995542984485</v>
      </c>
      <c r="I67" s="418">
        <f t="shared" si="7"/>
        <v>100</v>
      </c>
      <c r="J67" s="410">
        <v>2650</v>
      </c>
      <c r="K67" s="68">
        <v>2226</v>
      </c>
      <c r="L67" s="68">
        <v>1694</v>
      </c>
      <c r="M67" s="68">
        <v>319</v>
      </c>
      <c r="N67" s="68">
        <v>93</v>
      </c>
      <c r="O67" s="68">
        <v>4685</v>
      </c>
      <c r="P67" s="68">
        <v>11667</v>
      </c>
      <c r="Q67" s="2"/>
      <c r="R67" s="2"/>
      <c r="S67" s="2"/>
      <c r="T67" s="2"/>
      <c r="U67" s="2"/>
      <c r="V67" s="2"/>
      <c r="W67" s="2"/>
      <c r="X67" s="2"/>
      <c r="Y67" s="2"/>
    </row>
    <row r="68" spans="1:25">
      <c r="A68" s="70" t="s">
        <v>7</v>
      </c>
      <c r="B68" s="2" t="s">
        <v>19</v>
      </c>
      <c r="C68" s="412">
        <f t="shared" si="1"/>
        <v>38.921001926782274</v>
      </c>
      <c r="D68" s="412">
        <f t="shared" si="2"/>
        <v>31.213872832369944</v>
      </c>
      <c r="E68" s="412">
        <f t="shared" si="3"/>
        <v>19.524727039177904</v>
      </c>
      <c r="F68" s="412">
        <f t="shared" si="4"/>
        <v>10.340398201669879</v>
      </c>
      <c r="G68" s="412">
        <f t="shared" si="5"/>
        <v>0</v>
      </c>
      <c r="H68" s="412">
        <f t="shared" si="6"/>
        <v>0</v>
      </c>
      <c r="I68" s="412">
        <f t="shared" si="7"/>
        <v>100</v>
      </c>
      <c r="J68" s="409">
        <v>606</v>
      </c>
      <c r="K68" s="2">
        <v>486</v>
      </c>
      <c r="L68" s="2">
        <v>304</v>
      </c>
      <c r="M68" s="2">
        <v>161</v>
      </c>
      <c r="N68" s="2">
        <v>0</v>
      </c>
      <c r="O68" s="2">
        <v>0</v>
      </c>
      <c r="P68" s="2">
        <v>1557</v>
      </c>
      <c r="Q68" s="2"/>
      <c r="R68" s="2"/>
      <c r="S68" s="2"/>
      <c r="T68" s="2"/>
      <c r="U68" s="2"/>
      <c r="V68" s="2"/>
      <c r="W68" s="2"/>
      <c r="X68" s="2"/>
      <c r="Y68" s="2"/>
    </row>
    <row r="69" spans="1:25">
      <c r="A69" s="70"/>
      <c r="B69" s="2" t="s">
        <v>20</v>
      </c>
      <c r="C69" s="412">
        <f t="shared" si="1"/>
        <v>36.165730337078649</v>
      </c>
      <c r="D69" s="412">
        <f t="shared" si="2"/>
        <v>32.373595505617978</v>
      </c>
      <c r="E69" s="412">
        <f t="shared" si="3"/>
        <v>26.334269662921351</v>
      </c>
      <c r="F69" s="412">
        <f t="shared" si="4"/>
        <v>5.1264044943820224</v>
      </c>
      <c r="G69" s="412">
        <f t="shared" si="5"/>
        <v>0</v>
      </c>
      <c r="H69" s="412">
        <f t="shared" si="6"/>
        <v>0</v>
      </c>
      <c r="I69" s="412">
        <f t="shared" si="7"/>
        <v>100</v>
      </c>
      <c r="J69" s="409">
        <v>515</v>
      </c>
      <c r="K69" s="2">
        <v>461</v>
      </c>
      <c r="L69" s="2">
        <v>375</v>
      </c>
      <c r="M69" s="2">
        <v>73</v>
      </c>
      <c r="N69" s="2">
        <v>0</v>
      </c>
      <c r="O69" s="2">
        <v>0</v>
      </c>
      <c r="P69" s="2">
        <v>1424</v>
      </c>
      <c r="Q69" s="2"/>
      <c r="R69" s="2"/>
      <c r="S69" s="2"/>
      <c r="T69" s="2"/>
      <c r="U69" s="2"/>
      <c r="V69" s="2"/>
      <c r="W69" s="2"/>
      <c r="X69" s="2"/>
      <c r="Y69" s="2"/>
    </row>
    <row r="70" spans="1:25">
      <c r="A70" s="70"/>
      <c r="B70" s="2" t="s">
        <v>21</v>
      </c>
      <c r="C70" s="412">
        <f t="shared" si="1"/>
        <v>20.997920997921</v>
      </c>
      <c r="D70" s="412">
        <f t="shared" si="2"/>
        <v>24.532224532224532</v>
      </c>
      <c r="E70" s="412">
        <f t="shared" si="3"/>
        <v>43.03534303534304</v>
      </c>
      <c r="F70" s="412">
        <f t="shared" si="4"/>
        <v>11.434511434511435</v>
      </c>
      <c r="G70" s="412">
        <f t="shared" si="5"/>
        <v>0</v>
      </c>
      <c r="H70" s="412">
        <f t="shared" si="6"/>
        <v>0</v>
      </c>
      <c r="I70" s="412">
        <f t="shared" si="7"/>
        <v>100</v>
      </c>
      <c r="J70" s="409">
        <v>101</v>
      </c>
      <c r="K70" s="2">
        <v>118</v>
      </c>
      <c r="L70" s="2">
        <v>207</v>
      </c>
      <c r="M70" s="2">
        <v>55</v>
      </c>
      <c r="N70" s="2">
        <v>0</v>
      </c>
      <c r="O70" s="2">
        <v>0</v>
      </c>
      <c r="P70" s="2">
        <v>481</v>
      </c>
      <c r="Q70" s="2"/>
      <c r="R70" s="2"/>
      <c r="S70" s="2"/>
      <c r="T70" s="2"/>
      <c r="U70" s="2"/>
      <c r="V70" s="2"/>
      <c r="W70" s="2"/>
      <c r="X70" s="2"/>
      <c r="Y70" s="2"/>
    </row>
    <row r="71" spans="1:25">
      <c r="A71" s="70"/>
      <c r="B71" s="2" t="s">
        <v>22</v>
      </c>
      <c r="C71" s="412">
        <f t="shared" si="1"/>
        <v>34.048640915593701</v>
      </c>
      <c r="D71" s="412">
        <f t="shared" si="2"/>
        <v>24.463519313304722</v>
      </c>
      <c r="E71" s="412">
        <f t="shared" si="3"/>
        <v>34.763948497854074</v>
      </c>
      <c r="F71" s="412">
        <f t="shared" si="4"/>
        <v>6.7238912732474967</v>
      </c>
      <c r="G71" s="412">
        <f t="shared" si="5"/>
        <v>0</v>
      </c>
      <c r="H71" s="412">
        <f t="shared" si="6"/>
        <v>0</v>
      </c>
      <c r="I71" s="412">
        <f t="shared" si="7"/>
        <v>100</v>
      </c>
      <c r="J71" s="409">
        <v>238</v>
      </c>
      <c r="K71" s="2">
        <v>171</v>
      </c>
      <c r="L71" s="2">
        <v>243</v>
      </c>
      <c r="M71" s="2">
        <v>47</v>
      </c>
      <c r="N71" s="2">
        <v>0</v>
      </c>
      <c r="O71" s="2">
        <v>0</v>
      </c>
      <c r="P71" s="2">
        <v>699</v>
      </c>
      <c r="Q71" s="2"/>
      <c r="R71" s="2"/>
      <c r="S71" s="2"/>
      <c r="T71" s="2"/>
      <c r="U71" s="2"/>
      <c r="V71" s="2"/>
      <c r="W71" s="2"/>
      <c r="X71" s="2"/>
      <c r="Y71" s="2"/>
    </row>
    <row r="72" spans="1:25">
      <c r="A72" s="70"/>
      <c r="B72" s="2" t="s">
        <v>23</v>
      </c>
      <c r="C72" s="412">
        <f t="shared" si="1"/>
        <v>30.731225296442688</v>
      </c>
      <c r="D72" s="412">
        <f t="shared" si="2"/>
        <v>28.952569169960473</v>
      </c>
      <c r="E72" s="412">
        <f t="shared" si="3"/>
        <v>35.276679841897234</v>
      </c>
      <c r="F72" s="412">
        <f t="shared" si="4"/>
        <v>5.0395256916996045</v>
      </c>
      <c r="G72" s="412">
        <f t="shared" si="5"/>
        <v>0</v>
      </c>
      <c r="H72" s="412">
        <f t="shared" si="6"/>
        <v>0</v>
      </c>
      <c r="I72" s="412">
        <f t="shared" si="7"/>
        <v>100</v>
      </c>
      <c r="J72" s="409">
        <v>311</v>
      </c>
      <c r="K72" s="2">
        <v>293</v>
      </c>
      <c r="L72" s="2">
        <v>357</v>
      </c>
      <c r="M72" s="2">
        <v>51</v>
      </c>
      <c r="N72" s="2">
        <v>0</v>
      </c>
      <c r="O72" s="2">
        <v>0</v>
      </c>
      <c r="P72" s="2">
        <v>1012</v>
      </c>
      <c r="Q72" s="2"/>
      <c r="R72" s="2"/>
      <c r="S72" s="2"/>
      <c r="T72" s="2"/>
      <c r="U72" s="2"/>
      <c r="V72" s="2"/>
      <c r="W72" s="2"/>
      <c r="X72" s="2"/>
      <c r="Y72" s="2"/>
    </row>
    <row r="73" spans="1:25">
      <c r="A73" s="70"/>
      <c r="B73" s="2" t="s">
        <v>24</v>
      </c>
      <c r="C73" s="412">
        <f t="shared" ref="C73:C136" si="16">(J73/$P73)*100</f>
        <v>28.238341968911918</v>
      </c>
      <c r="D73" s="412">
        <f t="shared" ref="D73:D136" si="17">(K73/$P73)*100</f>
        <v>25.647668393782386</v>
      </c>
      <c r="E73" s="412">
        <f t="shared" ref="E73:E136" si="18">(L73/$P73)*100</f>
        <v>37.564766839378237</v>
      </c>
      <c r="F73" s="412">
        <f t="shared" ref="F73:F136" si="19">(M73/$P73)*100</f>
        <v>8.5492227979274613</v>
      </c>
      <c r="G73" s="412">
        <f t="shared" ref="G73:G136" si="20">(N73/$P73)*100</f>
        <v>0</v>
      </c>
      <c r="H73" s="412">
        <f t="shared" ref="H73:H136" si="21">(O73/$P73)*100</f>
        <v>0</v>
      </c>
      <c r="I73" s="412">
        <f t="shared" ref="I73:I136" si="22">(P73/$P73)*100</f>
        <v>100</v>
      </c>
      <c r="J73" s="409">
        <v>109</v>
      </c>
      <c r="K73" s="2">
        <v>99</v>
      </c>
      <c r="L73" s="2">
        <v>145</v>
      </c>
      <c r="M73" s="2">
        <v>33</v>
      </c>
      <c r="N73" s="2">
        <v>0</v>
      </c>
      <c r="O73" s="2">
        <v>0</v>
      </c>
      <c r="P73" s="2">
        <v>386</v>
      </c>
      <c r="Q73" s="2"/>
      <c r="R73" s="2"/>
      <c r="S73" s="2"/>
      <c r="T73" s="2"/>
      <c r="U73" s="2"/>
      <c r="V73" s="2"/>
      <c r="W73" s="2"/>
      <c r="X73" s="2"/>
      <c r="Y73" s="2"/>
    </row>
    <row r="74" spans="1:25">
      <c r="A74" s="70"/>
      <c r="B74" s="5" t="s">
        <v>80</v>
      </c>
      <c r="C74" s="417">
        <f t="shared" si="16"/>
        <v>33.819032200035977</v>
      </c>
      <c r="D74" s="417">
        <f t="shared" si="17"/>
        <v>29.285842777477967</v>
      </c>
      <c r="E74" s="417">
        <f t="shared" si="18"/>
        <v>29.339809318222702</v>
      </c>
      <c r="F74" s="417">
        <f t="shared" si="19"/>
        <v>7.5553157042633572</v>
      </c>
      <c r="G74" s="417">
        <f t="shared" si="20"/>
        <v>0</v>
      </c>
      <c r="H74" s="417">
        <f t="shared" si="21"/>
        <v>0</v>
      </c>
      <c r="I74" s="417">
        <f t="shared" si="22"/>
        <v>100</v>
      </c>
      <c r="J74" s="409">
        <f t="shared" ref="J74:P74" si="23">SUM(J68:J73)</f>
        <v>1880</v>
      </c>
      <c r="K74" s="2">
        <f t="shared" si="23"/>
        <v>1628</v>
      </c>
      <c r="L74" s="2">
        <f t="shared" si="23"/>
        <v>1631</v>
      </c>
      <c r="M74" s="2">
        <f t="shared" si="23"/>
        <v>420</v>
      </c>
      <c r="N74" s="2">
        <f t="shared" si="23"/>
        <v>0</v>
      </c>
      <c r="O74" s="2">
        <f t="shared" si="23"/>
        <v>0</v>
      </c>
      <c r="P74" s="2">
        <f t="shared" si="23"/>
        <v>5559</v>
      </c>
      <c r="Q74" s="2"/>
      <c r="R74" s="2"/>
      <c r="S74" s="2"/>
      <c r="T74" s="2"/>
      <c r="U74" s="2"/>
      <c r="V74" s="2"/>
      <c r="W74" s="2"/>
      <c r="X74" s="2"/>
      <c r="Y74" s="2"/>
    </row>
    <row r="75" spans="1:25">
      <c r="A75" s="70"/>
      <c r="B75" s="2" t="s">
        <v>25</v>
      </c>
      <c r="C75" s="412">
        <f t="shared" si="16"/>
        <v>14.71415182755389</v>
      </c>
      <c r="D75" s="412">
        <f t="shared" si="17"/>
        <v>24.929709465791941</v>
      </c>
      <c r="E75" s="412">
        <f t="shared" si="18"/>
        <v>38.987816307403939</v>
      </c>
      <c r="F75" s="412">
        <f t="shared" si="19"/>
        <v>21.368322399250232</v>
      </c>
      <c r="G75" s="412">
        <f t="shared" si="20"/>
        <v>0</v>
      </c>
      <c r="H75" s="412">
        <f t="shared" si="21"/>
        <v>0</v>
      </c>
      <c r="I75" s="412">
        <f t="shared" si="22"/>
        <v>100</v>
      </c>
      <c r="J75" s="409">
        <v>157</v>
      </c>
      <c r="K75" s="2">
        <v>266</v>
      </c>
      <c r="L75" s="2">
        <v>416</v>
      </c>
      <c r="M75" s="2">
        <v>228</v>
      </c>
      <c r="N75" s="2">
        <v>0</v>
      </c>
      <c r="O75" s="2">
        <v>0</v>
      </c>
      <c r="P75" s="2">
        <v>1067</v>
      </c>
      <c r="Q75" s="2"/>
      <c r="R75" s="2"/>
      <c r="S75" s="2"/>
      <c r="T75" s="2"/>
      <c r="U75" s="2"/>
      <c r="V75" s="2"/>
      <c r="W75" s="2"/>
      <c r="X75" s="2"/>
      <c r="Y75" s="2"/>
    </row>
    <row r="76" spans="1:25">
      <c r="A76" s="70"/>
      <c r="B76" s="2" t="s">
        <v>26</v>
      </c>
      <c r="C76" s="412">
        <f t="shared" si="16"/>
        <v>0</v>
      </c>
      <c r="D76" s="412">
        <f t="shared" si="17"/>
        <v>0</v>
      </c>
      <c r="E76" s="412">
        <f t="shared" si="18"/>
        <v>0</v>
      </c>
      <c r="F76" s="412">
        <f t="shared" si="19"/>
        <v>0</v>
      </c>
      <c r="G76" s="412">
        <f t="shared" si="20"/>
        <v>0</v>
      </c>
      <c r="H76" s="412">
        <f t="shared" si="21"/>
        <v>100</v>
      </c>
      <c r="I76" s="412">
        <f t="shared" si="22"/>
        <v>100</v>
      </c>
      <c r="J76" s="409">
        <v>0</v>
      </c>
      <c r="K76" s="2">
        <v>0</v>
      </c>
      <c r="L76" s="2">
        <v>0</v>
      </c>
      <c r="M76" s="2">
        <v>0</v>
      </c>
      <c r="N76" s="2">
        <v>0</v>
      </c>
      <c r="O76" s="2">
        <v>1424</v>
      </c>
      <c r="P76" s="2">
        <v>1424</v>
      </c>
      <c r="Q76" s="2"/>
      <c r="R76" s="2"/>
      <c r="S76" s="2"/>
      <c r="T76" s="2"/>
      <c r="U76" s="2"/>
      <c r="V76" s="2"/>
      <c r="W76" s="2"/>
      <c r="X76" s="2"/>
      <c r="Y76" s="2"/>
    </row>
    <row r="77" spans="1:25">
      <c r="A77" s="72"/>
      <c r="B77" s="69" t="s">
        <v>27</v>
      </c>
      <c r="C77" s="418">
        <f t="shared" si="16"/>
        <v>25.304347826086961</v>
      </c>
      <c r="D77" s="418">
        <f t="shared" si="17"/>
        <v>23.527950310559007</v>
      </c>
      <c r="E77" s="418">
        <f t="shared" si="18"/>
        <v>25.428571428571427</v>
      </c>
      <c r="F77" s="418">
        <f t="shared" si="19"/>
        <v>8.049689440993788</v>
      </c>
      <c r="G77" s="418">
        <f t="shared" si="20"/>
        <v>0</v>
      </c>
      <c r="H77" s="418">
        <f t="shared" si="21"/>
        <v>17.689440993788818</v>
      </c>
      <c r="I77" s="418">
        <f t="shared" si="22"/>
        <v>100</v>
      </c>
      <c r="J77" s="410">
        <v>2037</v>
      </c>
      <c r="K77" s="68">
        <v>1894</v>
      </c>
      <c r="L77" s="68">
        <v>2047</v>
      </c>
      <c r="M77" s="68">
        <v>648</v>
      </c>
      <c r="N77" s="68">
        <v>0</v>
      </c>
      <c r="O77" s="68">
        <v>1424</v>
      </c>
      <c r="P77" s="68">
        <v>8050</v>
      </c>
      <c r="Q77" s="2"/>
      <c r="R77" s="2"/>
      <c r="S77" s="2"/>
      <c r="T77" s="2"/>
      <c r="U77" s="2"/>
      <c r="V77" s="2"/>
      <c r="W77" s="2"/>
      <c r="X77" s="2"/>
      <c r="Y77" s="2"/>
    </row>
    <row r="78" spans="1:25">
      <c r="A78" s="70" t="s">
        <v>8</v>
      </c>
      <c r="B78" s="2" t="s">
        <v>19</v>
      </c>
      <c r="C78" s="412">
        <f t="shared" si="16"/>
        <v>39.166666666666664</v>
      </c>
      <c r="D78" s="412">
        <f t="shared" si="17"/>
        <v>34.666666666666671</v>
      </c>
      <c r="E78" s="412">
        <f t="shared" si="18"/>
        <v>25.666666666666664</v>
      </c>
      <c r="F78" s="412">
        <f t="shared" si="19"/>
        <v>0.5</v>
      </c>
      <c r="G78" s="412">
        <f t="shared" si="20"/>
        <v>0</v>
      </c>
      <c r="H78" s="412">
        <f t="shared" si="21"/>
        <v>0</v>
      </c>
      <c r="I78" s="412">
        <f t="shared" si="22"/>
        <v>100</v>
      </c>
      <c r="J78" s="409">
        <v>470</v>
      </c>
      <c r="K78" s="2">
        <v>416</v>
      </c>
      <c r="L78" s="2">
        <v>308</v>
      </c>
      <c r="M78" s="2">
        <v>6</v>
      </c>
      <c r="N78" s="2">
        <v>0</v>
      </c>
      <c r="O78" s="2">
        <v>0</v>
      </c>
      <c r="P78" s="2">
        <v>1200</v>
      </c>
      <c r="Q78" s="2"/>
      <c r="R78" s="2"/>
      <c r="S78" s="2"/>
      <c r="T78" s="2"/>
      <c r="U78" s="2"/>
      <c r="V78" s="2"/>
      <c r="W78" s="2"/>
      <c r="X78" s="2"/>
      <c r="Y78" s="2"/>
    </row>
    <row r="79" spans="1:25">
      <c r="A79" s="70"/>
      <c r="B79" s="2" t="s">
        <v>20</v>
      </c>
      <c r="C79" s="412">
        <f t="shared" si="16"/>
        <v>40.94955489614243</v>
      </c>
      <c r="D79" s="412">
        <f t="shared" si="17"/>
        <v>30.86053412462908</v>
      </c>
      <c r="E79" s="412">
        <f t="shared" si="18"/>
        <v>25.074183976261128</v>
      </c>
      <c r="F79" s="412">
        <f t="shared" si="19"/>
        <v>1.7804154302670623</v>
      </c>
      <c r="G79" s="412">
        <f t="shared" si="20"/>
        <v>1.3353115727002967</v>
      </c>
      <c r="H79" s="412">
        <f t="shared" si="21"/>
        <v>0</v>
      </c>
      <c r="I79" s="412">
        <f t="shared" si="22"/>
        <v>100</v>
      </c>
      <c r="J79" s="409">
        <v>276</v>
      </c>
      <c r="K79" s="2">
        <v>208</v>
      </c>
      <c r="L79" s="2">
        <v>169</v>
      </c>
      <c r="M79" s="2">
        <v>12</v>
      </c>
      <c r="N79" s="2">
        <v>9</v>
      </c>
      <c r="O79" s="2">
        <v>0</v>
      </c>
      <c r="P79" s="2">
        <v>674</v>
      </c>
      <c r="Q79" s="2"/>
      <c r="R79" s="2"/>
      <c r="S79" s="2"/>
      <c r="T79" s="2"/>
      <c r="U79" s="2"/>
      <c r="V79" s="2"/>
      <c r="W79" s="2"/>
      <c r="X79" s="2"/>
      <c r="Y79" s="2"/>
    </row>
    <row r="80" spans="1:25">
      <c r="A80" s="70"/>
      <c r="B80" s="2" t="s">
        <v>21</v>
      </c>
      <c r="C80" s="412">
        <f t="shared" si="16"/>
        <v>37.627118644067799</v>
      </c>
      <c r="D80" s="412">
        <f t="shared" si="17"/>
        <v>25.152542372881353</v>
      </c>
      <c r="E80" s="412">
        <f t="shared" si="18"/>
        <v>29.152542372881356</v>
      </c>
      <c r="F80" s="412">
        <f t="shared" si="19"/>
        <v>5.3559322033898304</v>
      </c>
      <c r="G80" s="412">
        <f t="shared" si="20"/>
        <v>2.7118644067796609</v>
      </c>
      <c r="H80" s="412">
        <f t="shared" si="21"/>
        <v>0</v>
      </c>
      <c r="I80" s="412">
        <f t="shared" si="22"/>
        <v>100</v>
      </c>
      <c r="J80" s="409">
        <v>555</v>
      </c>
      <c r="K80" s="2">
        <v>371</v>
      </c>
      <c r="L80" s="2">
        <v>430</v>
      </c>
      <c r="M80" s="2">
        <v>79</v>
      </c>
      <c r="N80" s="2">
        <v>40</v>
      </c>
      <c r="O80" s="2">
        <v>0</v>
      </c>
      <c r="P80" s="2">
        <v>1475</v>
      </c>
      <c r="Q80" s="2"/>
      <c r="R80" s="2"/>
      <c r="S80" s="2"/>
      <c r="T80" s="2"/>
      <c r="U80" s="2"/>
      <c r="V80" s="2"/>
      <c r="W80" s="2"/>
      <c r="X80" s="2"/>
      <c r="Y80" s="2"/>
    </row>
    <row r="81" spans="1:25">
      <c r="A81" s="70"/>
      <c r="B81" s="2" t="s">
        <v>22</v>
      </c>
      <c r="C81" s="412">
        <f t="shared" si="16"/>
        <v>25.892857142857146</v>
      </c>
      <c r="D81" s="412">
        <f t="shared" si="17"/>
        <v>26.488095238095237</v>
      </c>
      <c r="E81" s="412">
        <f t="shared" si="18"/>
        <v>36.607142857142854</v>
      </c>
      <c r="F81" s="412">
        <f t="shared" si="19"/>
        <v>11.011904761904761</v>
      </c>
      <c r="G81" s="412">
        <f t="shared" si="20"/>
        <v>0</v>
      </c>
      <c r="H81" s="412">
        <f t="shared" si="21"/>
        <v>0</v>
      </c>
      <c r="I81" s="412">
        <f t="shared" si="22"/>
        <v>100</v>
      </c>
      <c r="J81" s="409">
        <v>87</v>
      </c>
      <c r="K81" s="2">
        <v>89</v>
      </c>
      <c r="L81" s="2">
        <v>123</v>
      </c>
      <c r="M81" s="2">
        <v>37</v>
      </c>
      <c r="N81" s="2">
        <v>0</v>
      </c>
      <c r="O81" s="2">
        <v>0</v>
      </c>
      <c r="P81" s="2">
        <v>336</v>
      </c>
      <c r="Q81" s="2"/>
      <c r="R81" s="2"/>
      <c r="S81" s="2"/>
      <c r="T81" s="2"/>
      <c r="U81" s="2"/>
      <c r="V81" s="2"/>
      <c r="W81" s="2"/>
      <c r="X81" s="2"/>
      <c r="Y81" s="2"/>
    </row>
    <row r="82" spans="1:25">
      <c r="A82" s="70"/>
      <c r="B82" s="2" t="s">
        <v>23</v>
      </c>
      <c r="C82" s="412">
        <f t="shared" si="16"/>
        <v>27.222222222222221</v>
      </c>
      <c r="D82" s="412">
        <f t="shared" si="17"/>
        <v>26.666666666666668</v>
      </c>
      <c r="E82" s="412">
        <f t="shared" si="18"/>
        <v>26.111111111111114</v>
      </c>
      <c r="F82" s="412">
        <f t="shared" si="19"/>
        <v>3.8888888888888888</v>
      </c>
      <c r="G82" s="412">
        <f t="shared" si="20"/>
        <v>16.111111111111111</v>
      </c>
      <c r="H82" s="412">
        <f t="shared" si="21"/>
        <v>0</v>
      </c>
      <c r="I82" s="412">
        <f t="shared" si="22"/>
        <v>100</v>
      </c>
      <c r="J82" s="409">
        <v>98</v>
      </c>
      <c r="K82" s="2">
        <v>96</v>
      </c>
      <c r="L82" s="2">
        <v>94</v>
      </c>
      <c r="M82" s="2">
        <v>14</v>
      </c>
      <c r="N82" s="2">
        <v>58</v>
      </c>
      <c r="O82" s="2">
        <v>0</v>
      </c>
      <c r="P82" s="2">
        <v>360</v>
      </c>
      <c r="Q82" s="2"/>
      <c r="R82" s="2"/>
      <c r="S82" s="2"/>
      <c r="T82" s="2"/>
      <c r="U82" s="2"/>
      <c r="V82" s="2"/>
      <c r="W82" s="2"/>
      <c r="X82" s="2"/>
      <c r="Y82" s="2"/>
    </row>
    <row r="83" spans="1:25">
      <c r="A83" s="70"/>
      <c r="B83" s="2" t="s">
        <v>24</v>
      </c>
      <c r="C83" s="412">
        <f t="shared" si="16"/>
        <v>21.311475409836063</v>
      </c>
      <c r="D83" s="412">
        <f t="shared" si="17"/>
        <v>28.688524590163933</v>
      </c>
      <c r="E83" s="412">
        <f t="shared" si="18"/>
        <v>42.622950819672127</v>
      </c>
      <c r="F83" s="412">
        <f t="shared" si="19"/>
        <v>6.557377049180328</v>
      </c>
      <c r="G83" s="412">
        <f t="shared" si="20"/>
        <v>0.81967213114754101</v>
      </c>
      <c r="H83" s="412">
        <f t="shared" si="21"/>
        <v>0</v>
      </c>
      <c r="I83" s="412">
        <f t="shared" si="22"/>
        <v>100</v>
      </c>
      <c r="J83" s="409">
        <v>26</v>
      </c>
      <c r="K83" s="2">
        <v>35</v>
      </c>
      <c r="L83" s="2">
        <v>52</v>
      </c>
      <c r="M83" s="2">
        <v>8</v>
      </c>
      <c r="N83" s="2">
        <v>1</v>
      </c>
      <c r="O83" s="2">
        <v>0</v>
      </c>
      <c r="P83" s="2">
        <v>122</v>
      </c>
      <c r="Q83" s="2"/>
      <c r="R83" s="2"/>
      <c r="S83" s="2"/>
      <c r="T83" s="2"/>
      <c r="U83" s="2"/>
      <c r="V83" s="2"/>
      <c r="W83" s="2"/>
      <c r="X83" s="2"/>
      <c r="Y83" s="2"/>
    </row>
    <row r="84" spans="1:25">
      <c r="A84" s="70"/>
      <c r="B84" s="5" t="s">
        <v>80</v>
      </c>
      <c r="C84" s="417">
        <f t="shared" si="16"/>
        <v>36.285097192224626</v>
      </c>
      <c r="D84" s="417">
        <f t="shared" si="17"/>
        <v>29.15766738660907</v>
      </c>
      <c r="E84" s="417">
        <f t="shared" si="18"/>
        <v>28.221742260619148</v>
      </c>
      <c r="F84" s="417">
        <f t="shared" si="19"/>
        <v>3.7437005039596833</v>
      </c>
      <c r="G84" s="417">
        <f t="shared" si="20"/>
        <v>2.5917926565874732</v>
      </c>
      <c r="H84" s="417">
        <f t="shared" si="21"/>
        <v>0</v>
      </c>
      <c r="I84" s="417">
        <f t="shared" si="22"/>
        <v>100</v>
      </c>
      <c r="J84" s="409">
        <f t="shared" ref="J84:P84" si="24">SUM(J78:J83)</f>
        <v>1512</v>
      </c>
      <c r="K84" s="2">
        <f t="shared" si="24"/>
        <v>1215</v>
      </c>
      <c r="L84" s="2">
        <f t="shared" si="24"/>
        <v>1176</v>
      </c>
      <c r="M84" s="2">
        <f t="shared" si="24"/>
        <v>156</v>
      </c>
      <c r="N84" s="2">
        <f t="shared" si="24"/>
        <v>108</v>
      </c>
      <c r="O84" s="2">
        <f t="shared" si="24"/>
        <v>0</v>
      </c>
      <c r="P84" s="2">
        <f t="shared" si="24"/>
        <v>4167</v>
      </c>
      <c r="Q84" s="2"/>
      <c r="R84" s="2"/>
      <c r="S84" s="2"/>
      <c r="T84" s="2"/>
      <c r="U84" s="2"/>
      <c r="V84" s="2"/>
      <c r="W84" s="2"/>
      <c r="X84" s="2"/>
      <c r="Y84" s="2"/>
    </row>
    <row r="85" spans="1:25">
      <c r="A85" s="70"/>
      <c r="B85" s="2" t="s">
        <v>25</v>
      </c>
      <c r="C85" s="412">
        <f t="shared" si="16"/>
        <v>18.415841584158414</v>
      </c>
      <c r="D85" s="412">
        <f t="shared" si="17"/>
        <v>32.079207920792079</v>
      </c>
      <c r="E85" s="412">
        <f t="shared" si="18"/>
        <v>33.267326732673268</v>
      </c>
      <c r="F85" s="412">
        <f t="shared" si="19"/>
        <v>16.237623762376238</v>
      </c>
      <c r="G85" s="412">
        <f t="shared" si="20"/>
        <v>0</v>
      </c>
      <c r="H85" s="412">
        <f t="shared" si="21"/>
        <v>0</v>
      </c>
      <c r="I85" s="412">
        <f t="shared" si="22"/>
        <v>100</v>
      </c>
      <c r="J85" s="409">
        <v>186</v>
      </c>
      <c r="K85" s="2">
        <v>324</v>
      </c>
      <c r="L85" s="2">
        <v>336</v>
      </c>
      <c r="M85" s="2">
        <v>164</v>
      </c>
      <c r="N85" s="2">
        <v>0</v>
      </c>
      <c r="O85" s="2">
        <v>0</v>
      </c>
      <c r="P85" s="2">
        <v>1010</v>
      </c>
      <c r="Q85" s="2"/>
      <c r="R85" s="2"/>
      <c r="S85" s="2"/>
      <c r="T85" s="2"/>
      <c r="U85" s="2"/>
      <c r="V85" s="2"/>
      <c r="W85" s="2"/>
      <c r="X85" s="2"/>
      <c r="Y85" s="2"/>
    </row>
    <row r="86" spans="1:25">
      <c r="A86" s="70"/>
      <c r="B86" s="2" t="s">
        <v>26</v>
      </c>
      <c r="C86" s="412">
        <f t="shared" si="16"/>
        <v>0</v>
      </c>
      <c r="D86" s="412">
        <f t="shared" si="17"/>
        <v>0</v>
      </c>
      <c r="E86" s="412">
        <f t="shared" si="18"/>
        <v>0</v>
      </c>
      <c r="F86" s="412">
        <f t="shared" si="19"/>
        <v>0</v>
      </c>
      <c r="G86" s="412">
        <f t="shared" si="20"/>
        <v>0</v>
      </c>
      <c r="H86" s="412">
        <f t="shared" si="21"/>
        <v>100</v>
      </c>
      <c r="I86" s="412">
        <f t="shared" si="22"/>
        <v>100</v>
      </c>
      <c r="J86" s="409">
        <v>0</v>
      </c>
      <c r="K86" s="2">
        <v>0</v>
      </c>
      <c r="L86" s="2">
        <v>0</v>
      </c>
      <c r="M86" s="2">
        <v>0</v>
      </c>
      <c r="N86" s="2">
        <v>0</v>
      </c>
      <c r="O86" s="2">
        <v>601</v>
      </c>
      <c r="P86" s="2">
        <v>601</v>
      </c>
      <c r="Q86" s="2"/>
      <c r="R86" s="2"/>
      <c r="S86" s="2"/>
      <c r="T86" s="2"/>
      <c r="U86" s="2"/>
      <c r="V86" s="2"/>
      <c r="W86" s="2"/>
      <c r="X86" s="2"/>
      <c r="Y86" s="2"/>
    </row>
    <row r="87" spans="1:25">
      <c r="A87" s="72"/>
      <c r="B87" s="69" t="s">
        <v>27</v>
      </c>
      <c r="C87" s="418">
        <f t="shared" si="16"/>
        <v>29.387331256490135</v>
      </c>
      <c r="D87" s="418">
        <f t="shared" si="17"/>
        <v>26.635514018691588</v>
      </c>
      <c r="E87" s="418">
        <f t="shared" si="18"/>
        <v>26.168224299065418</v>
      </c>
      <c r="F87" s="418">
        <f t="shared" si="19"/>
        <v>5.5382485289027343</v>
      </c>
      <c r="G87" s="418">
        <f t="shared" si="20"/>
        <v>1.8691588785046727</v>
      </c>
      <c r="H87" s="418">
        <f t="shared" si="21"/>
        <v>10.401523018345449</v>
      </c>
      <c r="I87" s="418">
        <f t="shared" si="22"/>
        <v>100</v>
      </c>
      <c r="J87" s="410">
        <v>1698</v>
      </c>
      <c r="K87" s="68">
        <v>1539</v>
      </c>
      <c r="L87" s="68">
        <v>1512</v>
      </c>
      <c r="M87" s="68">
        <v>320</v>
      </c>
      <c r="N87" s="68">
        <v>108</v>
      </c>
      <c r="O87" s="68">
        <v>601</v>
      </c>
      <c r="P87" s="68">
        <v>5778</v>
      </c>
      <c r="Q87" s="2"/>
      <c r="R87" s="2"/>
      <c r="S87" s="2"/>
      <c r="T87" s="2"/>
      <c r="U87" s="2"/>
      <c r="V87" s="2"/>
      <c r="W87" s="2"/>
      <c r="X87" s="2"/>
      <c r="Y87" s="2"/>
    </row>
    <row r="88" spans="1:25">
      <c r="A88" s="70" t="s">
        <v>9</v>
      </c>
      <c r="B88" s="2" t="s">
        <v>19</v>
      </c>
      <c r="C88" s="412">
        <f t="shared" si="16"/>
        <v>35.49222797927461</v>
      </c>
      <c r="D88" s="412">
        <f t="shared" si="17"/>
        <v>27.633851468048359</v>
      </c>
      <c r="E88" s="412">
        <f t="shared" si="18"/>
        <v>22.279792746113987</v>
      </c>
      <c r="F88" s="412">
        <f t="shared" si="19"/>
        <v>14.594127806563041</v>
      </c>
      <c r="G88" s="412">
        <f t="shared" si="20"/>
        <v>0</v>
      </c>
      <c r="H88" s="412">
        <f t="shared" si="21"/>
        <v>0</v>
      </c>
      <c r="I88" s="412">
        <f t="shared" si="22"/>
        <v>100</v>
      </c>
      <c r="J88" s="409">
        <v>411</v>
      </c>
      <c r="K88" s="2">
        <v>320</v>
      </c>
      <c r="L88" s="2">
        <v>258</v>
      </c>
      <c r="M88" s="2">
        <v>169</v>
      </c>
      <c r="N88" s="2">
        <v>0</v>
      </c>
      <c r="O88" s="2">
        <v>0</v>
      </c>
      <c r="P88" s="2">
        <v>1158</v>
      </c>
      <c r="Q88" s="2"/>
      <c r="R88" s="2"/>
      <c r="S88" s="2"/>
      <c r="T88" s="2"/>
      <c r="U88" s="2"/>
      <c r="V88" s="2"/>
      <c r="W88" s="2"/>
      <c r="X88" s="2"/>
      <c r="Y88" s="2"/>
    </row>
    <row r="89" spans="1:25">
      <c r="A89" s="70"/>
      <c r="B89" s="2" t="s">
        <v>20</v>
      </c>
      <c r="C89" s="412">
        <f t="shared" si="16"/>
        <v>29.069767441860467</v>
      </c>
      <c r="D89" s="412">
        <f t="shared" si="17"/>
        <v>25.775193798449614</v>
      </c>
      <c r="E89" s="412">
        <f t="shared" si="18"/>
        <v>28.294573643410853</v>
      </c>
      <c r="F89" s="412">
        <f t="shared" si="19"/>
        <v>16.86046511627907</v>
      </c>
      <c r="G89" s="412">
        <f t="shared" si="20"/>
        <v>0</v>
      </c>
      <c r="H89" s="412">
        <f t="shared" si="21"/>
        <v>0</v>
      </c>
      <c r="I89" s="412">
        <f t="shared" si="22"/>
        <v>100</v>
      </c>
      <c r="J89" s="409">
        <v>150</v>
      </c>
      <c r="K89" s="2">
        <v>133</v>
      </c>
      <c r="L89" s="2">
        <v>146</v>
      </c>
      <c r="M89" s="2">
        <v>87</v>
      </c>
      <c r="N89" s="2">
        <v>0</v>
      </c>
      <c r="O89" s="2">
        <v>0</v>
      </c>
      <c r="P89" s="2">
        <v>516</v>
      </c>
      <c r="Q89" s="2"/>
      <c r="R89" s="2"/>
      <c r="S89" s="2"/>
      <c r="T89" s="2"/>
      <c r="U89" s="2"/>
      <c r="V89" s="2"/>
      <c r="W89" s="2"/>
      <c r="X89" s="2"/>
      <c r="Y89" s="2"/>
    </row>
    <row r="90" spans="1:25">
      <c r="A90" s="70"/>
      <c r="B90" s="2" t="s">
        <v>21</v>
      </c>
      <c r="C90" s="412">
        <f t="shared" si="16"/>
        <v>30.15780245470485</v>
      </c>
      <c r="D90" s="412">
        <f t="shared" si="17"/>
        <v>24.079485680888368</v>
      </c>
      <c r="E90" s="412">
        <f t="shared" si="18"/>
        <v>33.781414377556985</v>
      </c>
      <c r="F90" s="412">
        <f t="shared" si="19"/>
        <v>11.981297486849796</v>
      </c>
      <c r="G90" s="412">
        <f t="shared" si="20"/>
        <v>0</v>
      </c>
      <c r="H90" s="412">
        <f t="shared" si="21"/>
        <v>0</v>
      </c>
      <c r="I90" s="412">
        <f t="shared" si="22"/>
        <v>100</v>
      </c>
      <c r="J90" s="409">
        <v>516</v>
      </c>
      <c r="K90" s="2">
        <v>412</v>
      </c>
      <c r="L90" s="2">
        <v>578</v>
      </c>
      <c r="M90" s="2">
        <v>205</v>
      </c>
      <c r="N90" s="2">
        <v>0</v>
      </c>
      <c r="O90" s="2">
        <v>0</v>
      </c>
      <c r="P90" s="2">
        <v>1711</v>
      </c>
      <c r="Q90" s="2"/>
      <c r="R90" s="2"/>
      <c r="S90" s="2"/>
      <c r="T90" s="2"/>
      <c r="U90" s="2"/>
      <c r="V90" s="2"/>
      <c r="W90" s="2"/>
      <c r="X90" s="2"/>
      <c r="Y90" s="2"/>
    </row>
    <row r="91" spans="1:25">
      <c r="A91" s="70"/>
      <c r="B91" s="2" t="s">
        <v>22</v>
      </c>
      <c r="C91" s="412">
        <f t="shared" si="16"/>
        <v>20.523648648648649</v>
      </c>
      <c r="D91" s="412">
        <f t="shared" si="17"/>
        <v>21.537162162162161</v>
      </c>
      <c r="E91" s="412">
        <f t="shared" si="18"/>
        <v>40.878378378378379</v>
      </c>
      <c r="F91" s="412">
        <f t="shared" si="19"/>
        <v>17.060810810810811</v>
      </c>
      <c r="G91" s="412">
        <f t="shared" si="20"/>
        <v>0</v>
      </c>
      <c r="H91" s="412">
        <f t="shared" si="21"/>
        <v>0</v>
      </c>
      <c r="I91" s="412">
        <f t="shared" si="22"/>
        <v>100</v>
      </c>
      <c r="J91" s="409">
        <v>243</v>
      </c>
      <c r="K91" s="2">
        <v>255</v>
      </c>
      <c r="L91" s="2">
        <v>484</v>
      </c>
      <c r="M91" s="2">
        <v>202</v>
      </c>
      <c r="N91" s="2">
        <v>0</v>
      </c>
      <c r="O91" s="2">
        <v>0</v>
      </c>
      <c r="P91" s="2">
        <v>1184</v>
      </c>
      <c r="Q91" s="2"/>
      <c r="R91" s="2"/>
      <c r="S91" s="2"/>
      <c r="T91" s="2"/>
      <c r="U91" s="2"/>
      <c r="V91" s="2"/>
      <c r="W91" s="2"/>
      <c r="X91" s="2"/>
      <c r="Y91" s="2"/>
    </row>
    <row r="92" spans="1:25">
      <c r="A92" s="70"/>
      <c r="B92" s="2" t="s">
        <v>23</v>
      </c>
      <c r="C92" s="412">
        <f t="shared" si="16"/>
        <v>27.221172022684311</v>
      </c>
      <c r="D92" s="412">
        <f t="shared" si="17"/>
        <v>24.196597353497165</v>
      </c>
      <c r="E92" s="412">
        <f t="shared" si="18"/>
        <v>37.429111531190927</v>
      </c>
      <c r="F92" s="412">
        <f t="shared" si="19"/>
        <v>11.153119092627598</v>
      </c>
      <c r="G92" s="412">
        <f t="shared" si="20"/>
        <v>0</v>
      </c>
      <c r="H92" s="412">
        <f t="shared" si="21"/>
        <v>0</v>
      </c>
      <c r="I92" s="412">
        <f t="shared" si="22"/>
        <v>100</v>
      </c>
      <c r="J92" s="409">
        <v>144</v>
      </c>
      <c r="K92" s="2">
        <v>128</v>
      </c>
      <c r="L92" s="2">
        <v>198</v>
      </c>
      <c r="M92" s="2">
        <v>59</v>
      </c>
      <c r="N92" s="2">
        <v>0</v>
      </c>
      <c r="O92" s="2">
        <v>0</v>
      </c>
      <c r="P92" s="2">
        <v>529</v>
      </c>
      <c r="Q92" s="2"/>
      <c r="R92" s="2"/>
      <c r="S92" s="2"/>
      <c r="T92" s="2"/>
      <c r="U92" s="2"/>
      <c r="V92" s="2"/>
      <c r="W92" s="2"/>
      <c r="X92" s="2"/>
      <c r="Y92" s="2"/>
    </row>
    <row r="93" spans="1:25">
      <c r="A93" s="70"/>
      <c r="B93" s="2" t="s">
        <v>24</v>
      </c>
      <c r="C93" s="412" t="e">
        <f t="shared" si="16"/>
        <v>#DIV/0!</v>
      </c>
      <c r="D93" s="412" t="e">
        <f t="shared" si="17"/>
        <v>#DIV/0!</v>
      </c>
      <c r="E93" s="412" t="e">
        <f t="shared" si="18"/>
        <v>#DIV/0!</v>
      </c>
      <c r="F93" s="412" t="e">
        <f t="shared" si="19"/>
        <v>#DIV/0!</v>
      </c>
      <c r="G93" s="412" t="e">
        <f t="shared" si="20"/>
        <v>#DIV/0!</v>
      </c>
      <c r="H93" s="412" t="e">
        <f t="shared" si="21"/>
        <v>#DIV/0!</v>
      </c>
      <c r="I93" s="412" t="e">
        <f t="shared" si="22"/>
        <v>#DIV/0!</v>
      </c>
      <c r="J93" s="409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/>
      <c r="R93" s="2"/>
      <c r="S93" s="2"/>
      <c r="T93" s="2"/>
      <c r="U93" s="2"/>
      <c r="V93" s="2"/>
      <c r="W93" s="2"/>
      <c r="X93" s="2"/>
      <c r="Y93" s="2"/>
    </row>
    <row r="94" spans="1:25">
      <c r="A94" s="70"/>
      <c r="B94" s="5" t="s">
        <v>80</v>
      </c>
      <c r="C94" s="417">
        <f t="shared" si="16"/>
        <v>28.717143978030602</v>
      </c>
      <c r="D94" s="417">
        <f t="shared" si="17"/>
        <v>24.480188309140839</v>
      </c>
      <c r="E94" s="417">
        <f t="shared" si="18"/>
        <v>32.640251078854455</v>
      </c>
      <c r="F94" s="417">
        <f t="shared" si="19"/>
        <v>14.162416633974107</v>
      </c>
      <c r="G94" s="417">
        <f t="shared" si="20"/>
        <v>0</v>
      </c>
      <c r="H94" s="417">
        <f t="shared" si="21"/>
        <v>0</v>
      </c>
      <c r="I94" s="417">
        <f t="shared" si="22"/>
        <v>100</v>
      </c>
      <c r="J94" s="409">
        <f t="shared" ref="J94:P94" si="25">SUM(J88:J93)</f>
        <v>1464</v>
      </c>
      <c r="K94" s="2">
        <f t="shared" si="25"/>
        <v>1248</v>
      </c>
      <c r="L94" s="2">
        <f t="shared" si="25"/>
        <v>1664</v>
      </c>
      <c r="M94" s="2">
        <f t="shared" si="25"/>
        <v>722</v>
      </c>
      <c r="N94" s="2">
        <f t="shared" si="25"/>
        <v>0</v>
      </c>
      <c r="O94" s="2">
        <f t="shared" si="25"/>
        <v>0</v>
      </c>
      <c r="P94" s="2">
        <f t="shared" si="25"/>
        <v>5098</v>
      </c>
      <c r="Q94" s="2"/>
      <c r="R94" s="2"/>
      <c r="S94" s="2"/>
      <c r="T94" s="2"/>
      <c r="U94" s="2"/>
      <c r="V94" s="2"/>
      <c r="W94" s="2"/>
      <c r="X94" s="2"/>
      <c r="Y94" s="2"/>
    </row>
    <row r="95" spans="1:25">
      <c r="A95" s="70"/>
      <c r="B95" s="2" t="s">
        <v>25</v>
      </c>
      <c r="C95" s="412">
        <f t="shared" si="16"/>
        <v>10.043668122270741</v>
      </c>
      <c r="D95" s="412">
        <f t="shared" si="17"/>
        <v>24.454148471615721</v>
      </c>
      <c r="E95" s="412">
        <f t="shared" si="18"/>
        <v>32.751091703056765</v>
      </c>
      <c r="F95" s="412">
        <f t="shared" si="19"/>
        <v>32.751091703056765</v>
      </c>
      <c r="G95" s="412">
        <f t="shared" si="20"/>
        <v>0</v>
      </c>
      <c r="H95" s="412">
        <f t="shared" si="21"/>
        <v>0</v>
      </c>
      <c r="I95" s="412">
        <f t="shared" si="22"/>
        <v>100</v>
      </c>
      <c r="J95" s="409">
        <v>46</v>
      </c>
      <c r="K95" s="2">
        <v>112</v>
      </c>
      <c r="L95" s="2">
        <v>150</v>
      </c>
      <c r="M95" s="2">
        <v>150</v>
      </c>
      <c r="N95" s="2">
        <v>0</v>
      </c>
      <c r="O95" s="2">
        <v>0</v>
      </c>
      <c r="P95" s="2">
        <v>458</v>
      </c>
      <c r="Q95" s="2"/>
      <c r="R95" s="2"/>
      <c r="S95" s="2"/>
      <c r="T95" s="2"/>
      <c r="U95" s="2"/>
      <c r="V95" s="2"/>
      <c r="W95" s="2"/>
      <c r="X95" s="2"/>
      <c r="Y95" s="2"/>
    </row>
    <row r="96" spans="1:25">
      <c r="A96" s="70"/>
      <c r="B96" s="2" t="s">
        <v>26</v>
      </c>
      <c r="C96" s="412">
        <f t="shared" si="16"/>
        <v>0</v>
      </c>
      <c r="D96" s="412">
        <f t="shared" si="17"/>
        <v>0</v>
      </c>
      <c r="E96" s="412">
        <f t="shared" si="18"/>
        <v>0</v>
      </c>
      <c r="F96" s="412">
        <f t="shared" si="19"/>
        <v>0</v>
      </c>
      <c r="G96" s="412">
        <f t="shared" si="20"/>
        <v>0</v>
      </c>
      <c r="H96" s="412">
        <f t="shared" si="21"/>
        <v>100</v>
      </c>
      <c r="I96" s="412">
        <f t="shared" si="22"/>
        <v>100</v>
      </c>
      <c r="J96" s="409">
        <v>0</v>
      </c>
      <c r="K96" s="2">
        <v>0</v>
      </c>
      <c r="L96" s="2">
        <v>0</v>
      </c>
      <c r="M96" s="2">
        <v>0</v>
      </c>
      <c r="N96" s="2">
        <v>0</v>
      </c>
      <c r="O96" s="2">
        <v>994</v>
      </c>
      <c r="P96" s="2">
        <v>994</v>
      </c>
      <c r="Q96" s="2"/>
      <c r="R96" s="2"/>
      <c r="S96" s="2"/>
      <c r="T96" s="2"/>
      <c r="U96" s="2"/>
      <c r="V96" s="2"/>
      <c r="W96" s="2"/>
      <c r="X96" s="2"/>
      <c r="Y96" s="2"/>
    </row>
    <row r="97" spans="1:25">
      <c r="A97" s="72"/>
      <c r="B97" s="69" t="s">
        <v>27</v>
      </c>
      <c r="C97" s="418">
        <f t="shared" si="16"/>
        <v>23.053435114503817</v>
      </c>
      <c r="D97" s="418">
        <f t="shared" si="17"/>
        <v>20.763358778625953</v>
      </c>
      <c r="E97" s="418">
        <f t="shared" si="18"/>
        <v>27.694656488549619</v>
      </c>
      <c r="F97" s="418">
        <f t="shared" si="19"/>
        <v>13.312977099236642</v>
      </c>
      <c r="G97" s="418">
        <f t="shared" si="20"/>
        <v>0</v>
      </c>
      <c r="H97" s="418">
        <f t="shared" si="21"/>
        <v>15.175572519083968</v>
      </c>
      <c r="I97" s="418">
        <f t="shared" si="22"/>
        <v>100</v>
      </c>
      <c r="J97" s="410">
        <v>1510</v>
      </c>
      <c r="K97" s="68">
        <v>1360</v>
      </c>
      <c r="L97" s="68">
        <v>1814</v>
      </c>
      <c r="M97" s="68">
        <v>872</v>
      </c>
      <c r="N97" s="68">
        <v>0</v>
      </c>
      <c r="O97" s="68">
        <v>994</v>
      </c>
      <c r="P97" s="68">
        <v>6550</v>
      </c>
      <c r="Q97" s="2"/>
      <c r="R97" s="2"/>
      <c r="S97" s="2"/>
      <c r="T97" s="2"/>
      <c r="U97" s="2"/>
      <c r="V97" s="2"/>
      <c r="W97" s="2"/>
      <c r="X97" s="2"/>
      <c r="Y97" s="2"/>
    </row>
    <row r="98" spans="1:25">
      <c r="A98" s="70" t="s">
        <v>10</v>
      </c>
      <c r="B98" s="2" t="s">
        <v>19</v>
      </c>
      <c r="C98" s="412">
        <f t="shared" si="16"/>
        <v>41.634241245136188</v>
      </c>
      <c r="D98" s="412">
        <f t="shared" si="17"/>
        <v>30.194552529182879</v>
      </c>
      <c r="E98" s="412">
        <f t="shared" si="18"/>
        <v>12.684824902723735</v>
      </c>
      <c r="F98" s="412">
        <f t="shared" si="19"/>
        <v>10.350194552529182</v>
      </c>
      <c r="G98" s="412">
        <f t="shared" si="20"/>
        <v>5.1361867704280151</v>
      </c>
      <c r="H98" s="412">
        <f t="shared" si="21"/>
        <v>0</v>
      </c>
      <c r="I98" s="412">
        <f t="shared" si="22"/>
        <v>100</v>
      </c>
      <c r="J98" s="409">
        <v>535</v>
      </c>
      <c r="K98" s="2">
        <v>388</v>
      </c>
      <c r="L98" s="2">
        <v>163</v>
      </c>
      <c r="M98" s="2">
        <v>133</v>
      </c>
      <c r="N98" s="2">
        <v>66</v>
      </c>
      <c r="O98" s="2">
        <v>0</v>
      </c>
      <c r="P98" s="2">
        <v>1285</v>
      </c>
      <c r="Q98" s="2"/>
      <c r="R98" s="2"/>
      <c r="S98" s="2"/>
      <c r="T98" s="2"/>
      <c r="U98" s="2"/>
      <c r="V98" s="2"/>
      <c r="W98" s="2"/>
      <c r="X98" s="2"/>
      <c r="Y98" s="2"/>
    </row>
    <row r="99" spans="1:25">
      <c r="A99" s="70"/>
      <c r="B99" s="2" t="s">
        <v>20</v>
      </c>
      <c r="C99" s="412" t="e">
        <f t="shared" si="16"/>
        <v>#DIV/0!</v>
      </c>
      <c r="D99" s="412" t="e">
        <f t="shared" si="17"/>
        <v>#DIV/0!</v>
      </c>
      <c r="E99" s="412" t="e">
        <f t="shared" si="18"/>
        <v>#DIV/0!</v>
      </c>
      <c r="F99" s="412" t="e">
        <f t="shared" si="19"/>
        <v>#DIV/0!</v>
      </c>
      <c r="G99" s="412" t="e">
        <f t="shared" si="20"/>
        <v>#DIV/0!</v>
      </c>
      <c r="H99" s="412" t="e">
        <f t="shared" si="21"/>
        <v>#DIV/0!</v>
      </c>
      <c r="I99" s="412" t="e">
        <f t="shared" si="22"/>
        <v>#DIV/0!</v>
      </c>
      <c r="J99" s="409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/>
      <c r="R99" s="2"/>
      <c r="S99" s="2"/>
      <c r="T99" s="2"/>
      <c r="U99" s="2"/>
      <c r="V99" s="2"/>
      <c r="W99" s="2"/>
      <c r="X99" s="2"/>
      <c r="Y99" s="2"/>
    </row>
    <row r="100" spans="1:25">
      <c r="A100" s="70"/>
      <c r="B100" s="2" t="s">
        <v>21</v>
      </c>
      <c r="C100" s="412">
        <f t="shared" si="16"/>
        <v>24.645892351274785</v>
      </c>
      <c r="D100" s="412">
        <f t="shared" si="17"/>
        <v>33.711048158640224</v>
      </c>
      <c r="E100" s="412">
        <f t="shared" si="18"/>
        <v>29.461756373937675</v>
      </c>
      <c r="F100" s="412">
        <f t="shared" si="19"/>
        <v>9.0651558073654392</v>
      </c>
      <c r="G100" s="412">
        <f t="shared" si="20"/>
        <v>3.1161473087818696</v>
      </c>
      <c r="H100" s="412">
        <f t="shared" si="21"/>
        <v>0</v>
      </c>
      <c r="I100" s="412">
        <f t="shared" si="22"/>
        <v>100</v>
      </c>
      <c r="J100" s="409">
        <v>87</v>
      </c>
      <c r="K100" s="2">
        <v>119</v>
      </c>
      <c r="L100" s="2">
        <v>104</v>
      </c>
      <c r="M100" s="2">
        <v>32</v>
      </c>
      <c r="N100" s="2">
        <v>11</v>
      </c>
      <c r="O100" s="2">
        <v>0</v>
      </c>
      <c r="P100" s="2">
        <v>353</v>
      </c>
      <c r="Q100" s="2"/>
      <c r="R100" s="2"/>
      <c r="S100" s="2"/>
      <c r="T100" s="2"/>
      <c r="U100" s="2"/>
      <c r="V100" s="2"/>
      <c r="W100" s="2"/>
      <c r="X100" s="2"/>
      <c r="Y100" s="2"/>
    </row>
    <row r="101" spans="1:25">
      <c r="A101" s="70"/>
      <c r="B101" s="2" t="s">
        <v>22</v>
      </c>
      <c r="C101" s="412">
        <f t="shared" si="16"/>
        <v>27.880027266530334</v>
      </c>
      <c r="D101" s="412">
        <f t="shared" si="17"/>
        <v>26.993865030674847</v>
      </c>
      <c r="E101" s="412">
        <f t="shared" si="18"/>
        <v>35.037491479209272</v>
      </c>
      <c r="F101" s="412">
        <f t="shared" si="19"/>
        <v>4.8398091342876617</v>
      </c>
      <c r="G101" s="412">
        <f t="shared" si="20"/>
        <v>5.2488070892978866</v>
      </c>
      <c r="H101" s="412">
        <f t="shared" si="21"/>
        <v>0</v>
      </c>
      <c r="I101" s="412">
        <f t="shared" si="22"/>
        <v>100</v>
      </c>
      <c r="J101" s="409">
        <v>409</v>
      </c>
      <c r="K101" s="2">
        <v>396</v>
      </c>
      <c r="L101" s="2">
        <v>514</v>
      </c>
      <c r="M101" s="2">
        <v>71</v>
      </c>
      <c r="N101" s="2">
        <v>77</v>
      </c>
      <c r="O101" s="2">
        <v>0</v>
      </c>
      <c r="P101" s="2">
        <v>1467</v>
      </c>
      <c r="Q101" s="2"/>
      <c r="R101" s="2"/>
      <c r="S101" s="2"/>
      <c r="T101" s="2"/>
      <c r="U101" s="2"/>
      <c r="V101" s="2"/>
      <c r="W101" s="2"/>
      <c r="X101" s="2"/>
      <c r="Y101" s="2"/>
    </row>
    <row r="102" spans="1:25">
      <c r="A102" s="70"/>
      <c r="B102" s="2" t="s">
        <v>23</v>
      </c>
      <c r="C102" s="412">
        <f t="shared" si="16"/>
        <v>7.3033707865168536</v>
      </c>
      <c r="D102" s="412">
        <f t="shared" si="17"/>
        <v>38.202247191011232</v>
      </c>
      <c r="E102" s="412">
        <f t="shared" si="18"/>
        <v>47.471910112359552</v>
      </c>
      <c r="F102" s="412">
        <f t="shared" si="19"/>
        <v>7.02247191011236</v>
      </c>
      <c r="G102" s="412">
        <f t="shared" si="20"/>
        <v>0</v>
      </c>
      <c r="H102" s="412">
        <f t="shared" si="21"/>
        <v>0</v>
      </c>
      <c r="I102" s="412">
        <f t="shared" si="22"/>
        <v>100</v>
      </c>
      <c r="J102" s="409">
        <v>26</v>
      </c>
      <c r="K102" s="2">
        <v>136</v>
      </c>
      <c r="L102" s="2">
        <v>169</v>
      </c>
      <c r="M102" s="2">
        <v>25</v>
      </c>
      <c r="N102" s="2">
        <v>0</v>
      </c>
      <c r="O102" s="2">
        <v>0</v>
      </c>
      <c r="P102" s="2">
        <v>356</v>
      </c>
      <c r="Q102" s="2"/>
      <c r="R102" s="2"/>
      <c r="S102" s="2"/>
      <c r="T102" s="2"/>
      <c r="U102" s="2"/>
      <c r="V102" s="2"/>
      <c r="W102" s="2"/>
      <c r="X102" s="2"/>
      <c r="Y102" s="2"/>
    </row>
    <row r="103" spans="1:25">
      <c r="A103" s="70"/>
      <c r="B103" s="2" t="s">
        <v>24</v>
      </c>
      <c r="C103" s="412">
        <f t="shared" si="16"/>
        <v>15.238095238095239</v>
      </c>
      <c r="D103" s="412">
        <f t="shared" si="17"/>
        <v>32.38095238095238</v>
      </c>
      <c r="E103" s="412">
        <f t="shared" si="18"/>
        <v>25.714285714285712</v>
      </c>
      <c r="F103" s="412">
        <f t="shared" si="19"/>
        <v>6.666666666666667</v>
      </c>
      <c r="G103" s="412">
        <f t="shared" si="20"/>
        <v>20</v>
      </c>
      <c r="H103" s="412">
        <f t="shared" si="21"/>
        <v>0</v>
      </c>
      <c r="I103" s="412">
        <f t="shared" si="22"/>
        <v>100</v>
      </c>
      <c r="J103" s="409">
        <v>32</v>
      </c>
      <c r="K103" s="2">
        <v>68</v>
      </c>
      <c r="L103" s="2">
        <v>54</v>
      </c>
      <c r="M103" s="2">
        <v>14</v>
      </c>
      <c r="N103" s="2">
        <v>42</v>
      </c>
      <c r="O103" s="2">
        <v>0</v>
      </c>
      <c r="P103" s="2">
        <v>210</v>
      </c>
      <c r="Q103" s="2"/>
      <c r="R103" s="2"/>
      <c r="S103" s="2"/>
      <c r="T103" s="2"/>
      <c r="U103" s="2"/>
      <c r="V103" s="2"/>
      <c r="W103" s="2"/>
      <c r="X103" s="2"/>
      <c r="Y103" s="2"/>
    </row>
    <row r="104" spans="1:25">
      <c r="A104" s="70"/>
      <c r="B104" s="5" t="s">
        <v>80</v>
      </c>
      <c r="C104" s="417">
        <f t="shared" si="16"/>
        <v>29.664941432852082</v>
      </c>
      <c r="D104" s="417">
        <f t="shared" si="17"/>
        <v>30.15527104331245</v>
      </c>
      <c r="E104" s="417">
        <f t="shared" si="18"/>
        <v>27.349496050122585</v>
      </c>
      <c r="F104" s="417">
        <f t="shared" si="19"/>
        <v>7.4911468264777987</v>
      </c>
      <c r="G104" s="417">
        <f t="shared" si="20"/>
        <v>5.3391446472350852</v>
      </c>
      <c r="H104" s="417">
        <f t="shared" si="21"/>
        <v>0</v>
      </c>
      <c r="I104" s="417">
        <f t="shared" si="22"/>
        <v>100</v>
      </c>
      <c r="J104" s="409">
        <f t="shared" ref="J104:P104" si="26">SUM(J98:J103)</f>
        <v>1089</v>
      </c>
      <c r="K104" s="2">
        <f t="shared" si="26"/>
        <v>1107</v>
      </c>
      <c r="L104" s="2">
        <f t="shared" si="26"/>
        <v>1004</v>
      </c>
      <c r="M104" s="2">
        <f t="shared" si="26"/>
        <v>275</v>
      </c>
      <c r="N104" s="2">
        <f t="shared" si="26"/>
        <v>196</v>
      </c>
      <c r="O104" s="2">
        <f t="shared" si="26"/>
        <v>0</v>
      </c>
      <c r="P104" s="2">
        <f t="shared" si="26"/>
        <v>3671</v>
      </c>
      <c r="Q104" s="2"/>
      <c r="R104" s="2"/>
      <c r="S104" s="2"/>
      <c r="T104" s="2"/>
      <c r="U104" s="2"/>
      <c r="V104" s="2"/>
      <c r="W104" s="2"/>
      <c r="X104" s="2"/>
      <c r="Y104" s="2"/>
    </row>
    <row r="105" spans="1:25">
      <c r="A105" s="70"/>
      <c r="B105" s="2" t="s">
        <v>25</v>
      </c>
      <c r="C105" s="412">
        <f t="shared" si="16"/>
        <v>38.117524700988035</v>
      </c>
      <c r="D105" s="412">
        <f t="shared" si="17"/>
        <v>29.329173166926676</v>
      </c>
      <c r="E105" s="412">
        <f t="shared" si="18"/>
        <v>24.180967238689547</v>
      </c>
      <c r="F105" s="412">
        <f t="shared" si="19"/>
        <v>7.9043161726469053</v>
      </c>
      <c r="G105" s="412">
        <f t="shared" si="20"/>
        <v>0.46801872074883</v>
      </c>
      <c r="H105" s="412">
        <f t="shared" si="21"/>
        <v>0</v>
      </c>
      <c r="I105" s="412">
        <f t="shared" si="22"/>
        <v>100</v>
      </c>
      <c r="J105" s="409">
        <v>733</v>
      </c>
      <c r="K105" s="2">
        <v>564</v>
      </c>
      <c r="L105" s="2">
        <v>465</v>
      </c>
      <c r="M105" s="2">
        <v>152</v>
      </c>
      <c r="N105" s="2">
        <v>9</v>
      </c>
      <c r="O105" s="2">
        <v>0</v>
      </c>
      <c r="P105" s="2">
        <v>1923</v>
      </c>
      <c r="Q105" s="2"/>
      <c r="R105" s="2"/>
      <c r="S105" s="2"/>
      <c r="T105" s="2"/>
      <c r="U105" s="2"/>
      <c r="V105" s="2"/>
      <c r="W105" s="2"/>
      <c r="X105" s="2"/>
      <c r="Y105" s="2"/>
    </row>
    <row r="106" spans="1:25">
      <c r="A106" s="70"/>
      <c r="B106" s="2" t="s">
        <v>26</v>
      </c>
      <c r="C106" s="412" t="e">
        <f t="shared" si="16"/>
        <v>#DIV/0!</v>
      </c>
      <c r="D106" s="412" t="e">
        <f t="shared" si="17"/>
        <v>#DIV/0!</v>
      </c>
      <c r="E106" s="412" t="e">
        <f t="shared" si="18"/>
        <v>#DIV/0!</v>
      </c>
      <c r="F106" s="412" t="e">
        <f t="shared" si="19"/>
        <v>#DIV/0!</v>
      </c>
      <c r="G106" s="412" t="e">
        <f t="shared" si="20"/>
        <v>#DIV/0!</v>
      </c>
      <c r="H106" s="412" t="e">
        <f t="shared" si="21"/>
        <v>#DIV/0!</v>
      </c>
      <c r="I106" s="412" t="e">
        <f t="shared" si="22"/>
        <v>#DIV/0!</v>
      </c>
      <c r="J106" s="409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/>
      <c r="R106" s="2"/>
      <c r="S106" s="2"/>
      <c r="T106" s="2"/>
      <c r="U106" s="2"/>
      <c r="V106" s="2"/>
      <c r="W106" s="2"/>
      <c r="X106" s="2"/>
      <c r="Y106" s="2"/>
    </row>
    <row r="107" spans="1:25">
      <c r="A107" s="72"/>
      <c r="B107" s="69" t="s">
        <v>27</v>
      </c>
      <c r="C107" s="418">
        <f t="shared" si="16"/>
        <v>32.570611369324276</v>
      </c>
      <c r="D107" s="418">
        <f t="shared" si="17"/>
        <v>29.871290668573469</v>
      </c>
      <c r="E107" s="418">
        <f t="shared" si="18"/>
        <v>26.260278870218091</v>
      </c>
      <c r="F107" s="418">
        <f t="shared" si="19"/>
        <v>7.6331784054343945</v>
      </c>
      <c r="G107" s="418">
        <f t="shared" si="20"/>
        <v>3.6646406864497676</v>
      </c>
      <c r="H107" s="418">
        <f t="shared" si="21"/>
        <v>0</v>
      </c>
      <c r="I107" s="418">
        <f t="shared" si="22"/>
        <v>100</v>
      </c>
      <c r="J107" s="410">
        <v>1822</v>
      </c>
      <c r="K107" s="68">
        <v>1671</v>
      </c>
      <c r="L107" s="68">
        <v>1469</v>
      </c>
      <c r="M107" s="68">
        <v>427</v>
      </c>
      <c r="N107" s="68">
        <v>205</v>
      </c>
      <c r="O107" s="68">
        <v>0</v>
      </c>
      <c r="P107" s="68">
        <v>5594</v>
      </c>
      <c r="Q107" s="2"/>
      <c r="R107" s="2"/>
      <c r="S107" s="2"/>
      <c r="T107" s="2"/>
      <c r="U107" s="2"/>
      <c r="V107" s="2"/>
      <c r="W107" s="2"/>
      <c r="X107" s="2"/>
      <c r="Y107" s="2"/>
    </row>
    <row r="108" spans="1:25">
      <c r="A108" s="70" t="s">
        <v>11</v>
      </c>
      <c r="B108" s="2" t="s">
        <v>19</v>
      </c>
      <c r="C108" s="412">
        <f t="shared" si="16"/>
        <v>41.554559043348284</v>
      </c>
      <c r="D108" s="412">
        <f t="shared" si="17"/>
        <v>28.550074738415542</v>
      </c>
      <c r="E108" s="412">
        <f t="shared" si="18"/>
        <v>23.168908819133037</v>
      </c>
      <c r="F108" s="412">
        <f t="shared" si="19"/>
        <v>5.9790732436472345</v>
      </c>
      <c r="G108" s="412">
        <f t="shared" si="20"/>
        <v>0.74738415545590431</v>
      </c>
      <c r="H108" s="412">
        <f t="shared" si="21"/>
        <v>0</v>
      </c>
      <c r="I108" s="412">
        <f t="shared" si="22"/>
        <v>100</v>
      </c>
      <c r="J108" s="409">
        <v>278</v>
      </c>
      <c r="K108" s="2">
        <v>191</v>
      </c>
      <c r="L108" s="2">
        <v>155</v>
      </c>
      <c r="M108" s="2">
        <v>40</v>
      </c>
      <c r="N108" s="2">
        <v>5</v>
      </c>
      <c r="O108" s="2">
        <v>0</v>
      </c>
      <c r="P108" s="2">
        <v>669</v>
      </c>
      <c r="Q108" s="2"/>
      <c r="R108" s="2"/>
      <c r="S108" s="2"/>
      <c r="T108" s="2"/>
      <c r="U108" s="2"/>
      <c r="V108" s="2"/>
      <c r="W108" s="2"/>
      <c r="X108" s="2"/>
      <c r="Y108" s="2"/>
    </row>
    <row r="109" spans="1:25">
      <c r="A109" s="70"/>
      <c r="B109" s="2" t="s">
        <v>20</v>
      </c>
      <c r="C109" s="412">
        <f t="shared" si="16"/>
        <v>32.193158953722332</v>
      </c>
      <c r="D109" s="412">
        <f t="shared" si="17"/>
        <v>27.464788732394368</v>
      </c>
      <c r="E109" s="412">
        <f t="shared" si="18"/>
        <v>31.287726358148895</v>
      </c>
      <c r="F109" s="412">
        <f t="shared" si="19"/>
        <v>8.7525150905432607</v>
      </c>
      <c r="G109" s="412">
        <f t="shared" si="20"/>
        <v>0.30181086519114686</v>
      </c>
      <c r="H109" s="412">
        <f t="shared" si="21"/>
        <v>0</v>
      </c>
      <c r="I109" s="412">
        <f t="shared" si="22"/>
        <v>100</v>
      </c>
      <c r="J109" s="409">
        <v>320</v>
      </c>
      <c r="K109" s="2">
        <v>273</v>
      </c>
      <c r="L109" s="2">
        <v>311</v>
      </c>
      <c r="M109" s="2">
        <v>87</v>
      </c>
      <c r="N109" s="2">
        <v>3</v>
      </c>
      <c r="O109" s="2">
        <v>0</v>
      </c>
      <c r="P109" s="2">
        <v>994</v>
      </c>
      <c r="Q109" s="2"/>
      <c r="R109" s="2"/>
      <c r="S109" s="2"/>
      <c r="T109" s="2"/>
      <c r="U109" s="2"/>
      <c r="V109" s="2"/>
      <c r="W109" s="2"/>
      <c r="X109" s="2"/>
      <c r="Y109" s="2"/>
    </row>
    <row r="110" spans="1:25">
      <c r="A110" s="70"/>
      <c r="B110" s="2" t="s">
        <v>21</v>
      </c>
      <c r="C110" s="412">
        <f t="shared" si="16"/>
        <v>24.695121951219512</v>
      </c>
      <c r="D110" s="412">
        <f t="shared" si="17"/>
        <v>24.085365853658537</v>
      </c>
      <c r="E110" s="412">
        <f t="shared" si="18"/>
        <v>34.756097560975604</v>
      </c>
      <c r="F110" s="412">
        <f t="shared" si="19"/>
        <v>16.463414634146343</v>
      </c>
      <c r="G110" s="412">
        <f t="shared" si="20"/>
        <v>0</v>
      </c>
      <c r="H110" s="412">
        <f t="shared" si="21"/>
        <v>0</v>
      </c>
      <c r="I110" s="412">
        <f t="shared" si="22"/>
        <v>100</v>
      </c>
      <c r="J110" s="409">
        <v>81</v>
      </c>
      <c r="K110" s="2">
        <v>79</v>
      </c>
      <c r="L110" s="2">
        <v>114</v>
      </c>
      <c r="M110" s="2">
        <v>54</v>
      </c>
      <c r="N110" s="2">
        <v>0</v>
      </c>
      <c r="O110" s="2">
        <v>0</v>
      </c>
      <c r="P110" s="2">
        <v>328</v>
      </c>
      <c r="Q110" s="2"/>
      <c r="R110" s="2"/>
      <c r="S110" s="2"/>
      <c r="T110" s="2"/>
      <c r="U110" s="2"/>
      <c r="V110" s="2"/>
      <c r="W110" s="2"/>
      <c r="X110" s="2"/>
      <c r="Y110" s="2"/>
    </row>
    <row r="111" spans="1:25">
      <c r="A111" s="70"/>
      <c r="B111" s="2" t="s">
        <v>22</v>
      </c>
      <c r="C111" s="412" t="e">
        <f t="shared" si="16"/>
        <v>#DIV/0!</v>
      </c>
      <c r="D111" s="412" t="e">
        <f t="shared" si="17"/>
        <v>#DIV/0!</v>
      </c>
      <c r="E111" s="412" t="e">
        <f t="shared" si="18"/>
        <v>#DIV/0!</v>
      </c>
      <c r="F111" s="412" t="e">
        <f t="shared" si="19"/>
        <v>#DIV/0!</v>
      </c>
      <c r="G111" s="412" t="e">
        <f t="shared" si="20"/>
        <v>#DIV/0!</v>
      </c>
      <c r="H111" s="412" t="e">
        <f t="shared" si="21"/>
        <v>#DIV/0!</v>
      </c>
      <c r="I111" s="412" t="e">
        <f t="shared" si="22"/>
        <v>#DIV/0!</v>
      </c>
      <c r="J111" s="409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/>
      <c r="R111" s="2"/>
      <c r="S111" s="2"/>
      <c r="T111" s="2"/>
      <c r="U111" s="2"/>
      <c r="V111" s="2"/>
      <c r="W111" s="2"/>
      <c r="X111" s="2"/>
      <c r="Y111" s="2"/>
    </row>
    <row r="112" spans="1:25">
      <c r="A112" s="70"/>
      <c r="B112" s="2" t="s">
        <v>23</v>
      </c>
      <c r="C112" s="412">
        <f t="shared" si="16"/>
        <v>24.781341107871722</v>
      </c>
      <c r="D112" s="412">
        <f t="shared" si="17"/>
        <v>19.533527696793001</v>
      </c>
      <c r="E112" s="412">
        <f t="shared" si="18"/>
        <v>23.906705539358601</v>
      </c>
      <c r="F112" s="412">
        <f t="shared" si="19"/>
        <v>31.778425655976676</v>
      </c>
      <c r="G112" s="412">
        <f t="shared" si="20"/>
        <v>0</v>
      </c>
      <c r="H112" s="412">
        <f t="shared" si="21"/>
        <v>0</v>
      </c>
      <c r="I112" s="412">
        <f t="shared" si="22"/>
        <v>100</v>
      </c>
      <c r="J112" s="409">
        <v>85</v>
      </c>
      <c r="K112" s="2">
        <v>67</v>
      </c>
      <c r="L112" s="2">
        <v>82</v>
      </c>
      <c r="M112" s="2">
        <v>109</v>
      </c>
      <c r="N112" s="2">
        <v>0</v>
      </c>
      <c r="O112" s="2">
        <v>0</v>
      </c>
      <c r="P112" s="2">
        <v>343</v>
      </c>
      <c r="Q112" s="2"/>
      <c r="R112" s="2"/>
      <c r="S112" s="2"/>
      <c r="T112" s="2"/>
      <c r="U112" s="2"/>
      <c r="V112" s="2"/>
      <c r="W112" s="2"/>
      <c r="X112" s="2"/>
      <c r="Y112" s="2"/>
    </row>
    <row r="113" spans="1:25">
      <c r="A113" s="70"/>
      <c r="B113" s="2" t="s">
        <v>24</v>
      </c>
      <c r="C113" s="412">
        <f t="shared" si="16"/>
        <v>26.605504587155966</v>
      </c>
      <c r="D113" s="412">
        <f t="shared" si="17"/>
        <v>10.091743119266056</v>
      </c>
      <c r="E113" s="412">
        <f t="shared" si="18"/>
        <v>37.61467889908257</v>
      </c>
      <c r="F113" s="412">
        <f t="shared" si="19"/>
        <v>25.688073394495415</v>
      </c>
      <c r="G113" s="412">
        <f t="shared" si="20"/>
        <v>0</v>
      </c>
      <c r="H113" s="412">
        <f t="shared" si="21"/>
        <v>0</v>
      </c>
      <c r="I113" s="412">
        <f t="shared" si="22"/>
        <v>100</v>
      </c>
      <c r="J113" s="409">
        <v>58</v>
      </c>
      <c r="K113" s="2">
        <v>22</v>
      </c>
      <c r="L113" s="2">
        <v>82</v>
      </c>
      <c r="M113" s="2">
        <v>56</v>
      </c>
      <c r="N113" s="2">
        <v>0</v>
      </c>
      <c r="O113" s="2">
        <v>0</v>
      </c>
      <c r="P113" s="2">
        <v>218</v>
      </c>
      <c r="Q113" s="2"/>
      <c r="R113" s="2"/>
      <c r="S113" s="2"/>
      <c r="T113" s="2"/>
      <c r="U113" s="2"/>
      <c r="V113" s="2"/>
      <c r="W113" s="2"/>
      <c r="X113" s="2"/>
      <c r="Y113" s="2"/>
    </row>
    <row r="114" spans="1:25">
      <c r="A114" s="70"/>
      <c r="B114" s="5" t="s">
        <v>80</v>
      </c>
      <c r="C114" s="417">
        <f t="shared" si="16"/>
        <v>32.210031347962378</v>
      </c>
      <c r="D114" s="417">
        <f t="shared" si="17"/>
        <v>24.76489028213166</v>
      </c>
      <c r="E114" s="417">
        <f t="shared" si="18"/>
        <v>29.153605015673982</v>
      </c>
      <c r="F114" s="417">
        <f t="shared" si="19"/>
        <v>13.557993730407524</v>
      </c>
      <c r="G114" s="417">
        <f t="shared" si="20"/>
        <v>0.31347962382445138</v>
      </c>
      <c r="H114" s="417">
        <f t="shared" si="21"/>
        <v>0</v>
      </c>
      <c r="I114" s="417">
        <f t="shared" si="22"/>
        <v>100</v>
      </c>
      <c r="J114" s="409">
        <f t="shared" ref="J114:P114" si="27">SUM(J108:J113)</f>
        <v>822</v>
      </c>
      <c r="K114" s="2">
        <f t="shared" si="27"/>
        <v>632</v>
      </c>
      <c r="L114" s="2">
        <f t="shared" si="27"/>
        <v>744</v>
      </c>
      <c r="M114" s="2">
        <f t="shared" si="27"/>
        <v>346</v>
      </c>
      <c r="N114" s="2">
        <f t="shared" si="27"/>
        <v>8</v>
      </c>
      <c r="O114" s="2">
        <f t="shared" si="27"/>
        <v>0</v>
      </c>
      <c r="P114" s="2">
        <f t="shared" si="27"/>
        <v>2552</v>
      </c>
      <c r="Q114" s="2"/>
      <c r="R114" s="2"/>
      <c r="S114" s="2"/>
      <c r="T114" s="2"/>
      <c r="U114" s="2"/>
      <c r="V114" s="2"/>
      <c r="W114" s="2"/>
      <c r="X114" s="2"/>
      <c r="Y114" s="2"/>
    </row>
    <row r="115" spans="1:25">
      <c r="A115" s="70"/>
      <c r="B115" s="2" t="s">
        <v>25</v>
      </c>
      <c r="C115" s="412">
        <f t="shared" si="16"/>
        <v>0</v>
      </c>
      <c r="D115" s="412">
        <f t="shared" si="17"/>
        <v>0</v>
      </c>
      <c r="E115" s="412">
        <f t="shared" si="18"/>
        <v>0</v>
      </c>
      <c r="F115" s="412">
        <f t="shared" si="19"/>
        <v>0</v>
      </c>
      <c r="G115" s="412">
        <f t="shared" si="20"/>
        <v>0</v>
      </c>
      <c r="H115" s="412">
        <f t="shared" si="21"/>
        <v>100</v>
      </c>
      <c r="I115" s="412">
        <f t="shared" si="22"/>
        <v>100</v>
      </c>
      <c r="J115" s="409">
        <v>0</v>
      </c>
      <c r="K115" s="2">
        <v>0</v>
      </c>
      <c r="L115" s="2">
        <v>0</v>
      </c>
      <c r="M115" s="2">
        <v>0</v>
      </c>
      <c r="N115" s="2">
        <v>0</v>
      </c>
      <c r="O115" s="2">
        <v>2053.1999999999998</v>
      </c>
      <c r="P115" s="2">
        <v>2053.1999999999998</v>
      </c>
      <c r="Q115" s="2"/>
      <c r="R115" s="2"/>
      <c r="S115" s="2"/>
      <c r="T115" s="2"/>
      <c r="U115" s="2"/>
      <c r="V115" s="2"/>
      <c r="W115" s="2"/>
      <c r="X115" s="2"/>
      <c r="Y115" s="2"/>
    </row>
    <row r="116" spans="1:25">
      <c r="A116" s="70"/>
      <c r="B116" s="2" t="s">
        <v>26</v>
      </c>
      <c r="C116" s="412" t="e">
        <f t="shared" si="16"/>
        <v>#DIV/0!</v>
      </c>
      <c r="D116" s="412" t="e">
        <f t="shared" si="17"/>
        <v>#DIV/0!</v>
      </c>
      <c r="E116" s="412" t="e">
        <f t="shared" si="18"/>
        <v>#DIV/0!</v>
      </c>
      <c r="F116" s="412" t="e">
        <f t="shared" si="19"/>
        <v>#DIV/0!</v>
      </c>
      <c r="G116" s="412" t="e">
        <f t="shared" si="20"/>
        <v>#DIV/0!</v>
      </c>
      <c r="H116" s="412" t="e">
        <f t="shared" si="21"/>
        <v>#DIV/0!</v>
      </c>
      <c r="I116" s="412" t="e">
        <f t="shared" si="22"/>
        <v>#DIV/0!</v>
      </c>
      <c r="J116" s="409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/>
      <c r="R116" s="2"/>
      <c r="S116" s="2"/>
      <c r="T116" s="2"/>
      <c r="U116" s="2"/>
      <c r="V116" s="2"/>
      <c r="W116" s="2"/>
      <c r="X116" s="2"/>
      <c r="Y116" s="2"/>
    </row>
    <row r="117" spans="1:25">
      <c r="A117" s="72"/>
      <c r="B117" s="79" t="s">
        <v>27</v>
      </c>
      <c r="C117" s="418">
        <f t="shared" si="16"/>
        <v>17.849387648744898</v>
      </c>
      <c r="D117" s="418">
        <f t="shared" si="17"/>
        <v>13.72361678103014</v>
      </c>
      <c r="E117" s="418">
        <f t="shared" si="18"/>
        <v>16.155650134630417</v>
      </c>
      <c r="F117" s="418">
        <f t="shared" si="19"/>
        <v>7.5132458959437169</v>
      </c>
      <c r="G117" s="418">
        <f t="shared" si="20"/>
        <v>0.17371666811430556</v>
      </c>
      <c r="H117" s="418">
        <f t="shared" si="21"/>
        <v>44.584382871536519</v>
      </c>
      <c r="I117" s="418">
        <f t="shared" si="22"/>
        <v>100</v>
      </c>
      <c r="J117" s="410">
        <v>822</v>
      </c>
      <c r="K117" s="68">
        <v>632</v>
      </c>
      <c r="L117" s="68">
        <v>744</v>
      </c>
      <c r="M117" s="68">
        <v>346</v>
      </c>
      <c r="N117" s="68">
        <v>8</v>
      </c>
      <c r="O117" s="68">
        <v>2053.1999999999998</v>
      </c>
      <c r="P117" s="68">
        <v>4605.2</v>
      </c>
      <c r="Q117" s="2"/>
      <c r="R117" s="2"/>
      <c r="S117" s="2"/>
      <c r="T117" s="2"/>
      <c r="U117" s="2"/>
      <c r="V117" s="2"/>
      <c r="W117" s="2"/>
      <c r="X117" s="2"/>
      <c r="Y117" s="2"/>
    </row>
    <row r="118" spans="1:25">
      <c r="A118" s="70" t="s">
        <v>12</v>
      </c>
      <c r="B118" s="2" t="s">
        <v>19</v>
      </c>
      <c r="C118" s="412">
        <f t="shared" si="16"/>
        <v>41.350379544546541</v>
      </c>
      <c r="D118" s="412">
        <f t="shared" si="17"/>
        <v>26.92768677586896</v>
      </c>
      <c r="E118" s="412">
        <f t="shared" si="18"/>
        <v>16.460247702756693</v>
      </c>
      <c r="F118" s="412">
        <f t="shared" si="19"/>
        <v>1.1985617259288852</v>
      </c>
      <c r="G118" s="412">
        <f t="shared" si="20"/>
        <v>14.06312425089892</v>
      </c>
      <c r="H118" s="412">
        <f t="shared" si="21"/>
        <v>0</v>
      </c>
      <c r="I118" s="412">
        <f t="shared" si="22"/>
        <v>100</v>
      </c>
      <c r="J118" s="409">
        <v>1035</v>
      </c>
      <c r="K118" s="2">
        <v>674</v>
      </c>
      <c r="L118" s="2">
        <v>412</v>
      </c>
      <c r="M118" s="2">
        <v>30</v>
      </c>
      <c r="N118" s="2">
        <v>352</v>
      </c>
      <c r="O118" s="2">
        <v>0</v>
      </c>
      <c r="P118" s="2">
        <v>2503</v>
      </c>
      <c r="Q118" s="6">
        <f>N118/P118</f>
        <v>0.1406312425089892</v>
      </c>
      <c r="R118" s="2"/>
      <c r="S118" s="2"/>
      <c r="T118" s="2"/>
      <c r="U118" s="2"/>
      <c r="V118" s="2"/>
      <c r="W118" s="2"/>
      <c r="X118" s="2"/>
      <c r="Y118" s="2"/>
    </row>
    <row r="119" spans="1:25">
      <c r="A119" s="70"/>
      <c r="B119" s="2" t="s">
        <v>20</v>
      </c>
      <c r="C119" s="412">
        <f t="shared" si="16"/>
        <v>24.475524475524477</v>
      </c>
      <c r="D119" s="412">
        <f t="shared" si="17"/>
        <v>31.11888111888112</v>
      </c>
      <c r="E119" s="412">
        <f t="shared" si="18"/>
        <v>23.6013986013986</v>
      </c>
      <c r="F119" s="412">
        <f t="shared" si="19"/>
        <v>1.3986013986013985</v>
      </c>
      <c r="G119" s="412">
        <f t="shared" si="20"/>
        <v>19.405594405594407</v>
      </c>
      <c r="H119" s="412">
        <f t="shared" si="21"/>
        <v>0</v>
      </c>
      <c r="I119" s="412">
        <f t="shared" si="22"/>
        <v>100</v>
      </c>
      <c r="J119" s="409">
        <v>140</v>
      </c>
      <c r="K119" s="2">
        <v>178</v>
      </c>
      <c r="L119" s="2">
        <v>135</v>
      </c>
      <c r="M119" s="2">
        <v>8</v>
      </c>
      <c r="N119" s="2">
        <v>111</v>
      </c>
      <c r="O119" s="2">
        <v>0</v>
      </c>
      <c r="P119" s="2">
        <v>572</v>
      </c>
      <c r="Q119" s="2"/>
      <c r="R119" s="2"/>
      <c r="S119" s="2"/>
      <c r="T119" s="2"/>
      <c r="U119" s="2"/>
      <c r="V119" s="2"/>
      <c r="W119" s="2"/>
      <c r="X119" s="2"/>
      <c r="Y119" s="2"/>
    </row>
    <row r="120" spans="1:25">
      <c r="A120" s="70"/>
      <c r="B120" s="2" t="s">
        <v>21</v>
      </c>
      <c r="C120" s="412">
        <f t="shared" si="16"/>
        <v>27.574409852890863</v>
      </c>
      <c r="D120" s="412">
        <f t="shared" si="17"/>
        <v>26.992815600410538</v>
      </c>
      <c r="E120" s="412">
        <f t="shared" si="18"/>
        <v>29.079712624016423</v>
      </c>
      <c r="F120" s="412">
        <f t="shared" si="19"/>
        <v>1.8816284639069449</v>
      </c>
      <c r="G120" s="412">
        <f t="shared" si="20"/>
        <v>14.471433458775232</v>
      </c>
      <c r="H120" s="412">
        <f t="shared" si="21"/>
        <v>0</v>
      </c>
      <c r="I120" s="412">
        <f t="shared" si="22"/>
        <v>100</v>
      </c>
      <c r="J120" s="409">
        <v>806</v>
      </c>
      <c r="K120" s="2">
        <v>789</v>
      </c>
      <c r="L120" s="2">
        <v>850</v>
      </c>
      <c r="M120" s="2">
        <v>55</v>
      </c>
      <c r="N120" s="2">
        <v>423</v>
      </c>
      <c r="O120" s="2">
        <v>0</v>
      </c>
      <c r="P120" s="2">
        <v>2923</v>
      </c>
      <c r="Q120" s="2"/>
      <c r="R120" s="2"/>
      <c r="S120" s="2"/>
      <c r="T120" s="2"/>
      <c r="U120" s="2"/>
      <c r="V120" s="2"/>
      <c r="W120" s="2"/>
      <c r="X120" s="2"/>
      <c r="Y120" s="2"/>
    </row>
    <row r="121" spans="1:25">
      <c r="A121" s="70"/>
      <c r="B121" s="2" t="s">
        <v>22</v>
      </c>
      <c r="C121" s="412">
        <f t="shared" si="16"/>
        <v>27.167630057803464</v>
      </c>
      <c r="D121" s="412">
        <f t="shared" si="17"/>
        <v>30.346820809248555</v>
      </c>
      <c r="E121" s="412">
        <f t="shared" si="18"/>
        <v>31.213872832369944</v>
      </c>
      <c r="F121" s="412">
        <f t="shared" si="19"/>
        <v>0.28901734104046239</v>
      </c>
      <c r="G121" s="412">
        <f t="shared" si="20"/>
        <v>10.982658959537572</v>
      </c>
      <c r="H121" s="412">
        <f t="shared" si="21"/>
        <v>0</v>
      </c>
      <c r="I121" s="412">
        <f t="shared" si="22"/>
        <v>100</v>
      </c>
      <c r="J121" s="409">
        <v>94</v>
      </c>
      <c r="K121" s="2">
        <v>105</v>
      </c>
      <c r="L121" s="2">
        <v>108</v>
      </c>
      <c r="M121" s="2">
        <v>1</v>
      </c>
      <c r="N121" s="2">
        <v>38</v>
      </c>
      <c r="O121" s="2">
        <v>0</v>
      </c>
      <c r="P121" s="2">
        <v>346</v>
      </c>
      <c r="Q121" s="2"/>
      <c r="R121" s="2"/>
      <c r="S121" s="2"/>
      <c r="T121" s="2"/>
      <c r="U121" s="2"/>
      <c r="V121" s="2"/>
      <c r="W121" s="2"/>
      <c r="X121" s="2"/>
      <c r="Y121" s="2"/>
    </row>
    <row r="122" spans="1:25">
      <c r="A122" s="70"/>
      <c r="B122" s="2" t="s">
        <v>23</v>
      </c>
      <c r="C122" s="412">
        <f t="shared" si="16"/>
        <v>22.61904761904762</v>
      </c>
      <c r="D122" s="412">
        <f t="shared" si="17"/>
        <v>30.952380952380953</v>
      </c>
      <c r="E122" s="412">
        <f t="shared" si="18"/>
        <v>24.107142857142858</v>
      </c>
      <c r="F122" s="412">
        <f t="shared" si="19"/>
        <v>1.7857142857142856</v>
      </c>
      <c r="G122" s="412">
        <f t="shared" si="20"/>
        <v>20.535714285714285</v>
      </c>
      <c r="H122" s="412">
        <f t="shared" si="21"/>
        <v>0</v>
      </c>
      <c r="I122" s="412">
        <f t="shared" si="22"/>
        <v>100</v>
      </c>
      <c r="J122" s="409">
        <v>76</v>
      </c>
      <c r="K122" s="2">
        <v>104</v>
      </c>
      <c r="L122" s="2">
        <v>81</v>
      </c>
      <c r="M122" s="2">
        <v>6</v>
      </c>
      <c r="N122" s="2">
        <v>69</v>
      </c>
      <c r="O122" s="2">
        <v>0</v>
      </c>
      <c r="P122" s="2">
        <v>336</v>
      </c>
      <c r="Q122" s="2"/>
      <c r="R122" s="2"/>
      <c r="S122" s="2"/>
      <c r="T122" s="2"/>
      <c r="U122" s="2"/>
      <c r="V122" s="2"/>
      <c r="W122" s="2"/>
      <c r="X122" s="2"/>
      <c r="Y122" s="2"/>
    </row>
    <row r="123" spans="1:25">
      <c r="A123" s="70"/>
      <c r="B123" s="2" t="s">
        <v>24</v>
      </c>
      <c r="C123" s="412">
        <f t="shared" si="16"/>
        <v>27.680798004987533</v>
      </c>
      <c r="D123" s="412">
        <f t="shared" si="17"/>
        <v>30.174563591022448</v>
      </c>
      <c r="E123" s="412">
        <f t="shared" si="18"/>
        <v>20.698254364089774</v>
      </c>
      <c r="F123" s="412">
        <f t="shared" si="19"/>
        <v>3.2418952618453867</v>
      </c>
      <c r="G123" s="412">
        <f t="shared" si="20"/>
        <v>18.204488778054863</v>
      </c>
      <c r="H123" s="412">
        <f t="shared" si="21"/>
        <v>0</v>
      </c>
      <c r="I123" s="412">
        <f t="shared" si="22"/>
        <v>100</v>
      </c>
      <c r="J123" s="409">
        <v>111</v>
      </c>
      <c r="K123" s="2">
        <v>121</v>
      </c>
      <c r="L123" s="2">
        <v>83</v>
      </c>
      <c r="M123" s="2">
        <v>13</v>
      </c>
      <c r="N123" s="2">
        <v>73</v>
      </c>
      <c r="O123" s="2">
        <v>0</v>
      </c>
      <c r="P123" s="2">
        <v>401</v>
      </c>
      <c r="Q123" s="2"/>
      <c r="R123" s="2"/>
      <c r="S123" s="2"/>
      <c r="T123" s="2"/>
      <c r="U123" s="2"/>
      <c r="V123" s="2"/>
      <c r="W123" s="2"/>
      <c r="X123" s="2"/>
      <c r="Y123" s="2"/>
    </row>
    <row r="124" spans="1:25">
      <c r="A124" s="70"/>
      <c r="B124" s="5" t="s">
        <v>80</v>
      </c>
      <c r="C124" s="417">
        <f t="shared" si="16"/>
        <v>31.944640587487644</v>
      </c>
      <c r="D124" s="417">
        <f t="shared" si="17"/>
        <v>27.835051546391753</v>
      </c>
      <c r="E124" s="417">
        <f t="shared" si="18"/>
        <v>23.570117215082615</v>
      </c>
      <c r="F124" s="417">
        <f t="shared" si="19"/>
        <v>1.5958197994633525</v>
      </c>
      <c r="G124" s="417">
        <f t="shared" si="20"/>
        <v>15.054370851574635</v>
      </c>
      <c r="H124" s="417">
        <f t="shared" si="21"/>
        <v>0</v>
      </c>
      <c r="I124" s="417">
        <f t="shared" si="22"/>
        <v>100</v>
      </c>
      <c r="J124" s="409">
        <f t="shared" ref="J124:P124" si="28">SUM(J118:J123)</f>
        <v>2262</v>
      </c>
      <c r="K124" s="2">
        <f t="shared" si="28"/>
        <v>1971</v>
      </c>
      <c r="L124" s="2">
        <f t="shared" si="28"/>
        <v>1669</v>
      </c>
      <c r="M124" s="2">
        <f t="shared" si="28"/>
        <v>113</v>
      </c>
      <c r="N124" s="2">
        <f t="shared" si="28"/>
        <v>1066</v>
      </c>
      <c r="O124" s="2">
        <f t="shared" si="28"/>
        <v>0</v>
      </c>
      <c r="P124" s="2">
        <f t="shared" si="28"/>
        <v>7081</v>
      </c>
      <c r="Q124" s="2"/>
      <c r="R124" s="2"/>
      <c r="S124" s="2"/>
      <c r="T124" s="2"/>
      <c r="U124" s="2"/>
      <c r="V124" s="2"/>
      <c r="W124" s="2"/>
      <c r="X124" s="2"/>
      <c r="Y124" s="2"/>
    </row>
    <row r="125" spans="1:25">
      <c r="A125" s="70"/>
      <c r="B125" s="2" t="s">
        <v>25</v>
      </c>
      <c r="C125" s="412">
        <f t="shared" si="16"/>
        <v>0</v>
      </c>
      <c r="D125" s="412">
        <f t="shared" si="17"/>
        <v>0</v>
      </c>
      <c r="E125" s="412">
        <f t="shared" si="18"/>
        <v>0</v>
      </c>
      <c r="F125" s="412">
        <f t="shared" si="19"/>
        <v>0</v>
      </c>
      <c r="G125" s="412">
        <f t="shared" si="20"/>
        <v>0</v>
      </c>
      <c r="H125" s="412">
        <f t="shared" si="21"/>
        <v>100</v>
      </c>
      <c r="I125" s="412">
        <f t="shared" si="22"/>
        <v>100</v>
      </c>
      <c r="J125" s="409">
        <v>0</v>
      </c>
      <c r="K125" s="2">
        <v>0</v>
      </c>
      <c r="L125" s="2">
        <v>0</v>
      </c>
      <c r="M125" s="2">
        <v>0</v>
      </c>
      <c r="N125" s="2">
        <v>0</v>
      </c>
      <c r="O125" s="2">
        <v>3904</v>
      </c>
      <c r="P125" s="2">
        <v>3904</v>
      </c>
      <c r="Q125" s="2"/>
      <c r="R125" s="2"/>
      <c r="S125" s="2"/>
      <c r="T125" s="2"/>
      <c r="U125" s="2"/>
      <c r="V125" s="2"/>
      <c r="W125" s="2"/>
      <c r="X125" s="2"/>
      <c r="Y125" s="2"/>
    </row>
    <row r="126" spans="1:25">
      <c r="A126" s="70"/>
      <c r="B126" s="2" t="s">
        <v>26</v>
      </c>
      <c r="C126" s="412" t="e">
        <f t="shared" si="16"/>
        <v>#DIV/0!</v>
      </c>
      <c r="D126" s="412" t="e">
        <f t="shared" si="17"/>
        <v>#DIV/0!</v>
      </c>
      <c r="E126" s="412" t="e">
        <f t="shared" si="18"/>
        <v>#DIV/0!</v>
      </c>
      <c r="F126" s="412" t="e">
        <f t="shared" si="19"/>
        <v>#DIV/0!</v>
      </c>
      <c r="G126" s="412" t="e">
        <f t="shared" si="20"/>
        <v>#DIV/0!</v>
      </c>
      <c r="H126" s="412" t="e">
        <f t="shared" si="21"/>
        <v>#DIV/0!</v>
      </c>
      <c r="I126" s="412" t="e">
        <f t="shared" si="22"/>
        <v>#DIV/0!</v>
      </c>
      <c r="J126" s="409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/>
      <c r="R126" s="2"/>
      <c r="S126" s="2"/>
      <c r="T126" s="2"/>
      <c r="U126" s="2"/>
      <c r="V126" s="2"/>
      <c r="W126" s="2"/>
      <c r="X126" s="2"/>
      <c r="Y126" s="2"/>
    </row>
    <row r="127" spans="1:25">
      <c r="A127" s="72"/>
      <c r="B127" s="69" t="s">
        <v>27</v>
      </c>
      <c r="C127" s="418">
        <f t="shared" si="16"/>
        <v>20.591715976331361</v>
      </c>
      <c r="D127" s="418">
        <f t="shared" si="17"/>
        <v>17.942649066909421</v>
      </c>
      <c r="E127" s="418">
        <f t="shared" si="18"/>
        <v>15.19344560764679</v>
      </c>
      <c r="F127" s="418">
        <f t="shared" si="19"/>
        <v>1.0286754665452891</v>
      </c>
      <c r="G127" s="418">
        <f t="shared" si="20"/>
        <v>9.7041420118343193</v>
      </c>
      <c r="H127" s="418">
        <f t="shared" si="21"/>
        <v>35.539371870732815</v>
      </c>
      <c r="I127" s="418">
        <f t="shared" si="22"/>
        <v>100</v>
      </c>
      <c r="J127" s="410">
        <v>2262</v>
      </c>
      <c r="K127" s="68">
        <v>1971</v>
      </c>
      <c r="L127" s="68">
        <v>1669</v>
      </c>
      <c r="M127" s="68">
        <v>113</v>
      </c>
      <c r="N127" s="68">
        <v>1066</v>
      </c>
      <c r="O127" s="68">
        <v>3904</v>
      </c>
      <c r="P127" s="68">
        <v>10985</v>
      </c>
      <c r="Q127" s="2"/>
      <c r="R127" s="2"/>
      <c r="S127" s="2"/>
      <c r="T127" s="2"/>
      <c r="U127" s="2"/>
      <c r="V127" s="2"/>
      <c r="W127" s="2"/>
      <c r="X127" s="2"/>
      <c r="Y127" s="2"/>
    </row>
    <row r="128" spans="1:25">
      <c r="A128" s="70" t="s">
        <v>13</v>
      </c>
      <c r="B128" s="2" t="s">
        <v>19</v>
      </c>
      <c r="C128" s="412">
        <f t="shared" si="16"/>
        <v>38.896551724137929</v>
      </c>
      <c r="D128" s="412">
        <f t="shared" si="17"/>
        <v>29.655172413793103</v>
      </c>
      <c r="E128" s="412">
        <f t="shared" si="18"/>
        <v>27.586206896551722</v>
      </c>
      <c r="F128" s="412">
        <f t="shared" si="19"/>
        <v>3.8620689655172415</v>
      </c>
      <c r="G128" s="412">
        <f t="shared" si="20"/>
        <v>0</v>
      </c>
      <c r="H128" s="412">
        <f t="shared" si="21"/>
        <v>0</v>
      </c>
      <c r="I128" s="412">
        <f t="shared" si="22"/>
        <v>100</v>
      </c>
      <c r="J128" s="409">
        <v>564</v>
      </c>
      <c r="K128" s="2">
        <v>430</v>
      </c>
      <c r="L128" s="2">
        <v>400</v>
      </c>
      <c r="M128" s="2">
        <v>56</v>
      </c>
      <c r="N128" s="2">
        <v>0</v>
      </c>
      <c r="O128" s="2">
        <v>0</v>
      </c>
      <c r="P128" s="2">
        <v>1450</v>
      </c>
      <c r="Q128" s="2"/>
      <c r="R128" s="2"/>
      <c r="S128" s="2"/>
      <c r="T128" s="2"/>
      <c r="U128" s="2"/>
      <c r="V128" s="2"/>
      <c r="W128" s="2"/>
      <c r="X128" s="2"/>
      <c r="Y128" s="2"/>
    </row>
    <row r="129" spans="1:25">
      <c r="A129" s="70"/>
      <c r="B129" s="2" t="s">
        <v>20</v>
      </c>
      <c r="C129" s="412" t="e">
        <f t="shared" si="16"/>
        <v>#DIV/0!</v>
      </c>
      <c r="D129" s="412" t="e">
        <f t="shared" si="17"/>
        <v>#DIV/0!</v>
      </c>
      <c r="E129" s="412" t="e">
        <f t="shared" si="18"/>
        <v>#DIV/0!</v>
      </c>
      <c r="F129" s="412" t="e">
        <f t="shared" si="19"/>
        <v>#DIV/0!</v>
      </c>
      <c r="G129" s="412" t="e">
        <f t="shared" si="20"/>
        <v>#DIV/0!</v>
      </c>
      <c r="H129" s="412" t="e">
        <f t="shared" si="21"/>
        <v>#DIV/0!</v>
      </c>
      <c r="I129" s="412" t="e">
        <f t="shared" si="22"/>
        <v>#DIV/0!</v>
      </c>
      <c r="J129" s="409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/>
      <c r="R129" s="2"/>
      <c r="S129" s="2"/>
      <c r="T129" s="2"/>
      <c r="U129" s="2"/>
      <c r="V129" s="2"/>
      <c r="W129" s="2"/>
      <c r="X129" s="2"/>
      <c r="Y129" s="2"/>
    </row>
    <row r="130" spans="1:25">
      <c r="A130" s="70"/>
      <c r="B130" s="2" t="s">
        <v>21</v>
      </c>
      <c r="C130" s="412">
        <f t="shared" si="16"/>
        <v>27.763496143958871</v>
      </c>
      <c r="D130" s="412">
        <f t="shared" si="17"/>
        <v>14.652956298200515</v>
      </c>
      <c r="E130" s="412">
        <f t="shared" si="18"/>
        <v>42.673521850899746</v>
      </c>
      <c r="F130" s="412">
        <f t="shared" si="19"/>
        <v>14.910025706940875</v>
      </c>
      <c r="G130" s="412">
        <f t="shared" si="20"/>
        <v>0</v>
      </c>
      <c r="H130" s="412">
        <f t="shared" si="21"/>
        <v>0</v>
      </c>
      <c r="I130" s="412">
        <f t="shared" si="22"/>
        <v>100</v>
      </c>
      <c r="J130" s="409">
        <v>108</v>
      </c>
      <c r="K130" s="2">
        <v>57</v>
      </c>
      <c r="L130" s="2">
        <v>166</v>
      </c>
      <c r="M130" s="2">
        <v>58</v>
      </c>
      <c r="N130" s="2">
        <v>0</v>
      </c>
      <c r="O130" s="2">
        <v>0</v>
      </c>
      <c r="P130" s="2">
        <v>389</v>
      </c>
      <c r="Q130" s="2"/>
      <c r="R130" s="2"/>
      <c r="S130" s="2"/>
      <c r="T130" s="2"/>
      <c r="U130" s="2"/>
      <c r="V130" s="2"/>
      <c r="W130" s="2"/>
      <c r="X130" s="2"/>
      <c r="Y130" s="2"/>
    </row>
    <row r="131" spans="1:25">
      <c r="A131" s="70"/>
      <c r="B131" s="2" t="s">
        <v>22</v>
      </c>
      <c r="C131" s="412">
        <f t="shared" si="16"/>
        <v>26.720647773279353</v>
      </c>
      <c r="D131" s="412">
        <f t="shared" si="17"/>
        <v>15.587044534412955</v>
      </c>
      <c r="E131" s="412">
        <f t="shared" si="18"/>
        <v>30.971659919028337</v>
      </c>
      <c r="F131" s="412">
        <f t="shared" si="19"/>
        <v>26.720647773279353</v>
      </c>
      <c r="G131" s="412">
        <f t="shared" si="20"/>
        <v>0</v>
      </c>
      <c r="H131" s="412">
        <f t="shared" si="21"/>
        <v>0</v>
      </c>
      <c r="I131" s="412">
        <f t="shared" si="22"/>
        <v>100</v>
      </c>
      <c r="J131" s="409">
        <v>132</v>
      </c>
      <c r="K131" s="2">
        <v>77</v>
      </c>
      <c r="L131" s="2">
        <v>153</v>
      </c>
      <c r="M131" s="2">
        <v>132</v>
      </c>
      <c r="N131" s="2">
        <v>0</v>
      </c>
      <c r="O131" s="2">
        <v>0</v>
      </c>
      <c r="P131" s="2">
        <v>494</v>
      </c>
      <c r="Q131" s="2"/>
      <c r="R131" s="2"/>
      <c r="S131" s="2"/>
      <c r="T131" s="2"/>
      <c r="U131" s="2"/>
      <c r="V131" s="2"/>
      <c r="W131" s="2"/>
      <c r="X131" s="2"/>
      <c r="Y131" s="2"/>
    </row>
    <row r="132" spans="1:25">
      <c r="A132" s="70"/>
      <c r="B132" s="2" t="s">
        <v>23</v>
      </c>
      <c r="C132" s="412">
        <f t="shared" si="16"/>
        <v>25.563909774436087</v>
      </c>
      <c r="D132" s="412">
        <f t="shared" si="17"/>
        <v>13.784461152882205</v>
      </c>
      <c r="E132" s="412">
        <f t="shared" si="18"/>
        <v>39.348370927318292</v>
      </c>
      <c r="F132" s="412">
        <f t="shared" si="19"/>
        <v>21.303258145363408</v>
      </c>
      <c r="G132" s="412">
        <f t="shared" si="20"/>
        <v>0</v>
      </c>
      <c r="H132" s="412">
        <f t="shared" si="21"/>
        <v>0</v>
      </c>
      <c r="I132" s="412">
        <f t="shared" si="22"/>
        <v>100</v>
      </c>
      <c r="J132" s="409">
        <v>102</v>
      </c>
      <c r="K132" s="2">
        <v>55</v>
      </c>
      <c r="L132" s="2">
        <v>157</v>
      </c>
      <c r="M132" s="2">
        <v>85</v>
      </c>
      <c r="N132" s="2">
        <v>0</v>
      </c>
      <c r="O132" s="2">
        <v>0</v>
      </c>
      <c r="P132" s="2">
        <v>399</v>
      </c>
      <c r="Q132" s="2"/>
      <c r="R132" s="2"/>
      <c r="S132" s="2"/>
      <c r="T132" s="2"/>
      <c r="U132" s="2"/>
      <c r="V132" s="2"/>
      <c r="W132" s="2"/>
      <c r="X132" s="2"/>
      <c r="Y132" s="2"/>
    </row>
    <row r="133" spans="1:25">
      <c r="A133" s="70"/>
      <c r="B133" s="2" t="s">
        <v>24</v>
      </c>
      <c r="C133" s="412">
        <f t="shared" si="16"/>
        <v>22.03856749311295</v>
      </c>
      <c r="D133" s="412">
        <f t="shared" si="17"/>
        <v>26.721763085399449</v>
      </c>
      <c r="E133" s="412">
        <f t="shared" si="18"/>
        <v>31.129476584022036</v>
      </c>
      <c r="F133" s="412">
        <f t="shared" si="19"/>
        <v>20.110192837465565</v>
      </c>
      <c r="G133" s="412">
        <f t="shared" si="20"/>
        <v>0</v>
      </c>
      <c r="H133" s="412">
        <f t="shared" si="21"/>
        <v>0</v>
      </c>
      <c r="I133" s="412">
        <f t="shared" si="22"/>
        <v>100</v>
      </c>
      <c r="J133" s="409">
        <v>80</v>
      </c>
      <c r="K133" s="2">
        <v>97</v>
      </c>
      <c r="L133" s="2">
        <v>113</v>
      </c>
      <c r="M133" s="2">
        <v>73</v>
      </c>
      <c r="N133" s="2">
        <v>0</v>
      </c>
      <c r="O133" s="2">
        <v>0</v>
      </c>
      <c r="P133" s="2">
        <v>363</v>
      </c>
      <c r="Q133" s="2"/>
      <c r="R133" s="2"/>
      <c r="S133" s="2"/>
      <c r="T133" s="2"/>
      <c r="U133" s="2"/>
      <c r="V133" s="2"/>
      <c r="W133" s="2"/>
      <c r="X133" s="2"/>
      <c r="Y133" s="2"/>
    </row>
    <row r="134" spans="1:25">
      <c r="A134" s="70"/>
      <c r="B134" s="5" t="s">
        <v>80</v>
      </c>
      <c r="C134" s="417">
        <f t="shared" si="16"/>
        <v>31.857835218093701</v>
      </c>
      <c r="D134" s="417">
        <f t="shared" si="17"/>
        <v>23.134087237479804</v>
      </c>
      <c r="E134" s="417">
        <f t="shared" si="18"/>
        <v>31.954765751211632</v>
      </c>
      <c r="F134" s="417">
        <f t="shared" si="19"/>
        <v>13.053311793214863</v>
      </c>
      <c r="G134" s="417">
        <f t="shared" si="20"/>
        <v>0</v>
      </c>
      <c r="H134" s="417">
        <f t="shared" si="21"/>
        <v>0</v>
      </c>
      <c r="I134" s="417">
        <f t="shared" si="22"/>
        <v>100</v>
      </c>
      <c r="J134" s="409">
        <f t="shared" ref="J134:P134" si="29">SUM(J128:J133)</f>
        <v>986</v>
      </c>
      <c r="K134" s="2">
        <f t="shared" si="29"/>
        <v>716</v>
      </c>
      <c r="L134" s="2">
        <f t="shared" si="29"/>
        <v>989</v>
      </c>
      <c r="M134" s="2">
        <f t="shared" si="29"/>
        <v>404</v>
      </c>
      <c r="N134" s="2">
        <f t="shared" si="29"/>
        <v>0</v>
      </c>
      <c r="O134" s="2">
        <f t="shared" si="29"/>
        <v>0</v>
      </c>
      <c r="P134" s="2">
        <f t="shared" si="29"/>
        <v>3095</v>
      </c>
      <c r="Q134" s="2"/>
      <c r="R134" s="2"/>
      <c r="S134" s="2"/>
      <c r="T134" s="2"/>
      <c r="U134" s="2"/>
      <c r="V134" s="2"/>
      <c r="W134" s="2"/>
      <c r="X134" s="2"/>
      <c r="Y134" s="2"/>
    </row>
    <row r="135" spans="1:25">
      <c r="A135" s="70"/>
      <c r="B135" s="2" t="s">
        <v>25</v>
      </c>
      <c r="C135" s="412">
        <f t="shared" si="16"/>
        <v>1.2048192771084338</v>
      </c>
      <c r="D135" s="412">
        <f t="shared" si="17"/>
        <v>1.1187607573149743</v>
      </c>
      <c r="E135" s="412">
        <f t="shared" si="18"/>
        <v>1.6351118760757317</v>
      </c>
      <c r="F135" s="412">
        <f t="shared" si="19"/>
        <v>1.2048192771084338</v>
      </c>
      <c r="G135" s="412">
        <f t="shared" si="20"/>
        <v>0</v>
      </c>
      <c r="H135" s="412">
        <f t="shared" si="21"/>
        <v>94.836488812392432</v>
      </c>
      <c r="I135" s="412">
        <f t="shared" si="22"/>
        <v>100</v>
      </c>
      <c r="J135" s="409">
        <v>14</v>
      </c>
      <c r="K135" s="2">
        <v>13</v>
      </c>
      <c r="L135" s="2">
        <v>19</v>
      </c>
      <c r="M135" s="2">
        <v>14</v>
      </c>
      <c r="N135" s="2">
        <v>0</v>
      </c>
      <c r="O135" s="2">
        <v>1102</v>
      </c>
      <c r="P135" s="2">
        <v>1162</v>
      </c>
      <c r="Q135" s="2"/>
      <c r="R135" s="2"/>
      <c r="S135" s="2"/>
      <c r="T135" s="2"/>
      <c r="U135" s="2"/>
      <c r="V135" s="2"/>
      <c r="W135" s="2"/>
      <c r="X135" s="2"/>
      <c r="Y135" s="2"/>
    </row>
    <row r="136" spans="1:25">
      <c r="A136" s="70"/>
      <c r="B136" s="2" t="s">
        <v>26</v>
      </c>
      <c r="C136" s="412" t="e">
        <f t="shared" si="16"/>
        <v>#DIV/0!</v>
      </c>
      <c r="D136" s="412" t="e">
        <f t="shared" si="17"/>
        <v>#DIV/0!</v>
      </c>
      <c r="E136" s="412" t="e">
        <f t="shared" si="18"/>
        <v>#DIV/0!</v>
      </c>
      <c r="F136" s="412" t="e">
        <f t="shared" si="19"/>
        <v>#DIV/0!</v>
      </c>
      <c r="G136" s="412" t="e">
        <f t="shared" si="20"/>
        <v>#DIV/0!</v>
      </c>
      <c r="H136" s="412" t="e">
        <f t="shared" si="21"/>
        <v>#DIV/0!</v>
      </c>
      <c r="I136" s="412" t="e">
        <f t="shared" si="22"/>
        <v>#DIV/0!</v>
      </c>
      <c r="J136" s="409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/>
      <c r="R136" s="2"/>
      <c r="S136" s="2"/>
      <c r="T136" s="2"/>
      <c r="U136" s="2"/>
      <c r="V136" s="2"/>
      <c r="W136" s="2"/>
      <c r="X136" s="2"/>
      <c r="Y136" s="2"/>
    </row>
    <row r="137" spans="1:25">
      <c r="A137" s="72"/>
      <c r="B137" s="69" t="s">
        <v>27</v>
      </c>
      <c r="C137" s="418">
        <f t="shared" ref="C137:C187" si="30">(J137/$P137)*100</f>
        <v>23.490721165139767</v>
      </c>
      <c r="D137" s="418">
        <f t="shared" ref="D137:D187" si="31">(K137/$P137)*100</f>
        <v>17.124735729386892</v>
      </c>
      <c r="E137" s="418">
        <f t="shared" ref="E137:E187" si="32">(L137/$P137)*100</f>
        <v>23.678646934460886</v>
      </c>
      <c r="F137" s="418">
        <f t="shared" ref="F137:F187" si="33">(M137/$P137)*100</f>
        <v>9.819121447028424</v>
      </c>
      <c r="G137" s="418">
        <f t="shared" ref="G137:G187" si="34">(N137/$P137)*100</f>
        <v>0</v>
      </c>
      <c r="H137" s="418">
        <f t="shared" ref="H137:H187" si="35">(O137/$P137)*100</f>
        <v>25.886774723984026</v>
      </c>
      <c r="I137" s="418">
        <f t="shared" ref="I137:I187" si="36">(P137/$P137)*100</f>
        <v>100</v>
      </c>
      <c r="J137" s="410">
        <v>1000</v>
      </c>
      <c r="K137" s="68">
        <v>729</v>
      </c>
      <c r="L137" s="68">
        <v>1008</v>
      </c>
      <c r="M137" s="68">
        <v>418</v>
      </c>
      <c r="N137" s="68">
        <v>0</v>
      </c>
      <c r="O137" s="68">
        <v>1102</v>
      </c>
      <c r="P137" s="68">
        <v>4257</v>
      </c>
      <c r="Q137" s="2"/>
      <c r="R137" s="2"/>
      <c r="S137" s="2"/>
      <c r="T137" s="2"/>
      <c r="U137" s="2"/>
      <c r="V137" s="2"/>
      <c r="W137" s="2"/>
      <c r="X137" s="2"/>
      <c r="Y137" s="2"/>
    </row>
    <row r="138" spans="1:25">
      <c r="A138" s="70" t="s">
        <v>14</v>
      </c>
      <c r="B138" s="2" t="s">
        <v>19</v>
      </c>
      <c r="C138" s="412">
        <f t="shared" si="30"/>
        <v>40.32882011605416</v>
      </c>
      <c r="D138" s="412">
        <f t="shared" si="31"/>
        <v>32.398452611218573</v>
      </c>
      <c r="E138" s="412">
        <f t="shared" si="32"/>
        <v>18.762088974854933</v>
      </c>
      <c r="F138" s="412">
        <f t="shared" si="33"/>
        <v>5.8027079303675047</v>
      </c>
      <c r="G138" s="412">
        <f t="shared" si="34"/>
        <v>2.7079303675048356</v>
      </c>
      <c r="H138" s="412">
        <f t="shared" si="35"/>
        <v>0</v>
      </c>
      <c r="I138" s="412">
        <f t="shared" si="36"/>
        <v>100</v>
      </c>
      <c r="J138" s="409">
        <v>417</v>
      </c>
      <c r="K138" s="2">
        <v>335</v>
      </c>
      <c r="L138" s="2">
        <v>194</v>
      </c>
      <c r="M138" s="2">
        <v>60</v>
      </c>
      <c r="N138" s="2">
        <v>28</v>
      </c>
      <c r="O138" s="2">
        <v>0</v>
      </c>
      <c r="P138" s="2">
        <v>1034</v>
      </c>
      <c r="Q138" s="2"/>
      <c r="R138" s="2"/>
      <c r="S138" s="2"/>
      <c r="T138" s="2"/>
      <c r="U138" s="2"/>
      <c r="V138" s="2"/>
      <c r="W138" s="2"/>
      <c r="X138" s="2"/>
      <c r="Y138" s="2"/>
    </row>
    <row r="139" spans="1:25">
      <c r="A139" s="70"/>
      <c r="B139" s="2" t="s">
        <v>20</v>
      </c>
      <c r="C139" s="412">
        <f t="shared" si="30"/>
        <v>36.953807740324592</v>
      </c>
      <c r="D139" s="412">
        <f t="shared" si="31"/>
        <v>27.965043695380775</v>
      </c>
      <c r="E139" s="412">
        <f t="shared" si="32"/>
        <v>23.845193508114857</v>
      </c>
      <c r="F139" s="412">
        <f t="shared" si="33"/>
        <v>5.2434456928838955</v>
      </c>
      <c r="G139" s="412">
        <f t="shared" si="34"/>
        <v>5.9925093632958806</v>
      </c>
      <c r="H139" s="412">
        <f t="shared" si="35"/>
        <v>0</v>
      </c>
      <c r="I139" s="412">
        <f t="shared" si="36"/>
        <v>100</v>
      </c>
      <c r="J139" s="409">
        <v>296</v>
      </c>
      <c r="K139" s="2">
        <v>224</v>
      </c>
      <c r="L139" s="2">
        <v>191</v>
      </c>
      <c r="M139" s="2">
        <v>42</v>
      </c>
      <c r="N139" s="2">
        <v>48</v>
      </c>
      <c r="O139" s="2">
        <v>0</v>
      </c>
      <c r="P139" s="2">
        <v>801</v>
      </c>
      <c r="Q139" s="2"/>
      <c r="R139" s="2"/>
      <c r="S139" s="2"/>
      <c r="T139" s="2"/>
      <c r="U139" s="2"/>
      <c r="V139" s="2"/>
      <c r="W139" s="2"/>
      <c r="X139" s="2"/>
      <c r="Y139" s="2"/>
    </row>
    <row r="140" spans="1:25">
      <c r="A140" s="70"/>
      <c r="B140" s="2" t="s">
        <v>21</v>
      </c>
      <c r="C140" s="412">
        <f t="shared" si="30"/>
        <v>30.165289256198346</v>
      </c>
      <c r="D140" s="412">
        <f t="shared" si="31"/>
        <v>32.231404958677686</v>
      </c>
      <c r="E140" s="412">
        <f t="shared" si="32"/>
        <v>28.925619834710741</v>
      </c>
      <c r="F140" s="412">
        <f t="shared" si="33"/>
        <v>7.8512396694214877</v>
      </c>
      <c r="G140" s="412">
        <f t="shared" si="34"/>
        <v>0.82644628099173556</v>
      </c>
      <c r="H140" s="412">
        <f t="shared" si="35"/>
        <v>0</v>
      </c>
      <c r="I140" s="412">
        <f t="shared" si="36"/>
        <v>100</v>
      </c>
      <c r="J140" s="409">
        <v>73</v>
      </c>
      <c r="K140" s="2">
        <v>78</v>
      </c>
      <c r="L140" s="2">
        <v>70</v>
      </c>
      <c r="M140" s="2">
        <v>19</v>
      </c>
      <c r="N140" s="2">
        <v>2</v>
      </c>
      <c r="O140" s="2">
        <v>0</v>
      </c>
      <c r="P140" s="2">
        <v>242</v>
      </c>
      <c r="Q140" s="2"/>
      <c r="R140" s="2"/>
      <c r="S140" s="2"/>
      <c r="T140" s="2"/>
      <c r="U140" s="2"/>
      <c r="V140" s="2"/>
      <c r="W140" s="2"/>
      <c r="X140" s="2"/>
      <c r="Y140" s="2"/>
    </row>
    <row r="141" spans="1:25">
      <c r="A141" s="70"/>
      <c r="B141" s="2" t="s">
        <v>22</v>
      </c>
      <c r="C141" s="412" t="e">
        <f t="shared" si="30"/>
        <v>#DIV/0!</v>
      </c>
      <c r="D141" s="412" t="e">
        <f t="shared" si="31"/>
        <v>#DIV/0!</v>
      </c>
      <c r="E141" s="412" t="e">
        <f t="shared" si="32"/>
        <v>#DIV/0!</v>
      </c>
      <c r="F141" s="412" t="e">
        <f t="shared" si="33"/>
        <v>#DIV/0!</v>
      </c>
      <c r="G141" s="412" t="e">
        <f t="shared" si="34"/>
        <v>#DIV/0!</v>
      </c>
      <c r="H141" s="412" t="e">
        <f t="shared" si="35"/>
        <v>#DIV/0!</v>
      </c>
      <c r="I141" s="412" t="e">
        <f t="shared" si="36"/>
        <v>#DIV/0!</v>
      </c>
      <c r="J141" s="409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/>
      <c r="R141" s="2"/>
      <c r="S141" s="2"/>
      <c r="T141" s="2"/>
      <c r="U141" s="2"/>
      <c r="V141" s="2"/>
      <c r="W141" s="2"/>
      <c r="X141" s="2"/>
      <c r="Y141" s="2"/>
    </row>
    <row r="142" spans="1:25">
      <c r="A142" s="70"/>
      <c r="B142" s="2" t="s">
        <v>23</v>
      </c>
      <c r="C142" s="412">
        <f t="shared" si="30"/>
        <v>28.796400449943761</v>
      </c>
      <c r="D142" s="412">
        <f t="shared" si="31"/>
        <v>28.796400449943761</v>
      </c>
      <c r="E142" s="412">
        <f t="shared" si="32"/>
        <v>29.133858267716533</v>
      </c>
      <c r="F142" s="412">
        <f t="shared" si="33"/>
        <v>10.46119235095613</v>
      </c>
      <c r="G142" s="412">
        <f t="shared" si="34"/>
        <v>2.8121484814398201</v>
      </c>
      <c r="H142" s="412">
        <f t="shared" si="35"/>
        <v>0</v>
      </c>
      <c r="I142" s="412">
        <f t="shared" si="36"/>
        <v>100</v>
      </c>
      <c r="J142" s="409">
        <v>256</v>
      </c>
      <c r="K142" s="2">
        <v>256</v>
      </c>
      <c r="L142" s="2">
        <v>259</v>
      </c>
      <c r="M142" s="2">
        <v>93</v>
      </c>
      <c r="N142" s="2">
        <v>25</v>
      </c>
      <c r="O142" s="2">
        <v>0</v>
      </c>
      <c r="P142" s="2">
        <v>889</v>
      </c>
      <c r="Q142" s="2"/>
      <c r="R142" s="2"/>
      <c r="S142" s="2"/>
      <c r="T142" s="2"/>
      <c r="U142" s="2"/>
      <c r="V142" s="2"/>
      <c r="W142" s="2"/>
      <c r="X142" s="2"/>
      <c r="Y142" s="2"/>
    </row>
    <row r="143" spans="1:25">
      <c r="A143" s="70"/>
      <c r="B143" s="2" t="s">
        <v>24</v>
      </c>
      <c r="C143" s="412">
        <f t="shared" si="30"/>
        <v>27.091633466135455</v>
      </c>
      <c r="D143" s="412">
        <f t="shared" si="31"/>
        <v>30.47808764940239</v>
      </c>
      <c r="E143" s="412">
        <f t="shared" si="32"/>
        <v>28.087649402390436</v>
      </c>
      <c r="F143" s="412">
        <f t="shared" si="33"/>
        <v>12.94820717131474</v>
      </c>
      <c r="G143" s="412">
        <f t="shared" si="34"/>
        <v>1.394422310756972</v>
      </c>
      <c r="H143" s="412">
        <f t="shared" si="35"/>
        <v>0</v>
      </c>
      <c r="I143" s="412">
        <f t="shared" si="36"/>
        <v>100</v>
      </c>
      <c r="J143" s="409">
        <v>136</v>
      </c>
      <c r="K143" s="2">
        <v>153</v>
      </c>
      <c r="L143" s="2">
        <v>141</v>
      </c>
      <c r="M143" s="2">
        <v>65</v>
      </c>
      <c r="N143" s="2">
        <v>7</v>
      </c>
      <c r="O143" s="2">
        <v>0</v>
      </c>
      <c r="P143" s="2">
        <v>502</v>
      </c>
      <c r="Q143" s="2"/>
      <c r="R143" s="2"/>
      <c r="S143" s="2"/>
      <c r="T143" s="2"/>
      <c r="U143" s="2"/>
      <c r="V143" s="2"/>
      <c r="W143" s="2"/>
      <c r="X143" s="2"/>
      <c r="Y143" s="2"/>
    </row>
    <row r="144" spans="1:25">
      <c r="A144" s="70"/>
      <c r="B144" s="5" t="s">
        <v>80</v>
      </c>
      <c r="C144" s="417">
        <f t="shared" si="30"/>
        <v>33.967704728950402</v>
      </c>
      <c r="D144" s="417">
        <f t="shared" si="31"/>
        <v>30.161476355247981</v>
      </c>
      <c r="E144" s="417">
        <f t="shared" si="32"/>
        <v>24.653979238754324</v>
      </c>
      <c r="F144" s="417">
        <f t="shared" si="33"/>
        <v>8.0449826989619382</v>
      </c>
      <c r="G144" s="417">
        <f t="shared" si="34"/>
        <v>3.1718569780853514</v>
      </c>
      <c r="H144" s="417">
        <f t="shared" si="35"/>
        <v>0</v>
      </c>
      <c r="I144" s="417">
        <f t="shared" si="36"/>
        <v>100</v>
      </c>
      <c r="J144" s="409">
        <f t="shared" ref="J144:P144" si="37">SUM(J138:J143)</f>
        <v>1178</v>
      </c>
      <c r="K144" s="2">
        <f t="shared" si="37"/>
        <v>1046</v>
      </c>
      <c r="L144" s="2">
        <f t="shared" si="37"/>
        <v>855</v>
      </c>
      <c r="M144" s="2">
        <f t="shared" si="37"/>
        <v>279</v>
      </c>
      <c r="N144" s="2">
        <f t="shared" si="37"/>
        <v>110</v>
      </c>
      <c r="O144" s="2">
        <f t="shared" si="37"/>
        <v>0</v>
      </c>
      <c r="P144" s="2">
        <f t="shared" si="37"/>
        <v>3468</v>
      </c>
      <c r="Q144" s="2"/>
      <c r="R144" s="2"/>
      <c r="S144" s="2"/>
      <c r="T144" s="2"/>
      <c r="U144" s="2"/>
      <c r="V144" s="2"/>
      <c r="W144" s="2"/>
      <c r="X144" s="2"/>
      <c r="Y144" s="2"/>
    </row>
    <row r="145" spans="1:25">
      <c r="A145" s="70"/>
      <c r="B145" s="2" t="s">
        <v>25</v>
      </c>
      <c r="C145" s="412">
        <f t="shared" si="30"/>
        <v>2.6119402985074625</v>
      </c>
      <c r="D145" s="412">
        <f t="shared" si="31"/>
        <v>2.6119402985074625</v>
      </c>
      <c r="E145" s="412">
        <f t="shared" si="32"/>
        <v>1.4303482587064678</v>
      </c>
      <c r="F145" s="412">
        <f t="shared" si="33"/>
        <v>60.572139303482587</v>
      </c>
      <c r="G145" s="412">
        <f t="shared" si="34"/>
        <v>32.773631840796021</v>
      </c>
      <c r="H145" s="412">
        <f t="shared" si="35"/>
        <v>0</v>
      </c>
      <c r="I145" s="412">
        <f t="shared" si="36"/>
        <v>100</v>
      </c>
      <c r="J145" s="409">
        <v>42</v>
      </c>
      <c r="K145" s="2">
        <v>42</v>
      </c>
      <c r="L145" s="2">
        <v>23</v>
      </c>
      <c r="M145" s="2">
        <v>974</v>
      </c>
      <c r="N145" s="2">
        <v>527</v>
      </c>
      <c r="O145" s="2">
        <v>0</v>
      </c>
      <c r="P145" s="2">
        <v>1608</v>
      </c>
      <c r="Q145" s="2"/>
      <c r="R145" s="2"/>
      <c r="S145" s="2"/>
      <c r="T145" s="2"/>
      <c r="U145" s="2"/>
      <c r="V145" s="2"/>
      <c r="W145" s="2"/>
      <c r="X145" s="2"/>
      <c r="Y145" s="2"/>
    </row>
    <row r="146" spans="1:25">
      <c r="A146" s="70"/>
      <c r="B146" s="2" t="s">
        <v>26</v>
      </c>
      <c r="C146" s="412" t="e">
        <f t="shared" si="30"/>
        <v>#DIV/0!</v>
      </c>
      <c r="D146" s="412" t="e">
        <f t="shared" si="31"/>
        <v>#DIV/0!</v>
      </c>
      <c r="E146" s="412" t="e">
        <f t="shared" si="32"/>
        <v>#DIV/0!</v>
      </c>
      <c r="F146" s="412" t="e">
        <f t="shared" si="33"/>
        <v>#DIV/0!</v>
      </c>
      <c r="G146" s="412" t="e">
        <f t="shared" si="34"/>
        <v>#DIV/0!</v>
      </c>
      <c r="H146" s="412" t="e">
        <f t="shared" si="35"/>
        <v>#DIV/0!</v>
      </c>
      <c r="I146" s="412" t="e">
        <f t="shared" si="36"/>
        <v>#DIV/0!</v>
      </c>
      <c r="J146" s="409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/>
      <c r="R146" s="2"/>
      <c r="S146" s="2"/>
      <c r="T146" s="2"/>
      <c r="U146" s="2"/>
      <c r="V146" s="2"/>
      <c r="W146" s="2"/>
      <c r="X146" s="2"/>
      <c r="Y146" s="2"/>
    </row>
    <row r="147" spans="1:25">
      <c r="A147" s="72"/>
      <c r="B147" s="69" t="s">
        <v>27</v>
      </c>
      <c r="C147" s="418">
        <f t="shared" si="30"/>
        <v>24.034672970843186</v>
      </c>
      <c r="D147" s="418">
        <f t="shared" si="31"/>
        <v>21.434200157604412</v>
      </c>
      <c r="E147" s="418">
        <f t="shared" si="32"/>
        <v>17.297084318360913</v>
      </c>
      <c r="F147" s="418">
        <f t="shared" si="33"/>
        <v>24.684791174152878</v>
      </c>
      <c r="G147" s="418">
        <f t="shared" si="34"/>
        <v>12.549251379038612</v>
      </c>
      <c r="H147" s="418">
        <f t="shared" si="35"/>
        <v>0</v>
      </c>
      <c r="I147" s="418">
        <f t="shared" si="36"/>
        <v>100</v>
      </c>
      <c r="J147" s="410">
        <v>1220</v>
      </c>
      <c r="K147" s="68">
        <v>1088</v>
      </c>
      <c r="L147" s="68">
        <v>878</v>
      </c>
      <c r="M147" s="68">
        <v>1253</v>
      </c>
      <c r="N147" s="68">
        <v>637</v>
      </c>
      <c r="O147" s="68">
        <v>0</v>
      </c>
      <c r="P147" s="68">
        <v>5076</v>
      </c>
      <c r="Q147" s="2"/>
      <c r="R147" s="2"/>
      <c r="S147" s="2"/>
      <c r="T147" s="2"/>
      <c r="U147" s="2"/>
      <c r="V147" s="2"/>
      <c r="W147" s="2"/>
      <c r="X147" s="2"/>
      <c r="Y147" s="2"/>
    </row>
    <row r="148" spans="1:25">
      <c r="A148" s="70" t="s">
        <v>15</v>
      </c>
      <c r="B148" s="2" t="s">
        <v>19</v>
      </c>
      <c r="C148" s="412">
        <f t="shared" si="30"/>
        <v>46.971027216856889</v>
      </c>
      <c r="D148" s="412">
        <f t="shared" si="31"/>
        <v>28.53380158033363</v>
      </c>
      <c r="E148" s="412">
        <f t="shared" si="32"/>
        <v>17.734855136084285</v>
      </c>
      <c r="F148" s="412">
        <f t="shared" si="33"/>
        <v>5.7067603160667248</v>
      </c>
      <c r="G148" s="412">
        <f t="shared" si="34"/>
        <v>1.0535557506584723</v>
      </c>
      <c r="H148" s="412">
        <f t="shared" si="35"/>
        <v>0</v>
      </c>
      <c r="I148" s="412">
        <f t="shared" si="36"/>
        <v>100</v>
      </c>
      <c r="J148" s="409">
        <v>535</v>
      </c>
      <c r="K148" s="2">
        <v>325</v>
      </c>
      <c r="L148" s="2">
        <v>202</v>
      </c>
      <c r="M148" s="2">
        <v>65</v>
      </c>
      <c r="N148" s="2">
        <v>12</v>
      </c>
      <c r="O148" s="2">
        <v>0</v>
      </c>
      <c r="P148" s="2">
        <v>1139</v>
      </c>
      <c r="Q148" s="2"/>
      <c r="R148" s="2"/>
      <c r="S148" s="2"/>
      <c r="T148" s="2"/>
      <c r="U148" s="2"/>
      <c r="V148" s="2"/>
      <c r="W148" s="2"/>
      <c r="X148" s="2"/>
      <c r="Y148" s="2"/>
    </row>
    <row r="149" spans="1:25">
      <c r="A149" s="70"/>
      <c r="B149" s="2" t="s">
        <v>20</v>
      </c>
      <c r="C149" s="412">
        <f t="shared" si="30"/>
        <v>36.56509695290859</v>
      </c>
      <c r="D149" s="412">
        <f t="shared" si="31"/>
        <v>26.869806094182824</v>
      </c>
      <c r="E149" s="412">
        <f t="shared" si="32"/>
        <v>26.73130193905817</v>
      </c>
      <c r="F149" s="412">
        <f t="shared" si="33"/>
        <v>9.8337950138504162</v>
      </c>
      <c r="G149" s="412">
        <f t="shared" si="34"/>
        <v>0</v>
      </c>
      <c r="H149" s="412">
        <f t="shared" si="35"/>
        <v>0</v>
      </c>
      <c r="I149" s="412">
        <f t="shared" si="36"/>
        <v>100</v>
      </c>
      <c r="J149" s="409">
        <v>264</v>
      </c>
      <c r="K149" s="2">
        <v>194</v>
      </c>
      <c r="L149" s="2">
        <v>193</v>
      </c>
      <c r="M149" s="2">
        <v>71</v>
      </c>
      <c r="N149" s="2">
        <v>0</v>
      </c>
      <c r="O149" s="2">
        <v>0</v>
      </c>
      <c r="P149" s="2">
        <v>722</v>
      </c>
      <c r="Q149" s="2"/>
      <c r="R149" s="2"/>
      <c r="S149" s="2"/>
      <c r="T149" s="2"/>
      <c r="U149" s="2"/>
      <c r="V149" s="2"/>
      <c r="W149" s="2"/>
      <c r="X149" s="2"/>
      <c r="Y149" s="2"/>
    </row>
    <row r="150" spans="1:25">
      <c r="A150" s="70"/>
      <c r="B150" s="2" t="s">
        <v>21</v>
      </c>
      <c r="C150" s="412">
        <f t="shared" si="30"/>
        <v>30.630630630630627</v>
      </c>
      <c r="D150" s="412">
        <f t="shared" si="31"/>
        <v>25.571725571725572</v>
      </c>
      <c r="E150" s="412">
        <f t="shared" si="32"/>
        <v>31.878031878031877</v>
      </c>
      <c r="F150" s="412">
        <f t="shared" si="33"/>
        <v>11.919611919611919</v>
      </c>
      <c r="G150" s="412">
        <f t="shared" si="34"/>
        <v>0</v>
      </c>
      <c r="H150" s="412">
        <f t="shared" si="35"/>
        <v>0</v>
      </c>
      <c r="I150" s="412">
        <f t="shared" si="36"/>
        <v>100</v>
      </c>
      <c r="J150" s="409">
        <v>442</v>
      </c>
      <c r="K150" s="2">
        <v>369</v>
      </c>
      <c r="L150" s="2">
        <v>460</v>
      </c>
      <c r="M150" s="2">
        <v>172</v>
      </c>
      <c r="N150" s="2">
        <v>0</v>
      </c>
      <c r="O150" s="2">
        <v>0</v>
      </c>
      <c r="P150" s="2">
        <v>1443</v>
      </c>
      <c r="Q150" s="2"/>
      <c r="R150" s="2"/>
      <c r="S150" s="2"/>
      <c r="T150" s="2"/>
      <c r="U150" s="2"/>
      <c r="V150" s="2"/>
      <c r="W150" s="2"/>
      <c r="X150" s="2"/>
      <c r="Y150" s="2"/>
    </row>
    <row r="151" spans="1:25">
      <c r="A151" s="70"/>
      <c r="B151" s="2" t="s">
        <v>22</v>
      </c>
      <c r="C151" s="412">
        <f t="shared" si="30"/>
        <v>38.677130044843047</v>
      </c>
      <c r="D151" s="412">
        <f t="shared" si="31"/>
        <v>22.982062780269057</v>
      </c>
      <c r="E151" s="412">
        <f t="shared" si="32"/>
        <v>31.502242152466369</v>
      </c>
      <c r="F151" s="412">
        <f t="shared" si="33"/>
        <v>6.8385650224215251</v>
      </c>
      <c r="G151" s="412">
        <f t="shared" si="34"/>
        <v>0</v>
      </c>
      <c r="H151" s="412">
        <f t="shared" si="35"/>
        <v>0</v>
      </c>
      <c r="I151" s="412">
        <f t="shared" si="36"/>
        <v>100</v>
      </c>
      <c r="J151" s="409">
        <v>345</v>
      </c>
      <c r="K151" s="2">
        <v>205</v>
      </c>
      <c r="L151" s="2">
        <v>281</v>
      </c>
      <c r="M151" s="2">
        <v>61</v>
      </c>
      <c r="N151" s="2">
        <v>0</v>
      </c>
      <c r="O151" s="2">
        <v>0</v>
      </c>
      <c r="P151" s="2">
        <v>892</v>
      </c>
      <c r="Q151" s="2"/>
      <c r="R151" s="2"/>
      <c r="S151" s="2"/>
      <c r="T151" s="2"/>
      <c r="U151" s="2"/>
      <c r="V151" s="2"/>
      <c r="W151" s="2"/>
      <c r="X151" s="2"/>
      <c r="Y151" s="2"/>
    </row>
    <row r="152" spans="1:25">
      <c r="A152" s="70"/>
      <c r="B152" s="2" t="s">
        <v>23</v>
      </c>
      <c r="C152" s="412">
        <f t="shared" si="30"/>
        <v>45.777777777777779</v>
      </c>
      <c r="D152" s="412">
        <f t="shared" si="31"/>
        <v>25.333333333333336</v>
      </c>
      <c r="E152" s="412">
        <f t="shared" si="32"/>
        <v>21.333333333333336</v>
      </c>
      <c r="F152" s="412">
        <f t="shared" si="33"/>
        <v>7.5555555555555554</v>
      </c>
      <c r="G152" s="412">
        <f t="shared" si="34"/>
        <v>0</v>
      </c>
      <c r="H152" s="412">
        <f t="shared" si="35"/>
        <v>0</v>
      </c>
      <c r="I152" s="412">
        <f t="shared" si="36"/>
        <v>100</v>
      </c>
      <c r="J152" s="409">
        <v>103</v>
      </c>
      <c r="K152" s="2">
        <v>57</v>
      </c>
      <c r="L152" s="2">
        <v>48</v>
      </c>
      <c r="M152" s="2">
        <v>17</v>
      </c>
      <c r="N152" s="2">
        <v>0</v>
      </c>
      <c r="O152" s="2">
        <v>0</v>
      </c>
      <c r="P152" s="2">
        <v>225</v>
      </c>
      <c r="Q152" s="2"/>
      <c r="R152" s="2"/>
      <c r="S152" s="2"/>
      <c r="T152" s="2"/>
      <c r="U152" s="2"/>
      <c r="V152" s="2"/>
      <c r="W152" s="2"/>
      <c r="X152" s="2"/>
      <c r="Y152" s="2"/>
    </row>
    <row r="153" spans="1:25">
      <c r="A153" s="70"/>
      <c r="B153" s="2" t="s">
        <v>24</v>
      </c>
      <c r="C153" s="412" t="e">
        <f t="shared" si="30"/>
        <v>#DIV/0!</v>
      </c>
      <c r="D153" s="412" t="e">
        <f t="shared" si="31"/>
        <v>#DIV/0!</v>
      </c>
      <c r="E153" s="412" t="e">
        <f t="shared" si="32"/>
        <v>#DIV/0!</v>
      </c>
      <c r="F153" s="412" t="e">
        <f t="shared" si="33"/>
        <v>#DIV/0!</v>
      </c>
      <c r="G153" s="412" t="e">
        <f t="shared" si="34"/>
        <v>#DIV/0!</v>
      </c>
      <c r="H153" s="412" t="e">
        <f t="shared" si="35"/>
        <v>#DIV/0!</v>
      </c>
      <c r="I153" s="412" t="e">
        <f t="shared" si="36"/>
        <v>#DIV/0!</v>
      </c>
      <c r="J153" s="409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/>
      <c r="R153" s="2"/>
      <c r="S153" s="2"/>
      <c r="T153" s="2"/>
      <c r="U153" s="2"/>
      <c r="V153" s="2"/>
      <c r="W153" s="2"/>
      <c r="X153" s="2"/>
      <c r="Y153" s="2"/>
    </row>
    <row r="154" spans="1:25">
      <c r="A154" s="70"/>
      <c r="B154" s="5" t="s">
        <v>80</v>
      </c>
      <c r="C154" s="417">
        <f t="shared" si="30"/>
        <v>38.2040262384076</v>
      </c>
      <c r="D154" s="417">
        <f t="shared" si="31"/>
        <v>26.012214431124182</v>
      </c>
      <c r="E154" s="417">
        <f t="shared" si="32"/>
        <v>26.781271205609592</v>
      </c>
      <c r="F154" s="417">
        <f t="shared" si="33"/>
        <v>8.7310563220990716</v>
      </c>
      <c r="G154" s="417">
        <f t="shared" si="34"/>
        <v>0.2714318027595567</v>
      </c>
      <c r="H154" s="417">
        <f t="shared" si="35"/>
        <v>0</v>
      </c>
      <c r="I154" s="417">
        <f t="shared" si="36"/>
        <v>100</v>
      </c>
      <c r="J154" s="409">
        <f t="shared" ref="J154:P154" si="38">SUM(J148:J153)</f>
        <v>1689</v>
      </c>
      <c r="K154" s="2">
        <f t="shared" si="38"/>
        <v>1150</v>
      </c>
      <c r="L154" s="2">
        <f t="shared" si="38"/>
        <v>1184</v>
      </c>
      <c r="M154" s="2">
        <f t="shared" si="38"/>
        <v>386</v>
      </c>
      <c r="N154" s="2">
        <f t="shared" si="38"/>
        <v>12</v>
      </c>
      <c r="O154" s="2">
        <f t="shared" si="38"/>
        <v>0</v>
      </c>
      <c r="P154" s="2">
        <f t="shared" si="38"/>
        <v>4421</v>
      </c>
      <c r="Q154" s="2"/>
      <c r="R154" s="2"/>
      <c r="S154" s="2"/>
      <c r="T154" s="2"/>
      <c r="U154" s="2"/>
      <c r="V154" s="2"/>
      <c r="W154" s="2"/>
      <c r="X154" s="2"/>
      <c r="Y154" s="2"/>
    </row>
    <row r="155" spans="1:25">
      <c r="A155" s="70"/>
      <c r="B155" s="2" t="s">
        <v>25</v>
      </c>
      <c r="C155" s="412">
        <f t="shared" si="30"/>
        <v>9.6078431372549034</v>
      </c>
      <c r="D155" s="412">
        <f t="shared" si="31"/>
        <v>36.33986928104575</v>
      </c>
      <c r="E155" s="412">
        <f t="shared" si="32"/>
        <v>26.274509803921571</v>
      </c>
      <c r="F155" s="412">
        <f t="shared" si="33"/>
        <v>26.535947712418302</v>
      </c>
      <c r="G155" s="412">
        <f t="shared" si="34"/>
        <v>0</v>
      </c>
      <c r="H155" s="412">
        <f t="shared" si="35"/>
        <v>1.2418300653594772</v>
      </c>
      <c r="I155" s="412">
        <f t="shared" si="36"/>
        <v>100</v>
      </c>
      <c r="J155" s="409">
        <v>147</v>
      </c>
      <c r="K155" s="2">
        <v>556</v>
      </c>
      <c r="L155" s="2">
        <v>402</v>
      </c>
      <c r="M155" s="2">
        <v>406</v>
      </c>
      <c r="N155" s="2">
        <v>0</v>
      </c>
      <c r="O155" s="2">
        <v>19</v>
      </c>
      <c r="P155" s="2">
        <v>1530</v>
      </c>
      <c r="Q155" s="2"/>
      <c r="R155" s="2"/>
      <c r="S155" s="2"/>
      <c r="T155" s="2"/>
      <c r="U155" s="2"/>
      <c r="V155" s="2"/>
      <c r="W155" s="2"/>
      <c r="X155" s="2"/>
      <c r="Y155" s="2"/>
    </row>
    <row r="156" spans="1:25">
      <c r="A156" s="70"/>
      <c r="B156" s="2" t="s">
        <v>26</v>
      </c>
      <c r="C156" s="412">
        <f t="shared" si="30"/>
        <v>0</v>
      </c>
      <c r="D156" s="412">
        <f t="shared" si="31"/>
        <v>0</v>
      </c>
      <c r="E156" s="412">
        <f t="shared" si="32"/>
        <v>0</v>
      </c>
      <c r="F156" s="412">
        <f t="shared" si="33"/>
        <v>39.192399049881232</v>
      </c>
      <c r="G156" s="412">
        <f t="shared" si="34"/>
        <v>60.807600950118768</v>
      </c>
      <c r="H156" s="412">
        <f t="shared" si="35"/>
        <v>0</v>
      </c>
      <c r="I156" s="412">
        <f t="shared" si="36"/>
        <v>100</v>
      </c>
      <c r="J156" s="409">
        <v>0</v>
      </c>
      <c r="K156" s="2">
        <v>0</v>
      </c>
      <c r="L156" s="2">
        <v>0</v>
      </c>
      <c r="M156" s="2">
        <v>165</v>
      </c>
      <c r="N156" s="2">
        <v>256</v>
      </c>
      <c r="O156" s="2">
        <v>0</v>
      </c>
      <c r="P156" s="2">
        <v>421</v>
      </c>
      <c r="Q156" s="2"/>
      <c r="R156" s="2"/>
      <c r="S156" s="2"/>
      <c r="T156" s="2"/>
      <c r="U156" s="2"/>
      <c r="V156" s="2"/>
      <c r="W156" s="2"/>
      <c r="X156" s="2"/>
      <c r="Y156" s="2"/>
    </row>
    <row r="157" spans="1:25">
      <c r="A157" s="72"/>
      <c r="B157" s="69" t="s">
        <v>27</v>
      </c>
      <c r="C157" s="418">
        <f t="shared" si="30"/>
        <v>28.8135593220339</v>
      </c>
      <c r="D157" s="418">
        <f t="shared" si="31"/>
        <v>26.773383553044571</v>
      </c>
      <c r="E157" s="418">
        <f t="shared" si="32"/>
        <v>24.890144381669803</v>
      </c>
      <c r="F157" s="418">
        <f t="shared" si="33"/>
        <v>15.018832391713749</v>
      </c>
      <c r="G157" s="418">
        <f t="shared" si="34"/>
        <v>4.205900816070308</v>
      </c>
      <c r="H157" s="418">
        <f t="shared" si="35"/>
        <v>0.29817953546767106</v>
      </c>
      <c r="I157" s="418">
        <f t="shared" si="36"/>
        <v>100</v>
      </c>
      <c r="J157" s="410">
        <v>1836</v>
      </c>
      <c r="K157" s="68">
        <v>1706</v>
      </c>
      <c r="L157" s="68">
        <v>1586</v>
      </c>
      <c r="M157" s="68">
        <v>957</v>
      </c>
      <c r="N157" s="68">
        <v>268</v>
      </c>
      <c r="O157" s="68">
        <v>19</v>
      </c>
      <c r="P157" s="68">
        <v>6372</v>
      </c>
      <c r="Q157" s="2"/>
      <c r="R157" s="2"/>
      <c r="S157" s="2"/>
      <c r="T157" s="2"/>
      <c r="U157" s="2"/>
      <c r="V157" s="2"/>
      <c r="W157" s="2"/>
      <c r="X157" s="2"/>
      <c r="Y157" s="2"/>
    </row>
    <row r="158" spans="1:25">
      <c r="A158" s="70" t="s">
        <v>16</v>
      </c>
      <c r="B158" s="2" t="s">
        <v>19</v>
      </c>
      <c r="C158" s="412">
        <f t="shared" si="30"/>
        <v>40.694401000938377</v>
      </c>
      <c r="D158" s="412">
        <f t="shared" si="31"/>
        <v>26.227713481388804</v>
      </c>
      <c r="E158" s="412">
        <f t="shared" si="32"/>
        <v>24.679386925242415</v>
      </c>
      <c r="F158" s="412">
        <f t="shared" si="33"/>
        <v>1.7985611510791366</v>
      </c>
      <c r="G158" s="412">
        <f t="shared" si="34"/>
        <v>6.5999374413512673</v>
      </c>
      <c r="H158" s="412">
        <f t="shared" si="35"/>
        <v>0</v>
      </c>
      <c r="I158" s="412">
        <f t="shared" si="36"/>
        <v>100</v>
      </c>
      <c r="J158" s="411">
        <v>2602</v>
      </c>
      <c r="K158" s="2">
        <v>1677</v>
      </c>
      <c r="L158" s="2">
        <v>1578</v>
      </c>
      <c r="M158" s="2">
        <v>115</v>
      </c>
      <c r="N158" s="2">
        <v>422</v>
      </c>
      <c r="O158" s="2">
        <v>0</v>
      </c>
      <c r="P158" s="2">
        <v>6394</v>
      </c>
      <c r="Q158" s="2"/>
      <c r="R158" s="2"/>
      <c r="S158" s="2"/>
      <c r="T158" s="2"/>
      <c r="U158" s="2"/>
      <c r="V158" s="2"/>
      <c r="W158" s="2"/>
      <c r="X158" s="2"/>
      <c r="Y158" s="2"/>
    </row>
    <row r="159" spans="1:25">
      <c r="A159" s="70"/>
      <c r="B159" s="2" t="s">
        <v>20</v>
      </c>
      <c r="C159" s="412">
        <f t="shared" si="30"/>
        <v>33.619631901840492</v>
      </c>
      <c r="D159" s="412">
        <f t="shared" si="31"/>
        <v>34.601226993865033</v>
      </c>
      <c r="E159" s="412">
        <f t="shared" si="32"/>
        <v>24.049079754601227</v>
      </c>
      <c r="F159" s="412">
        <f t="shared" si="33"/>
        <v>0.1226993865030675</v>
      </c>
      <c r="G159" s="412">
        <f t="shared" si="34"/>
        <v>7.6073619631901845</v>
      </c>
      <c r="H159" s="412">
        <f t="shared" si="35"/>
        <v>0</v>
      </c>
      <c r="I159" s="412">
        <f t="shared" si="36"/>
        <v>100</v>
      </c>
      <c r="J159" s="411">
        <v>274</v>
      </c>
      <c r="K159" s="2">
        <v>282</v>
      </c>
      <c r="L159" s="2">
        <v>196</v>
      </c>
      <c r="M159" s="2">
        <v>1</v>
      </c>
      <c r="N159" s="2">
        <v>62</v>
      </c>
      <c r="O159" s="2">
        <v>0</v>
      </c>
      <c r="P159" s="2">
        <v>815</v>
      </c>
      <c r="Q159" s="2"/>
      <c r="R159" s="2"/>
      <c r="S159" s="2"/>
      <c r="T159" s="2"/>
      <c r="U159" s="2"/>
      <c r="V159" s="2"/>
      <c r="W159" s="2"/>
      <c r="X159" s="2"/>
      <c r="Y159" s="2"/>
    </row>
    <row r="160" spans="1:25">
      <c r="A160" s="70"/>
      <c r="B160" s="2" t="s">
        <v>21</v>
      </c>
      <c r="C160" s="412">
        <f t="shared" si="30"/>
        <v>29.640427599611275</v>
      </c>
      <c r="D160" s="412">
        <f t="shared" si="31"/>
        <v>24.392614188532555</v>
      </c>
      <c r="E160" s="412">
        <f t="shared" si="32"/>
        <v>28.984450923226433</v>
      </c>
      <c r="F160" s="412">
        <f t="shared" si="33"/>
        <v>9.6695821185617099</v>
      </c>
      <c r="G160" s="412">
        <f t="shared" si="34"/>
        <v>7.3129251700680271</v>
      </c>
      <c r="H160" s="412">
        <f t="shared" si="35"/>
        <v>0</v>
      </c>
      <c r="I160" s="412">
        <f t="shared" si="36"/>
        <v>100</v>
      </c>
      <c r="J160" s="411">
        <v>1220</v>
      </c>
      <c r="K160" s="2">
        <v>1004</v>
      </c>
      <c r="L160" s="2">
        <v>1193</v>
      </c>
      <c r="M160" s="2">
        <v>398</v>
      </c>
      <c r="N160" s="2">
        <v>301</v>
      </c>
      <c r="O160" s="2">
        <v>0</v>
      </c>
      <c r="P160" s="2">
        <v>4116</v>
      </c>
      <c r="Q160" s="2"/>
      <c r="R160" s="2"/>
      <c r="S160" s="2"/>
      <c r="T160" s="2"/>
      <c r="U160" s="2"/>
      <c r="V160" s="2"/>
      <c r="W160" s="2"/>
      <c r="X160" s="2"/>
      <c r="Y160" s="2"/>
    </row>
    <row r="161" spans="1:25">
      <c r="A161" s="70"/>
      <c r="B161" s="2" t="s">
        <v>22</v>
      </c>
      <c r="C161" s="412">
        <f t="shared" si="30"/>
        <v>25</v>
      </c>
      <c r="D161" s="412">
        <f t="shared" si="31"/>
        <v>23.983050847457626</v>
      </c>
      <c r="E161" s="412">
        <f t="shared" si="32"/>
        <v>28.8135593220339</v>
      </c>
      <c r="F161" s="412">
        <f t="shared" si="33"/>
        <v>21.1864406779661</v>
      </c>
      <c r="G161" s="412">
        <f t="shared" si="34"/>
        <v>1.0169491525423728</v>
      </c>
      <c r="H161" s="412">
        <f t="shared" si="35"/>
        <v>0</v>
      </c>
      <c r="I161" s="412">
        <f t="shared" si="36"/>
        <v>100</v>
      </c>
      <c r="J161" s="411">
        <v>295</v>
      </c>
      <c r="K161" s="2">
        <v>283</v>
      </c>
      <c r="L161" s="2">
        <v>340</v>
      </c>
      <c r="M161" s="2">
        <v>250</v>
      </c>
      <c r="N161" s="2">
        <v>12</v>
      </c>
      <c r="O161" s="2">
        <v>0</v>
      </c>
      <c r="P161" s="2">
        <v>1180</v>
      </c>
      <c r="Q161" s="2"/>
      <c r="R161" s="2"/>
      <c r="S161" s="2"/>
      <c r="T161" s="2"/>
      <c r="U161" s="2"/>
      <c r="V161" s="2"/>
      <c r="W161" s="2"/>
      <c r="X161" s="2"/>
      <c r="Y161" s="2"/>
    </row>
    <row r="162" spans="1:25">
      <c r="A162" s="70"/>
      <c r="B162" s="2" t="s">
        <v>23</v>
      </c>
      <c r="C162" s="412">
        <f t="shared" si="30"/>
        <v>15.891472868217054</v>
      </c>
      <c r="D162" s="412">
        <f t="shared" si="31"/>
        <v>24.418604651162788</v>
      </c>
      <c r="E162" s="412">
        <f t="shared" si="32"/>
        <v>43.410852713178294</v>
      </c>
      <c r="F162" s="412">
        <f t="shared" si="33"/>
        <v>12.015503875968992</v>
      </c>
      <c r="G162" s="412">
        <f t="shared" si="34"/>
        <v>4.2635658914728678</v>
      </c>
      <c r="H162" s="412">
        <f t="shared" si="35"/>
        <v>0</v>
      </c>
      <c r="I162" s="412">
        <f t="shared" si="36"/>
        <v>100</v>
      </c>
      <c r="J162" s="411">
        <v>41</v>
      </c>
      <c r="K162" s="2">
        <v>63</v>
      </c>
      <c r="L162" s="2">
        <v>112</v>
      </c>
      <c r="M162" s="2">
        <v>31</v>
      </c>
      <c r="N162" s="2">
        <v>11</v>
      </c>
      <c r="O162" s="2">
        <v>0</v>
      </c>
      <c r="P162" s="2">
        <v>258</v>
      </c>
      <c r="Q162" s="2"/>
      <c r="R162" s="2"/>
      <c r="S162" s="2"/>
      <c r="T162" s="2"/>
      <c r="U162" s="2"/>
      <c r="V162" s="2"/>
      <c r="W162" s="2"/>
      <c r="X162" s="2"/>
      <c r="Y162" s="2"/>
    </row>
    <row r="163" spans="1:25">
      <c r="A163" s="70"/>
      <c r="B163" s="2" t="s">
        <v>24</v>
      </c>
      <c r="C163" s="412">
        <f t="shared" si="30"/>
        <v>16.203703703703702</v>
      </c>
      <c r="D163" s="412">
        <f t="shared" si="31"/>
        <v>31.481481481481481</v>
      </c>
      <c r="E163" s="412">
        <f t="shared" si="32"/>
        <v>24.074074074074073</v>
      </c>
      <c r="F163" s="412">
        <f t="shared" si="33"/>
        <v>0.46296296296296291</v>
      </c>
      <c r="G163" s="412">
        <f t="shared" si="34"/>
        <v>27.777777777777779</v>
      </c>
      <c r="H163" s="412">
        <f t="shared" si="35"/>
        <v>0</v>
      </c>
      <c r="I163" s="412">
        <f t="shared" si="36"/>
        <v>100</v>
      </c>
      <c r="J163" s="411">
        <v>35</v>
      </c>
      <c r="K163" s="2">
        <v>68</v>
      </c>
      <c r="L163" s="2">
        <v>52</v>
      </c>
      <c r="M163" s="2">
        <v>1</v>
      </c>
      <c r="N163" s="2">
        <v>60</v>
      </c>
      <c r="O163" s="2">
        <v>0</v>
      </c>
      <c r="P163" s="2">
        <v>216</v>
      </c>
      <c r="Q163" s="2"/>
      <c r="R163" s="2"/>
      <c r="S163" s="2"/>
      <c r="T163" s="2"/>
      <c r="U163" s="2"/>
      <c r="V163" s="2"/>
      <c r="W163" s="2"/>
      <c r="X163" s="2"/>
      <c r="Y163" s="2"/>
    </row>
    <row r="164" spans="1:25">
      <c r="A164" s="70"/>
      <c r="B164" s="5" t="s">
        <v>80</v>
      </c>
      <c r="C164" s="417">
        <f t="shared" si="30"/>
        <v>34.417135372524847</v>
      </c>
      <c r="D164" s="417">
        <f t="shared" si="31"/>
        <v>26.018953694429463</v>
      </c>
      <c r="E164" s="417">
        <f t="shared" si="32"/>
        <v>26.743200554742273</v>
      </c>
      <c r="F164" s="417">
        <f t="shared" si="33"/>
        <v>6.132984051159565</v>
      </c>
      <c r="G164" s="417">
        <f t="shared" si="34"/>
        <v>6.6877263271438476</v>
      </c>
      <c r="H164" s="417">
        <f t="shared" si="35"/>
        <v>0</v>
      </c>
      <c r="I164" s="417">
        <f t="shared" si="36"/>
        <v>100</v>
      </c>
      <c r="J164" s="409">
        <f t="shared" ref="J164:P164" si="39">SUM(J158:J163)</f>
        <v>4467</v>
      </c>
      <c r="K164" s="2">
        <f t="shared" si="39"/>
        <v>3377</v>
      </c>
      <c r="L164" s="2">
        <f t="shared" si="39"/>
        <v>3471</v>
      </c>
      <c r="M164" s="2">
        <f t="shared" si="39"/>
        <v>796</v>
      </c>
      <c r="N164" s="2">
        <f t="shared" si="39"/>
        <v>868</v>
      </c>
      <c r="O164" s="2">
        <f t="shared" si="39"/>
        <v>0</v>
      </c>
      <c r="P164" s="2">
        <f t="shared" si="39"/>
        <v>12979</v>
      </c>
      <c r="Q164" s="2"/>
      <c r="R164" s="2"/>
      <c r="S164" s="2"/>
      <c r="T164" s="2"/>
      <c r="U164" s="2"/>
      <c r="V164" s="2"/>
      <c r="W164" s="2"/>
      <c r="X164" s="2"/>
      <c r="Y164" s="2"/>
    </row>
    <row r="165" spans="1:25">
      <c r="A165" s="70"/>
      <c r="B165" s="2" t="s">
        <v>25</v>
      </c>
      <c r="C165" s="412">
        <f t="shared" si="30"/>
        <v>0</v>
      </c>
      <c r="D165" s="412">
        <f t="shared" si="31"/>
        <v>0</v>
      </c>
      <c r="E165" s="412">
        <f t="shared" si="32"/>
        <v>0</v>
      </c>
      <c r="F165" s="412">
        <f t="shared" si="33"/>
        <v>0</v>
      </c>
      <c r="G165" s="412">
        <f t="shared" si="34"/>
        <v>0</v>
      </c>
      <c r="H165" s="412">
        <f t="shared" si="35"/>
        <v>100</v>
      </c>
      <c r="I165" s="412">
        <f t="shared" si="36"/>
        <v>100</v>
      </c>
      <c r="J165" s="411">
        <v>0</v>
      </c>
      <c r="K165" s="2">
        <v>0</v>
      </c>
      <c r="L165" s="2">
        <v>0</v>
      </c>
      <c r="M165" s="2">
        <v>0</v>
      </c>
      <c r="N165" s="2">
        <v>0</v>
      </c>
      <c r="O165" s="2">
        <v>7387</v>
      </c>
      <c r="P165" s="2">
        <v>7387</v>
      </c>
      <c r="Q165" s="2"/>
      <c r="R165" s="2"/>
      <c r="S165" s="2"/>
      <c r="T165" s="2"/>
      <c r="U165" s="2"/>
      <c r="V165" s="2"/>
      <c r="W165" s="2"/>
      <c r="X165" s="2"/>
      <c r="Y165" s="2"/>
    </row>
    <row r="166" spans="1:25">
      <c r="A166" s="70"/>
      <c r="B166" s="2" t="s">
        <v>26</v>
      </c>
      <c r="C166" s="412" t="e">
        <f t="shared" si="30"/>
        <v>#DIV/0!</v>
      </c>
      <c r="D166" s="412" t="e">
        <f t="shared" si="31"/>
        <v>#DIV/0!</v>
      </c>
      <c r="E166" s="412" t="e">
        <f t="shared" si="32"/>
        <v>#DIV/0!</v>
      </c>
      <c r="F166" s="412" t="e">
        <f t="shared" si="33"/>
        <v>#DIV/0!</v>
      </c>
      <c r="G166" s="412" t="e">
        <f t="shared" si="34"/>
        <v>#DIV/0!</v>
      </c>
      <c r="H166" s="412" t="e">
        <f t="shared" si="35"/>
        <v>#DIV/0!</v>
      </c>
      <c r="I166" s="412" t="e">
        <f t="shared" si="36"/>
        <v>#DIV/0!</v>
      </c>
      <c r="J166" s="411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2.75" customHeight="1">
      <c r="A167" s="72"/>
      <c r="B167" s="69" t="s">
        <v>27</v>
      </c>
      <c r="C167" s="418">
        <f t="shared" si="30"/>
        <v>21.933614848276541</v>
      </c>
      <c r="D167" s="418">
        <f t="shared" si="31"/>
        <v>16.581557497790435</v>
      </c>
      <c r="E167" s="418">
        <f t="shared" si="32"/>
        <v>17.043111067465382</v>
      </c>
      <c r="F167" s="418">
        <f t="shared" si="33"/>
        <v>3.9084749091623294</v>
      </c>
      <c r="G167" s="418">
        <f t="shared" si="34"/>
        <v>4.2620053029559068</v>
      </c>
      <c r="H167" s="418">
        <f t="shared" si="35"/>
        <v>36.271236374349407</v>
      </c>
      <c r="I167" s="418">
        <f t="shared" si="36"/>
        <v>100</v>
      </c>
      <c r="J167" s="410">
        <v>4467</v>
      </c>
      <c r="K167" s="68">
        <v>3377</v>
      </c>
      <c r="L167" s="68">
        <v>3471</v>
      </c>
      <c r="M167" s="68">
        <v>796</v>
      </c>
      <c r="N167" s="68">
        <v>868</v>
      </c>
      <c r="O167" s="68">
        <v>7387</v>
      </c>
      <c r="P167" s="68">
        <v>20366</v>
      </c>
      <c r="Q167" s="2"/>
      <c r="R167" s="2"/>
      <c r="S167" s="2"/>
      <c r="T167" s="2"/>
      <c r="U167" s="2"/>
      <c r="V167" s="2"/>
      <c r="W167" s="2"/>
      <c r="X167" s="2"/>
      <c r="Y167" s="2"/>
    </row>
    <row r="168" spans="1:25">
      <c r="A168" s="70" t="s">
        <v>17</v>
      </c>
      <c r="B168" s="2" t="s">
        <v>19</v>
      </c>
      <c r="C168" s="412">
        <f t="shared" si="30"/>
        <v>42.363931762794479</v>
      </c>
      <c r="D168" s="412">
        <f t="shared" si="31"/>
        <v>32.696994313566208</v>
      </c>
      <c r="E168" s="412">
        <f t="shared" si="32"/>
        <v>19.17140536149472</v>
      </c>
      <c r="F168" s="412">
        <f t="shared" si="33"/>
        <v>4.4272948822095852</v>
      </c>
      <c r="G168" s="412">
        <f t="shared" si="34"/>
        <v>1.3403736799350121</v>
      </c>
      <c r="H168" s="412">
        <f t="shared" si="35"/>
        <v>0</v>
      </c>
      <c r="I168" s="412">
        <f t="shared" si="36"/>
        <v>100</v>
      </c>
      <c r="J168" s="409">
        <v>1043</v>
      </c>
      <c r="K168" s="2">
        <v>805</v>
      </c>
      <c r="L168" s="2">
        <v>472</v>
      </c>
      <c r="M168" s="2">
        <v>109</v>
      </c>
      <c r="N168" s="2">
        <v>33</v>
      </c>
      <c r="O168" s="2">
        <v>0</v>
      </c>
      <c r="P168" s="2">
        <v>2462</v>
      </c>
      <c r="Q168" s="2"/>
      <c r="R168" s="2"/>
      <c r="S168" s="2"/>
      <c r="T168" s="2"/>
      <c r="U168" s="2"/>
      <c r="V168" s="2"/>
      <c r="W168" s="2"/>
      <c r="X168" s="2"/>
      <c r="Y168" s="2"/>
    </row>
    <row r="169" spans="1:25">
      <c r="A169" s="70"/>
      <c r="B169" s="2" t="s">
        <v>20</v>
      </c>
      <c r="C169" s="412">
        <f t="shared" si="30"/>
        <v>30.344557556773687</v>
      </c>
      <c r="D169" s="412">
        <f t="shared" si="31"/>
        <v>36.57008613938919</v>
      </c>
      <c r="E169" s="412">
        <f t="shared" si="32"/>
        <v>24.784651527016443</v>
      </c>
      <c r="F169" s="412">
        <f t="shared" si="33"/>
        <v>6.6562255285826151</v>
      </c>
      <c r="G169" s="412">
        <f t="shared" si="34"/>
        <v>1.6444792482380579</v>
      </c>
      <c r="H169" s="412">
        <f t="shared" si="35"/>
        <v>0</v>
      </c>
      <c r="I169" s="412">
        <f t="shared" si="36"/>
        <v>100</v>
      </c>
      <c r="J169" s="409">
        <v>775</v>
      </c>
      <c r="K169" s="2">
        <v>934</v>
      </c>
      <c r="L169" s="2">
        <v>633</v>
      </c>
      <c r="M169" s="2">
        <v>170</v>
      </c>
      <c r="N169" s="2">
        <v>42</v>
      </c>
      <c r="O169" s="2">
        <v>0</v>
      </c>
      <c r="P169" s="2">
        <v>2554</v>
      </c>
      <c r="Q169" s="2"/>
      <c r="R169" s="2"/>
      <c r="S169" s="2"/>
      <c r="T169" s="2"/>
      <c r="U169" s="2"/>
      <c r="V169" s="2"/>
      <c r="W169" s="2"/>
      <c r="X169" s="2"/>
      <c r="Y169" s="2"/>
    </row>
    <row r="170" spans="1:25">
      <c r="A170" s="70"/>
      <c r="B170" s="2" t="s">
        <v>21</v>
      </c>
      <c r="C170" s="412">
        <f t="shared" si="30"/>
        <v>36.811023622047244</v>
      </c>
      <c r="D170" s="412">
        <f t="shared" si="31"/>
        <v>29.7244094488189</v>
      </c>
      <c r="E170" s="412">
        <f t="shared" si="32"/>
        <v>25.787401574803148</v>
      </c>
      <c r="F170" s="412">
        <f t="shared" si="33"/>
        <v>7.6771653543307092</v>
      </c>
      <c r="G170" s="412">
        <f t="shared" si="34"/>
        <v>0</v>
      </c>
      <c r="H170" s="412">
        <f t="shared" si="35"/>
        <v>0</v>
      </c>
      <c r="I170" s="412">
        <f t="shared" si="36"/>
        <v>100</v>
      </c>
      <c r="J170" s="409">
        <v>187</v>
      </c>
      <c r="K170" s="2">
        <v>151</v>
      </c>
      <c r="L170" s="2">
        <v>131</v>
      </c>
      <c r="M170" s="2">
        <v>39</v>
      </c>
      <c r="N170" s="2">
        <v>0</v>
      </c>
      <c r="O170" s="2">
        <v>0</v>
      </c>
      <c r="P170" s="2">
        <v>508</v>
      </c>
      <c r="Q170" s="2"/>
      <c r="R170" s="2"/>
      <c r="S170" s="2"/>
      <c r="T170" s="2"/>
      <c r="U170" s="2"/>
      <c r="V170" s="2"/>
      <c r="W170" s="2"/>
      <c r="X170" s="2"/>
      <c r="Y170" s="2"/>
    </row>
    <row r="171" spans="1:25">
      <c r="A171" s="70"/>
      <c r="B171" s="2" t="s">
        <v>22</v>
      </c>
      <c r="C171" s="412">
        <f t="shared" si="30"/>
        <v>31.292517006802722</v>
      </c>
      <c r="D171" s="412">
        <f t="shared" si="31"/>
        <v>29.024943310657598</v>
      </c>
      <c r="E171" s="412">
        <f t="shared" si="32"/>
        <v>27.89115646258503</v>
      </c>
      <c r="F171" s="412">
        <f t="shared" si="33"/>
        <v>11.337868480725625</v>
      </c>
      <c r="G171" s="412">
        <f t="shared" si="34"/>
        <v>0.45351473922902497</v>
      </c>
      <c r="H171" s="412">
        <f t="shared" si="35"/>
        <v>0</v>
      </c>
      <c r="I171" s="412">
        <f t="shared" si="36"/>
        <v>100</v>
      </c>
      <c r="J171" s="409">
        <v>276</v>
      </c>
      <c r="K171" s="2">
        <v>256</v>
      </c>
      <c r="L171" s="2">
        <v>246</v>
      </c>
      <c r="M171" s="2">
        <v>100</v>
      </c>
      <c r="N171" s="2">
        <v>4</v>
      </c>
      <c r="O171" s="2">
        <v>0</v>
      </c>
      <c r="P171" s="2">
        <v>882</v>
      </c>
      <c r="Q171" s="2"/>
      <c r="R171" s="2"/>
      <c r="S171" s="2"/>
      <c r="T171" s="2"/>
      <c r="U171" s="2"/>
      <c r="V171" s="2"/>
      <c r="W171" s="2"/>
      <c r="X171" s="2"/>
      <c r="Y171" s="2"/>
    </row>
    <row r="172" spans="1:25">
      <c r="A172" s="70"/>
      <c r="B172" s="2" t="s">
        <v>23</v>
      </c>
      <c r="C172" s="412">
        <f t="shared" si="30"/>
        <v>22</v>
      </c>
      <c r="D172" s="412">
        <f t="shared" si="31"/>
        <v>33.333333333333329</v>
      </c>
      <c r="E172" s="412">
        <f t="shared" si="32"/>
        <v>33.333333333333329</v>
      </c>
      <c r="F172" s="412">
        <f t="shared" si="33"/>
        <v>11.333333333333332</v>
      </c>
      <c r="G172" s="412">
        <f t="shared" si="34"/>
        <v>0</v>
      </c>
      <c r="H172" s="412">
        <f t="shared" si="35"/>
        <v>0</v>
      </c>
      <c r="I172" s="412">
        <f t="shared" si="36"/>
        <v>100</v>
      </c>
      <c r="J172" s="409">
        <v>33</v>
      </c>
      <c r="K172" s="2">
        <v>50</v>
      </c>
      <c r="L172" s="2">
        <v>50</v>
      </c>
      <c r="M172" s="2">
        <v>17</v>
      </c>
      <c r="N172" s="2">
        <v>0</v>
      </c>
      <c r="O172" s="2">
        <v>0</v>
      </c>
      <c r="P172" s="2">
        <v>150</v>
      </c>
      <c r="Q172" s="2"/>
      <c r="R172" s="2"/>
      <c r="S172" s="2"/>
      <c r="T172" s="2"/>
      <c r="U172" s="2"/>
      <c r="V172" s="2"/>
      <c r="W172" s="2"/>
      <c r="X172" s="2"/>
      <c r="Y172" s="2"/>
    </row>
    <row r="173" spans="1:25">
      <c r="A173" s="70"/>
      <c r="B173" s="2" t="s">
        <v>24</v>
      </c>
      <c r="C173" s="412">
        <f t="shared" si="30"/>
        <v>30.183727034120732</v>
      </c>
      <c r="D173" s="412">
        <f t="shared" si="31"/>
        <v>26.509186351706038</v>
      </c>
      <c r="E173" s="412">
        <f t="shared" si="32"/>
        <v>35.170603674540686</v>
      </c>
      <c r="F173" s="412">
        <f t="shared" si="33"/>
        <v>4.9868766404199478</v>
      </c>
      <c r="G173" s="412">
        <f t="shared" si="34"/>
        <v>3.1496062992125982</v>
      </c>
      <c r="H173" s="412">
        <f t="shared" si="35"/>
        <v>0</v>
      </c>
      <c r="I173" s="412">
        <f t="shared" si="36"/>
        <v>100</v>
      </c>
      <c r="J173" s="409">
        <v>115</v>
      </c>
      <c r="K173" s="2">
        <v>101</v>
      </c>
      <c r="L173" s="2">
        <v>134</v>
      </c>
      <c r="M173" s="2">
        <v>19</v>
      </c>
      <c r="N173" s="2">
        <v>12</v>
      </c>
      <c r="O173" s="2">
        <v>0</v>
      </c>
      <c r="P173" s="2">
        <v>381</v>
      </c>
      <c r="Q173" s="2"/>
      <c r="R173" s="2"/>
      <c r="S173" s="2"/>
      <c r="T173" s="2"/>
      <c r="U173" s="2"/>
      <c r="V173" s="2"/>
      <c r="W173" s="2"/>
      <c r="X173" s="2"/>
      <c r="Y173" s="2"/>
    </row>
    <row r="174" spans="1:25">
      <c r="A174" s="70"/>
      <c r="B174" s="5" t="s">
        <v>80</v>
      </c>
      <c r="C174" s="417">
        <f t="shared" si="30"/>
        <v>35.015136226034308</v>
      </c>
      <c r="D174" s="417">
        <f t="shared" si="31"/>
        <v>33.112296381721208</v>
      </c>
      <c r="E174" s="417">
        <f t="shared" si="32"/>
        <v>24.016145307769929</v>
      </c>
      <c r="F174" s="417">
        <f t="shared" si="33"/>
        <v>6.544615828167796</v>
      </c>
      <c r="G174" s="417">
        <f t="shared" si="34"/>
        <v>1.3118062563067607</v>
      </c>
      <c r="H174" s="417">
        <f t="shared" si="35"/>
        <v>0</v>
      </c>
      <c r="I174" s="417">
        <f t="shared" si="36"/>
        <v>100</v>
      </c>
      <c r="J174" s="409">
        <f t="shared" ref="J174:P174" si="40">SUM(J168:J173)</f>
        <v>2429</v>
      </c>
      <c r="K174" s="2">
        <f t="shared" si="40"/>
        <v>2297</v>
      </c>
      <c r="L174" s="2">
        <f t="shared" si="40"/>
        <v>1666</v>
      </c>
      <c r="M174" s="2">
        <f t="shared" si="40"/>
        <v>454</v>
      </c>
      <c r="N174" s="2">
        <f t="shared" si="40"/>
        <v>91</v>
      </c>
      <c r="O174" s="2">
        <f t="shared" si="40"/>
        <v>0</v>
      </c>
      <c r="P174" s="2">
        <f t="shared" si="40"/>
        <v>6937</v>
      </c>
      <c r="Q174" s="2"/>
      <c r="R174" s="2"/>
      <c r="S174" s="2"/>
      <c r="T174" s="2"/>
      <c r="U174" s="2"/>
      <c r="V174" s="2"/>
      <c r="W174" s="2"/>
      <c r="X174" s="2"/>
      <c r="Y174" s="2"/>
    </row>
    <row r="175" spans="1:25">
      <c r="A175" s="70"/>
      <c r="B175" s="2" t="s">
        <v>25</v>
      </c>
      <c r="C175" s="412">
        <f t="shared" si="30"/>
        <v>18.972533062054932</v>
      </c>
      <c r="D175" s="412">
        <f t="shared" si="31"/>
        <v>33.011190233977622</v>
      </c>
      <c r="E175" s="412">
        <f t="shared" si="32"/>
        <v>32.50254323499491</v>
      </c>
      <c r="F175" s="412">
        <f t="shared" si="33"/>
        <v>15.361139369277721</v>
      </c>
      <c r="G175" s="412">
        <f t="shared" si="34"/>
        <v>0.1525940996948118</v>
      </c>
      <c r="H175" s="412">
        <f t="shared" si="35"/>
        <v>0</v>
      </c>
      <c r="I175" s="412">
        <f t="shared" si="36"/>
        <v>100</v>
      </c>
      <c r="J175" s="409">
        <v>373</v>
      </c>
      <c r="K175" s="2">
        <v>649</v>
      </c>
      <c r="L175" s="2">
        <v>639</v>
      </c>
      <c r="M175" s="2">
        <v>302</v>
      </c>
      <c r="N175" s="2">
        <v>3</v>
      </c>
      <c r="O175" s="2">
        <v>0</v>
      </c>
      <c r="P175" s="2">
        <v>1966</v>
      </c>
      <c r="Q175" s="2"/>
      <c r="R175" s="2"/>
      <c r="S175" s="2"/>
      <c r="T175" s="2"/>
      <c r="U175" s="2"/>
      <c r="V175" s="2"/>
      <c r="W175" s="2"/>
      <c r="X175" s="2"/>
      <c r="Y175" s="2"/>
    </row>
    <row r="176" spans="1:25">
      <c r="A176" s="70"/>
      <c r="B176" s="2" t="s">
        <v>26</v>
      </c>
      <c r="C176" s="412" t="e">
        <f t="shared" si="30"/>
        <v>#DIV/0!</v>
      </c>
      <c r="D176" s="412" t="e">
        <f t="shared" si="31"/>
        <v>#DIV/0!</v>
      </c>
      <c r="E176" s="412" t="e">
        <f t="shared" si="32"/>
        <v>#DIV/0!</v>
      </c>
      <c r="F176" s="412" t="e">
        <f t="shared" si="33"/>
        <v>#DIV/0!</v>
      </c>
      <c r="G176" s="412" t="e">
        <f t="shared" si="34"/>
        <v>#DIV/0!</v>
      </c>
      <c r="H176" s="412" t="e">
        <f t="shared" si="35"/>
        <v>#DIV/0!</v>
      </c>
      <c r="I176" s="412" t="e">
        <f t="shared" si="36"/>
        <v>#DIV/0!</v>
      </c>
      <c r="J176" s="409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/>
      <c r="R176" s="2"/>
      <c r="S176" s="2"/>
      <c r="T176" s="2"/>
      <c r="U176" s="2"/>
      <c r="V176" s="2"/>
      <c r="W176" s="2"/>
      <c r="X176" s="2"/>
      <c r="Y176" s="2"/>
    </row>
    <row r="177" spans="1:25">
      <c r="A177" s="72"/>
      <c r="B177" s="69" t="s">
        <v>27</v>
      </c>
      <c r="C177" s="418">
        <f t="shared" si="30"/>
        <v>31.472537346961698</v>
      </c>
      <c r="D177" s="418">
        <f t="shared" si="31"/>
        <v>33.089969673143884</v>
      </c>
      <c r="E177" s="418">
        <f t="shared" si="32"/>
        <v>25.890149387846794</v>
      </c>
      <c r="F177" s="418">
        <f t="shared" si="33"/>
        <v>8.4915197124564763</v>
      </c>
      <c r="G177" s="418">
        <f t="shared" si="34"/>
        <v>1.055823879591149</v>
      </c>
      <c r="H177" s="418">
        <f t="shared" si="35"/>
        <v>0</v>
      </c>
      <c r="I177" s="418">
        <f t="shared" si="36"/>
        <v>100</v>
      </c>
      <c r="J177" s="410">
        <v>2802</v>
      </c>
      <c r="K177" s="68">
        <v>2946</v>
      </c>
      <c r="L177" s="68">
        <v>2305</v>
      </c>
      <c r="M177" s="68">
        <v>756</v>
      </c>
      <c r="N177" s="68">
        <v>94</v>
      </c>
      <c r="O177" s="68">
        <v>0</v>
      </c>
      <c r="P177" s="68">
        <v>8903</v>
      </c>
      <c r="Q177" s="2"/>
      <c r="R177" s="2"/>
      <c r="S177" s="2"/>
      <c r="T177" s="2"/>
      <c r="U177" s="2"/>
      <c r="V177" s="2"/>
      <c r="W177" s="2"/>
      <c r="X177" s="2"/>
      <c r="Y177" s="2"/>
    </row>
    <row r="178" spans="1:25">
      <c r="A178" s="70" t="s">
        <v>18</v>
      </c>
      <c r="B178" s="2" t="s">
        <v>19</v>
      </c>
      <c r="C178" s="412">
        <f t="shared" si="30"/>
        <v>38.397502601456814</v>
      </c>
      <c r="D178" s="412">
        <f t="shared" si="31"/>
        <v>25.806451612903224</v>
      </c>
      <c r="E178" s="412">
        <f t="shared" si="32"/>
        <v>30.385015608740893</v>
      </c>
      <c r="F178" s="412">
        <f t="shared" si="33"/>
        <v>2.3933402705515086</v>
      </c>
      <c r="G178" s="412">
        <f t="shared" si="34"/>
        <v>3.0176899063475546</v>
      </c>
      <c r="H178" s="412">
        <f t="shared" si="35"/>
        <v>0</v>
      </c>
      <c r="I178" s="412">
        <f t="shared" si="36"/>
        <v>100</v>
      </c>
      <c r="J178" s="409">
        <v>369</v>
      </c>
      <c r="K178" s="2">
        <v>248</v>
      </c>
      <c r="L178" s="2">
        <v>292</v>
      </c>
      <c r="M178" s="2">
        <v>23</v>
      </c>
      <c r="N178" s="2">
        <v>29</v>
      </c>
      <c r="O178" s="2">
        <v>0</v>
      </c>
      <c r="P178" s="2">
        <v>961</v>
      </c>
      <c r="Q178" s="2"/>
      <c r="R178" s="2"/>
      <c r="S178" s="2"/>
      <c r="T178" s="2"/>
      <c r="U178" s="2"/>
      <c r="V178" s="2"/>
      <c r="W178" s="2"/>
      <c r="X178" s="2"/>
      <c r="Y178" s="2"/>
    </row>
    <row r="179" spans="1:25">
      <c r="A179" s="70"/>
      <c r="B179" s="2" t="s">
        <v>20</v>
      </c>
      <c r="C179" s="412" t="e">
        <f t="shared" si="30"/>
        <v>#DIV/0!</v>
      </c>
      <c r="D179" s="412" t="e">
        <f t="shared" si="31"/>
        <v>#DIV/0!</v>
      </c>
      <c r="E179" s="412" t="e">
        <f t="shared" si="32"/>
        <v>#DIV/0!</v>
      </c>
      <c r="F179" s="412" t="e">
        <f t="shared" si="33"/>
        <v>#DIV/0!</v>
      </c>
      <c r="G179" s="412" t="e">
        <f t="shared" si="34"/>
        <v>#DIV/0!</v>
      </c>
      <c r="H179" s="412" t="e">
        <f t="shared" si="35"/>
        <v>#DIV/0!</v>
      </c>
      <c r="I179" s="412" t="e">
        <f t="shared" si="36"/>
        <v>#DIV/0!</v>
      </c>
      <c r="J179" s="409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/>
      <c r="R179" s="2"/>
      <c r="S179" s="2"/>
      <c r="T179" s="2"/>
      <c r="U179" s="2"/>
      <c r="V179" s="2"/>
      <c r="W179" s="2"/>
      <c r="X179" s="2"/>
      <c r="Y179" s="2"/>
    </row>
    <row r="180" spans="1:25">
      <c r="A180" s="70"/>
      <c r="B180" s="2" t="s">
        <v>21</v>
      </c>
      <c r="C180" s="412">
        <f t="shared" si="30"/>
        <v>36.5</v>
      </c>
      <c r="D180" s="412">
        <f t="shared" si="31"/>
        <v>30.25</v>
      </c>
      <c r="E180" s="412">
        <f t="shared" si="32"/>
        <v>26.5</v>
      </c>
      <c r="F180" s="412">
        <f t="shared" si="33"/>
        <v>6.75</v>
      </c>
      <c r="G180" s="412">
        <f t="shared" si="34"/>
        <v>0</v>
      </c>
      <c r="H180" s="412">
        <f t="shared" si="35"/>
        <v>0</v>
      </c>
      <c r="I180" s="412">
        <f t="shared" si="36"/>
        <v>100</v>
      </c>
      <c r="J180" s="409">
        <v>146</v>
      </c>
      <c r="K180" s="2">
        <v>121</v>
      </c>
      <c r="L180" s="2">
        <v>106</v>
      </c>
      <c r="M180" s="2">
        <v>27</v>
      </c>
      <c r="N180" s="2">
        <v>0</v>
      </c>
      <c r="O180" s="2">
        <v>0</v>
      </c>
      <c r="P180" s="2">
        <v>400</v>
      </c>
      <c r="Q180" s="2"/>
      <c r="R180" s="2"/>
      <c r="S180" s="2"/>
      <c r="T180" s="2"/>
      <c r="U180" s="2"/>
      <c r="V180" s="2"/>
      <c r="W180" s="2"/>
      <c r="X180" s="2"/>
      <c r="Y180" s="2"/>
    </row>
    <row r="181" spans="1:25">
      <c r="A181" s="70"/>
      <c r="B181" s="2" t="s">
        <v>22</v>
      </c>
      <c r="C181" s="412" t="e">
        <f t="shared" si="30"/>
        <v>#DIV/0!</v>
      </c>
      <c r="D181" s="412" t="e">
        <f t="shared" si="31"/>
        <v>#DIV/0!</v>
      </c>
      <c r="E181" s="412" t="e">
        <f t="shared" si="32"/>
        <v>#DIV/0!</v>
      </c>
      <c r="F181" s="412" t="e">
        <f t="shared" si="33"/>
        <v>#DIV/0!</v>
      </c>
      <c r="G181" s="412" t="e">
        <f t="shared" si="34"/>
        <v>#DIV/0!</v>
      </c>
      <c r="H181" s="412" t="e">
        <f t="shared" si="35"/>
        <v>#DIV/0!</v>
      </c>
      <c r="I181" s="412" t="e">
        <f t="shared" si="36"/>
        <v>#DIV/0!</v>
      </c>
      <c r="J181" s="409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/>
      <c r="R181" s="2"/>
      <c r="S181" s="2"/>
      <c r="T181" s="2"/>
      <c r="U181" s="2"/>
      <c r="V181" s="2"/>
      <c r="W181" s="2"/>
      <c r="X181" s="2"/>
      <c r="Y181" s="2"/>
    </row>
    <row r="182" spans="1:25">
      <c r="A182" s="70"/>
      <c r="B182" s="2" t="s">
        <v>23</v>
      </c>
      <c r="C182" s="412" t="e">
        <f t="shared" si="30"/>
        <v>#DIV/0!</v>
      </c>
      <c r="D182" s="412" t="e">
        <f t="shared" si="31"/>
        <v>#DIV/0!</v>
      </c>
      <c r="E182" s="412" t="e">
        <f t="shared" si="32"/>
        <v>#DIV/0!</v>
      </c>
      <c r="F182" s="412" t="e">
        <f t="shared" si="33"/>
        <v>#DIV/0!</v>
      </c>
      <c r="G182" s="412" t="e">
        <f t="shared" si="34"/>
        <v>#DIV/0!</v>
      </c>
      <c r="H182" s="412" t="e">
        <f t="shared" si="35"/>
        <v>#DIV/0!</v>
      </c>
      <c r="I182" s="412" t="e">
        <f t="shared" si="36"/>
        <v>#DIV/0!</v>
      </c>
      <c r="J182" s="409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/>
      <c r="R182" s="2"/>
      <c r="S182" s="2"/>
      <c r="T182" s="2"/>
      <c r="U182" s="2"/>
      <c r="V182" s="2"/>
      <c r="W182" s="2"/>
      <c r="X182" s="2"/>
      <c r="Y182" s="2"/>
    </row>
    <row r="183" spans="1:25">
      <c r="A183" s="70"/>
      <c r="B183" s="2" t="s">
        <v>24</v>
      </c>
      <c r="C183" s="412">
        <f t="shared" si="30"/>
        <v>28.28810020876827</v>
      </c>
      <c r="D183" s="412">
        <f t="shared" si="31"/>
        <v>29.540709812108563</v>
      </c>
      <c r="E183" s="412">
        <f t="shared" si="32"/>
        <v>27.766179540709814</v>
      </c>
      <c r="F183" s="412">
        <f t="shared" si="33"/>
        <v>13.152400835073069</v>
      </c>
      <c r="G183" s="412">
        <f t="shared" si="34"/>
        <v>1.2526096033402923</v>
      </c>
      <c r="H183" s="412">
        <f t="shared" si="35"/>
        <v>0</v>
      </c>
      <c r="I183" s="412">
        <f t="shared" si="36"/>
        <v>100</v>
      </c>
      <c r="J183" s="409">
        <v>271</v>
      </c>
      <c r="K183" s="2">
        <v>283</v>
      </c>
      <c r="L183" s="2">
        <v>266</v>
      </c>
      <c r="M183" s="2">
        <v>126</v>
      </c>
      <c r="N183" s="2">
        <v>12</v>
      </c>
      <c r="O183" s="2">
        <v>0</v>
      </c>
      <c r="P183" s="2">
        <v>958</v>
      </c>
      <c r="Q183" s="2"/>
      <c r="R183" s="2"/>
      <c r="S183" s="2"/>
      <c r="T183" s="2"/>
      <c r="U183" s="2"/>
      <c r="V183" s="2"/>
      <c r="W183" s="2"/>
      <c r="X183" s="2"/>
      <c r="Y183" s="2"/>
    </row>
    <row r="184" spans="1:25">
      <c r="A184" s="70"/>
      <c r="B184" s="5" t="s">
        <v>80</v>
      </c>
      <c r="C184" s="417">
        <f t="shared" si="30"/>
        <v>33.893919793014234</v>
      </c>
      <c r="D184" s="417">
        <f t="shared" si="31"/>
        <v>28.115567054764984</v>
      </c>
      <c r="E184" s="417">
        <f t="shared" si="32"/>
        <v>28.633031479085812</v>
      </c>
      <c r="F184" s="417">
        <f t="shared" si="33"/>
        <v>7.5894782233721427</v>
      </c>
      <c r="G184" s="417">
        <f t="shared" si="34"/>
        <v>1.7680034497628287</v>
      </c>
      <c r="H184" s="417">
        <f t="shared" si="35"/>
        <v>0</v>
      </c>
      <c r="I184" s="417">
        <f t="shared" si="36"/>
        <v>100</v>
      </c>
      <c r="J184" s="409">
        <f t="shared" ref="J184:P184" si="41">SUM(J178:J183)</f>
        <v>786</v>
      </c>
      <c r="K184" s="2">
        <f t="shared" si="41"/>
        <v>652</v>
      </c>
      <c r="L184" s="2">
        <f t="shared" si="41"/>
        <v>664</v>
      </c>
      <c r="M184" s="2">
        <f t="shared" si="41"/>
        <v>176</v>
      </c>
      <c r="N184" s="2">
        <f t="shared" si="41"/>
        <v>41</v>
      </c>
      <c r="O184" s="2">
        <f t="shared" si="41"/>
        <v>0</v>
      </c>
      <c r="P184" s="2">
        <f t="shared" si="41"/>
        <v>2319</v>
      </c>
      <c r="Q184" s="2"/>
      <c r="R184" s="2"/>
      <c r="S184" s="2"/>
      <c r="T184" s="2"/>
      <c r="U184" s="2"/>
      <c r="V184" s="2"/>
      <c r="W184" s="2"/>
      <c r="X184" s="2"/>
      <c r="Y184" s="2"/>
    </row>
    <row r="185" spans="1:25">
      <c r="A185" s="70"/>
      <c r="B185" s="2" t="s">
        <v>25</v>
      </c>
      <c r="C185" s="412">
        <f t="shared" si="30"/>
        <v>33.047210300429185</v>
      </c>
      <c r="D185" s="412">
        <f t="shared" si="31"/>
        <v>22.317596566523605</v>
      </c>
      <c r="E185" s="412">
        <f t="shared" si="32"/>
        <v>22.746781115879827</v>
      </c>
      <c r="F185" s="412">
        <f t="shared" si="33"/>
        <v>21.030042918454935</v>
      </c>
      <c r="G185" s="412">
        <f t="shared" si="34"/>
        <v>0.85836909871244638</v>
      </c>
      <c r="H185" s="412">
        <f t="shared" si="35"/>
        <v>0</v>
      </c>
      <c r="I185" s="412">
        <f t="shared" si="36"/>
        <v>100</v>
      </c>
      <c r="J185" s="409">
        <v>77</v>
      </c>
      <c r="K185" s="2">
        <v>52</v>
      </c>
      <c r="L185" s="2">
        <v>53</v>
      </c>
      <c r="M185" s="2">
        <v>49</v>
      </c>
      <c r="N185" s="2">
        <v>2</v>
      </c>
      <c r="O185" s="2">
        <v>0</v>
      </c>
      <c r="P185" s="2">
        <v>233</v>
      </c>
      <c r="Q185" s="2"/>
      <c r="R185" s="2"/>
      <c r="S185" s="2"/>
      <c r="T185" s="2"/>
      <c r="U185" s="2"/>
      <c r="V185" s="2"/>
      <c r="W185" s="2"/>
      <c r="X185" s="2"/>
      <c r="Y185" s="2"/>
    </row>
    <row r="186" spans="1:25">
      <c r="A186" s="70"/>
      <c r="B186" s="2" t="s">
        <v>26</v>
      </c>
      <c r="C186" s="412" t="e">
        <f t="shared" si="30"/>
        <v>#DIV/0!</v>
      </c>
      <c r="D186" s="412" t="e">
        <f t="shared" si="31"/>
        <v>#DIV/0!</v>
      </c>
      <c r="E186" s="412" t="e">
        <f t="shared" si="32"/>
        <v>#DIV/0!</v>
      </c>
      <c r="F186" s="412" t="e">
        <f t="shared" si="33"/>
        <v>#DIV/0!</v>
      </c>
      <c r="G186" s="412" t="e">
        <f t="shared" si="34"/>
        <v>#DIV/0!</v>
      </c>
      <c r="H186" s="412" t="e">
        <f t="shared" si="35"/>
        <v>#DIV/0!</v>
      </c>
      <c r="I186" s="412" t="e">
        <f t="shared" si="36"/>
        <v>#DIV/0!</v>
      </c>
      <c r="J186" s="409">
        <v>0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/>
      <c r="R186" s="2"/>
      <c r="S186" s="2"/>
      <c r="T186" s="2"/>
      <c r="U186" s="2"/>
      <c r="V186" s="2"/>
      <c r="W186" s="2"/>
      <c r="X186" s="2"/>
      <c r="Y186" s="2"/>
    </row>
    <row r="187" spans="1:25">
      <c r="A187" s="72"/>
      <c r="B187" s="69" t="s">
        <v>27</v>
      </c>
      <c r="C187" s="418">
        <f t="shared" si="30"/>
        <v>33.816614420062699</v>
      </c>
      <c r="D187" s="418">
        <f t="shared" si="31"/>
        <v>27.586206896551722</v>
      </c>
      <c r="E187" s="418">
        <f t="shared" si="32"/>
        <v>28.095611285266457</v>
      </c>
      <c r="F187" s="418">
        <f t="shared" si="33"/>
        <v>8.8166144200626952</v>
      </c>
      <c r="G187" s="418">
        <f t="shared" si="34"/>
        <v>1.6849529780564265</v>
      </c>
      <c r="H187" s="418">
        <f t="shared" si="35"/>
        <v>0</v>
      </c>
      <c r="I187" s="418">
        <f t="shared" si="36"/>
        <v>100</v>
      </c>
      <c r="J187" s="410">
        <v>863</v>
      </c>
      <c r="K187" s="68">
        <v>704</v>
      </c>
      <c r="L187" s="68">
        <v>717</v>
      </c>
      <c r="M187" s="68">
        <v>225</v>
      </c>
      <c r="N187" s="68">
        <v>43</v>
      </c>
      <c r="O187" s="68">
        <v>0</v>
      </c>
      <c r="P187" s="68">
        <v>2552</v>
      </c>
      <c r="Q187" s="2"/>
      <c r="R187" s="2"/>
      <c r="S187" s="2"/>
      <c r="T187" s="2"/>
      <c r="U187" s="2"/>
      <c r="V187" s="2"/>
      <c r="W187" s="2"/>
      <c r="X187" s="2"/>
      <c r="Y187" s="2"/>
    </row>
    <row r="188" spans="1:25">
      <c r="A188" s="70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>
      <c r="A189" s="70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>
      <c r="A190" s="70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>
      <c r="A191" s="70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>
      <c r="A192" s="70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>
      <c r="A193" s="70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>
      <c r="A194" s="70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7"/>
    </row>
    <row r="195" spans="1:25">
      <c r="A195" s="70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7"/>
    </row>
    <row r="196" spans="1:25">
      <c r="A196" s="70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7"/>
    </row>
    <row r="220" ht="9.9499999999999993" customHeight="1"/>
    <row r="221" ht="12" customHeight="1"/>
    <row r="222" ht="9.9499999999999993" customHeight="1"/>
  </sheetData>
  <phoneticPr fontId="0" type="noConversion"/>
  <pageMargins left="0.75" right="0.5" top="0.5" bottom="0.4" header="0" footer="0"/>
  <pageSetup orientation="portrait" verticalDpi="300" r:id="rId1"/>
  <headerFooter alignWithMargins="0">
    <oddFooter>&amp;LSREB Fact Book 1996/1997&amp;CDraft&amp;R&amp;D</oddFooter>
  </headerFooter>
  <rowBreaks count="1" manualBreakCount="1">
    <brk id="38303" max="46896" man="1"/>
  </rowBreak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"/>
  <dimension ref="A1:IU176"/>
  <sheetViews>
    <sheetView workbookViewId="0"/>
  </sheetViews>
  <sheetFormatPr defaultRowHeight="15"/>
  <cols>
    <col min="1" max="15" width="6.77734375" customWidth="1"/>
  </cols>
  <sheetData>
    <row r="1" spans="1:255" ht="15.75">
      <c r="A1" t="s">
        <v>83</v>
      </c>
      <c r="D1" s="54" t="s">
        <v>84</v>
      </c>
    </row>
    <row r="2" spans="1:255" ht="15.75">
      <c r="A2" s="143" t="s">
        <v>129</v>
      </c>
      <c r="B2" s="12"/>
      <c r="C2" s="12"/>
      <c r="D2" s="12"/>
      <c r="E2" s="12"/>
      <c r="F2" s="12"/>
      <c r="G2" s="12"/>
      <c r="H2" s="12"/>
      <c r="I2" s="12"/>
      <c r="J2" s="12"/>
      <c r="K2" s="13"/>
      <c r="L2" s="13"/>
      <c r="M2" s="13"/>
      <c r="N2" s="13"/>
      <c r="O2" s="13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</row>
    <row r="3" spans="1:255" ht="15.75">
      <c r="A3" s="14"/>
      <c r="B3" s="15"/>
      <c r="C3" s="16" t="s">
        <v>52</v>
      </c>
      <c r="D3" s="16"/>
      <c r="E3" s="16"/>
      <c r="F3" s="16"/>
      <c r="G3" s="16"/>
      <c r="H3" s="16"/>
      <c r="I3" s="16"/>
      <c r="J3" s="17" t="s">
        <v>60</v>
      </c>
      <c r="K3" s="16"/>
      <c r="L3" s="16"/>
      <c r="M3" s="16"/>
      <c r="N3" s="16"/>
      <c r="O3" s="16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</row>
    <row r="4" spans="1:255" ht="45.75">
      <c r="A4" s="15"/>
      <c r="B4" s="15"/>
      <c r="C4" s="18" t="s">
        <v>53</v>
      </c>
      <c r="D4" s="18" t="s">
        <v>54</v>
      </c>
      <c r="E4" s="18" t="s">
        <v>55</v>
      </c>
      <c r="F4" s="18" t="s">
        <v>78</v>
      </c>
      <c r="G4" s="18" t="s">
        <v>85</v>
      </c>
      <c r="H4" s="18" t="s">
        <v>58</v>
      </c>
      <c r="I4" s="18" t="s">
        <v>59</v>
      </c>
      <c r="J4" s="19" t="s">
        <v>53</v>
      </c>
      <c r="K4" s="18" t="s">
        <v>54</v>
      </c>
      <c r="L4" s="18" t="s">
        <v>55</v>
      </c>
      <c r="M4" s="18" t="s">
        <v>56</v>
      </c>
      <c r="N4" s="18" t="s">
        <v>57</v>
      </c>
      <c r="O4" s="18" t="s">
        <v>58</v>
      </c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</row>
    <row r="5" spans="1:255" ht="15.75">
      <c r="A5" s="20" t="s">
        <v>2</v>
      </c>
      <c r="B5" s="20" t="s">
        <v>19</v>
      </c>
      <c r="C5" s="42"/>
      <c r="D5" s="42"/>
      <c r="E5" s="42"/>
      <c r="F5" s="42"/>
      <c r="G5" s="42"/>
      <c r="H5" s="42"/>
      <c r="I5" s="42"/>
      <c r="J5" s="43"/>
      <c r="K5" s="42"/>
      <c r="L5" s="42"/>
      <c r="M5" s="42"/>
      <c r="N5" s="42"/>
      <c r="O5" s="42"/>
      <c r="P5" s="44"/>
      <c r="Q5" s="44"/>
      <c r="R5" s="44"/>
      <c r="S5" s="44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</row>
    <row r="6" spans="1:255" ht="15.75">
      <c r="A6" s="20"/>
      <c r="B6" s="20" t="s">
        <v>20</v>
      </c>
      <c r="C6" s="45"/>
      <c r="D6" s="45"/>
      <c r="E6" s="45"/>
      <c r="F6" s="45"/>
      <c r="G6" s="45"/>
      <c r="H6" s="45"/>
      <c r="I6" s="45"/>
      <c r="J6" s="46"/>
      <c r="K6" s="45"/>
      <c r="L6" s="45"/>
      <c r="M6" s="45"/>
      <c r="N6" s="45"/>
      <c r="O6" s="45"/>
      <c r="P6" s="47"/>
      <c r="Q6" s="47"/>
      <c r="R6" s="47"/>
      <c r="S6" s="47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</row>
    <row r="7" spans="1:255" ht="15.75">
      <c r="A7" s="20"/>
      <c r="B7" s="20" t="s">
        <v>21</v>
      </c>
      <c r="C7" s="45"/>
      <c r="D7" s="45"/>
      <c r="E7" s="45"/>
      <c r="F7" s="45"/>
      <c r="G7" s="45"/>
      <c r="H7" s="45"/>
      <c r="I7" s="45"/>
      <c r="J7" s="46"/>
      <c r="K7" s="45"/>
      <c r="L7" s="45"/>
      <c r="M7" s="45"/>
      <c r="N7" s="45"/>
      <c r="O7" s="45"/>
      <c r="P7" s="47"/>
      <c r="Q7" s="47"/>
      <c r="R7" s="47"/>
      <c r="S7" s="47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</row>
    <row r="8" spans="1:255" ht="15.75">
      <c r="A8" s="20"/>
      <c r="B8" s="20" t="s">
        <v>22</v>
      </c>
      <c r="C8" s="45"/>
      <c r="D8" s="45"/>
      <c r="E8" s="45"/>
      <c r="F8" s="45"/>
      <c r="G8" s="45"/>
      <c r="H8" s="45"/>
      <c r="I8" s="45"/>
      <c r="J8" s="46"/>
      <c r="K8" s="45"/>
      <c r="L8" s="45"/>
      <c r="M8" s="45"/>
      <c r="N8" s="45"/>
      <c r="O8" s="45"/>
      <c r="P8" s="47"/>
      <c r="Q8" s="47"/>
      <c r="R8" s="47"/>
      <c r="S8" s="47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</row>
    <row r="9" spans="1:255" ht="15.75">
      <c r="A9" s="20"/>
      <c r="B9" s="20" t="s">
        <v>23</v>
      </c>
      <c r="C9" s="45"/>
      <c r="D9" s="45"/>
      <c r="E9" s="45"/>
      <c r="F9" s="45"/>
      <c r="G9" s="45"/>
      <c r="H9" s="45"/>
      <c r="I9" s="45"/>
      <c r="J9" s="46"/>
      <c r="K9" s="45"/>
      <c r="L9" s="45"/>
      <c r="M9" s="45"/>
      <c r="N9" s="45"/>
      <c r="O9" s="45"/>
      <c r="P9" s="47"/>
      <c r="Q9" s="47"/>
      <c r="R9" s="47"/>
      <c r="S9" s="47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</row>
    <row r="10" spans="1:255" ht="15.75">
      <c r="A10" s="20"/>
      <c r="B10" s="20" t="s">
        <v>24</v>
      </c>
      <c r="C10" s="45"/>
      <c r="D10" s="45"/>
      <c r="E10" s="45"/>
      <c r="F10" s="45"/>
      <c r="G10" s="45"/>
      <c r="H10" s="45"/>
      <c r="I10" s="45"/>
      <c r="J10" s="46"/>
      <c r="K10" s="45"/>
      <c r="L10" s="45"/>
      <c r="M10" s="45"/>
      <c r="N10" s="45"/>
      <c r="O10" s="45"/>
      <c r="P10" s="47"/>
      <c r="Q10" s="47"/>
      <c r="R10" s="47"/>
      <c r="S10" s="47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</row>
    <row r="11" spans="1:255" ht="15.75">
      <c r="A11" s="20"/>
      <c r="B11" s="22" t="s">
        <v>51</v>
      </c>
      <c r="C11" s="48">
        <v>79544</v>
      </c>
      <c r="D11" s="48">
        <v>58251</v>
      </c>
      <c r="E11" s="48">
        <v>54465</v>
      </c>
      <c r="F11" s="48">
        <v>10350</v>
      </c>
      <c r="G11" s="48">
        <f>+I11-SUM(C11:F11)</f>
        <v>6888.7399999999907</v>
      </c>
      <c r="I11" s="52">
        <f>SUM(C11:F11)+(0.034*SUM(C11:F11))</f>
        <v>209498.74</v>
      </c>
      <c r="J11" s="24">
        <f t="shared" ref="J11:O11" si="0">C11/$I11</f>
        <v>0.37968724776101281</v>
      </c>
      <c r="K11" s="25">
        <f t="shared" si="0"/>
        <v>0.27804940497494163</v>
      </c>
      <c r="L11" s="25">
        <f t="shared" si="0"/>
        <v>0.25997769724056574</v>
      </c>
      <c r="M11" s="25">
        <f t="shared" si="0"/>
        <v>4.9403638418063993E-2</v>
      </c>
      <c r="N11" s="25">
        <f t="shared" si="0"/>
        <v>3.2882011605415817E-2</v>
      </c>
      <c r="O11" s="25">
        <f t="shared" si="0"/>
        <v>0</v>
      </c>
      <c r="P11" s="47"/>
      <c r="Q11" s="47"/>
      <c r="R11" s="47"/>
      <c r="S11" s="47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</row>
    <row r="12" spans="1:255" ht="15.75">
      <c r="A12" s="20"/>
      <c r="B12" s="20" t="s">
        <v>25</v>
      </c>
      <c r="C12" s="45"/>
      <c r="D12" s="45"/>
      <c r="E12" s="45"/>
      <c r="F12" s="45"/>
      <c r="G12" s="45"/>
      <c r="H12" s="45"/>
      <c r="I12" s="45"/>
      <c r="J12" s="46"/>
      <c r="K12" s="45"/>
      <c r="L12" s="45"/>
      <c r="M12" s="45"/>
      <c r="N12" s="45"/>
      <c r="O12" s="45"/>
      <c r="P12" s="47"/>
      <c r="Q12" s="47"/>
      <c r="R12" s="47"/>
      <c r="S12" s="47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</row>
    <row r="13" spans="1:255" ht="15.75">
      <c r="A13" s="20"/>
      <c r="B13" s="20" t="s">
        <v>26</v>
      </c>
      <c r="C13" s="49"/>
      <c r="D13" s="49"/>
      <c r="E13" s="49"/>
      <c r="F13" s="49"/>
      <c r="G13" s="49"/>
      <c r="H13" s="49"/>
      <c r="I13" s="49"/>
      <c r="J13" s="50"/>
      <c r="K13" s="49"/>
      <c r="L13" s="49"/>
      <c r="M13" s="49"/>
      <c r="N13" s="49"/>
      <c r="O13" s="49"/>
      <c r="P13" s="51"/>
      <c r="Q13" s="51"/>
      <c r="R13" s="51"/>
      <c r="S13" s="5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</row>
    <row r="14" spans="1:255" ht="15.75">
      <c r="A14" s="26" t="s">
        <v>3</v>
      </c>
      <c r="B14" s="26" t="s">
        <v>19</v>
      </c>
      <c r="C14" s="40"/>
      <c r="D14" s="40"/>
      <c r="E14" s="40"/>
      <c r="F14" s="40"/>
      <c r="G14" s="40"/>
      <c r="H14" s="40"/>
      <c r="I14" s="40"/>
      <c r="J14" s="31"/>
      <c r="K14" s="41"/>
      <c r="L14" s="41"/>
      <c r="M14" s="41"/>
      <c r="N14" s="41"/>
      <c r="O14" s="41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</row>
    <row r="15" spans="1:255" ht="15.75">
      <c r="A15" s="20"/>
      <c r="B15" s="20" t="s">
        <v>20</v>
      </c>
      <c r="C15" s="30"/>
      <c r="D15" s="30"/>
      <c r="E15" s="30"/>
      <c r="F15" s="30"/>
      <c r="G15" s="30"/>
      <c r="H15" s="30"/>
      <c r="I15" s="30"/>
      <c r="J15" s="31"/>
      <c r="K15" s="21"/>
      <c r="L15" s="21"/>
      <c r="M15" s="21"/>
      <c r="N15" s="21"/>
      <c r="O15" s="21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</row>
    <row r="16" spans="1:255" ht="15.75">
      <c r="A16" s="20"/>
      <c r="B16" s="20" t="s">
        <v>21</v>
      </c>
      <c r="C16" s="30"/>
      <c r="D16" s="30"/>
      <c r="E16" s="30"/>
      <c r="F16" s="30"/>
      <c r="G16" s="30"/>
      <c r="H16" s="30"/>
      <c r="I16" s="30"/>
      <c r="J16" s="31"/>
      <c r="K16" s="21"/>
      <c r="L16" s="21"/>
      <c r="M16" s="21"/>
      <c r="N16" s="21"/>
      <c r="O16" s="21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</row>
    <row r="17" spans="1:255" ht="15.75">
      <c r="A17" s="20"/>
      <c r="B17" s="20" t="s">
        <v>22</v>
      </c>
      <c r="C17" s="30"/>
      <c r="D17" s="30"/>
      <c r="E17" s="30"/>
      <c r="F17" s="30"/>
      <c r="G17" s="30"/>
      <c r="H17" s="53"/>
      <c r="I17" s="30"/>
      <c r="J17" s="31"/>
      <c r="K17" s="21"/>
      <c r="L17" s="21"/>
      <c r="M17" s="21"/>
      <c r="N17" s="21"/>
      <c r="O17" s="21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</row>
    <row r="18" spans="1:255" ht="15.75">
      <c r="A18" s="20"/>
      <c r="B18" s="20" t="s">
        <v>23</v>
      </c>
      <c r="C18" s="30"/>
      <c r="D18" s="30"/>
      <c r="E18" s="30"/>
      <c r="F18" s="30"/>
      <c r="G18" s="30"/>
      <c r="H18" s="30"/>
      <c r="I18" s="30"/>
      <c r="J18" s="31"/>
      <c r="K18" s="21"/>
      <c r="L18" s="21"/>
      <c r="M18" s="21"/>
      <c r="N18" s="21"/>
      <c r="O18" s="21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</row>
    <row r="19" spans="1:255" ht="15.75">
      <c r="A19" s="20"/>
      <c r="B19" s="20" t="s">
        <v>24</v>
      </c>
      <c r="C19" s="30"/>
      <c r="D19" s="30"/>
      <c r="E19" s="30"/>
      <c r="F19" s="30"/>
      <c r="G19" s="30"/>
      <c r="H19" s="30"/>
      <c r="I19" s="30"/>
      <c r="J19" s="31"/>
      <c r="K19" s="21"/>
      <c r="L19" s="21"/>
      <c r="M19" s="21"/>
      <c r="N19" s="21"/>
      <c r="O19" s="21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</row>
    <row r="20" spans="1:255" ht="15.75">
      <c r="A20" s="20"/>
      <c r="B20" s="22" t="s">
        <v>51</v>
      </c>
      <c r="C20" s="23">
        <v>25086</v>
      </c>
      <c r="D20" s="23">
        <v>21132</v>
      </c>
      <c r="E20" s="23">
        <v>20647</v>
      </c>
      <c r="F20" s="23">
        <v>5160</v>
      </c>
      <c r="G20" s="48">
        <f>+I20-SUM(C20:F20)</f>
        <v>2448.8500000000058</v>
      </c>
      <c r="H20" s="52"/>
      <c r="I20" s="52">
        <f>SUM(C20:F20)+(0.034*SUM(C20:F20))</f>
        <v>74473.850000000006</v>
      </c>
      <c r="J20" s="24">
        <f t="shared" ref="J20:O20" si="1">C20/$I20</f>
        <v>0.33684306639176032</v>
      </c>
      <c r="K20" s="25">
        <f t="shared" si="1"/>
        <v>0.2837506050781583</v>
      </c>
      <c r="L20" s="25">
        <f t="shared" si="1"/>
        <v>0.27723825208445646</v>
      </c>
      <c r="M20" s="25">
        <f t="shared" si="1"/>
        <v>6.9286064840209008E-2</v>
      </c>
      <c r="N20" s="25">
        <f t="shared" si="1"/>
        <v>3.2882011605415935E-2</v>
      </c>
      <c r="O20" s="25">
        <f t="shared" si="1"/>
        <v>0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</row>
    <row r="21" spans="1:255" ht="15.75">
      <c r="A21" s="20"/>
      <c r="B21" s="20" t="s">
        <v>25</v>
      </c>
      <c r="C21" s="30"/>
      <c r="D21" s="30"/>
      <c r="E21" s="30"/>
      <c r="F21" s="30"/>
      <c r="G21" s="30"/>
      <c r="H21" s="30"/>
      <c r="I21" s="30"/>
      <c r="J21" s="31"/>
      <c r="K21" s="21"/>
      <c r="L21" s="21"/>
      <c r="M21" s="21"/>
      <c r="N21" s="21"/>
      <c r="O21" s="21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</row>
    <row r="22" spans="1:255" ht="15.75">
      <c r="A22" s="20"/>
      <c r="B22" s="20" t="s">
        <v>26</v>
      </c>
      <c r="C22" s="30"/>
      <c r="D22" s="30"/>
      <c r="E22" s="30"/>
      <c r="F22" s="30"/>
      <c r="G22" s="30"/>
      <c r="H22" s="30"/>
      <c r="I22" s="30"/>
      <c r="J22" s="31"/>
      <c r="K22" s="21"/>
      <c r="L22" s="21"/>
      <c r="M22" s="21"/>
      <c r="N22" s="21"/>
      <c r="O22" s="21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</row>
    <row r="23" spans="1:255" ht="15.75">
      <c r="A23" s="26" t="s">
        <v>4</v>
      </c>
      <c r="B23" s="26" t="s">
        <v>19</v>
      </c>
      <c r="C23" s="27"/>
      <c r="D23" s="27"/>
      <c r="E23" s="27"/>
      <c r="F23" s="27"/>
      <c r="G23" s="27"/>
      <c r="H23" s="27"/>
      <c r="I23" s="27"/>
      <c r="J23" s="28"/>
      <c r="K23" s="29"/>
      <c r="L23" s="29"/>
      <c r="M23" s="29"/>
      <c r="N23" s="29"/>
      <c r="O23" s="29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</row>
    <row r="24" spans="1:255" ht="15.75">
      <c r="A24" s="20"/>
      <c r="B24" s="20" t="s">
        <v>20</v>
      </c>
      <c r="C24" s="30"/>
      <c r="D24" s="30"/>
      <c r="E24" s="30"/>
      <c r="F24" s="30"/>
      <c r="G24" s="30"/>
      <c r="H24" s="30"/>
      <c r="I24" s="30"/>
      <c r="J24" s="31"/>
      <c r="K24" s="21"/>
      <c r="L24" s="21"/>
      <c r="M24" s="21"/>
      <c r="N24" s="21"/>
      <c r="O24" s="21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</row>
    <row r="25" spans="1:255" ht="15.75">
      <c r="A25" s="20"/>
      <c r="B25" s="20" t="s">
        <v>21</v>
      </c>
      <c r="C25" s="30"/>
      <c r="D25" s="30"/>
      <c r="E25" s="30"/>
      <c r="F25" s="30"/>
      <c r="G25" s="30"/>
      <c r="H25" s="30"/>
      <c r="I25" s="30"/>
      <c r="J25" s="31"/>
      <c r="K25" s="21"/>
      <c r="L25" s="21"/>
      <c r="M25" s="21"/>
      <c r="N25" s="21"/>
      <c r="O25" s="21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</row>
    <row r="26" spans="1:255" ht="15.75">
      <c r="A26" s="20"/>
      <c r="B26" s="20" t="s">
        <v>22</v>
      </c>
      <c r="C26" s="30"/>
      <c r="D26" s="30"/>
      <c r="E26" s="30"/>
      <c r="F26" s="30"/>
      <c r="G26" s="30"/>
      <c r="H26" s="30"/>
      <c r="I26" s="30"/>
      <c r="J26" s="31"/>
      <c r="K26" s="21"/>
      <c r="L26" s="21"/>
      <c r="M26" s="21"/>
      <c r="N26" s="21"/>
      <c r="O26" s="21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</row>
    <row r="27" spans="1:255" ht="15.75">
      <c r="A27" s="20"/>
      <c r="B27" s="20" t="s">
        <v>23</v>
      </c>
      <c r="C27" s="30"/>
      <c r="D27" s="30"/>
      <c r="E27" s="30"/>
      <c r="F27" s="30"/>
      <c r="G27" s="30"/>
      <c r="H27" s="30"/>
      <c r="I27" s="30"/>
      <c r="J27" s="31"/>
      <c r="K27" s="21"/>
      <c r="L27" s="21"/>
      <c r="M27" s="21"/>
      <c r="N27" s="21"/>
      <c r="O27" s="21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</row>
    <row r="28" spans="1:255" ht="15.75">
      <c r="A28" s="20"/>
      <c r="B28" s="20" t="s">
        <v>24</v>
      </c>
      <c r="C28" s="30"/>
      <c r="D28" s="30"/>
      <c r="E28" s="30"/>
      <c r="F28" s="30"/>
      <c r="G28" s="30"/>
      <c r="H28" s="30"/>
      <c r="I28" s="30"/>
      <c r="J28" s="31"/>
      <c r="K28" s="21"/>
      <c r="L28" s="21"/>
      <c r="M28" s="21"/>
      <c r="N28" s="21"/>
      <c r="O28" s="21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</row>
    <row r="29" spans="1:255" ht="15.75">
      <c r="A29" s="20"/>
      <c r="B29" s="22" t="s">
        <v>51</v>
      </c>
      <c r="C29" s="23">
        <v>1404</v>
      </c>
      <c r="D29" s="23">
        <v>1325</v>
      </c>
      <c r="E29" s="23">
        <v>1485</v>
      </c>
      <c r="F29" s="23">
        <v>449</v>
      </c>
      <c r="G29" s="48">
        <f>+I29-SUM(C29:F29)</f>
        <v>54</v>
      </c>
      <c r="H29" s="23"/>
      <c r="I29" s="23">
        <v>4717</v>
      </c>
      <c r="J29" s="24">
        <f t="shared" ref="J29:O29" si="2">C29/$I29</f>
        <v>0.29764680941276234</v>
      </c>
      <c r="K29" s="25">
        <f t="shared" si="2"/>
        <v>0.2808988764044944</v>
      </c>
      <c r="L29" s="25">
        <f t="shared" si="2"/>
        <v>0.31481874072503713</v>
      </c>
      <c r="M29" s="25">
        <f t="shared" si="2"/>
        <v>9.5187619249523001E-2</v>
      </c>
      <c r="N29" s="25">
        <f t="shared" si="2"/>
        <v>1.1447954208183167E-2</v>
      </c>
      <c r="O29" s="25">
        <f t="shared" si="2"/>
        <v>0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</row>
    <row r="30" spans="1:255" ht="15.75">
      <c r="A30" s="20"/>
      <c r="B30" s="20" t="s">
        <v>25</v>
      </c>
      <c r="C30" s="30"/>
      <c r="D30" s="30"/>
      <c r="E30" s="30"/>
      <c r="F30" s="30"/>
      <c r="G30" s="30"/>
      <c r="H30" s="30"/>
      <c r="I30" s="30"/>
      <c r="J30" s="31"/>
      <c r="K30" s="21"/>
      <c r="L30" s="21"/>
      <c r="M30" s="21"/>
      <c r="N30" s="21"/>
      <c r="O30" s="21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</row>
    <row r="31" spans="1:255" ht="15.75">
      <c r="A31" s="20"/>
      <c r="B31" s="20" t="s">
        <v>26</v>
      </c>
      <c r="C31" s="30"/>
      <c r="D31" s="30"/>
      <c r="E31" s="30"/>
      <c r="F31" s="30"/>
      <c r="G31" s="30"/>
      <c r="H31" s="30"/>
      <c r="I31" s="30"/>
      <c r="J31" s="31"/>
      <c r="K31" s="21"/>
      <c r="L31" s="21"/>
      <c r="M31" s="21"/>
      <c r="N31" s="21"/>
      <c r="O31" s="21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</row>
    <row r="32" spans="1:255" ht="15.75">
      <c r="A32" s="26" t="s">
        <v>5</v>
      </c>
      <c r="B32" s="26" t="s">
        <v>19</v>
      </c>
      <c r="C32" s="27"/>
      <c r="D32" s="27"/>
      <c r="E32" s="27"/>
      <c r="F32" s="27"/>
      <c r="G32" s="27"/>
      <c r="H32" s="27"/>
      <c r="I32" s="27"/>
      <c r="J32" s="28"/>
      <c r="K32" s="29"/>
      <c r="L32" s="29"/>
      <c r="M32" s="29"/>
      <c r="N32" s="29"/>
      <c r="O32" s="29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</row>
    <row r="33" spans="1:255" ht="15.75">
      <c r="A33" s="20"/>
      <c r="B33" s="20" t="s">
        <v>20</v>
      </c>
      <c r="C33" s="30"/>
      <c r="D33" s="30"/>
      <c r="E33" s="30"/>
      <c r="F33" s="30"/>
      <c r="G33" s="30"/>
      <c r="H33" s="30"/>
      <c r="I33" s="30"/>
      <c r="J33" s="31"/>
      <c r="K33" s="21"/>
      <c r="L33" s="21"/>
      <c r="M33" s="21"/>
      <c r="N33" s="21"/>
      <c r="O33" s="21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</row>
    <row r="34" spans="1:255" ht="15.75">
      <c r="A34" s="20"/>
      <c r="B34" s="20" t="s">
        <v>21</v>
      </c>
      <c r="C34" s="30"/>
      <c r="D34" s="30"/>
      <c r="E34" s="30"/>
      <c r="F34" s="30"/>
      <c r="G34" s="30"/>
      <c r="H34" s="30"/>
      <c r="I34" s="30"/>
      <c r="J34" s="31"/>
      <c r="K34" s="21"/>
      <c r="L34" s="21"/>
      <c r="M34" s="21"/>
      <c r="N34" s="21"/>
      <c r="O34" s="21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</row>
    <row r="35" spans="1:255" ht="15.75">
      <c r="A35" s="20"/>
      <c r="B35" s="20" t="s">
        <v>22</v>
      </c>
      <c r="C35" s="30"/>
      <c r="D35" s="30"/>
      <c r="E35" s="30"/>
      <c r="F35" s="30"/>
      <c r="G35" s="30"/>
      <c r="H35" s="30"/>
      <c r="I35" s="30"/>
      <c r="J35" s="31"/>
      <c r="K35" s="21"/>
      <c r="L35" s="21"/>
      <c r="M35" s="21"/>
      <c r="N35" s="21"/>
      <c r="O35" s="21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</row>
    <row r="36" spans="1:255" ht="15.75">
      <c r="A36" s="20"/>
      <c r="B36" s="20" t="s">
        <v>23</v>
      </c>
      <c r="C36" s="30"/>
      <c r="D36" s="30"/>
      <c r="E36" s="30"/>
      <c r="F36" s="30"/>
      <c r="G36" s="30"/>
      <c r="H36" s="30"/>
      <c r="I36" s="30"/>
      <c r="J36" s="31"/>
      <c r="K36" s="21"/>
      <c r="L36" s="21"/>
      <c r="M36" s="21"/>
      <c r="N36" s="21"/>
      <c r="O36" s="21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</row>
    <row r="37" spans="1:255" ht="15.75">
      <c r="A37" s="20"/>
      <c r="B37" s="20" t="s">
        <v>24</v>
      </c>
      <c r="C37" s="30"/>
      <c r="D37" s="30"/>
      <c r="E37" s="30"/>
      <c r="F37" s="30"/>
      <c r="G37" s="30"/>
      <c r="H37" s="30"/>
      <c r="I37" s="30"/>
      <c r="J37" s="31"/>
      <c r="K37" s="21"/>
      <c r="L37" s="21"/>
      <c r="M37" s="21"/>
      <c r="N37" s="21"/>
      <c r="O37" s="21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</row>
    <row r="38" spans="1:255" ht="15.75">
      <c r="A38" s="20"/>
      <c r="B38" s="22" t="s">
        <v>51</v>
      </c>
      <c r="C38" s="23">
        <v>796</v>
      </c>
      <c r="D38" s="23">
        <v>672</v>
      </c>
      <c r="E38" s="23">
        <v>771</v>
      </c>
      <c r="F38" s="23">
        <v>367</v>
      </c>
      <c r="G38" s="48">
        <f>+I38-SUM(C38:F38)</f>
        <v>51</v>
      </c>
      <c r="H38" s="23"/>
      <c r="I38" s="23">
        <v>2657</v>
      </c>
      <c r="J38" s="24">
        <f t="shared" ref="J38:O38" si="3">C38/$I38</f>
        <v>0.29958599924727136</v>
      </c>
      <c r="K38" s="25">
        <f t="shared" si="3"/>
        <v>0.25291682348513361</v>
      </c>
      <c r="L38" s="25">
        <f t="shared" si="3"/>
        <v>0.29017689123071133</v>
      </c>
      <c r="M38" s="25">
        <f t="shared" si="3"/>
        <v>0.13812570568310123</v>
      </c>
      <c r="N38" s="25">
        <f t="shared" si="3"/>
        <v>1.9194580353782461E-2</v>
      </c>
      <c r="O38" s="25">
        <f t="shared" si="3"/>
        <v>0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</row>
    <row r="39" spans="1:255" ht="15.75">
      <c r="A39" s="20"/>
      <c r="B39" s="20" t="s">
        <v>25</v>
      </c>
      <c r="C39" s="30"/>
      <c r="D39" s="30"/>
      <c r="E39" s="30"/>
      <c r="F39" s="30"/>
      <c r="G39" s="30"/>
      <c r="H39" s="30"/>
      <c r="I39" s="30"/>
      <c r="J39" s="31"/>
      <c r="K39" s="21"/>
      <c r="L39" s="21"/>
      <c r="M39" s="21"/>
      <c r="N39" s="21"/>
      <c r="O39" s="21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</row>
    <row r="40" spans="1:255" ht="15.75">
      <c r="A40" s="20"/>
      <c r="B40" s="20" t="s">
        <v>26</v>
      </c>
      <c r="C40" s="30"/>
      <c r="D40" s="30"/>
      <c r="E40" s="30"/>
      <c r="F40" s="30"/>
      <c r="G40" s="30"/>
      <c r="H40" s="30"/>
      <c r="I40" s="30"/>
      <c r="J40" s="31"/>
      <c r="K40" s="21"/>
      <c r="L40" s="21"/>
      <c r="M40" s="21"/>
      <c r="N40" s="21"/>
      <c r="O40" s="21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</row>
    <row r="41" spans="1:255" ht="15.75">
      <c r="A41" s="26" t="s">
        <v>82</v>
      </c>
      <c r="B41" s="26" t="s">
        <v>19</v>
      </c>
      <c r="C41" s="30"/>
      <c r="D41" s="30"/>
      <c r="E41" s="30"/>
      <c r="F41" s="30"/>
      <c r="G41" s="30"/>
      <c r="H41" s="30"/>
      <c r="I41" s="30"/>
      <c r="J41" s="31"/>
      <c r="K41" s="21"/>
      <c r="L41" s="21"/>
      <c r="M41" s="21"/>
      <c r="N41" s="21"/>
      <c r="O41" s="21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</row>
    <row r="42" spans="1:255" ht="15.75">
      <c r="A42" s="20"/>
      <c r="B42" s="20" t="s">
        <v>20</v>
      </c>
      <c r="C42" s="30"/>
      <c r="D42" s="30"/>
      <c r="E42" s="30"/>
      <c r="F42" s="30"/>
      <c r="G42" s="30"/>
      <c r="H42" s="30"/>
      <c r="I42" s="30"/>
      <c r="J42" s="31"/>
      <c r="K42" s="21"/>
      <c r="L42" s="21"/>
      <c r="M42" s="21"/>
      <c r="N42" s="21"/>
      <c r="O42" s="21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</row>
    <row r="43" spans="1:255" ht="15.75">
      <c r="A43" s="20"/>
      <c r="B43" s="20" t="s">
        <v>21</v>
      </c>
      <c r="C43" s="30"/>
      <c r="D43" s="30"/>
      <c r="E43" s="30"/>
      <c r="F43" s="30"/>
      <c r="G43" s="30"/>
      <c r="H43" s="30"/>
      <c r="I43" s="30"/>
      <c r="J43" s="31"/>
      <c r="K43" s="21"/>
      <c r="L43" s="21"/>
      <c r="M43" s="21"/>
      <c r="N43" s="21"/>
      <c r="O43" s="21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</row>
    <row r="44" spans="1:255" ht="15.75">
      <c r="A44" s="20"/>
      <c r="B44" s="20" t="s">
        <v>22</v>
      </c>
      <c r="C44" s="30"/>
      <c r="D44" s="30"/>
      <c r="E44" s="30"/>
      <c r="F44" s="30"/>
      <c r="G44" s="30"/>
      <c r="H44" s="30"/>
      <c r="I44" s="30"/>
      <c r="J44" s="31"/>
      <c r="K44" s="21"/>
      <c r="L44" s="21"/>
      <c r="M44" s="21"/>
      <c r="N44" s="21"/>
      <c r="O44" s="21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</row>
    <row r="45" spans="1:255" ht="15.75">
      <c r="A45" s="20"/>
      <c r="B45" s="20" t="s">
        <v>23</v>
      </c>
      <c r="C45" s="30"/>
      <c r="D45" s="30"/>
      <c r="E45" s="30"/>
      <c r="F45" s="30"/>
      <c r="G45" s="30"/>
      <c r="H45" s="30"/>
      <c r="I45" s="30"/>
      <c r="J45" s="31"/>
      <c r="K45" s="21"/>
      <c r="L45" s="21"/>
      <c r="M45" s="21"/>
      <c r="N45" s="21"/>
      <c r="O45" s="21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</row>
    <row r="46" spans="1:255" ht="15.75">
      <c r="A46" s="20"/>
      <c r="B46" s="20" t="s">
        <v>24</v>
      </c>
      <c r="C46" s="30"/>
      <c r="D46" s="30"/>
      <c r="E46" s="30"/>
      <c r="F46" s="30"/>
      <c r="G46" s="30"/>
      <c r="H46" s="30"/>
      <c r="I46" s="30"/>
      <c r="J46" s="31"/>
      <c r="K46" s="21"/>
      <c r="L46" s="21"/>
      <c r="M46" s="21"/>
      <c r="N46" s="21"/>
      <c r="O46" s="21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</row>
    <row r="47" spans="1:255" ht="15.75">
      <c r="A47" s="20"/>
      <c r="B47" s="22" t="s">
        <v>51</v>
      </c>
      <c r="C47" s="30">
        <v>352</v>
      </c>
      <c r="D47" s="30">
        <v>356</v>
      </c>
      <c r="E47" s="30">
        <v>294</v>
      </c>
      <c r="F47" s="30">
        <v>77</v>
      </c>
      <c r="G47" s="48">
        <f>+I47-SUM(C47:F47)</f>
        <v>66</v>
      </c>
      <c r="H47" s="30"/>
      <c r="I47" s="30">
        <v>1145</v>
      </c>
      <c r="J47" s="24">
        <f t="shared" ref="J47:O47" si="4">C47/$I47</f>
        <v>0.30742358078602622</v>
      </c>
      <c r="K47" s="25">
        <f t="shared" si="4"/>
        <v>0.3109170305676856</v>
      </c>
      <c r="L47" s="25">
        <f t="shared" si="4"/>
        <v>0.25676855895196504</v>
      </c>
      <c r="M47" s="25">
        <f t="shared" si="4"/>
        <v>6.724890829694323E-2</v>
      </c>
      <c r="N47" s="25">
        <f t="shared" si="4"/>
        <v>5.7641921397379912E-2</v>
      </c>
      <c r="O47" s="25">
        <f t="shared" si="4"/>
        <v>0</v>
      </c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</row>
    <row r="48" spans="1:255" ht="15.75">
      <c r="A48" s="20"/>
      <c r="B48" s="20" t="s">
        <v>25</v>
      </c>
      <c r="C48" s="30"/>
      <c r="D48" s="30"/>
      <c r="E48" s="30"/>
      <c r="F48" s="30"/>
      <c r="G48" s="30"/>
      <c r="H48" s="30"/>
      <c r="I48" s="30"/>
      <c r="J48" s="31"/>
      <c r="K48" s="21"/>
      <c r="L48" s="21"/>
      <c r="M48" s="21"/>
      <c r="N48" s="21"/>
      <c r="O48" s="21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</row>
    <row r="49" spans="1:255" ht="15.75">
      <c r="A49" s="20"/>
      <c r="B49" s="20" t="s">
        <v>26</v>
      </c>
      <c r="C49" s="30"/>
      <c r="D49" s="30"/>
      <c r="E49" s="30"/>
      <c r="F49" s="30"/>
      <c r="G49" s="30"/>
      <c r="H49" s="30"/>
      <c r="I49" s="30"/>
      <c r="J49" s="31"/>
      <c r="K49" s="21"/>
      <c r="L49" s="21"/>
      <c r="M49" s="21"/>
      <c r="N49" s="21"/>
      <c r="O49" s="21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</row>
    <row r="50" spans="1:255" ht="15.75">
      <c r="A50" s="26" t="s">
        <v>6</v>
      </c>
      <c r="B50" s="26" t="s">
        <v>19</v>
      </c>
      <c r="C50" s="27"/>
      <c r="D50" s="27"/>
      <c r="E50" s="27"/>
      <c r="F50" s="27"/>
      <c r="G50" s="27"/>
      <c r="H50" s="27"/>
      <c r="I50" s="27"/>
      <c r="J50" s="28"/>
      <c r="K50" s="29"/>
      <c r="L50" s="29"/>
      <c r="M50" s="29"/>
      <c r="N50" s="29"/>
      <c r="O50" s="29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</row>
    <row r="51" spans="1:255" ht="15.75">
      <c r="A51" s="20"/>
      <c r="B51" s="20" t="s">
        <v>20</v>
      </c>
      <c r="C51" s="30"/>
      <c r="D51" s="30"/>
      <c r="E51" s="30"/>
      <c r="F51" s="30"/>
      <c r="G51" s="30"/>
      <c r="H51" s="30"/>
      <c r="I51" s="30"/>
      <c r="J51" s="31"/>
      <c r="K51" s="21"/>
      <c r="L51" s="21"/>
      <c r="M51" s="21"/>
      <c r="N51" s="21"/>
      <c r="O51" s="21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</row>
    <row r="52" spans="1:255" ht="15.75">
      <c r="A52" s="20"/>
      <c r="B52" s="20" t="s">
        <v>21</v>
      </c>
      <c r="C52" s="30"/>
      <c r="D52" s="30"/>
      <c r="E52" s="30"/>
      <c r="F52" s="30"/>
      <c r="G52" s="30"/>
      <c r="H52" s="30"/>
      <c r="I52" s="30"/>
      <c r="J52" s="31"/>
      <c r="K52" s="21"/>
      <c r="L52" s="21"/>
      <c r="M52" s="21"/>
      <c r="N52" s="21"/>
      <c r="O52" s="21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</row>
    <row r="53" spans="1:255" ht="15.75">
      <c r="A53" s="20"/>
      <c r="B53" s="20" t="s">
        <v>22</v>
      </c>
      <c r="C53" s="30"/>
      <c r="D53" s="30"/>
      <c r="E53" s="30"/>
      <c r="F53" s="30"/>
      <c r="G53" s="30"/>
      <c r="H53" s="30"/>
      <c r="I53" s="30"/>
      <c r="J53" s="31"/>
      <c r="K53" s="21"/>
      <c r="L53" s="21"/>
      <c r="M53" s="21"/>
      <c r="N53" s="21"/>
      <c r="O53" s="21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</row>
    <row r="54" spans="1:255" ht="15.75">
      <c r="A54" s="20"/>
      <c r="B54" s="20" t="s">
        <v>23</v>
      </c>
      <c r="C54" s="30"/>
      <c r="D54" s="30"/>
      <c r="E54" s="30"/>
      <c r="F54" s="30"/>
      <c r="G54" s="30"/>
      <c r="H54" s="30"/>
      <c r="I54" s="30"/>
      <c r="J54" s="31"/>
      <c r="K54" s="21"/>
      <c r="L54" s="21"/>
      <c r="M54" s="21"/>
      <c r="N54" s="21"/>
      <c r="O54" s="21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</row>
    <row r="55" spans="1:255" ht="15.75">
      <c r="A55" s="20"/>
      <c r="B55" s="20" t="s">
        <v>24</v>
      </c>
      <c r="C55" s="30"/>
      <c r="D55" s="30"/>
      <c r="E55" s="30"/>
      <c r="F55" s="30"/>
      <c r="G55" s="30"/>
      <c r="H55" s="30"/>
      <c r="I55" s="30"/>
      <c r="J55" s="31"/>
      <c r="K55" s="21"/>
      <c r="L55" s="21"/>
      <c r="M55" s="21"/>
      <c r="N55" s="21"/>
      <c r="O55" s="21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</row>
    <row r="56" spans="1:255" ht="15.75">
      <c r="A56" s="20"/>
      <c r="B56" s="22" t="s">
        <v>51</v>
      </c>
      <c r="C56" s="23">
        <v>2621</v>
      </c>
      <c r="D56" s="23">
        <v>2219</v>
      </c>
      <c r="E56" s="23">
        <v>1722</v>
      </c>
      <c r="F56" s="23">
        <v>345</v>
      </c>
      <c r="G56" s="48">
        <f>+I56-SUM(C56:F56)</f>
        <v>0</v>
      </c>
      <c r="H56" s="23"/>
      <c r="I56" s="23">
        <v>6907</v>
      </c>
      <c r="J56" s="24">
        <f t="shared" ref="J56:O56" si="5">C56/$I56</f>
        <v>0.37947010279426668</v>
      </c>
      <c r="K56" s="25">
        <f t="shared" si="5"/>
        <v>0.32126827855798468</v>
      </c>
      <c r="L56" s="25">
        <f t="shared" si="5"/>
        <v>0.24931229187780513</v>
      </c>
      <c r="M56" s="25">
        <f t="shared" si="5"/>
        <v>4.9949326769943535E-2</v>
      </c>
      <c r="N56" s="25">
        <f t="shared" si="5"/>
        <v>0</v>
      </c>
      <c r="O56" s="25">
        <f t="shared" si="5"/>
        <v>0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</row>
    <row r="57" spans="1:255" ht="15.75">
      <c r="A57" s="20"/>
      <c r="B57" s="20" t="s">
        <v>25</v>
      </c>
      <c r="C57" s="30"/>
      <c r="D57" s="30"/>
      <c r="E57" s="30"/>
      <c r="F57" s="30"/>
      <c r="G57" s="30"/>
      <c r="H57" s="30"/>
      <c r="I57" s="30"/>
      <c r="J57" s="31"/>
      <c r="K57" s="21"/>
      <c r="L57" s="21"/>
      <c r="M57" s="21"/>
      <c r="N57" s="21"/>
      <c r="O57" s="21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</row>
    <row r="58" spans="1:255" ht="15.75">
      <c r="A58" s="20"/>
      <c r="B58" s="20" t="s">
        <v>26</v>
      </c>
      <c r="C58" s="30"/>
      <c r="D58" s="30"/>
      <c r="E58" s="30"/>
      <c r="F58" s="30"/>
      <c r="G58" s="30"/>
      <c r="H58" s="30"/>
      <c r="I58" s="30"/>
      <c r="J58" s="31"/>
      <c r="K58" s="21"/>
      <c r="L58" s="21"/>
      <c r="M58" s="21"/>
      <c r="N58" s="21"/>
      <c r="O58" s="21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</row>
    <row r="59" spans="1:255" ht="15.75">
      <c r="A59" s="26" t="s">
        <v>7</v>
      </c>
      <c r="B59" s="26" t="s">
        <v>19</v>
      </c>
      <c r="C59" s="27"/>
      <c r="D59" s="27"/>
      <c r="E59" s="27"/>
      <c r="F59" s="27"/>
      <c r="G59" s="27"/>
      <c r="H59" s="27"/>
      <c r="I59" s="27"/>
      <c r="J59" s="28"/>
      <c r="K59" s="29"/>
      <c r="L59" s="29"/>
      <c r="M59" s="29"/>
      <c r="N59" s="29"/>
      <c r="O59" s="29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</row>
    <row r="60" spans="1:255" ht="15.75">
      <c r="A60" s="20"/>
      <c r="B60" s="20" t="s">
        <v>20</v>
      </c>
      <c r="C60" s="30"/>
      <c r="D60" s="30"/>
      <c r="E60" s="30"/>
      <c r="F60" s="30"/>
      <c r="G60" s="30"/>
      <c r="H60" s="30"/>
      <c r="I60" s="30"/>
      <c r="J60" s="31"/>
      <c r="K60" s="21"/>
      <c r="L60" s="21"/>
      <c r="M60" s="21"/>
      <c r="N60" s="21"/>
      <c r="O60" s="21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</row>
    <row r="61" spans="1:255" ht="15.75">
      <c r="A61" s="20"/>
      <c r="B61" s="20" t="s">
        <v>21</v>
      </c>
      <c r="C61" s="30"/>
      <c r="D61" s="30"/>
      <c r="E61" s="30"/>
      <c r="F61" s="30"/>
      <c r="G61" s="30"/>
      <c r="H61" s="30"/>
      <c r="I61" s="30"/>
      <c r="J61" s="31"/>
      <c r="K61" s="21"/>
      <c r="L61" s="21"/>
      <c r="M61" s="21"/>
      <c r="N61" s="21"/>
      <c r="O61" s="21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</row>
    <row r="62" spans="1:255" ht="15.75">
      <c r="A62" s="20"/>
      <c r="B62" s="20" t="s">
        <v>22</v>
      </c>
      <c r="C62" s="30"/>
      <c r="D62" s="30"/>
      <c r="E62" s="30"/>
      <c r="F62" s="30"/>
      <c r="G62" s="30"/>
      <c r="H62" s="30"/>
      <c r="I62" s="30"/>
      <c r="J62" s="31"/>
      <c r="K62" s="21"/>
      <c r="L62" s="21"/>
      <c r="M62" s="21"/>
      <c r="N62" s="21"/>
      <c r="O62" s="21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</row>
    <row r="63" spans="1:255" ht="15.75">
      <c r="A63" s="20"/>
      <c r="B63" s="20" t="s">
        <v>23</v>
      </c>
      <c r="C63" s="30"/>
      <c r="D63" s="30"/>
      <c r="E63" s="30"/>
      <c r="F63" s="30"/>
      <c r="G63" s="30"/>
      <c r="H63" s="30"/>
      <c r="I63" s="30"/>
      <c r="J63" s="31"/>
      <c r="K63" s="21"/>
      <c r="L63" s="21"/>
      <c r="M63" s="21"/>
      <c r="N63" s="21"/>
      <c r="O63" s="21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</row>
    <row r="64" spans="1:255" ht="15.75">
      <c r="A64" s="20"/>
      <c r="B64" s="20" t="s">
        <v>24</v>
      </c>
      <c r="C64" s="30"/>
      <c r="D64" s="30"/>
      <c r="E64" s="30"/>
      <c r="F64" s="30"/>
      <c r="G64" s="30"/>
      <c r="H64" s="30"/>
      <c r="I64" s="30"/>
      <c r="J64" s="31"/>
      <c r="K64" s="21"/>
      <c r="L64" s="21"/>
      <c r="M64" s="21"/>
      <c r="N64" s="21"/>
      <c r="O64" s="21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</row>
    <row r="65" spans="1:255" ht="15.75">
      <c r="A65" s="20"/>
      <c r="B65" s="22" t="s">
        <v>51</v>
      </c>
      <c r="C65" s="23">
        <v>1838</v>
      </c>
      <c r="D65" s="23">
        <v>1618</v>
      </c>
      <c r="E65" s="23">
        <v>1578</v>
      </c>
      <c r="F65" s="23">
        <v>385</v>
      </c>
      <c r="G65" s="48">
        <f>+I65-SUM(C65:F65)</f>
        <v>0</v>
      </c>
      <c r="H65" s="23"/>
      <c r="I65" s="23">
        <v>5419</v>
      </c>
      <c r="J65" s="24">
        <f t="shared" ref="J65:O65" si="6">C65/$I65</f>
        <v>0.33917696992064955</v>
      </c>
      <c r="K65" s="25">
        <f t="shared" si="6"/>
        <v>0.298579073629821</v>
      </c>
      <c r="L65" s="25">
        <f t="shared" si="6"/>
        <v>0.29119763794057946</v>
      </c>
      <c r="M65" s="25">
        <f t="shared" si="6"/>
        <v>7.104631850894999E-2</v>
      </c>
      <c r="N65" s="25">
        <f t="shared" si="6"/>
        <v>0</v>
      </c>
      <c r="O65" s="25">
        <f t="shared" si="6"/>
        <v>0</v>
      </c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</row>
    <row r="66" spans="1:255" ht="15.75">
      <c r="A66" s="20"/>
      <c r="B66" s="20" t="s">
        <v>25</v>
      </c>
      <c r="C66" s="30"/>
      <c r="D66" s="30"/>
      <c r="E66" s="30"/>
      <c r="F66" s="30"/>
      <c r="G66" s="30"/>
      <c r="H66" s="30"/>
      <c r="I66" s="30"/>
      <c r="J66" s="31"/>
      <c r="K66" s="21"/>
      <c r="L66" s="21"/>
      <c r="M66" s="21"/>
      <c r="N66" s="21"/>
      <c r="O66" s="21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</row>
    <row r="67" spans="1:255" ht="15.75">
      <c r="A67" s="20"/>
      <c r="B67" s="20" t="s">
        <v>26</v>
      </c>
      <c r="C67" s="30"/>
      <c r="D67" s="30"/>
      <c r="E67" s="30"/>
      <c r="F67" s="30"/>
      <c r="G67" s="30"/>
      <c r="H67" s="30"/>
      <c r="I67" s="30"/>
      <c r="J67" s="31"/>
      <c r="K67" s="21"/>
      <c r="L67" s="21"/>
      <c r="M67" s="21"/>
      <c r="N67" s="21"/>
      <c r="O67" s="21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</row>
    <row r="68" spans="1:255" ht="15.75">
      <c r="A68" s="26" t="s">
        <v>8</v>
      </c>
      <c r="B68" s="26" t="s">
        <v>19</v>
      </c>
      <c r="C68" s="27"/>
      <c r="D68" s="27"/>
      <c r="E68" s="27"/>
      <c r="F68" s="27"/>
      <c r="G68" s="27"/>
      <c r="H68" s="27"/>
      <c r="I68" s="27"/>
      <c r="J68" s="28"/>
      <c r="K68" s="29"/>
      <c r="L68" s="29"/>
      <c r="M68" s="29"/>
      <c r="N68" s="29"/>
      <c r="O68" s="29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</row>
    <row r="69" spans="1:255" ht="15.75">
      <c r="A69" s="20"/>
      <c r="B69" s="20" t="s">
        <v>20</v>
      </c>
      <c r="C69" s="30"/>
      <c r="D69" s="30"/>
      <c r="E69" s="30"/>
      <c r="F69" s="30"/>
      <c r="G69" s="30"/>
      <c r="H69" s="30"/>
      <c r="I69" s="30"/>
      <c r="J69" s="31"/>
      <c r="K69" s="21"/>
      <c r="L69" s="21"/>
      <c r="M69" s="21"/>
      <c r="N69" s="21"/>
      <c r="O69" s="21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</row>
    <row r="70" spans="1:255" ht="15.75">
      <c r="A70" s="20"/>
      <c r="B70" s="20" t="s">
        <v>21</v>
      </c>
      <c r="C70" s="30"/>
      <c r="D70" s="30"/>
      <c r="E70" s="30"/>
      <c r="F70" s="30"/>
      <c r="G70" s="30"/>
      <c r="H70" s="30"/>
      <c r="I70" s="30"/>
      <c r="J70" s="31"/>
      <c r="K70" s="21"/>
      <c r="L70" s="21"/>
      <c r="M70" s="21"/>
      <c r="N70" s="21"/>
      <c r="O70" s="21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</row>
    <row r="71" spans="1:255" ht="15.75">
      <c r="A71" s="20"/>
      <c r="B71" s="20" t="s">
        <v>22</v>
      </c>
      <c r="C71" s="30"/>
      <c r="D71" s="30"/>
      <c r="E71" s="30"/>
      <c r="F71" s="30"/>
      <c r="G71" s="30"/>
      <c r="H71" s="30"/>
      <c r="I71" s="30"/>
      <c r="J71" s="31"/>
      <c r="K71" s="21"/>
      <c r="L71" s="21"/>
      <c r="M71" s="21"/>
      <c r="N71" s="21"/>
      <c r="O71" s="21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</row>
    <row r="72" spans="1:255" ht="15.75">
      <c r="A72" s="20"/>
      <c r="B72" s="20" t="s">
        <v>23</v>
      </c>
      <c r="C72" s="30"/>
      <c r="D72" s="30"/>
      <c r="E72" s="30"/>
      <c r="F72" s="30"/>
      <c r="G72" s="30"/>
      <c r="H72" s="30"/>
      <c r="I72" s="30"/>
      <c r="J72" s="31"/>
      <c r="K72" s="21"/>
      <c r="L72" s="21"/>
      <c r="M72" s="21"/>
      <c r="N72" s="21"/>
      <c r="O72" s="21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</row>
    <row r="73" spans="1:255" ht="15.75">
      <c r="A73" s="20"/>
      <c r="B73" s="20" t="s">
        <v>24</v>
      </c>
      <c r="C73" s="30"/>
      <c r="D73" s="30"/>
      <c r="E73" s="30"/>
      <c r="F73" s="30"/>
      <c r="G73" s="30"/>
      <c r="H73" s="30"/>
      <c r="I73" s="30"/>
      <c r="J73" s="31"/>
      <c r="K73" s="21"/>
      <c r="L73" s="21"/>
      <c r="M73" s="21"/>
      <c r="N73" s="21"/>
      <c r="O73" s="21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</row>
    <row r="74" spans="1:255" ht="15.75">
      <c r="A74" s="20"/>
      <c r="B74" s="22" t="s">
        <v>51</v>
      </c>
      <c r="C74" s="23">
        <v>1527</v>
      </c>
      <c r="D74" s="23">
        <v>1212</v>
      </c>
      <c r="E74" s="23">
        <v>1182</v>
      </c>
      <c r="F74" s="23">
        <v>181</v>
      </c>
      <c r="G74" s="48">
        <f>+I74-SUM(C74:F74)</f>
        <v>83</v>
      </c>
      <c r="H74" s="23"/>
      <c r="I74" s="23">
        <v>4185</v>
      </c>
      <c r="J74" s="24">
        <f t="shared" ref="J74:O74" si="7">C74/$I74</f>
        <v>0.36487455197132618</v>
      </c>
      <c r="K74" s="25">
        <f t="shared" si="7"/>
        <v>0.28960573476702511</v>
      </c>
      <c r="L74" s="25">
        <f t="shared" si="7"/>
        <v>0.28243727598566309</v>
      </c>
      <c r="M74" s="25">
        <f t="shared" si="7"/>
        <v>4.3249701314217445E-2</v>
      </c>
      <c r="N74" s="25">
        <f t="shared" si="7"/>
        <v>1.9832735961768221E-2</v>
      </c>
      <c r="O74" s="25">
        <f t="shared" si="7"/>
        <v>0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</row>
    <row r="75" spans="1:255" ht="15.75">
      <c r="A75" s="20"/>
      <c r="B75" s="20" t="s">
        <v>25</v>
      </c>
      <c r="C75" s="30"/>
      <c r="D75" s="30"/>
      <c r="E75" s="30"/>
      <c r="F75" s="30"/>
      <c r="G75" s="30"/>
      <c r="H75" s="30"/>
      <c r="I75" s="30"/>
      <c r="J75" s="31"/>
      <c r="K75" s="21"/>
      <c r="L75" s="21"/>
      <c r="M75" s="21"/>
      <c r="N75" s="21"/>
      <c r="O75" s="21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</row>
    <row r="76" spans="1:255" ht="15.75">
      <c r="A76" s="20"/>
      <c r="B76" s="20" t="s">
        <v>26</v>
      </c>
      <c r="C76" s="30"/>
      <c r="D76" s="30"/>
      <c r="E76" s="30"/>
      <c r="F76" s="30"/>
      <c r="G76" s="30"/>
      <c r="H76" s="30"/>
      <c r="I76" s="30"/>
      <c r="J76" s="31"/>
      <c r="K76" s="21"/>
      <c r="L76" s="21"/>
      <c r="M76" s="21"/>
      <c r="N76" s="21"/>
      <c r="O76" s="21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</row>
    <row r="77" spans="1:255" ht="15.75">
      <c r="A77" s="26" t="s">
        <v>9</v>
      </c>
      <c r="B77" s="26" t="s">
        <v>19</v>
      </c>
      <c r="C77" s="27"/>
      <c r="D77" s="27"/>
      <c r="E77" s="27"/>
      <c r="F77" s="27"/>
      <c r="G77" s="27"/>
      <c r="H77" s="27"/>
      <c r="I77" s="27"/>
      <c r="J77" s="28"/>
      <c r="K77" s="29"/>
      <c r="L77" s="29"/>
      <c r="M77" s="29"/>
      <c r="N77" s="29"/>
      <c r="O77" s="29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</row>
    <row r="78" spans="1:255" ht="15.75">
      <c r="A78" s="20"/>
      <c r="B78" s="20" t="s">
        <v>20</v>
      </c>
      <c r="C78" s="30"/>
      <c r="D78" s="30"/>
      <c r="E78" s="30"/>
      <c r="F78" s="30"/>
      <c r="G78" s="30"/>
      <c r="H78" s="30"/>
      <c r="I78" s="30"/>
      <c r="J78" s="31"/>
      <c r="K78" s="21"/>
      <c r="L78" s="21"/>
      <c r="M78" s="21"/>
      <c r="N78" s="21"/>
      <c r="O78" s="21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</row>
    <row r="79" spans="1:255" ht="15.75">
      <c r="A79" s="20"/>
      <c r="B79" s="20" t="s">
        <v>21</v>
      </c>
      <c r="C79" s="30"/>
      <c r="D79" s="30"/>
      <c r="E79" s="30"/>
      <c r="F79" s="30"/>
      <c r="G79" s="30"/>
      <c r="H79" s="30"/>
      <c r="I79" s="30"/>
      <c r="J79" s="31"/>
      <c r="K79" s="21"/>
      <c r="L79" s="21"/>
      <c r="M79" s="21"/>
      <c r="N79" s="21"/>
      <c r="O79" s="21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</row>
    <row r="80" spans="1:255" ht="15.75">
      <c r="A80" s="20"/>
      <c r="B80" s="20" t="s">
        <v>22</v>
      </c>
      <c r="C80" s="30"/>
      <c r="D80" s="30"/>
      <c r="E80" s="30"/>
      <c r="F80" s="30"/>
      <c r="G80" s="30"/>
      <c r="H80" s="30"/>
      <c r="I80" s="30"/>
      <c r="J80" s="31"/>
      <c r="K80" s="21"/>
      <c r="L80" s="21"/>
      <c r="M80" s="21"/>
      <c r="N80" s="21"/>
      <c r="O80" s="21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</row>
    <row r="81" spans="1:255" ht="15.75">
      <c r="A81" s="20"/>
      <c r="B81" s="20" t="s">
        <v>23</v>
      </c>
      <c r="C81" s="30"/>
      <c r="D81" s="30"/>
      <c r="E81" s="30"/>
      <c r="F81" s="30"/>
      <c r="G81" s="30"/>
      <c r="H81" s="30"/>
      <c r="I81" s="30"/>
      <c r="J81" s="31"/>
      <c r="K81" s="21"/>
      <c r="L81" s="21"/>
      <c r="M81" s="21"/>
      <c r="N81" s="21"/>
      <c r="O81" s="21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</row>
    <row r="82" spans="1:255" ht="15.75">
      <c r="A82" s="20"/>
      <c r="B82" s="20" t="s">
        <v>24</v>
      </c>
      <c r="C82" s="30"/>
      <c r="D82" s="30"/>
      <c r="E82" s="30"/>
      <c r="F82" s="30"/>
      <c r="G82" s="30"/>
      <c r="H82" s="30"/>
      <c r="I82" s="30"/>
      <c r="J82" s="31"/>
      <c r="K82" s="21"/>
      <c r="L82" s="21"/>
      <c r="M82" s="21"/>
      <c r="N82" s="21"/>
      <c r="O82" s="21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</row>
    <row r="83" spans="1:255" ht="15.75">
      <c r="A83" s="20"/>
      <c r="B83" s="32" t="s">
        <v>51</v>
      </c>
      <c r="C83" s="33">
        <v>1460</v>
      </c>
      <c r="D83" s="33">
        <v>1260</v>
      </c>
      <c r="E83" s="33">
        <v>1633</v>
      </c>
      <c r="F83" s="33">
        <v>647</v>
      </c>
      <c r="G83" s="48">
        <f>+I83-SUM(C83:F83)</f>
        <v>0</v>
      </c>
      <c r="H83" s="33"/>
      <c r="I83" s="33">
        <v>5000</v>
      </c>
      <c r="J83" s="24">
        <f t="shared" ref="J83:O83" si="8">C83/$I83</f>
        <v>0.29199999999999998</v>
      </c>
      <c r="K83" s="25">
        <f t="shared" si="8"/>
        <v>0.252</v>
      </c>
      <c r="L83" s="25">
        <f t="shared" si="8"/>
        <v>0.3266</v>
      </c>
      <c r="M83" s="25">
        <f t="shared" si="8"/>
        <v>0.12939999999999999</v>
      </c>
      <c r="N83" s="25">
        <f t="shared" si="8"/>
        <v>0</v>
      </c>
      <c r="O83" s="25">
        <f t="shared" si="8"/>
        <v>0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</row>
    <row r="84" spans="1:255" ht="15.75">
      <c r="A84" s="20"/>
      <c r="B84" s="20" t="s">
        <v>25</v>
      </c>
      <c r="C84" s="30"/>
      <c r="D84" s="30"/>
      <c r="E84" s="30"/>
      <c r="F84" s="30"/>
      <c r="G84" s="30"/>
      <c r="H84" s="30"/>
      <c r="I84" s="30"/>
      <c r="J84" s="31"/>
      <c r="K84" s="21"/>
      <c r="L84" s="21"/>
      <c r="M84" s="21"/>
      <c r="N84" s="21"/>
      <c r="O84" s="21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</row>
    <row r="85" spans="1:255" ht="15.75">
      <c r="A85" s="20"/>
      <c r="B85" s="20" t="s">
        <v>26</v>
      </c>
      <c r="C85" s="30"/>
      <c r="D85" s="30"/>
      <c r="E85" s="30"/>
      <c r="F85" s="30"/>
      <c r="G85" s="30"/>
      <c r="H85" s="30"/>
      <c r="I85" s="30"/>
      <c r="J85" s="31"/>
      <c r="K85" s="21"/>
      <c r="L85" s="21"/>
      <c r="M85" s="21"/>
      <c r="N85" s="21"/>
      <c r="O85" s="21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</row>
    <row r="86" spans="1:255" ht="15.75">
      <c r="A86" s="26" t="s">
        <v>10</v>
      </c>
      <c r="B86" s="26" t="s">
        <v>19</v>
      </c>
      <c r="C86" s="27"/>
      <c r="D86" s="27"/>
      <c r="E86" s="27"/>
      <c r="F86" s="27"/>
      <c r="G86" s="27"/>
      <c r="H86" s="27"/>
      <c r="I86" s="27"/>
      <c r="J86" s="28"/>
      <c r="K86" s="29"/>
      <c r="L86" s="29"/>
      <c r="M86" s="29"/>
      <c r="N86" s="29"/>
      <c r="O86" s="29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</row>
    <row r="87" spans="1:255" ht="15.75">
      <c r="A87" s="20"/>
      <c r="B87" s="20" t="s">
        <v>20</v>
      </c>
      <c r="C87" s="30"/>
      <c r="D87" s="30"/>
      <c r="E87" s="30"/>
      <c r="F87" s="30"/>
      <c r="G87" s="30"/>
      <c r="H87" s="30"/>
      <c r="I87" s="30"/>
      <c r="J87" s="31"/>
      <c r="K87" s="21"/>
      <c r="L87" s="21"/>
      <c r="M87" s="21"/>
      <c r="N87" s="21"/>
      <c r="O87" s="21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</row>
    <row r="88" spans="1:255" ht="15.75">
      <c r="A88" s="20"/>
      <c r="B88" s="20" t="s">
        <v>21</v>
      </c>
      <c r="C88" s="30"/>
      <c r="D88" s="30"/>
      <c r="E88" s="30"/>
      <c r="F88" s="30"/>
      <c r="G88" s="30"/>
      <c r="H88" s="30"/>
      <c r="I88" s="30"/>
      <c r="J88" s="36"/>
      <c r="K88" s="21"/>
      <c r="L88" s="21"/>
      <c r="M88" s="21"/>
      <c r="N88" s="21"/>
      <c r="O88" s="21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</row>
    <row r="89" spans="1:255" ht="15.75">
      <c r="A89" s="20"/>
      <c r="B89" s="20" t="s">
        <v>22</v>
      </c>
      <c r="C89" s="30"/>
      <c r="D89" s="30"/>
      <c r="E89" s="30"/>
      <c r="F89" s="30"/>
      <c r="G89" s="30"/>
      <c r="H89" s="30"/>
      <c r="I89" s="30"/>
      <c r="J89" s="31"/>
      <c r="K89" s="21"/>
      <c r="L89" s="21"/>
      <c r="M89" s="21"/>
      <c r="N89" s="21"/>
      <c r="O89" s="21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</row>
    <row r="90" spans="1:255" ht="15.75">
      <c r="A90" s="20"/>
      <c r="B90" s="20" t="s">
        <v>23</v>
      </c>
      <c r="C90" s="30"/>
      <c r="D90" s="30"/>
      <c r="E90" s="30"/>
      <c r="F90" s="30"/>
      <c r="G90" s="30"/>
      <c r="H90" s="30"/>
      <c r="I90" s="30"/>
      <c r="J90" s="31"/>
      <c r="K90" s="21"/>
      <c r="L90" s="21"/>
      <c r="M90" s="21"/>
      <c r="N90" s="21"/>
      <c r="O90" s="21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</row>
    <row r="91" spans="1:255" ht="15.75">
      <c r="A91" s="20"/>
      <c r="B91" s="20" t="s">
        <v>24</v>
      </c>
      <c r="C91" s="30"/>
      <c r="D91" s="30"/>
      <c r="E91" s="30"/>
      <c r="F91" s="30"/>
      <c r="G91" s="30"/>
      <c r="H91" s="30"/>
      <c r="I91" s="30"/>
      <c r="J91" s="31"/>
      <c r="K91" s="21"/>
      <c r="L91" s="21"/>
      <c r="M91" s="21"/>
      <c r="N91" s="21"/>
      <c r="O91" s="21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</row>
    <row r="92" spans="1:255" ht="15.75">
      <c r="A92" s="20"/>
      <c r="B92" s="22" t="s">
        <v>51</v>
      </c>
      <c r="C92" s="23">
        <v>1076</v>
      </c>
      <c r="D92" s="23">
        <v>999</v>
      </c>
      <c r="E92" s="23">
        <v>894</v>
      </c>
      <c r="F92" s="23">
        <v>230</v>
      </c>
      <c r="G92" s="48">
        <f>+I92-SUM(C92:F92)</f>
        <v>198</v>
      </c>
      <c r="H92" s="23"/>
      <c r="I92" s="23">
        <v>3397</v>
      </c>
      <c r="J92" s="24">
        <f t="shared" ref="J92:O92" si="9">C92/$I92</f>
        <v>0.31675007359434798</v>
      </c>
      <c r="K92" s="25">
        <f t="shared" si="9"/>
        <v>0.2940830144244922</v>
      </c>
      <c r="L92" s="25">
        <f t="shared" si="9"/>
        <v>0.26317338828377979</v>
      </c>
      <c r="M92" s="25">
        <f t="shared" si="9"/>
        <v>6.7706800117750959E-2</v>
      </c>
      <c r="N92" s="25">
        <f t="shared" si="9"/>
        <v>5.8286723579629086E-2</v>
      </c>
      <c r="O92" s="25">
        <f t="shared" si="9"/>
        <v>0</v>
      </c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</row>
    <row r="93" spans="1:255" ht="15.75">
      <c r="A93" s="20"/>
      <c r="B93" s="20" t="s">
        <v>25</v>
      </c>
      <c r="C93" s="30"/>
      <c r="D93" s="30"/>
      <c r="E93" s="30"/>
      <c r="F93" s="30"/>
      <c r="G93" s="30"/>
      <c r="H93" s="30"/>
      <c r="I93" s="30"/>
      <c r="J93" s="31"/>
      <c r="K93" s="21"/>
      <c r="L93" s="21"/>
      <c r="M93" s="21"/>
      <c r="N93" s="21"/>
      <c r="O93" s="21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</row>
    <row r="94" spans="1:255" ht="15.75">
      <c r="A94" s="20"/>
      <c r="B94" s="20" t="s">
        <v>26</v>
      </c>
      <c r="C94" s="30"/>
      <c r="D94" s="30"/>
      <c r="E94" s="30"/>
      <c r="F94" s="30"/>
      <c r="G94" s="30"/>
      <c r="H94" s="30"/>
      <c r="I94" s="30"/>
      <c r="J94" s="31"/>
      <c r="K94" s="21"/>
      <c r="L94" s="21"/>
      <c r="M94" s="21"/>
      <c r="N94" s="21"/>
      <c r="O94" s="21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</row>
    <row r="95" spans="1:255" ht="15.75">
      <c r="A95" s="26" t="s">
        <v>11</v>
      </c>
      <c r="B95" s="26" t="s">
        <v>19</v>
      </c>
      <c r="C95" s="27"/>
      <c r="D95" s="27"/>
      <c r="E95" s="27"/>
      <c r="F95" s="27"/>
      <c r="G95" s="27"/>
      <c r="H95" s="27"/>
      <c r="I95" s="27"/>
      <c r="J95" s="28"/>
      <c r="K95" s="29"/>
      <c r="L95" s="29"/>
      <c r="M95" s="29"/>
      <c r="N95" s="29"/>
      <c r="O95" s="2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</row>
    <row r="96" spans="1:255" ht="15.75">
      <c r="A96" s="20"/>
      <c r="B96" s="20" t="s">
        <v>20</v>
      </c>
      <c r="C96" s="30"/>
      <c r="D96" s="30"/>
      <c r="E96" s="30"/>
      <c r="F96" s="30"/>
      <c r="G96" s="30"/>
      <c r="H96" s="30"/>
      <c r="I96" s="30"/>
      <c r="J96" s="31"/>
      <c r="K96" s="21"/>
      <c r="L96" s="21"/>
      <c r="M96" s="21"/>
      <c r="N96" s="21"/>
      <c r="O96" s="21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</row>
    <row r="97" spans="1:255" ht="15.75">
      <c r="A97" s="20"/>
      <c r="B97" s="20" t="s">
        <v>21</v>
      </c>
      <c r="C97" s="30"/>
      <c r="D97" s="30"/>
      <c r="E97" s="30"/>
      <c r="F97" s="30"/>
      <c r="G97" s="30"/>
      <c r="H97" s="30"/>
      <c r="I97" s="30"/>
      <c r="J97" s="31"/>
      <c r="K97" s="21"/>
      <c r="L97" s="21"/>
      <c r="M97" s="21"/>
      <c r="N97" s="21"/>
      <c r="O97" s="21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</row>
    <row r="98" spans="1:255" ht="15.75">
      <c r="A98" s="20"/>
      <c r="B98" s="20" t="s">
        <v>22</v>
      </c>
      <c r="C98" s="30"/>
      <c r="D98" s="30"/>
      <c r="E98" s="30"/>
      <c r="F98" s="30"/>
      <c r="G98" s="30"/>
      <c r="H98" s="30"/>
      <c r="I98" s="30"/>
      <c r="J98" s="36"/>
      <c r="K98" s="21"/>
      <c r="L98" s="21"/>
      <c r="M98" s="21"/>
      <c r="N98" s="21"/>
      <c r="O98" s="21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</row>
    <row r="99" spans="1:255" ht="15.75">
      <c r="A99" s="20"/>
      <c r="B99" s="20" t="s">
        <v>23</v>
      </c>
      <c r="C99" s="30"/>
      <c r="D99" s="30"/>
      <c r="E99" s="30"/>
      <c r="F99" s="30"/>
      <c r="G99" s="30"/>
      <c r="H99" s="30"/>
      <c r="I99" s="30"/>
      <c r="J99" s="31"/>
      <c r="K99" s="21"/>
      <c r="L99" s="21"/>
      <c r="M99" s="21"/>
      <c r="N99" s="21"/>
      <c r="O99" s="21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</row>
    <row r="100" spans="1:255" ht="15.75">
      <c r="A100" s="20"/>
      <c r="B100" s="20" t="s">
        <v>24</v>
      </c>
      <c r="C100" s="30"/>
      <c r="D100" s="30"/>
      <c r="E100" s="30"/>
      <c r="F100" s="30"/>
      <c r="G100" s="30"/>
      <c r="H100" s="30"/>
      <c r="I100" s="30"/>
      <c r="J100" s="31"/>
      <c r="K100" s="21"/>
      <c r="L100" s="21"/>
      <c r="M100" s="21"/>
      <c r="N100" s="21"/>
      <c r="O100" s="21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</row>
    <row r="101" spans="1:255" ht="15.75">
      <c r="A101" s="20"/>
      <c r="B101" s="22" t="s">
        <v>51</v>
      </c>
      <c r="C101" s="23">
        <v>827</v>
      </c>
      <c r="D101" s="23">
        <v>620</v>
      </c>
      <c r="E101" s="23">
        <v>720</v>
      </c>
      <c r="F101" s="23">
        <v>325</v>
      </c>
      <c r="G101" s="48">
        <f>+I101-SUM(C101:F101)</f>
        <v>3</v>
      </c>
      <c r="H101" s="23"/>
      <c r="I101" s="23">
        <v>2495</v>
      </c>
      <c r="J101" s="24">
        <f t="shared" ref="J101:O101" si="10">C101/$I101</f>
        <v>0.33146292585170339</v>
      </c>
      <c r="K101" s="25">
        <f t="shared" si="10"/>
        <v>0.24849699398797595</v>
      </c>
      <c r="L101" s="25">
        <f t="shared" si="10"/>
        <v>0.28857715430861725</v>
      </c>
      <c r="M101" s="25">
        <f t="shared" si="10"/>
        <v>0.13026052104208416</v>
      </c>
      <c r="N101" s="25">
        <f t="shared" si="10"/>
        <v>1.2024048096192384E-3</v>
      </c>
      <c r="O101" s="25">
        <f t="shared" si="10"/>
        <v>0</v>
      </c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</row>
    <row r="102" spans="1:255" ht="15.75">
      <c r="A102" s="20"/>
      <c r="B102" s="20" t="s">
        <v>25</v>
      </c>
      <c r="C102" s="30"/>
      <c r="D102" s="30"/>
      <c r="E102" s="30"/>
      <c r="F102" s="30"/>
      <c r="G102" s="30"/>
      <c r="H102" s="30"/>
      <c r="I102" s="30"/>
      <c r="J102" s="31"/>
      <c r="K102" s="21"/>
      <c r="L102" s="21"/>
      <c r="M102" s="21"/>
      <c r="N102" s="21"/>
      <c r="O102" s="21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</row>
    <row r="103" spans="1:255" ht="15.75">
      <c r="A103" s="20"/>
      <c r="B103" s="20" t="s">
        <v>26</v>
      </c>
      <c r="C103" s="30"/>
      <c r="D103" s="30"/>
      <c r="E103" s="30"/>
      <c r="F103" s="30"/>
      <c r="G103" s="30"/>
      <c r="H103" s="30"/>
      <c r="I103" s="30"/>
      <c r="J103" s="36"/>
      <c r="K103" s="21"/>
      <c r="L103" s="21"/>
      <c r="M103" s="21"/>
      <c r="N103" s="21"/>
      <c r="O103" s="21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</row>
    <row r="104" spans="1:255" ht="15.75">
      <c r="A104" s="26" t="s">
        <v>12</v>
      </c>
      <c r="B104" s="26" t="s">
        <v>19</v>
      </c>
      <c r="C104" s="27"/>
      <c r="D104" s="27"/>
      <c r="E104" s="27"/>
      <c r="F104" s="27"/>
      <c r="G104" s="27"/>
      <c r="H104" s="27"/>
      <c r="I104" s="27"/>
      <c r="J104" s="28"/>
      <c r="K104" s="29"/>
      <c r="L104" s="29"/>
      <c r="M104" s="29"/>
      <c r="N104" s="29"/>
      <c r="O104" s="29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</row>
    <row r="105" spans="1:255" ht="15.75">
      <c r="A105" s="20"/>
      <c r="B105" s="20" t="s">
        <v>20</v>
      </c>
      <c r="C105" s="30"/>
      <c r="D105" s="30"/>
      <c r="E105" s="30"/>
      <c r="F105" s="30"/>
      <c r="G105" s="30"/>
      <c r="H105" s="30"/>
      <c r="I105" s="30"/>
      <c r="J105" s="31"/>
      <c r="K105" s="21"/>
      <c r="L105" s="21"/>
      <c r="M105" s="21"/>
      <c r="N105" s="21"/>
      <c r="O105" s="21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</row>
    <row r="106" spans="1:255" ht="15.75">
      <c r="A106" s="20"/>
      <c r="B106" s="20" t="s">
        <v>21</v>
      </c>
      <c r="C106" s="30"/>
      <c r="D106" s="30"/>
      <c r="E106" s="30"/>
      <c r="F106" s="30"/>
      <c r="G106" s="30"/>
      <c r="H106" s="30"/>
      <c r="I106" s="30"/>
      <c r="J106" s="31"/>
      <c r="K106" s="21"/>
      <c r="L106" s="21"/>
      <c r="M106" s="21"/>
      <c r="N106" s="21"/>
      <c r="O106" s="21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</row>
    <row r="107" spans="1:255" ht="15.75">
      <c r="A107" s="20"/>
      <c r="B107" s="20" t="s">
        <v>22</v>
      </c>
      <c r="C107" s="30"/>
      <c r="D107" s="30"/>
      <c r="E107" s="30"/>
      <c r="F107" s="30"/>
      <c r="G107" s="30"/>
      <c r="H107" s="30"/>
      <c r="I107" s="30"/>
      <c r="J107" s="31"/>
      <c r="K107" s="21"/>
      <c r="L107" s="21"/>
      <c r="M107" s="21"/>
      <c r="N107" s="21"/>
      <c r="O107" s="21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</row>
    <row r="108" spans="1:255" ht="15.75">
      <c r="A108" s="20"/>
      <c r="B108" s="20" t="s">
        <v>23</v>
      </c>
      <c r="C108" s="30"/>
      <c r="D108" s="30"/>
      <c r="E108" s="30"/>
      <c r="F108" s="30"/>
      <c r="G108" s="30"/>
      <c r="H108" s="30"/>
      <c r="I108" s="30"/>
      <c r="J108" s="31"/>
      <c r="K108" s="21"/>
      <c r="L108" s="21"/>
      <c r="M108" s="21"/>
      <c r="N108" s="21"/>
      <c r="O108" s="21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</row>
    <row r="109" spans="1:255" ht="15.75">
      <c r="A109" s="20"/>
      <c r="B109" s="20" t="s">
        <v>24</v>
      </c>
      <c r="C109" s="30"/>
      <c r="D109" s="30"/>
      <c r="E109" s="30"/>
      <c r="F109" s="30"/>
      <c r="G109" s="30"/>
      <c r="H109" s="30"/>
      <c r="I109" s="30"/>
      <c r="J109" s="31"/>
      <c r="K109" s="21"/>
      <c r="L109" s="21"/>
      <c r="M109" s="21"/>
      <c r="N109" s="21"/>
      <c r="O109" s="21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</row>
    <row r="110" spans="1:255" ht="15.75">
      <c r="A110" s="20"/>
      <c r="B110" s="22" t="s">
        <v>51</v>
      </c>
      <c r="C110" s="23">
        <v>2230</v>
      </c>
      <c r="D110" s="23">
        <v>1951</v>
      </c>
      <c r="E110" s="23">
        <v>1665</v>
      </c>
      <c r="F110" s="23">
        <v>82</v>
      </c>
      <c r="G110" s="48">
        <f>+I110-SUM(C110:F110)</f>
        <v>1059</v>
      </c>
      <c r="H110" s="23"/>
      <c r="I110" s="23">
        <v>6987</v>
      </c>
      <c r="J110" s="24">
        <f t="shared" ref="J110:O110" si="11">C110/$I110</f>
        <v>0.319164162015171</v>
      </c>
      <c r="K110" s="25">
        <f t="shared" si="11"/>
        <v>0.27923286102762274</v>
      </c>
      <c r="L110" s="25">
        <f t="shared" si="11"/>
        <v>0.23829969944182053</v>
      </c>
      <c r="M110" s="25">
        <f t="shared" si="11"/>
        <v>1.1736081293831401E-2</v>
      </c>
      <c r="N110" s="25">
        <f t="shared" si="11"/>
        <v>0.15156719622155432</v>
      </c>
      <c r="O110" s="25">
        <f t="shared" si="11"/>
        <v>0</v>
      </c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</row>
    <row r="111" spans="1:255" ht="15.75">
      <c r="A111" s="20"/>
      <c r="B111" s="20" t="s">
        <v>25</v>
      </c>
      <c r="C111" s="30"/>
      <c r="D111" s="30"/>
      <c r="E111" s="30"/>
      <c r="F111" s="30"/>
      <c r="G111" s="30"/>
      <c r="H111" s="30"/>
      <c r="I111" s="30"/>
      <c r="J111" s="31"/>
      <c r="K111" s="21"/>
      <c r="L111" s="21"/>
      <c r="M111" s="21"/>
      <c r="N111" s="21"/>
      <c r="O111" s="21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</row>
    <row r="112" spans="1:255" ht="15.75">
      <c r="A112" s="20"/>
      <c r="B112" s="20" t="s">
        <v>26</v>
      </c>
      <c r="C112" s="30"/>
      <c r="D112" s="30"/>
      <c r="E112" s="30"/>
      <c r="F112" s="30"/>
      <c r="G112" s="30"/>
      <c r="H112" s="30"/>
      <c r="I112" s="30"/>
      <c r="J112" s="31"/>
      <c r="K112" s="21"/>
      <c r="L112" s="21"/>
      <c r="M112" s="21"/>
      <c r="N112" s="21"/>
      <c r="O112" s="21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</row>
    <row r="113" spans="1:255" ht="15.75">
      <c r="A113" s="26" t="s">
        <v>13</v>
      </c>
      <c r="B113" s="26" t="s">
        <v>19</v>
      </c>
      <c r="C113" s="27"/>
      <c r="D113" s="27"/>
      <c r="E113" s="27"/>
      <c r="F113" s="27"/>
      <c r="G113" s="27"/>
      <c r="H113" s="27"/>
      <c r="I113" s="27"/>
      <c r="J113" s="28"/>
      <c r="K113" s="29"/>
      <c r="L113" s="29"/>
      <c r="M113" s="29"/>
      <c r="N113" s="29"/>
      <c r="O113" s="29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</row>
    <row r="114" spans="1:255" ht="15.75">
      <c r="A114" s="20"/>
      <c r="B114" s="20" t="s">
        <v>20</v>
      </c>
      <c r="C114" s="30"/>
      <c r="D114" s="30"/>
      <c r="E114" s="30"/>
      <c r="F114" s="30"/>
      <c r="G114" s="30"/>
      <c r="H114" s="30"/>
      <c r="I114" s="30"/>
      <c r="J114" s="31"/>
      <c r="K114" s="21"/>
      <c r="L114" s="21"/>
      <c r="M114" s="21"/>
      <c r="N114" s="21"/>
      <c r="O114" s="21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</row>
    <row r="115" spans="1:255" ht="15.75">
      <c r="A115" s="20"/>
      <c r="B115" s="20" t="s">
        <v>21</v>
      </c>
      <c r="C115" s="30"/>
      <c r="D115" s="30"/>
      <c r="E115" s="30"/>
      <c r="F115" s="30"/>
      <c r="G115" s="30"/>
      <c r="H115" s="30"/>
      <c r="I115" s="30"/>
      <c r="J115" s="31"/>
      <c r="K115" s="21"/>
      <c r="L115" s="21"/>
      <c r="M115" s="21"/>
      <c r="N115" s="21"/>
      <c r="O115" s="21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</row>
    <row r="116" spans="1:255" ht="15.75">
      <c r="A116" s="20"/>
      <c r="B116" s="20" t="s">
        <v>22</v>
      </c>
      <c r="C116" s="30"/>
      <c r="D116" s="30"/>
      <c r="E116" s="30"/>
      <c r="F116" s="30"/>
      <c r="G116" s="30"/>
      <c r="H116" s="30"/>
      <c r="I116" s="30"/>
      <c r="J116" s="31"/>
      <c r="K116" s="21"/>
      <c r="L116" s="21"/>
      <c r="M116" s="21"/>
      <c r="N116" s="21"/>
      <c r="O116" s="21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</row>
    <row r="117" spans="1:255" ht="15.75">
      <c r="A117" s="20"/>
      <c r="B117" s="20" t="s">
        <v>23</v>
      </c>
      <c r="C117" s="30"/>
      <c r="D117" s="30"/>
      <c r="E117" s="30"/>
      <c r="F117" s="30"/>
      <c r="G117" s="30"/>
      <c r="H117" s="30"/>
      <c r="I117" s="30"/>
      <c r="J117" s="31"/>
      <c r="K117" s="21"/>
      <c r="L117" s="21"/>
      <c r="M117" s="21"/>
      <c r="N117" s="21"/>
      <c r="O117" s="21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</row>
    <row r="118" spans="1:255" ht="15.75">
      <c r="A118" s="20"/>
      <c r="B118" s="20" t="s">
        <v>24</v>
      </c>
      <c r="C118" s="30"/>
      <c r="D118" s="30"/>
      <c r="E118" s="30"/>
      <c r="F118" s="30"/>
      <c r="G118" s="30"/>
      <c r="H118" s="30"/>
      <c r="I118" s="30"/>
      <c r="J118" s="31"/>
      <c r="K118" s="21"/>
      <c r="L118" s="21"/>
      <c r="M118" s="21"/>
      <c r="N118" s="21"/>
      <c r="O118" s="21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</row>
    <row r="119" spans="1:255" ht="15.75">
      <c r="A119" s="20"/>
      <c r="B119" s="22" t="s">
        <v>51</v>
      </c>
      <c r="C119" s="23">
        <v>972</v>
      </c>
      <c r="D119" s="23">
        <v>714</v>
      </c>
      <c r="E119" s="23">
        <v>1002</v>
      </c>
      <c r="F119" s="23">
        <v>437</v>
      </c>
      <c r="G119" s="48">
        <f>+I119-SUM(C119:F119)</f>
        <v>0</v>
      </c>
      <c r="H119" s="23"/>
      <c r="I119" s="23">
        <v>3125</v>
      </c>
      <c r="J119" s="24">
        <f t="shared" ref="J119:O119" si="12">C119/$I119</f>
        <v>0.31103999999999998</v>
      </c>
      <c r="K119" s="25">
        <f t="shared" si="12"/>
        <v>0.22847999999999999</v>
      </c>
      <c r="L119" s="25">
        <f t="shared" si="12"/>
        <v>0.32063999999999998</v>
      </c>
      <c r="M119" s="25">
        <f t="shared" si="12"/>
        <v>0.13983999999999999</v>
      </c>
      <c r="N119" s="25">
        <f t="shared" si="12"/>
        <v>0</v>
      </c>
      <c r="O119" s="25">
        <f t="shared" si="12"/>
        <v>0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</row>
    <row r="120" spans="1:255" ht="15.75">
      <c r="A120" s="20"/>
      <c r="B120" s="20" t="s">
        <v>25</v>
      </c>
      <c r="C120" s="30"/>
      <c r="D120" s="30"/>
      <c r="E120" s="30"/>
      <c r="F120" s="30"/>
      <c r="G120" s="30"/>
      <c r="H120" s="30"/>
      <c r="I120" s="30"/>
      <c r="J120" s="31"/>
      <c r="K120" s="21"/>
      <c r="L120" s="21"/>
      <c r="M120" s="21"/>
      <c r="N120" s="21"/>
      <c r="O120" s="21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</row>
    <row r="121" spans="1:255" ht="15.75">
      <c r="A121" s="20"/>
      <c r="B121" s="20" t="s">
        <v>26</v>
      </c>
      <c r="C121" s="30"/>
      <c r="D121" s="30"/>
      <c r="E121" s="30"/>
      <c r="F121" s="30"/>
      <c r="G121" s="30"/>
      <c r="H121" s="30"/>
      <c r="I121" s="30"/>
      <c r="J121" s="31"/>
      <c r="K121" s="21"/>
      <c r="L121" s="21"/>
      <c r="M121" s="21"/>
      <c r="N121" s="21"/>
      <c r="O121" s="21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</row>
    <row r="122" spans="1:255" ht="15.75">
      <c r="A122" s="26" t="s">
        <v>14</v>
      </c>
      <c r="B122" s="26" t="s">
        <v>19</v>
      </c>
      <c r="C122" s="27"/>
      <c r="D122" s="27"/>
      <c r="E122" s="27"/>
      <c r="F122" s="27"/>
      <c r="G122" s="27"/>
      <c r="H122" s="27"/>
      <c r="I122" s="27"/>
      <c r="J122" s="28"/>
      <c r="K122" s="29"/>
      <c r="L122" s="29"/>
      <c r="M122" s="29"/>
      <c r="N122" s="29"/>
      <c r="O122" s="29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</row>
    <row r="123" spans="1:255" ht="15.75">
      <c r="A123" s="20"/>
      <c r="B123" s="20" t="s">
        <v>20</v>
      </c>
      <c r="C123" s="30"/>
      <c r="D123" s="30"/>
      <c r="E123" s="30"/>
      <c r="F123" s="30"/>
      <c r="G123" s="30"/>
      <c r="H123" s="30"/>
      <c r="I123" s="30"/>
      <c r="J123" s="31"/>
      <c r="K123" s="21"/>
      <c r="L123" s="21"/>
      <c r="M123" s="21"/>
      <c r="N123" s="21"/>
      <c r="O123" s="21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</row>
    <row r="124" spans="1:255" ht="15.75">
      <c r="A124" s="20"/>
      <c r="B124" s="20" t="s">
        <v>21</v>
      </c>
      <c r="C124" s="30"/>
      <c r="D124" s="30"/>
      <c r="E124" s="30"/>
      <c r="F124" s="30"/>
      <c r="G124" s="30"/>
      <c r="H124" s="30"/>
      <c r="I124" s="30"/>
      <c r="J124" s="31"/>
      <c r="K124" s="21"/>
      <c r="L124" s="21"/>
      <c r="M124" s="21"/>
      <c r="N124" s="21"/>
      <c r="O124" s="21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</row>
    <row r="125" spans="1:255" ht="15.75">
      <c r="A125" s="20"/>
      <c r="B125" s="20" t="s">
        <v>22</v>
      </c>
      <c r="C125" s="30"/>
      <c r="D125" s="30"/>
      <c r="E125" s="30"/>
      <c r="F125" s="30"/>
      <c r="G125" s="30"/>
      <c r="H125" s="30"/>
      <c r="I125" s="30"/>
      <c r="J125" s="31"/>
      <c r="K125" s="21"/>
      <c r="L125" s="21"/>
      <c r="M125" s="21"/>
      <c r="N125" s="21"/>
      <c r="O125" s="21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</row>
    <row r="126" spans="1:255" ht="15.75">
      <c r="A126" s="20"/>
      <c r="B126" s="20" t="s">
        <v>23</v>
      </c>
      <c r="C126" s="30"/>
      <c r="D126" s="30"/>
      <c r="E126" s="30"/>
      <c r="F126" s="30"/>
      <c r="G126" s="30"/>
      <c r="H126" s="30"/>
      <c r="I126" s="30"/>
      <c r="J126" s="31"/>
      <c r="K126" s="21"/>
      <c r="L126" s="21"/>
      <c r="M126" s="21"/>
      <c r="N126" s="21"/>
      <c r="O126" s="21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</row>
    <row r="127" spans="1:255" ht="15.75">
      <c r="A127" s="20"/>
      <c r="B127" s="20" t="s">
        <v>24</v>
      </c>
      <c r="C127" s="30"/>
      <c r="D127" s="30"/>
      <c r="E127" s="30"/>
      <c r="F127" s="30"/>
      <c r="G127" s="30"/>
      <c r="H127" s="30"/>
      <c r="I127" s="30"/>
      <c r="J127" s="31"/>
      <c r="K127" s="21"/>
      <c r="L127" s="21"/>
      <c r="M127" s="21"/>
      <c r="N127" s="21"/>
      <c r="O127" s="21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</row>
    <row r="128" spans="1:255" ht="15.75">
      <c r="A128" s="20"/>
      <c r="B128" s="22" t="s">
        <v>51</v>
      </c>
      <c r="C128" s="23">
        <v>1181</v>
      </c>
      <c r="D128" s="23">
        <v>1046</v>
      </c>
      <c r="E128" s="23">
        <v>901</v>
      </c>
      <c r="F128" s="23">
        <v>308</v>
      </c>
      <c r="G128" s="48">
        <f>+I128-SUM(C128:F128)</f>
        <v>112</v>
      </c>
      <c r="H128" s="23"/>
      <c r="I128" s="23">
        <v>3548</v>
      </c>
      <c r="J128" s="24">
        <f t="shared" ref="J128:O128" si="13">C128/$I128</f>
        <v>0.33286358511837655</v>
      </c>
      <c r="K128" s="25">
        <f t="shared" si="13"/>
        <v>0.29481397970687712</v>
      </c>
      <c r="L128" s="25">
        <f t="shared" si="13"/>
        <v>0.25394588500563697</v>
      </c>
      <c r="M128" s="25">
        <f t="shared" si="13"/>
        <v>8.6809470124013535E-2</v>
      </c>
      <c r="N128" s="25">
        <f t="shared" si="13"/>
        <v>3.1567080045095827E-2</v>
      </c>
      <c r="O128" s="25">
        <f t="shared" si="13"/>
        <v>0</v>
      </c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</row>
    <row r="129" spans="1:255" ht="15.75">
      <c r="A129" s="20"/>
      <c r="B129" s="20" t="s">
        <v>25</v>
      </c>
      <c r="C129" s="30"/>
      <c r="D129" s="30"/>
      <c r="E129" s="30"/>
      <c r="F129" s="30"/>
      <c r="G129" s="30"/>
      <c r="H129" s="30"/>
      <c r="I129" s="30"/>
      <c r="J129" s="31"/>
      <c r="K129" s="21"/>
      <c r="L129" s="21"/>
      <c r="M129" s="21"/>
      <c r="N129" s="21"/>
      <c r="O129" s="21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</row>
    <row r="130" spans="1:255" ht="15.75">
      <c r="A130" s="20"/>
      <c r="B130" s="20" t="s">
        <v>26</v>
      </c>
      <c r="C130" s="30"/>
      <c r="D130" s="30"/>
      <c r="E130" s="30"/>
      <c r="F130" s="30"/>
      <c r="G130" s="30"/>
      <c r="H130" s="30"/>
      <c r="I130" s="30"/>
      <c r="J130" s="31"/>
      <c r="K130" s="21"/>
      <c r="L130" s="21"/>
      <c r="M130" s="21"/>
      <c r="N130" s="21"/>
      <c r="O130" s="21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</row>
    <row r="131" spans="1:255" ht="15.75">
      <c r="A131" s="26" t="s">
        <v>15</v>
      </c>
      <c r="B131" s="26" t="s">
        <v>19</v>
      </c>
      <c r="C131" s="27"/>
      <c r="D131" s="27"/>
      <c r="E131" s="27"/>
      <c r="F131" s="27"/>
      <c r="G131" s="27"/>
      <c r="H131" s="27"/>
      <c r="I131" s="27"/>
      <c r="J131" s="28"/>
      <c r="K131" s="29"/>
      <c r="L131" s="29"/>
      <c r="M131" s="29"/>
      <c r="N131" s="29"/>
      <c r="O131" s="29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</row>
    <row r="132" spans="1:255" ht="15.75">
      <c r="A132" s="20"/>
      <c r="B132" s="20" t="s">
        <v>20</v>
      </c>
      <c r="C132" s="30"/>
      <c r="D132" s="30"/>
      <c r="E132" s="30"/>
      <c r="F132" s="30"/>
      <c r="G132" s="30"/>
      <c r="H132" s="30"/>
      <c r="I132" s="30"/>
      <c r="J132" s="31"/>
      <c r="K132" s="21"/>
      <c r="L132" s="21"/>
      <c r="M132" s="21"/>
      <c r="N132" s="21"/>
      <c r="O132" s="21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</row>
    <row r="133" spans="1:255" ht="15.75">
      <c r="A133" s="20"/>
      <c r="B133" s="20" t="s">
        <v>21</v>
      </c>
      <c r="C133" s="30"/>
      <c r="D133" s="30"/>
      <c r="E133" s="30"/>
      <c r="F133" s="30"/>
      <c r="G133" s="30"/>
      <c r="H133" s="30"/>
      <c r="I133" s="30"/>
      <c r="J133" s="31"/>
      <c r="K133" s="21"/>
      <c r="L133" s="21"/>
      <c r="M133" s="21"/>
      <c r="N133" s="21"/>
      <c r="O133" s="21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</row>
    <row r="134" spans="1:255" ht="15.75">
      <c r="A134" s="20"/>
      <c r="B134" s="20" t="s">
        <v>22</v>
      </c>
      <c r="C134" s="30"/>
      <c r="D134" s="30"/>
      <c r="E134" s="30"/>
      <c r="F134" s="30"/>
      <c r="G134" s="30"/>
      <c r="H134" s="30"/>
      <c r="I134" s="30"/>
      <c r="J134" s="31"/>
      <c r="K134" s="21"/>
      <c r="L134" s="21"/>
      <c r="M134" s="21"/>
      <c r="N134" s="21"/>
      <c r="O134" s="21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</row>
    <row r="135" spans="1:255" ht="15.75">
      <c r="A135" s="20"/>
      <c r="B135" s="20" t="s">
        <v>23</v>
      </c>
      <c r="C135" s="30"/>
      <c r="D135" s="30"/>
      <c r="E135" s="30"/>
      <c r="F135" s="30"/>
      <c r="G135" s="30"/>
      <c r="H135" s="30"/>
      <c r="I135" s="30"/>
      <c r="J135" s="31"/>
      <c r="K135" s="21"/>
      <c r="L135" s="21"/>
      <c r="M135" s="21"/>
      <c r="N135" s="21"/>
      <c r="O135" s="21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</row>
    <row r="136" spans="1:255" ht="15.75">
      <c r="A136" s="20"/>
      <c r="B136" s="20" t="s">
        <v>24</v>
      </c>
      <c r="C136" s="30"/>
      <c r="D136" s="30"/>
      <c r="E136" s="30"/>
      <c r="F136" s="30"/>
      <c r="G136" s="30"/>
      <c r="H136" s="30"/>
      <c r="I136" s="30"/>
      <c r="J136" s="31"/>
      <c r="K136" s="21"/>
      <c r="L136" s="21"/>
      <c r="M136" s="21"/>
      <c r="N136" s="21"/>
      <c r="O136" s="21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</row>
    <row r="137" spans="1:255" ht="15.75">
      <c r="A137" s="20"/>
      <c r="B137" s="22" t="s">
        <v>51</v>
      </c>
      <c r="C137" s="23">
        <v>1734</v>
      </c>
      <c r="D137" s="23">
        <v>1165</v>
      </c>
      <c r="E137" s="23">
        <v>1169</v>
      </c>
      <c r="F137" s="23">
        <v>372</v>
      </c>
      <c r="G137" s="48">
        <f>+I137-SUM(C137:F137)</f>
        <v>14</v>
      </c>
      <c r="H137" s="23"/>
      <c r="I137" s="23">
        <v>4454</v>
      </c>
      <c r="J137" s="24">
        <f t="shared" ref="J137:O137" si="14">C137/$I137</f>
        <v>0.38931297709923662</v>
      </c>
      <c r="K137" s="25">
        <f t="shared" si="14"/>
        <v>0.2615626403233049</v>
      </c>
      <c r="L137" s="25">
        <f t="shared" si="14"/>
        <v>0.26246070947462957</v>
      </c>
      <c r="M137" s="25">
        <f t="shared" si="14"/>
        <v>8.3520431073192639E-2</v>
      </c>
      <c r="N137" s="25">
        <f t="shared" si="14"/>
        <v>3.1432420296362818E-3</v>
      </c>
      <c r="O137" s="25">
        <f t="shared" si="14"/>
        <v>0</v>
      </c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</row>
    <row r="138" spans="1:255" ht="15.75">
      <c r="A138" s="20"/>
      <c r="B138" s="20" t="s">
        <v>25</v>
      </c>
      <c r="C138" s="30"/>
      <c r="D138" s="30"/>
      <c r="E138" s="30"/>
      <c r="F138" s="30"/>
      <c r="G138" s="30"/>
      <c r="H138" s="30"/>
      <c r="I138" s="30"/>
      <c r="J138" s="31"/>
      <c r="K138" s="21"/>
      <c r="L138" s="21"/>
      <c r="M138" s="21"/>
      <c r="N138" s="21"/>
      <c r="O138" s="21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</row>
    <row r="139" spans="1:255" ht="15.75">
      <c r="A139" s="20"/>
      <c r="B139" s="20" t="s">
        <v>26</v>
      </c>
      <c r="C139" s="30"/>
      <c r="D139" s="30"/>
      <c r="E139" s="30"/>
      <c r="F139" s="30"/>
      <c r="G139" s="30"/>
      <c r="H139" s="30"/>
      <c r="I139" s="30"/>
      <c r="J139" s="31"/>
      <c r="K139" s="21"/>
      <c r="L139" s="21"/>
      <c r="M139" s="21"/>
      <c r="N139" s="21"/>
      <c r="O139" s="21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</row>
    <row r="140" spans="1:255" ht="15.75">
      <c r="A140" s="26" t="s">
        <v>16</v>
      </c>
      <c r="B140" s="26" t="s">
        <v>19</v>
      </c>
      <c r="C140" s="37"/>
      <c r="D140" s="37"/>
      <c r="E140" s="37"/>
      <c r="F140" s="37"/>
      <c r="G140" s="37"/>
      <c r="H140" s="37"/>
      <c r="I140" s="37"/>
      <c r="J140" s="28"/>
      <c r="K140" s="29"/>
      <c r="L140" s="29"/>
      <c r="M140" s="29"/>
      <c r="N140" s="29"/>
      <c r="O140" s="29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</row>
    <row r="141" spans="1:255" ht="15.75">
      <c r="A141" s="20"/>
      <c r="B141" s="20" t="s">
        <v>20</v>
      </c>
      <c r="C141" s="38"/>
      <c r="D141" s="38"/>
      <c r="E141" s="38"/>
      <c r="F141" s="38"/>
      <c r="G141" s="38"/>
      <c r="H141" s="38"/>
      <c r="I141" s="38"/>
      <c r="J141" s="31"/>
      <c r="K141" s="21"/>
      <c r="L141" s="21"/>
      <c r="M141" s="21"/>
      <c r="N141" s="21"/>
      <c r="O141" s="21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</row>
    <row r="142" spans="1:255" ht="15.75">
      <c r="A142" s="20"/>
      <c r="B142" s="20" t="s">
        <v>21</v>
      </c>
      <c r="C142" s="38"/>
      <c r="D142" s="38"/>
      <c r="E142" s="38"/>
      <c r="F142" s="38"/>
      <c r="G142" s="38"/>
      <c r="H142" s="38"/>
      <c r="I142" s="38"/>
      <c r="J142" s="31"/>
      <c r="K142" s="21"/>
      <c r="L142" s="21"/>
      <c r="M142" s="21"/>
      <c r="N142" s="21"/>
      <c r="O142" s="21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</row>
    <row r="143" spans="1:255" ht="15.75">
      <c r="A143" s="20"/>
      <c r="B143" s="20" t="s">
        <v>22</v>
      </c>
      <c r="C143" s="38"/>
      <c r="D143" s="38"/>
      <c r="E143" s="38"/>
      <c r="F143" s="38"/>
      <c r="G143" s="38"/>
      <c r="H143" s="38"/>
      <c r="I143" s="38"/>
      <c r="J143" s="31"/>
      <c r="K143" s="21"/>
      <c r="L143" s="21"/>
      <c r="M143" s="21"/>
      <c r="N143" s="21"/>
      <c r="O143" s="21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</row>
    <row r="144" spans="1:255" ht="15.75">
      <c r="A144" s="20"/>
      <c r="B144" s="20" t="s">
        <v>23</v>
      </c>
      <c r="C144" s="38"/>
      <c r="D144" s="38"/>
      <c r="E144" s="38"/>
      <c r="F144" s="38"/>
      <c r="G144" s="38"/>
      <c r="H144" s="38"/>
      <c r="I144" s="38"/>
      <c r="J144" s="31"/>
      <c r="K144" s="21"/>
      <c r="L144" s="21"/>
      <c r="M144" s="21"/>
      <c r="N144" s="21"/>
      <c r="O144" s="21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</row>
    <row r="145" spans="1:255" ht="15.75">
      <c r="A145" s="20"/>
      <c r="B145" s="20" t="s">
        <v>24</v>
      </c>
      <c r="C145" s="38"/>
      <c r="D145" s="38"/>
      <c r="E145" s="38"/>
      <c r="F145" s="38"/>
      <c r="G145" s="38"/>
      <c r="H145" s="38"/>
      <c r="I145" s="38"/>
      <c r="J145" s="31"/>
      <c r="K145" s="21"/>
      <c r="L145" s="21"/>
      <c r="M145" s="21"/>
      <c r="N145" s="21"/>
      <c r="O145" s="21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</row>
    <row r="146" spans="1:255" ht="15.75">
      <c r="A146" s="20"/>
      <c r="B146" s="32" t="s">
        <v>51</v>
      </c>
      <c r="C146" s="33">
        <v>4273</v>
      </c>
      <c r="D146" s="33">
        <v>3249</v>
      </c>
      <c r="E146" s="33">
        <v>3180</v>
      </c>
      <c r="F146" s="33">
        <v>693</v>
      </c>
      <c r="G146" s="48">
        <f>+I146-SUM(C146:F146)</f>
        <v>782</v>
      </c>
      <c r="H146" s="33"/>
      <c r="I146" s="33">
        <v>12177</v>
      </c>
      <c r="J146" s="24">
        <f t="shared" ref="J146:O146" si="15">C146/$I146</f>
        <v>0.35090744846842409</v>
      </c>
      <c r="K146" s="25">
        <f t="shared" si="15"/>
        <v>0.26681448632668142</v>
      </c>
      <c r="L146" s="25">
        <f t="shared" si="15"/>
        <v>0.26114806602611479</v>
      </c>
      <c r="M146" s="25">
        <f t="shared" si="15"/>
        <v>5.6910569105691054E-2</v>
      </c>
      <c r="N146" s="25">
        <f t="shared" si="15"/>
        <v>6.4219430073088613E-2</v>
      </c>
      <c r="O146" s="25">
        <f t="shared" si="15"/>
        <v>0</v>
      </c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</row>
    <row r="147" spans="1:255" ht="15.75">
      <c r="A147" s="20"/>
      <c r="B147" s="20" t="s">
        <v>25</v>
      </c>
      <c r="C147" s="38"/>
      <c r="D147" s="38"/>
      <c r="E147" s="38"/>
      <c r="F147" s="38"/>
      <c r="G147" s="38"/>
      <c r="H147" s="38"/>
      <c r="I147" s="38"/>
      <c r="J147" s="31"/>
      <c r="K147" s="21"/>
      <c r="L147" s="21"/>
      <c r="M147" s="21"/>
      <c r="N147" s="21"/>
      <c r="O147" s="21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</row>
    <row r="148" spans="1:255" ht="15.75">
      <c r="A148" s="20"/>
      <c r="B148" s="20" t="s">
        <v>26</v>
      </c>
      <c r="C148" s="38"/>
      <c r="D148" s="38"/>
      <c r="E148" s="38"/>
      <c r="F148" s="38"/>
      <c r="G148" s="38"/>
      <c r="H148" s="38"/>
      <c r="I148" s="38"/>
      <c r="J148" s="31"/>
      <c r="K148" s="21"/>
      <c r="L148" s="21"/>
      <c r="M148" s="21"/>
      <c r="N148" s="21"/>
      <c r="O148" s="21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</row>
    <row r="149" spans="1:255" ht="15.75">
      <c r="A149" s="26" t="s">
        <v>17</v>
      </c>
      <c r="B149" s="26" t="s">
        <v>19</v>
      </c>
      <c r="C149" s="27"/>
      <c r="D149" s="27"/>
      <c r="E149" s="27"/>
      <c r="F149" s="27"/>
      <c r="G149" s="27"/>
      <c r="H149" s="27"/>
      <c r="I149" s="27"/>
      <c r="J149" s="28"/>
      <c r="K149" s="29"/>
      <c r="L149" s="29"/>
      <c r="M149" s="29"/>
      <c r="N149" s="29"/>
      <c r="O149" s="29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</row>
    <row r="150" spans="1:255" ht="15.75">
      <c r="A150" s="20"/>
      <c r="B150" s="20" t="s">
        <v>20</v>
      </c>
      <c r="C150" s="30"/>
      <c r="D150" s="30"/>
      <c r="E150" s="30"/>
      <c r="F150" s="30"/>
      <c r="G150" s="30"/>
      <c r="H150" s="30"/>
      <c r="I150" s="30"/>
      <c r="J150" s="31"/>
      <c r="K150" s="21"/>
      <c r="L150" s="21"/>
      <c r="M150" s="21"/>
      <c r="N150" s="21"/>
      <c r="O150" s="21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</row>
    <row r="151" spans="1:255" ht="15.75">
      <c r="A151" s="20"/>
      <c r="B151" s="20" t="s">
        <v>21</v>
      </c>
      <c r="C151" s="30"/>
      <c r="D151" s="30"/>
      <c r="E151" s="30"/>
      <c r="F151" s="30"/>
      <c r="G151" s="30"/>
      <c r="H151" s="30"/>
      <c r="I151" s="30"/>
      <c r="J151" s="31"/>
      <c r="K151" s="21"/>
      <c r="L151" s="21"/>
      <c r="M151" s="21"/>
      <c r="N151" s="21"/>
      <c r="O151" s="21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</row>
    <row r="152" spans="1:255" ht="15.75">
      <c r="A152" s="20"/>
      <c r="B152" s="20" t="s">
        <v>22</v>
      </c>
      <c r="C152" s="30"/>
      <c r="D152" s="30"/>
      <c r="E152" s="30"/>
      <c r="F152" s="30"/>
      <c r="G152" s="30"/>
      <c r="H152" s="30"/>
      <c r="I152" s="30"/>
      <c r="J152" s="31"/>
      <c r="K152" s="21"/>
      <c r="L152" s="21"/>
      <c r="M152" s="21"/>
      <c r="N152" s="21"/>
      <c r="O152" s="21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</row>
    <row r="153" spans="1:255" ht="15.75">
      <c r="A153" s="20"/>
      <c r="B153" s="20" t="s">
        <v>23</v>
      </c>
      <c r="C153" s="30"/>
      <c r="D153" s="30"/>
      <c r="E153" s="30"/>
      <c r="F153" s="30"/>
      <c r="G153" s="30"/>
      <c r="H153" s="30"/>
      <c r="I153" s="30"/>
      <c r="J153" s="31"/>
      <c r="K153" s="21"/>
      <c r="L153" s="21"/>
      <c r="M153" s="21"/>
      <c r="N153" s="21"/>
      <c r="O153" s="21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</row>
    <row r="154" spans="1:255" ht="15.75">
      <c r="A154" s="20"/>
      <c r="B154" s="20" t="s">
        <v>24</v>
      </c>
      <c r="C154" s="30"/>
      <c r="D154" s="30"/>
      <c r="E154" s="30"/>
      <c r="F154" s="30"/>
      <c r="G154" s="30"/>
      <c r="H154" s="30"/>
      <c r="I154" s="30"/>
      <c r="J154" s="31"/>
      <c r="K154" s="21"/>
      <c r="L154" s="21"/>
      <c r="M154" s="21"/>
      <c r="N154" s="21"/>
      <c r="O154" s="21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</row>
    <row r="155" spans="1:255" ht="15.75">
      <c r="A155" s="20"/>
      <c r="B155" s="22" t="s">
        <v>51</v>
      </c>
      <c r="C155" s="23">
        <v>2373</v>
      </c>
      <c r="D155" s="23">
        <v>2238</v>
      </c>
      <c r="E155" s="23">
        <v>1656</v>
      </c>
      <c r="F155" s="23">
        <v>416</v>
      </c>
      <c r="G155" s="48">
        <f>+I155-SUM(C155:F155)</f>
        <v>84</v>
      </c>
      <c r="H155" s="23"/>
      <c r="I155" s="23">
        <v>6767</v>
      </c>
      <c r="J155" s="24">
        <f t="shared" ref="J155:O155" si="16">C155/$I155</f>
        <v>0.35067238067090289</v>
      </c>
      <c r="K155" s="25">
        <f t="shared" si="16"/>
        <v>0.33072262450125611</v>
      </c>
      <c r="L155" s="25">
        <f t="shared" si="16"/>
        <v>0.24471700901433427</v>
      </c>
      <c r="M155" s="25">
        <f t="shared" si="16"/>
        <v>6.1474804196837596E-2</v>
      </c>
      <c r="N155" s="25">
        <f t="shared" si="16"/>
        <v>1.241318161666913E-2</v>
      </c>
      <c r="O155" s="25">
        <f t="shared" si="16"/>
        <v>0</v>
      </c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</row>
    <row r="156" spans="1:255" ht="15.75">
      <c r="A156" s="20"/>
      <c r="B156" s="20" t="s">
        <v>25</v>
      </c>
      <c r="C156" s="30"/>
      <c r="D156" s="30"/>
      <c r="E156" s="30"/>
      <c r="F156" s="30"/>
      <c r="G156" s="30"/>
      <c r="H156" s="30"/>
      <c r="I156" s="30"/>
      <c r="J156" s="31"/>
      <c r="K156" s="21"/>
      <c r="L156" s="21"/>
      <c r="M156" s="21"/>
      <c r="N156" s="21"/>
      <c r="O156" s="21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</row>
    <row r="157" spans="1:255" ht="15.75">
      <c r="A157" s="20"/>
      <c r="B157" s="20" t="s">
        <v>26</v>
      </c>
      <c r="C157" s="30"/>
      <c r="D157" s="30"/>
      <c r="E157" s="30"/>
      <c r="F157" s="30"/>
      <c r="G157" s="30"/>
      <c r="H157" s="30"/>
      <c r="I157" s="30"/>
      <c r="J157" s="31"/>
      <c r="K157" s="21"/>
      <c r="L157" s="21"/>
      <c r="M157" s="21"/>
      <c r="N157" s="21"/>
      <c r="O157" s="21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</row>
    <row r="158" spans="1:255" ht="15.75">
      <c r="A158" s="26" t="s">
        <v>18</v>
      </c>
      <c r="B158" s="26" t="s">
        <v>19</v>
      </c>
      <c r="C158" s="27"/>
      <c r="D158" s="27"/>
      <c r="E158" s="27"/>
      <c r="F158" s="27"/>
      <c r="G158" s="27"/>
      <c r="H158" s="27"/>
      <c r="I158" s="27"/>
      <c r="J158" s="28"/>
      <c r="K158" s="29"/>
      <c r="L158" s="29"/>
      <c r="M158" s="29"/>
      <c r="N158" s="29"/>
      <c r="O158" s="29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</row>
    <row r="159" spans="1:255" ht="15.75">
      <c r="A159" s="20"/>
      <c r="B159" s="20" t="s">
        <v>20</v>
      </c>
      <c r="C159" s="30"/>
      <c r="D159" s="30"/>
      <c r="E159" s="30"/>
      <c r="F159" s="30"/>
      <c r="G159" s="30"/>
      <c r="H159" s="30"/>
      <c r="I159" s="30"/>
      <c r="J159" s="31"/>
      <c r="K159" s="21"/>
      <c r="L159" s="21"/>
      <c r="M159" s="21"/>
      <c r="N159" s="21"/>
      <c r="O159" s="21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</row>
    <row r="160" spans="1:255" ht="15.75">
      <c r="A160" s="20"/>
      <c r="B160" s="20" t="s">
        <v>21</v>
      </c>
      <c r="C160" s="30"/>
      <c r="D160" s="30"/>
      <c r="E160" s="30"/>
      <c r="F160" s="30"/>
      <c r="G160" s="30"/>
      <c r="H160" s="30"/>
      <c r="I160" s="30"/>
      <c r="J160" s="31"/>
      <c r="K160" s="21"/>
      <c r="L160" s="21"/>
      <c r="M160" s="21"/>
      <c r="N160" s="21"/>
      <c r="O160" s="21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</row>
    <row r="161" spans="1:255" ht="15.75">
      <c r="A161" s="20"/>
      <c r="B161" s="20" t="s">
        <v>22</v>
      </c>
      <c r="C161" s="30"/>
      <c r="D161" s="30"/>
      <c r="E161" s="30"/>
      <c r="F161" s="30"/>
      <c r="G161" s="30"/>
      <c r="H161" s="30"/>
      <c r="I161" s="30"/>
      <c r="J161" s="31"/>
      <c r="K161" s="21"/>
      <c r="L161" s="21"/>
      <c r="M161" s="21"/>
      <c r="N161" s="21"/>
      <c r="O161" s="21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</row>
    <row r="162" spans="1:255" ht="15.75">
      <c r="A162" s="20"/>
      <c r="B162" s="20" t="s">
        <v>23</v>
      </c>
      <c r="C162" s="30"/>
      <c r="D162" s="30"/>
      <c r="E162" s="30"/>
      <c r="F162" s="30"/>
      <c r="G162" s="30"/>
      <c r="H162" s="30"/>
      <c r="I162" s="30"/>
      <c r="J162" s="31"/>
      <c r="K162" s="21"/>
      <c r="L162" s="21"/>
      <c r="M162" s="21"/>
      <c r="N162" s="21"/>
      <c r="O162" s="21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</row>
    <row r="163" spans="1:255" ht="15.75">
      <c r="A163" s="20"/>
      <c r="B163" s="20" t="s">
        <v>24</v>
      </c>
      <c r="C163" s="30"/>
      <c r="D163" s="30"/>
      <c r="E163" s="30"/>
      <c r="F163" s="30"/>
      <c r="G163" s="30"/>
      <c r="H163" s="30"/>
      <c r="I163" s="30"/>
      <c r="J163" s="31"/>
      <c r="K163" s="21"/>
      <c r="L163" s="21"/>
      <c r="M163" s="21"/>
      <c r="N163" s="21"/>
      <c r="O163" s="21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</row>
    <row r="164" spans="1:255" ht="15.75">
      <c r="A164" s="20"/>
      <c r="B164" s="22" t="s">
        <v>51</v>
      </c>
      <c r="C164" s="23">
        <v>721</v>
      </c>
      <c r="D164" s="23">
        <v>592</v>
      </c>
      <c r="E164" s="23">
        <v>622</v>
      </c>
      <c r="F164" s="23">
        <v>177</v>
      </c>
      <c r="G164" s="48">
        <f>+I164-SUM(C164:F164)</f>
        <v>40</v>
      </c>
      <c r="H164" s="23"/>
      <c r="I164" s="23">
        <v>2152</v>
      </c>
      <c r="J164" s="24">
        <f t="shared" ref="J164:O164" si="17">C164/$I164</f>
        <v>0.3350371747211896</v>
      </c>
      <c r="K164" s="25">
        <f t="shared" si="17"/>
        <v>0.27509293680297398</v>
      </c>
      <c r="L164" s="25">
        <f t="shared" si="17"/>
        <v>0.28903345724907065</v>
      </c>
      <c r="M164" s="25">
        <f t="shared" si="17"/>
        <v>8.2249070631970261E-2</v>
      </c>
      <c r="N164" s="25">
        <f t="shared" si="17"/>
        <v>1.858736059479554E-2</v>
      </c>
      <c r="O164" s="25">
        <f t="shared" si="17"/>
        <v>0</v>
      </c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</row>
    <row r="165" spans="1:255" ht="15.75">
      <c r="A165" s="20"/>
      <c r="B165" s="20" t="s">
        <v>25</v>
      </c>
      <c r="C165" s="30"/>
      <c r="D165" s="30"/>
      <c r="E165" s="30"/>
      <c r="F165" s="30"/>
      <c r="G165" s="30"/>
      <c r="H165" s="30"/>
      <c r="I165" s="30"/>
      <c r="J165" s="31"/>
      <c r="K165" s="21"/>
      <c r="L165" s="21"/>
      <c r="M165" s="21"/>
      <c r="N165" s="21"/>
      <c r="O165" s="21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</row>
    <row r="166" spans="1:255" ht="15.75">
      <c r="A166" s="20"/>
      <c r="B166" s="20" t="s">
        <v>26</v>
      </c>
      <c r="C166" s="30"/>
      <c r="D166" s="30"/>
      <c r="E166" s="30"/>
      <c r="F166" s="30"/>
      <c r="G166" s="30"/>
      <c r="H166" s="30"/>
      <c r="I166" s="30"/>
      <c r="J166" s="31"/>
      <c r="K166" s="21"/>
      <c r="L166" s="21"/>
      <c r="M166" s="21"/>
      <c r="N166" s="21"/>
      <c r="O166" s="21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</row>
    <row r="167" spans="1:255" ht="15.75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</row>
    <row r="168" spans="1:255" ht="15.7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</row>
    <row r="169" spans="1:255" ht="15.7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</row>
    <row r="170" spans="1:255" ht="15.7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</row>
    <row r="171" spans="1:255" ht="15.7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</row>
    <row r="172" spans="1:255" ht="15.7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</row>
    <row r="173" spans="1:255" ht="15.7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</row>
    <row r="174" spans="1:255" ht="15.7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</row>
    <row r="175" spans="1:255" ht="15.7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</row>
    <row r="176" spans="1:255" ht="15.7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</row>
  </sheetData>
  <phoneticPr fontId="0" type="noConversion"/>
  <pageMargins left="0.75" right="0.75" top="1" bottom="1" header="0.5" footer="0.5"/>
  <pageSetup orientation="portrait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</sheetPr>
  <dimension ref="A1:AJ358"/>
  <sheetViews>
    <sheetView zoomScale="90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I351" sqref="I351:I355"/>
    </sheetView>
  </sheetViews>
  <sheetFormatPr defaultRowHeight="15"/>
  <cols>
    <col min="1" max="1" width="8.88671875" style="888"/>
    <col min="2" max="2" width="14.77734375" customWidth="1"/>
    <col min="3" max="17" width="8.88671875" customWidth="1"/>
  </cols>
  <sheetData>
    <row r="1" spans="1:36">
      <c r="A1" s="879"/>
      <c r="B1" s="360"/>
      <c r="C1" s="361" t="s">
        <v>95</v>
      </c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3"/>
      <c r="S1" s="361" t="s">
        <v>52</v>
      </c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</row>
    <row r="2" spans="1:36">
      <c r="A2" s="880"/>
      <c r="B2" s="366"/>
      <c r="C2" s="367" t="s">
        <v>96</v>
      </c>
      <c r="D2" s="368"/>
      <c r="E2" s="368"/>
      <c r="F2" s="368"/>
      <c r="G2" s="368"/>
      <c r="H2" s="368"/>
      <c r="I2" s="368"/>
      <c r="J2" s="369" t="s">
        <v>97</v>
      </c>
      <c r="K2" s="370"/>
      <c r="L2" s="370"/>
      <c r="M2" s="370"/>
      <c r="N2" s="372"/>
      <c r="O2" s="369" t="s">
        <v>110</v>
      </c>
      <c r="P2" s="370"/>
      <c r="Q2" s="368"/>
      <c r="R2" s="357"/>
      <c r="S2" s="367" t="s">
        <v>96</v>
      </c>
      <c r="T2" s="373"/>
      <c r="U2" s="373"/>
      <c r="V2" s="889"/>
      <c r="W2" s="373"/>
      <c r="X2" s="373"/>
      <c r="Y2" s="373"/>
      <c r="Z2" s="374" t="s">
        <v>97</v>
      </c>
      <c r="AA2" s="375"/>
      <c r="AB2" s="375"/>
      <c r="AC2" s="375"/>
      <c r="AD2" s="375"/>
      <c r="AE2" s="377"/>
      <c r="AF2" s="374" t="s">
        <v>110</v>
      </c>
      <c r="AG2" s="375"/>
      <c r="AH2" s="373"/>
    </row>
    <row r="3" spans="1:36" ht="25.5">
      <c r="A3" s="881"/>
      <c r="B3" s="379"/>
      <c r="C3" s="380">
        <v>1</v>
      </c>
      <c r="D3" s="381">
        <v>2</v>
      </c>
      <c r="E3" s="381">
        <v>3</v>
      </c>
      <c r="F3" s="381">
        <v>4</v>
      </c>
      <c r="G3" s="381">
        <v>5</v>
      </c>
      <c r="H3" s="381">
        <v>6</v>
      </c>
      <c r="I3" s="382" t="s">
        <v>119</v>
      </c>
      <c r="J3" s="383" t="s">
        <v>111</v>
      </c>
      <c r="K3" s="381">
        <v>1</v>
      </c>
      <c r="L3" s="381">
        <v>2</v>
      </c>
      <c r="M3" s="381">
        <v>3</v>
      </c>
      <c r="N3" s="382" t="s">
        <v>121</v>
      </c>
      <c r="O3" s="383">
        <v>1</v>
      </c>
      <c r="P3" s="383">
        <v>2</v>
      </c>
      <c r="Q3" s="384" t="s">
        <v>113</v>
      </c>
      <c r="R3" s="385"/>
      <c r="S3" s="386">
        <v>1</v>
      </c>
      <c r="T3" s="387">
        <v>2</v>
      </c>
      <c r="U3" s="387">
        <v>3</v>
      </c>
      <c r="V3" s="387">
        <v>4</v>
      </c>
      <c r="W3" s="387">
        <v>5</v>
      </c>
      <c r="X3" s="387">
        <v>6</v>
      </c>
      <c r="Y3" s="388" t="s">
        <v>98</v>
      </c>
      <c r="Z3" s="389" t="s">
        <v>111</v>
      </c>
      <c r="AA3" s="387">
        <v>1</v>
      </c>
      <c r="AB3" s="387">
        <v>2</v>
      </c>
      <c r="AC3" s="387">
        <v>3</v>
      </c>
      <c r="AD3" s="389" t="s">
        <v>216</v>
      </c>
      <c r="AE3" s="388" t="s">
        <v>113</v>
      </c>
      <c r="AF3" s="389">
        <v>1</v>
      </c>
      <c r="AG3" s="389">
        <v>2</v>
      </c>
      <c r="AH3" s="390" t="s">
        <v>113</v>
      </c>
    </row>
    <row r="4" spans="1:36">
      <c r="A4" s="882" t="s">
        <v>128</v>
      </c>
      <c r="B4" s="240" t="s">
        <v>53</v>
      </c>
      <c r="C4" s="613">
        <f>IF(S9&gt;0,(S4/S9),0)</f>
        <v>0.33191092349576334</v>
      </c>
      <c r="D4" s="614">
        <f t="shared" ref="D4:M4" si="0">IF(T9&gt;0,(T4/T9),0)</f>
        <v>0.2690922571761466</v>
      </c>
      <c r="E4" s="614">
        <f t="shared" si="0"/>
        <v>0.28210295980651851</v>
      </c>
      <c r="F4" s="614">
        <f t="shared" si="0"/>
        <v>0.25594563986409968</v>
      </c>
      <c r="G4" s="614">
        <f t="shared" si="0"/>
        <v>0.23802061855670104</v>
      </c>
      <c r="H4" s="615">
        <f t="shared" si="0"/>
        <v>0.19856486153156183</v>
      </c>
      <c r="I4" s="613">
        <f t="shared" si="0"/>
        <v>0.29679000262416932</v>
      </c>
      <c r="J4" s="613">
        <f t="shared" si="0"/>
        <v>0</v>
      </c>
      <c r="K4" s="614">
        <f t="shared" si="0"/>
        <v>0</v>
      </c>
      <c r="L4" s="614">
        <f t="shared" si="0"/>
        <v>0</v>
      </c>
      <c r="M4" s="614">
        <f t="shared" si="0"/>
        <v>0</v>
      </c>
      <c r="N4" s="613">
        <f>IF(AE9&gt;0,(AE4/AE9),0)</f>
        <v>0.15839396072909331</v>
      </c>
      <c r="O4" s="613">
        <f t="shared" ref="O4:Q4" si="1">IF(AF9&gt;0,(AF4/AF9),0)</f>
        <v>0</v>
      </c>
      <c r="P4" s="615">
        <f t="shared" si="1"/>
        <v>0</v>
      </c>
      <c r="Q4" s="613">
        <f t="shared" si="1"/>
        <v>6.0065600656006558E-2</v>
      </c>
      <c r="R4" s="391"/>
      <c r="S4" s="797">
        <f>S10+S129+S213+S291+S351</f>
        <v>43402</v>
      </c>
      <c r="T4" s="797">
        <f t="shared" ref="T4:AH4" si="2">T10+T129+T213+T291+T351</f>
        <v>10162</v>
      </c>
      <c r="U4" s="797">
        <f t="shared" si="2"/>
        <v>19596</v>
      </c>
      <c r="V4" s="797">
        <f t="shared" si="2"/>
        <v>5876</v>
      </c>
      <c r="W4" s="797">
        <f t="shared" si="2"/>
        <v>2886</v>
      </c>
      <c r="X4" s="797">
        <f t="shared" si="2"/>
        <v>1771</v>
      </c>
      <c r="Y4" s="797">
        <f t="shared" si="2"/>
        <v>83693</v>
      </c>
      <c r="Z4" s="797">
        <f t="shared" si="2"/>
        <v>0</v>
      </c>
      <c r="AA4" s="797">
        <f t="shared" si="2"/>
        <v>0</v>
      </c>
      <c r="AB4" s="797">
        <f t="shared" si="2"/>
        <v>0</v>
      </c>
      <c r="AC4" s="797">
        <f t="shared" si="2"/>
        <v>0</v>
      </c>
      <c r="AD4" s="797">
        <f t="shared" si="2"/>
        <v>0</v>
      </c>
      <c r="AE4" s="797">
        <f t="shared" si="2"/>
        <v>16198</v>
      </c>
      <c r="AF4" s="797">
        <f t="shared" si="2"/>
        <v>0</v>
      </c>
      <c r="AG4" s="797">
        <f t="shared" si="2"/>
        <v>0</v>
      </c>
      <c r="AH4" s="797">
        <f t="shared" si="2"/>
        <v>1172</v>
      </c>
    </row>
    <row r="5" spans="1:36">
      <c r="A5" s="883"/>
      <c r="B5" s="239" t="s">
        <v>93</v>
      </c>
      <c r="C5" s="624">
        <f>IF(S9&gt;0,(S5/S9),0)</f>
        <v>0.25695145452876939</v>
      </c>
      <c r="D5" s="625">
        <f t="shared" ref="D5:M5" si="3">IF(T9&gt;0,(T5/T9),0)</f>
        <v>0.28310030717085055</v>
      </c>
      <c r="E5" s="625">
        <f t="shared" si="3"/>
        <v>0.26484222043072669</v>
      </c>
      <c r="F5" s="625">
        <f t="shared" si="3"/>
        <v>0.25646833347852599</v>
      </c>
      <c r="G5" s="625">
        <f t="shared" si="3"/>
        <v>0.27744329896907216</v>
      </c>
      <c r="H5" s="626">
        <f t="shared" si="3"/>
        <v>0.26527637627536721</v>
      </c>
      <c r="I5" s="624">
        <f t="shared" si="3"/>
        <v>0.26350206032752471</v>
      </c>
      <c r="J5" s="624">
        <f t="shared" si="3"/>
        <v>0</v>
      </c>
      <c r="K5" s="625">
        <f t="shared" si="3"/>
        <v>0</v>
      </c>
      <c r="L5" s="625">
        <f t="shared" si="3"/>
        <v>0</v>
      </c>
      <c r="M5" s="625">
        <f t="shared" si="3"/>
        <v>0</v>
      </c>
      <c r="N5" s="624">
        <f>IF(AE9&gt;0,(AE5/AE9),0)</f>
        <v>0.11654150043025893</v>
      </c>
      <c r="O5" s="624">
        <f t="shared" ref="O5:Q5" si="4">IF(AF9&gt;0,(AF5/AF9),0)</f>
        <v>0</v>
      </c>
      <c r="P5" s="626">
        <f t="shared" si="4"/>
        <v>0</v>
      </c>
      <c r="Q5" s="624">
        <f t="shared" si="4"/>
        <v>2.7521525215252151E-2</v>
      </c>
      <c r="R5" s="391"/>
      <c r="S5" s="797">
        <f t="shared" ref="S5:AH7" si="5">S11+S130+S214+S292+S352</f>
        <v>33600</v>
      </c>
      <c r="T5" s="797">
        <f t="shared" si="5"/>
        <v>10691</v>
      </c>
      <c r="U5" s="797">
        <f t="shared" si="5"/>
        <v>18397</v>
      </c>
      <c r="V5" s="797">
        <f t="shared" si="5"/>
        <v>5888</v>
      </c>
      <c r="W5" s="797">
        <f t="shared" si="5"/>
        <v>3364</v>
      </c>
      <c r="X5" s="797">
        <f t="shared" si="5"/>
        <v>2366</v>
      </c>
      <c r="Y5" s="797">
        <f t="shared" si="5"/>
        <v>74306</v>
      </c>
      <c r="Z5" s="797">
        <f t="shared" si="5"/>
        <v>0</v>
      </c>
      <c r="AA5" s="797">
        <f t="shared" si="5"/>
        <v>0</v>
      </c>
      <c r="AB5" s="797">
        <f t="shared" si="5"/>
        <v>0</v>
      </c>
      <c r="AC5" s="797">
        <f t="shared" si="5"/>
        <v>0</v>
      </c>
      <c r="AD5" s="797">
        <f t="shared" si="5"/>
        <v>0</v>
      </c>
      <c r="AE5" s="797">
        <f t="shared" si="5"/>
        <v>11918</v>
      </c>
      <c r="AF5" s="797">
        <f t="shared" si="5"/>
        <v>0</v>
      </c>
      <c r="AG5" s="797">
        <f t="shared" si="5"/>
        <v>0</v>
      </c>
      <c r="AH5" s="797">
        <f t="shared" si="5"/>
        <v>537</v>
      </c>
    </row>
    <row r="6" spans="1:36">
      <c r="A6" s="883"/>
      <c r="B6" s="239" t="s">
        <v>55</v>
      </c>
      <c r="C6" s="624">
        <f>IF(S9&gt;0,(S6/S9),0)</f>
        <v>0.22178122419014407</v>
      </c>
      <c r="D6" s="625">
        <f t="shared" ref="D6:M6" si="6">IF(T9&gt;0,(T6/T9),0)</f>
        <v>0.23951382268827454</v>
      </c>
      <c r="E6" s="625">
        <f t="shared" si="6"/>
        <v>0.24873315674306115</v>
      </c>
      <c r="F6" s="625">
        <f t="shared" si="6"/>
        <v>0.29453785172924468</v>
      </c>
      <c r="G6" s="625">
        <f t="shared" si="6"/>
        <v>0.28222680412371132</v>
      </c>
      <c r="H6" s="626">
        <f t="shared" si="6"/>
        <v>0.3281758044623837</v>
      </c>
      <c r="I6" s="624">
        <f t="shared" si="6"/>
        <v>0.24268246842131394</v>
      </c>
      <c r="J6" s="624">
        <f t="shared" si="6"/>
        <v>0</v>
      </c>
      <c r="K6" s="625">
        <f t="shared" si="6"/>
        <v>0</v>
      </c>
      <c r="L6" s="625">
        <f t="shared" si="6"/>
        <v>0</v>
      </c>
      <c r="M6" s="625">
        <f t="shared" si="6"/>
        <v>0</v>
      </c>
      <c r="N6" s="624">
        <f>IF(AE9&gt;0,(AE6/AE9),0)</f>
        <v>0.13233395916451537</v>
      </c>
      <c r="O6" s="624">
        <f t="shared" ref="O6:Q6" si="7">IF(AF9&gt;0,(AF6/AF9),0)</f>
        <v>0</v>
      </c>
      <c r="P6" s="626">
        <f t="shared" si="7"/>
        <v>0</v>
      </c>
      <c r="Q6" s="624">
        <f t="shared" si="7"/>
        <v>3.136531365313653E-2</v>
      </c>
      <c r="R6" s="391"/>
      <c r="S6" s="797">
        <f t="shared" si="5"/>
        <v>29001</v>
      </c>
      <c r="T6" s="797">
        <f t="shared" si="5"/>
        <v>9045</v>
      </c>
      <c r="U6" s="797">
        <f t="shared" si="5"/>
        <v>17278</v>
      </c>
      <c r="V6" s="797">
        <f t="shared" si="5"/>
        <v>6762</v>
      </c>
      <c r="W6" s="797">
        <f t="shared" si="5"/>
        <v>3422</v>
      </c>
      <c r="X6" s="797">
        <f t="shared" si="5"/>
        <v>2927</v>
      </c>
      <c r="Y6" s="797">
        <f t="shared" si="5"/>
        <v>68435</v>
      </c>
      <c r="Z6" s="797">
        <f t="shared" si="5"/>
        <v>0</v>
      </c>
      <c r="AA6" s="797">
        <f t="shared" si="5"/>
        <v>0</v>
      </c>
      <c r="AB6" s="797">
        <f t="shared" si="5"/>
        <v>0</v>
      </c>
      <c r="AC6" s="797">
        <f t="shared" si="5"/>
        <v>0</v>
      </c>
      <c r="AD6" s="797">
        <f t="shared" si="5"/>
        <v>0</v>
      </c>
      <c r="AE6" s="797">
        <f t="shared" si="5"/>
        <v>13533</v>
      </c>
      <c r="AF6" s="797">
        <f t="shared" si="5"/>
        <v>0</v>
      </c>
      <c r="AG6" s="797">
        <f t="shared" si="5"/>
        <v>0</v>
      </c>
      <c r="AH6" s="797">
        <f t="shared" si="5"/>
        <v>612</v>
      </c>
    </row>
    <row r="7" spans="1:36">
      <c r="A7" s="883"/>
      <c r="B7" s="239" t="s">
        <v>78</v>
      </c>
      <c r="C7" s="624">
        <f>IF(S9&gt;0,(S7/S9),0)</f>
        <v>5.769936679820134E-2</v>
      </c>
      <c r="D7" s="625">
        <f t="shared" ref="D7:M7" si="8">IF(T9&gt;0,(T7/T9),0)</f>
        <v>8.375701726512022E-2</v>
      </c>
      <c r="E7" s="625">
        <f t="shared" si="8"/>
        <v>7.5924219739721299E-2</v>
      </c>
      <c r="F7" s="625">
        <f t="shared" si="8"/>
        <v>7.5006533670180328E-2</v>
      </c>
      <c r="G7" s="625">
        <f t="shared" si="8"/>
        <v>7.8350515463917525E-2</v>
      </c>
      <c r="H7" s="626">
        <f t="shared" si="8"/>
        <v>0.13140486601636955</v>
      </c>
      <c r="I7" s="624">
        <f t="shared" si="8"/>
        <v>7.0306460421143718E-2</v>
      </c>
      <c r="J7" s="624">
        <f t="shared" si="8"/>
        <v>0</v>
      </c>
      <c r="K7" s="625">
        <f t="shared" si="8"/>
        <v>0</v>
      </c>
      <c r="L7" s="625">
        <f t="shared" si="8"/>
        <v>0</v>
      </c>
      <c r="M7" s="625">
        <f t="shared" si="8"/>
        <v>0</v>
      </c>
      <c r="N7" s="624">
        <f>IF(AE9&gt;0,(AE7/AE9),0)</f>
        <v>0.34459829461002894</v>
      </c>
      <c r="O7" s="624">
        <f t="shared" ref="O7:Q7" si="9">IF(AF9&gt;0,(AF7/AF9),0)</f>
        <v>0</v>
      </c>
      <c r="P7" s="626">
        <f t="shared" si="9"/>
        <v>0</v>
      </c>
      <c r="Q7" s="624">
        <f t="shared" si="9"/>
        <v>0.64058015580155803</v>
      </c>
      <c r="R7" s="391"/>
      <c r="S7" s="797">
        <f t="shared" si="5"/>
        <v>7545</v>
      </c>
      <c r="T7" s="797">
        <f t="shared" si="5"/>
        <v>3163</v>
      </c>
      <c r="U7" s="797">
        <f t="shared" si="5"/>
        <v>5274</v>
      </c>
      <c r="V7" s="797">
        <f t="shared" si="5"/>
        <v>1722</v>
      </c>
      <c r="W7" s="797">
        <f t="shared" si="5"/>
        <v>950</v>
      </c>
      <c r="X7" s="797">
        <f t="shared" si="5"/>
        <v>1172</v>
      </c>
      <c r="Y7" s="797">
        <f t="shared" si="5"/>
        <v>19826</v>
      </c>
      <c r="Z7" s="797">
        <f t="shared" si="5"/>
        <v>0</v>
      </c>
      <c r="AA7" s="797">
        <f t="shared" si="5"/>
        <v>0</v>
      </c>
      <c r="AB7" s="797">
        <f t="shared" si="5"/>
        <v>0</v>
      </c>
      <c r="AC7" s="797">
        <f t="shared" si="5"/>
        <v>0</v>
      </c>
      <c r="AD7" s="797">
        <f t="shared" si="5"/>
        <v>0</v>
      </c>
      <c r="AE7" s="797">
        <f t="shared" si="5"/>
        <v>35240</v>
      </c>
      <c r="AF7" s="797">
        <f t="shared" si="5"/>
        <v>0</v>
      </c>
      <c r="AG7" s="797">
        <f t="shared" si="5"/>
        <v>0</v>
      </c>
      <c r="AH7" s="797">
        <f t="shared" si="5"/>
        <v>12499</v>
      </c>
    </row>
    <row r="8" spans="1:36">
      <c r="A8" s="884"/>
      <c r="B8" s="580" t="s">
        <v>131</v>
      </c>
      <c r="C8" s="624">
        <f>IF(S9&gt;0,(S8/S9),0)</f>
        <v>0.13165703098712184</v>
      </c>
      <c r="D8" s="625">
        <f t="shared" ref="D8:M8" si="10">IF(T9&gt;0,(T8/T9),0)</f>
        <v>0.12453659569960809</v>
      </c>
      <c r="E8" s="625">
        <f t="shared" si="10"/>
        <v>0.12839744327997235</v>
      </c>
      <c r="F8" s="625">
        <f t="shared" si="10"/>
        <v>0.1180416412579493</v>
      </c>
      <c r="G8" s="625">
        <f t="shared" si="10"/>
        <v>0.12395876288659793</v>
      </c>
      <c r="H8" s="626">
        <f t="shared" si="10"/>
        <v>7.6578091714317745E-2</v>
      </c>
      <c r="I8" s="624">
        <f t="shared" si="10"/>
        <v>0.12671900820584836</v>
      </c>
      <c r="J8" s="624">
        <f t="shared" si="10"/>
        <v>0</v>
      </c>
      <c r="K8" s="625">
        <f t="shared" si="10"/>
        <v>0</v>
      </c>
      <c r="L8" s="625">
        <f t="shared" si="10"/>
        <v>0</v>
      </c>
      <c r="M8" s="625">
        <f t="shared" si="10"/>
        <v>0</v>
      </c>
      <c r="N8" s="624">
        <f>IF(AE9&gt;0,(AE8/AE9),0)</f>
        <v>0.24813228506610341</v>
      </c>
      <c r="O8" s="624">
        <f t="shared" ref="O8:Q8" si="11">IF(AF9&gt;0,(AF8/AF9),0)</f>
        <v>0</v>
      </c>
      <c r="P8" s="626">
        <f t="shared" si="11"/>
        <v>0</v>
      </c>
      <c r="Q8" s="624">
        <f t="shared" si="11"/>
        <v>0.24046740467404673</v>
      </c>
      <c r="R8" s="391"/>
      <c r="S8" s="797">
        <f>S14+S15+S133+S217+S295+S355</f>
        <v>17216</v>
      </c>
      <c r="T8" s="797">
        <f t="shared" ref="T8:AH8" si="12">T14+T15+T133+T217+T295+T355</f>
        <v>4703</v>
      </c>
      <c r="U8" s="797">
        <f t="shared" si="12"/>
        <v>8919</v>
      </c>
      <c r="V8" s="797">
        <f>V14+V15+V133+V217+V295+V355</f>
        <v>2710</v>
      </c>
      <c r="W8" s="797">
        <f t="shared" si="12"/>
        <v>1503</v>
      </c>
      <c r="X8" s="797">
        <f t="shared" si="12"/>
        <v>683</v>
      </c>
      <c r="Y8" s="797">
        <f t="shared" si="12"/>
        <v>35734</v>
      </c>
      <c r="Z8" s="797">
        <f t="shared" si="12"/>
        <v>0</v>
      </c>
      <c r="AA8" s="797">
        <f t="shared" si="12"/>
        <v>0</v>
      </c>
      <c r="AB8" s="797">
        <f t="shared" si="12"/>
        <v>0</v>
      </c>
      <c r="AC8" s="797">
        <f t="shared" si="12"/>
        <v>0</v>
      </c>
      <c r="AD8" s="797">
        <f t="shared" si="12"/>
        <v>0</v>
      </c>
      <c r="AE8" s="797">
        <f t="shared" si="12"/>
        <v>25375</v>
      </c>
      <c r="AF8" s="797">
        <f t="shared" si="12"/>
        <v>0</v>
      </c>
      <c r="AG8" s="797">
        <f t="shared" si="12"/>
        <v>0</v>
      </c>
      <c r="AH8" s="797">
        <f t="shared" si="12"/>
        <v>4692</v>
      </c>
    </row>
    <row r="9" spans="1:36">
      <c r="A9" s="885" t="s">
        <v>86</v>
      </c>
      <c r="B9" s="436" t="s">
        <v>59</v>
      </c>
      <c r="C9" s="577">
        <f>IF(S9&gt;0,(S9/S9),0)</f>
        <v>1</v>
      </c>
      <c r="D9" s="578">
        <f t="shared" ref="D9:M9" si="13">IF(T9&gt;0,(T9/T9),0)</f>
        <v>1</v>
      </c>
      <c r="E9" s="578">
        <f t="shared" si="13"/>
        <v>1</v>
      </c>
      <c r="F9" s="578">
        <f t="shared" si="13"/>
        <v>1</v>
      </c>
      <c r="G9" s="578">
        <f t="shared" si="13"/>
        <v>1</v>
      </c>
      <c r="H9" s="579">
        <f t="shared" si="13"/>
        <v>1</v>
      </c>
      <c r="I9" s="577">
        <f t="shared" si="13"/>
        <v>1</v>
      </c>
      <c r="J9" s="577">
        <f t="shared" si="13"/>
        <v>0</v>
      </c>
      <c r="K9" s="578">
        <f t="shared" si="13"/>
        <v>0</v>
      </c>
      <c r="L9" s="578">
        <f t="shared" si="13"/>
        <v>0</v>
      </c>
      <c r="M9" s="578">
        <f t="shared" si="13"/>
        <v>0</v>
      </c>
      <c r="N9" s="577">
        <f>IF(AE9&gt;0,(AE9/AE9),0)</f>
        <v>1</v>
      </c>
      <c r="O9" s="577">
        <f t="shared" ref="O9:Q9" si="14">IF(AF9&gt;0,(AF9/AF9),0)</f>
        <v>0</v>
      </c>
      <c r="P9" s="579">
        <f t="shared" si="14"/>
        <v>0</v>
      </c>
      <c r="Q9" s="577">
        <f t="shared" si="14"/>
        <v>1</v>
      </c>
      <c r="R9" s="391"/>
      <c r="S9" s="797">
        <f>S16+S134+S218+S296+S356</f>
        <v>130764</v>
      </c>
      <c r="T9" s="797">
        <f t="shared" ref="T9:AH9" si="15">T16+T134+T218+T296+T356</f>
        <v>37764</v>
      </c>
      <c r="U9" s="797">
        <f t="shared" si="15"/>
        <v>69464</v>
      </c>
      <c r="V9" s="797">
        <f t="shared" si="15"/>
        <v>22958</v>
      </c>
      <c r="W9" s="797">
        <f t="shared" si="15"/>
        <v>12125</v>
      </c>
      <c r="X9" s="797">
        <f t="shared" si="15"/>
        <v>8919</v>
      </c>
      <c r="Y9" s="797">
        <f t="shared" si="15"/>
        <v>281994</v>
      </c>
      <c r="Z9" s="797">
        <f t="shared" si="15"/>
        <v>0</v>
      </c>
      <c r="AA9" s="797">
        <f t="shared" si="15"/>
        <v>0</v>
      </c>
      <c r="AB9" s="797">
        <f t="shared" si="15"/>
        <v>0</v>
      </c>
      <c r="AC9" s="797">
        <f t="shared" si="15"/>
        <v>0</v>
      </c>
      <c r="AD9" s="797">
        <f t="shared" si="15"/>
        <v>0</v>
      </c>
      <c r="AE9" s="797">
        <f t="shared" si="15"/>
        <v>102264</v>
      </c>
      <c r="AF9" s="797">
        <f t="shared" si="15"/>
        <v>0</v>
      </c>
      <c r="AG9" s="797">
        <f t="shared" si="15"/>
        <v>0</v>
      </c>
      <c r="AH9" s="797">
        <f t="shared" si="15"/>
        <v>19512</v>
      </c>
    </row>
    <row r="10" spans="1:36">
      <c r="A10" s="883" t="s">
        <v>3</v>
      </c>
      <c r="B10" s="240" t="s">
        <v>53</v>
      </c>
      <c r="C10" s="613">
        <f t="shared" ref="C10:M16" si="16">IF(S$16&gt;0,(S10/S$16),0)</f>
        <v>0.30969353444134884</v>
      </c>
      <c r="D10" s="614">
        <f t="shared" si="16"/>
        <v>0.2559868591683237</v>
      </c>
      <c r="E10" s="614">
        <f t="shared" si="16"/>
        <v>0.23755375993744299</v>
      </c>
      <c r="F10" s="614">
        <f t="shared" si="16"/>
        <v>0.21934301792959038</v>
      </c>
      <c r="G10" s="614">
        <f t="shared" si="16"/>
        <v>0.19629789065863107</v>
      </c>
      <c r="H10" s="615">
        <f t="shared" si="16"/>
        <v>0.19607843137254902</v>
      </c>
      <c r="I10" s="613">
        <f t="shared" si="16"/>
        <v>0.26939384564991903</v>
      </c>
      <c r="J10" s="613">
        <f t="shared" si="16"/>
        <v>0</v>
      </c>
      <c r="K10" s="614">
        <f t="shared" si="16"/>
        <v>0</v>
      </c>
      <c r="L10" s="614">
        <f t="shared" si="16"/>
        <v>0</v>
      </c>
      <c r="M10" s="614">
        <f t="shared" si="16"/>
        <v>0</v>
      </c>
      <c r="N10" s="613">
        <f t="shared" ref="N10:Q16" si="17">IF(AE$16&gt;0,(AE10/AE$16),0)</f>
        <v>0.14846193084787865</v>
      </c>
      <c r="O10" s="788">
        <f t="shared" si="17"/>
        <v>0</v>
      </c>
      <c r="P10" s="789">
        <f t="shared" si="17"/>
        <v>0</v>
      </c>
      <c r="Q10" s="788">
        <f t="shared" si="17"/>
        <v>1.0393258426966293E-2</v>
      </c>
      <c r="R10" s="244"/>
      <c r="S10" s="590">
        <f>S17+S24+S31+S38+S45+S52+S59+S66+S73+S80+S87+S94+S101+S108+S115+S122</f>
        <v>16118</v>
      </c>
      <c r="T10" s="591">
        <f t="shared" ref="T10:Y10" si="18">T17+T24+T31+T38+T45+T52+T59+T66+T73+T80+T87+T94+T101+T108+T115+T122</f>
        <v>2961</v>
      </c>
      <c r="U10" s="591">
        <f t="shared" si="18"/>
        <v>7291</v>
      </c>
      <c r="V10" s="591">
        <f t="shared" si="18"/>
        <v>1676</v>
      </c>
      <c r="W10" s="591">
        <f t="shared" si="18"/>
        <v>912</v>
      </c>
      <c r="X10" s="591">
        <f t="shared" si="18"/>
        <v>650</v>
      </c>
      <c r="Y10" s="592">
        <f t="shared" si="18"/>
        <v>29608</v>
      </c>
      <c r="Z10" s="590">
        <f t="shared" ref="Z10:AH10" si="19">Z17+Z24+Z31+Z38+Z45+Z52+Z59+Z66+Z73+Z80+Z87+Z94+Z101+Z108+Z115+Z122</f>
        <v>0</v>
      </c>
      <c r="AA10" s="591">
        <f t="shared" si="19"/>
        <v>0</v>
      </c>
      <c r="AB10" s="591">
        <f t="shared" si="19"/>
        <v>0</v>
      </c>
      <c r="AC10" s="591">
        <f t="shared" si="19"/>
        <v>0</v>
      </c>
      <c r="AD10" s="593">
        <f t="shared" si="19"/>
        <v>0</v>
      </c>
      <c r="AE10" s="592">
        <f t="shared" si="19"/>
        <v>6694</v>
      </c>
      <c r="AF10" s="590">
        <f t="shared" si="19"/>
        <v>0</v>
      </c>
      <c r="AG10" s="593">
        <f t="shared" si="19"/>
        <v>0</v>
      </c>
      <c r="AH10" s="591">
        <f t="shared" si="19"/>
        <v>37</v>
      </c>
      <c r="AJ10" s="80" t="s">
        <v>229</v>
      </c>
    </row>
    <row r="11" spans="1:36">
      <c r="A11" s="886"/>
      <c r="B11" s="239" t="s">
        <v>93</v>
      </c>
      <c r="C11" s="624">
        <f t="shared" si="16"/>
        <v>0.26872898453261601</v>
      </c>
      <c r="D11" s="625">
        <f t="shared" si="16"/>
        <v>0.29610097691709175</v>
      </c>
      <c r="E11" s="625">
        <f t="shared" si="16"/>
        <v>0.26117555063208653</v>
      </c>
      <c r="F11" s="625">
        <f t="shared" si="16"/>
        <v>0.25677267373380447</v>
      </c>
      <c r="G11" s="625">
        <f t="shared" si="16"/>
        <v>0.26388291003013342</v>
      </c>
      <c r="H11" s="626">
        <f t="shared" si="16"/>
        <v>0.27752639517345401</v>
      </c>
      <c r="I11" s="624">
        <f t="shared" si="16"/>
        <v>0.26872964169381108</v>
      </c>
      <c r="J11" s="624">
        <f t="shared" si="16"/>
        <v>0</v>
      </c>
      <c r="K11" s="625">
        <f t="shared" si="16"/>
        <v>0</v>
      </c>
      <c r="L11" s="625">
        <f t="shared" si="16"/>
        <v>0</v>
      </c>
      <c r="M11" s="625">
        <f t="shared" si="16"/>
        <v>0</v>
      </c>
      <c r="N11" s="624">
        <f t="shared" si="17"/>
        <v>0.12147086872629688</v>
      </c>
      <c r="O11" s="624">
        <f t="shared" si="17"/>
        <v>0</v>
      </c>
      <c r="P11" s="625">
        <f t="shared" si="17"/>
        <v>0</v>
      </c>
      <c r="Q11" s="624">
        <f t="shared" si="17"/>
        <v>3.0617977528089889E-2</v>
      </c>
      <c r="R11" s="253"/>
      <c r="S11" s="594">
        <f t="shared" ref="S11:Y11" si="20">S18+S25+S32+S39+S46+S53+S60+S67+S74+S81+S88+S95+S102+S109+S116+S123</f>
        <v>13986</v>
      </c>
      <c r="T11" s="595">
        <f t="shared" si="20"/>
        <v>3425</v>
      </c>
      <c r="U11" s="595">
        <f t="shared" si="20"/>
        <v>8016</v>
      </c>
      <c r="V11" s="595">
        <f t="shared" si="20"/>
        <v>1962</v>
      </c>
      <c r="W11" s="595">
        <f t="shared" si="20"/>
        <v>1226</v>
      </c>
      <c r="X11" s="595">
        <f t="shared" si="20"/>
        <v>920</v>
      </c>
      <c r="Y11" s="596">
        <f t="shared" si="20"/>
        <v>29535</v>
      </c>
      <c r="Z11" s="594">
        <f t="shared" ref="Z11:AH11" si="21">Z18+Z25+Z32+Z39+Z46+Z53+Z60+Z67+Z74+Z81+Z88+Z95+Z102+Z109+Z116+Z123</f>
        <v>0</v>
      </c>
      <c r="AA11" s="595">
        <f t="shared" si="21"/>
        <v>0</v>
      </c>
      <c r="AB11" s="595">
        <f t="shared" si="21"/>
        <v>0</v>
      </c>
      <c r="AC11" s="595">
        <f t="shared" si="21"/>
        <v>0</v>
      </c>
      <c r="AD11" s="597">
        <f t="shared" si="21"/>
        <v>0</v>
      </c>
      <c r="AE11" s="596">
        <f t="shared" si="21"/>
        <v>5477</v>
      </c>
      <c r="AF11" s="594">
        <f t="shared" si="21"/>
        <v>0</v>
      </c>
      <c r="AG11" s="597">
        <f t="shared" si="21"/>
        <v>0</v>
      </c>
      <c r="AH11" s="595">
        <f t="shared" si="21"/>
        <v>109</v>
      </c>
    </row>
    <row r="12" spans="1:36">
      <c r="A12" s="886"/>
      <c r="B12" s="239" t="s">
        <v>55</v>
      </c>
      <c r="C12" s="624">
        <f t="shared" si="16"/>
        <v>0.21275819002786051</v>
      </c>
      <c r="D12" s="625">
        <f t="shared" si="16"/>
        <v>0.25287455692919514</v>
      </c>
      <c r="E12" s="625">
        <f t="shared" si="16"/>
        <v>0.26690994395933793</v>
      </c>
      <c r="F12" s="625">
        <f t="shared" si="16"/>
        <v>0.31592723465514982</v>
      </c>
      <c r="G12" s="625">
        <f t="shared" si="16"/>
        <v>0.29143349117520445</v>
      </c>
      <c r="H12" s="626">
        <f t="shared" si="16"/>
        <v>0.33725490196078434</v>
      </c>
      <c r="I12" s="624">
        <f t="shared" si="16"/>
        <v>0.24635597692573655</v>
      </c>
      <c r="J12" s="624">
        <f t="shared" si="16"/>
        <v>0</v>
      </c>
      <c r="K12" s="625">
        <f t="shared" si="16"/>
        <v>0</v>
      </c>
      <c r="L12" s="625">
        <f t="shared" si="16"/>
        <v>0</v>
      </c>
      <c r="M12" s="625">
        <f t="shared" si="16"/>
        <v>0</v>
      </c>
      <c r="N12" s="624">
        <f t="shared" si="17"/>
        <v>0.12255760828583469</v>
      </c>
      <c r="O12" s="624">
        <f t="shared" si="17"/>
        <v>0</v>
      </c>
      <c r="P12" s="625">
        <f t="shared" si="17"/>
        <v>0</v>
      </c>
      <c r="Q12" s="624">
        <f t="shared" si="17"/>
        <v>1.6853932584269662E-2</v>
      </c>
      <c r="R12" s="253"/>
      <c r="S12" s="594">
        <f t="shared" ref="S12:Y12" si="22">S19+S26+S33+S40+S47+S54+S61+S68+S75+S82+S89+S96+S103+S110+S117+S124</f>
        <v>11073</v>
      </c>
      <c r="T12" s="595">
        <f t="shared" si="22"/>
        <v>2925</v>
      </c>
      <c r="U12" s="595">
        <f t="shared" si="22"/>
        <v>8192</v>
      </c>
      <c r="V12" s="595">
        <f t="shared" si="22"/>
        <v>2414</v>
      </c>
      <c r="W12" s="595">
        <f t="shared" si="22"/>
        <v>1354</v>
      </c>
      <c r="X12" s="595">
        <f t="shared" si="22"/>
        <v>1118</v>
      </c>
      <c r="Y12" s="596">
        <f t="shared" si="22"/>
        <v>27076</v>
      </c>
      <c r="Z12" s="594">
        <f t="shared" ref="Z12:AH12" si="23">Z19+Z26+Z33+Z40+Z47+Z54+Z61+Z68+Z75+Z82+Z89+Z96+Z103+Z110+Z117+Z124</f>
        <v>0</v>
      </c>
      <c r="AA12" s="595">
        <f t="shared" si="23"/>
        <v>0</v>
      </c>
      <c r="AB12" s="595">
        <f t="shared" si="23"/>
        <v>0</v>
      </c>
      <c r="AC12" s="595">
        <f t="shared" si="23"/>
        <v>0</v>
      </c>
      <c r="AD12" s="597">
        <f t="shared" si="23"/>
        <v>0</v>
      </c>
      <c r="AE12" s="596">
        <f t="shared" si="23"/>
        <v>5526</v>
      </c>
      <c r="AF12" s="594">
        <f t="shared" si="23"/>
        <v>0</v>
      </c>
      <c r="AG12" s="597">
        <f t="shared" si="23"/>
        <v>0</v>
      </c>
      <c r="AH12" s="595">
        <f t="shared" si="23"/>
        <v>60</v>
      </c>
    </row>
    <row r="13" spans="1:36">
      <c r="A13" s="886"/>
      <c r="B13" s="239" t="s">
        <v>78</v>
      </c>
      <c r="C13" s="624">
        <f t="shared" si="16"/>
        <v>7.3801517917187046E-2</v>
      </c>
      <c r="D13" s="625">
        <f t="shared" si="16"/>
        <v>8.8354802455260659E-2</v>
      </c>
      <c r="E13" s="625">
        <f t="shared" si="16"/>
        <v>9.5138798383943693E-2</v>
      </c>
      <c r="F13" s="625">
        <f t="shared" si="16"/>
        <v>0.10757754220651747</v>
      </c>
      <c r="G13" s="625">
        <f t="shared" si="16"/>
        <v>0.1407662505380973</v>
      </c>
      <c r="H13" s="626">
        <f t="shared" si="16"/>
        <v>0.1339366515837104</v>
      </c>
      <c r="I13" s="624">
        <f t="shared" si="16"/>
        <v>8.8284534056375444E-2</v>
      </c>
      <c r="J13" s="624">
        <f t="shared" si="16"/>
        <v>0</v>
      </c>
      <c r="K13" s="625">
        <f t="shared" si="16"/>
        <v>0</v>
      </c>
      <c r="L13" s="625">
        <f t="shared" si="16"/>
        <v>0</v>
      </c>
      <c r="M13" s="625">
        <f t="shared" si="16"/>
        <v>0</v>
      </c>
      <c r="N13" s="624">
        <f t="shared" si="17"/>
        <v>0.26115016966444143</v>
      </c>
      <c r="O13" s="624">
        <f t="shared" si="17"/>
        <v>0</v>
      </c>
      <c r="P13" s="625">
        <f t="shared" si="17"/>
        <v>0</v>
      </c>
      <c r="Q13" s="624">
        <f t="shared" si="17"/>
        <v>0.48061797752808988</v>
      </c>
      <c r="R13" s="253"/>
      <c r="S13" s="594">
        <f t="shared" ref="S13:Y13" si="24">S20+S27+S34+S41+S48+S55+S62+S69+S76+S83+S90+S97+S104+S111+S118+S125</f>
        <v>3841</v>
      </c>
      <c r="T13" s="595">
        <f t="shared" si="24"/>
        <v>1022</v>
      </c>
      <c r="U13" s="595">
        <f t="shared" si="24"/>
        <v>2920</v>
      </c>
      <c r="V13" s="595">
        <f t="shared" si="24"/>
        <v>822</v>
      </c>
      <c r="W13" s="595">
        <f t="shared" si="24"/>
        <v>654</v>
      </c>
      <c r="X13" s="595">
        <f t="shared" si="24"/>
        <v>444</v>
      </c>
      <c r="Y13" s="596">
        <f t="shared" si="24"/>
        <v>9703</v>
      </c>
      <c r="Z13" s="594">
        <f t="shared" ref="Z13:AH13" si="25">Z20+Z27+Z34+Z41+Z48+Z55+Z62+Z69+Z76+Z83+Z90+Z97+Z104+Z111+Z118+Z125</f>
        <v>0</v>
      </c>
      <c r="AA13" s="595">
        <f t="shared" si="25"/>
        <v>0</v>
      </c>
      <c r="AB13" s="595">
        <f t="shared" si="25"/>
        <v>0</v>
      </c>
      <c r="AC13" s="595">
        <f t="shared" si="25"/>
        <v>0</v>
      </c>
      <c r="AD13" s="597">
        <f t="shared" si="25"/>
        <v>0</v>
      </c>
      <c r="AE13" s="596">
        <f t="shared" si="25"/>
        <v>11775</v>
      </c>
      <c r="AF13" s="594">
        <f t="shared" si="25"/>
        <v>0</v>
      </c>
      <c r="AG13" s="597">
        <f t="shared" si="25"/>
        <v>0</v>
      </c>
      <c r="AH13" s="595">
        <f t="shared" si="25"/>
        <v>1711</v>
      </c>
    </row>
    <row r="14" spans="1:36">
      <c r="A14" s="886"/>
      <c r="B14" s="239" t="s">
        <v>32</v>
      </c>
      <c r="C14" s="624">
        <f t="shared" si="16"/>
        <v>9.8875972715918914E-2</v>
      </c>
      <c r="D14" s="625">
        <f t="shared" si="16"/>
        <v>7.0026800380392495E-2</v>
      </c>
      <c r="E14" s="625">
        <f t="shared" si="16"/>
        <v>0.11442721230288024</v>
      </c>
      <c r="F14" s="625">
        <f t="shared" si="16"/>
        <v>8.5852637089386202E-2</v>
      </c>
      <c r="G14" s="625">
        <f t="shared" si="16"/>
        <v>9.8364184244511405E-2</v>
      </c>
      <c r="H14" s="626">
        <f t="shared" si="16"/>
        <v>4.6455505279034692E-2</v>
      </c>
      <c r="I14" s="624">
        <f t="shared" si="16"/>
        <v>9.7674376285189157E-2</v>
      </c>
      <c r="J14" s="624">
        <f t="shared" si="16"/>
        <v>0</v>
      </c>
      <c r="K14" s="625">
        <f t="shared" si="16"/>
        <v>0</v>
      </c>
      <c r="L14" s="625">
        <f t="shared" si="16"/>
        <v>0</v>
      </c>
      <c r="M14" s="625">
        <f t="shared" si="16"/>
        <v>0</v>
      </c>
      <c r="N14" s="624">
        <f t="shared" si="17"/>
        <v>6.3430104903635029E-3</v>
      </c>
      <c r="O14" s="624">
        <f t="shared" si="17"/>
        <v>0</v>
      </c>
      <c r="P14" s="790">
        <f t="shared" si="17"/>
        <v>0</v>
      </c>
      <c r="Q14" s="791">
        <f t="shared" si="17"/>
        <v>5.6179775280898881E-4</v>
      </c>
      <c r="R14" s="253"/>
      <c r="S14" s="594">
        <f t="shared" ref="S14:Y14" si="26">S21+S28+S35+S42+S49+S56+S63+S70+S77+S84+S91+S98+S105+S112+S119+S126</f>
        <v>5146</v>
      </c>
      <c r="T14" s="595">
        <f t="shared" si="26"/>
        <v>810</v>
      </c>
      <c r="U14" s="595">
        <f t="shared" si="26"/>
        <v>3512</v>
      </c>
      <c r="V14" s="595">
        <f t="shared" si="26"/>
        <v>656</v>
      </c>
      <c r="W14" s="595">
        <f t="shared" si="26"/>
        <v>457</v>
      </c>
      <c r="X14" s="595">
        <f t="shared" si="26"/>
        <v>154</v>
      </c>
      <c r="Y14" s="596">
        <f t="shared" si="26"/>
        <v>10735</v>
      </c>
      <c r="Z14" s="594">
        <f t="shared" ref="Z14:AH14" si="27">Z21+Z28+Z35+Z42+Z49+Z56+Z63+Z70+Z77+Z84+Z91+Z98+Z105+Z112+Z119+Z126</f>
        <v>0</v>
      </c>
      <c r="AA14" s="595">
        <f t="shared" si="27"/>
        <v>0</v>
      </c>
      <c r="AB14" s="595">
        <f t="shared" si="27"/>
        <v>0</v>
      </c>
      <c r="AC14" s="595">
        <f t="shared" si="27"/>
        <v>0</v>
      </c>
      <c r="AD14" s="597">
        <f t="shared" si="27"/>
        <v>0</v>
      </c>
      <c r="AE14" s="596">
        <f t="shared" si="27"/>
        <v>286</v>
      </c>
      <c r="AF14" s="594">
        <f t="shared" si="27"/>
        <v>0</v>
      </c>
      <c r="AG14" s="597">
        <f t="shared" si="27"/>
        <v>0</v>
      </c>
      <c r="AH14" s="595">
        <f t="shared" si="27"/>
        <v>2</v>
      </c>
    </row>
    <row r="15" spans="1:36">
      <c r="A15" s="886"/>
      <c r="B15" s="239" t="s">
        <v>58</v>
      </c>
      <c r="C15" s="624">
        <f t="shared" si="16"/>
        <v>3.6141800365068692E-2</v>
      </c>
      <c r="D15" s="790">
        <f t="shared" si="16"/>
        <v>3.665600414973632E-2</v>
      </c>
      <c r="E15" s="625">
        <f t="shared" si="16"/>
        <v>2.4794734784308613E-2</v>
      </c>
      <c r="F15" s="790">
        <f t="shared" si="16"/>
        <v>1.4526894385551629E-2</v>
      </c>
      <c r="G15" s="790">
        <f t="shared" si="16"/>
        <v>9.255273353422298E-3</v>
      </c>
      <c r="H15" s="626">
        <f t="shared" si="16"/>
        <v>8.7481146304675718E-3</v>
      </c>
      <c r="I15" s="624">
        <f t="shared" si="16"/>
        <v>2.9561625388968754E-2</v>
      </c>
      <c r="J15" s="624">
        <f t="shared" si="16"/>
        <v>0</v>
      </c>
      <c r="K15" s="625">
        <f t="shared" si="16"/>
        <v>0</v>
      </c>
      <c r="L15" s="625">
        <f t="shared" si="16"/>
        <v>0</v>
      </c>
      <c r="M15" s="625">
        <f t="shared" si="16"/>
        <v>0</v>
      </c>
      <c r="N15" s="624">
        <f t="shared" si="17"/>
        <v>0.34001641198518484</v>
      </c>
      <c r="O15" s="624">
        <f t="shared" si="17"/>
        <v>0</v>
      </c>
      <c r="P15" s="625">
        <f t="shared" si="17"/>
        <v>0</v>
      </c>
      <c r="Q15" s="624">
        <f t="shared" si="17"/>
        <v>0.46095505617977528</v>
      </c>
      <c r="R15" s="253"/>
      <c r="S15" s="594">
        <f t="shared" ref="S15:Y15" si="28">S22+S29+S36+S43+S50+S57+S64+S71+S78+S85+S92+S99+S106+S113+S120+S127</f>
        <v>1881</v>
      </c>
      <c r="T15" s="595">
        <f t="shared" si="28"/>
        <v>424</v>
      </c>
      <c r="U15" s="595">
        <f t="shared" si="28"/>
        <v>761</v>
      </c>
      <c r="V15" s="595">
        <f t="shared" si="28"/>
        <v>111</v>
      </c>
      <c r="W15" s="595">
        <f t="shared" si="28"/>
        <v>43</v>
      </c>
      <c r="X15" s="595">
        <f t="shared" si="28"/>
        <v>29</v>
      </c>
      <c r="Y15" s="596">
        <f t="shared" si="28"/>
        <v>3249</v>
      </c>
      <c r="Z15" s="594">
        <f t="shared" ref="Z15:AH15" si="29">Z22+Z29+Z36+Z43+Z50+Z57+Z64+Z71+Z78+Z85+Z92+Z99+Z106+Z113+Z120+Z127</f>
        <v>0</v>
      </c>
      <c r="AA15" s="595">
        <f t="shared" si="29"/>
        <v>0</v>
      </c>
      <c r="AB15" s="595">
        <f t="shared" si="29"/>
        <v>0</v>
      </c>
      <c r="AC15" s="595">
        <f t="shared" si="29"/>
        <v>0</v>
      </c>
      <c r="AD15" s="597">
        <f t="shared" si="29"/>
        <v>0</v>
      </c>
      <c r="AE15" s="596">
        <f t="shared" si="29"/>
        <v>15331</v>
      </c>
      <c r="AF15" s="594">
        <f t="shared" si="29"/>
        <v>0</v>
      </c>
      <c r="AG15" s="597">
        <f t="shared" si="29"/>
        <v>0</v>
      </c>
      <c r="AH15" s="595">
        <f t="shared" si="29"/>
        <v>1641</v>
      </c>
    </row>
    <row r="16" spans="1:36">
      <c r="A16" s="887" t="s">
        <v>86</v>
      </c>
      <c r="B16" s="436" t="s">
        <v>59</v>
      </c>
      <c r="C16" s="577">
        <f>IF(S$16&gt;0,(S16/S$16),0)</f>
        <v>1</v>
      </c>
      <c r="D16" s="578">
        <f t="shared" si="16"/>
        <v>1</v>
      </c>
      <c r="E16" s="578">
        <f t="shared" si="16"/>
        <v>1</v>
      </c>
      <c r="F16" s="578">
        <f t="shared" si="16"/>
        <v>1</v>
      </c>
      <c r="G16" s="578">
        <f t="shared" si="16"/>
        <v>1</v>
      </c>
      <c r="H16" s="579">
        <f t="shared" si="16"/>
        <v>1</v>
      </c>
      <c r="I16" s="577">
        <f t="shared" si="16"/>
        <v>1</v>
      </c>
      <c r="J16" s="577">
        <f t="shared" si="16"/>
        <v>0</v>
      </c>
      <c r="K16" s="578">
        <f t="shared" si="16"/>
        <v>0</v>
      </c>
      <c r="L16" s="578">
        <f t="shared" si="16"/>
        <v>0</v>
      </c>
      <c r="M16" s="578">
        <f t="shared" si="16"/>
        <v>0</v>
      </c>
      <c r="N16" s="577">
        <f t="shared" si="17"/>
        <v>1</v>
      </c>
      <c r="O16" s="577">
        <f t="shared" si="17"/>
        <v>0</v>
      </c>
      <c r="P16" s="578">
        <f t="shared" si="17"/>
        <v>0</v>
      </c>
      <c r="Q16" s="577">
        <f t="shared" si="17"/>
        <v>1</v>
      </c>
      <c r="R16" s="264"/>
      <c r="S16" s="598">
        <f t="shared" ref="S16:Y16" si="30">S23+S30+S37+S44+S51+S58+S65+S72+S79+S86+S93+S100+S107+S114+S121+S128</f>
        <v>52045</v>
      </c>
      <c r="T16" s="599">
        <f t="shared" si="30"/>
        <v>11567</v>
      </c>
      <c r="U16" s="599">
        <f t="shared" si="30"/>
        <v>30692</v>
      </c>
      <c r="V16" s="599">
        <f t="shared" si="30"/>
        <v>7641</v>
      </c>
      <c r="W16" s="599">
        <f>W23+W30+W37+W44+W51+W58+W65+W72+W79+W86+W93+W100+W107+W114+W121+W128</f>
        <v>4646</v>
      </c>
      <c r="X16" s="599">
        <f t="shared" si="30"/>
        <v>3315</v>
      </c>
      <c r="Y16" s="600">
        <f t="shared" si="30"/>
        <v>109906</v>
      </c>
      <c r="Z16" s="598">
        <f t="shared" ref="Z16:AH16" si="31">Z23+Z30+Z37+Z44+Z51+Z58+Z65+Z72+Z79+Z86+Z93+Z100+Z107+Z114+Z121+Z128</f>
        <v>0</v>
      </c>
      <c r="AA16" s="599">
        <f t="shared" si="31"/>
        <v>0</v>
      </c>
      <c r="AB16" s="599">
        <f t="shared" si="31"/>
        <v>0</v>
      </c>
      <c r="AC16" s="599">
        <f t="shared" si="31"/>
        <v>0</v>
      </c>
      <c r="AD16" s="601">
        <f t="shared" si="31"/>
        <v>0</v>
      </c>
      <c r="AE16" s="600">
        <f t="shared" si="31"/>
        <v>45089</v>
      </c>
      <c r="AF16" s="598">
        <f t="shared" si="31"/>
        <v>0</v>
      </c>
      <c r="AG16" s="601">
        <f t="shared" si="31"/>
        <v>0</v>
      </c>
      <c r="AH16" s="599">
        <f t="shared" si="31"/>
        <v>3560</v>
      </c>
    </row>
    <row r="17" spans="1:34">
      <c r="A17" s="883" t="s">
        <v>4</v>
      </c>
      <c r="B17" s="240" t="s">
        <v>53</v>
      </c>
      <c r="C17" s="613">
        <f t="shared" ref="C17:M23" si="32">IF(S$23&gt;0,(S17/S$23),0)</f>
        <v>0.28938018160284246</v>
      </c>
      <c r="D17" s="614">
        <f t="shared" si="32"/>
        <v>0.25232067510548523</v>
      </c>
      <c r="E17" s="614">
        <f t="shared" si="32"/>
        <v>0.18917237087741132</v>
      </c>
      <c r="F17" s="614">
        <f t="shared" si="32"/>
        <v>0.27570789865871831</v>
      </c>
      <c r="G17" s="614">
        <f t="shared" si="32"/>
        <v>0.22433460076045628</v>
      </c>
      <c r="H17" s="615">
        <f t="shared" si="32"/>
        <v>0.26250000000000001</v>
      </c>
      <c r="I17" s="613">
        <f t="shared" si="32"/>
        <v>0.25256349581952992</v>
      </c>
      <c r="J17" s="613">
        <f t="shared" si="32"/>
        <v>0</v>
      </c>
      <c r="K17" s="614">
        <f t="shared" si="32"/>
        <v>0</v>
      </c>
      <c r="L17" s="614">
        <f t="shared" si="32"/>
        <v>0</v>
      </c>
      <c r="M17" s="614">
        <f t="shared" si="32"/>
        <v>0</v>
      </c>
      <c r="N17" s="613">
        <f t="shared" ref="N17:Q23" si="33">IF(AE$23&gt;0,(AE17/AE$23),0)</f>
        <v>0</v>
      </c>
      <c r="O17" s="788">
        <f t="shared" si="33"/>
        <v>0</v>
      </c>
      <c r="P17" s="614">
        <f t="shared" si="33"/>
        <v>0</v>
      </c>
      <c r="Q17" s="788">
        <f t="shared" si="33"/>
        <v>0</v>
      </c>
      <c r="R17" s="244"/>
      <c r="S17" s="847">
        <v>733</v>
      </c>
      <c r="T17" s="848">
        <v>299</v>
      </c>
      <c r="U17" s="848">
        <v>304</v>
      </c>
      <c r="V17" s="848">
        <v>185</v>
      </c>
      <c r="W17" s="848">
        <v>59</v>
      </c>
      <c r="X17" s="848">
        <v>21</v>
      </c>
      <c r="Y17" s="849">
        <v>1601</v>
      </c>
      <c r="Z17" s="847"/>
      <c r="AA17" s="848"/>
      <c r="AB17" s="848"/>
      <c r="AC17" s="848"/>
      <c r="AD17" s="848"/>
      <c r="AE17" s="849"/>
      <c r="AF17" s="847"/>
      <c r="AG17" s="848"/>
      <c r="AH17" s="847"/>
    </row>
    <row r="18" spans="1:34">
      <c r="A18" s="886"/>
      <c r="B18" s="239" t="s">
        <v>93</v>
      </c>
      <c r="C18" s="624">
        <f t="shared" si="32"/>
        <v>0.28701144887485197</v>
      </c>
      <c r="D18" s="625">
        <f t="shared" si="32"/>
        <v>0.29535864978902954</v>
      </c>
      <c r="E18" s="625">
        <f t="shared" si="32"/>
        <v>0.22775357809583074</v>
      </c>
      <c r="F18" s="625">
        <f t="shared" si="32"/>
        <v>0.26229508196721313</v>
      </c>
      <c r="G18" s="625">
        <f t="shared" si="32"/>
        <v>0.26996197718631176</v>
      </c>
      <c r="H18" s="626">
        <f t="shared" si="32"/>
        <v>0.25</v>
      </c>
      <c r="I18" s="624">
        <f t="shared" si="32"/>
        <v>0.26975863700899194</v>
      </c>
      <c r="J18" s="624">
        <f t="shared" si="32"/>
        <v>0</v>
      </c>
      <c r="K18" s="625">
        <f t="shared" si="32"/>
        <v>0</v>
      </c>
      <c r="L18" s="625">
        <f t="shared" si="32"/>
        <v>0</v>
      </c>
      <c r="M18" s="625">
        <f t="shared" si="32"/>
        <v>0</v>
      </c>
      <c r="N18" s="624">
        <f t="shared" si="33"/>
        <v>0</v>
      </c>
      <c r="O18" s="624">
        <f t="shared" si="33"/>
        <v>0</v>
      </c>
      <c r="P18" s="625">
        <f t="shared" si="33"/>
        <v>0</v>
      </c>
      <c r="Q18" s="624">
        <f t="shared" si="33"/>
        <v>0</v>
      </c>
      <c r="R18" s="253"/>
      <c r="S18" s="850">
        <v>727</v>
      </c>
      <c r="T18" s="851">
        <v>350</v>
      </c>
      <c r="U18" s="851">
        <v>366</v>
      </c>
      <c r="V18" s="851">
        <v>176</v>
      </c>
      <c r="W18" s="851">
        <v>71</v>
      </c>
      <c r="X18" s="851">
        <v>20</v>
      </c>
      <c r="Y18" s="852">
        <v>1710</v>
      </c>
      <c r="Z18" s="850"/>
      <c r="AA18" s="851"/>
      <c r="AB18" s="851"/>
      <c r="AC18" s="851"/>
      <c r="AD18" s="851"/>
      <c r="AE18" s="852"/>
      <c r="AF18" s="850"/>
      <c r="AG18" s="851"/>
      <c r="AH18" s="850"/>
    </row>
    <row r="19" spans="1:34">
      <c r="A19" s="886"/>
      <c r="B19" s="239" t="s">
        <v>55</v>
      </c>
      <c r="C19" s="624">
        <f t="shared" si="32"/>
        <v>0.25819186735096722</v>
      </c>
      <c r="D19" s="625">
        <f t="shared" si="32"/>
        <v>0.31139240506329113</v>
      </c>
      <c r="E19" s="625">
        <f t="shared" si="32"/>
        <v>0.34038581207218421</v>
      </c>
      <c r="F19" s="625">
        <f t="shared" si="32"/>
        <v>0.29508196721311475</v>
      </c>
      <c r="G19" s="625">
        <f t="shared" si="32"/>
        <v>0.38783269961977185</v>
      </c>
      <c r="H19" s="626">
        <f t="shared" si="32"/>
        <v>0.47499999999999998</v>
      </c>
      <c r="I19" s="624">
        <f t="shared" si="32"/>
        <v>0.30099384761003312</v>
      </c>
      <c r="J19" s="624">
        <f t="shared" si="32"/>
        <v>0</v>
      </c>
      <c r="K19" s="625">
        <f t="shared" si="32"/>
        <v>0</v>
      </c>
      <c r="L19" s="625">
        <f t="shared" si="32"/>
        <v>0</v>
      </c>
      <c r="M19" s="625">
        <f t="shared" si="32"/>
        <v>0</v>
      </c>
      <c r="N19" s="624">
        <f t="shared" si="33"/>
        <v>0</v>
      </c>
      <c r="O19" s="624">
        <f t="shared" si="33"/>
        <v>0</v>
      </c>
      <c r="P19" s="625">
        <f t="shared" si="33"/>
        <v>0</v>
      </c>
      <c r="Q19" s="624">
        <f t="shared" si="33"/>
        <v>0</v>
      </c>
      <c r="R19" s="253"/>
      <c r="S19" s="850">
        <v>654</v>
      </c>
      <c r="T19" s="851">
        <v>369</v>
      </c>
      <c r="U19" s="851">
        <v>547</v>
      </c>
      <c r="V19" s="851">
        <v>198</v>
      </c>
      <c r="W19" s="851">
        <v>102</v>
      </c>
      <c r="X19" s="851">
        <v>38</v>
      </c>
      <c r="Y19" s="852">
        <v>1908</v>
      </c>
      <c r="Z19" s="850"/>
      <c r="AA19" s="851"/>
      <c r="AB19" s="851"/>
      <c r="AC19" s="851"/>
      <c r="AD19" s="851"/>
      <c r="AE19" s="852"/>
      <c r="AF19" s="850"/>
      <c r="AG19" s="851"/>
      <c r="AH19" s="850"/>
    </row>
    <row r="20" spans="1:34">
      <c r="A20" s="886"/>
      <c r="B20" s="239" t="s">
        <v>78</v>
      </c>
      <c r="C20" s="624">
        <f t="shared" si="32"/>
        <v>0.13028030003947888</v>
      </c>
      <c r="D20" s="625">
        <f t="shared" si="32"/>
        <v>9.8734177215189872E-2</v>
      </c>
      <c r="E20" s="625">
        <f t="shared" si="32"/>
        <v>0.15805849408836342</v>
      </c>
      <c r="F20" s="625">
        <f t="shared" si="32"/>
        <v>0.12667660208643816</v>
      </c>
      <c r="G20" s="625">
        <f t="shared" si="32"/>
        <v>0.10646387832699619</v>
      </c>
      <c r="H20" s="626">
        <f t="shared" si="32"/>
        <v>1.2500000000000001E-2</v>
      </c>
      <c r="I20" s="624">
        <f t="shared" si="32"/>
        <v>0.12856917494873008</v>
      </c>
      <c r="J20" s="624">
        <f t="shared" si="32"/>
        <v>0</v>
      </c>
      <c r="K20" s="625">
        <f t="shared" si="32"/>
        <v>0</v>
      </c>
      <c r="L20" s="625">
        <f t="shared" si="32"/>
        <v>0</v>
      </c>
      <c r="M20" s="625">
        <f t="shared" si="32"/>
        <v>0</v>
      </c>
      <c r="N20" s="624">
        <f t="shared" si="33"/>
        <v>0</v>
      </c>
      <c r="O20" s="624">
        <f t="shared" si="33"/>
        <v>0</v>
      </c>
      <c r="P20" s="625">
        <f t="shared" si="33"/>
        <v>0</v>
      </c>
      <c r="Q20" s="624">
        <f t="shared" si="33"/>
        <v>0</v>
      </c>
      <c r="R20" s="253"/>
      <c r="S20" s="850">
        <v>330</v>
      </c>
      <c r="T20" s="851">
        <v>117</v>
      </c>
      <c r="U20" s="851">
        <v>254</v>
      </c>
      <c r="V20" s="851">
        <v>85</v>
      </c>
      <c r="W20" s="851">
        <v>28</v>
      </c>
      <c r="X20" s="851">
        <v>1</v>
      </c>
      <c r="Y20" s="852">
        <v>815</v>
      </c>
      <c r="Z20" s="850"/>
      <c r="AA20" s="851"/>
      <c r="AB20" s="851"/>
      <c r="AC20" s="851"/>
      <c r="AD20" s="851"/>
      <c r="AE20" s="852"/>
      <c r="AF20" s="850"/>
      <c r="AG20" s="851"/>
      <c r="AH20" s="850"/>
    </row>
    <row r="21" spans="1:34">
      <c r="A21" s="886"/>
      <c r="B21" s="239" t="s">
        <v>32</v>
      </c>
      <c r="C21" s="624">
        <f t="shared" si="32"/>
        <v>3.5136202131859452E-2</v>
      </c>
      <c r="D21" s="625">
        <f t="shared" si="32"/>
        <v>4.2194092827004218E-2</v>
      </c>
      <c r="E21" s="625">
        <f t="shared" si="32"/>
        <v>8.2140634723086497E-2</v>
      </c>
      <c r="F21" s="790">
        <f t="shared" si="32"/>
        <v>2.2354694485842028E-2</v>
      </c>
      <c r="G21" s="625">
        <f t="shared" si="32"/>
        <v>1.1406844106463879E-2</v>
      </c>
      <c r="H21" s="626">
        <f t="shared" si="32"/>
        <v>0</v>
      </c>
      <c r="I21" s="624">
        <f t="shared" si="32"/>
        <v>4.5590787190408578E-2</v>
      </c>
      <c r="J21" s="624">
        <f t="shared" si="32"/>
        <v>0</v>
      </c>
      <c r="K21" s="625">
        <f t="shared" si="32"/>
        <v>0</v>
      </c>
      <c r="L21" s="625">
        <f t="shared" si="32"/>
        <v>0</v>
      </c>
      <c r="M21" s="625">
        <f t="shared" si="32"/>
        <v>0</v>
      </c>
      <c r="N21" s="624">
        <f t="shared" si="33"/>
        <v>0</v>
      </c>
      <c r="O21" s="624">
        <f t="shared" si="33"/>
        <v>0</v>
      </c>
      <c r="P21" s="625">
        <f t="shared" si="33"/>
        <v>0</v>
      </c>
      <c r="Q21" s="624">
        <f t="shared" si="33"/>
        <v>0</v>
      </c>
      <c r="R21" s="253"/>
      <c r="S21" s="850">
        <v>89</v>
      </c>
      <c r="T21" s="851">
        <v>50</v>
      </c>
      <c r="U21" s="851">
        <v>132</v>
      </c>
      <c r="V21" s="851">
        <v>15</v>
      </c>
      <c r="W21" s="851">
        <v>3</v>
      </c>
      <c r="X21" s="851"/>
      <c r="Y21" s="852">
        <v>289</v>
      </c>
      <c r="Z21" s="850"/>
      <c r="AA21" s="851"/>
      <c r="AB21" s="851"/>
      <c r="AC21" s="851"/>
      <c r="AD21" s="851"/>
      <c r="AE21" s="852"/>
      <c r="AF21" s="850"/>
      <c r="AG21" s="851"/>
      <c r="AH21" s="850"/>
    </row>
    <row r="22" spans="1:34">
      <c r="A22" s="886"/>
      <c r="B22" s="239" t="s">
        <v>58</v>
      </c>
      <c r="C22" s="624">
        <f t="shared" si="32"/>
        <v>0</v>
      </c>
      <c r="D22" s="625">
        <f t="shared" si="32"/>
        <v>0</v>
      </c>
      <c r="E22" s="792">
        <f t="shared" si="32"/>
        <v>2.4891101431238332E-3</v>
      </c>
      <c r="F22" s="625">
        <f t="shared" si="32"/>
        <v>1.7883755588673621E-2</v>
      </c>
      <c r="G22" s="790">
        <f t="shared" si="32"/>
        <v>0</v>
      </c>
      <c r="H22" s="626">
        <f t="shared" si="32"/>
        <v>0</v>
      </c>
      <c r="I22" s="793">
        <f t="shared" si="32"/>
        <v>2.5240574223063575E-3</v>
      </c>
      <c r="J22" s="624">
        <f t="shared" si="32"/>
        <v>0</v>
      </c>
      <c r="K22" s="625">
        <f t="shared" si="32"/>
        <v>0</v>
      </c>
      <c r="L22" s="625">
        <f t="shared" si="32"/>
        <v>0</v>
      </c>
      <c r="M22" s="625">
        <f t="shared" si="32"/>
        <v>0</v>
      </c>
      <c r="N22" s="624">
        <f t="shared" si="33"/>
        <v>1</v>
      </c>
      <c r="O22" s="624">
        <f t="shared" si="33"/>
        <v>0</v>
      </c>
      <c r="P22" s="625">
        <f t="shared" si="33"/>
        <v>0</v>
      </c>
      <c r="Q22" s="624">
        <f t="shared" si="33"/>
        <v>1</v>
      </c>
      <c r="R22" s="253"/>
      <c r="S22" s="850"/>
      <c r="T22" s="851"/>
      <c r="U22" s="851">
        <v>4</v>
      </c>
      <c r="V22" s="851">
        <v>12</v>
      </c>
      <c r="W22" s="851"/>
      <c r="X22" s="851"/>
      <c r="Y22" s="852">
        <v>16</v>
      </c>
      <c r="Z22" s="850"/>
      <c r="AA22" s="851"/>
      <c r="AB22" s="851"/>
      <c r="AC22" s="851"/>
      <c r="AD22" s="851"/>
      <c r="AE22" s="852">
        <v>1726</v>
      </c>
      <c r="AF22" s="850"/>
      <c r="AG22" s="851"/>
      <c r="AH22" s="850">
        <v>102</v>
      </c>
    </row>
    <row r="23" spans="1:34">
      <c r="A23" s="887"/>
      <c r="B23" s="436" t="s">
        <v>59</v>
      </c>
      <c r="C23" s="577">
        <f t="shared" si="32"/>
        <v>1</v>
      </c>
      <c r="D23" s="578">
        <f t="shared" si="32"/>
        <v>1</v>
      </c>
      <c r="E23" s="578">
        <f t="shared" si="32"/>
        <v>1</v>
      </c>
      <c r="F23" s="578">
        <f t="shared" si="32"/>
        <v>1</v>
      </c>
      <c r="G23" s="578">
        <f t="shared" si="32"/>
        <v>1</v>
      </c>
      <c r="H23" s="579">
        <f t="shared" si="32"/>
        <v>1</v>
      </c>
      <c r="I23" s="577">
        <f t="shared" si="32"/>
        <v>1</v>
      </c>
      <c r="J23" s="577">
        <f t="shared" si="32"/>
        <v>0</v>
      </c>
      <c r="K23" s="578">
        <f t="shared" si="32"/>
        <v>0</v>
      </c>
      <c r="L23" s="578">
        <f t="shared" si="32"/>
        <v>0</v>
      </c>
      <c r="M23" s="578">
        <f t="shared" si="32"/>
        <v>0</v>
      </c>
      <c r="N23" s="577">
        <f t="shared" si="33"/>
        <v>1</v>
      </c>
      <c r="O23" s="577">
        <f t="shared" si="33"/>
        <v>0</v>
      </c>
      <c r="P23" s="578">
        <f t="shared" si="33"/>
        <v>0</v>
      </c>
      <c r="Q23" s="577">
        <f t="shared" si="33"/>
        <v>1</v>
      </c>
      <c r="R23" s="264"/>
      <c r="S23" s="853">
        <v>2533</v>
      </c>
      <c r="T23" s="854">
        <v>1185</v>
      </c>
      <c r="U23" s="854">
        <v>1607</v>
      </c>
      <c r="V23" s="854">
        <v>671</v>
      </c>
      <c r="W23" s="854">
        <v>263</v>
      </c>
      <c r="X23" s="854">
        <v>80</v>
      </c>
      <c r="Y23" s="855">
        <v>6339</v>
      </c>
      <c r="Z23" s="853"/>
      <c r="AA23" s="854"/>
      <c r="AB23" s="854"/>
      <c r="AC23" s="854"/>
      <c r="AD23" s="854"/>
      <c r="AE23" s="855">
        <v>1726</v>
      </c>
      <c r="AF23" s="853"/>
      <c r="AG23" s="854"/>
      <c r="AH23" s="853">
        <v>102</v>
      </c>
    </row>
    <row r="24" spans="1:34">
      <c r="A24" s="883" t="s">
        <v>5</v>
      </c>
      <c r="B24" s="240" t="s">
        <v>53</v>
      </c>
      <c r="C24" s="613">
        <f t="shared" ref="C24:M30" si="34">IF(S$30&gt;0,(S24/S$30),0)</f>
        <v>0.29416884247171454</v>
      </c>
      <c r="D24" s="614">
        <f t="shared" si="34"/>
        <v>0.33712984054669703</v>
      </c>
      <c r="E24" s="614">
        <f t="shared" si="34"/>
        <v>0.18523775727466288</v>
      </c>
      <c r="F24" s="614">
        <f t="shared" si="34"/>
        <v>0.21865889212827988</v>
      </c>
      <c r="G24" s="614">
        <f t="shared" si="34"/>
        <v>0.11038961038961038</v>
      </c>
      <c r="H24" s="615">
        <f t="shared" si="34"/>
        <v>0.11838790931989925</v>
      </c>
      <c r="I24" s="613">
        <f t="shared" si="34"/>
        <v>0.22770496016448213</v>
      </c>
      <c r="J24" s="613">
        <f t="shared" si="34"/>
        <v>0</v>
      </c>
      <c r="K24" s="614">
        <f t="shared" si="34"/>
        <v>0</v>
      </c>
      <c r="L24" s="614">
        <f t="shared" si="34"/>
        <v>0</v>
      </c>
      <c r="M24" s="614">
        <f t="shared" si="34"/>
        <v>0</v>
      </c>
      <c r="N24" s="788">
        <f t="shared" ref="N24:Q30" si="35">IF(AE$30&gt;0,(AE24/AE$30),0)</f>
        <v>2.7838827838827841E-2</v>
      </c>
      <c r="O24" s="788">
        <f t="shared" si="35"/>
        <v>0</v>
      </c>
      <c r="P24" s="614">
        <f t="shared" si="35"/>
        <v>0</v>
      </c>
      <c r="Q24" s="788">
        <f t="shared" si="35"/>
        <v>0</v>
      </c>
      <c r="R24" s="244"/>
      <c r="S24" s="245">
        <v>338</v>
      </c>
      <c r="T24" s="246">
        <v>148</v>
      </c>
      <c r="U24" s="246">
        <v>261</v>
      </c>
      <c r="V24" s="246">
        <v>75</v>
      </c>
      <c r="W24" s="246">
        <v>17</v>
      </c>
      <c r="X24" s="246">
        <v>47</v>
      </c>
      <c r="Y24" s="247">
        <v>886</v>
      </c>
      <c r="Z24" s="245"/>
      <c r="AA24" s="246"/>
      <c r="AB24" s="246"/>
      <c r="AC24" s="246"/>
      <c r="AD24" s="246"/>
      <c r="AE24" s="247">
        <v>38</v>
      </c>
      <c r="AF24" s="245"/>
      <c r="AG24" s="246"/>
      <c r="AH24" s="245"/>
    </row>
    <row r="25" spans="1:34">
      <c r="A25" s="886"/>
      <c r="B25" s="239" t="s">
        <v>93</v>
      </c>
      <c r="C25" s="624">
        <f t="shared" si="34"/>
        <v>0.20104438642297651</v>
      </c>
      <c r="D25" s="625">
        <f t="shared" si="34"/>
        <v>0.26879271070615035</v>
      </c>
      <c r="E25" s="625">
        <f t="shared" si="34"/>
        <v>0.24982256919801277</v>
      </c>
      <c r="F25" s="625">
        <f t="shared" si="34"/>
        <v>0.23615160349854228</v>
      </c>
      <c r="G25" s="625">
        <f t="shared" si="34"/>
        <v>0.27272727272727271</v>
      </c>
      <c r="H25" s="626">
        <f t="shared" si="34"/>
        <v>0.22670025188916876</v>
      </c>
      <c r="I25" s="624">
        <f t="shared" si="34"/>
        <v>0.23490105371369827</v>
      </c>
      <c r="J25" s="624">
        <f t="shared" si="34"/>
        <v>0</v>
      </c>
      <c r="K25" s="625">
        <f t="shared" si="34"/>
        <v>0</v>
      </c>
      <c r="L25" s="625">
        <f t="shared" si="34"/>
        <v>0</v>
      </c>
      <c r="M25" s="625">
        <f t="shared" si="34"/>
        <v>0</v>
      </c>
      <c r="N25" s="624">
        <f t="shared" si="35"/>
        <v>2.271062271062271E-2</v>
      </c>
      <c r="O25" s="624">
        <f t="shared" si="35"/>
        <v>0</v>
      </c>
      <c r="P25" s="625">
        <f t="shared" si="35"/>
        <v>0</v>
      </c>
      <c r="Q25" s="624">
        <f t="shared" si="35"/>
        <v>0</v>
      </c>
      <c r="R25" s="253"/>
      <c r="S25" s="254">
        <v>231</v>
      </c>
      <c r="T25" s="255">
        <v>118</v>
      </c>
      <c r="U25" s="255">
        <v>352</v>
      </c>
      <c r="V25" s="255">
        <v>81</v>
      </c>
      <c r="W25" s="255">
        <v>42</v>
      </c>
      <c r="X25" s="255">
        <v>90</v>
      </c>
      <c r="Y25" s="256">
        <v>914</v>
      </c>
      <c r="Z25" s="254"/>
      <c r="AA25" s="255"/>
      <c r="AB25" s="255"/>
      <c r="AC25" s="255"/>
      <c r="AD25" s="255"/>
      <c r="AE25" s="256">
        <v>31</v>
      </c>
      <c r="AF25" s="254"/>
      <c r="AG25" s="255"/>
      <c r="AH25" s="254"/>
    </row>
    <row r="26" spans="1:34">
      <c r="A26" s="886"/>
      <c r="B26" s="239" t="s">
        <v>55</v>
      </c>
      <c r="C26" s="624">
        <f t="shared" si="34"/>
        <v>0.19756309834638816</v>
      </c>
      <c r="D26" s="625">
        <f t="shared" si="34"/>
        <v>0.23462414578587698</v>
      </c>
      <c r="E26" s="625">
        <f t="shared" si="34"/>
        <v>0.27182398864442869</v>
      </c>
      <c r="F26" s="625">
        <f t="shared" si="34"/>
        <v>0.33527696793002915</v>
      </c>
      <c r="G26" s="625">
        <f t="shared" si="34"/>
        <v>0.20129870129870131</v>
      </c>
      <c r="H26" s="626">
        <f t="shared" si="34"/>
        <v>0.32493702770780858</v>
      </c>
      <c r="I26" s="624">
        <f t="shared" si="34"/>
        <v>0.25391930095091236</v>
      </c>
      <c r="J26" s="624">
        <f t="shared" si="34"/>
        <v>0</v>
      </c>
      <c r="K26" s="625">
        <f t="shared" si="34"/>
        <v>0</v>
      </c>
      <c r="L26" s="625">
        <f t="shared" si="34"/>
        <v>0</v>
      </c>
      <c r="M26" s="625">
        <f t="shared" si="34"/>
        <v>0</v>
      </c>
      <c r="N26" s="624">
        <f t="shared" si="35"/>
        <v>7.179487179487179E-2</v>
      </c>
      <c r="O26" s="624">
        <f t="shared" si="35"/>
        <v>0</v>
      </c>
      <c r="P26" s="625">
        <f t="shared" si="35"/>
        <v>0</v>
      </c>
      <c r="Q26" s="624">
        <f t="shared" si="35"/>
        <v>0</v>
      </c>
      <c r="R26" s="253"/>
      <c r="S26" s="254">
        <v>227</v>
      </c>
      <c r="T26" s="255">
        <v>103</v>
      </c>
      <c r="U26" s="255">
        <v>383</v>
      </c>
      <c r="V26" s="255">
        <v>115</v>
      </c>
      <c r="W26" s="255">
        <v>31</v>
      </c>
      <c r="X26" s="255">
        <v>129</v>
      </c>
      <c r="Y26" s="256">
        <v>988</v>
      </c>
      <c r="Z26" s="254"/>
      <c r="AA26" s="255"/>
      <c r="AB26" s="255"/>
      <c r="AC26" s="255"/>
      <c r="AD26" s="255"/>
      <c r="AE26" s="256">
        <v>98</v>
      </c>
      <c r="AF26" s="254"/>
      <c r="AG26" s="255"/>
      <c r="AH26" s="254"/>
    </row>
    <row r="27" spans="1:34">
      <c r="A27" s="886"/>
      <c r="B27" s="239" t="s">
        <v>78</v>
      </c>
      <c r="C27" s="624">
        <f t="shared" si="34"/>
        <v>0.23672758920800696</v>
      </c>
      <c r="D27" s="625">
        <f t="shared" si="34"/>
        <v>0.15945330296127563</v>
      </c>
      <c r="E27" s="625">
        <f t="shared" si="34"/>
        <v>0.15684882895670688</v>
      </c>
      <c r="F27" s="625">
        <f t="shared" si="34"/>
        <v>0.19825072886297376</v>
      </c>
      <c r="G27" s="625">
        <f t="shared" si="34"/>
        <v>0.41558441558441561</v>
      </c>
      <c r="H27" s="626">
        <f t="shared" si="34"/>
        <v>0.2770780856423174</v>
      </c>
      <c r="I27" s="624">
        <f t="shared" si="34"/>
        <v>0.20688768953996403</v>
      </c>
      <c r="J27" s="624">
        <f t="shared" si="34"/>
        <v>0</v>
      </c>
      <c r="K27" s="625">
        <f t="shared" si="34"/>
        <v>0</v>
      </c>
      <c r="L27" s="625">
        <f t="shared" si="34"/>
        <v>0</v>
      </c>
      <c r="M27" s="625">
        <f t="shared" si="34"/>
        <v>0</v>
      </c>
      <c r="N27" s="624">
        <f t="shared" si="35"/>
        <v>0.54725274725274731</v>
      </c>
      <c r="O27" s="624">
        <f t="shared" si="35"/>
        <v>0</v>
      </c>
      <c r="P27" s="625">
        <f t="shared" si="35"/>
        <v>0</v>
      </c>
      <c r="Q27" s="624">
        <f t="shared" si="35"/>
        <v>0</v>
      </c>
      <c r="R27" s="253"/>
      <c r="S27" s="254">
        <v>272</v>
      </c>
      <c r="T27" s="255">
        <v>70</v>
      </c>
      <c r="U27" s="255">
        <v>221</v>
      </c>
      <c r="V27" s="255">
        <v>68</v>
      </c>
      <c r="W27" s="255">
        <v>64</v>
      </c>
      <c r="X27" s="255">
        <v>110</v>
      </c>
      <c r="Y27" s="256">
        <v>805</v>
      </c>
      <c r="Z27" s="254"/>
      <c r="AA27" s="255"/>
      <c r="AB27" s="255"/>
      <c r="AC27" s="255"/>
      <c r="AD27" s="255"/>
      <c r="AE27" s="256">
        <v>747</v>
      </c>
      <c r="AF27" s="254"/>
      <c r="AG27" s="255"/>
      <c r="AH27" s="254"/>
    </row>
    <row r="28" spans="1:34">
      <c r="A28" s="886"/>
      <c r="B28" s="239" t="s">
        <v>32</v>
      </c>
      <c r="C28" s="624">
        <f t="shared" si="34"/>
        <v>7.0496083550913843E-2</v>
      </c>
      <c r="D28" s="625">
        <f t="shared" si="34"/>
        <v>0</v>
      </c>
      <c r="E28" s="625">
        <f t="shared" si="34"/>
        <v>5.3938963804116398E-2</v>
      </c>
      <c r="F28" s="625">
        <f t="shared" si="34"/>
        <v>8.7463556851311956E-3</v>
      </c>
      <c r="G28" s="625">
        <f t="shared" si="34"/>
        <v>0</v>
      </c>
      <c r="H28" s="626">
        <f t="shared" si="34"/>
        <v>1.0075566750629723E-2</v>
      </c>
      <c r="I28" s="624">
        <f t="shared" si="34"/>
        <v>4.2148547931123104E-2</v>
      </c>
      <c r="J28" s="624">
        <f t="shared" si="34"/>
        <v>0</v>
      </c>
      <c r="K28" s="625">
        <f t="shared" si="34"/>
        <v>0</v>
      </c>
      <c r="L28" s="625">
        <f t="shared" si="34"/>
        <v>0</v>
      </c>
      <c r="M28" s="625">
        <f t="shared" si="34"/>
        <v>0</v>
      </c>
      <c r="N28" s="624">
        <f t="shared" si="35"/>
        <v>0</v>
      </c>
      <c r="O28" s="624">
        <f t="shared" si="35"/>
        <v>0</v>
      </c>
      <c r="P28" s="625">
        <f t="shared" si="35"/>
        <v>0</v>
      </c>
      <c r="Q28" s="624">
        <f t="shared" si="35"/>
        <v>0</v>
      </c>
      <c r="R28" s="253"/>
      <c r="S28" s="254">
        <v>81</v>
      </c>
      <c r="T28" s="255"/>
      <c r="U28" s="255">
        <v>76</v>
      </c>
      <c r="V28" s="255">
        <v>3</v>
      </c>
      <c r="W28" s="255"/>
      <c r="X28" s="255">
        <v>4</v>
      </c>
      <c r="Y28" s="256">
        <v>164</v>
      </c>
      <c r="Z28" s="254"/>
      <c r="AA28" s="255"/>
      <c r="AB28" s="255"/>
      <c r="AC28" s="255"/>
      <c r="AD28" s="255"/>
      <c r="AE28" s="256"/>
      <c r="AF28" s="254"/>
      <c r="AG28" s="255"/>
      <c r="AH28" s="254"/>
    </row>
    <row r="29" spans="1:34">
      <c r="A29" s="886"/>
      <c r="B29" s="239" t="s">
        <v>58</v>
      </c>
      <c r="C29" s="624">
        <f t="shared" si="34"/>
        <v>0</v>
      </c>
      <c r="D29" s="625">
        <f t="shared" si="34"/>
        <v>0</v>
      </c>
      <c r="E29" s="792">
        <f t="shared" si="34"/>
        <v>8.2327892122072394E-2</v>
      </c>
      <c r="F29" s="625">
        <f t="shared" si="34"/>
        <v>2.9154518950437317E-3</v>
      </c>
      <c r="G29" s="792">
        <f t="shared" si="34"/>
        <v>0</v>
      </c>
      <c r="H29" s="626">
        <f t="shared" si="34"/>
        <v>4.2821158690176324E-2</v>
      </c>
      <c r="I29" s="793">
        <f t="shared" si="34"/>
        <v>3.4438447699820095E-2</v>
      </c>
      <c r="J29" s="624">
        <f t="shared" si="34"/>
        <v>0</v>
      </c>
      <c r="K29" s="625">
        <f t="shared" si="34"/>
        <v>0</v>
      </c>
      <c r="L29" s="625">
        <f t="shared" si="34"/>
        <v>0</v>
      </c>
      <c r="M29" s="625">
        <f t="shared" si="34"/>
        <v>0</v>
      </c>
      <c r="N29" s="624">
        <f t="shared" si="35"/>
        <v>0.33040293040293039</v>
      </c>
      <c r="O29" s="624">
        <f t="shared" si="35"/>
        <v>0</v>
      </c>
      <c r="P29" s="625">
        <f t="shared" si="35"/>
        <v>0</v>
      </c>
      <c r="Q29" s="624">
        <f t="shared" si="35"/>
        <v>0</v>
      </c>
      <c r="R29" s="253"/>
      <c r="S29" s="254"/>
      <c r="T29" s="255"/>
      <c r="U29" s="255">
        <v>116</v>
      </c>
      <c r="V29" s="255">
        <v>1</v>
      </c>
      <c r="W29" s="255"/>
      <c r="X29" s="255">
        <v>17</v>
      </c>
      <c r="Y29" s="256">
        <v>134</v>
      </c>
      <c r="Z29" s="254"/>
      <c r="AA29" s="255"/>
      <c r="AB29" s="255"/>
      <c r="AC29" s="255"/>
      <c r="AD29" s="255"/>
      <c r="AE29" s="256">
        <v>451</v>
      </c>
      <c r="AF29" s="254"/>
      <c r="AG29" s="255"/>
      <c r="AH29" s="254"/>
    </row>
    <row r="30" spans="1:34">
      <c r="A30" s="887"/>
      <c r="B30" s="436" t="s">
        <v>59</v>
      </c>
      <c r="C30" s="577">
        <f t="shared" si="34"/>
        <v>1</v>
      </c>
      <c r="D30" s="578">
        <f t="shared" si="34"/>
        <v>1</v>
      </c>
      <c r="E30" s="578">
        <f t="shared" si="34"/>
        <v>1</v>
      </c>
      <c r="F30" s="578">
        <f t="shared" si="34"/>
        <v>1</v>
      </c>
      <c r="G30" s="578">
        <f t="shared" si="34"/>
        <v>1</v>
      </c>
      <c r="H30" s="579">
        <f t="shared" si="34"/>
        <v>1</v>
      </c>
      <c r="I30" s="577">
        <f t="shared" si="34"/>
        <v>1</v>
      </c>
      <c r="J30" s="577">
        <f t="shared" si="34"/>
        <v>0</v>
      </c>
      <c r="K30" s="578">
        <f t="shared" si="34"/>
        <v>0</v>
      </c>
      <c r="L30" s="578">
        <f t="shared" si="34"/>
        <v>0</v>
      </c>
      <c r="M30" s="578">
        <f t="shared" si="34"/>
        <v>0</v>
      </c>
      <c r="N30" s="577">
        <f t="shared" si="35"/>
        <v>1</v>
      </c>
      <c r="O30" s="577">
        <f t="shared" si="35"/>
        <v>0</v>
      </c>
      <c r="P30" s="578">
        <f t="shared" si="35"/>
        <v>0</v>
      </c>
      <c r="Q30" s="577">
        <f t="shared" si="35"/>
        <v>0</v>
      </c>
      <c r="R30" s="264"/>
      <c r="S30" s="265">
        <v>1149</v>
      </c>
      <c r="T30" s="266">
        <v>439</v>
      </c>
      <c r="U30" s="266">
        <v>1409</v>
      </c>
      <c r="V30" s="266">
        <v>343</v>
      </c>
      <c r="W30" s="266">
        <v>154</v>
      </c>
      <c r="X30" s="266">
        <v>397</v>
      </c>
      <c r="Y30" s="267">
        <v>3891</v>
      </c>
      <c r="Z30" s="265"/>
      <c r="AA30" s="266"/>
      <c r="AB30" s="266"/>
      <c r="AC30" s="266"/>
      <c r="AD30" s="266"/>
      <c r="AE30" s="267">
        <v>1365</v>
      </c>
      <c r="AF30" s="265"/>
      <c r="AG30" s="266"/>
      <c r="AH30" s="265"/>
    </row>
    <row r="31" spans="1:34">
      <c r="A31" s="883" t="s">
        <v>82</v>
      </c>
      <c r="B31" s="240" t="s">
        <v>53</v>
      </c>
      <c r="C31" s="613">
        <f t="shared" ref="C31:M37" si="36">IF(S$37&gt;0,(S31/S$37),0)</f>
        <v>0.34316353887399464</v>
      </c>
      <c r="D31" s="614">
        <f t="shared" si="36"/>
        <v>0</v>
      </c>
      <c r="E31" s="614">
        <f t="shared" si="36"/>
        <v>0.16521739130434782</v>
      </c>
      <c r="F31" s="614">
        <f t="shared" si="36"/>
        <v>0</v>
      </c>
      <c r="G31" s="614">
        <f t="shared" si="36"/>
        <v>0</v>
      </c>
      <c r="H31" s="615">
        <f t="shared" si="36"/>
        <v>0</v>
      </c>
      <c r="I31" s="613">
        <f t="shared" si="36"/>
        <v>0.312824314306894</v>
      </c>
      <c r="J31" s="613">
        <f t="shared" si="36"/>
        <v>0</v>
      </c>
      <c r="K31" s="614">
        <f t="shared" si="36"/>
        <v>0</v>
      </c>
      <c r="L31" s="614">
        <f t="shared" si="36"/>
        <v>0</v>
      </c>
      <c r="M31" s="614">
        <f t="shared" si="36"/>
        <v>0</v>
      </c>
      <c r="N31" s="613">
        <f t="shared" ref="N31:Q37" si="37">IF(AE$37&gt;0,(AE31/AE$37),0)</f>
        <v>0</v>
      </c>
      <c r="O31" s="788">
        <f t="shared" si="37"/>
        <v>0</v>
      </c>
      <c r="P31" s="614">
        <f t="shared" si="37"/>
        <v>0</v>
      </c>
      <c r="Q31" s="788">
        <f t="shared" si="37"/>
        <v>0</v>
      </c>
      <c r="R31" s="244"/>
      <c r="S31" s="245">
        <v>384</v>
      </c>
      <c r="T31" s="246"/>
      <c r="U31" s="246">
        <v>38</v>
      </c>
      <c r="V31" s="246"/>
      <c r="W31" s="246"/>
      <c r="X31" s="246"/>
      <c r="Y31" s="247">
        <v>422</v>
      </c>
      <c r="Z31" s="245"/>
      <c r="AA31" s="246"/>
      <c r="AB31" s="246"/>
      <c r="AC31" s="246"/>
      <c r="AD31" s="246"/>
      <c r="AE31" s="247"/>
      <c r="AF31" s="245"/>
      <c r="AG31" s="246"/>
      <c r="AH31" s="245"/>
    </row>
    <row r="32" spans="1:34">
      <c r="A32" s="886"/>
      <c r="B32" s="239" t="s">
        <v>93</v>
      </c>
      <c r="C32" s="624">
        <f t="shared" si="36"/>
        <v>0.31724754244861486</v>
      </c>
      <c r="D32" s="625">
        <f t="shared" si="36"/>
        <v>0</v>
      </c>
      <c r="E32" s="625">
        <f t="shared" si="36"/>
        <v>0.45652173913043476</v>
      </c>
      <c r="F32" s="625">
        <f t="shared" si="36"/>
        <v>0</v>
      </c>
      <c r="G32" s="625">
        <f t="shared" si="36"/>
        <v>0</v>
      </c>
      <c r="H32" s="626">
        <f t="shared" si="36"/>
        <v>0</v>
      </c>
      <c r="I32" s="624">
        <f t="shared" si="36"/>
        <v>0.34099332839140106</v>
      </c>
      <c r="J32" s="624">
        <f t="shared" si="36"/>
        <v>0</v>
      </c>
      <c r="K32" s="625">
        <f t="shared" si="36"/>
        <v>0</v>
      </c>
      <c r="L32" s="625">
        <f t="shared" si="36"/>
        <v>0</v>
      </c>
      <c r="M32" s="625">
        <f t="shared" si="36"/>
        <v>0</v>
      </c>
      <c r="N32" s="624">
        <f t="shared" si="37"/>
        <v>0</v>
      </c>
      <c r="O32" s="624">
        <f t="shared" si="37"/>
        <v>0</v>
      </c>
      <c r="P32" s="625">
        <f t="shared" si="37"/>
        <v>0</v>
      </c>
      <c r="Q32" s="624">
        <f t="shared" si="37"/>
        <v>0</v>
      </c>
      <c r="R32" s="253"/>
      <c r="S32" s="254">
        <v>355</v>
      </c>
      <c r="T32" s="255"/>
      <c r="U32" s="255">
        <v>105</v>
      </c>
      <c r="V32" s="255"/>
      <c r="W32" s="255"/>
      <c r="X32" s="255"/>
      <c r="Y32" s="256">
        <v>460</v>
      </c>
      <c r="Z32" s="254"/>
      <c r="AA32" s="255"/>
      <c r="AB32" s="255"/>
      <c r="AC32" s="255"/>
      <c r="AD32" s="255"/>
      <c r="AE32" s="256"/>
      <c r="AF32" s="254"/>
      <c r="AG32" s="255"/>
      <c r="AH32" s="254"/>
    </row>
    <row r="33" spans="1:34">
      <c r="A33" s="886"/>
      <c r="B33" s="239" t="s">
        <v>55</v>
      </c>
      <c r="C33" s="624">
        <f t="shared" si="36"/>
        <v>0.26094727435210008</v>
      </c>
      <c r="D33" s="625">
        <f t="shared" si="36"/>
        <v>0</v>
      </c>
      <c r="E33" s="625">
        <f t="shared" si="36"/>
        <v>0.2391304347826087</v>
      </c>
      <c r="F33" s="625">
        <f t="shared" si="36"/>
        <v>0</v>
      </c>
      <c r="G33" s="625">
        <f t="shared" si="36"/>
        <v>0</v>
      </c>
      <c r="H33" s="626">
        <f t="shared" si="36"/>
        <v>0</v>
      </c>
      <c r="I33" s="624">
        <f t="shared" si="36"/>
        <v>0.25722757598220902</v>
      </c>
      <c r="J33" s="624">
        <f t="shared" si="36"/>
        <v>0</v>
      </c>
      <c r="K33" s="625">
        <f t="shared" si="36"/>
        <v>0</v>
      </c>
      <c r="L33" s="625">
        <f t="shared" si="36"/>
        <v>0</v>
      </c>
      <c r="M33" s="625">
        <f t="shared" si="36"/>
        <v>0</v>
      </c>
      <c r="N33" s="624">
        <f t="shared" si="37"/>
        <v>0</v>
      </c>
      <c r="O33" s="624">
        <f t="shared" si="37"/>
        <v>0</v>
      </c>
      <c r="P33" s="625">
        <f t="shared" si="37"/>
        <v>0</v>
      </c>
      <c r="Q33" s="624">
        <f t="shared" si="37"/>
        <v>0</v>
      </c>
      <c r="R33" s="253"/>
      <c r="S33" s="254">
        <v>292</v>
      </c>
      <c r="T33" s="255"/>
      <c r="U33" s="255">
        <v>55</v>
      </c>
      <c r="V33" s="255"/>
      <c r="W33" s="255"/>
      <c r="X33" s="255"/>
      <c r="Y33" s="256">
        <v>347</v>
      </c>
      <c r="Z33" s="254"/>
      <c r="AA33" s="255"/>
      <c r="AB33" s="255"/>
      <c r="AC33" s="255"/>
      <c r="AD33" s="255"/>
      <c r="AE33" s="256"/>
      <c r="AF33" s="254"/>
      <c r="AG33" s="255"/>
      <c r="AH33" s="254"/>
    </row>
    <row r="34" spans="1:34">
      <c r="A34" s="886"/>
      <c r="B34" s="239" t="s">
        <v>78</v>
      </c>
      <c r="C34" s="624">
        <f t="shared" si="36"/>
        <v>7.8641644325290444E-2</v>
      </c>
      <c r="D34" s="625">
        <f t="shared" si="36"/>
        <v>0</v>
      </c>
      <c r="E34" s="625">
        <f t="shared" si="36"/>
        <v>6.9565217391304349E-2</v>
      </c>
      <c r="F34" s="625">
        <f t="shared" si="36"/>
        <v>0</v>
      </c>
      <c r="G34" s="625">
        <f t="shared" si="36"/>
        <v>0</v>
      </c>
      <c r="H34" s="626">
        <f t="shared" si="36"/>
        <v>0</v>
      </c>
      <c r="I34" s="624">
        <f t="shared" si="36"/>
        <v>7.7094143810229804E-2</v>
      </c>
      <c r="J34" s="624">
        <f t="shared" si="36"/>
        <v>0</v>
      </c>
      <c r="K34" s="625">
        <f t="shared" si="36"/>
        <v>0</v>
      </c>
      <c r="L34" s="625">
        <f t="shared" si="36"/>
        <v>0</v>
      </c>
      <c r="M34" s="625">
        <f t="shared" si="36"/>
        <v>0</v>
      </c>
      <c r="N34" s="624">
        <f t="shared" si="37"/>
        <v>0</v>
      </c>
      <c r="O34" s="624">
        <f t="shared" si="37"/>
        <v>0</v>
      </c>
      <c r="P34" s="625">
        <f t="shared" si="37"/>
        <v>0</v>
      </c>
      <c r="Q34" s="624">
        <f t="shared" si="37"/>
        <v>0</v>
      </c>
      <c r="R34" s="253"/>
      <c r="S34" s="254">
        <v>88</v>
      </c>
      <c r="T34" s="255"/>
      <c r="U34" s="255">
        <v>16</v>
      </c>
      <c r="V34" s="255"/>
      <c r="W34" s="255"/>
      <c r="X34" s="255"/>
      <c r="Y34" s="256">
        <v>104</v>
      </c>
      <c r="Z34" s="254"/>
      <c r="AA34" s="255"/>
      <c r="AB34" s="255"/>
      <c r="AC34" s="255"/>
      <c r="AD34" s="255"/>
      <c r="AE34" s="256"/>
      <c r="AF34" s="254"/>
      <c r="AG34" s="255"/>
      <c r="AH34" s="254"/>
    </row>
    <row r="35" spans="1:34">
      <c r="A35" s="886"/>
      <c r="B35" s="239" t="s">
        <v>32</v>
      </c>
      <c r="C35" s="791">
        <f t="shared" si="36"/>
        <v>0</v>
      </c>
      <c r="D35" s="625">
        <f t="shared" si="36"/>
        <v>0</v>
      </c>
      <c r="E35" s="625">
        <f t="shared" si="36"/>
        <v>3.0434782608695653E-2</v>
      </c>
      <c r="F35" s="625">
        <f t="shared" si="36"/>
        <v>0</v>
      </c>
      <c r="G35" s="625">
        <f t="shared" si="36"/>
        <v>0</v>
      </c>
      <c r="H35" s="626">
        <f t="shared" si="36"/>
        <v>0</v>
      </c>
      <c r="I35" s="791">
        <f t="shared" si="36"/>
        <v>5.1890289103039286E-3</v>
      </c>
      <c r="J35" s="624">
        <f t="shared" si="36"/>
        <v>0</v>
      </c>
      <c r="K35" s="625">
        <f t="shared" si="36"/>
        <v>0</v>
      </c>
      <c r="L35" s="625">
        <f t="shared" si="36"/>
        <v>0</v>
      </c>
      <c r="M35" s="625">
        <f t="shared" si="36"/>
        <v>0</v>
      </c>
      <c r="N35" s="624">
        <f t="shared" si="37"/>
        <v>0</v>
      </c>
      <c r="O35" s="624">
        <f t="shared" si="37"/>
        <v>0</v>
      </c>
      <c r="P35" s="625">
        <f t="shared" si="37"/>
        <v>0</v>
      </c>
      <c r="Q35" s="624">
        <f t="shared" si="37"/>
        <v>0</v>
      </c>
      <c r="R35" s="253"/>
      <c r="S35" s="254"/>
      <c r="T35" s="255"/>
      <c r="U35" s="255">
        <v>7</v>
      </c>
      <c r="V35" s="255"/>
      <c r="W35" s="255"/>
      <c r="X35" s="255"/>
      <c r="Y35" s="256">
        <v>7</v>
      </c>
      <c r="Z35" s="254"/>
      <c r="AA35" s="255"/>
      <c r="AB35" s="255"/>
      <c r="AC35" s="255"/>
      <c r="AD35" s="255"/>
      <c r="AE35" s="256"/>
      <c r="AF35" s="254"/>
      <c r="AG35" s="255"/>
      <c r="AH35" s="254"/>
    </row>
    <row r="36" spans="1:34">
      <c r="A36" s="886"/>
      <c r="B36" s="239" t="s">
        <v>58</v>
      </c>
      <c r="C36" s="624">
        <f t="shared" si="36"/>
        <v>0</v>
      </c>
      <c r="D36" s="625">
        <f t="shared" si="36"/>
        <v>0</v>
      </c>
      <c r="E36" s="792">
        <f t="shared" si="36"/>
        <v>3.9130434782608699E-2</v>
      </c>
      <c r="F36" s="625">
        <f t="shared" si="36"/>
        <v>0</v>
      </c>
      <c r="G36" s="792">
        <f t="shared" si="36"/>
        <v>0</v>
      </c>
      <c r="H36" s="626">
        <f t="shared" si="36"/>
        <v>0</v>
      </c>
      <c r="I36" s="793">
        <f t="shared" si="36"/>
        <v>6.671608598962194E-3</v>
      </c>
      <c r="J36" s="624">
        <f t="shared" si="36"/>
        <v>0</v>
      </c>
      <c r="K36" s="625">
        <f t="shared" si="36"/>
        <v>0</v>
      </c>
      <c r="L36" s="625">
        <f t="shared" si="36"/>
        <v>0</v>
      </c>
      <c r="M36" s="625">
        <f t="shared" si="36"/>
        <v>0</v>
      </c>
      <c r="N36" s="624">
        <f t="shared" si="37"/>
        <v>1</v>
      </c>
      <c r="O36" s="624">
        <f t="shared" si="37"/>
        <v>0</v>
      </c>
      <c r="P36" s="625">
        <f t="shared" si="37"/>
        <v>0</v>
      </c>
      <c r="Q36" s="624">
        <f t="shared" si="37"/>
        <v>0</v>
      </c>
      <c r="R36" s="253"/>
      <c r="S36" s="254"/>
      <c r="T36" s="255"/>
      <c r="U36" s="255">
        <v>9</v>
      </c>
      <c r="V36" s="255"/>
      <c r="W36" s="255"/>
      <c r="X36" s="255"/>
      <c r="Y36" s="256">
        <v>9</v>
      </c>
      <c r="Z36" s="254"/>
      <c r="AA36" s="255"/>
      <c r="AB36" s="255"/>
      <c r="AC36" s="255"/>
      <c r="AD36" s="255"/>
      <c r="AE36" s="256">
        <v>400</v>
      </c>
      <c r="AF36" s="254"/>
      <c r="AG36" s="255"/>
      <c r="AH36" s="254"/>
    </row>
    <row r="37" spans="1:34">
      <c r="A37" s="887"/>
      <c r="B37" s="436" t="s">
        <v>59</v>
      </c>
      <c r="C37" s="577">
        <f t="shared" si="36"/>
        <v>1</v>
      </c>
      <c r="D37" s="578">
        <f t="shared" si="36"/>
        <v>0</v>
      </c>
      <c r="E37" s="578">
        <f t="shared" si="36"/>
        <v>1</v>
      </c>
      <c r="F37" s="578">
        <f t="shared" si="36"/>
        <v>0</v>
      </c>
      <c r="G37" s="578">
        <f t="shared" si="36"/>
        <v>0</v>
      </c>
      <c r="H37" s="579">
        <f t="shared" si="36"/>
        <v>0</v>
      </c>
      <c r="I37" s="577">
        <f t="shared" si="36"/>
        <v>1</v>
      </c>
      <c r="J37" s="577">
        <f t="shared" si="36"/>
        <v>0</v>
      </c>
      <c r="K37" s="578">
        <f t="shared" si="36"/>
        <v>0</v>
      </c>
      <c r="L37" s="578">
        <f t="shared" si="36"/>
        <v>0</v>
      </c>
      <c r="M37" s="578">
        <f t="shared" si="36"/>
        <v>0</v>
      </c>
      <c r="N37" s="577">
        <f t="shared" si="37"/>
        <v>1</v>
      </c>
      <c r="O37" s="577">
        <f t="shared" si="37"/>
        <v>0</v>
      </c>
      <c r="P37" s="578">
        <f t="shared" si="37"/>
        <v>0</v>
      </c>
      <c r="Q37" s="577">
        <f t="shared" si="37"/>
        <v>0</v>
      </c>
      <c r="R37" s="264"/>
      <c r="S37" s="265">
        <v>1119</v>
      </c>
      <c r="T37" s="266"/>
      <c r="U37" s="266">
        <v>230</v>
      </c>
      <c r="V37" s="266"/>
      <c r="W37" s="266"/>
      <c r="X37" s="266"/>
      <c r="Y37" s="267">
        <v>1349</v>
      </c>
      <c r="Z37" s="265"/>
      <c r="AA37" s="266"/>
      <c r="AB37" s="266"/>
      <c r="AC37" s="266"/>
      <c r="AD37" s="266"/>
      <c r="AE37" s="267">
        <v>400</v>
      </c>
      <c r="AF37" s="265"/>
      <c r="AG37" s="266"/>
      <c r="AH37" s="265"/>
    </row>
    <row r="38" spans="1:34">
      <c r="A38" s="883" t="s">
        <v>6</v>
      </c>
      <c r="B38" s="240" t="s">
        <v>53</v>
      </c>
      <c r="C38" s="613">
        <f t="shared" ref="C38:M44" si="38">IF(S$44&gt;0,(S38/S$44),0)</f>
        <v>0.28984404716622292</v>
      </c>
      <c r="D38" s="614">
        <f t="shared" si="38"/>
        <v>0</v>
      </c>
      <c r="E38" s="614">
        <f t="shared" si="38"/>
        <v>0.2423580786026201</v>
      </c>
      <c r="F38" s="614">
        <f t="shared" si="38"/>
        <v>0.16949152542372881</v>
      </c>
      <c r="G38" s="614">
        <f t="shared" si="38"/>
        <v>6.1728395061728392E-2</v>
      </c>
      <c r="H38" s="615">
        <f t="shared" si="38"/>
        <v>0.41772151898734178</v>
      </c>
      <c r="I38" s="613">
        <f t="shared" si="38"/>
        <v>0.27539706323044649</v>
      </c>
      <c r="J38" s="613">
        <f t="shared" si="38"/>
        <v>0</v>
      </c>
      <c r="K38" s="614">
        <f t="shared" si="38"/>
        <v>0</v>
      </c>
      <c r="L38" s="614">
        <f t="shared" si="38"/>
        <v>0</v>
      </c>
      <c r="M38" s="614">
        <f t="shared" si="38"/>
        <v>0</v>
      </c>
      <c r="N38" s="613">
        <f t="shared" ref="N38:Q44" si="39">IF(AE$44&gt;0,(AE38/AE$44),0)</f>
        <v>0.20996259775586534</v>
      </c>
      <c r="O38" s="788">
        <f t="shared" si="39"/>
        <v>0</v>
      </c>
      <c r="P38" s="614">
        <f t="shared" si="39"/>
        <v>0</v>
      </c>
      <c r="Q38" s="788">
        <f t="shared" si="39"/>
        <v>0</v>
      </c>
      <c r="R38" s="244"/>
      <c r="S38" s="245">
        <v>2286</v>
      </c>
      <c r="T38" s="246"/>
      <c r="U38" s="246">
        <v>333</v>
      </c>
      <c r="V38" s="246">
        <v>100</v>
      </c>
      <c r="W38" s="246">
        <v>5</v>
      </c>
      <c r="X38" s="246">
        <v>33</v>
      </c>
      <c r="Y38" s="247">
        <v>2757</v>
      </c>
      <c r="Z38" s="245"/>
      <c r="AA38" s="246"/>
      <c r="AB38" s="246"/>
      <c r="AC38" s="246"/>
      <c r="AD38" s="246"/>
      <c r="AE38" s="247">
        <v>1235</v>
      </c>
      <c r="AF38" s="245"/>
      <c r="AG38" s="246"/>
      <c r="AH38" s="245"/>
    </row>
    <row r="39" spans="1:34">
      <c r="A39" s="886"/>
      <c r="B39" s="239" t="s">
        <v>93</v>
      </c>
      <c r="C39" s="624">
        <f t="shared" si="38"/>
        <v>0.25954101686319259</v>
      </c>
      <c r="D39" s="625">
        <f t="shared" si="38"/>
        <v>0</v>
      </c>
      <c r="E39" s="625">
        <f t="shared" si="38"/>
        <v>0.27656477438136828</v>
      </c>
      <c r="F39" s="625">
        <f t="shared" si="38"/>
        <v>0.25762711864406779</v>
      </c>
      <c r="G39" s="625">
        <f t="shared" si="38"/>
        <v>0.25925925925925924</v>
      </c>
      <c r="H39" s="626">
        <f t="shared" si="38"/>
        <v>0.27848101265822783</v>
      </c>
      <c r="I39" s="624">
        <f t="shared" si="38"/>
        <v>0.26191189691339528</v>
      </c>
      <c r="J39" s="624">
        <f t="shared" si="38"/>
        <v>0</v>
      </c>
      <c r="K39" s="625">
        <f t="shared" si="38"/>
        <v>0</v>
      </c>
      <c r="L39" s="625">
        <f t="shared" si="38"/>
        <v>0</v>
      </c>
      <c r="M39" s="625">
        <f t="shared" si="38"/>
        <v>0</v>
      </c>
      <c r="N39" s="624">
        <f t="shared" si="39"/>
        <v>0.13702822169330159</v>
      </c>
      <c r="O39" s="624">
        <f t="shared" si="39"/>
        <v>0</v>
      </c>
      <c r="P39" s="625">
        <f t="shared" si="39"/>
        <v>0</v>
      </c>
      <c r="Q39" s="624">
        <f t="shared" si="39"/>
        <v>0</v>
      </c>
      <c r="R39" s="253"/>
      <c r="S39" s="254">
        <v>2047</v>
      </c>
      <c r="T39" s="255"/>
      <c r="U39" s="255">
        <v>380</v>
      </c>
      <c r="V39" s="255">
        <v>152</v>
      </c>
      <c r="W39" s="255">
        <v>21</v>
      </c>
      <c r="X39" s="255">
        <v>22</v>
      </c>
      <c r="Y39" s="256">
        <v>2622</v>
      </c>
      <c r="Z39" s="254"/>
      <c r="AA39" s="255"/>
      <c r="AB39" s="255"/>
      <c r="AC39" s="255"/>
      <c r="AD39" s="255"/>
      <c r="AE39" s="256">
        <v>806</v>
      </c>
      <c r="AF39" s="254"/>
      <c r="AG39" s="255"/>
      <c r="AH39" s="254"/>
    </row>
    <row r="40" spans="1:34">
      <c r="A40" s="886"/>
      <c r="B40" s="239" t="s">
        <v>55</v>
      </c>
      <c r="C40" s="624">
        <f t="shared" si="38"/>
        <v>0.19272220109040192</v>
      </c>
      <c r="D40" s="625">
        <f t="shared" si="38"/>
        <v>0</v>
      </c>
      <c r="E40" s="625">
        <f t="shared" si="38"/>
        <v>0.27947598253275108</v>
      </c>
      <c r="F40" s="625">
        <f t="shared" si="38"/>
        <v>0.3254237288135593</v>
      </c>
      <c r="G40" s="625">
        <f t="shared" si="38"/>
        <v>0.19753086419753085</v>
      </c>
      <c r="H40" s="626">
        <f t="shared" si="38"/>
        <v>0.27848101265822783</v>
      </c>
      <c r="I40" s="624">
        <f t="shared" si="38"/>
        <v>0.21316551793027669</v>
      </c>
      <c r="J40" s="624">
        <f t="shared" si="38"/>
        <v>0</v>
      </c>
      <c r="K40" s="625">
        <f t="shared" si="38"/>
        <v>0</v>
      </c>
      <c r="L40" s="625">
        <f t="shared" si="38"/>
        <v>0</v>
      </c>
      <c r="M40" s="625">
        <f t="shared" si="38"/>
        <v>0</v>
      </c>
      <c r="N40" s="624">
        <f t="shared" si="39"/>
        <v>0.17562053723223395</v>
      </c>
      <c r="O40" s="624">
        <f t="shared" si="39"/>
        <v>0</v>
      </c>
      <c r="P40" s="625">
        <f t="shared" si="39"/>
        <v>0</v>
      </c>
      <c r="Q40" s="624">
        <f t="shared" si="39"/>
        <v>0</v>
      </c>
      <c r="R40" s="253"/>
      <c r="S40" s="254">
        <v>1520</v>
      </c>
      <c r="T40" s="255"/>
      <c r="U40" s="255">
        <v>384</v>
      </c>
      <c r="V40" s="255">
        <v>192</v>
      </c>
      <c r="W40" s="255">
        <v>16</v>
      </c>
      <c r="X40" s="255">
        <v>22</v>
      </c>
      <c r="Y40" s="256">
        <v>2134</v>
      </c>
      <c r="Z40" s="254"/>
      <c r="AA40" s="255"/>
      <c r="AB40" s="255"/>
      <c r="AC40" s="255"/>
      <c r="AD40" s="255"/>
      <c r="AE40" s="256">
        <v>1033</v>
      </c>
      <c r="AF40" s="254"/>
      <c r="AG40" s="255"/>
      <c r="AH40" s="254"/>
    </row>
    <row r="41" spans="1:34">
      <c r="A41" s="886"/>
      <c r="B41" s="239" t="s">
        <v>78</v>
      </c>
      <c r="C41" s="624">
        <f t="shared" si="38"/>
        <v>0.12324077596044124</v>
      </c>
      <c r="D41" s="625">
        <f t="shared" si="38"/>
        <v>0</v>
      </c>
      <c r="E41" s="625">
        <f t="shared" si="38"/>
        <v>0.15429403202328967</v>
      </c>
      <c r="F41" s="625">
        <f t="shared" si="38"/>
        <v>0.24745762711864408</v>
      </c>
      <c r="G41" s="625">
        <f t="shared" si="38"/>
        <v>0.48148148148148145</v>
      </c>
      <c r="H41" s="626">
        <f t="shared" si="38"/>
        <v>1.2658227848101266E-2</v>
      </c>
      <c r="I41" s="624">
        <f t="shared" si="38"/>
        <v>0.13684946558785335</v>
      </c>
      <c r="J41" s="624">
        <f t="shared" si="38"/>
        <v>0</v>
      </c>
      <c r="K41" s="625">
        <f t="shared" si="38"/>
        <v>0</v>
      </c>
      <c r="L41" s="625">
        <f t="shared" si="38"/>
        <v>0</v>
      </c>
      <c r="M41" s="625">
        <f t="shared" si="38"/>
        <v>0</v>
      </c>
      <c r="N41" s="624">
        <f t="shared" si="39"/>
        <v>0.17341040462427745</v>
      </c>
      <c r="O41" s="624">
        <f t="shared" si="39"/>
        <v>0</v>
      </c>
      <c r="P41" s="625">
        <f t="shared" si="39"/>
        <v>0</v>
      </c>
      <c r="Q41" s="624">
        <f t="shared" si="39"/>
        <v>0</v>
      </c>
      <c r="R41" s="253"/>
      <c r="S41" s="254">
        <v>972</v>
      </c>
      <c r="T41" s="255"/>
      <c r="U41" s="255">
        <v>212</v>
      </c>
      <c r="V41" s="255">
        <v>146</v>
      </c>
      <c r="W41" s="255">
        <v>39</v>
      </c>
      <c r="X41" s="255">
        <v>1</v>
      </c>
      <c r="Y41" s="256">
        <v>1370</v>
      </c>
      <c r="Z41" s="254"/>
      <c r="AA41" s="255"/>
      <c r="AB41" s="255"/>
      <c r="AC41" s="255"/>
      <c r="AD41" s="255"/>
      <c r="AE41" s="256">
        <v>1020</v>
      </c>
      <c r="AF41" s="254"/>
      <c r="AG41" s="255"/>
      <c r="AH41" s="254"/>
    </row>
    <row r="42" spans="1:34">
      <c r="A42" s="886"/>
      <c r="B42" s="239" t="s">
        <v>32</v>
      </c>
      <c r="C42" s="624">
        <f t="shared" si="38"/>
        <v>7.1002916191200707E-2</v>
      </c>
      <c r="D42" s="625">
        <f t="shared" si="38"/>
        <v>0</v>
      </c>
      <c r="E42" s="625">
        <f t="shared" si="38"/>
        <v>4.2212518195050945E-2</v>
      </c>
      <c r="F42" s="625">
        <f t="shared" si="38"/>
        <v>0</v>
      </c>
      <c r="G42" s="790">
        <f t="shared" si="38"/>
        <v>0</v>
      </c>
      <c r="H42" s="626">
        <f t="shared" si="38"/>
        <v>0</v>
      </c>
      <c r="I42" s="624">
        <f t="shared" si="38"/>
        <v>6.1732094695834579E-2</v>
      </c>
      <c r="J42" s="624">
        <f t="shared" si="38"/>
        <v>0</v>
      </c>
      <c r="K42" s="625">
        <f t="shared" si="38"/>
        <v>0</v>
      </c>
      <c r="L42" s="625">
        <f t="shared" si="38"/>
        <v>0</v>
      </c>
      <c r="M42" s="625">
        <f t="shared" si="38"/>
        <v>0</v>
      </c>
      <c r="N42" s="624">
        <f t="shared" si="39"/>
        <v>6.8004080244814691E-4</v>
      </c>
      <c r="O42" s="624">
        <f t="shared" si="39"/>
        <v>0</v>
      </c>
      <c r="P42" s="625">
        <f t="shared" si="39"/>
        <v>0</v>
      </c>
      <c r="Q42" s="624">
        <f t="shared" si="39"/>
        <v>0</v>
      </c>
      <c r="R42" s="253"/>
      <c r="S42" s="254">
        <v>560</v>
      </c>
      <c r="T42" s="255"/>
      <c r="U42" s="255">
        <v>58</v>
      </c>
      <c r="V42" s="255"/>
      <c r="W42" s="255"/>
      <c r="X42" s="255"/>
      <c r="Y42" s="256">
        <v>618</v>
      </c>
      <c r="Z42" s="254"/>
      <c r="AA42" s="255"/>
      <c r="AB42" s="255"/>
      <c r="AC42" s="255"/>
      <c r="AD42" s="255"/>
      <c r="AE42" s="256">
        <v>4</v>
      </c>
      <c r="AF42" s="254"/>
      <c r="AG42" s="255"/>
      <c r="AH42" s="254"/>
    </row>
    <row r="43" spans="1:34">
      <c r="A43" s="886"/>
      <c r="B43" s="239" t="s">
        <v>58</v>
      </c>
      <c r="C43" s="624">
        <f t="shared" si="38"/>
        <v>6.3649042728540633E-2</v>
      </c>
      <c r="D43" s="625">
        <f t="shared" si="38"/>
        <v>0</v>
      </c>
      <c r="E43" s="792">
        <f t="shared" si="38"/>
        <v>5.0946142649199418E-3</v>
      </c>
      <c r="F43" s="625">
        <f t="shared" si="38"/>
        <v>0</v>
      </c>
      <c r="G43" s="792">
        <f t="shared" si="38"/>
        <v>0</v>
      </c>
      <c r="H43" s="626">
        <f t="shared" si="38"/>
        <v>1.2658227848101266E-2</v>
      </c>
      <c r="I43" s="793">
        <f t="shared" si="38"/>
        <v>5.0943961642193586E-2</v>
      </c>
      <c r="J43" s="624">
        <f t="shared" si="38"/>
        <v>0</v>
      </c>
      <c r="K43" s="625">
        <f t="shared" si="38"/>
        <v>0</v>
      </c>
      <c r="L43" s="625">
        <f t="shared" si="38"/>
        <v>0</v>
      </c>
      <c r="M43" s="625">
        <f t="shared" si="38"/>
        <v>0</v>
      </c>
      <c r="N43" s="624">
        <f t="shared" si="39"/>
        <v>0.30329819789187351</v>
      </c>
      <c r="O43" s="624">
        <f t="shared" si="39"/>
        <v>0</v>
      </c>
      <c r="P43" s="625">
        <f t="shared" si="39"/>
        <v>0</v>
      </c>
      <c r="Q43" s="624">
        <f t="shared" si="39"/>
        <v>0</v>
      </c>
      <c r="R43" s="253"/>
      <c r="S43" s="254">
        <v>502</v>
      </c>
      <c r="T43" s="255"/>
      <c r="U43" s="255">
        <v>7</v>
      </c>
      <c r="V43" s="255"/>
      <c r="W43" s="255"/>
      <c r="X43" s="255">
        <v>1</v>
      </c>
      <c r="Y43" s="256">
        <v>510</v>
      </c>
      <c r="Z43" s="254"/>
      <c r="AA43" s="255"/>
      <c r="AB43" s="255"/>
      <c r="AC43" s="255"/>
      <c r="AD43" s="255"/>
      <c r="AE43" s="256">
        <v>1784</v>
      </c>
      <c r="AF43" s="254"/>
      <c r="AG43" s="255"/>
      <c r="AH43" s="254"/>
    </row>
    <row r="44" spans="1:34">
      <c r="A44" s="887"/>
      <c r="B44" s="436" t="s">
        <v>59</v>
      </c>
      <c r="C44" s="577">
        <f t="shared" si="38"/>
        <v>1</v>
      </c>
      <c r="D44" s="578">
        <f t="shared" si="38"/>
        <v>0</v>
      </c>
      <c r="E44" s="578">
        <f t="shared" si="38"/>
        <v>1</v>
      </c>
      <c r="F44" s="578">
        <f t="shared" si="38"/>
        <v>1</v>
      </c>
      <c r="G44" s="578">
        <f t="shared" si="38"/>
        <v>1</v>
      </c>
      <c r="H44" s="579">
        <f t="shared" si="38"/>
        <v>1</v>
      </c>
      <c r="I44" s="577">
        <f t="shared" si="38"/>
        <v>1</v>
      </c>
      <c r="J44" s="577">
        <f t="shared" si="38"/>
        <v>0</v>
      </c>
      <c r="K44" s="578">
        <f t="shared" si="38"/>
        <v>0</v>
      </c>
      <c r="L44" s="578">
        <f t="shared" si="38"/>
        <v>0</v>
      </c>
      <c r="M44" s="578">
        <f t="shared" si="38"/>
        <v>0</v>
      </c>
      <c r="N44" s="577">
        <f t="shared" si="39"/>
        <v>1</v>
      </c>
      <c r="O44" s="577">
        <f t="shared" si="39"/>
        <v>0</v>
      </c>
      <c r="P44" s="578">
        <f t="shared" si="39"/>
        <v>0</v>
      </c>
      <c r="Q44" s="577">
        <f t="shared" si="39"/>
        <v>0</v>
      </c>
      <c r="R44" s="264"/>
      <c r="S44" s="265">
        <v>7887</v>
      </c>
      <c r="T44" s="266"/>
      <c r="U44" s="266">
        <v>1374</v>
      </c>
      <c r="V44" s="266">
        <v>590</v>
      </c>
      <c r="W44" s="266">
        <v>81</v>
      </c>
      <c r="X44" s="266">
        <v>79</v>
      </c>
      <c r="Y44" s="267">
        <v>10011</v>
      </c>
      <c r="Z44" s="265"/>
      <c r="AA44" s="266"/>
      <c r="AB44" s="266"/>
      <c r="AC44" s="266"/>
      <c r="AD44" s="266"/>
      <c r="AE44" s="267">
        <v>5882</v>
      </c>
      <c r="AF44" s="265"/>
      <c r="AG44" s="266"/>
      <c r="AH44" s="265"/>
    </row>
    <row r="45" spans="1:34">
      <c r="A45" s="883" t="s">
        <v>7</v>
      </c>
      <c r="B45" s="240" t="s">
        <v>53</v>
      </c>
      <c r="C45" s="613">
        <f t="shared" ref="C45:M51" si="40">IF(S$51&gt;0,(S45/S$51),0)</f>
        <v>0.31981536432575008</v>
      </c>
      <c r="D45" s="614">
        <f t="shared" si="40"/>
        <v>0.42292870905587671</v>
      </c>
      <c r="E45" s="614">
        <f t="shared" si="40"/>
        <v>0.20058672533920058</v>
      </c>
      <c r="F45" s="614">
        <f t="shared" si="40"/>
        <v>0.2067751869775627</v>
      </c>
      <c r="G45" s="614">
        <f t="shared" si="40"/>
        <v>0.19770114942528735</v>
      </c>
      <c r="H45" s="615">
        <f t="shared" si="40"/>
        <v>0.10679611650485436</v>
      </c>
      <c r="I45" s="613">
        <f t="shared" si="40"/>
        <v>0.25169409486931266</v>
      </c>
      <c r="J45" s="613">
        <f t="shared" si="40"/>
        <v>0</v>
      </c>
      <c r="K45" s="614">
        <f t="shared" si="40"/>
        <v>0</v>
      </c>
      <c r="L45" s="614">
        <f t="shared" si="40"/>
        <v>0</v>
      </c>
      <c r="M45" s="614">
        <f t="shared" si="40"/>
        <v>0</v>
      </c>
      <c r="N45" s="613">
        <f t="shared" ref="N45:Q51" si="41">IF(AE$51&gt;0,(AE45/AE$51),0)</f>
        <v>0.14102564102564102</v>
      </c>
      <c r="O45" s="788">
        <f t="shared" si="41"/>
        <v>0</v>
      </c>
      <c r="P45" s="614">
        <f t="shared" si="41"/>
        <v>0</v>
      </c>
      <c r="Q45" s="788">
        <f t="shared" si="41"/>
        <v>0</v>
      </c>
      <c r="R45" s="244"/>
      <c r="S45" s="245">
        <v>970</v>
      </c>
      <c r="T45" s="246">
        <v>439</v>
      </c>
      <c r="U45" s="246">
        <v>547</v>
      </c>
      <c r="V45" s="246">
        <v>470</v>
      </c>
      <c r="W45" s="246">
        <v>86</v>
      </c>
      <c r="X45" s="246">
        <v>88</v>
      </c>
      <c r="Y45" s="247">
        <v>2600</v>
      </c>
      <c r="Z45" s="245"/>
      <c r="AA45" s="246"/>
      <c r="AB45" s="246"/>
      <c r="AC45" s="246"/>
      <c r="AD45" s="246"/>
      <c r="AE45" s="247">
        <v>198</v>
      </c>
      <c r="AF45" s="245"/>
      <c r="AG45" s="246"/>
      <c r="AH45" s="245"/>
    </row>
    <row r="46" spans="1:34">
      <c r="A46" s="886"/>
      <c r="B46" s="239" t="s">
        <v>93</v>
      </c>
      <c r="C46" s="624">
        <f t="shared" si="40"/>
        <v>0.29080118694362017</v>
      </c>
      <c r="D46" s="625">
        <f t="shared" si="40"/>
        <v>0.279383429672447</v>
      </c>
      <c r="E46" s="625">
        <f t="shared" si="40"/>
        <v>0.25925925925925924</v>
      </c>
      <c r="F46" s="625">
        <f t="shared" si="40"/>
        <v>0.24725032996040475</v>
      </c>
      <c r="G46" s="625">
        <f t="shared" si="40"/>
        <v>0.26436781609195403</v>
      </c>
      <c r="H46" s="626">
        <f t="shared" si="40"/>
        <v>0.30703883495145629</v>
      </c>
      <c r="I46" s="624">
        <f t="shared" si="40"/>
        <v>0.2719264278799613</v>
      </c>
      <c r="J46" s="624">
        <f t="shared" si="40"/>
        <v>0</v>
      </c>
      <c r="K46" s="625">
        <f t="shared" si="40"/>
        <v>0</v>
      </c>
      <c r="L46" s="625">
        <f t="shared" si="40"/>
        <v>0</v>
      </c>
      <c r="M46" s="625">
        <f t="shared" si="40"/>
        <v>0</v>
      </c>
      <c r="N46" s="624">
        <f t="shared" si="41"/>
        <v>0.24145299145299146</v>
      </c>
      <c r="O46" s="624">
        <f t="shared" si="41"/>
        <v>0</v>
      </c>
      <c r="P46" s="625">
        <f t="shared" si="41"/>
        <v>0</v>
      </c>
      <c r="Q46" s="624">
        <f t="shared" si="41"/>
        <v>0</v>
      </c>
      <c r="R46" s="253"/>
      <c r="S46" s="254">
        <v>882</v>
      </c>
      <c r="T46" s="255">
        <v>290</v>
      </c>
      <c r="U46" s="255">
        <v>707</v>
      </c>
      <c r="V46" s="255">
        <v>562</v>
      </c>
      <c r="W46" s="255">
        <v>115</v>
      </c>
      <c r="X46" s="255">
        <v>253</v>
      </c>
      <c r="Y46" s="256">
        <v>2809</v>
      </c>
      <c r="Z46" s="254"/>
      <c r="AA46" s="255"/>
      <c r="AB46" s="255"/>
      <c r="AC46" s="255"/>
      <c r="AD46" s="255"/>
      <c r="AE46" s="256">
        <v>339</v>
      </c>
      <c r="AF46" s="254"/>
      <c r="AG46" s="255"/>
      <c r="AH46" s="254"/>
    </row>
    <row r="47" spans="1:34">
      <c r="A47" s="886"/>
      <c r="B47" s="239" t="s">
        <v>55</v>
      </c>
      <c r="C47" s="624">
        <f t="shared" si="40"/>
        <v>0.23178371249587867</v>
      </c>
      <c r="D47" s="625">
        <f t="shared" si="40"/>
        <v>0.19075144508670519</v>
      </c>
      <c r="E47" s="625">
        <f t="shared" si="40"/>
        <v>0.30326365969930325</v>
      </c>
      <c r="F47" s="625">
        <f t="shared" si="40"/>
        <v>0.32160140783106028</v>
      </c>
      <c r="G47" s="625">
        <f t="shared" si="40"/>
        <v>0.27816091954022987</v>
      </c>
      <c r="H47" s="626">
        <f t="shared" si="40"/>
        <v>0.46116504854368934</v>
      </c>
      <c r="I47" s="624">
        <f t="shared" si="40"/>
        <v>0.28654404646660214</v>
      </c>
      <c r="J47" s="624">
        <f t="shared" si="40"/>
        <v>0</v>
      </c>
      <c r="K47" s="625">
        <f t="shared" si="40"/>
        <v>0</v>
      </c>
      <c r="L47" s="625">
        <f t="shared" si="40"/>
        <v>0</v>
      </c>
      <c r="M47" s="625">
        <f t="shared" si="40"/>
        <v>0</v>
      </c>
      <c r="N47" s="624">
        <f t="shared" si="41"/>
        <v>0.37250712250712253</v>
      </c>
      <c r="O47" s="624">
        <f t="shared" si="41"/>
        <v>0</v>
      </c>
      <c r="P47" s="625">
        <f t="shared" si="41"/>
        <v>0</v>
      </c>
      <c r="Q47" s="624">
        <f t="shared" si="41"/>
        <v>0</v>
      </c>
      <c r="R47" s="253"/>
      <c r="S47" s="254">
        <v>703</v>
      </c>
      <c r="T47" s="255">
        <v>198</v>
      </c>
      <c r="U47" s="255">
        <v>827</v>
      </c>
      <c r="V47" s="255">
        <v>731</v>
      </c>
      <c r="W47" s="255">
        <v>121</v>
      </c>
      <c r="X47" s="255">
        <v>380</v>
      </c>
      <c r="Y47" s="256">
        <v>2960</v>
      </c>
      <c r="Z47" s="254"/>
      <c r="AA47" s="255"/>
      <c r="AB47" s="255"/>
      <c r="AC47" s="255"/>
      <c r="AD47" s="255"/>
      <c r="AE47" s="256">
        <v>523</v>
      </c>
      <c r="AF47" s="254"/>
      <c r="AG47" s="255"/>
      <c r="AH47" s="254"/>
    </row>
    <row r="48" spans="1:34">
      <c r="A48" s="886"/>
      <c r="B48" s="239" t="s">
        <v>78</v>
      </c>
      <c r="C48" s="624">
        <f t="shared" si="40"/>
        <v>4.1213320145070884E-2</v>
      </c>
      <c r="D48" s="625">
        <f t="shared" si="40"/>
        <v>2.8901734104046242E-2</v>
      </c>
      <c r="E48" s="625">
        <f t="shared" si="40"/>
        <v>0.10121012101210121</v>
      </c>
      <c r="F48" s="625">
        <f t="shared" si="40"/>
        <v>5.411350637923449E-2</v>
      </c>
      <c r="G48" s="625">
        <f t="shared" si="40"/>
        <v>0.15172413793103448</v>
      </c>
      <c r="H48" s="626">
        <f t="shared" si="40"/>
        <v>5.2184466019417473E-2</v>
      </c>
      <c r="I48" s="624">
        <f t="shared" si="40"/>
        <v>6.4181994191674738E-2</v>
      </c>
      <c r="J48" s="624">
        <f t="shared" si="40"/>
        <v>0</v>
      </c>
      <c r="K48" s="625">
        <f t="shared" si="40"/>
        <v>0</v>
      </c>
      <c r="L48" s="625">
        <f t="shared" si="40"/>
        <v>0</v>
      </c>
      <c r="M48" s="625">
        <f t="shared" si="40"/>
        <v>0</v>
      </c>
      <c r="N48" s="624">
        <f t="shared" si="41"/>
        <v>0.16737891737891739</v>
      </c>
      <c r="O48" s="624">
        <f t="shared" si="41"/>
        <v>0</v>
      </c>
      <c r="P48" s="625">
        <f t="shared" si="41"/>
        <v>0</v>
      </c>
      <c r="Q48" s="624">
        <f t="shared" si="41"/>
        <v>0.38389031705227078</v>
      </c>
      <c r="R48" s="253"/>
      <c r="S48" s="254">
        <v>125</v>
      </c>
      <c r="T48" s="255">
        <v>30</v>
      </c>
      <c r="U48" s="255">
        <v>276</v>
      </c>
      <c r="V48" s="255">
        <v>123</v>
      </c>
      <c r="W48" s="255">
        <v>66</v>
      </c>
      <c r="X48" s="255">
        <v>43</v>
      </c>
      <c r="Y48" s="256">
        <v>663</v>
      </c>
      <c r="Z48" s="254"/>
      <c r="AA48" s="255"/>
      <c r="AB48" s="255"/>
      <c r="AC48" s="255"/>
      <c r="AD48" s="255"/>
      <c r="AE48" s="256">
        <v>235</v>
      </c>
      <c r="AF48" s="254"/>
      <c r="AG48" s="255"/>
      <c r="AH48" s="254">
        <v>896</v>
      </c>
    </row>
    <row r="49" spans="1:34">
      <c r="A49" s="886"/>
      <c r="B49" s="239" t="s">
        <v>32</v>
      </c>
      <c r="C49" s="624">
        <f t="shared" si="40"/>
        <v>0.11440817672271678</v>
      </c>
      <c r="D49" s="625">
        <f t="shared" si="40"/>
        <v>5.0096339113680152E-2</v>
      </c>
      <c r="E49" s="790">
        <f t="shared" si="40"/>
        <v>0.13531353135313531</v>
      </c>
      <c r="F49" s="625">
        <f t="shared" si="40"/>
        <v>0.1438627364716234</v>
      </c>
      <c r="G49" s="625">
        <f t="shared" si="40"/>
        <v>0.10114942528735632</v>
      </c>
      <c r="H49" s="794">
        <f t="shared" si="40"/>
        <v>7.281553398058252E-2</v>
      </c>
      <c r="I49" s="624">
        <f t="shared" si="40"/>
        <v>0.11606969990319457</v>
      </c>
      <c r="J49" s="624">
        <f t="shared" si="40"/>
        <v>0</v>
      </c>
      <c r="K49" s="625">
        <f t="shared" si="40"/>
        <v>0</v>
      </c>
      <c r="L49" s="625">
        <f t="shared" si="40"/>
        <v>0</v>
      </c>
      <c r="M49" s="625">
        <f t="shared" si="40"/>
        <v>0</v>
      </c>
      <c r="N49" s="624">
        <f t="shared" si="41"/>
        <v>7.4786324786324784E-2</v>
      </c>
      <c r="O49" s="624">
        <f t="shared" si="41"/>
        <v>0</v>
      </c>
      <c r="P49" s="625">
        <f t="shared" si="41"/>
        <v>0</v>
      </c>
      <c r="Q49" s="624">
        <f t="shared" si="41"/>
        <v>0</v>
      </c>
      <c r="R49" s="253"/>
      <c r="S49" s="254">
        <v>347</v>
      </c>
      <c r="T49" s="255">
        <v>52</v>
      </c>
      <c r="U49" s="255">
        <v>369</v>
      </c>
      <c r="V49" s="255">
        <v>327</v>
      </c>
      <c r="W49" s="255">
        <v>44</v>
      </c>
      <c r="X49" s="255">
        <v>60</v>
      </c>
      <c r="Y49" s="256">
        <v>1199</v>
      </c>
      <c r="Z49" s="254"/>
      <c r="AA49" s="255"/>
      <c r="AB49" s="255"/>
      <c r="AC49" s="255"/>
      <c r="AD49" s="255"/>
      <c r="AE49" s="256">
        <v>105</v>
      </c>
      <c r="AF49" s="254"/>
      <c r="AG49" s="255"/>
      <c r="AH49" s="254"/>
    </row>
    <row r="50" spans="1:34">
      <c r="A50" s="886"/>
      <c r="B50" s="239" t="s">
        <v>58</v>
      </c>
      <c r="C50" s="624">
        <f t="shared" si="40"/>
        <v>1.9782393669634025E-3</v>
      </c>
      <c r="D50" s="625">
        <f t="shared" si="40"/>
        <v>2.7938342967244702E-2</v>
      </c>
      <c r="E50" s="792">
        <f t="shared" si="40"/>
        <v>3.667033370003667E-4</v>
      </c>
      <c r="F50" s="625">
        <f t="shared" si="40"/>
        <v>2.6396832380114386E-2</v>
      </c>
      <c r="G50" s="792">
        <f t="shared" si="40"/>
        <v>6.8965517241379309E-3</v>
      </c>
      <c r="H50" s="626">
        <f t="shared" si="40"/>
        <v>0</v>
      </c>
      <c r="I50" s="793">
        <f t="shared" si="40"/>
        <v>9.5837366892545985E-3</v>
      </c>
      <c r="J50" s="624">
        <f t="shared" si="40"/>
        <v>0</v>
      </c>
      <c r="K50" s="625">
        <f t="shared" si="40"/>
        <v>0</v>
      </c>
      <c r="L50" s="625">
        <f t="shared" si="40"/>
        <v>0</v>
      </c>
      <c r="M50" s="625">
        <f t="shared" si="40"/>
        <v>0</v>
      </c>
      <c r="N50" s="624">
        <f t="shared" si="41"/>
        <v>2.8490028490028491E-3</v>
      </c>
      <c r="O50" s="624">
        <f t="shared" si="41"/>
        <v>0</v>
      </c>
      <c r="P50" s="625">
        <f t="shared" si="41"/>
        <v>0</v>
      </c>
      <c r="Q50" s="624">
        <f t="shared" si="41"/>
        <v>0.61610968294772916</v>
      </c>
      <c r="R50" s="253"/>
      <c r="S50" s="254">
        <v>6</v>
      </c>
      <c r="T50" s="255">
        <v>29</v>
      </c>
      <c r="U50" s="255">
        <v>1</v>
      </c>
      <c r="V50" s="255">
        <v>60</v>
      </c>
      <c r="W50" s="255">
        <v>3</v>
      </c>
      <c r="X50" s="255"/>
      <c r="Y50" s="256">
        <v>99</v>
      </c>
      <c r="Z50" s="254"/>
      <c r="AA50" s="255"/>
      <c r="AB50" s="255"/>
      <c r="AC50" s="255"/>
      <c r="AD50" s="255"/>
      <c r="AE50" s="256">
        <v>4</v>
      </c>
      <c r="AF50" s="254"/>
      <c r="AG50" s="255"/>
      <c r="AH50" s="254">
        <v>1438</v>
      </c>
    </row>
    <row r="51" spans="1:34">
      <c r="A51" s="887"/>
      <c r="B51" s="436" t="s">
        <v>59</v>
      </c>
      <c r="C51" s="577">
        <f t="shared" si="40"/>
        <v>1</v>
      </c>
      <c r="D51" s="578">
        <f t="shared" si="40"/>
        <v>1</v>
      </c>
      <c r="E51" s="578">
        <f t="shared" si="40"/>
        <v>1</v>
      </c>
      <c r="F51" s="578">
        <f t="shared" si="40"/>
        <v>1</v>
      </c>
      <c r="G51" s="578">
        <f t="shared" si="40"/>
        <v>1</v>
      </c>
      <c r="H51" s="579">
        <f t="shared" si="40"/>
        <v>1</v>
      </c>
      <c r="I51" s="577">
        <f t="shared" si="40"/>
        <v>1</v>
      </c>
      <c r="J51" s="577">
        <f t="shared" si="40"/>
        <v>0</v>
      </c>
      <c r="K51" s="578">
        <f t="shared" si="40"/>
        <v>0</v>
      </c>
      <c r="L51" s="578">
        <f t="shared" si="40"/>
        <v>0</v>
      </c>
      <c r="M51" s="578">
        <f t="shared" si="40"/>
        <v>0</v>
      </c>
      <c r="N51" s="577">
        <f t="shared" si="41"/>
        <v>1</v>
      </c>
      <c r="O51" s="577">
        <f t="shared" si="41"/>
        <v>0</v>
      </c>
      <c r="P51" s="578">
        <f t="shared" si="41"/>
        <v>0</v>
      </c>
      <c r="Q51" s="577">
        <f t="shared" si="41"/>
        <v>1</v>
      </c>
      <c r="R51" s="264"/>
      <c r="S51" s="265">
        <v>3033</v>
      </c>
      <c r="T51" s="266">
        <v>1038</v>
      </c>
      <c r="U51" s="266">
        <v>2727</v>
      </c>
      <c r="V51" s="266">
        <v>2273</v>
      </c>
      <c r="W51" s="266">
        <v>435</v>
      </c>
      <c r="X51" s="266">
        <v>824</v>
      </c>
      <c r="Y51" s="267">
        <v>10330</v>
      </c>
      <c r="Z51" s="265"/>
      <c r="AA51" s="266"/>
      <c r="AB51" s="266"/>
      <c r="AC51" s="266"/>
      <c r="AD51" s="266"/>
      <c r="AE51" s="267">
        <v>1404</v>
      </c>
      <c r="AF51" s="265"/>
      <c r="AG51" s="266"/>
      <c r="AH51" s="265">
        <v>2334</v>
      </c>
    </row>
    <row r="52" spans="1:34">
      <c r="A52" s="883" t="s">
        <v>8</v>
      </c>
      <c r="B52" s="240" t="s">
        <v>53</v>
      </c>
      <c r="C52" s="613">
        <f t="shared" ref="C52:M58" si="42">IF(S$58&gt;0,(S52/S$58),0)</f>
        <v>0.32248394004282654</v>
      </c>
      <c r="D52" s="614">
        <f t="shared" si="42"/>
        <v>0</v>
      </c>
      <c r="E52" s="614">
        <f t="shared" si="42"/>
        <v>0.22011251758087202</v>
      </c>
      <c r="F52" s="614">
        <f t="shared" si="42"/>
        <v>0.27272727272727271</v>
      </c>
      <c r="G52" s="614">
        <f t="shared" si="42"/>
        <v>0</v>
      </c>
      <c r="H52" s="615">
        <f t="shared" si="42"/>
        <v>0</v>
      </c>
      <c r="I52" s="613">
        <f t="shared" si="42"/>
        <v>0.26641509433962263</v>
      </c>
      <c r="J52" s="613">
        <f t="shared" si="42"/>
        <v>0</v>
      </c>
      <c r="K52" s="614">
        <f t="shared" si="42"/>
        <v>0</v>
      </c>
      <c r="L52" s="614">
        <f t="shared" si="42"/>
        <v>0</v>
      </c>
      <c r="M52" s="614">
        <f t="shared" si="42"/>
        <v>0</v>
      </c>
      <c r="N52" s="613">
        <f t="shared" ref="N52:Q58" si="43">IF(AE$58&gt;0,(AE52/AE$58),0)</f>
        <v>0.37901234567901232</v>
      </c>
      <c r="O52" s="613">
        <f t="shared" si="43"/>
        <v>0</v>
      </c>
      <c r="P52" s="614">
        <f t="shared" si="43"/>
        <v>0</v>
      </c>
      <c r="Q52" s="613">
        <f t="shared" si="43"/>
        <v>9.4117647058823528E-2</v>
      </c>
      <c r="R52" s="244"/>
      <c r="S52" s="245">
        <v>753</v>
      </c>
      <c r="T52" s="246"/>
      <c r="U52" s="246">
        <v>626</v>
      </c>
      <c r="V52" s="246">
        <v>33</v>
      </c>
      <c r="W52" s="246"/>
      <c r="X52" s="246"/>
      <c r="Y52" s="247">
        <v>1412</v>
      </c>
      <c r="Z52" s="245"/>
      <c r="AA52" s="246"/>
      <c r="AB52" s="246"/>
      <c r="AC52" s="246"/>
      <c r="AD52" s="246"/>
      <c r="AE52" s="247">
        <v>614</v>
      </c>
      <c r="AF52" s="245"/>
      <c r="AG52" s="246"/>
      <c r="AH52" s="245">
        <v>16</v>
      </c>
    </row>
    <row r="53" spans="1:34">
      <c r="A53" s="886"/>
      <c r="B53" s="239" t="s">
        <v>93</v>
      </c>
      <c r="C53" s="624">
        <f t="shared" si="42"/>
        <v>0.28137044967880087</v>
      </c>
      <c r="D53" s="625">
        <f t="shared" si="42"/>
        <v>0</v>
      </c>
      <c r="E53" s="625">
        <f t="shared" si="42"/>
        <v>0.28656821378340364</v>
      </c>
      <c r="F53" s="625">
        <f t="shared" si="42"/>
        <v>0.24793388429752067</v>
      </c>
      <c r="G53" s="625">
        <f t="shared" si="42"/>
        <v>0</v>
      </c>
      <c r="H53" s="626">
        <f t="shared" si="42"/>
        <v>0</v>
      </c>
      <c r="I53" s="624">
        <f t="shared" si="42"/>
        <v>0.28339622641509432</v>
      </c>
      <c r="J53" s="624">
        <f t="shared" si="42"/>
        <v>0</v>
      </c>
      <c r="K53" s="625">
        <f t="shared" si="42"/>
        <v>0</v>
      </c>
      <c r="L53" s="625">
        <f t="shared" si="42"/>
        <v>0</v>
      </c>
      <c r="M53" s="625">
        <f t="shared" si="42"/>
        <v>0</v>
      </c>
      <c r="N53" s="624">
        <f t="shared" si="43"/>
        <v>0.3</v>
      </c>
      <c r="O53" s="624">
        <f t="shared" si="43"/>
        <v>0</v>
      </c>
      <c r="P53" s="625">
        <f t="shared" si="43"/>
        <v>0</v>
      </c>
      <c r="Q53" s="624">
        <f t="shared" si="43"/>
        <v>0.29411764705882354</v>
      </c>
      <c r="R53" s="253"/>
      <c r="S53" s="254">
        <v>657</v>
      </c>
      <c r="T53" s="255"/>
      <c r="U53" s="255">
        <v>815</v>
      </c>
      <c r="V53" s="255">
        <v>30</v>
      </c>
      <c r="W53" s="255"/>
      <c r="X53" s="255"/>
      <c r="Y53" s="256">
        <v>1502</v>
      </c>
      <c r="Z53" s="254"/>
      <c r="AA53" s="255"/>
      <c r="AB53" s="255"/>
      <c r="AC53" s="255"/>
      <c r="AD53" s="255"/>
      <c r="AE53" s="256">
        <v>486</v>
      </c>
      <c r="AF53" s="254"/>
      <c r="AG53" s="255"/>
      <c r="AH53" s="254">
        <v>50</v>
      </c>
    </row>
    <row r="54" spans="1:34">
      <c r="A54" s="886"/>
      <c r="B54" s="239" t="s">
        <v>55</v>
      </c>
      <c r="C54" s="624">
        <f t="shared" si="42"/>
        <v>0.2809421841541756</v>
      </c>
      <c r="D54" s="625">
        <f t="shared" si="42"/>
        <v>0</v>
      </c>
      <c r="E54" s="625">
        <f t="shared" si="42"/>
        <v>0.25070323488045004</v>
      </c>
      <c r="F54" s="625">
        <f t="shared" si="42"/>
        <v>0.43801652892561982</v>
      </c>
      <c r="G54" s="625">
        <f t="shared" si="42"/>
        <v>0</v>
      </c>
      <c r="H54" s="626">
        <f t="shared" si="42"/>
        <v>0</v>
      </c>
      <c r="I54" s="624">
        <f t="shared" si="42"/>
        <v>0.26830188679245282</v>
      </c>
      <c r="J54" s="624">
        <f t="shared" si="42"/>
        <v>0</v>
      </c>
      <c r="K54" s="625">
        <f t="shared" si="42"/>
        <v>0</v>
      </c>
      <c r="L54" s="625">
        <f t="shared" si="42"/>
        <v>0</v>
      </c>
      <c r="M54" s="625">
        <f t="shared" si="42"/>
        <v>0</v>
      </c>
      <c r="N54" s="624">
        <f t="shared" si="43"/>
        <v>0.17654320987654321</v>
      </c>
      <c r="O54" s="624">
        <f t="shared" si="43"/>
        <v>0</v>
      </c>
      <c r="P54" s="625">
        <f t="shared" si="43"/>
        <v>0</v>
      </c>
      <c r="Q54" s="624">
        <f t="shared" si="43"/>
        <v>0.26470588235294118</v>
      </c>
      <c r="R54" s="253"/>
      <c r="S54" s="254">
        <v>656</v>
      </c>
      <c r="T54" s="255"/>
      <c r="U54" s="255">
        <v>713</v>
      </c>
      <c r="V54" s="255">
        <v>53</v>
      </c>
      <c r="W54" s="255"/>
      <c r="X54" s="255"/>
      <c r="Y54" s="256">
        <v>1422</v>
      </c>
      <c r="Z54" s="254"/>
      <c r="AA54" s="255"/>
      <c r="AB54" s="255"/>
      <c r="AC54" s="255"/>
      <c r="AD54" s="255"/>
      <c r="AE54" s="256">
        <v>286</v>
      </c>
      <c r="AF54" s="254"/>
      <c r="AG54" s="255"/>
      <c r="AH54" s="254">
        <v>45</v>
      </c>
    </row>
    <row r="55" spans="1:34">
      <c r="A55" s="886"/>
      <c r="B55" s="239" t="s">
        <v>78</v>
      </c>
      <c r="C55" s="791">
        <f t="shared" si="42"/>
        <v>3.7687366167023555E-2</v>
      </c>
      <c r="D55" s="625">
        <f t="shared" si="42"/>
        <v>0</v>
      </c>
      <c r="E55" s="625">
        <f t="shared" si="42"/>
        <v>9.0014064697609003E-2</v>
      </c>
      <c r="F55" s="625">
        <f t="shared" si="42"/>
        <v>4.1322314049586778E-2</v>
      </c>
      <c r="G55" s="625">
        <f t="shared" si="42"/>
        <v>0</v>
      </c>
      <c r="H55" s="626">
        <f t="shared" si="42"/>
        <v>0</v>
      </c>
      <c r="I55" s="624">
        <f t="shared" si="42"/>
        <v>6.584905660377359E-2</v>
      </c>
      <c r="J55" s="624">
        <f t="shared" si="42"/>
        <v>0</v>
      </c>
      <c r="K55" s="625">
        <f t="shared" si="42"/>
        <v>0</v>
      </c>
      <c r="L55" s="625">
        <f t="shared" si="42"/>
        <v>0</v>
      </c>
      <c r="M55" s="625">
        <f t="shared" si="42"/>
        <v>0</v>
      </c>
      <c r="N55" s="624">
        <f t="shared" si="43"/>
        <v>0.1425925925925926</v>
      </c>
      <c r="O55" s="624">
        <f t="shared" si="43"/>
        <v>0</v>
      </c>
      <c r="P55" s="625">
        <f t="shared" si="43"/>
        <v>0</v>
      </c>
      <c r="Q55" s="624">
        <f t="shared" si="43"/>
        <v>0.34705882352941175</v>
      </c>
      <c r="R55" s="253"/>
      <c r="S55" s="254">
        <v>88</v>
      </c>
      <c r="T55" s="255"/>
      <c r="U55" s="255">
        <v>256</v>
      </c>
      <c r="V55" s="255">
        <v>5</v>
      </c>
      <c r="W55" s="255"/>
      <c r="X55" s="255"/>
      <c r="Y55" s="256">
        <v>349</v>
      </c>
      <c r="Z55" s="254"/>
      <c r="AA55" s="255"/>
      <c r="AB55" s="255"/>
      <c r="AC55" s="255"/>
      <c r="AD55" s="255"/>
      <c r="AE55" s="256">
        <v>231</v>
      </c>
      <c r="AF55" s="254"/>
      <c r="AG55" s="255"/>
      <c r="AH55" s="254">
        <v>59</v>
      </c>
    </row>
    <row r="56" spans="1:34">
      <c r="A56" s="886"/>
      <c r="B56" s="239" t="s">
        <v>32</v>
      </c>
      <c r="C56" s="624">
        <f t="shared" si="42"/>
        <v>7.3233404710920769E-2</v>
      </c>
      <c r="D56" s="790">
        <f t="shared" si="42"/>
        <v>0</v>
      </c>
      <c r="E56" s="625">
        <f t="shared" si="42"/>
        <v>0.12341772151898735</v>
      </c>
      <c r="F56" s="625">
        <f t="shared" si="42"/>
        <v>0</v>
      </c>
      <c r="G56" s="625">
        <f t="shared" si="42"/>
        <v>0</v>
      </c>
      <c r="H56" s="626">
        <f t="shared" si="42"/>
        <v>0</v>
      </c>
      <c r="I56" s="624">
        <f t="shared" si="42"/>
        <v>9.8490566037735844E-2</v>
      </c>
      <c r="J56" s="624">
        <f t="shared" si="42"/>
        <v>0</v>
      </c>
      <c r="K56" s="625">
        <f t="shared" si="42"/>
        <v>0</v>
      </c>
      <c r="L56" s="625">
        <f t="shared" si="42"/>
        <v>0</v>
      </c>
      <c r="M56" s="625">
        <f t="shared" si="42"/>
        <v>0</v>
      </c>
      <c r="N56" s="624">
        <f t="shared" si="43"/>
        <v>1.8518518518518519E-3</v>
      </c>
      <c r="O56" s="624">
        <f t="shared" si="43"/>
        <v>0</v>
      </c>
      <c r="P56" s="625">
        <f t="shared" si="43"/>
        <v>0</v>
      </c>
      <c r="Q56" s="624">
        <f t="shared" si="43"/>
        <v>0</v>
      </c>
      <c r="R56" s="253"/>
      <c r="S56" s="254">
        <v>171</v>
      </c>
      <c r="T56" s="255"/>
      <c r="U56" s="255">
        <v>351</v>
      </c>
      <c r="V56" s="255"/>
      <c r="W56" s="255"/>
      <c r="X56" s="255"/>
      <c r="Y56" s="256">
        <v>522</v>
      </c>
      <c r="Z56" s="254"/>
      <c r="AA56" s="255"/>
      <c r="AB56" s="255"/>
      <c r="AC56" s="255"/>
      <c r="AD56" s="255"/>
      <c r="AE56" s="256">
        <v>3</v>
      </c>
      <c r="AF56" s="254"/>
      <c r="AG56" s="255"/>
      <c r="AH56" s="254"/>
    </row>
    <row r="57" spans="1:34">
      <c r="A57" s="886"/>
      <c r="B57" s="239" t="s">
        <v>58</v>
      </c>
      <c r="C57" s="624">
        <f t="shared" si="42"/>
        <v>4.2826552462526769E-3</v>
      </c>
      <c r="D57" s="625">
        <f t="shared" si="42"/>
        <v>0</v>
      </c>
      <c r="E57" s="792">
        <f t="shared" si="42"/>
        <v>2.9184247538677918E-2</v>
      </c>
      <c r="F57" s="625">
        <f t="shared" si="42"/>
        <v>0</v>
      </c>
      <c r="G57" s="792">
        <f t="shared" si="42"/>
        <v>0</v>
      </c>
      <c r="H57" s="626">
        <f t="shared" si="42"/>
        <v>0</v>
      </c>
      <c r="I57" s="793">
        <f t="shared" si="42"/>
        <v>1.7547169811320755E-2</v>
      </c>
      <c r="J57" s="624">
        <f t="shared" si="42"/>
        <v>0</v>
      </c>
      <c r="K57" s="625">
        <f t="shared" si="42"/>
        <v>0</v>
      </c>
      <c r="L57" s="625">
        <f t="shared" si="42"/>
        <v>0</v>
      </c>
      <c r="M57" s="625">
        <f t="shared" si="42"/>
        <v>0</v>
      </c>
      <c r="N57" s="624">
        <f t="shared" si="43"/>
        <v>0</v>
      </c>
      <c r="O57" s="624">
        <f t="shared" si="43"/>
        <v>0</v>
      </c>
      <c r="P57" s="625">
        <f t="shared" si="43"/>
        <v>0</v>
      </c>
      <c r="Q57" s="624">
        <f t="shared" si="43"/>
        <v>0</v>
      </c>
      <c r="R57" s="253"/>
      <c r="S57" s="254">
        <v>10</v>
      </c>
      <c r="T57" s="255"/>
      <c r="U57" s="255">
        <v>83</v>
      </c>
      <c r="V57" s="255"/>
      <c r="W57" s="255"/>
      <c r="X57" s="255"/>
      <c r="Y57" s="256">
        <v>93</v>
      </c>
      <c r="Z57" s="254"/>
      <c r="AA57" s="255"/>
      <c r="AB57" s="255"/>
      <c r="AC57" s="255"/>
      <c r="AD57" s="255"/>
      <c r="AE57" s="256"/>
      <c r="AF57" s="254"/>
      <c r="AG57" s="255"/>
      <c r="AH57" s="254"/>
    </row>
    <row r="58" spans="1:34">
      <c r="A58" s="887"/>
      <c r="B58" s="436" t="s">
        <v>59</v>
      </c>
      <c r="C58" s="577">
        <f t="shared" si="42"/>
        <v>1</v>
      </c>
      <c r="D58" s="578">
        <f t="shared" si="42"/>
        <v>0</v>
      </c>
      <c r="E58" s="578">
        <f t="shared" si="42"/>
        <v>1</v>
      </c>
      <c r="F58" s="578">
        <f t="shared" si="42"/>
        <v>1</v>
      </c>
      <c r="G58" s="578">
        <f t="shared" si="42"/>
        <v>0</v>
      </c>
      <c r="H58" s="579">
        <f t="shared" si="42"/>
        <v>0</v>
      </c>
      <c r="I58" s="577">
        <f t="shared" si="42"/>
        <v>1</v>
      </c>
      <c r="J58" s="577">
        <f t="shared" si="42"/>
        <v>0</v>
      </c>
      <c r="K58" s="578">
        <f t="shared" si="42"/>
        <v>0</v>
      </c>
      <c r="L58" s="578">
        <f t="shared" si="42"/>
        <v>0</v>
      </c>
      <c r="M58" s="578">
        <f t="shared" si="42"/>
        <v>0</v>
      </c>
      <c r="N58" s="577">
        <f t="shared" si="43"/>
        <v>1</v>
      </c>
      <c r="O58" s="577">
        <f t="shared" si="43"/>
        <v>0</v>
      </c>
      <c r="P58" s="578">
        <f t="shared" si="43"/>
        <v>0</v>
      </c>
      <c r="Q58" s="577">
        <f t="shared" si="43"/>
        <v>1</v>
      </c>
      <c r="R58" s="264"/>
      <c r="S58" s="265">
        <v>2335</v>
      </c>
      <c r="T58" s="266"/>
      <c r="U58" s="266">
        <v>2844</v>
      </c>
      <c r="V58" s="266">
        <v>121</v>
      </c>
      <c r="W58" s="266"/>
      <c r="X58" s="266"/>
      <c r="Y58" s="267">
        <v>5300</v>
      </c>
      <c r="Z58" s="265"/>
      <c r="AA58" s="266"/>
      <c r="AB58" s="266"/>
      <c r="AC58" s="266"/>
      <c r="AD58" s="266"/>
      <c r="AE58" s="267">
        <v>1620</v>
      </c>
      <c r="AF58" s="265"/>
      <c r="AG58" s="266"/>
      <c r="AH58" s="265">
        <v>170</v>
      </c>
    </row>
    <row r="59" spans="1:34">
      <c r="A59" s="883" t="s">
        <v>9</v>
      </c>
      <c r="B59" s="240" t="s">
        <v>53</v>
      </c>
      <c r="C59" s="613">
        <f t="shared" ref="C59:M65" si="44">IF(S$65&gt;0,(S59/S$65),0)</f>
        <v>0.33229085222830335</v>
      </c>
      <c r="D59" s="614">
        <f t="shared" si="44"/>
        <v>0.23300970873786409</v>
      </c>
      <c r="E59" s="614">
        <f t="shared" si="44"/>
        <v>0.22688274547187798</v>
      </c>
      <c r="F59" s="614">
        <f t="shared" si="44"/>
        <v>0.20772058823529413</v>
      </c>
      <c r="G59" s="614">
        <f t="shared" si="44"/>
        <v>0.12328767123287671</v>
      </c>
      <c r="H59" s="615">
        <f t="shared" si="44"/>
        <v>0.19736842105263158</v>
      </c>
      <c r="I59" s="613">
        <f t="shared" si="44"/>
        <v>0.24825605252359459</v>
      </c>
      <c r="J59" s="613">
        <f t="shared" si="44"/>
        <v>0</v>
      </c>
      <c r="K59" s="614">
        <f t="shared" si="44"/>
        <v>0</v>
      </c>
      <c r="L59" s="614">
        <f t="shared" si="44"/>
        <v>0</v>
      </c>
      <c r="M59" s="614">
        <f t="shared" si="44"/>
        <v>0</v>
      </c>
      <c r="N59" s="613">
        <f t="shared" ref="N59:Q65" si="45">IF(AE$65&gt;0,(AE59/AE$65),0)</f>
        <v>0.13720316622691292</v>
      </c>
      <c r="O59" s="788">
        <f t="shared" si="45"/>
        <v>0</v>
      </c>
      <c r="P59" s="614">
        <f t="shared" si="45"/>
        <v>0</v>
      </c>
      <c r="Q59" s="788">
        <f t="shared" si="45"/>
        <v>3.2500000000000001E-2</v>
      </c>
      <c r="R59" s="244"/>
      <c r="S59" s="245">
        <v>425</v>
      </c>
      <c r="T59" s="246">
        <v>288</v>
      </c>
      <c r="U59" s="246">
        <v>238</v>
      </c>
      <c r="V59" s="246">
        <v>226</v>
      </c>
      <c r="W59" s="246">
        <v>18</v>
      </c>
      <c r="X59" s="246">
        <v>15</v>
      </c>
      <c r="Y59" s="247">
        <v>1210</v>
      </c>
      <c r="Z59" s="245"/>
      <c r="AA59" s="246"/>
      <c r="AB59" s="246"/>
      <c r="AC59" s="246"/>
      <c r="AD59" s="246"/>
      <c r="AE59" s="247">
        <v>156</v>
      </c>
      <c r="AF59" s="245"/>
      <c r="AG59" s="246"/>
      <c r="AH59" s="245">
        <v>13</v>
      </c>
    </row>
    <row r="60" spans="1:34">
      <c r="A60" s="886"/>
      <c r="B60" s="239" t="s">
        <v>93</v>
      </c>
      <c r="C60" s="624">
        <f t="shared" si="44"/>
        <v>0.23690383111806099</v>
      </c>
      <c r="D60" s="625">
        <f t="shared" si="44"/>
        <v>0.27588996763754048</v>
      </c>
      <c r="E60" s="625">
        <f t="shared" si="44"/>
        <v>0.24499523355576741</v>
      </c>
      <c r="F60" s="625">
        <f t="shared" si="44"/>
        <v>0.24264705882352941</v>
      </c>
      <c r="G60" s="625">
        <f t="shared" si="44"/>
        <v>0.16438356164383561</v>
      </c>
      <c r="H60" s="626">
        <f t="shared" si="44"/>
        <v>0.27631578947368424</v>
      </c>
      <c r="I60" s="624">
        <f t="shared" si="44"/>
        <v>0.24825605252359459</v>
      </c>
      <c r="J60" s="624">
        <f t="shared" si="44"/>
        <v>0</v>
      </c>
      <c r="K60" s="625">
        <f t="shared" si="44"/>
        <v>0</v>
      </c>
      <c r="L60" s="625">
        <f t="shared" si="44"/>
        <v>0</v>
      </c>
      <c r="M60" s="625">
        <f t="shared" si="44"/>
        <v>0</v>
      </c>
      <c r="N60" s="624">
        <f t="shared" si="45"/>
        <v>0.15567282321899736</v>
      </c>
      <c r="O60" s="624">
        <f t="shared" si="45"/>
        <v>0</v>
      </c>
      <c r="P60" s="625">
        <f t="shared" si="45"/>
        <v>0</v>
      </c>
      <c r="Q60" s="624">
        <f t="shared" si="45"/>
        <v>2.2499999999999999E-2</v>
      </c>
      <c r="R60" s="253"/>
      <c r="S60" s="254">
        <v>303</v>
      </c>
      <c r="T60" s="255">
        <v>341</v>
      </c>
      <c r="U60" s="255">
        <v>257</v>
      </c>
      <c r="V60" s="255">
        <v>264</v>
      </c>
      <c r="W60" s="255">
        <v>24</v>
      </c>
      <c r="X60" s="255">
        <v>21</v>
      </c>
      <c r="Y60" s="256">
        <v>1210</v>
      </c>
      <c r="Z60" s="254"/>
      <c r="AA60" s="255"/>
      <c r="AB60" s="255"/>
      <c r="AC60" s="255"/>
      <c r="AD60" s="255"/>
      <c r="AE60" s="256">
        <v>177</v>
      </c>
      <c r="AF60" s="254"/>
      <c r="AG60" s="255"/>
      <c r="AH60" s="254">
        <v>9</v>
      </c>
    </row>
    <row r="61" spans="1:34">
      <c r="A61" s="886"/>
      <c r="B61" s="239" t="s">
        <v>55</v>
      </c>
      <c r="C61" s="624">
        <f t="shared" si="44"/>
        <v>0.21970289288506645</v>
      </c>
      <c r="D61" s="625">
        <f t="shared" si="44"/>
        <v>0.22411003236245955</v>
      </c>
      <c r="E61" s="625">
        <f t="shared" si="44"/>
        <v>0.19542421353670161</v>
      </c>
      <c r="F61" s="625">
        <f t="shared" si="44"/>
        <v>0.32904411764705882</v>
      </c>
      <c r="G61" s="625">
        <f t="shared" si="44"/>
        <v>0.43835616438356162</v>
      </c>
      <c r="H61" s="626">
        <f t="shared" si="44"/>
        <v>0.35526315789473684</v>
      </c>
      <c r="I61" s="624">
        <f t="shared" si="44"/>
        <v>0.24866639310627822</v>
      </c>
      <c r="J61" s="624">
        <f t="shared" si="44"/>
        <v>0</v>
      </c>
      <c r="K61" s="625">
        <f t="shared" si="44"/>
        <v>0</v>
      </c>
      <c r="L61" s="625">
        <f t="shared" si="44"/>
        <v>0</v>
      </c>
      <c r="M61" s="625">
        <f t="shared" si="44"/>
        <v>0</v>
      </c>
      <c r="N61" s="624">
        <f t="shared" si="45"/>
        <v>0.20228671943711521</v>
      </c>
      <c r="O61" s="624">
        <f t="shared" si="45"/>
        <v>0</v>
      </c>
      <c r="P61" s="625">
        <f t="shared" si="45"/>
        <v>0</v>
      </c>
      <c r="Q61" s="624">
        <f t="shared" si="45"/>
        <v>3.7499999999999999E-2</v>
      </c>
      <c r="R61" s="253"/>
      <c r="S61" s="254">
        <v>281</v>
      </c>
      <c r="T61" s="255">
        <v>277</v>
      </c>
      <c r="U61" s="255">
        <v>205</v>
      </c>
      <c r="V61" s="255">
        <v>358</v>
      </c>
      <c r="W61" s="255">
        <v>64</v>
      </c>
      <c r="X61" s="255">
        <v>27</v>
      </c>
      <c r="Y61" s="256">
        <v>1212</v>
      </c>
      <c r="Z61" s="254"/>
      <c r="AA61" s="255"/>
      <c r="AB61" s="255"/>
      <c r="AC61" s="255"/>
      <c r="AD61" s="255"/>
      <c r="AE61" s="256">
        <v>230</v>
      </c>
      <c r="AF61" s="254"/>
      <c r="AG61" s="255"/>
      <c r="AH61" s="254">
        <v>15</v>
      </c>
    </row>
    <row r="62" spans="1:34">
      <c r="A62" s="886"/>
      <c r="B62" s="239" t="s">
        <v>78</v>
      </c>
      <c r="C62" s="624">
        <f t="shared" si="44"/>
        <v>0.19311962470680219</v>
      </c>
      <c r="D62" s="625">
        <f t="shared" si="44"/>
        <v>0.24271844660194175</v>
      </c>
      <c r="E62" s="625">
        <f t="shared" si="44"/>
        <v>0.31458531935176359</v>
      </c>
      <c r="F62" s="625">
        <f t="shared" si="44"/>
        <v>0.19393382352941177</v>
      </c>
      <c r="G62" s="625">
        <f t="shared" si="44"/>
        <v>0.27397260273972601</v>
      </c>
      <c r="H62" s="626">
        <f t="shared" si="44"/>
        <v>0.17105263157894737</v>
      </c>
      <c r="I62" s="624">
        <f t="shared" si="44"/>
        <v>0.23409930242100943</v>
      </c>
      <c r="J62" s="624">
        <f t="shared" si="44"/>
        <v>0</v>
      </c>
      <c r="K62" s="625">
        <f t="shared" si="44"/>
        <v>0</v>
      </c>
      <c r="L62" s="625">
        <f t="shared" si="44"/>
        <v>0</v>
      </c>
      <c r="M62" s="625">
        <f t="shared" si="44"/>
        <v>0</v>
      </c>
      <c r="N62" s="624">
        <f t="shared" si="45"/>
        <v>0.48988566402814426</v>
      </c>
      <c r="O62" s="624">
        <f t="shared" si="45"/>
        <v>0</v>
      </c>
      <c r="P62" s="625">
        <f t="shared" si="45"/>
        <v>0</v>
      </c>
      <c r="Q62" s="624">
        <f t="shared" si="45"/>
        <v>0.67500000000000004</v>
      </c>
      <c r="R62" s="253"/>
      <c r="S62" s="254">
        <v>247</v>
      </c>
      <c r="T62" s="255">
        <v>300</v>
      </c>
      <c r="U62" s="255">
        <v>330</v>
      </c>
      <c r="V62" s="255">
        <v>211</v>
      </c>
      <c r="W62" s="255">
        <v>40</v>
      </c>
      <c r="X62" s="255">
        <v>13</v>
      </c>
      <c r="Y62" s="256">
        <v>1141</v>
      </c>
      <c r="Z62" s="254"/>
      <c r="AA62" s="255"/>
      <c r="AB62" s="255"/>
      <c r="AC62" s="255"/>
      <c r="AD62" s="255"/>
      <c r="AE62" s="256">
        <v>557</v>
      </c>
      <c r="AF62" s="254"/>
      <c r="AG62" s="255"/>
      <c r="AH62" s="254">
        <v>270</v>
      </c>
    </row>
    <row r="63" spans="1:34">
      <c r="A63" s="886"/>
      <c r="B63" s="239" t="s">
        <v>32</v>
      </c>
      <c r="C63" s="624">
        <f t="shared" si="44"/>
        <v>1.7982799061767005E-2</v>
      </c>
      <c r="D63" s="625">
        <f t="shared" si="44"/>
        <v>2.0226537216828478E-2</v>
      </c>
      <c r="E63" s="625">
        <f t="shared" si="44"/>
        <v>1.8112488083889419E-2</v>
      </c>
      <c r="F63" s="790">
        <f t="shared" si="44"/>
        <v>1.8382352941176471E-2</v>
      </c>
      <c r="G63" s="625">
        <f t="shared" si="44"/>
        <v>0</v>
      </c>
      <c r="H63" s="626">
        <f t="shared" si="44"/>
        <v>0</v>
      </c>
      <c r="I63" s="624">
        <f t="shared" si="44"/>
        <v>1.7849815346737793E-2</v>
      </c>
      <c r="J63" s="624">
        <f t="shared" si="44"/>
        <v>0</v>
      </c>
      <c r="K63" s="625">
        <f t="shared" si="44"/>
        <v>0</v>
      </c>
      <c r="L63" s="625">
        <f t="shared" si="44"/>
        <v>0</v>
      </c>
      <c r="M63" s="625">
        <f t="shared" si="44"/>
        <v>0</v>
      </c>
      <c r="N63" s="624">
        <f t="shared" si="45"/>
        <v>8.7950747581354446E-4</v>
      </c>
      <c r="O63" s="624">
        <f t="shared" si="45"/>
        <v>0</v>
      </c>
      <c r="P63" s="625">
        <f t="shared" si="45"/>
        <v>0</v>
      </c>
      <c r="Q63" s="791">
        <f t="shared" si="45"/>
        <v>5.0000000000000001E-3</v>
      </c>
      <c r="R63" s="253"/>
      <c r="S63" s="254">
        <v>23</v>
      </c>
      <c r="T63" s="255">
        <v>25</v>
      </c>
      <c r="U63" s="255">
        <v>19</v>
      </c>
      <c r="V63" s="255">
        <v>20</v>
      </c>
      <c r="W63" s="255"/>
      <c r="X63" s="255"/>
      <c r="Y63" s="256">
        <v>87</v>
      </c>
      <c r="Z63" s="254"/>
      <c r="AA63" s="255"/>
      <c r="AB63" s="255"/>
      <c r="AC63" s="255"/>
      <c r="AD63" s="255"/>
      <c r="AE63" s="256">
        <v>1</v>
      </c>
      <c r="AF63" s="254"/>
      <c r="AG63" s="255"/>
      <c r="AH63" s="254">
        <v>2</v>
      </c>
    </row>
    <row r="64" spans="1:34">
      <c r="A64" s="886"/>
      <c r="B64" s="239" t="s">
        <v>58</v>
      </c>
      <c r="C64" s="624">
        <f t="shared" si="44"/>
        <v>0</v>
      </c>
      <c r="D64" s="625">
        <f t="shared" si="44"/>
        <v>4.0453074433656954E-3</v>
      </c>
      <c r="E64" s="625">
        <f t="shared" si="44"/>
        <v>0</v>
      </c>
      <c r="F64" s="790">
        <f t="shared" si="44"/>
        <v>8.2720588235294119E-3</v>
      </c>
      <c r="G64" s="792">
        <f t="shared" si="44"/>
        <v>0</v>
      </c>
      <c r="H64" s="626">
        <f t="shared" si="44"/>
        <v>0</v>
      </c>
      <c r="I64" s="624">
        <f t="shared" si="44"/>
        <v>2.8723840787853918E-3</v>
      </c>
      <c r="J64" s="624">
        <f t="shared" si="44"/>
        <v>0</v>
      </c>
      <c r="K64" s="625">
        <f t="shared" si="44"/>
        <v>0</v>
      </c>
      <c r="L64" s="625">
        <f t="shared" si="44"/>
        <v>0</v>
      </c>
      <c r="M64" s="625">
        <f t="shared" si="44"/>
        <v>0</v>
      </c>
      <c r="N64" s="624">
        <f t="shared" si="45"/>
        <v>1.4072119613016711E-2</v>
      </c>
      <c r="O64" s="624">
        <f t="shared" si="45"/>
        <v>0</v>
      </c>
      <c r="P64" s="625">
        <f t="shared" si="45"/>
        <v>0</v>
      </c>
      <c r="Q64" s="624">
        <f t="shared" si="45"/>
        <v>0.22750000000000001</v>
      </c>
      <c r="R64" s="253"/>
      <c r="S64" s="254"/>
      <c r="T64" s="255">
        <v>5</v>
      </c>
      <c r="U64" s="255"/>
      <c r="V64" s="255">
        <v>9</v>
      </c>
      <c r="W64" s="255"/>
      <c r="X64" s="255"/>
      <c r="Y64" s="256">
        <v>14</v>
      </c>
      <c r="Z64" s="254"/>
      <c r="AA64" s="255"/>
      <c r="AB64" s="255"/>
      <c r="AC64" s="255"/>
      <c r="AD64" s="255"/>
      <c r="AE64" s="256">
        <v>16</v>
      </c>
      <c r="AF64" s="254"/>
      <c r="AG64" s="255"/>
      <c r="AH64" s="254">
        <v>91</v>
      </c>
    </row>
    <row r="65" spans="1:34">
      <c r="A65" s="887"/>
      <c r="B65" s="436" t="s">
        <v>59</v>
      </c>
      <c r="C65" s="577">
        <f t="shared" si="44"/>
        <v>1</v>
      </c>
      <c r="D65" s="578">
        <f t="shared" si="44"/>
        <v>1</v>
      </c>
      <c r="E65" s="578">
        <f t="shared" si="44"/>
        <v>1</v>
      </c>
      <c r="F65" s="578">
        <f t="shared" si="44"/>
        <v>1</v>
      </c>
      <c r="G65" s="578">
        <f t="shared" si="44"/>
        <v>1</v>
      </c>
      <c r="H65" s="579">
        <f t="shared" si="44"/>
        <v>1</v>
      </c>
      <c r="I65" s="577">
        <f t="shared" si="44"/>
        <v>1</v>
      </c>
      <c r="J65" s="577">
        <f t="shared" si="44"/>
        <v>0</v>
      </c>
      <c r="K65" s="578">
        <f t="shared" si="44"/>
        <v>0</v>
      </c>
      <c r="L65" s="578">
        <f t="shared" si="44"/>
        <v>0</v>
      </c>
      <c r="M65" s="578">
        <f t="shared" si="44"/>
        <v>0</v>
      </c>
      <c r="N65" s="577">
        <f t="shared" si="45"/>
        <v>1</v>
      </c>
      <c r="O65" s="577">
        <f t="shared" si="45"/>
        <v>0</v>
      </c>
      <c r="P65" s="578">
        <f t="shared" si="45"/>
        <v>0</v>
      </c>
      <c r="Q65" s="577">
        <f t="shared" si="45"/>
        <v>1</v>
      </c>
      <c r="R65" s="264"/>
      <c r="S65" s="265">
        <v>1279</v>
      </c>
      <c r="T65" s="266">
        <v>1236</v>
      </c>
      <c r="U65" s="266">
        <v>1049</v>
      </c>
      <c r="V65" s="266">
        <v>1088</v>
      </c>
      <c r="W65" s="266">
        <v>146</v>
      </c>
      <c r="X65" s="266">
        <v>76</v>
      </c>
      <c r="Y65" s="267">
        <v>4874</v>
      </c>
      <c r="Z65" s="265"/>
      <c r="AA65" s="266"/>
      <c r="AB65" s="266"/>
      <c r="AC65" s="266"/>
      <c r="AD65" s="266"/>
      <c r="AE65" s="267">
        <v>1137</v>
      </c>
      <c r="AF65" s="265"/>
      <c r="AG65" s="266"/>
      <c r="AH65" s="265">
        <v>400</v>
      </c>
    </row>
    <row r="66" spans="1:34">
      <c r="A66" s="883" t="s">
        <v>10</v>
      </c>
      <c r="B66" s="240" t="s">
        <v>53</v>
      </c>
      <c r="C66" s="613">
        <f t="shared" ref="C66:M72" si="46">IF(S$72&gt;0,(S66/S$72),0)</f>
        <v>0.38113623827909543</v>
      </c>
      <c r="D66" s="614">
        <f t="shared" si="46"/>
        <v>0.2398286937901499</v>
      </c>
      <c r="E66" s="614">
        <f t="shared" si="46"/>
        <v>0.22587968217934165</v>
      </c>
      <c r="F66" s="614">
        <f t="shared" si="46"/>
        <v>0.23722349351639971</v>
      </c>
      <c r="G66" s="614">
        <f t="shared" si="46"/>
        <v>0.171875</v>
      </c>
      <c r="H66" s="615">
        <f t="shared" si="46"/>
        <v>0.33561643835616439</v>
      </c>
      <c r="I66" s="613">
        <f t="shared" si="46"/>
        <v>0.28697487051601767</v>
      </c>
      <c r="J66" s="613">
        <f t="shared" si="46"/>
        <v>0</v>
      </c>
      <c r="K66" s="614">
        <f t="shared" si="46"/>
        <v>0</v>
      </c>
      <c r="L66" s="614">
        <f t="shared" si="46"/>
        <v>0</v>
      </c>
      <c r="M66" s="614">
        <f t="shared" si="46"/>
        <v>0</v>
      </c>
      <c r="N66" s="613">
        <f t="shared" ref="N66:Q72" si="47">IF(AE$72&gt;0,(AE66/AE$72),0)</f>
        <v>0.31747919143876335</v>
      </c>
      <c r="O66" s="788">
        <f t="shared" si="47"/>
        <v>0</v>
      </c>
      <c r="P66" s="614">
        <f t="shared" si="47"/>
        <v>0</v>
      </c>
      <c r="Q66" s="788">
        <f t="shared" si="47"/>
        <v>0</v>
      </c>
      <c r="R66" s="244"/>
      <c r="S66" s="245">
        <v>691</v>
      </c>
      <c r="T66" s="246">
        <v>224</v>
      </c>
      <c r="U66" s="246">
        <v>199</v>
      </c>
      <c r="V66" s="246">
        <v>311</v>
      </c>
      <c r="W66" s="246">
        <v>22</v>
      </c>
      <c r="X66" s="246">
        <v>49</v>
      </c>
      <c r="Y66" s="247">
        <v>1496</v>
      </c>
      <c r="Z66" s="245"/>
      <c r="AA66" s="246"/>
      <c r="AB66" s="246"/>
      <c r="AC66" s="246"/>
      <c r="AD66" s="246"/>
      <c r="AE66" s="247">
        <v>801</v>
      </c>
      <c r="AF66" s="245"/>
      <c r="AG66" s="246"/>
      <c r="AH66" s="245"/>
    </row>
    <row r="67" spans="1:34">
      <c r="A67" s="886"/>
      <c r="B67" s="239" t="s">
        <v>93</v>
      </c>
      <c r="C67" s="624">
        <f t="shared" si="46"/>
        <v>0.24434638720353005</v>
      </c>
      <c r="D67" s="625">
        <f t="shared" si="46"/>
        <v>0.31049250535331907</v>
      </c>
      <c r="E67" s="625">
        <f t="shared" si="46"/>
        <v>0.25652667423382519</v>
      </c>
      <c r="F67" s="625">
        <f t="shared" si="46"/>
        <v>0.2791762013729977</v>
      </c>
      <c r="G67" s="625">
        <f t="shared" si="46"/>
        <v>0.3046875</v>
      </c>
      <c r="H67" s="626">
        <f t="shared" si="46"/>
        <v>0.32876712328767121</v>
      </c>
      <c r="I67" s="624">
        <f t="shared" si="46"/>
        <v>0.27086130826779203</v>
      </c>
      <c r="J67" s="624">
        <f t="shared" si="46"/>
        <v>0</v>
      </c>
      <c r="K67" s="625">
        <f t="shared" si="46"/>
        <v>0</v>
      </c>
      <c r="L67" s="625">
        <f t="shared" si="46"/>
        <v>0</v>
      </c>
      <c r="M67" s="625">
        <f t="shared" si="46"/>
        <v>0</v>
      </c>
      <c r="N67" s="624">
        <f t="shared" si="47"/>
        <v>0.28418549346016647</v>
      </c>
      <c r="O67" s="624">
        <f t="shared" si="47"/>
        <v>0</v>
      </c>
      <c r="P67" s="625">
        <f t="shared" si="47"/>
        <v>0</v>
      </c>
      <c r="Q67" s="624">
        <f t="shared" si="47"/>
        <v>0</v>
      </c>
      <c r="R67" s="253"/>
      <c r="S67" s="254">
        <v>443</v>
      </c>
      <c r="T67" s="255">
        <v>290</v>
      </c>
      <c r="U67" s="255">
        <v>226</v>
      </c>
      <c r="V67" s="255">
        <v>366</v>
      </c>
      <c r="W67" s="255">
        <v>39</v>
      </c>
      <c r="X67" s="255">
        <v>48</v>
      </c>
      <c r="Y67" s="256">
        <v>1412</v>
      </c>
      <c r="Z67" s="254"/>
      <c r="AA67" s="255"/>
      <c r="AB67" s="255"/>
      <c r="AC67" s="255"/>
      <c r="AD67" s="255"/>
      <c r="AE67" s="256">
        <v>717</v>
      </c>
      <c r="AF67" s="254"/>
      <c r="AG67" s="255"/>
      <c r="AH67" s="254"/>
    </row>
    <row r="68" spans="1:34">
      <c r="A68" s="886"/>
      <c r="B68" s="239" t="s">
        <v>55</v>
      </c>
      <c r="C68" s="624">
        <f t="shared" si="46"/>
        <v>0.21125206839492552</v>
      </c>
      <c r="D68" s="625">
        <f t="shared" si="46"/>
        <v>0.22376873661670235</v>
      </c>
      <c r="E68" s="625">
        <f t="shared" si="46"/>
        <v>0.2667423382519864</v>
      </c>
      <c r="F68" s="625">
        <f t="shared" si="46"/>
        <v>0.28375286041189929</v>
      </c>
      <c r="G68" s="625">
        <f t="shared" si="46"/>
        <v>0.4375</v>
      </c>
      <c r="H68" s="626">
        <f t="shared" si="46"/>
        <v>0.32191780821917809</v>
      </c>
      <c r="I68" s="624">
        <f t="shared" si="46"/>
        <v>0.24976021484749664</v>
      </c>
      <c r="J68" s="624">
        <f t="shared" si="46"/>
        <v>0</v>
      </c>
      <c r="K68" s="625">
        <f t="shared" si="46"/>
        <v>0</v>
      </c>
      <c r="L68" s="625">
        <f t="shared" si="46"/>
        <v>0</v>
      </c>
      <c r="M68" s="625">
        <f t="shared" si="46"/>
        <v>0</v>
      </c>
      <c r="N68" s="624">
        <f t="shared" si="47"/>
        <v>0.30677764565992865</v>
      </c>
      <c r="O68" s="624">
        <f t="shared" si="47"/>
        <v>0</v>
      </c>
      <c r="P68" s="625">
        <f t="shared" si="47"/>
        <v>0</v>
      </c>
      <c r="Q68" s="624">
        <f t="shared" si="47"/>
        <v>0</v>
      </c>
      <c r="R68" s="253"/>
      <c r="S68" s="254">
        <v>383</v>
      </c>
      <c r="T68" s="255">
        <v>209</v>
      </c>
      <c r="U68" s="255">
        <v>235</v>
      </c>
      <c r="V68" s="255">
        <v>372</v>
      </c>
      <c r="W68" s="255">
        <v>56</v>
      </c>
      <c r="X68" s="255">
        <v>47</v>
      </c>
      <c r="Y68" s="256">
        <v>1302</v>
      </c>
      <c r="Z68" s="254"/>
      <c r="AA68" s="255"/>
      <c r="AB68" s="255"/>
      <c r="AC68" s="255"/>
      <c r="AD68" s="255"/>
      <c r="AE68" s="256">
        <v>774</v>
      </c>
      <c r="AF68" s="254"/>
      <c r="AG68" s="255"/>
      <c r="AH68" s="254"/>
    </row>
    <row r="69" spans="1:34">
      <c r="A69" s="886"/>
      <c r="B69" s="239" t="s">
        <v>78</v>
      </c>
      <c r="C69" s="624">
        <f t="shared" si="46"/>
        <v>4.9641478212906782E-3</v>
      </c>
      <c r="D69" s="625">
        <f t="shared" si="46"/>
        <v>1.7130620985010708E-2</v>
      </c>
      <c r="E69" s="625">
        <f t="shared" si="46"/>
        <v>1.70261066969353E-2</v>
      </c>
      <c r="F69" s="625">
        <f t="shared" si="46"/>
        <v>1.6018306636155607E-2</v>
      </c>
      <c r="G69" s="625">
        <f t="shared" si="46"/>
        <v>8.59375E-2</v>
      </c>
      <c r="H69" s="626">
        <f t="shared" si="46"/>
        <v>6.8493150684931503E-3</v>
      </c>
      <c r="I69" s="624">
        <f t="shared" si="46"/>
        <v>1.4003452906196048E-2</v>
      </c>
      <c r="J69" s="624">
        <f t="shared" si="46"/>
        <v>0</v>
      </c>
      <c r="K69" s="625">
        <f t="shared" si="46"/>
        <v>0</v>
      </c>
      <c r="L69" s="625">
        <f t="shared" si="46"/>
        <v>0</v>
      </c>
      <c r="M69" s="625">
        <f t="shared" si="46"/>
        <v>0</v>
      </c>
      <c r="N69" s="624">
        <f t="shared" si="47"/>
        <v>7.5307173999207291E-2</v>
      </c>
      <c r="O69" s="624">
        <f t="shared" si="47"/>
        <v>0</v>
      </c>
      <c r="P69" s="625">
        <f t="shared" si="47"/>
        <v>0</v>
      </c>
      <c r="Q69" s="624">
        <f t="shared" si="47"/>
        <v>0</v>
      </c>
      <c r="R69" s="253"/>
      <c r="S69" s="254">
        <v>9</v>
      </c>
      <c r="T69" s="255">
        <v>16</v>
      </c>
      <c r="U69" s="255">
        <v>15</v>
      </c>
      <c r="V69" s="255">
        <v>21</v>
      </c>
      <c r="W69" s="255">
        <v>11</v>
      </c>
      <c r="X69" s="255">
        <v>1</v>
      </c>
      <c r="Y69" s="256">
        <v>73</v>
      </c>
      <c r="Z69" s="254"/>
      <c r="AA69" s="255"/>
      <c r="AB69" s="255"/>
      <c r="AC69" s="255"/>
      <c r="AD69" s="255"/>
      <c r="AE69" s="256">
        <v>190</v>
      </c>
      <c r="AF69" s="254"/>
      <c r="AG69" s="255"/>
      <c r="AH69" s="254"/>
    </row>
    <row r="70" spans="1:34">
      <c r="A70" s="886"/>
      <c r="B70" s="239" t="s">
        <v>32</v>
      </c>
      <c r="C70" s="624">
        <f t="shared" si="46"/>
        <v>0.15830115830115829</v>
      </c>
      <c r="D70" s="625">
        <f t="shared" si="46"/>
        <v>0.20877944325481798</v>
      </c>
      <c r="E70" s="625">
        <f t="shared" si="46"/>
        <v>0.23382519863791146</v>
      </c>
      <c r="F70" s="625">
        <f t="shared" si="46"/>
        <v>0.18306636155606407</v>
      </c>
      <c r="G70" s="625">
        <f t="shared" si="46"/>
        <v>0</v>
      </c>
      <c r="H70" s="626">
        <f t="shared" si="46"/>
        <v>6.8493150684931503E-3</v>
      </c>
      <c r="I70" s="624">
        <f t="shared" si="46"/>
        <v>0.17820832534049491</v>
      </c>
      <c r="J70" s="624">
        <f t="shared" si="46"/>
        <v>0</v>
      </c>
      <c r="K70" s="625">
        <f t="shared" si="46"/>
        <v>0</v>
      </c>
      <c r="L70" s="625">
        <f t="shared" si="46"/>
        <v>0</v>
      </c>
      <c r="M70" s="790">
        <f t="shared" si="46"/>
        <v>0</v>
      </c>
      <c r="N70" s="791">
        <f t="shared" si="47"/>
        <v>3.9635354736424893E-4</v>
      </c>
      <c r="O70" s="624">
        <f t="shared" si="47"/>
        <v>0</v>
      </c>
      <c r="P70" s="625">
        <f t="shared" si="47"/>
        <v>0</v>
      </c>
      <c r="Q70" s="624">
        <f t="shared" si="47"/>
        <v>0</v>
      </c>
      <c r="R70" s="253"/>
      <c r="S70" s="254">
        <v>287</v>
      </c>
      <c r="T70" s="255">
        <v>195</v>
      </c>
      <c r="U70" s="255">
        <v>206</v>
      </c>
      <c r="V70" s="255">
        <v>240</v>
      </c>
      <c r="W70" s="255"/>
      <c r="X70" s="255">
        <v>1</v>
      </c>
      <c r="Y70" s="256">
        <v>929</v>
      </c>
      <c r="Z70" s="254"/>
      <c r="AA70" s="255"/>
      <c r="AB70" s="255"/>
      <c r="AC70" s="255"/>
      <c r="AD70" s="255"/>
      <c r="AE70" s="256">
        <v>1</v>
      </c>
      <c r="AF70" s="254"/>
      <c r="AG70" s="255"/>
      <c r="AH70" s="254"/>
    </row>
    <row r="71" spans="1:34">
      <c r="A71" s="886"/>
      <c r="B71" s="239" t="s">
        <v>58</v>
      </c>
      <c r="C71" s="624">
        <f t="shared" si="46"/>
        <v>0</v>
      </c>
      <c r="D71" s="625">
        <f t="shared" si="46"/>
        <v>0</v>
      </c>
      <c r="E71" s="792">
        <f t="shared" si="46"/>
        <v>0</v>
      </c>
      <c r="F71" s="625">
        <f t="shared" si="46"/>
        <v>7.6277650648360034E-4</v>
      </c>
      <c r="G71" s="792">
        <f t="shared" si="46"/>
        <v>0</v>
      </c>
      <c r="H71" s="626">
        <f t="shared" si="46"/>
        <v>0</v>
      </c>
      <c r="I71" s="793">
        <f t="shared" si="46"/>
        <v>1.918281220026856E-4</v>
      </c>
      <c r="J71" s="624">
        <f t="shared" si="46"/>
        <v>0</v>
      </c>
      <c r="K71" s="625">
        <f t="shared" si="46"/>
        <v>0</v>
      </c>
      <c r="L71" s="625">
        <f t="shared" si="46"/>
        <v>0</v>
      </c>
      <c r="M71" s="625">
        <f t="shared" si="46"/>
        <v>0</v>
      </c>
      <c r="N71" s="624">
        <f t="shared" si="47"/>
        <v>1.5854141894569955E-2</v>
      </c>
      <c r="O71" s="624">
        <f t="shared" si="47"/>
        <v>0</v>
      </c>
      <c r="P71" s="625">
        <f t="shared" si="47"/>
        <v>0</v>
      </c>
      <c r="Q71" s="624">
        <f t="shared" si="47"/>
        <v>0</v>
      </c>
      <c r="R71" s="253"/>
      <c r="S71" s="254"/>
      <c r="T71" s="255"/>
      <c r="U71" s="255"/>
      <c r="V71" s="255">
        <v>1</v>
      </c>
      <c r="W71" s="255"/>
      <c r="X71" s="255"/>
      <c r="Y71" s="256">
        <v>1</v>
      </c>
      <c r="Z71" s="254"/>
      <c r="AA71" s="255"/>
      <c r="AB71" s="255"/>
      <c r="AC71" s="255"/>
      <c r="AD71" s="255"/>
      <c r="AE71" s="256">
        <v>40</v>
      </c>
      <c r="AF71" s="254"/>
      <c r="AG71" s="255"/>
      <c r="AH71" s="254"/>
    </row>
    <row r="72" spans="1:34">
      <c r="A72" s="887"/>
      <c r="B72" s="436" t="s">
        <v>59</v>
      </c>
      <c r="C72" s="577">
        <f t="shared" si="46"/>
        <v>1</v>
      </c>
      <c r="D72" s="578">
        <f t="shared" si="46"/>
        <v>1</v>
      </c>
      <c r="E72" s="578">
        <f t="shared" si="46"/>
        <v>1</v>
      </c>
      <c r="F72" s="578">
        <f t="shared" si="46"/>
        <v>1</v>
      </c>
      <c r="G72" s="578">
        <f t="shared" si="46"/>
        <v>1</v>
      </c>
      <c r="H72" s="579">
        <f t="shared" si="46"/>
        <v>1</v>
      </c>
      <c r="I72" s="577">
        <f t="shared" si="46"/>
        <v>1</v>
      </c>
      <c r="J72" s="577">
        <f t="shared" si="46"/>
        <v>0</v>
      </c>
      <c r="K72" s="578">
        <f t="shared" si="46"/>
        <v>0</v>
      </c>
      <c r="L72" s="578">
        <f t="shared" si="46"/>
        <v>0</v>
      </c>
      <c r="M72" s="578">
        <f t="shared" si="46"/>
        <v>0</v>
      </c>
      <c r="N72" s="577">
        <f t="shared" si="47"/>
        <v>1</v>
      </c>
      <c r="O72" s="577">
        <f t="shared" si="47"/>
        <v>0</v>
      </c>
      <c r="P72" s="578">
        <f t="shared" si="47"/>
        <v>0</v>
      </c>
      <c r="Q72" s="577">
        <f t="shared" si="47"/>
        <v>0</v>
      </c>
      <c r="R72" s="264"/>
      <c r="S72" s="265">
        <v>1813</v>
      </c>
      <c r="T72" s="266">
        <v>934</v>
      </c>
      <c r="U72" s="266">
        <v>881</v>
      </c>
      <c r="V72" s="266">
        <v>1311</v>
      </c>
      <c r="W72" s="266">
        <v>128</v>
      </c>
      <c r="X72" s="266">
        <v>146</v>
      </c>
      <c r="Y72" s="267">
        <v>5213</v>
      </c>
      <c r="Z72" s="265"/>
      <c r="AA72" s="266"/>
      <c r="AB72" s="266"/>
      <c r="AC72" s="266"/>
      <c r="AD72" s="266"/>
      <c r="AE72" s="267">
        <v>2523</v>
      </c>
      <c r="AF72" s="265"/>
      <c r="AG72" s="266"/>
      <c r="AH72" s="265"/>
    </row>
    <row r="73" spans="1:34">
      <c r="A73" s="883" t="s">
        <v>11</v>
      </c>
      <c r="B73" s="240" t="s">
        <v>53</v>
      </c>
      <c r="C73" s="613">
        <f t="shared" ref="C73:M79" si="48">IF(S$79&gt;0,(S73/S$79),0)</f>
        <v>0.22796352583586627</v>
      </c>
      <c r="D73" s="614">
        <f t="shared" si="48"/>
        <v>0.21807747489239598</v>
      </c>
      <c r="E73" s="614">
        <f t="shared" si="48"/>
        <v>0</v>
      </c>
      <c r="F73" s="614">
        <f t="shared" si="48"/>
        <v>0.16590909090909092</v>
      </c>
      <c r="G73" s="614">
        <f t="shared" si="48"/>
        <v>0.25547445255474455</v>
      </c>
      <c r="H73" s="615">
        <f t="shared" si="48"/>
        <v>0</v>
      </c>
      <c r="I73" s="613">
        <f t="shared" si="48"/>
        <v>0.21764380530973451</v>
      </c>
      <c r="J73" s="613">
        <f t="shared" si="48"/>
        <v>0</v>
      </c>
      <c r="K73" s="614">
        <f t="shared" si="48"/>
        <v>0</v>
      </c>
      <c r="L73" s="614">
        <f t="shared" si="48"/>
        <v>0</v>
      </c>
      <c r="M73" s="614">
        <f t="shared" si="48"/>
        <v>0</v>
      </c>
      <c r="N73" s="613">
        <f t="shared" ref="N73:Q79" si="49">IF(AE$79&gt;0,(AE73/AE$79),0)</f>
        <v>0</v>
      </c>
      <c r="O73" s="788">
        <f t="shared" si="49"/>
        <v>0</v>
      </c>
      <c r="P73" s="614">
        <f t="shared" si="49"/>
        <v>0</v>
      </c>
      <c r="Q73" s="788">
        <f t="shared" si="49"/>
        <v>0</v>
      </c>
      <c r="R73" s="244"/>
      <c r="S73" s="245">
        <v>375</v>
      </c>
      <c r="T73" s="246">
        <v>304</v>
      </c>
      <c r="U73" s="246"/>
      <c r="V73" s="246">
        <v>73</v>
      </c>
      <c r="W73" s="246">
        <v>35</v>
      </c>
      <c r="X73" s="246"/>
      <c r="Y73" s="247">
        <v>787</v>
      </c>
      <c r="Z73" s="245"/>
      <c r="AA73" s="246"/>
      <c r="AB73" s="246"/>
      <c r="AC73" s="246"/>
      <c r="AD73" s="246"/>
      <c r="AE73" s="247"/>
      <c r="AF73" s="245"/>
      <c r="AG73" s="246"/>
      <c r="AH73" s="245"/>
    </row>
    <row r="74" spans="1:34">
      <c r="A74" s="886"/>
      <c r="B74" s="239" t="s">
        <v>93</v>
      </c>
      <c r="C74" s="624">
        <f t="shared" si="48"/>
        <v>0.27477203647416415</v>
      </c>
      <c r="D74" s="625">
        <f t="shared" si="48"/>
        <v>0.27259684361549497</v>
      </c>
      <c r="E74" s="625">
        <f t="shared" si="48"/>
        <v>0</v>
      </c>
      <c r="F74" s="625">
        <f t="shared" si="48"/>
        <v>0.22045454545454546</v>
      </c>
      <c r="G74" s="625">
        <f t="shared" si="48"/>
        <v>0.16788321167883211</v>
      </c>
      <c r="H74" s="626">
        <f t="shared" si="48"/>
        <v>0</v>
      </c>
      <c r="I74" s="624">
        <f t="shared" si="48"/>
        <v>0.26327433628318586</v>
      </c>
      <c r="J74" s="624">
        <f t="shared" si="48"/>
        <v>0</v>
      </c>
      <c r="K74" s="625">
        <f t="shared" si="48"/>
        <v>0</v>
      </c>
      <c r="L74" s="625">
        <f t="shared" si="48"/>
        <v>0</v>
      </c>
      <c r="M74" s="625">
        <f t="shared" si="48"/>
        <v>0</v>
      </c>
      <c r="N74" s="624">
        <f t="shared" si="49"/>
        <v>0</v>
      </c>
      <c r="O74" s="624">
        <f t="shared" si="49"/>
        <v>0</v>
      </c>
      <c r="P74" s="625">
        <f t="shared" si="49"/>
        <v>0</v>
      </c>
      <c r="Q74" s="624">
        <f t="shared" si="49"/>
        <v>0</v>
      </c>
      <c r="R74" s="253"/>
      <c r="S74" s="254">
        <v>452</v>
      </c>
      <c r="T74" s="255">
        <v>380</v>
      </c>
      <c r="U74" s="255"/>
      <c r="V74" s="255">
        <v>97</v>
      </c>
      <c r="W74" s="255">
        <v>23</v>
      </c>
      <c r="X74" s="255"/>
      <c r="Y74" s="256">
        <v>952</v>
      </c>
      <c r="Z74" s="254"/>
      <c r="AA74" s="255"/>
      <c r="AB74" s="255"/>
      <c r="AC74" s="255"/>
      <c r="AD74" s="255"/>
      <c r="AE74" s="256"/>
      <c r="AF74" s="254"/>
      <c r="AG74" s="255"/>
      <c r="AH74" s="254"/>
    </row>
    <row r="75" spans="1:34">
      <c r="A75" s="886"/>
      <c r="B75" s="239" t="s">
        <v>55</v>
      </c>
      <c r="C75" s="624">
        <f t="shared" si="48"/>
        <v>0.28389057750759877</v>
      </c>
      <c r="D75" s="625">
        <f t="shared" si="48"/>
        <v>0.29268292682926828</v>
      </c>
      <c r="E75" s="625">
        <f t="shared" si="48"/>
        <v>0</v>
      </c>
      <c r="F75" s="625">
        <f t="shared" si="48"/>
        <v>0.375</v>
      </c>
      <c r="G75" s="625">
        <f t="shared" si="48"/>
        <v>0.27737226277372262</v>
      </c>
      <c r="H75" s="626">
        <f t="shared" si="48"/>
        <v>0</v>
      </c>
      <c r="I75" s="624">
        <f t="shared" si="48"/>
        <v>0.29811946902654868</v>
      </c>
      <c r="J75" s="624">
        <f t="shared" si="48"/>
        <v>0</v>
      </c>
      <c r="K75" s="625">
        <f t="shared" si="48"/>
        <v>0</v>
      </c>
      <c r="L75" s="625">
        <f t="shared" si="48"/>
        <v>0</v>
      </c>
      <c r="M75" s="625">
        <f t="shared" si="48"/>
        <v>0</v>
      </c>
      <c r="N75" s="624">
        <f t="shared" si="49"/>
        <v>0</v>
      </c>
      <c r="O75" s="624">
        <f t="shared" si="49"/>
        <v>0</v>
      </c>
      <c r="P75" s="625">
        <f t="shared" si="49"/>
        <v>0</v>
      </c>
      <c r="Q75" s="624">
        <f t="shared" si="49"/>
        <v>0</v>
      </c>
      <c r="R75" s="253"/>
      <c r="S75" s="254">
        <v>467</v>
      </c>
      <c r="T75" s="255">
        <v>408</v>
      </c>
      <c r="U75" s="255"/>
      <c r="V75" s="255">
        <v>165</v>
      </c>
      <c r="W75" s="255">
        <v>38</v>
      </c>
      <c r="X75" s="255"/>
      <c r="Y75" s="256">
        <v>1078</v>
      </c>
      <c r="Z75" s="254"/>
      <c r="AA75" s="255"/>
      <c r="AB75" s="255"/>
      <c r="AC75" s="255"/>
      <c r="AD75" s="255"/>
      <c r="AE75" s="256"/>
      <c r="AF75" s="254"/>
      <c r="AG75" s="255"/>
      <c r="AH75" s="254"/>
    </row>
    <row r="76" spans="1:34">
      <c r="A76" s="886"/>
      <c r="B76" s="239" t="s">
        <v>78</v>
      </c>
      <c r="C76" s="624">
        <f t="shared" si="48"/>
        <v>0.17811550151975683</v>
      </c>
      <c r="D76" s="625">
        <f t="shared" si="48"/>
        <v>0.19010043041606886</v>
      </c>
      <c r="E76" s="625">
        <f t="shared" si="48"/>
        <v>0</v>
      </c>
      <c r="F76" s="625">
        <f t="shared" si="48"/>
        <v>0.23863636363636365</v>
      </c>
      <c r="G76" s="625">
        <f t="shared" si="48"/>
        <v>0.29927007299270075</v>
      </c>
      <c r="H76" s="626">
        <f t="shared" si="48"/>
        <v>0</v>
      </c>
      <c r="I76" s="624">
        <f t="shared" si="48"/>
        <v>0.19469026548672566</v>
      </c>
      <c r="J76" s="624">
        <f t="shared" si="48"/>
        <v>0</v>
      </c>
      <c r="K76" s="625">
        <f t="shared" si="48"/>
        <v>0</v>
      </c>
      <c r="L76" s="625">
        <f t="shared" si="48"/>
        <v>0</v>
      </c>
      <c r="M76" s="625">
        <f t="shared" si="48"/>
        <v>0</v>
      </c>
      <c r="N76" s="624">
        <f t="shared" si="49"/>
        <v>0.65494414563508485</v>
      </c>
      <c r="O76" s="624">
        <f t="shared" si="49"/>
        <v>0</v>
      </c>
      <c r="P76" s="625">
        <f t="shared" si="49"/>
        <v>0</v>
      </c>
      <c r="Q76" s="624">
        <f t="shared" si="49"/>
        <v>0</v>
      </c>
      <c r="R76" s="253"/>
      <c r="S76" s="254">
        <v>293</v>
      </c>
      <c r="T76" s="255">
        <v>265</v>
      </c>
      <c r="U76" s="255"/>
      <c r="V76" s="255">
        <v>105</v>
      </c>
      <c r="W76" s="255">
        <v>41</v>
      </c>
      <c r="X76" s="255"/>
      <c r="Y76" s="256">
        <v>704</v>
      </c>
      <c r="Z76" s="254"/>
      <c r="AA76" s="255"/>
      <c r="AB76" s="255"/>
      <c r="AC76" s="255"/>
      <c r="AD76" s="255"/>
      <c r="AE76" s="256">
        <v>1583</v>
      </c>
      <c r="AF76" s="254"/>
      <c r="AG76" s="255"/>
      <c r="AH76" s="254"/>
    </row>
    <row r="77" spans="1:34">
      <c r="A77" s="886"/>
      <c r="B77" s="239" t="s">
        <v>32</v>
      </c>
      <c r="C77" s="624">
        <f t="shared" si="48"/>
        <v>3.4042553191489362E-2</v>
      </c>
      <c r="D77" s="625">
        <f t="shared" si="48"/>
        <v>2.654232424677188E-2</v>
      </c>
      <c r="E77" s="625">
        <f t="shared" si="48"/>
        <v>0</v>
      </c>
      <c r="F77" s="625">
        <f t="shared" si="48"/>
        <v>0</v>
      </c>
      <c r="G77" s="625">
        <f t="shared" si="48"/>
        <v>0</v>
      </c>
      <c r="H77" s="626">
        <f t="shared" si="48"/>
        <v>0</v>
      </c>
      <c r="I77" s="624">
        <f t="shared" si="48"/>
        <v>2.5719026548672565E-2</v>
      </c>
      <c r="J77" s="624">
        <f t="shared" si="48"/>
        <v>0</v>
      </c>
      <c r="K77" s="625">
        <f t="shared" si="48"/>
        <v>0</v>
      </c>
      <c r="L77" s="625">
        <f t="shared" si="48"/>
        <v>0</v>
      </c>
      <c r="M77" s="625">
        <f t="shared" si="48"/>
        <v>0</v>
      </c>
      <c r="N77" s="624">
        <f t="shared" si="49"/>
        <v>0</v>
      </c>
      <c r="O77" s="624">
        <f t="shared" si="49"/>
        <v>0</v>
      </c>
      <c r="P77" s="625">
        <f t="shared" si="49"/>
        <v>0</v>
      </c>
      <c r="Q77" s="624">
        <f t="shared" si="49"/>
        <v>0</v>
      </c>
      <c r="R77" s="253"/>
      <c r="S77" s="254">
        <v>56</v>
      </c>
      <c r="T77" s="255">
        <v>37</v>
      </c>
      <c r="U77" s="255"/>
      <c r="V77" s="255"/>
      <c r="W77" s="255"/>
      <c r="X77" s="255"/>
      <c r="Y77" s="256">
        <v>93</v>
      </c>
      <c r="Z77" s="254"/>
      <c r="AA77" s="255"/>
      <c r="AB77" s="255"/>
      <c r="AC77" s="255"/>
      <c r="AD77" s="255"/>
      <c r="AE77" s="256"/>
      <c r="AF77" s="254"/>
      <c r="AG77" s="255"/>
      <c r="AH77" s="254"/>
    </row>
    <row r="78" spans="1:34">
      <c r="A78" s="886"/>
      <c r="B78" s="239" t="s">
        <v>58</v>
      </c>
      <c r="C78" s="624">
        <f t="shared" si="48"/>
        <v>1.2158054711246201E-3</v>
      </c>
      <c r="D78" s="625">
        <f t="shared" si="48"/>
        <v>0</v>
      </c>
      <c r="E78" s="792">
        <f t="shared" si="48"/>
        <v>0</v>
      </c>
      <c r="F78" s="625">
        <f t="shared" si="48"/>
        <v>0</v>
      </c>
      <c r="G78" s="792">
        <f t="shared" si="48"/>
        <v>0</v>
      </c>
      <c r="H78" s="626">
        <f t="shared" si="48"/>
        <v>0</v>
      </c>
      <c r="I78" s="793">
        <f t="shared" si="48"/>
        <v>5.5309734513274336E-4</v>
      </c>
      <c r="J78" s="624">
        <f t="shared" si="48"/>
        <v>0</v>
      </c>
      <c r="K78" s="625">
        <f t="shared" si="48"/>
        <v>0</v>
      </c>
      <c r="L78" s="625">
        <f t="shared" si="48"/>
        <v>0</v>
      </c>
      <c r="M78" s="625">
        <f t="shared" si="48"/>
        <v>0</v>
      </c>
      <c r="N78" s="624">
        <f t="shared" si="49"/>
        <v>0.3450558543649152</v>
      </c>
      <c r="O78" s="624">
        <f t="shared" si="49"/>
        <v>0</v>
      </c>
      <c r="P78" s="625">
        <f t="shared" si="49"/>
        <v>0</v>
      </c>
      <c r="Q78" s="624">
        <f t="shared" si="49"/>
        <v>0</v>
      </c>
      <c r="R78" s="253"/>
      <c r="S78" s="254">
        <v>2</v>
      </c>
      <c r="T78" s="255"/>
      <c r="U78" s="255"/>
      <c r="V78" s="255"/>
      <c r="W78" s="255"/>
      <c r="X78" s="255"/>
      <c r="Y78" s="256">
        <v>2</v>
      </c>
      <c r="Z78" s="254"/>
      <c r="AA78" s="255"/>
      <c r="AB78" s="255"/>
      <c r="AC78" s="255"/>
      <c r="AD78" s="255"/>
      <c r="AE78" s="256">
        <v>834</v>
      </c>
      <c r="AF78" s="254"/>
      <c r="AG78" s="255"/>
      <c r="AH78" s="254"/>
    </row>
    <row r="79" spans="1:34">
      <c r="A79" s="887"/>
      <c r="B79" s="436" t="s">
        <v>59</v>
      </c>
      <c r="C79" s="577">
        <f t="shared" si="48"/>
        <v>1</v>
      </c>
      <c r="D79" s="578">
        <f t="shared" si="48"/>
        <v>1</v>
      </c>
      <c r="E79" s="578">
        <f t="shared" si="48"/>
        <v>0</v>
      </c>
      <c r="F79" s="578">
        <f t="shared" si="48"/>
        <v>1</v>
      </c>
      <c r="G79" s="578">
        <f t="shared" si="48"/>
        <v>1</v>
      </c>
      <c r="H79" s="579">
        <f t="shared" si="48"/>
        <v>0</v>
      </c>
      <c r="I79" s="577">
        <f t="shared" si="48"/>
        <v>1</v>
      </c>
      <c r="J79" s="577">
        <f t="shared" si="48"/>
        <v>0</v>
      </c>
      <c r="K79" s="578">
        <f t="shared" si="48"/>
        <v>0</v>
      </c>
      <c r="L79" s="578">
        <f t="shared" si="48"/>
        <v>0</v>
      </c>
      <c r="M79" s="578">
        <f t="shared" si="48"/>
        <v>0</v>
      </c>
      <c r="N79" s="577">
        <f t="shared" si="49"/>
        <v>1</v>
      </c>
      <c r="O79" s="577">
        <f t="shared" si="49"/>
        <v>0</v>
      </c>
      <c r="P79" s="578">
        <f t="shared" si="49"/>
        <v>0</v>
      </c>
      <c r="Q79" s="577">
        <f t="shared" si="49"/>
        <v>0</v>
      </c>
      <c r="R79" s="264"/>
      <c r="S79" s="265">
        <v>1645</v>
      </c>
      <c r="T79" s="266">
        <v>1394</v>
      </c>
      <c r="U79" s="266"/>
      <c r="V79" s="266">
        <v>440</v>
      </c>
      <c r="W79" s="266">
        <v>137</v>
      </c>
      <c r="X79" s="266"/>
      <c r="Y79" s="267">
        <v>3616</v>
      </c>
      <c r="Z79" s="265"/>
      <c r="AA79" s="266"/>
      <c r="AB79" s="266"/>
      <c r="AC79" s="266"/>
      <c r="AD79" s="266"/>
      <c r="AE79" s="267">
        <v>2417</v>
      </c>
      <c r="AF79" s="265"/>
      <c r="AG79" s="266"/>
      <c r="AH79" s="265"/>
    </row>
    <row r="80" spans="1:34">
      <c r="A80" s="883" t="s">
        <v>12</v>
      </c>
      <c r="B80" s="240" t="s">
        <v>53</v>
      </c>
      <c r="C80" s="613">
        <f t="shared" ref="C80:M86" si="50">IF(S$86&gt;0,(S80/S$86),0)</f>
        <v>0.31374138629914877</v>
      </c>
      <c r="D80" s="614">
        <f t="shared" si="50"/>
        <v>0.18306451612903227</v>
      </c>
      <c r="E80" s="614">
        <f t="shared" si="50"/>
        <v>0.25382154283682901</v>
      </c>
      <c r="F80" s="614">
        <f t="shared" si="50"/>
        <v>0.25490196078431371</v>
      </c>
      <c r="G80" s="614">
        <f t="shared" si="50"/>
        <v>0.21212121212121213</v>
      </c>
      <c r="H80" s="615">
        <f t="shared" si="50"/>
        <v>0.30914826498422715</v>
      </c>
      <c r="I80" s="613">
        <f t="shared" si="50"/>
        <v>0.27361371023342856</v>
      </c>
      <c r="J80" s="613">
        <f t="shared" si="50"/>
        <v>0</v>
      </c>
      <c r="K80" s="614">
        <f t="shared" si="50"/>
        <v>0</v>
      </c>
      <c r="L80" s="614">
        <f t="shared" si="50"/>
        <v>0</v>
      </c>
      <c r="M80" s="614">
        <f t="shared" si="50"/>
        <v>0</v>
      </c>
      <c r="N80" s="613">
        <f t="shared" ref="N80:Q86" si="51">IF(AE$86&gt;0,(AE80/AE$86),0)</f>
        <v>0</v>
      </c>
      <c r="O80" s="788">
        <f t="shared" si="51"/>
        <v>0</v>
      </c>
      <c r="P80" s="614">
        <f t="shared" si="51"/>
        <v>0</v>
      </c>
      <c r="Q80" s="788">
        <f t="shared" si="51"/>
        <v>0</v>
      </c>
      <c r="R80" s="244"/>
      <c r="S80" s="245">
        <v>1548</v>
      </c>
      <c r="T80" s="246">
        <v>227</v>
      </c>
      <c r="U80" s="246">
        <v>714</v>
      </c>
      <c r="V80" s="246">
        <v>65</v>
      </c>
      <c r="W80" s="246">
        <v>126</v>
      </c>
      <c r="X80" s="246">
        <v>98</v>
      </c>
      <c r="Y80" s="247">
        <v>2778</v>
      </c>
      <c r="Z80" s="245"/>
      <c r="AA80" s="246"/>
      <c r="AB80" s="246"/>
      <c r="AC80" s="246"/>
      <c r="AD80" s="246"/>
      <c r="AE80" s="247"/>
      <c r="AF80" s="245"/>
      <c r="AG80" s="246"/>
      <c r="AH80" s="245"/>
    </row>
    <row r="81" spans="1:34">
      <c r="A81" s="886"/>
      <c r="B81" s="239" t="s">
        <v>93</v>
      </c>
      <c r="C81" s="624">
        <f t="shared" si="50"/>
        <v>0.2853668423186056</v>
      </c>
      <c r="D81" s="625">
        <f t="shared" si="50"/>
        <v>0.34596774193548385</v>
      </c>
      <c r="E81" s="625">
        <f t="shared" si="50"/>
        <v>0.30643441166014929</v>
      </c>
      <c r="F81" s="625">
        <f t="shared" si="50"/>
        <v>0.36078431372549019</v>
      </c>
      <c r="G81" s="625">
        <f t="shared" si="50"/>
        <v>0.32323232323232326</v>
      </c>
      <c r="H81" s="626">
        <f t="shared" si="50"/>
        <v>0.26498422712933756</v>
      </c>
      <c r="I81" s="624">
        <f t="shared" si="50"/>
        <v>0.30207820348665421</v>
      </c>
      <c r="J81" s="624">
        <f t="shared" si="50"/>
        <v>0</v>
      </c>
      <c r="K81" s="625">
        <f t="shared" si="50"/>
        <v>0</v>
      </c>
      <c r="L81" s="625">
        <f t="shared" si="50"/>
        <v>0</v>
      </c>
      <c r="M81" s="625">
        <f t="shared" si="50"/>
        <v>0</v>
      </c>
      <c r="N81" s="624">
        <f t="shared" si="51"/>
        <v>1.5309246785058175E-4</v>
      </c>
      <c r="O81" s="624">
        <f t="shared" si="51"/>
        <v>0</v>
      </c>
      <c r="P81" s="625">
        <f t="shared" si="51"/>
        <v>0</v>
      </c>
      <c r="Q81" s="624">
        <f t="shared" si="51"/>
        <v>0</v>
      </c>
      <c r="R81" s="253"/>
      <c r="S81" s="254">
        <v>1408</v>
      </c>
      <c r="T81" s="255">
        <v>429</v>
      </c>
      <c r="U81" s="255">
        <v>862</v>
      </c>
      <c r="V81" s="255">
        <v>92</v>
      </c>
      <c r="W81" s="255">
        <v>192</v>
      </c>
      <c r="X81" s="255">
        <v>84</v>
      </c>
      <c r="Y81" s="256">
        <v>3067</v>
      </c>
      <c r="Z81" s="254"/>
      <c r="AA81" s="255"/>
      <c r="AB81" s="255"/>
      <c r="AC81" s="255"/>
      <c r="AD81" s="255"/>
      <c r="AE81" s="256">
        <v>1</v>
      </c>
      <c r="AF81" s="254"/>
      <c r="AG81" s="255"/>
      <c r="AH81" s="254"/>
    </row>
    <row r="82" spans="1:34">
      <c r="A82" s="886"/>
      <c r="B82" s="239" t="s">
        <v>55</v>
      </c>
      <c r="C82" s="624">
        <f t="shared" si="50"/>
        <v>0.19740575597892177</v>
      </c>
      <c r="D82" s="625">
        <f t="shared" si="50"/>
        <v>0.17419354838709677</v>
      </c>
      <c r="E82" s="625">
        <f t="shared" si="50"/>
        <v>0.23462495556345539</v>
      </c>
      <c r="F82" s="625">
        <f t="shared" si="50"/>
        <v>0.25882352941176473</v>
      </c>
      <c r="G82" s="625">
        <f t="shared" si="50"/>
        <v>0.25925925925925924</v>
      </c>
      <c r="H82" s="626">
        <f t="shared" si="50"/>
        <v>0.2302839116719243</v>
      </c>
      <c r="I82" s="624">
        <f t="shared" si="50"/>
        <v>0.21107061952132375</v>
      </c>
      <c r="J82" s="624">
        <f t="shared" si="50"/>
        <v>0</v>
      </c>
      <c r="K82" s="625">
        <f t="shared" si="50"/>
        <v>0</v>
      </c>
      <c r="L82" s="625">
        <f t="shared" si="50"/>
        <v>0</v>
      </c>
      <c r="M82" s="625">
        <f t="shared" si="50"/>
        <v>0</v>
      </c>
      <c r="N82" s="624">
        <f t="shared" si="51"/>
        <v>0</v>
      </c>
      <c r="O82" s="624">
        <f t="shared" si="51"/>
        <v>0</v>
      </c>
      <c r="P82" s="625">
        <f t="shared" si="51"/>
        <v>0</v>
      </c>
      <c r="Q82" s="624">
        <f t="shared" si="51"/>
        <v>0</v>
      </c>
      <c r="R82" s="253"/>
      <c r="S82" s="254">
        <v>974</v>
      </c>
      <c r="T82" s="255">
        <v>216</v>
      </c>
      <c r="U82" s="255">
        <v>660</v>
      </c>
      <c r="V82" s="255">
        <v>66</v>
      </c>
      <c r="W82" s="255">
        <v>154</v>
      </c>
      <c r="X82" s="255">
        <v>73</v>
      </c>
      <c r="Y82" s="256">
        <v>2143</v>
      </c>
      <c r="Z82" s="254"/>
      <c r="AA82" s="255"/>
      <c r="AB82" s="255"/>
      <c r="AC82" s="255"/>
      <c r="AD82" s="255"/>
      <c r="AE82" s="256"/>
      <c r="AF82" s="254"/>
      <c r="AG82" s="255"/>
      <c r="AH82" s="254"/>
    </row>
    <row r="83" spans="1:34">
      <c r="A83" s="886"/>
      <c r="B83" s="239" t="s">
        <v>78</v>
      </c>
      <c r="C83" s="624">
        <f t="shared" si="50"/>
        <v>1.2160518848804217E-3</v>
      </c>
      <c r="D83" s="790">
        <f t="shared" si="50"/>
        <v>3.2258064516129032E-3</v>
      </c>
      <c r="E83" s="625">
        <f t="shared" si="50"/>
        <v>1.4219694276573054E-2</v>
      </c>
      <c r="F83" s="625">
        <f t="shared" si="50"/>
        <v>1.1764705882352941E-2</v>
      </c>
      <c r="G83" s="625">
        <f t="shared" si="50"/>
        <v>6.9023569023569029E-2</v>
      </c>
      <c r="H83" s="626">
        <f t="shared" si="50"/>
        <v>6.3091482649842269E-3</v>
      </c>
      <c r="I83" s="624">
        <f t="shared" si="50"/>
        <v>9.4553333989953713E-3</v>
      </c>
      <c r="J83" s="624">
        <f t="shared" si="50"/>
        <v>0</v>
      </c>
      <c r="K83" s="625">
        <f t="shared" si="50"/>
        <v>0</v>
      </c>
      <c r="L83" s="625">
        <f t="shared" si="50"/>
        <v>0</v>
      </c>
      <c r="M83" s="625">
        <f t="shared" si="50"/>
        <v>0</v>
      </c>
      <c r="N83" s="624">
        <f t="shared" si="51"/>
        <v>0.16396203306797305</v>
      </c>
      <c r="O83" s="624">
        <f t="shared" si="51"/>
        <v>0</v>
      </c>
      <c r="P83" s="625">
        <f t="shared" si="51"/>
        <v>0</v>
      </c>
      <c r="Q83" s="624">
        <f t="shared" si="51"/>
        <v>0</v>
      </c>
      <c r="R83" s="253"/>
      <c r="S83" s="254">
        <v>6</v>
      </c>
      <c r="T83" s="255">
        <v>4</v>
      </c>
      <c r="U83" s="255">
        <v>40</v>
      </c>
      <c r="V83" s="255">
        <v>3</v>
      </c>
      <c r="W83" s="255">
        <v>41</v>
      </c>
      <c r="X83" s="255">
        <v>2</v>
      </c>
      <c r="Y83" s="256">
        <v>96</v>
      </c>
      <c r="Z83" s="254"/>
      <c r="AA83" s="255"/>
      <c r="AB83" s="255"/>
      <c r="AC83" s="255"/>
      <c r="AD83" s="255"/>
      <c r="AE83" s="256">
        <v>1071</v>
      </c>
      <c r="AF83" s="254"/>
      <c r="AG83" s="255"/>
      <c r="AH83" s="254"/>
    </row>
    <row r="84" spans="1:34">
      <c r="A84" s="886"/>
      <c r="B84" s="239" t="s">
        <v>32</v>
      </c>
      <c r="C84" s="624">
        <f t="shared" si="50"/>
        <v>0.14734495338467773</v>
      </c>
      <c r="D84" s="625">
        <f t="shared" si="50"/>
        <v>0</v>
      </c>
      <c r="E84" s="625">
        <f t="shared" si="50"/>
        <v>0.1134020618556701</v>
      </c>
      <c r="F84" s="625">
        <f t="shared" si="50"/>
        <v>0.10980392156862745</v>
      </c>
      <c r="G84" s="625">
        <f t="shared" si="50"/>
        <v>0.11616161616161616</v>
      </c>
      <c r="H84" s="626">
        <f t="shared" si="50"/>
        <v>0.17034700315457413</v>
      </c>
      <c r="I84" s="624">
        <f t="shared" si="50"/>
        <v>0.11789618831872353</v>
      </c>
      <c r="J84" s="624">
        <f t="shared" si="50"/>
        <v>0</v>
      </c>
      <c r="K84" s="625">
        <f t="shared" si="50"/>
        <v>0</v>
      </c>
      <c r="L84" s="625">
        <f t="shared" si="50"/>
        <v>0</v>
      </c>
      <c r="M84" s="625">
        <f t="shared" si="50"/>
        <v>0</v>
      </c>
      <c r="N84" s="624">
        <f t="shared" si="51"/>
        <v>0</v>
      </c>
      <c r="O84" s="624">
        <f t="shared" si="51"/>
        <v>0</v>
      </c>
      <c r="P84" s="625">
        <f t="shared" si="51"/>
        <v>0</v>
      </c>
      <c r="Q84" s="624">
        <f t="shared" si="51"/>
        <v>0</v>
      </c>
      <c r="R84" s="253"/>
      <c r="S84" s="254">
        <v>727</v>
      </c>
      <c r="T84" s="255"/>
      <c r="U84" s="255">
        <v>319</v>
      </c>
      <c r="V84" s="255">
        <v>28</v>
      </c>
      <c r="W84" s="255">
        <v>69</v>
      </c>
      <c r="X84" s="255">
        <v>54</v>
      </c>
      <c r="Y84" s="256">
        <v>1197</v>
      </c>
      <c r="Z84" s="254"/>
      <c r="AA84" s="255"/>
      <c r="AB84" s="255"/>
      <c r="AC84" s="255"/>
      <c r="AD84" s="255"/>
      <c r="AE84" s="256"/>
      <c r="AF84" s="254"/>
      <c r="AG84" s="255"/>
      <c r="AH84" s="254"/>
    </row>
    <row r="85" spans="1:34">
      <c r="A85" s="886"/>
      <c r="B85" s="239" t="s">
        <v>58</v>
      </c>
      <c r="C85" s="624">
        <f t="shared" si="50"/>
        <v>5.492501013376571E-2</v>
      </c>
      <c r="D85" s="625">
        <f t="shared" si="50"/>
        <v>0.29354838709677417</v>
      </c>
      <c r="E85" s="792">
        <f t="shared" si="50"/>
        <v>7.749733380732314E-2</v>
      </c>
      <c r="F85" s="625">
        <f t="shared" si="50"/>
        <v>3.9215686274509803E-3</v>
      </c>
      <c r="G85" s="792">
        <f t="shared" si="50"/>
        <v>2.0202020202020204E-2</v>
      </c>
      <c r="H85" s="626">
        <f t="shared" si="50"/>
        <v>1.8927444794952682E-2</v>
      </c>
      <c r="I85" s="793">
        <f t="shared" si="50"/>
        <v>8.5885945040874614E-2</v>
      </c>
      <c r="J85" s="624">
        <f t="shared" si="50"/>
        <v>0</v>
      </c>
      <c r="K85" s="625">
        <f t="shared" si="50"/>
        <v>0</v>
      </c>
      <c r="L85" s="625">
        <f t="shared" si="50"/>
        <v>0</v>
      </c>
      <c r="M85" s="625">
        <f t="shared" si="50"/>
        <v>0</v>
      </c>
      <c r="N85" s="624">
        <f t="shared" si="51"/>
        <v>0.83588487446417636</v>
      </c>
      <c r="O85" s="624">
        <f t="shared" si="51"/>
        <v>0</v>
      </c>
      <c r="P85" s="625">
        <f t="shared" si="51"/>
        <v>0</v>
      </c>
      <c r="Q85" s="624">
        <f t="shared" si="51"/>
        <v>0</v>
      </c>
      <c r="R85" s="253"/>
      <c r="S85" s="254">
        <v>271</v>
      </c>
      <c r="T85" s="255">
        <v>364</v>
      </c>
      <c r="U85" s="255">
        <v>218</v>
      </c>
      <c r="V85" s="255">
        <v>1</v>
      </c>
      <c r="W85" s="255">
        <v>12</v>
      </c>
      <c r="X85" s="255">
        <v>6</v>
      </c>
      <c r="Y85" s="256">
        <v>872</v>
      </c>
      <c r="Z85" s="254"/>
      <c r="AA85" s="255"/>
      <c r="AB85" s="255"/>
      <c r="AC85" s="255"/>
      <c r="AD85" s="255"/>
      <c r="AE85" s="256">
        <v>5460</v>
      </c>
      <c r="AF85" s="254"/>
      <c r="AG85" s="255"/>
      <c r="AH85" s="254"/>
    </row>
    <row r="86" spans="1:34">
      <c r="A86" s="887"/>
      <c r="B86" s="436" t="s">
        <v>59</v>
      </c>
      <c r="C86" s="577">
        <f t="shared" si="50"/>
        <v>1</v>
      </c>
      <c r="D86" s="578">
        <f t="shared" si="50"/>
        <v>1</v>
      </c>
      <c r="E86" s="578">
        <f t="shared" si="50"/>
        <v>1</v>
      </c>
      <c r="F86" s="578">
        <f t="shared" si="50"/>
        <v>1</v>
      </c>
      <c r="G86" s="578">
        <f t="shared" si="50"/>
        <v>1</v>
      </c>
      <c r="H86" s="579">
        <f t="shared" si="50"/>
        <v>1</v>
      </c>
      <c r="I86" s="577">
        <f t="shared" si="50"/>
        <v>1</v>
      </c>
      <c r="J86" s="577">
        <f t="shared" si="50"/>
        <v>0</v>
      </c>
      <c r="K86" s="578">
        <f t="shared" si="50"/>
        <v>0</v>
      </c>
      <c r="L86" s="578">
        <f t="shared" si="50"/>
        <v>0</v>
      </c>
      <c r="M86" s="578">
        <f t="shared" si="50"/>
        <v>0</v>
      </c>
      <c r="N86" s="577">
        <f t="shared" si="51"/>
        <v>1</v>
      </c>
      <c r="O86" s="577">
        <f t="shared" si="51"/>
        <v>0</v>
      </c>
      <c r="P86" s="578">
        <f t="shared" si="51"/>
        <v>0</v>
      </c>
      <c r="Q86" s="577">
        <f t="shared" si="51"/>
        <v>0</v>
      </c>
      <c r="R86" s="264"/>
      <c r="S86" s="265">
        <v>4934</v>
      </c>
      <c r="T86" s="266">
        <v>1240</v>
      </c>
      <c r="U86" s="266">
        <v>2813</v>
      </c>
      <c r="V86" s="266">
        <v>255</v>
      </c>
      <c r="W86" s="266">
        <v>594</v>
      </c>
      <c r="X86" s="266">
        <v>317</v>
      </c>
      <c r="Y86" s="267">
        <v>10153</v>
      </c>
      <c r="Z86" s="265"/>
      <c r="AA86" s="266"/>
      <c r="AB86" s="266"/>
      <c r="AC86" s="266"/>
      <c r="AD86" s="266"/>
      <c r="AE86" s="267">
        <v>6532</v>
      </c>
      <c r="AF86" s="265"/>
      <c r="AG86" s="266"/>
      <c r="AH86" s="265"/>
    </row>
    <row r="87" spans="1:34">
      <c r="A87" s="883" t="s">
        <v>13</v>
      </c>
      <c r="B87" s="240" t="s">
        <v>53</v>
      </c>
      <c r="C87" s="613">
        <f t="shared" ref="C87:M93" si="52">IF(S$93&gt;0,(S87/S$93),0)</f>
        <v>0.30111206159110349</v>
      </c>
      <c r="D87" s="614">
        <f t="shared" si="52"/>
        <v>0</v>
      </c>
      <c r="E87" s="614">
        <f t="shared" si="52"/>
        <v>0.30955259975816202</v>
      </c>
      <c r="F87" s="614">
        <f t="shared" si="52"/>
        <v>0.41984732824427479</v>
      </c>
      <c r="G87" s="614">
        <f t="shared" si="52"/>
        <v>0.18421052631578946</v>
      </c>
      <c r="H87" s="615">
        <f t="shared" si="52"/>
        <v>0.21674876847290642</v>
      </c>
      <c r="I87" s="613">
        <f t="shared" si="52"/>
        <v>0.2815214839164123</v>
      </c>
      <c r="J87" s="613">
        <f t="shared" si="52"/>
        <v>0</v>
      </c>
      <c r="K87" s="614">
        <f t="shared" si="52"/>
        <v>0</v>
      </c>
      <c r="L87" s="614">
        <f t="shared" si="52"/>
        <v>0</v>
      </c>
      <c r="M87" s="614">
        <f t="shared" si="52"/>
        <v>0</v>
      </c>
      <c r="N87" s="613">
        <f t="shared" ref="N87:Q93" si="53">IF(AE$93&gt;0,(AE87/AE$93),0)</f>
        <v>0.13460015835312747</v>
      </c>
      <c r="O87" s="788">
        <f t="shared" si="53"/>
        <v>0</v>
      </c>
      <c r="P87" s="614">
        <f t="shared" si="53"/>
        <v>0</v>
      </c>
      <c r="Q87" s="788">
        <f t="shared" si="53"/>
        <v>0</v>
      </c>
      <c r="R87" s="244"/>
      <c r="S87" s="245">
        <v>704</v>
      </c>
      <c r="T87" s="246"/>
      <c r="U87" s="246">
        <v>256</v>
      </c>
      <c r="V87" s="246">
        <v>55</v>
      </c>
      <c r="W87" s="246">
        <v>140</v>
      </c>
      <c r="X87" s="246">
        <v>44</v>
      </c>
      <c r="Y87" s="247">
        <v>1199</v>
      </c>
      <c r="Z87" s="245"/>
      <c r="AA87" s="246"/>
      <c r="AB87" s="246"/>
      <c r="AC87" s="246"/>
      <c r="AD87" s="246"/>
      <c r="AE87" s="247">
        <v>170</v>
      </c>
      <c r="AF87" s="245"/>
      <c r="AG87" s="246"/>
      <c r="AH87" s="245"/>
    </row>
    <row r="88" spans="1:34">
      <c r="A88" s="886"/>
      <c r="B88" s="239" t="s">
        <v>93</v>
      </c>
      <c r="C88" s="624">
        <f t="shared" si="52"/>
        <v>0.26304533789563728</v>
      </c>
      <c r="D88" s="625">
        <f t="shared" si="52"/>
        <v>0</v>
      </c>
      <c r="E88" s="625">
        <f t="shared" si="52"/>
        <v>0.17412333736396615</v>
      </c>
      <c r="F88" s="625">
        <f t="shared" si="52"/>
        <v>0.21374045801526717</v>
      </c>
      <c r="G88" s="625">
        <f t="shared" si="52"/>
        <v>0.19210526315789472</v>
      </c>
      <c r="H88" s="626">
        <f t="shared" si="52"/>
        <v>0.24630541871921183</v>
      </c>
      <c r="I88" s="624">
        <f t="shared" si="52"/>
        <v>0.23080535336933553</v>
      </c>
      <c r="J88" s="624">
        <f t="shared" si="52"/>
        <v>0</v>
      </c>
      <c r="K88" s="625">
        <f t="shared" si="52"/>
        <v>0</v>
      </c>
      <c r="L88" s="625">
        <f t="shared" si="52"/>
        <v>0</v>
      </c>
      <c r="M88" s="625">
        <f t="shared" si="52"/>
        <v>0</v>
      </c>
      <c r="N88" s="791">
        <f t="shared" si="53"/>
        <v>0.10292953285827396</v>
      </c>
      <c r="O88" s="624">
        <f t="shared" si="53"/>
        <v>0</v>
      </c>
      <c r="P88" s="625">
        <f t="shared" si="53"/>
        <v>0</v>
      </c>
      <c r="Q88" s="624">
        <f t="shared" si="53"/>
        <v>0</v>
      </c>
      <c r="R88" s="253"/>
      <c r="S88" s="254">
        <v>615</v>
      </c>
      <c r="T88" s="255"/>
      <c r="U88" s="255">
        <v>144</v>
      </c>
      <c r="V88" s="255">
        <v>28</v>
      </c>
      <c r="W88" s="255">
        <v>146</v>
      </c>
      <c r="X88" s="255">
        <v>50</v>
      </c>
      <c r="Y88" s="256">
        <v>983</v>
      </c>
      <c r="Z88" s="254"/>
      <c r="AA88" s="255"/>
      <c r="AB88" s="255"/>
      <c r="AC88" s="255"/>
      <c r="AD88" s="255"/>
      <c r="AE88" s="256">
        <v>130</v>
      </c>
      <c r="AF88" s="254"/>
      <c r="AG88" s="255"/>
      <c r="AH88" s="254"/>
    </row>
    <row r="89" spans="1:34">
      <c r="A89" s="886"/>
      <c r="B89" s="239" t="s">
        <v>55</v>
      </c>
      <c r="C89" s="624">
        <f t="shared" si="52"/>
        <v>0.24850299401197604</v>
      </c>
      <c r="D89" s="625">
        <f t="shared" si="52"/>
        <v>0</v>
      </c>
      <c r="E89" s="625">
        <f t="shared" si="52"/>
        <v>0.27690447400241835</v>
      </c>
      <c r="F89" s="625">
        <f t="shared" si="52"/>
        <v>0.22900763358778625</v>
      </c>
      <c r="G89" s="625">
        <f t="shared" si="52"/>
        <v>0.30394736842105263</v>
      </c>
      <c r="H89" s="626">
        <f t="shared" si="52"/>
        <v>0.30049261083743845</v>
      </c>
      <c r="I89" s="624">
        <f t="shared" si="52"/>
        <v>0.26579009157079125</v>
      </c>
      <c r="J89" s="624">
        <f t="shared" si="52"/>
        <v>0</v>
      </c>
      <c r="K89" s="625">
        <f t="shared" si="52"/>
        <v>0</v>
      </c>
      <c r="L89" s="625">
        <f t="shared" si="52"/>
        <v>0</v>
      </c>
      <c r="M89" s="625">
        <f t="shared" si="52"/>
        <v>0</v>
      </c>
      <c r="N89" s="624">
        <f t="shared" si="53"/>
        <v>0.18685669041963579</v>
      </c>
      <c r="O89" s="624">
        <f t="shared" si="53"/>
        <v>0</v>
      </c>
      <c r="P89" s="625">
        <f t="shared" si="53"/>
        <v>0</v>
      </c>
      <c r="Q89" s="624">
        <f t="shared" si="53"/>
        <v>0</v>
      </c>
      <c r="R89" s="253"/>
      <c r="S89" s="254">
        <v>581</v>
      </c>
      <c r="T89" s="255"/>
      <c r="U89" s="255">
        <v>229</v>
      </c>
      <c r="V89" s="255">
        <v>30</v>
      </c>
      <c r="W89" s="255">
        <v>231</v>
      </c>
      <c r="X89" s="255">
        <v>61</v>
      </c>
      <c r="Y89" s="256">
        <v>1132</v>
      </c>
      <c r="Z89" s="254"/>
      <c r="AA89" s="255"/>
      <c r="AB89" s="255"/>
      <c r="AC89" s="255"/>
      <c r="AD89" s="255"/>
      <c r="AE89" s="256">
        <v>236</v>
      </c>
      <c r="AF89" s="254"/>
      <c r="AG89" s="255"/>
      <c r="AH89" s="254"/>
    </row>
    <row r="90" spans="1:34">
      <c r="A90" s="886"/>
      <c r="B90" s="239" t="s">
        <v>78</v>
      </c>
      <c r="C90" s="624">
        <f t="shared" si="52"/>
        <v>4.0633019674935843E-2</v>
      </c>
      <c r="D90" s="625">
        <f t="shared" si="52"/>
        <v>0</v>
      </c>
      <c r="E90" s="625">
        <f t="shared" si="52"/>
        <v>0.14147521160822249</v>
      </c>
      <c r="F90" s="625">
        <f t="shared" si="52"/>
        <v>0.13740458015267176</v>
      </c>
      <c r="G90" s="625">
        <f t="shared" si="52"/>
        <v>0.30394736842105263</v>
      </c>
      <c r="H90" s="626">
        <f t="shared" si="52"/>
        <v>0.23645320197044334</v>
      </c>
      <c r="I90" s="624">
        <f t="shared" si="52"/>
        <v>0.1195116224465837</v>
      </c>
      <c r="J90" s="624">
        <f t="shared" si="52"/>
        <v>0</v>
      </c>
      <c r="K90" s="625">
        <f t="shared" si="52"/>
        <v>0</v>
      </c>
      <c r="L90" s="625">
        <f t="shared" si="52"/>
        <v>0</v>
      </c>
      <c r="M90" s="625">
        <f t="shared" si="52"/>
        <v>0</v>
      </c>
      <c r="N90" s="624">
        <f t="shared" si="53"/>
        <v>0.44972288202692001</v>
      </c>
      <c r="O90" s="624">
        <f t="shared" si="53"/>
        <v>0</v>
      </c>
      <c r="P90" s="625">
        <f t="shared" si="53"/>
        <v>0</v>
      </c>
      <c r="Q90" s="624">
        <f t="shared" si="53"/>
        <v>1</v>
      </c>
      <c r="R90" s="253"/>
      <c r="S90" s="254">
        <v>95</v>
      </c>
      <c r="T90" s="255"/>
      <c r="U90" s="255">
        <v>117</v>
      </c>
      <c r="V90" s="255">
        <v>18</v>
      </c>
      <c r="W90" s="255">
        <v>231</v>
      </c>
      <c r="X90" s="255">
        <v>48</v>
      </c>
      <c r="Y90" s="256">
        <v>509</v>
      </c>
      <c r="Z90" s="254"/>
      <c r="AA90" s="255"/>
      <c r="AB90" s="255"/>
      <c r="AC90" s="255"/>
      <c r="AD90" s="255"/>
      <c r="AE90" s="256">
        <v>568</v>
      </c>
      <c r="AF90" s="254"/>
      <c r="AG90" s="255"/>
      <c r="AH90" s="254">
        <v>5</v>
      </c>
    </row>
    <row r="91" spans="1:34">
      <c r="A91" s="886"/>
      <c r="B91" s="239" t="s">
        <v>32</v>
      </c>
      <c r="C91" s="624">
        <f t="shared" si="52"/>
        <v>9.9657827202737387E-2</v>
      </c>
      <c r="D91" s="625">
        <f t="shared" si="52"/>
        <v>0</v>
      </c>
      <c r="E91" s="625">
        <f t="shared" si="52"/>
        <v>9.7944377267230959E-2</v>
      </c>
      <c r="F91" s="625">
        <f t="shared" si="52"/>
        <v>0</v>
      </c>
      <c r="G91" s="625">
        <f t="shared" si="52"/>
        <v>5.263157894736842E-3</v>
      </c>
      <c r="H91" s="626">
        <f t="shared" si="52"/>
        <v>0</v>
      </c>
      <c r="I91" s="624">
        <f t="shared" si="52"/>
        <v>7.4665414416529699E-2</v>
      </c>
      <c r="J91" s="624">
        <f t="shared" si="52"/>
        <v>0</v>
      </c>
      <c r="K91" s="625">
        <f t="shared" si="52"/>
        <v>0</v>
      </c>
      <c r="L91" s="625">
        <f t="shared" si="52"/>
        <v>0</v>
      </c>
      <c r="M91" s="625">
        <f t="shared" si="52"/>
        <v>0</v>
      </c>
      <c r="N91" s="624">
        <f t="shared" si="53"/>
        <v>2.3752969121140144E-3</v>
      </c>
      <c r="O91" s="624">
        <f t="shared" si="53"/>
        <v>0</v>
      </c>
      <c r="P91" s="625">
        <f t="shared" si="53"/>
        <v>0</v>
      </c>
      <c r="Q91" s="624">
        <f t="shared" si="53"/>
        <v>0</v>
      </c>
      <c r="R91" s="253"/>
      <c r="S91" s="254">
        <v>233</v>
      </c>
      <c r="T91" s="255"/>
      <c r="U91" s="255">
        <v>81</v>
      </c>
      <c r="V91" s="255"/>
      <c r="W91" s="255">
        <v>4</v>
      </c>
      <c r="X91" s="255"/>
      <c r="Y91" s="256">
        <v>318</v>
      </c>
      <c r="Z91" s="254"/>
      <c r="AA91" s="255"/>
      <c r="AB91" s="255"/>
      <c r="AC91" s="255"/>
      <c r="AD91" s="255"/>
      <c r="AE91" s="256">
        <v>3</v>
      </c>
      <c r="AF91" s="254"/>
      <c r="AG91" s="255"/>
      <c r="AH91" s="254"/>
    </row>
    <row r="92" spans="1:34">
      <c r="A92" s="886"/>
      <c r="B92" s="239" t="s">
        <v>58</v>
      </c>
      <c r="C92" s="624">
        <f t="shared" si="52"/>
        <v>4.7048759623609923E-2</v>
      </c>
      <c r="D92" s="625">
        <f t="shared" si="52"/>
        <v>0</v>
      </c>
      <c r="E92" s="792">
        <f t="shared" si="52"/>
        <v>0</v>
      </c>
      <c r="F92" s="625">
        <f t="shared" si="52"/>
        <v>0</v>
      </c>
      <c r="G92" s="792">
        <f t="shared" si="52"/>
        <v>1.0526315789473684E-2</v>
      </c>
      <c r="H92" s="626">
        <f t="shared" si="52"/>
        <v>0</v>
      </c>
      <c r="I92" s="793">
        <f t="shared" si="52"/>
        <v>2.77060342803475E-2</v>
      </c>
      <c r="J92" s="624">
        <f t="shared" si="52"/>
        <v>0</v>
      </c>
      <c r="K92" s="625">
        <f t="shared" si="52"/>
        <v>0</v>
      </c>
      <c r="L92" s="625">
        <f t="shared" si="52"/>
        <v>0</v>
      </c>
      <c r="M92" s="625">
        <f t="shared" si="52"/>
        <v>0</v>
      </c>
      <c r="N92" s="624">
        <f t="shared" si="53"/>
        <v>0.12351543942992874</v>
      </c>
      <c r="O92" s="624">
        <f t="shared" si="53"/>
        <v>0</v>
      </c>
      <c r="P92" s="625">
        <f t="shared" si="53"/>
        <v>0</v>
      </c>
      <c r="Q92" s="624">
        <f t="shared" si="53"/>
        <v>0</v>
      </c>
      <c r="R92" s="253"/>
      <c r="S92" s="254">
        <v>110</v>
      </c>
      <c r="T92" s="255"/>
      <c r="U92" s="255"/>
      <c r="V92" s="255"/>
      <c r="W92" s="255">
        <v>8</v>
      </c>
      <c r="X92" s="255"/>
      <c r="Y92" s="256">
        <v>118</v>
      </c>
      <c r="Z92" s="254"/>
      <c r="AA92" s="255"/>
      <c r="AB92" s="255"/>
      <c r="AC92" s="255"/>
      <c r="AD92" s="255"/>
      <c r="AE92" s="256">
        <v>156</v>
      </c>
      <c r="AF92" s="254"/>
      <c r="AG92" s="255"/>
      <c r="AH92" s="254"/>
    </row>
    <row r="93" spans="1:34">
      <c r="A93" s="887"/>
      <c r="B93" s="436" t="s">
        <v>59</v>
      </c>
      <c r="C93" s="577">
        <f t="shared" si="52"/>
        <v>1</v>
      </c>
      <c r="D93" s="578">
        <f t="shared" si="52"/>
        <v>0</v>
      </c>
      <c r="E93" s="578">
        <f t="shared" si="52"/>
        <v>1</v>
      </c>
      <c r="F93" s="578">
        <f t="shared" si="52"/>
        <v>1</v>
      </c>
      <c r="G93" s="578">
        <f t="shared" si="52"/>
        <v>1</v>
      </c>
      <c r="H93" s="579">
        <f t="shared" si="52"/>
        <v>1</v>
      </c>
      <c r="I93" s="577">
        <f t="shared" si="52"/>
        <v>1</v>
      </c>
      <c r="J93" s="577">
        <f t="shared" si="52"/>
        <v>0</v>
      </c>
      <c r="K93" s="578">
        <f t="shared" si="52"/>
        <v>0</v>
      </c>
      <c r="L93" s="578">
        <f t="shared" si="52"/>
        <v>0</v>
      </c>
      <c r="M93" s="578">
        <f t="shared" si="52"/>
        <v>0</v>
      </c>
      <c r="N93" s="577">
        <f t="shared" si="53"/>
        <v>1</v>
      </c>
      <c r="O93" s="577">
        <f t="shared" si="53"/>
        <v>0</v>
      </c>
      <c r="P93" s="578">
        <f t="shared" si="53"/>
        <v>0</v>
      </c>
      <c r="Q93" s="577">
        <f t="shared" si="53"/>
        <v>1</v>
      </c>
      <c r="R93" s="264"/>
      <c r="S93" s="265">
        <v>2338</v>
      </c>
      <c r="T93" s="266"/>
      <c r="U93" s="266">
        <v>827</v>
      </c>
      <c r="V93" s="266">
        <v>131</v>
      </c>
      <c r="W93" s="266">
        <v>760</v>
      </c>
      <c r="X93" s="266">
        <v>203</v>
      </c>
      <c r="Y93" s="267">
        <v>4259</v>
      </c>
      <c r="Z93" s="265"/>
      <c r="AA93" s="266"/>
      <c r="AB93" s="266"/>
      <c r="AC93" s="266"/>
      <c r="AD93" s="266"/>
      <c r="AE93" s="267">
        <v>1263</v>
      </c>
      <c r="AF93" s="265"/>
      <c r="AG93" s="266"/>
      <c r="AH93" s="265">
        <v>5</v>
      </c>
    </row>
    <row r="94" spans="1:34">
      <c r="A94" s="883" t="s">
        <v>14</v>
      </c>
      <c r="B94" s="240" t="s">
        <v>53</v>
      </c>
      <c r="C94" s="613">
        <f t="shared" ref="C94:M100" si="54">IF(S$100&gt;0,(S94/S$100),0)</f>
        <v>0.28589688964635707</v>
      </c>
      <c r="D94" s="614">
        <f t="shared" si="54"/>
        <v>0</v>
      </c>
      <c r="E94" s="614">
        <f t="shared" si="54"/>
        <v>0.29970617042115572</v>
      </c>
      <c r="F94" s="614">
        <f t="shared" si="54"/>
        <v>0.27067669172932329</v>
      </c>
      <c r="G94" s="614">
        <f t="shared" si="54"/>
        <v>0.23622047244094488</v>
      </c>
      <c r="H94" s="615">
        <f t="shared" si="54"/>
        <v>0.17543859649122806</v>
      </c>
      <c r="I94" s="613">
        <f t="shared" si="54"/>
        <v>0.26952032695203271</v>
      </c>
      <c r="J94" s="613">
        <f t="shared" si="54"/>
        <v>0</v>
      </c>
      <c r="K94" s="614">
        <f t="shared" si="54"/>
        <v>0</v>
      </c>
      <c r="L94" s="614">
        <f t="shared" si="54"/>
        <v>0</v>
      </c>
      <c r="M94" s="614">
        <f t="shared" si="54"/>
        <v>0</v>
      </c>
      <c r="N94" s="613">
        <f t="shared" ref="N94:Q100" si="55">IF(AE$100&gt;0,(AE94/AE$100),0)</f>
        <v>3.7896731406916154E-3</v>
      </c>
      <c r="O94" s="788">
        <f t="shared" si="55"/>
        <v>0</v>
      </c>
      <c r="P94" s="614">
        <f t="shared" si="55"/>
        <v>0</v>
      </c>
      <c r="Q94" s="788">
        <f t="shared" si="55"/>
        <v>0</v>
      </c>
      <c r="R94" s="244"/>
      <c r="S94" s="245">
        <v>671</v>
      </c>
      <c r="T94" s="246"/>
      <c r="U94" s="246">
        <v>306</v>
      </c>
      <c r="V94" s="246">
        <v>36</v>
      </c>
      <c r="W94" s="246">
        <v>150</v>
      </c>
      <c r="X94" s="246">
        <v>90</v>
      </c>
      <c r="Y94" s="247">
        <v>1253</v>
      </c>
      <c r="Z94" s="245"/>
      <c r="AA94" s="246"/>
      <c r="AB94" s="246"/>
      <c r="AC94" s="246"/>
      <c r="AD94" s="246"/>
      <c r="AE94" s="247">
        <v>8</v>
      </c>
      <c r="AF94" s="245"/>
      <c r="AG94" s="246"/>
      <c r="AH94" s="245"/>
    </row>
    <row r="95" spans="1:34">
      <c r="A95" s="886"/>
      <c r="B95" s="239" t="s">
        <v>93</v>
      </c>
      <c r="C95" s="624">
        <f t="shared" si="54"/>
        <v>0.29228802726885383</v>
      </c>
      <c r="D95" s="625">
        <f t="shared" si="54"/>
        <v>0</v>
      </c>
      <c r="E95" s="625">
        <f t="shared" si="54"/>
        <v>0.32321253672869737</v>
      </c>
      <c r="F95" s="625">
        <f t="shared" si="54"/>
        <v>0.33834586466165412</v>
      </c>
      <c r="G95" s="625">
        <f t="shared" si="54"/>
        <v>0.26771653543307089</v>
      </c>
      <c r="H95" s="626">
        <f t="shared" si="54"/>
        <v>0.28265107212475632</v>
      </c>
      <c r="I95" s="624">
        <f t="shared" si="54"/>
        <v>0.29597762959776297</v>
      </c>
      <c r="J95" s="624">
        <f t="shared" si="54"/>
        <v>0</v>
      </c>
      <c r="K95" s="625">
        <f t="shared" si="54"/>
        <v>0</v>
      </c>
      <c r="L95" s="625">
        <f t="shared" si="54"/>
        <v>0</v>
      </c>
      <c r="M95" s="625">
        <f t="shared" si="54"/>
        <v>0</v>
      </c>
      <c r="N95" s="624">
        <f t="shared" si="55"/>
        <v>1.5632401705352912E-2</v>
      </c>
      <c r="O95" s="624">
        <f t="shared" si="55"/>
        <v>0</v>
      </c>
      <c r="P95" s="625">
        <f t="shared" si="55"/>
        <v>0</v>
      </c>
      <c r="Q95" s="624">
        <f t="shared" si="55"/>
        <v>0</v>
      </c>
      <c r="R95" s="253"/>
      <c r="S95" s="254">
        <v>686</v>
      </c>
      <c r="T95" s="255"/>
      <c r="U95" s="255">
        <v>330</v>
      </c>
      <c r="V95" s="255">
        <v>45</v>
      </c>
      <c r="W95" s="255">
        <v>170</v>
      </c>
      <c r="X95" s="255">
        <v>145</v>
      </c>
      <c r="Y95" s="256">
        <v>1376</v>
      </c>
      <c r="Z95" s="254"/>
      <c r="AA95" s="255"/>
      <c r="AB95" s="255"/>
      <c r="AC95" s="255"/>
      <c r="AD95" s="255"/>
      <c r="AE95" s="256">
        <v>33</v>
      </c>
      <c r="AF95" s="254"/>
      <c r="AG95" s="255"/>
      <c r="AH95" s="254"/>
    </row>
    <row r="96" spans="1:34">
      <c r="A96" s="886"/>
      <c r="B96" s="239" t="s">
        <v>55</v>
      </c>
      <c r="C96" s="624">
        <f t="shared" si="54"/>
        <v>0.23135918193438432</v>
      </c>
      <c r="D96" s="625">
        <f t="shared" si="54"/>
        <v>0</v>
      </c>
      <c r="E96" s="625">
        <f t="shared" si="54"/>
        <v>0.28207639569049953</v>
      </c>
      <c r="F96" s="625">
        <f t="shared" si="54"/>
        <v>0.24812030075187969</v>
      </c>
      <c r="G96" s="625">
        <f t="shared" si="54"/>
        <v>0.28661417322834648</v>
      </c>
      <c r="H96" s="626">
        <f t="shared" si="54"/>
        <v>0.23196881091617932</v>
      </c>
      <c r="I96" s="624">
        <f t="shared" si="54"/>
        <v>0.2505915250591525</v>
      </c>
      <c r="J96" s="624">
        <f t="shared" si="54"/>
        <v>0</v>
      </c>
      <c r="K96" s="625">
        <f t="shared" si="54"/>
        <v>0</v>
      </c>
      <c r="L96" s="625">
        <f t="shared" si="54"/>
        <v>0</v>
      </c>
      <c r="M96" s="625">
        <f t="shared" si="54"/>
        <v>0</v>
      </c>
      <c r="N96" s="624">
        <f t="shared" si="55"/>
        <v>9.4741828517290391E-3</v>
      </c>
      <c r="O96" s="624">
        <f t="shared" si="55"/>
        <v>0</v>
      </c>
      <c r="P96" s="625">
        <f t="shared" si="55"/>
        <v>0</v>
      </c>
      <c r="Q96" s="624">
        <f t="shared" si="55"/>
        <v>0</v>
      </c>
      <c r="R96" s="253"/>
      <c r="S96" s="254">
        <v>543</v>
      </c>
      <c r="T96" s="255"/>
      <c r="U96" s="255">
        <v>288</v>
      </c>
      <c r="V96" s="255">
        <v>33</v>
      </c>
      <c r="W96" s="255">
        <v>182</v>
      </c>
      <c r="X96" s="255">
        <v>119</v>
      </c>
      <c r="Y96" s="256">
        <v>1165</v>
      </c>
      <c r="Z96" s="254"/>
      <c r="AA96" s="255"/>
      <c r="AB96" s="255"/>
      <c r="AC96" s="255"/>
      <c r="AD96" s="255"/>
      <c r="AE96" s="256">
        <v>20</v>
      </c>
      <c r="AF96" s="254"/>
      <c r="AG96" s="255"/>
      <c r="AH96" s="254"/>
    </row>
    <row r="97" spans="1:34">
      <c r="A97" s="886"/>
      <c r="B97" s="239" t="s">
        <v>78</v>
      </c>
      <c r="C97" s="624">
        <f t="shared" si="54"/>
        <v>6.9876438005965061E-2</v>
      </c>
      <c r="D97" s="625">
        <f t="shared" si="54"/>
        <v>0</v>
      </c>
      <c r="E97" s="625">
        <f t="shared" si="54"/>
        <v>9.4025465230166499E-2</v>
      </c>
      <c r="F97" s="625">
        <f t="shared" si="54"/>
        <v>0.14285714285714285</v>
      </c>
      <c r="G97" s="625">
        <f t="shared" si="54"/>
        <v>4.0944881889763779E-2</v>
      </c>
      <c r="H97" s="626">
        <f t="shared" si="54"/>
        <v>0.26315789473684209</v>
      </c>
      <c r="I97" s="624">
        <f t="shared" si="54"/>
        <v>9.4644009464400949E-2</v>
      </c>
      <c r="J97" s="624">
        <f t="shared" si="54"/>
        <v>0</v>
      </c>
      <c r="K97" s="625">
        <f t="shared" si="54"/>
        <v>0</v>
      </c>
      <c r="L97" s="625">
        <f t="shared" si="54"/>
        <v>0</v>
      </c>
      <c r="M97" s="625">
        <f t="shared" si="54"/>
        <v>0</v>
      </c>
      <c r="N97" s="624">
        <f t="shared" si="55"/>
        <v>1.9422074846044527E-2</v>
      </c>
      <c r="O97" s="624">
        <f t="shared" si="55"/>
        <v>0</v>
      </c>
      <c r="P97" s="625">
        <f t="shared" si="55"/>
        <v>0</v>
      </c>
      <c r="Q97" s="624">
        <f t="shared" si="55"/>
        <v>0</v>
      </c>
      <c r="R97" s="253"/>
      <c r="S97" s="254">
        <v>164</v>
      </c>
      <c r="T97" s="255"/>
      <c r="U97" s="255">
        <v>96</v>
      </c>
      <c r="V97" s="255">
        <v>19</v>
      </c>
      <c r="W97" s="255">
        <v>26</v>
      </c>
      <c r="X97" s="255">
        <v>135</v>
      </c>
      <c r="Y97" s="256">
        <v>440</v>
      </c>
      <c r="Z97" s="254"/>
      <c r="AA97" s="255"/>
      <c r="AB97" s="255"/>
      <c r="AC97" s="255"/>
      <c r="AD97" s="255"/>
      <c r="AE97" s="256">
        <v>41</v>
      </c>
      <c r="AF97" s="254"/>
      <c r="AG97" s="255"/>
      <c r="AH97" s="254"/>
    </row>
    <row r="98" spans="1:34">
      <c r="A98" s="886"/>
      <c r="B98" s="239" t="s">
        <v>32</v>
      </c>
      <c r="C98" s="624">
        <f t="shared" si="54"/>
        <v>0.11844908393694077</v>
      </c>
      <c r="D98" s="625">
        <f t="shared" si="54"/>
        <v>0</v>
      </c>
      <c r="E98" s="625">
        <f t="shared" si="54"/>
        <v>9.7943192948090111E-4</v>
      </c>
      <c r="F98" s="625">
        <f t="shared" si="54"/>
        <v>0</v>
      </c>
      <c r="G98" s="625">
        <f t="shared" si="54"/>
        <v>0.15748031496062992</v>
      </c>
      <c r="H98" s="626">
        <f t="shared" si="54"/>
        <v>4.2884990253411304E-2</v>
      </c>
      <c r="I98" s="624">
        <f t="shared" si="54"/>
        <v>8.6255108625510862E-2</v>
      </c>
      <c r="J98" s="624">
        <f t="shared" si="54"/>
        <v>0</v>
      </c>
      <c r="K98" s="625">
        <f t="shared" si="54"/>
        <v>0</v>
      </c>
      <c r="L98" s="625">
        <f t="shared" si="54"/>
        <v>0</v>
      </c>
      <c r="M98" s="625">
        <f t="shared" si="54"/>
        <v>0</v>
      </c>
      <c r="N98" s="624">
        <f t="shared" si="55"/>
        <v>0</v>
      </c>
      <c r="O98" s="624">
        <f t="shared" si="55"/>
        <v>0</v>
      </c>
      <c r="P98" s="625">
        <f t="shared" si="55"/>
        <v>0</v>
      </c>
      <c r="Q98" s="624">
        <f t="shared" si="55"/>
        <v>0</v>
      </c>
      <c r="R98" s="253"/>
      <c r="S98" s="254">
        <v>278</v>
      </c>
      <c r="T98" s="255"/>
      <c r="U98" s="255">
        <v>1</v>
      </c>
      <c r="V98" s="255"/>
      <c r="W98" s="255">
        <v>100</v>
      </c>
      <c r="X98" s="255">
        <v>22</v>
      </c>
      <c r="Y98" s="256">
        <v>401</v>
      </c>
      <c r="Z98" s="254"/>
      <c r="AA98" s="255"/>
      <c r="AB98" s="255"/>
      <c r="AC98" s="255"/>
      <c r="AD98" s="255"/>
      <c r="AE98" s="256"/>
      <c r="AF98" s="254"/>
      <c r="AG98" s="255"/>
      <c r="AH98" s="254"/>
    </row>
    <row r="99" spans="1:34">
      <c r="A99" s="886"/>
      <c r="B99" s="239" t="s">
        <v>58</v>
      </c>
      <c r="C99" s="624">
        <f t="shared" si="54"/>
        <v>2.1303792074989347E-3</v>
      </c>
      <c r="D99" s="625">
        <f t="shared" si="54"/>
        <v>0</v>
      </c>
      <c r="E99" s="792">
        <f t="shared" si="54"/>
        <v>0</v>
      </c>
      <c r="F99" s="625">
        <f t="shared" si="54"/>
        <v>0</v>
      </c>
      <c r="G99" s="792">
        <f t="shared" si="54"/>
        <v>1.1023622047244094E-2</v>
      </c>
      <c r="H99" s="626">
        <f t="shared" si="54"/>
        <v>3.8986354775828458E-3</v>
      </c>
      <c r="I99" s="793">
        <f t="shared" si="54"/>
        <v>3.01140030114003E-3</v>
      </c>
      <c r="J99" s="624">
        <f t="shared" si="54"/>
        <v>0</v>
      </c>
      <c r="K99" s="625">
        <f t="shared" si="54"/>
        <v>0</v>
      </c>
      <c r="L99" s="625">
        <f t="shared" si="54"/>
        <v>0</v>
      </c>
      <c r="M99" s="625">
        <f t="shared" si="54"/>
        <v>0</v>
      </c>
      <c r="N99" s="624">
        <f t="shared" si="55"/>
        <v>0.95168166745618188</v>
      </c>
      <c r="O99" s="624">
        <f t="shared" si="55"/>
        <v>0</v>
      </c>
      <c r="P99" s="625">
        <f t="shared" si="55"/>
        <v>0</v>
      </c>
      <c r="Q99" s="624">
        <f t="shared" si="55"/>
        <v>0</v>
      </c>
      <c r="R99" s="253"/>
      <c r="S99" s="254">
        <v>5</v>
      </c>
      <c r="T99" s="255"/>
      <c r="U99" s="255"/>
      <c r="V99" s="255"/>
      <c r="W99" s="255">
        <v>7</v>
      </c>
      <c r="X99" s="255">
        <v>2</v>
      </c>
      <c r="Y99" s="256">
        <v>14</v>
      </c>
      <c r="Z99" s="254"/>
      <c r="AA99" s="255"/>
      <c r="AB99" s="255"/>
      <c r="AC99" s="255"/>
      <c r="AD99" s="255"/>
      <c r="AE99" s="256">
        <v>2009</v>
      </c>
      <c r="AF99" s="254"/>
      <c r="AG99" s="255"/>
      <c r="AH99" s="254"/>
    </row>
    <row r="100" spans="1:34">
      <c r="A100" s="887"/>
      <c r="B100" s="436" t="s">
        <v>59</v>
      </c>
      <c r="C100" s="577">
        <f t="shared" si="54"/>
        <v>1</v>
      </c>
      <c r="D100" s="578">
        <f t="shared" si="54"/>
        <v>0</v>
      </c>
      <c r="E100" s="578">
        <f t="shared" si="54"/>
        <v>1</v>
      </c>
      <c r="F100" s="578">
        <f t="shared" si="54"/>
        <v>1</v>
      </c>
      <c r="G100" s="578">
        <f t="shared" si="54"/>
        <v>1</v>
      </c>
      <c r="H100" s="579">
        <f t="shared" si="54"/>
        <v>1</v>
      </c>
      <c r="I100" s="577">
        <f t="shared" si="54"/>
        <v>1</v>
      </c>
      <c r="J100" s="577">
        <f t="shared" si="54"/>
        <v>0</v>
      </c>
      <c r="K100" s="578">
        <f t="shared" si="54"/>
        <v>0</v>
      </c>
      <c r="L100" s="578">
        <f t="shared" si="54"/>
        <v>0</v>
      </c>
      <c r="M100" s="578">
        <f t="shared" si="54"/>
        <v>0</v>
      </c>
      <c r="N100" s="577">
        <f t="shared" si="55"/>
        <v>1</v>
      </c>
      <c r="O100" s="577">
        <f t="shared" si="55"/>
        <v>0</v>
      </c>
      <c r="P100" s="578">
        <f t="shared" si="55"/>
        <v>0</v>
      </c>
      <c r="Q100" s="577">
        <f t="shared" si="55"/>
        <v>0</v>
      </c>
      <c r="R100" s="264"/>
      <c r="S100" s="265">
        <v>2347</v>
      </c>
      <c r="T100" s="266"/>
      <c r="U100" s="266">
        <v>1021</v>
      </c>
      <c r="V100" s="266">
        <v>133</v>
      </c>
      <c r="W100" s="266">
        <v>635</v>
      </c>
      <c r="X100" s="266">
        <v>513</v>
      </c>
      <c r="Y100" s="267">
        <v>4649</v>
      </c>
      <c r="Z100" s="265"/>
      <c r="AA100" s="266"/>
      <c r="AB100" s="266"/>
      <c r="AC100" s="266"/>
      <c r="AD100" s="266"/>
      <c r="AE100" s="267">
        <v>2111</v>
      </c>
      <c r="AF100" s="265"/>
      <c r="AG100" s="266"/>
      <c r="AH100" s="265"/>
    </row>
    <row r="101" spans="1:34">
      <c r="A101" s="883" t="s">
        <v>15</v>
      </c>
      <c r="B101" s="240" t="s">
        <v>53</v>
      </c>
      <c r="C101" s="613">
        <f t="shared" ref="C101:M107" si="56">IF(S$107&gt;0,(S101/S$107),0)</f>
        <v>0.30078936435396758</v>
      </c>
      <c r="D101" s="614">
        <f t="shared" si="56"/>
        <v>0.33333333333333331</v>
      </c>
      <c r="E101" s="614">
        <f t="shared" si="56"/>
        <v>0.33703703703703702</v>
      </c>
      <c r="F101" s="614">
        <f t="shared" si="56"/>
        <v>0</v>
      </c>
      <c r="G101" s="614">
        <f t="shared" si="56"/>
        <v>0.28865979381443296</v>
      </c>
      <c r="H101" s="615">
        <f t="shared" si="56"/>
        <v>0</v>
      </c>
      <c r="I101" s="613">
        <f t="shared" si="56"/>
        <v>0.31908182933239881</v>
      </c>
      <c r="J101" s="613">
        <f t="shared" si="56"/>
        <v>0</v>
      </c>
      <c r="K101" s="614">
        <f t="shared" si="56"/>
        <v>0</v>
      </c>
      <c r="L101" s="614">
        <f t="shared" si="56"/>
        <v>0</v>
      </c>
      <c r="M101" s="614">
        <f t="shared" si="56"/>
        <v>0</v>
      </c>
      <c r="N101" s="613">
        <f t="shared" ref="N101:Q107" si="57">IF(AE$107&gt;0,(AE101/AE$107),0)</f>
        <v>0.10851871947911014</v>
      </c>
      <c r="O101" s="788">
        <f t="shared" si="57"/>
        <v>0</v>
      </c>
      <c r="P101" s="614">
        <f t="shared" si="57"/>
        <v>0</v>
      </c>
      <c r="Q101" s="788">
        <f t="shared" si="57"/>
        <v>0</v>
      </c>
      <c r="R101" s="244"/>
      <c r="S101" s="245">
        <v>724</v>
      </c>
      <c r="T101" s="246">
        <v>103</v>
      </c>
      <c r="U101" s="246">
        <v>910</v>
      </c>
      <c r="V101" s="246"/>
      <c r="W101" s="246">
        <v>84</v>
      </c>
      <c r="X101" s="246"/>
      <c r="Y101" s="247">
        <v>1821</v>
      </c>
      <c r="Z101" s="245"/>
      <c r="AA101" s="246"/>
      <c r="AB101" s="246"/>
      <c r="AC101" s="246"/>
      <c r="AD101" s="246"/>
      <c r="AE101" s="247">
        <v>200</v>
      </c>
      <c r="AF101" s="245"/>
      <c r="AG101" s="246"/>
      <c r="AH101" s="245"/>
    </row>
    <row r="102" spans="1:34">
      <c r="A102" s="886"/>
      <c r="B102" s="239" t="s">
        <v>93</v>
      </c>
      <c r="C102" s="624">
        <f t="shared" si="56"/>
        <v>0.25841296219360199</v>
      </c>
      <c r="D102" s="625">
        <f t="shared" si="56"/>
        <v>0.33980582524271846</v>
      </c>
      <c r="E102" s="625">
        <f t="shared" si="56"/>
        <v>0.22925925925925925</v>
      </c>
      <c r="F102" s="625">
        <f t="shared" si="56"/>
        <v>0</v>
      </c>
      <c r="G102" s="625">
        <f t="shared" si="56"/>
        <v>0.23024054982817868</v>
      </c>
      <c r="H102" s="626">
        <f t="shared" si="56"/>
        <v>0</v>
      </c>
      <c r="I102" s="624">
        <f t="shared" si="56"/>
        <v>0.24759067811459612</v>
      </c>
      <c r="J102" s="624">
        <f t="shared" si="56"/>
        <v>0</v>
      </c>
      <c r="K102" s="625">
        <f t="shared" si="56"/>
        <v>0</v>
      </c>
      <c r="L102" s="625">
        <f t="shared" si="56"/>
        <v>0</v>
      </c>
      <c r="M102" s="625">
        <f t="shared" si="56"/>
        <v>0</v>
      </c>
      <c r="N102" s="624">
        <f t="shared" si="57"/>
        <v>0.41074335322843192</v>
      </c>
      <c r="O102" s="624">
        <f t="shared" si="57"/>
        <v>0</v>
      </c>
      <c r="P102" s="625">
        <f t="shared" si="57"/>
        <v>0</v>
      </c>
      <c r="Q102" s="624">
        <f t="shared" si="57"/>
        <v>0</v>
      </c>
      <c r="R102" s="253"/>
      <c r="S102" s="254">
        <v>622</v>
      </c>
      <c r="T102" s="255">
        <v>105</v>
      </c>
      <c r="U102" s="255">
        <v>619</v>
      </c>
      <c r="V102" s="255"/>
      <c r="W102" s="255">
        <v>67</v>
      </c>
      <c r="X102" s="255"/>
      <c r="Y102" s="256">
        <v>1413</v>
      </c>
      <c r="Z102" s="254"/>
      <c r="AA102" s="255"/>
      <c r="AB102" s="255"/>
      <c r="AC102" s="255"/>
      <c r="AD102" s="255"/>
      <c r="AE102" s="256">
        <v>757</v>
      </c>
      <c r="AF102" s="254"/>
      <c r="AG102" s="255"/>
      <c r="AH102" s="254"/>
    </row>
    <row r="103" spans="1:34">
      <c r="A103" s="886"/>
      <c r="B103" s="239" t="s">
        <v>55</v>
      </c>
      <c r="C103" s="624">
        <f t="shared" si="56"/>
        <v>0.24387203988367262</v>
      </c>
      <c r="D103" s="625">
        <f t="shared" si="56"/>
        <v>0.23300970873786409</v>
      </c>
      <c r="E103" s="625">
        <f t="shared" si="56"/>
        <v>0.24111111111111111</v>
      </c>
      <c r="F103" s="625">
        <f t="shared" si="56"/>
        <v>0</v>
      </c>
      <c r="G103" s="625">
        <f t="shared" si="56"/>
        <v>0.22680412371134021</v>
      </c>
      <c r="H103" s="626">
        <f t="shared" si="56"/>
        <v>0</v>
      </c>
      <c r="I103" s="624">
        <f t="shared" si="56"/>
        <v>0.24110741195023655</v>
      </c>
      <c r="J103" s="624">
        <f t="shared" si="56"/>
        <v>0</v>
      </c>
      <c r="K103" s="625">
        <f t="shared" si="56"/>
        <v>0</v>
      </c>
      <c r="L103" s="625">
        <f t="shared" si="56"/>
        <v>0</v>
      </c>
      <c r="M103" s="625">
        <f t="shared" si="56"/>
        <v>0</v>
      </c>
      <c r="N103" s="624">
        <f t="shared" si="57"/>
        <v>0.22680412371134021</v>
      </c>
      <c r="O103" s="624">
        <f t="shared" si="57"/>
        <v>0</v>
      </c>
      <c r="P103" s="625">
        <f t="shared" si="57"/>
        <v>0</v>
      </c>
      <c r="Q103" s="624">
        <f t="shared" si="57"/>
        <v>0</v>
      </c>
      <c r="R103" s="253"/>
      <c r="S103" s="254">
        <v>587</v>
      </c>
      <c r="T103" s="255">
        <v>72</v>
      </c>
      <c r="U103" s="255">
        <v>651</v>
      </c>
      <c r="V103" s="255"/>
      <c r="W103" s="255">
        <v>66</v>
      </c>
      <c r="X103" s="255"/>
      <c r="Y103" s="256">
        <v>1376</v>
      </c>
      <c r="Z103" s="254"/>
      <c r="AA103" s="255"/>
      <c r="AB103" s="255"/>
      <c r="AC103" s="255"/>
      <c r="AD103" s="255"/>
      <c r="AE103" s="256">
        <v>418</v>
      </c>
      <c r="AF103" s="254"/>
      <c r="AG103" s="255"/>
      <c r="AH103" s="254"/>
    </row>
    <row r="104" spans="1:34">
      <c r="A104" s="886"/>
      <c r="B104" s="239" t="s">
        <v>78</v>
      </c>
      <c r="C104" s="624">
        <f t="shared" si="56"/>
        <v>7.4781886165351058E-2</v>
      </c>
      <c r="D104" s="625">
        <f t="shared" si="56"/>
        <v>9.7087378640776691E-3</v>
      </c>
      <c r="E104" s="625">
        <f t="shared" si="56"/>
        <v>6.5555555555555561E-2</v>
      </c>
      <c r="F104" s="625">
        <f t="shared" si="56"/>
        <v>0</v>
      </c>
      <c r="G104" s="625">
        <f t="shared" si="56"/>
        <v>4.4673539518900345E-2</v>
      </c>
      <c r="H104" s="626">
        <f t="shared" si="56"/>
        <v>0</v>
      </c>
      <c r="I104" s="624">
        <f t="shared" si="56"/>
        <v>6.5358331873138248E-2</v>
      </c>
      <c r="J104" s="624">
        <f t="shared" si="56"/>
        <v>0</v>
      </c>
      <c r="K104" s="625">
        <f t="shared" si="56"/>
        <v>0</v>
      </c>
      <c r="L104" s="625">
        <f t="shared" si="56"/>
        <v>0</v>
      </c>
      <c r="M104" s="625">
        <f t="shared" si="56"/>
        <v>0</v>
      </c>
      <c r="N104" s="624">
        <f t="shared" si="57"/>
        <v>0.25339120998372217</v>
      </c>
      <c r="O104" s="624">
        <f t="shared" si="57"/>
        <v>0</v>
      </c>
      <c r="P104" s="625">
        <f t="shared" si="57"/>
        <v>0</v>
      </c>
      <c r="Q104" s="624">
        <f t="shared" si="57"/>
        <v>0</v>
      </c>
      <c r="R104" s="253"/>
      <c r="S104" s="254">
        <v>180</v>
      </c>
      <c r="T104" s="255">
        <v>3</v>
      </c>
      <c r="U104" s="255">
        <v>177</v>
      </c>
      <c r="V104" s="255"/>
      <c r="W104" s="255">
        <v>13</v>
      </c>
      <c r="X104" s="255"/>
      <c r="Y104" s="256">
        <v>373</v>
      </c>
      <c r="Z104" s="254"/>
      <c r="AA104" s="255"/>
      <c r="AB104" s="255"/>
      <c r="AC104" s="255"/>
      <c r="AD104" s="255"/>
      <c r="AE104" s="256">
        <v>467</v>
      </c>
      <c r="AF104" s="254"/>
      <c r="AG104" s="255"/>
      <c r="AH104" s="254"/>
    </row>
    <row r="105" spans="1:34">
      <c r="A105" s="886"/>
      <c r="B105" s="239" t="s">
        <v>32</v>
      </c>
      <c r="C105" s="624">
        <f t="shared" si="56"/>
        <v>0.1196510178645617</v>
      </c>
      <c r="D105" s="625">
        <f t="shared" si="56"/>
        <v>0</v>
      </c>
      <c r="E105" s="625">
        <f t="shared" si="56"/>
        <v>0.12592592592592591</v>
      </c>
      <c r="F105" s="625">
        <f t="shared" si="56"/>
        <v>0</v>
      </c>
      <c r="G105" s="625">
        <f t="shared" si="56"/>
        <v>0.20962199312714777</v>
      </c>
      <c r="H105" s="626">
        <f t="shared" si="56"/>
        <v>0</v>
      </c>
      <c r="I105" s="624">
        <f t="shared" si="56"/>
        <v>0.12072892938496584</v>
      </c>
      <c r="J105" s="624">
        <f t="shared" si="56"/>
        <v>0</v>
      </c>
      <c r="K105" s="790">
        <f t="shared" si="56"/>
        <v>0</v>
      </c>
      <c r="L105" s="625">
        <f t="shared" si="56"/>
        <v>0</v>
      </c>
      <c r="M105" s="625">
        <f t="shared" si="56"/>
        <v>0</v>
      </c>
      <c r="N105" s="791">
        <f t="shared" si="57"/>
        <v>0</v>
      </c>
      <c r="O105" s="624">
        <f t="shared" si="57"/>
        <v>0</v>
      </c>
      <c r="P105" s="625">
        <f t="shared" si="57"/>
        <v>0</v>
      </c>
      <c r="Q105" s="624">
        <f t="shared" si="57"/>
        <v>0</v>
      </c>
      <c r="R105" s="253"/>
      <c r="S105" s="254">
        <v>288</v>
      </c>
      <c r="T105" s="255"/>
      <c r="U105" s="255">
        <v>340</v>
      </c>
      <c r="V105" s="255"/>
      <c r="W105" s="255">
        <v>61</v>
      </c>
      <c r="X105" s="255"/>
      <c r="Y105" s="256">
        <v>689</v>
      </c>
      <c r="Z105" s="254"/>
      <c r="AA105" s="255"/>
      <c r="AB105" s="255"/>
      <c r="AC105" s="255"/>
      <c r="AD105" s="255"/>
      <c r="AE105" s="256"/>
      <c r="AF105" s="254"/>
      <c r="AG105" s="255"/>
      <c r="AH105" s="254"/>
    </row>
    <row r="106" spans="1:34">
      <c r="A106" s="886"/>
      <c r="B106" s="239" t="s">
        <v>58</v>
      </c>
      <c r="C106" s="624">
        <f t="shared" si="56"/>
        <v>2.4927295388450354E-3</v>
      </c>
      <c r="D106" s="625">
        <f t="shared" si="56"/>
        <v>8.4142394822006472E-2</v>
      </c>
      <c r="E106" s="792">
        <f t="shared" si="56"/>
        <v>1.1111111111111111E-3</v>
      </c>
      <c r="F106" s="625">
        <f t="shared" si="56"/>
        <v>0</v>
      </c>
      <c r="G106" s="792">
        <f t="shared" si="56"/>
        <v>0</v>
      </c>
      <c r="H106" s="626">
        <f t="shared" si="56"/>
        <v>0</v>
      </c>
      <c r="I106" s="793">
        <f t="shared" si="56"/>
        <v>6.1328193446644474E-3</v>
      </c>
      <c r="J106" s="624">
        <f t="shared" si="56"/>
        <v>0</v>
      </c>
      <c r="K106" s="625">
        <f t="shared" si="56"/>
        <v>0</v>
      </c>
      <c r="L106" s="625">
        <f t="shared" si="56"/>
        <v>0</v>
      </c>
      <c r="M106" s="625">
        <f t="shared" si="56"/>
        <v>0</v>
      </c>
      <c r="N106" s="624">
        <f t="shared" si="57"/>
        <v>5.4259359739555074E-4</v>
      </c>
      <c r="O106" s="624">
        <f t="shared" si="57"/>
        <v>0</v>
      </c>
      <c r="P106" s="625">
        <f t="shared" si="57"/>
        <v>0</v>
      </c>
      <c r="Q106" s="624">
        <f t="shared" si="57"/>
        <v>0</v>
      </c>
      <c r="R106" s="253"/>
      <c r="S106" s="254">
        <v>6</v>
      </c>
      <c r="T106" s="255">
        <v>26</v>
      </c>
      <c r="U106" s="255">
        <v>3</v>
      </c>
      <c r="V106" s="255"/>
      <c r="W106" s="255"/>
      <c r="X106" s="255"/>
      <c r="Y106" s="256">
        <v>35</v>
      </c>
      <c r="Z106" s="254"/>
      <c r="AA106" s="255"/>
      <c r="AB106" s="255"/>
      <c r="AC106" s="255"/>
      <c r="AD106" s="255"/>
      <c r="AE106" s="256">
        <v>1</v>
      </c>
      <c r="AF106" s="254"/>
      <c r="AG106" s="255"/>
      <c r="AH106" s="254"/>
    </row>
    <row r="107" spans="1:34">
      <c r="A107" s="887"/>
      <c r="B107" s="436" t="s">
        <v>59</v>
      </c>
      <c r="C107" s="577">
        <f t="shared" si="56"/>
        <v>1</v>
      </c>
      <c r="D107" s="578">
        <f t="shared" si="56"/>
        <v>1</v>
      </c>
      <c r="E107" s="578">
        <f t="shared" si="56"/>
        <v>1</v>
      </c>
      <c r="F107" s="578">
        <f t="shared" si="56"/>
        <v>0</v>
      </c>
      <c r="G107" s="578">
        <f t="shared" si="56"/>
        <v>1</v>
      </c>
      <c r="H107" s="579">
        <f t="shared" si="56"/>
        <v>0</v>
      </c>
      <c r="I107" s="577">
        <f t="shared" si="56"/>
        <v>1</v>
      </c>
      <c r="J107" s="577">
        <f t="shared" si="56"/>
        <v>0</v>
      </c>
      <c r="K107" s="578">
        <f t="shared" si="56"/>
        <v>0</v>
      </c>
      <c r="L107" s="578">
        <f t="shared" si="56"/>
        <v>0</v>
      </c>
      <c r="M107" s="578">
        <f t="shared" si="56"/>
        <v>0</v>
      </c>
      <c r="N107" s="577">
        <f t="shared" si="57"/>
        <v>1</v>
      </c>
      <c r="O107" s="577">
        <f t="shared" si="57"/>
        <v>0</v>
      </c>
      <c r="P107" s="578">
        <f t="shared" si="57"/>
        <v>0</v>
      </c>
      <c r="Q107" s="577">
        <f t="shared" si="57"/>
        <v>0</v>
      </c>
      <c r="R107" s="264"/>
      <c r="S107" s="265">
        <v>2407</v>
      </c>
      <c r="T107" s="266">
        <v>309</v>
      </c>
      <c r="U107" s="266">
        <v>2700</v>
      </c>
      <c r="V107" s="266"/>
      <c r="W107" s="266">
        <v>291</v>
      </c>
      <c r="X107" s="266"/>
      <c r="Y107" s="267">
        <v>5707</v>
      </c>
      <c r="Z107" s="265"/>
      <c r="AA107" s="266"/>
      <c r="AB107" s="266"/>
      <c r="AC107" s="266"/>
      <c r="AD107" s="266"/>
      <c r="AE107" s="267">
        <v>1843</v>
      </c>
      <c r="AF107" s="265"/>
      <c r="AG107" s="266"/>
      <c r="AH107" s="265"/>
    </row>
    <row r="108" spans="1:34">
      <c r="A108" s="883" t="s">
        <v>16</v>
      </c>
      <c r="B108" s="240" t="s">
        <v>53</v>
      </c>
      <c r="C108" s="613">
        <f t="shared" ref="C108:M114" si="58">IF(S$114&gt;0,(S108/S$114),0)</f>
        <v>0.31761035147288247</v>
      </c>
      <c r="D108" s="614">
        <f t="shared" si="58"/>
        <v>0.25439503619441572</v>
      </c>
      <c r="E108" s="614">
        <f t="shared" si="58"/>
        <v>0.20446187791125275</v>
      </c>
      <c r="F108" s="614">
        <f t="shared" si="58"/>
        <v>0.1649122807017544</v>
      </c>
      <c r="G108" s="614">
        <f t="shared" si="58"/>
        <v>0.12416851441241686</v>
      </c>
      <c r="H108" s="615">
        <f t="shared" si="58"/>
        <v>0</v>
      </c>
      <c r="I108" s="613">
        <f t="shared" si="58"/>
        <v>0.26347525891829687</v>
      </c>
      <c r="J108" s="613">
        <f t="shared" si="58"/>
        <v>0</v>
      </c>
      <c r="K108" s="614">
        <f t="shared" si="58"/>
        <v>0</v>
      </c>
      <c r="L108" s="614">
        <f t="shared" si="58"/>
        <v>0</v>
      </c>
      <c r="M108" s="614">
        <f t="shared" si="58"/>
        <v>0</v>
      </c>
      <c r="N108" s="613">
        <f t="shared" ref="N108:Q114" si="59">IF(AE$114&gt;0,(AE108/AE$114),0)</f>
        <v>0.2283935033240764</v>
      </c>
      <c r="O108" s="788">
        <f t="shared" si="59"/>
        <v>0</v>
      </c>
      <c r="P108" s="614">
        <f t="shared" si="59"/>
        <v>0</v>
      </c>
      <c r="Q108" s="788">
        <f t="shared" si="59"/>
        <v>1.5296367112810707E-2</v>
      </c>
      <c r="R108" s="244"/>
      <c r="S108" s="245">
        <v>3461</v>
      </c>
      <c r="T108" s="246">
        <v>492</v>
      </c>
      <c r="U108" s="246">
        <v>1668</v>
      </c>
      <c r="V108" s="246">
        <v>47</v>
      </c>
      <c r="W108" s="246">
        <v>56</v>
      </c>
      <c r="X108" s="246"/>
      <c r="Y108" s="247">
        <v>5724</v>
      </c>
      <c r="Z108" s="245"/>
      <c r="AA108" s="246"/>
      <c r="AB108" s="246"/>
      <c r="AC108" s="246"/>
      <c r="AD108" s="246"/>
      <c r="AE108" s="247">
        <v>2714</v>
      </c>
      <c r="AF108" s="245"/>
      <c r="AG108" s="246"/>
      <c r="AH108" s="245">
        <v>8</v>
      </c>
    </row>
    <row r="109" spans="1:34">
      <c r="A109" s="886"/>
      <c r="B109" s="239" t="s">
        <v>93</v>
      </c>
      <c r="C109" s="624">
        <f t="shared" si="58"/>
        <v>0.24291089290630449</v>
      </c>
      <c r="D109" s="625">
        <f t="shared" si="58"/>
        <v>0.30403309203722856</v>
      </c>
      <c r="E109" s="625">
        <f t="shared" si="58"/>
        <v>0.24479038980142193</v>
      </c>
      <c r="F109" s="625">
        <f t="shared" si="58"/>
        <v>0.24210526315789474</v>
      </c>
      <c r="G109" s="625">
        <f t="shared" si="58"/>
        <v>0.3303769401330377</v>
      </c>
      <c r="H109" s="626">
        <f t="shared" si="58"/>
        <v>0</v>
      </c>
      <c r="I109" s="624">
        <f t="shared" si="58"/>
        <v>0.25086306098964328</v>
      </c>
      <c r="J109" s="624">
        <f t="shared" si="58"/>
        <v>0</v>
      </c>
      <c r="K109" s="625">
        <f t="shared" si="58"/>
        <v>0</v>
      </c>
      <c r="L109" s="625">
        <f t="shared" si="58"/>
        <v>0</v>
      </c>
      <c r="M109" s="625">
        <f t="shared" si="58"/>
        <v>0</v>
      </c>
      <c r="N109" s="624">
        <f t="shared" si="59"/>
        <v>9.829167718589582E-2</v>
      </c>
      <c r="O109" s="624">
        <f t="shared" si="59"/>
        <v>0</v>
      </c>
      <c r="P109" s="625">
        <f t="shared" si="59"/>
        <v>0</v>
      </c>
      <c r="Q109" s="624">
        <f t="shared" si="59"/>
        <v>9.5602294455066919E-2</v>
      </c>
      <c r="R109" s="253"/>
      <c r="S109" s="254">
        <v>2647</v>
      </c>
      <c r="T109" s="255">
        <v>588</v>
      </c>
      <c r="U109" s="255">
        <v>1997</v>
      </c>
      <c r="V109" s="255">
        <v>69</v>
      </c>
      <c r="W109" s="255">
        <v>149</v>
      </c>
      <c r="X109" s="255"/>
      <c r="Y109" s="256">
        <v>5450</v>
      </c>
      <c r="Z109" s="254"/>
      <c r="AA109" s="255"/>
      <c r="AB109" s="255"/>
      <c r="AC109" s="255"/>
      <c r="AD109" s="255"/>
      <c r="AE109" s="256">
        <v>1168</v>
      </c>
      <c r="AF109" s="254"/>
      <c r="AG109" s="255"/>
      <c r="AH109" s="254">
        <v>50</v>
      </c>
    </row>
    <row r="110" spans="1:34">
      <c r="A110" s="886"/>
      <c r="B110" s="239" t="s">
        <v>55</v>
      </c>
      <c r="C110" s="624">
        <f t="shared" si="58"/>
        <v>0.1529778838212352</v>
      </c>
      <c r="D110" s="625">
        <f t="shared" si="58"/>
        <v>0.23216132368148915</v>
      </c>
      <c r="E110" s="625">
        <f t="shared" si="58"/>
        <v>0.2659965677862221</v>
      </c>
      <c r="F110" s="625">
        <f t="shared" si="58"/>
        <v>0.35438596491228069</v>
      </c>
      <c r="G110" s="625">
        <f t="shared" si="58"/>
        <v>0.27494456762749447</v>
      </c>
      <c r="H110" s="626">
        <f t="shared" si="58"/>
        <v>0</v>
      </c>
      <c r="I110" s="624">
        <f t="shared" si="58"/>
        <v>0.20764096662830839</v>
      </c>
      <c r="J110" s="624">
        <f t="shared" si="58"/>
        <v>0</v>
      </c>
      <c r="K110" s="625">
        <f t="shared" si="58"/>
        <v>0</v>
      </c>
      <c r="L110" s="625">
        <f t="shared" si="58"/>
        <v>0</v>
      </c>
      <c r="M110" s="625">
        <f t="shared" si="58"/>
        <v>0</v>
      </c>
      <c r="N110" s="624">
        <f t="shared" si="59"/>
        <v>9.0465370697635272E-2</v>
      </c>
      <c r="O110" s="624">
        <f t="shared" si="59"/>
        <v>0</v>
      </c>
      <c r="P110" s="625">
        <f t="shared" si="59"/>
        <v>0</v>
      </c>
      <c r="Q110" s="624">
        <f t="shared" si="59"/>
        <v>0</v>
      </c>
      <c r="R110" s="253"/>
      <c r="S110" s="254">
        <v>1667</v>
      </c>
      <c r="T110" s="255">
        <v>449</v>
      </c>
      <c r="U110" s="255">
        <v>2170</v>
      </c>
      <c r="V110" s="255">
        <v>101</v>
      </c>
      <c r="W110" s="255">
        <v>124</v>
      </c>
      <c r="X110" s="255"/>
      <c r="Y110" s="256">
        <v>4511</v>
      </c>
      <c r="Z110" s="254"/>
      <c r="AA110" s="255"/>
      <c r="AB110" s="255"/>
      <c r="AC110" s="255"/>
      <c r="AD110" s="255"/>
      <c r="AE110" s="256">
        <v>1075</v>
      </c>
      <c r="AF110" s="254"/>
      <c r="AG110" s="255"/>
      <c r="AH110" s="254"/>
    </row>
    <row r="111" spans="1:34">
      <c r="A111" s="886"/>
      <c r="B111" s="239" t="s">
        <v>78</v>
      </c>
      <c r="C111" s="624">
        <f t="shared" si="58"/>
        <v>5.2032669542075798E-2</v>
      </c>
      <c r="D111" s="625">
        <f t="shared" si="58"/>
        <v>1.5511892450879006E-3</v>
      </c>
      <c r="E111" s="625">
        <f t="shared" si="58"/>
        <v>6.3128217700416767E-2</v>
      </c>
      <c r="F111" s="625">
        <f t="shared" si="58"/>
        <v>6.3157894736842107E-2</v>
      </c>
      <c r="G111" s="625">
        <f t="shared" si="58"/>
        <v>1.5521064301552107E-2</v>
      </c>
      <c r="H111" s="626">
        <f t="shared" si="58"/>
        <v>0</v>
      </c>
      <c r="I111" s="624">
        <f t="shared" si="58"/>
        <v>5.1093210586881474E-2</v>
      </c>
      <c r="J111" s="624">
        <f t="shared" si="58"/>
        <v>0</v>
      </c>
      <c r="K111" s="625">
        <f t="shared" si="58"/>
        <v>0</v>
      </c>
      <c r="L111" s="625">
        <f t="shared" si="58"/>
        <v>0</v>
      </c>
      <c r="M111" s="625">
        <f t="shared" si="58"/>
        <v>0</v>
      </c>
      <c r="N111" s="624">
        <f t="shared" si="59"/>
        <v>0.37010855844483714</v>
      </c>
      <c r="O111" s="624">
        <f t="shared" si="59"/>
        <v>0</v>
      </c>
      <c r="P111" s="625">
        <f t="shared" si="59"/>
        <v>0</v>
      </c>
      <c r="Q111" s="624">
        <f t="shared" si="59"/>
        <v>0.86998087954110903</v>
      </c>
      <c r="R111" s="253"/>
      <c r="S111" s="254">
        <v>567</v>
      </c>
      <c r="T111" s="255">
        <v>3</v>
      </c>
      <c r="U111" s="255">
        <v>515</v>
      </c>
      <c r="V111" s="255">
        <v>18</v>
      </c>
      <c r="W111" s="255">
        <v>7</v>
      </c>
      <c r="X111" s="255"/>
      <c r="Y111" s="256">
        <v>1110</v>
      </c>
      <c r="Z111" s="254"/>
      <c r="AA111" s="255"/>
      <c r="AB111" s="255"/>
      <c r="AC111" s="255"/>
      <c r="AD111" s="255"/>
      <c r="AE111" s="256">
        <v>4398</v>
      </c>
      <c r="AF111" s="254"/>
      <c r="AG111" s="255"/>
      <c r="AH111" s="254">
        <v>455</v>
      </c>
    </row>
    <row r="112" spans="1:34">
      <c r="A112" s="886"/>
      <c r="B112" s="239" t="s">
        <v>32</v>
      </c>
      <c r="C112" s="624">
        <f t="shared" si="58"/>
        <v>0.14627879232816371</v>
      </c>
      <c r="D112" s="625">
        <f t="shared" si="58"/>
        <v>0.2078593588417787</v>
      </c>
      <c r="E112" s="625">
        <f t="shared" si="58"/>
        <v>0.18337827898994852</v>
      </c>
      <c r="F112" s="625">
        <f t="shared" si="58"/>
        <v>8.0701754385964913E-2</v>
      </c>
      <c r="G112" s="625">
        <f t="shared" si="58"/>
        <v>0.23725055432372505</v>
      </c>
      <c r="H112" s="626">
        <f t="shared" si="58"/>
        <v>0</v>
      </c>
      <c r="I112" s="624">
        <f t="shared" si="58"/>
        <v>0.16672036823935557</v>
      </c>
      <c r="J112" s="624">
        <f t="shared" si="58"/>
        <v>0</v>
      </c>
      <c r="K112" s="625">
        <f t="shared" si="58"/>
        <v>0</v>
      </c>
      <c r="L112" s="790">
        <f t="shared" si="58"/>
        <v>0</v>
      </c>
      <c r="M112" s="790">
        <f t="shared" si="58"/>
        <v>0</v>
      </c>
      <c r="N112" s="624">
        <f t="shared" si="59"/>
        <v>8.3312294875031549E-3</v>
      </c>
      <c r="O112" s="624">
        <f t="shared" si="59"/>
        <v>0</v>
      </c>
      <c r="P112" s="625">
        <f t="shared" si="59"/>
        <v>0</v>
      </c>
      <c r="Q112" s="624">
        <f t="shared" si="59"/>
        <v>0</v>
      </c>
      <c r="R112" s="253"/>
      <c r="S112" s="254">
        <v>1594</v>
      </c>
      <c r="T112" s="255">
        <v>402</v>
      </c>
      <c r="U112" s="255">
        <v>1496</v>
      </c>
      <c r="V112" s="255">
        <v>23</v>
      </c>
      <c r="W112" s="255">
        <v>107</v>
      </c>
      <c r="X112" s="255"/>
      <c r="Y112" s="256">
        <v>3622</v>
      </c>
      <c r="Z112" s="254"/>
      <c r="AA112" s="255"/>
      <c r="AB112" s="255"/>
      <c r="AC112" s="255"/>
      <c r="AD112" s="255"/>
      <c r="AE112" s="256">
        <v>99</v>
      </c>
      <c r="AF112" s="254"/>
      <c r="AG112" s="255"/>
      <c r="AH112" s="254"/>
    </row>
    <row r="113" spans="1:34">
      <c r="A113" s="886"/>
      <c r="B113" s="239" t="s">
        <v>58</v>
      </c>
      <c r="C113" s="624">
        <f t="shared" si="58"/>
        <v>8.8189409929338353E-2</v>
      </c>
      <c r="D113" s="625">
        <f t="shared" si="58"/>
        <v>0</v>
      </c>
      <c r="E113" s="625">
        <f t="shared" si="58"/>
        <v>3.8244667810737924E-2</v>
      </c>
      <c r="F113" s="625">
        <f t="shared" si="58"/>
        <v>9.4736842105263161E-2</v>
      </c>
      <c r="G113" s="625">
        <f t="shared" si="58"/>
        <v>1.7738359201773836E-2</v>
      </c>
      <c r="H113" s="626">
        <f t="shared" si="58"/>
        <v>0</v>
      </c>
      <c r="I113" s="624">
        <f t="shared" si="58"/>
        <v>6.0207134637514384E-2</v>
      </c>
      <c r="J113" s="624">
        <f t="shared" si="58"/>
        <v>0</v>
      </c>
      <c r="K113" s="625">
        <f t="shared" si="58"/>
        <v>0</v>
      </c>
      <c r="L113" s="625">
        <f t="shared" si="58"/>
        <v>0</v>
      </c>
      <c r="M113" s="625">
        <f t="shared" si="58"/>
        <v>0</v>
      </c>
      <c r="N113" s="624">
        <f t="shared" si="59"/>
        <v>0.20440966086005219</v>
      </c>
      <c r="O113" s="624">
        <f t="shared" si="59"/>
        <v>0</v>
      </c>
      <c r="P113" s="625">
        <f t="shared" si="59"/>
        <v>0</v>
      </c>
      <c r="Q113" s="624">
        <f t="shared" si="59"/>
        <v>1.9120458891013385E-2</v>
      </c>
      <c r="R113" s="253"/>
      <c r="S113" s="254">
        <v>961</v>
      </c>
      <c r="T113" s="255"/>
      <c r="U113" s="255">
        <v>312</v>
      </c>
      <c r="V113" s="255">
        <v>27</v>
      </c>
      <c r="W113" s="255">
        <v>8</v>
      </c>
      <c r="X113" s="255"/>
      <c r="Y113" s="256">
        <v>1308</v>
      </c>
      <c r="Z113" s="254"/>
      <c r="AA113" s="255"/>
      <c r="AB113" s="255"/>
      <c r="AC113" s="255"/>
      <c r="AD113" s="255"/>
      <c r="AE113" s="256">
        <v>2429</v>
      </c>
      <c r="AF113" s="254"/>
      <c r="AG113" s="255"/>
      <c r="AH113" s="254">
        <v>10</v>
      </c>
    </row>
    <row r="114" spans="1:34">
      <c r="A114" s="887"/>
      <c r="B114" s="436" t="s">
        <v>59</v>
      </c>
      <c r="C114" s="577">
        <f t="shared" si="58"/>
        <v>1</v>
      </c>
      <c r="D114" s="578">
        <f t="shared" si="58"/>
        <v>1</v>
      </c>
      <c r="E114" s="578">
        <f t="shared" si="58"/>
        <v>1</v>
      </c>
      <c r="F114" s="578">
        <f t="shared" si="58"/>
        <v>1</v>
      </c>
      <c r="G114" s="578">
        <f t="shared" si="58"/>
        <v>1</v>
      </c>
      <c r="H114" s="579">
        <f t="shared" si="58"/>
        <v>0</v>
      </c>
      <c r="I114" s="577">
        <f t="shared" si="58"/>
        <v>1</v>
      </c>
      <c r="J114" s="577">
        <f t="shared" si="58"/>
        <v>0</v>
      </c>
      <c r="K114" s="578">
        <f t="shared" si="58"/>
        <v>0</v>
      </c>
      <c r="L114" s="578">
        <f t="shared" si="58"/>
        <v>0</v>
      </c>
      <c r="M114" s="578">
        <f t="shared" si="58"/>
        <v>0</v>
      </c>
      <c r="N114" s="577">
        <f t="shared" si="59"/>
        <v>1</v>
      </c>
      <c r="O114" s="577">
        <f t="shared" si="59"/>
        <v>0</v>
      </c>
      <c r="P114" s="578">
        <f t="shared" si="59"/>
        <v>0</v>
      </c>
      <c r="Q114" s="577">
        <f t="shared" si="59"/>
        <v>1</v>
      </c>
      <c r="R114" s="264"/>
      <c r="S114" s="265">
        <v>10897</v>
      </c>
      <c r="T114" s="266">
        <v>1934</v>
      </c>
      <c r="U114" s="266">
        <v>8158</v>
      </c>
      <c r="V114" s="266">
        <v>285</v>
      </c>
      <c r="W114" s="266">
        <v>451</v>
      </c>
      <c r="X114" s="266"/>
      <c r="Y114" s="267">
        <v>21725</v>
      </c>
      <c r="Z114" s="265"/>
      <c r="AA114" s="266"/>
      <c r="AB114" s="266"/>
      <c r="AC114" s="266"/>
      <c r="AD114" s="266"/>
      <c r="AE114" s="267">
        <v>11883</v>
      </c>
      <c r="AF114" s="265"/>
      <c r="AG114" s="266"/>
      <c r="AH114" s="265">
        <v>523</v>
      </c>
    </row>
    <row r="115" spans="1:34">
      <c r="A115" s="883" t="s">
        <v>17</v>
      </c>
      <c r="B115" s="240" t="s">
        <v>53</v>
      </c>
      <c r="C115" s="613">
        <f t="shared" ref="C115:M121" si="60">IF(S$121&gt;0,(S115/S$121),0)</f>
        <v>0.33449007133217662</v>
      </c>
      <c r="D115" s="614">
        <f t="shared" si="60"/>
        <v>0.23519913885898816</v>
      </c>
      <c r="E115" s="614">
        <f t="shared" si="60"/>
        <v>0.28336673346693386</v>
      </c>
      <c r="F115" s="614">
        <f t="shared" si="60"/>
        <v>0</v>
      </c>
      <c r="G115" s="614">
        <f t="shared" si="60"/>
        <v>0.13818181818181818</v>
      </c>
      <c r="H115" s="615">
        <f t="shared" si="60"/>
        <v>0.22549019607843138</v>
      </c>
      <c r="I115" s="613">
        <f t="shared" si="60"/>
        <v>0.29646062317233035</v>
      </c>
      <c r="J115" s="613">
        <f t="shared" si="60"/>
        <v>0</v>
      </c>
      <c r="K115" s="614">
        <f t="shared" si="60"/>
        <v>0</v>
      </c>
      <c r="L115" s="614">
        <f t="shared" si="60"/>
        <v>0</v>
      </c>
      <c r="M115" s="614">
        <f t="shared" si="60"/>
        <v>0</v>
      </c>
      <c r="N115" s="613">
        <f t="shared" ref="N115:Q121" si="61">IF(AE$121&gt;0,(AE115/AE$121),0)</f>
        <v>0.19222644697929869</v>
      </c>
      <c r="O115" s="788">
        <f t="shared" si="61"/>
        <v>0</v>
      </c>
      <c r="P115" s="614">
        <f t="shared" si="61"/>
        <v>0</v>
      </c>
      <c r="Q115" s="788">
        <f t="shared" si="61"/>
        <v>0</v>
      </c>
      <c r="R115" s="244"/>
      <c r="S115" s="245">
        <v>1735</v>
      </c>
      <c r="T115" s="246">
        <v>437</v>
      </c>
      <c r="U115" s="246">
        <v>707</v>
      </c>
      <c r="V115" s="246"/>
      <c r="W115" s="246">
        <v>38</v>
      </c>
      <c r="X115" s="246">
        <v>23</v>
      </c>
      <c r="Y115" s="247">
        <v>2940</v>
      </c>
      <c r="Z115" s="245"/>
      <c r="AA115" s="246"/>
      <c r="AB115" s="246"/>
      <c r="AC115" s="246"/>
      <c r="AD115" s="246"/>
      <c r="AE115" s="247">
        <v>455</v>
      </c>
      <c r="AF115" s="245"/>
      <c r="AG115" s="246"/>
      <c r="AH115" s="245"/>
    </row>
    <row r="116" spans="1:34">
      <c r="A116" s="886"/>
      <c r="B116" s="239" t="s">
        <v>93</v>
      </c>
      <c r="C116" s="624">
        <f t="shared" si="60"/>
        <v>0.30036630036630035</v>
      </c>
      <c r="D116" s="625">
        <f t="shared" si="60"/>
        <v>0.28740581270182991</v>
      </c>
      <c r="E116" s="625">
        <f t="shared" si="60"/>
        <v>0.29018036072144288</v>
      </c>
      <c r="F116" s="625">
        <f t="shared" si="60"/>
        <v>0</v>
      </c>
      <c r="G116" s="625">
        <f t="shared" si="60"/>
        <v>0.30545454545454548</v>
      </c>
      <c r="H116" s="626">
        <f t="shared" si="60"/>
        <v>0.23529411764705882</v>
      </c>
      <c r="I116" s="624">
        <f t="shared" si="60"/>
        <v>0.29484723202581425</v>
      </c>
      <c r="J116" s="624">
        <f t="shared" si="60"/>
        <v>0</v>
      </c>
      <c r="K116" s="625">
        <f t="shared" si="60"/>
        <v>0</v>
      </c>
      <c r="L116" s="625">
        <f t="shared" si="60"/>
        <v>0</v>
      </c>
      <c r="M116" s="625">
        <f t="shared" si="60"/>
        <v>0</v>
      </c>
      <c r="N116" s="624">
        <f t="shared" si="61"/>
        <v>0.30925221799746516</v>
      </c>
      <c r="O116" s="624">
        <f t="shared" si="61"/>
        <v>0</v>
      </c>
      <c r="P116" s="625">
        <f t="shared" si="61"/>
        <v>0</v>
      </c>
      <c r="Q116" s="624">
        <f t="shared" si="61"/>
        <v>0</v>
      </c>
      <c r="R116" s="253"/>
      <c r="S116" s="254">
        <v>1558</v>
      </c>
      <c r="T116" s="255">
        <v>534</v>
      </c>
      <c r="U116" s="255">
        <v>724</v>
      </c>
      <c r="V116" s="255"/>
      <c r="W116" s="255">
        <v>84</v>
      </c>
      <c r="X116" s="255">
        <v>24</v>
      </c>
      <c r="Y116" s="256">
        <v>2924</v>
      </c>
      <c r="Z116" s="254"/>
      <c r="AA116" s="255"/>
      <c r="AB116" s="255"/>
      <c r="AC116" s="255"/>
      <c r="AD116" s="255"/>
      <c r="AE116" s="256">
        <v>732</v>
      </c>
      <c r="AF116" s="254"/>
      <c r="AG116" s="255"/>
      <c r="AH116" s="254"/>
    </row>
    <row r="117" spans="1:34">
      <c r="A117" s="886"/>
      <c r="B117" s="239" t="s">
        <v>55</v>
      </c>
      <c r="C117" s="624">
        <f t="shared" si="60"/>
        <v>0.22344322344322345</v>
      </c>
      <c r="D117" s="625">
        <f t="shared" si="60"/>
        <v>0.33584499461786865</v>
      </c>
      <c r="E117" s="625">
        <f t="shared" si="60"/>
        <v>0.27454909819639278</v>
      </c>
      <c r="F117" s="625">
        <f t="shared" si="60"/>
        <v>0</v>
      </c>
      <c r="G117" s="625">
        <f t="shared" si="60"/>
        <v>0.23272727272727273</v>
      </c>
      <c r="H117" s="626">
        <f t="shared" si="60"/>
        <v>0.30392156862745096</v>
      </c>
      <c r="I117" s="624">
        <f t="shared" si="60"/>
        <v>0.25844509428254514</v>
      </c>
      <c r="J117" s="624">
        <f t="shared" si="60"/>
        <v>0</v>
      </c>
      <c r="K117" s="625">
        <f t="shared" si="60"/>
        <v>0</v>
      </c>
      <c r="L117" s="625">
        <f t="shared" si="60"/>
        <v>0</v>
      </c>
      <c r="M117" s="625">
        <f t="shared" si="60"/>
        <v>0</v>
      </c>
      <c r="N117" s="624">
        <f t="shared" si="61"/>
        <v>0.2902408111533587</v>
      </c>
      <c r="O117" s="624">
        <f t="shared" si="61"/>
        <v>0</v>
      </c>
      <c r="P117" s="625">
        <f t="shared" si="61"/>
        <v>0</v>
      </c>
      <c r="Q117" s="624">
        <f t="shared" si="61"/>
        <v>0</v>
      </c>
      <c r="R117" s="253"/>
      <c r="S117" s="254">
        <v>1159</v>
      </c>
      <c r="T117" s="255">
        <v>624</v>
      </c>
      <c r="U117" s="255">
        <v>685</v>
      </c>
      <c r="V117" s="255"/>
      <c r="W117" s="255">
        <v>64</v>
      </c>
      <c r="X117" s="255">
        <v>31</v>
      </c>
      <c r="Y117" s="256">
        <v>2563</v>
      </c>
      <c r="Z117" s="254"/>
      <c r="AA117" s="255"/>
      <c r="AB117" s="255"/>
      <c r="AC117" s="255"/>
      <c r="AD117" s="255"/>
      <c r="AE117" s="256">
        <v>687</v>
      </c>
      <c r="AF117" s="254"/>
      <c r="AG117" s="255"/>
      <c r="AH117" s="254"/>
    </row>
    <row r="118" spans="1:34">
      <c r="A118" s="886"/>
      <c r="B118" s="239" t="s">
        <v>78</v>
      </c>
      <c r="C118" s="624">
        <f t="shared" si="60"/>
        <v>6.6705224599961435E-2</v>
      </c>
      <c r="D118" s="625">
        <f t="shared" si="60"/>
        <v>0.11517761033369214</v>
      </c>
      <c r="E118" s="625">
        <f t="shared" si="60"/>
        <v>0.12585170340681362</v>
      </c>
      <c r="F118" s="625">
        <f t="shared" si="60"/>
        <v>0</v>
      </c>
      <c r="G118" s="625">
        <f t="shared" si="60"/>
        <v>0.12363636363636364</v>
      </c>
      <c r="H118" s="626">
        <f t="shared" si="60"/>
        <v>0.23529411764705882</v>
      </c>
      <c r="I118" s="624">
        <f t="shared" si="60"/>
        <v>9.3980034284561864E-2</v>
      </c>
      <c r="J118" s="624">
        <f t="shared" si="60"/>
        <v>0</v>
      </c>
      <c r="K118" s="625">
        <f t="shared" si="60"/>
        <v>0</v>
      </c>
      <c r="L118" s="625">
        <f t="shared" si="60"/>
        <v>0</v>
      </c>
      <c r="M118" s="625">
        <f t="shared" si="60"/>
        <v>0</v>
      </c>
      <c r="N118" s="624">
        <f t="shared" si="61"/>
        <v>0.19138149556400508</v>
      </c>
      <c r="O118" s="624">
        <f t="shared" si="61"/>
        <v>0</v>
      </c>
      <c r="P118" s="625">
        <f t="shared" si="61"/>
        <v>0</v>
      </c>
      <c r="Q118" s="624">
        <f t="shared" si="61"/>
        <v>0</v>
      </c>
      <c r="R118" s="253"/>
      <c r="S118" s="254">
        <v>346</v>
      </c>
      <c r="T118" s="255">
        <v>214</v>
      </c>
      <c r="U118" s="255">
        <v>314</v>
      </c>
      <c r="V118" s="255"/>
      <c r="W118" s="255">
        <v>34</v>
      </c>
      <c r="X118" s="255">
        <v>24</v>
      </c>
      <c r="Y118" s="256">
        <v>932</v>
      </c>
      <c r="Z118" s="254"/>
      <c r="AA118" s="255"/>
      <c r="AB118" s="255"/>
      <c r="AC118" s="255"/>
      <c r="AD118" s="255"/>
      <c r="AE118" s="256">
        <v>453</v>
      </c>
      <c r="AF118" s="254"/>
      <c r="AG118" s="255"/>
      <c r="AH118" s="254"/>
    </row>
    <row r="119" spans="1:34">
      <c r="A119" s="886"/>
      <c r="B119" s="239" t="s">
        <v>32</v>
      </c>
      <c r="C119" s="624">
        <f t="shared" si="60"/>
        <v>7.4995180258338151E-2</v>
      </c>
      <c r="D119" s="625">
        <f t="shared" si="60"/>
        <v>2.6372443487621099E-2</v>
      </c>
      <c r="E119" s="625">
        <f t="shared" si="60"/>
        <v>2.2845691382765532E-2</v>
      </c>
      <c r="F119" s="625">
        <f t="shared" si="60"/>
        <v>0</v>
      </c>
      <c r="G119" s="625">
        <f t="shared" si="60"/>
        <v>0.2</v>
      </c>
      <c r="H119" s="626">
        <f t="shared" si="60"/>
        <v>0</v>
      </c>
      <c r="I119" s="624">
        <f t="shared" si="60"/>
        <v>5.546032066149037E-2</v>
      </c>
      <c r="J119" s="624">
        <f t="shared" si="60"/>
        <v>0</v>
      </c>
      <c r="K119" s="625">
        <f t="shared" si="60"/>
        <v>0</v>
      </c>
      <c r="L119" s="625">
        <f t="shared" si="60"/>
        <v>0</v>
      </c>
      <c r="M119" s="625">
        <f t="shared" si="60"/>
        <v>0</v>
      </c>
      <c r="N119" s="793">
        <f t="shared" si="61"/>
        <v>1.6899028305872411E-2</v>
      </c>
      <c r="O119" s="624">
        <f t="shared" si="61"/>
        <v>0</v>
      </c>
      <c r="P119" s="625">
        <f t="shared" si="61"/>
        <v>0</v>
      </c>
      <c r="Q119" s="624">
        <f t="shared" si="61"/>
        <v>0</v>
      </c>
      <c r="R119" s="253"/>
      <c r="S119" s="254">
        <v>389</v>
      </c>
      <c r="T119" s="255">
        <v>49</v>
      </c>
      <c r="U119" s="255">
        <v>57</v>
      </c>
      <c r="V119" s="255"/>
      <c r="W119" s="255">
        <v>55</v>
      </c>
      <c r="X119" s="255"/>
      <c r="Y119" s="256">
        <v>550</v>
      </c>
      <c r="Z119" s="254"/>
      <c r="AA119" s="255"/>
      <c r="AB119" s="255"/>
      <c r="AC119" s="255"/>
      <c r="AD119" s="255"/>
      <c r="AE119" s="256">
        <v>40</v>
      </c>
      <c r="AF119" s="254"/>
      <c r="AG119" s="255"/>
      <c r="AH119" s="254"/>
    </row>
    <row r="120" spans="1:34">
      <c r="A120" s="886"/>
      <c r="B120" s="239" t="s">
        <v>58</v>
      </c>
      <c r="C120" s="624">
        <f t="shared" si="60"/>
        <v>0</v>
      </c>
      <c r="D120" s="625">
        <f t="shared" si="60"/>
        <v>0</v>
      </c>
      <c r="E120" s="792">
        <f t="shared" si="60"/>
        <v>3.2064128256513026E-3</v>
      </c>
      <c r="F120" s="625">
        <f t="shared" si="60"/>
        <v>0</v>
      </c>
      <c r="G120" s="792">
        <f t="shared" si="60"/>
        <v>0</v>
      </c>
      <c r="H120" s="626">
        <f t="shared" si="60"/>
        <v>0</v>
      </c>
      <c r="I120" s="793">
        <f t="shared" si="60"/>
        <v>8.066955732580418E-4</v>
      </c>
      <c r="J120" s="624">
        <f t="shared" si="60"/>
        <v>0</v>
      </c>
      <c r="K120" s="625">
        <f t="shared" si="60"/>
        <v>0</v>
      </c>
      <c r="L120" s="625">
        <f t="shared" si="60"/>
        <v>0</v>
      </c>
      <c r="M120" s="625">
        <f t="shared" si="60"/>
        <v>0</v>
      </c>
      <c r="N120" s="624">
        <f t="shared" si="61"/>
        <v>0</v>
      </c>
      <c r="O120" s="624">
        <f t="shared" si="61"/>
        <v>0</v>
      </c>
      <c r="P120" s="625">
        <f t="shared" si="61"/>
        <v>0</v>
      </c>
      <c r="Q120" s="624">
        <f t="shared" si="61"/>
        <v>0</v>
      </c>
      <c r="R120" s="253"/>
      <c r="S120" s="254"/>
      <c r="T120" s="255"/>
      <c r="U120" s="255">
        <v>8</v>
      </c>
      <c r="V120" s="255"/>
      <c r="W120" s="255"/>
      <c r="X120" s="255"/>
      <c r="Y120" s="256">
        <v>8</v>
      </c>
      <c r="Z120" s="254"/>
      <c r="AA120" s="255"/>
      <c r="AB120" s="255"/>
      <c r="AC120" s="255"/>
      <c r="AD120" s="255"/>
      <c r="AE120" s="256"/>
      <c r="AF120" s="254"/>
      <c r="AG120" s="255"/>
      <c r="AH120" s="254"/>
    </row>
    <row r="121" spans="1:34">
      <c r="A121" s="887"/>
      <c r="B121" s="436" t="s">
        <v>59</v>
      </c>
      <c r="C121" s="577">
        <f t="shared" si="60"/>
        <v>1</v>
      </c>
      <c r="D121" s="578">
        <f t="shared" si="60"/>
        <v>1</v>
      </c>
      <c r="E121" s="578">
        <f t="shared" si="60"/>
        <v>1</v>
      </c>
      <c r="F121" s="578">
        <f t="shared" si="60"/>
        <v>0</v>
      </c>
      <c r="G121" s="578">
        <f t="shared" si="60"/>
        <v>1</v>
      </c>
      <c r="H121" s="579">
        <f t="shared" si="60"/>
        <v>1</v>
      </c>
      <c r="I121" s="577">
        <f t="shared" si="60"/>
        <v>1</v>
      </c>
      <c r="J121" s="577">
        <f t="shared" si="60"/>
        <v>0</v>
      </c>
      <c r="K121" s="578">
        <f t="shared" si="60"/>
        <v>0</v>
      </c>
      <c r="L121" s="578">
        <f t="shared" si="60"/>
        <v>0</v>
      </c>
      <c r="M121" s="578">
        <f t="shared" si="60"/>
        <v>0</v>
      </c>
      <c r="N121" s="577">
        <f t="shared" si="61"/>
        <v>1</v>
      </c>
      <c r="O121" s="577">
        <f t="shared" si="61"/>
        <v>0</v>
      </c>
      <c r="P121" s="578">
        <f t="shared" si="61"/>
        <v>0</v>
      </c>
      <c r="Q121" s="577">
        <f t="shared" si="61"/>
        <v>0</v>
      </c>
      <c r="R121" s="264"/>
      <c r="S121" s="265">
        <v>5187</v>
      </c>
      <c r="T121" s="266">
        <v>1858</v>
      </c>
      <c r="U121" s="266">
        <v>2495</v>
      </c>
      <c r="V121" s="266"/>
      <c r="W121" s="266">
        <v>275</v>
      </c>
      <c r="X121" s="266">
        <v>102</v>
      </c>
      <c r="Y121" s="267">
        <v>9917</v>
      </c>
      <c r="Z121" s="265"/>
      <c r="AA121" s="266"/>
      <c r="AB121" s="266"/>
      <c r="AC121" s="266"/>
      <c r="AD121" s="266"/>
      <c r="AE121" s="267">
        <v>2367</v>
      </c>
      <c r="AF121" s="265"/>
      <c r="AG121" s="266"/>
      <c r="AH121" s="265"/>
    </row>
    <row r="122" spans="1:34">
      <c r="A122" s="883" t="s">
        <v>18</v>
      </c>
      <c r="B122" s="240" t="s">
        <v>53</v>
      </c>
      <c r="C122" s="613">
        <f t="shared" ref="C122:M128" si="62">IF(S$128&gt;0,(S122/S$128),0)</f>
        <v>0.28021015761821366</v>
      </c>
      <c r="D122" s="614">
        <f t="shared" si="62"/>
        <v>0</v>
      </c>
      <c r="E122" s="614">
        <f t="shared" si="62"/>
        <v>0.33034111310592462</v>
      </c>
      <c r="F122" s="614">
        <f t="shared" si="62"/>
        <v>0</v>
      </c>
      <c r="G122" s="614">
        <f t="shared" si="62"/>
        <v>0.25675675675675674</v>
      </c>
      <c r="H122" s="615">
        <f t="shared" si="62"/>
        <v>0.24567474048442905</v>
      </c>
      <c r="I122" s="613">
        <f t="shared" si="62"/>
        <v>0.28060629615235133</v>
      </c>
      <c r="J122" s="613">
        <f t="shared" si="62"/>
        <v>0</v>
      </c>
      <c r="K122" s="614">
        <f t="shared" si="62"/>
        <v>0</v>
      </c>
      <c r="L122" s="614">
        <f t="shared" si="62"/>
        <v>0</v>
      </c>
      <c r="M122" s="614">
        <f t="shared" si="62"/>
        <v>0</v>
      </c>
      <c r="N122" s="613">
        <f t="shared" ref="N122:Q128" si="63">IF(AE$128&gt;0,(AE122/AE$128),0)</f>
        <v>0.17045454545454544</v>
      </c>
      <c r="O122" s="788">
        <f t="shared" si="63"/>
        <v>0</v>
      </c>
      <c r="P122" s="614">
        <f t="shared" si="63"/>
        <v>0</v>
      </c>
      <c r="Q122" s="788">
        <f t="shared" si="63"/>
        <v>0</v>
      </c>
      <c r="R122" s="244"/>
      <c r="S122" s="245">
        <v>320</v>
      </c>
      <c r="T122" s="246"/>
      <c r="U122" s="246">
        <v>184</v>
      </c>
      <c r="V122" s="246"/>
      <c r="W122" s="246">
        <v>76</v>
      </c>
      <c r="X122" s="246">
        <v>142</v>
      </c>
      <c r="Y122" s="247">
        <v>722</v>
      </c>
      <c r="Z122" s="245"/>
      <c r="AA122" s="246"/>
      <c r="AB122" s="246"/>
      <c r="AC122" s="246"/>
      <c r="AD122" s="246"/>
      <c r="AE122" s="247">
        <v>105</v>
      </c>
      <c r="AF122" s="245"/>
      <c r="AG122" s="246"/>
      <c r="AH122" s="245"/>
    </row>
    <row r="123" spans="1:34">
      <c r="A123" s="886"/>
      <c r="B123" s="239" t="s">
        <v>93</v>
      </c>
      <c r="C123" s="624">
        <f t="shared" si="62"/>
        <v>0.30910683012259194</v>
      </c>
      <c r="D123" s="625">
        <f t="shared" si="62"/>
        <v>0</v>
      </c>
      <c r="E123" s="625">
        <f t="shared" si="62"/>
        <v>0.23698384201077199</v>
      </c>
      <c r="F123" s="625">
        <f t="shared" si="62"/>
        <v>0</v>
      </c>
      <c r="G123" s="625">
        <f t="shared" si="62"/>
        <v>0.28040540540540543</v>
      </c>
      <c r="H123" s="626">
        <f t="shared" si="62"/>
        <v>0.2820069204152249</v>
      </c>
      <c r="I123" s="624">
        <f t="shared" si="62"/>
        <v>0.2841041585697629</v>
      </c>
      <c r="J123" s="624">
        <f t="shared" si="62"/>
        <v>0</v>
      </c>
      <c r="K123" s="625">
        <f t="shared" si="62"/>
        <v>0</v>
      </c>
      <c r="L123" s="625">
        <f t="shared" si="62"/>
        <v>0</v>
      </c>
      <c r="M123" s="625">
        <f t="shared" si="62"/>
        <v>0</v>
      </c>
      <c r="N123" s="624">
        <f t="shared" si="63"/>
        <v>0.16233766233766234</v>
      </c>
      <c r="O123" s="624">
        <f t="shared" si="63"/>
        <v>0</v>
      </c>
      <c r="P123" s="625">
        <f t="shared" si="63"/>
        <v>0</v>
      </c>
      <c r="Q123" s="624">
        <f t="shared" si="63"/>
        <v>0</v>
      </c>
      <c r="R123" s="253"/>
      <c r="S123" s="254">
        <v>353</v>
      </c>
      <c r="T123" s="255"/>
      <c r="U123" s="255">
        <v>132</v>
      </c>
      <c r="V123" s="255"/>
      <c r="W123" s="255">
        <v>83</v>
      </c>
      <c r="X123" s="255">
        <v>163</v>
      </c>
      <c r="Y123" s="256">
        <v>731</v>
      </c>
      <c r="Z123" s="254"/>
      <c r="AA123" s="255"/>
      <c r="AB123" s="255"/>
      <c r="AC123" s="255"/>
      <c r="AD123" s="255"/>
      <c r="AE123" s="256">
        <v>100</v>
      </c>
      <c r="AF123" s="254"/>
      <c r="AG123" s="255"/>
      <c r="AH123" s="254"/>
    </row>
    <row r="124" spans="1:34">
      <c r="A124" s="886"/>
      <c r="B124" s="239" t="s">
        <v>55</v>
      </c>
      <c r="C124" s="624">
        <f t="shared" si="62"/>
        <v>0.3318739054290718</v>
      </c>
      <c r="D124" s="625">
        <f t="shared" si="62"/>
        <v>0</v>
      </c>
      <c r="E124" s="625">
        <f t="shared" si="62"/>
        <v>0.28725314183123879</v>
      </c>
      <c r="F124" s="625">
        <f t="shared" si="62"/>
        <v>0</v>
      </c>
      <c r="G124" s="625">
        <f t="shared" si="62"/>
        <v>0.35472972972972971</v>
      </c>
      <c r="H124" s="626">
        <f t="shared" si="62"/>
        <v>0.33044982698961939</v>
      </c>
      <c r="I124" s="624">
        <f t="shared" si="62"/>
        <v>0.32452390205985232</v>
      </c>
      <c r="J124" s="624">
        <f t="shared" si="62"/>
        <v>0</v>
      </c>
      <c r="K124" s="625">
        <f t="shared" si="62"/>
        <v>0</v>
      </c>
      <c r="L124" s="625">
        <f t="shared" si="62"/>
        <v>0</v>
      </c>
      <c r="M124" s="625">
        <f t="shared" si="62"/>
        <v>0</v>
      </c>
      <c r="N124" s="624">
        <f t="shared" si="63"/>
        <v>0.23701298701298701</v>
      </c>
      <c r="O124" s="624">
        <f t="shared" si="63"/>
        <v>0</v>
      </c>
      <c r="P124" s="625">
        <f t="shared" si="63"/>
        <v>0</v>
      </c>
      <c r="Q124" s="624">
        <f t="shared" si="63"/>
        <v>0</v>
      </c>
      <c r="R124" s="253"/>
      <c r="S124" s="254">
        <v>379</v>
      </c>
      <c r="T124" s="255"/>
      <c r="U124" s="255">
        <v>160</v>
      </c>
      <c r="V124" s="255"/>
      <c r="W124" s="255">
        <v>105</v>
      </c>
      <c r="X124" s="255">
        <v>191</v>
      </c>
      <c r="Y124" s="256">
        <v>835</v>
      </c>
      <c r="Z124" s="254"/>
      <c r="AA124" s="255"/>
      <c r="AB124" s="255"/>
      <c r="AC124" s="255"/>
      <c r="AD124" s="255"/>
      <c r="AE124" s="256">
        <v>146</v>
      </c>
      <c r="AF124" s="254"/>
      <c r="AG124" s="255"/>
      <c r="AH124" s="254"/>
    </row>
    <row r="125" spans="1:34">
      <c r="A125" s="886"/>
      <c r="B125" s="239" t="s">
        <v>78</v>
      </c>
      <c r="C125" s="624">
        <f t="shared" si="62"/>
        <v>5.166374781085814E-2</v>
      </c>
      <c r="D125" s="625">
        <f t="shared" si="62"/>
        <v>0</v>
      </c>
      <c r="E125" s="625">
        <f t="shared" si="62"/>
        <v>0.14542190305206462</v>
      </c>
      <c r="F125" s="625">
        <f t="shared" si="62"/>
        <v>0</v>
      </c>
      <c r="G125" s="625">
        <f t="shared" si="62"/>
        <v>4.3918918918918921E-2</v>
      </c>
      <c r="H125" s="626">
        <f t="shared" si="62"/>
        <v>0.11418685121107267</v>
      </c>
      <c r="I125" s="624">
        <f t="shared" si="62"/>
        <v>8.5114652157015164E-2</v>
      </c>
      <c r="J125" s="624">
        <f t="shared" si="62"/>
        <v>0</v>
      </c>
      <c r="K125" s="625">
        <f t="shared" si="62"/>
        <v>0</v>
      </c>
      <c r="L125" s="625">
        <f t="shared" si="62"/>
        <v>0</v>
      </c>
      <c r="M125" s="625">
        <f t="shared" si="62"/>
        <v>0</v>
      </c>
      <c r="N125" s="624">
        <f t="shared" si="63"/>
        <v>0.34740259740259738</v>
      </c>
      <c r="O125" s="624">
        <f t="shared" si="63"/>
        <v>0</v>
      </c>
      <c r="P125" s="625">
        <f t="shared" si="63"/>
        <v>0</v>
      </c>
      <c r="Q125" s="624">
        <f t="shared" si="63"/>
        <v>1</v>
      </c>
      <c r="R125" s="253"/>
      <c r="S125" s="254">
        <v>59</v>
      </c>
      <c r="T125" s="255"/>
      <c r="U125" s="255">
        <v>81</v>
      </c>
      <c r="V125" s="255"/>
      <c r="W125" s="255">
        <v>13</v>
      </c>
      <c r="X125" s="255">
        <v>66</v>
      </c>
      <c r="Y125" s="256">
        <v>219</v>
      </c>
      <c r="Z125" s="254"/>
      <c r="AA125" s="255"/>
      <c r="AB125" s="255"/>
      <c r="AC125" s="255"/>
      <c r="AD125" s="255"/>
      <c r="AE125" s="256">
        <v>214</v>
      </c>
      <c r="AF125" s="254"/>
      <c r="AG125" s="255"/>
      <c r="AH125" s="254">
        <v>26</v>
      </c>
    </row>
    <row r="126" spans="1:34">
      <c r="A126" s="886"/>
      <c r="B126" s="239" t="s">
        <v>32</v>
      </c>
      <c r="C126" s="624">
        <f t="shared" si="62"/>
        <v>2.0140105078809107E-2</v>
      </c>
      <c r="D126" s="625">
        <f t="shared" si="62"/>
        <v>0</v>
      </c>
      <c r="E126" s="625">
        <f t="shared" si="62"/>
        <v>0</v>
      </c>
      <c r="F126" s="625">
        <f t="shared" si="62"/>
        <v>0</v>
      </c>
      <c r="G126" s="625">
        <f t="shared" si="62"/>
        <v>4.72972972972973E-2</v>
      </c>
      <c r="H126" s="626">
        <f t="shared" si="62"/>
        <v>2.2491349480968859E-2</v>
      </c>
      <c r="I126" s="624">
        <f t="shared" si="62"/>
        <v>1.9432568985619899E-2</v>
      </c>
      <c r="J126" s="624">
        <f t="shared" si="62"/>
        <v>0</v>
      </c>
      <c r="K126" s="625">
        <f t="shared" si="62"/>
        <v>0</v>
      </c>
      <c r="L126" s="625">
        <f t="shared" si="62"/>
        <v>0</v>
      </c>
      <c r="M126" s="625">
        <f t="shared" si="62"/>
        <v>0</v>
      </c>
      <c r="N126" s="624">
        <f t="shared" si="63"/>
        <v>4.8701298701298704E-2</v>
      </c>
      <c r="O126" s="624">
        <f t="shared" si="63"/>
        <v>0</v>
      </c>
      <c r="P126" s="625">
        <f t="shared" si="63"/>
        <v>0</v>
      </c>
      <c r="Q126" s="624">
        <f t="shared" si="63"/>
        <v>0</v>
      </c>
      <c r="R126" s="253"/>
      <c r="S126" s="254">
        <v>23</v>
      </c>
      <c r="T126" s="255"/>
      <c r="U126" s="255"/>
      <c r="V126" s="255"/>
      <c r="W126" s="255">
        <v>14</v>
      </c>
      <c r="X126" s="255">
        <v>13</v>
      </c>
      <c r="Y126" s="256">
        <v>50</v>
      </c>
      <c r="Z126" s="254"/>
      <c r="AA126" s="255"/>
      <c r="AB126" s="255"/>
      <c r="AC126" s="255"/>
      <c r="AD126" s="255"/>
      <c r="AE126" s="256">
        <v>30</v>
      </c>
      <c r="AF126" s="254"/>
      <c r="AG126" s="255"/>
      <c r="AH126" s="254"/>
    </row>
    <row r="127" spans="1:34">
      <c r="A127" s="886"/>
      <c r="B127" s="239" t="s">
        <v>58</v>
      </c>
      <c r="C127" s="624">
        <f t="shared" si="62"/>
        <v>7.0052539404553416E-3</v>
      </c>
      <c r="D127" s="625">
        <f t="shared" si="62"/>
        <v>0</v>
      </c>
      <c r="E127" s="792">
        <f t="shared" si="62"/>
        <v>0</v>
      </c>
      <c r="F127" s="625">
        <f t="shared" si="62"/>
        <v>0</v>
      </c>
      <c r="G127" s="792">
        <f t="shared" si="62"/>
        <v>1.6891891891891893E-2</v>
      </c>
      <c r="H127" s="626">
        <f t="shared" si="62"/>
        <v>5.1903114186851208E-3</v>
      </c>
      <c r="I127" s="793">
        <f t="shared" si="62"/>
        <v>6.2184220753983676E-3</v>
      </c>
      <c r="J127" s="624">
        <f t="shared" si="62"/>
        <v>0</v>
      </c>
      <c r="K127" s="625">
        <f t="shared" si="62"/>
        <v>0</v>
      </c>
      <c r="L127" s="625">
        <f t="shared" si="62"/>
        <v>0</v>
      </c>
      <c r="M127" s="625">
        <f t="shared" si="62"/>
        <v>0</v>
      </c>
      <c r="N127" s="624">
        <f t="shared" si="63"/>
        <v>3.4090909090909088E-2</v>
      </c>
      <c r="O127" s="624">
        <f t="shared" si="63"/>
        <v>0</v>
      </c>
      <c r="P127" s="625">
        <f t="shared" si="63"/>
        <v>0</v>
      </c>
      <c r="Q127" s="624">
        <f t="shared" si="63"/>
        <v>0</v>
      </c>
      <c r="R127" s="253"/>
      <c r="S127" s="254">
        <v>8</v>
      </c>
      <c r="T127" s="255"/>
      <c r="U127" s="255"/>
      <c r="V127" s="255"/>
      <c r="W127" s="255">
        <v>5</v>
      </c>
      <c r="X127" s="255">
        <v>3</v>
      </c>
      <c r="Y127" s="256">
        <v>16</v>
      </c>
      <c r="Z127" s="254"/>
      <c r="AA127" s="255"/>
      <c r="AB127" s="255"/>
      <c r="AC127" s="255"/>
      <c r="AD127" s="255"/>
      <c r="AE127" s="256">
        <v>21</v>
      </c>
      <c r="AF127" s="254"/>
      <c r="AG127" s="255"/>
      <c r="AH127" s="254"/>
    </row>
    <row r="128" spans="1:34">
      <c r="A128" s="887"/>
      <c r="B128" s="436" t="s">
        <v>59</v>
      </c>
      <c r="C128" s="577">
        <f t="shared" si="62"/>
        <v>1</v>
      </c>
      <c r="D128" s="578">
        <f t="shared" si="62"/>
        <v>0</v>
      </c>
      <c r="E128" s="578">
        <f t="shared" si="62"/>
        <v>1</v>
      </c>
      <c r="F128" s="578">
        <f t="shared" si="62"/>
        <v>0</v>
      </c>
      <c r="G128" s="578">
        <f t="shared" si="62"/>
        <v>1</v>
      </c>
      <c r="H128" s="579">
        <f t="shared" si="62"/>
        <v>1</v>
      </c>
      <c r="I128" s="577">
        <f t="shared" si="62"/>
        <v>1</v>
      </c>
      <c r="J128" s="577">
        <f t="shared" si="62"/>
        <v>0</v>
      </c>
      <c r="K128" s="578">
        <f t="shared" si="62"/>
        <v>0</v>
      </c>
      <c r="L128" s="578">
        <f t="shared" si="62"/>
        <v>0</v>
      </c>
      <c r="M128" s="578">
        <f t="shared" si="62"/>
        <v>0</v>
      </c>
      <c r="N128" s="577">
        <f t="shared" si="63"/>
        <v>1</v>
      </c>
      <c r="O128" s="577">
        <f t="shared" si="63"/>
        <v>0</v>
      </c>
      <c r="P128" s="578">
        <f t="shared" si="63"/>
        <v>0</v>
      </c>
      <c r="Q128" s="577">
        <f t="shared" si="63"/>
        <v>1</v>
      </c>
      <c r="R128" s="264"/>
      <c r="S128" s="265">
        <v>1142</v>
      </c>
      <c r="T128" s="266"/>
      <c r="U128" s="266">
        <v>557</v>
      </c>
      <c r="V128" s="266"/>
      <c r="W128" s="266">
        <v>296</v>
      </c>
      <c r="X128" s="266">
        <v>578</v>
      </c>
      <c r="Y128" s="267">
        <v>2573</v>
      </c>
      <c r="Z128" s="265"/>
      <c r="AA128" s="266"/>
      <c r="AB128" s="266"/>
      <c r="AC128" s="266"/>
      <c r="AD128" s="266"/>
      <c r="AE128" s="267">
        <v>616</v>
      </c>
      <c r="AF128" s="265"/>
      <c r="AG128" s="266"/>
      <c r="AH128" s="265">
        <v>26</v>
      </c>
    </row>
    <row r="129" spans="1:34">
      <c r="A129" s="882" t="s">
        <v>171</v>
      </c>
      <c r="B129" s="240" t="s">
        <v>53</v>
      </c>
      <c r="C129" s="613">
        <f>IF(S$134&gt;0,(S129/S$134),0)</f>
        <v>0.38559546982834897</v>
      </c>
      <c r="D129" s="614">
        <f t="shared" ref="D129:M134" si="64">IF(T$134&gt;0,(T129/T$134),0)</f>
        <v>0.28666249217282402</v>
      </c>
      <c r="E129" s="614">
        <f t="shared" si="64"/>
        <v>0.35393839156501966</v>
      </c>
      <c r="F129" s="614">
        <f t="shared" si="64"/>
        <v>0.22025109170305676</v>
      </c>
      <c r="G129" s="614">
        <f t="shared" si="64"/>
        <v>0.1892147587511826</v>
      </c>
      <c r="H129" s="615">
        <f t="shared" si="64"/>
        <v>0.26063829787234044</v>
      </c>
      <c r="I129" s="613">
        <f t="shared" si="64"/>
        <v>0.34377438992663512</v>
      </c>
      <c r="J129" s="613">
        <f t="shared" si="64"/>
        <v>0</v>
      </c>
      <c r="K129" s="614">
        <f t="shared" si="64"/>
        <v>0</v>
      </c>
      <c r="L129" s="614">
        <f t="shared" si="64"/>
        <v>0</v>
      </c>
      <c r="M129" s="614">
        <f t="shared" si="64"/>
        <v>0</v>
      </c>
      <c r="N129" s="613">
        <f>IF(AE$134&gt;0,(AE129/AE$134),0)</f>
        <v>7.2939000294278383E-2</v>
      </c>
      <c r="O129" s="613">
        <f t="shared" ref="O129:Q134" si="65">IF(AF$134&gt;0,(AF129/AF$134),0)</f>
        <v>0</v>
      </c>
      <c r="P129" s="615">
        <f t="shared" si="65"/>
        <v>0</v>
      </c>
      <c r="Q129" s="613">
        <f t="shared" si="65"/>
        <v>4.7824678829752783E-2</v>
      </c>
      <c r="R129" s="357"/>
      <c r="S129" s="796">
        <f>S135+S141+S147+S153+S159+S165+S171+S177+S183+S189+S195+S201+S207</f>
        <v>10895</v>
      </c>
      <c r="T129" s="796">
        <f t="shared" ref="T129:AE129" si="66">T135+T141+T147+T153+T159+T165+T171+T177+T183+T189+T195+T201+T207</f>
        <v>2289</v>
      </c>
      <c r="U129" s="796">
        <f t="shared" si="66"/>
        <v>5136</v>
      </c>
      <c r="V129" s="796">
        <f t="shared" si="66"/>
        <v>807</v>
      </c>
      <c r="W129" s="796">
        <f t="shared" si="66"/>
        <v>400</v>
      </c>
      <c r="X129" s="796">
        <f t="shared" si="66"/>
        <v>294</v>
      </c>
      <c r="Y129" s="801">
        <f t="shared" si="66"/>
        <v>19821</v>
      </c>
      <c r="Z129" s="801">
        <f t="shared" si="66"/>
        <v>0</v>
      </c>
      <c r="AA129" s="796">
        <f t="shared" si="66"/>
        <v>0</v>
      </c>
      <c r="AB129" s="796">
        <f t="shared" si="66"/>
        <v>0</v>
      </c>
      <c r="AC129" s="796">
        <f t="shared" si="66"/>
        <v>0</v>
      </c>
      <c r="AD129" s="796">
        <f t="shared" si="66"/>
        <v>0</v>
      </c>
      <c r="AE129" s="801">
        <f t="shared" si="66"/>
        <v>1735</v>
      </c>
      <c r="AF129" s="803"/>
      <c r="AG129" s="349"/>
      <c r="AH129" s="801">
        <f t="shared" ref="AH129:AH134" si="67">AH135+AH141+AH147+AH153+AH159+AH165+AH171+AH177+AH183+AH189+AH195+AH201+AH207</f>
        <v>443</v>
      </c>
    </row>
    <row r="130" spans="1:34">
      <c r="A130" s="883"/>
      <c r="B130" s="239" t="s">
        <v>93</v>
      </c>
      <c r="C130" s="624">
        <f t="shared" ref="C130:C134" si="68">IF(S$134&gt;0,(S130/S$134),0)</f>
        <v>0.23026013095027428</v>
      </c>
      <c r="D130" s="625">
        <f t="shared" si="64"/>
        <v>0.25435190983093298</v>
      </c>
      <c r="E130" s="625">
        <f t="shared" si="64"/>
        <v>0.21811039900764936</v>
      </c>
      <c r="F130" s="625">
        <f t="shared" si="64"/>
        <v>0.21724890829694324</v>
      </c>
      <c r="G130" s="625">
        <f t="shared" si="64"/>
        <v>0.25922421948912017</v>
      </c>
      <c r="H130" s="626">
        <f t="shared" si="64"/>
        <v>0.20124113475177305</v>
      </c>
      <c r="I130" s="624">
        <f t="shared" si="64"/>
        <v>0.23020621953969161</v>
      </c>
      <c r="J130" s="624">
        <f t="shared" si="64"/>
        <v>0</v>
      </c>
      <c r="K130" s="625">
        <f t="shared" si="64"/>
        <v>0</v>
      </c>
      <c r="L130" s="625">
        <f t="shared" si="64"/>
        <v>0</v>
      </c>
      <c r="M130" s="625">
        <f t="shared" si="64"/>
        <v>0</v>
      </c>
      <c r="N130" s="624">
        <f t="shared" ref="N130:N134" si="69">IF(AE$134&gt;0,(AE130/AE$134),0)</f>
        <v>3.7709673350990035E-2</v>
      </c>
      <c r="O130" s="624">
        <f t="shared" si="65"/>
        <v>0</v>
      </c>
      <c r="P130" s="626">
        <f t="shared" si="65"/>
        <v>0</v>
      </c>
      <c r="Q130" s="624">
        <f t="shared" si="65"/>
        <v>4.3182554248083777E-3</v>
      </c>
      <c r="R130" s="357"/>
      <c r="S130" s="796">
        <f t="shared" ref="S130:AE134" si="70">S136+S142+S148+S154+S160+S166+S172+S178+S184+S190+S196+S202+S208</f>
        <v>6506</v>
      </c>
      <c r="T130" s="796">
        <f t="shared" si="70"/>
        <v>2031</v>
      </c>
      <c r="U130" s="796">
        <f t="shared" si="70"/>
        <v>3165</v>
      </c>
      <c r="V130" s="796">
        <f t="shared" si="70"/>
        <v>796</v>
      </c>
      <c r="W130" s="796">
        <f t="shared" si="70"/>
        <v>548</v>
      </c>
      <c r="X130" s="796">
        <f t="shared" si="70"/>
        <v>227</v>
      </c>
      <c r="Y130" s="802">
        <f t="shared" si="70"/>
        <v>13273</v>
      </c>
      <c r="Z130" s="802">
        <f t="shared" si="70"/>
        <v>0</v>
      </c>
      <c r="AA130" s="796">
        <f t="shared" si="70"/>
        <v>0</v>
      </c>
      <c r="AB130" s="796">
        <f t="shared" si="70"/>
        <v>0</v>
      </c>
      <c r="AC130" s="796">
        <f t="shared" si="70"/>
        <v>0</v>
      </c>
      <c r="AD130" s="796">
        <f t="shared" si="70"/>
        <v>0</v>
      </c>
      <c r="AE130" s="802">
        <f t="shared" si="70"/>
        <v>897</v>
      </c>
      <c r="AF130" s="804"/>
      <c r="AG130" s="349"/>
      <c r="AH130" s="802">
        <f t="shared" si="67"/>
        <v>40</v>
      </c>
    </row>
    <row r="131" spans="1:34">
      <c r="A131" s="883"/>
      <c r="B131" s="239" t="s">
        <v>55</v>
      </c>
      <c r="C131" s="624">
        <f t="shared" si="68"/>
        <v>0.20067244735445053</v>
      </c>
      <c r="D131" s="625">
        <f t="shared" si="64"/>
        <v>0.24120225422667502</v>
      </c>
      <c r="E131" s="625">
        <f t="shared" si="64"/>
        <v>0.21294190614016953</v>
      </c>
      <c r="F131" s="625">
        <f t="shared" si="64"/>
        <v>0.26855895196506552</v>
      </c>
      <c r="G131" s="625">
        <f t="shared" si="64"/>
        <v>0.22753074739829707</v>
      </c>
      <c r="H131" s="626">
        <f t="shared" si="64"/>
        <v>0.325354609929078</v>
      </c>
      <c r="I131" s="624">
        <f t="shared" si="64"/>
        <v>0.21711153892849092</v>
      </c>
      <c r="J131" s="624">
        <f t="shared" si="64"/>
        <v>0</v>
      </c>
      <c r="K131" s="625">
        <f t="shared" si="64"/>
        <v>0</v>
      </c>
      <c r="L131" s="625">
        <f t="shared" si="64"/>
        <v>0</v>
      </c>
      <c r="M131" s="625">
        <f t="shared" si="64"/>
        <v>0</v>
      </c>
      <c r="N131" s="624">
        <f t="shared" si="69"/>
        <v>5.1582797326270649E-2</v>
      </c>
      <c r="O131" s="624">
        <f t="shared" si="65"/>
        <v>0</v>
      </c>
      <c r="P131" s="626">
        <f t="shared" si="65"/>
        <v>0</v>
      </c>
      <c r="Q131" s="624">
        <f t="shared" si="65"/>
        <v>1.5545719529310159E-2</v>
      </c>
      <c r="R131" s="357"/>
      <c r="S131" s="796">
        <f t="shared" si="70"/>
        <v>5670</v>
      </c>
      <c r="T131" s="796">
        <f t="shared" si="70"/>
        <v>1926</v>
      </c>
      <c r="U131" s="796">
        <f t="shared" si="70"/>
        <v>3090</v>
      </c>
      <c r="V131" s="796">
        <f t="shared" si="70"/>
        <v>984</v>
      </c>
      <c r="W131" s="796">
        <f t="shared" si="70"/>
        <v>481</v>
      </c>
      <c r="X131" s="796">
        <f t="shared" si="70"/>
        <v>367</v>
      </c>
      <c r="Y131" s="802">
        <f t="shared" si="70"/>
        <v>12518</v>
      </c>
      <c r="Z131" s="802">
        <f t="shared" si="70"/>
        <v>0</v>
      </c>
      <c r="AA131" s="796">
        <f t="shared" si="70"/>
        <v>0</v>
      </c>
      <c r="AB131" s="796">
        <f t="shared" si="70"/>
        <v>0</v>
      </c>
      <c r="AC131" s="796">
        <f t="shared" si="70"/>
        <v>0</v>
      </c>
      <c r="AD131" s="796">
        <f t="shared" si="70"/>
        <v>0</v>
      </c>
      <c r="AE131" s="802">
        <f t="shared" si="70"/>
        <v>1227</v>
      </c>
      <c r="AF131" s="804"/>
      <c r="AG131" s="349"/>
      <c r="AH131" s="802">
        <f t="shared" si="67"/>
        <v>144</v>
      </c>
    </row>
    <row r="132" spans="1:34">
      <c r="A132" s="883"/>
      <c r="B132" s="239" t="s">
        <v>78</v>
      </c>
      <c r="C132" s="624">
        <f t="shared" si="68"/>
        <v>6.6820031852769426E-2</v>
      </c>
      <c r="D132" s="625">
        <f t="shared" si="64"/>
        <v>0.11258609893550407</v>
      </c>
      <c r="E132" s="625">
        <f t="shared" si="64"/>
        <v>2.8323340913789539E-2</v>
      </c>
      <c r="F132" s="625">
        <f t="shared" si="64"/>
        <v>8.7882096069868992E-2</v>
      </c>
      <c r="G132" s="625">
        <f t="shared" si="64"/>
        <v>5.4872280037842953E-2</v>
      </c>
      <c r="H132" s="626">
        <f t="shared" si="64"/>
        <v>0.15159574468085107</v>
      </c>
      <c r="I132" s="624">
        <f t="shared" si="64"/>
        <v>6.602840938654457E-2</v>
      </c>
      <c r="J132" s="624">
        <f t="shared" si="64"/>
        <v>0</v>
      </c>
      <c r="K132" s="625">
        <f t="shared" si="64"/>
        <v>0</v>
      </c>
      <c r="L132" s="625">
        <f t="shared" si="64"/>
        <v>0</v>
      </c>
      <c r="M132" s="625">
        <f t="shared" si="64"/>
        <v>0</v>
      </c>
      <c r="N132" s="624">
        <f t="shared" si="69"/>
        <v>0.6597721444486484</v>
      </c>
      <c r="O132" s="624">
        <f t="shared" si="65"/>
        <v>0</v>
      </c>
      <c r="P132" s="626">
        <f t="shared" si="65"/>
        <v>0</v>
      </c>
      <c r="Q132" s="624">
        <f t="shared" si="65"/>
        <v>0.68994926049875849</v>
      </c>
      <c r="R132" s="357"/>
      <c r="S132" s="796">
        <f t="shared" si="70"/>
        <v>1888</v>
      </c>
      <c r="T132" s="796">
        <f t="shared" si="70"/>
        <v>899</v>
      </c>
      <c r="U132" s="796">
        <f t="shared" si="70"/>
        <v>411</v>
      </c>
      <c r="V132" s="796">
        <f t="shared" si="70"/>
        <v>322</v>
      </c>
      <c r="W132" s="796">
        <f t="shared" si="70"/>
        <v>116</v>
      </c>
      <c r="X132" s="796">
        <f t="shared" si="70"/>
        <v>171</v>
      </c>
      <c r="Y132" s="802">
        <f t="shared" si="70"/>
        <v>3807</v>
      </c>
      <c r="Z132" s="802">
        <f t="shared" si="70"/>
        <v>0</v>
      </c>
      <c r="AA132" s="796">
        <f t="shared" si="70"/>
        <v>0</v>
      </c>
      <c r="AB132" s="796">
        <f t="shared" si="70"/>
        <v>0</v>
      </c>
      <c r="AC132" s="796">
        <f t="shared" si="70"/>
        <v>0</v>
      </c>
      <c r="AD132" s="796">
        <f t="shared" si="70"/>
        <v>0</v>
      </c>
      <c r="AE132" s="802">
        <f t="shared" si="70"/>
        <v>15694</v>
      </c>
      <c r="AF132" s="804"/>
      <c r="AG132" s="349"/>
      <c r="AH132" s="802">
        <f t="shared" si="67"/>
        <v>6391</v>
      </c>
    </row>
    <row r="133" spans="1:34">
      <c r="A133" s="884"/>
      <c r="B133" s="580" t="s">
        <v>131</v>
      </c>
      <c r="C133" s="624">
        <f t="shared" si="68"/>
        <v>0.11665192001415679</v>
      </c>
      <c r="D133" s="625">
        <f t="shared" si="64"/>
        <v>0.10519724483406387</v>
      </c>
      <c r="E133" s="625">
        <f t="shared" si="64"/>
        <v>0.18668596237337193</v>
      </c>
      <c r="F133" s="625">
        <f t="shared" si="64"/>
        <v>0.20605895196506549</v>
      </c>
      <c r="G133" s="625">
        <f t="shared" si="64"/>
        <v>0.26915799432355725</v>
      </c>
      <c r="H133" s="626">
        <f t="shared" si="64"/>
        <v>6.1170212765957445E-2</v>
      </c>
      <c r="I133" s="624">
        <f t="shared" si="64"/>
        <v>0.1428794422186378</v>
      </c>
      <c r="J133" s="624">
        <f t="shared" si="64"/>
        <v>0</v>
      </c>
      <c r="K133" s="625">
        <f t="shared" si="64"/>
        <v>0</v>
      </c>
      <c r="L133" s="625">
        <f t="shared" si="64"/>
        <v>0</v>
      </c>
      <c r="M133" s="625">
        <f t="shared" si="64"/>
        <v>0</v>
      </c>
      <c r="N133" s="624">
        <f t="shared" si="69"/>
        <v>0.17799638457981251</v>
      </c>
      <c r="O133" s="624">
        <f t="shared" si="65"/>
        <v>0</v>
      </c>
      <c r="P133" s="626">
        <f t="shared" si="65"/>
        <v>0</v>
      </c>
      <c r="Q133" s="624">
        <f t="shared" si="65"/>
        <v>0.2423620857173702</v>
      </c>
      <c r="R133" s="357"/>
      <c r="S133" s="796">
        <f t="shared" si="70"/>
        <v>3296</v>
      </c>
      <c r="T133" s="796">
        <f t="shared" si="70"/>
        <v>840</v>
      </c>
      <c r="U133" s="796">
        <f t="shared" si="70"/>
        <v>2709</v>
      </c>
      <c r="V133" s="796">
        <f t="shared" si="70"/>
        <v>755</v>
      </c>
      <c r="W133" s="796">
        <f t="shared" si="70"/>
        <v>569</v>
      </c>
      <c r="X133" s="796">
        <f t="shared" si="70"/>
        <v>69</v>
      </c>
      <c r="Y133" s="802">
        <f t="shared" si="70"/>
        <v>8238</v>
      </c>
      <c r="Z133" s="802">
        <f t="shared" si="70"/>
        <v>0</v>
      </c>
      <c r="AA133" s="796">
        <f t="shared" si="70"/>
        <v>0</v>
      </c>
      <c r="AB133" s="796">
        <f t="shared" si="70"/>
        <v>0</v>
      </c>
      <c r="AC133" s="796">
        <f t="shared" si="70"/>
        <v>0</v>
      </c>
      <c r="AD133" s="796">
        <f t="shared" si="70"/>
        <v>0</v>
      </c>
      <c r="AE133" s="802">
        <f t="shared" si="70"/>
        <v>4234</v>
      </c>
      <c r="AF133" s="804"/>
      <c r="AG133" s="349"/>
      <c r="AH133" s="802">
        <f t="shared" si="67"/>
        <v>2245</v>
      </c>
    </row>
    <row r="134" spans="1:34">
      <c r="A134" s="885" t="s">
        <v>86</v>
      </c>
      <c r="B134" s="436" t="s">
        <v>59</v>
      </c>
      <c r="C134" s="577">
        <f t="shared" si="68"/>
        <v>1</v>
      </c>
      <c r="D134" s="578">
        <f t="shared" si="64"/>
        <v>1</v>
      </c>
      <c r="E134" s="578">
        <f t="shared" si="64"/>
        <v>1</v>
      </c>
      <c r="F134" s="578">
        <f t="shared" si="64"/>
        <v>1</v>
      </c>
      <c r="G134" s="578">
        <f t="shared" si="64"/>
        <v>1</v>
      </c>
      <c r="H134" s="579">
        <f t="shared" si="64"/>
        <v>1</v>
      </c>
      <c r="I134" s="577">
        <f t="shared" si="64"/>
        <v>1</v>
      </c>
      <c r="J134" s="577">
        <f t="shared" si="64"/>
        <v>0</v>
      </c>
      <c r="K134" s="578">
        <f t="shared" si="64"/>
        <v>0</v>
      </c>
      <c r="L134" s="578">
        <f t="shared" si="64"/>
        <v>0</v>
      </c>
      <c r="M134" s="578">
        <f t="shared" si="64"/>
        <v>0</v>
      </c>
      <c r="N134" s="577">
        <f t="shared" si="69"/>
        <v>1</v>
      </c>
      <c r="O134" s="577">
        <f t="shared" si="65"/>
        <v>0</v>
      </c>
      <c r="P134" s="579">
        <f t="shared" si="65"/>
        <v>0</v>
      </c>
      <c r="Q134" s="577">
        <f t="shared" si="65"/>
        <v>1</v>
      </c>
      <c r="R134" s="357"/>
      <c r="S134" s="796">
        <f t="shared" si="70"/>
        <v>28255</v>
      </c>
      <c r="T134" s="796">
        <f t="shared" si="70"/>
        <v>7985</v>
      </c>
      <c r="U134" s="796">
        <f t="shared" si="70"/>
        <v>14511</v>
      </c>
      <c r="V134" s="796">
        <f t="shared" si="70"/>
        <v>3664</v>
      </c>
      <c r="W134" s="796">
        <f t="shared" si="70"/>
        <v>2114</v>
      </c>
      <c r="X134" s="796">
        <f t="shared" si="70"/>
        <v>1128</v>
      </c>
      <c r="Y134" s="802">
        <f t="shared" si="70"/>
        <v>57657</v>
      </c>
      <c r="Z134" s="802">
        <f t="shared" si="70"/>
        <v>0</v>
      </c>
      <c r="AA134" s="796">
        <f t="shared" si="70"/>
        <v>0</v>
      </c>
      <c r="AB134" s="796">
        <f t="shared" si="70"/>
        <v>0</v>
      </c>
      <c r="AC134" s="796">
        <f t="shared" si="70"/>
        <v>0</v>
      </c>
      <c r="AD134" s="796">
        <f t="shared" si="70"/>
        <v>0</v>
      </c>
      <c r="AE134" s="802">
        <f t="shared" si="70"/>
        <v>23787</v>
      </c>
      <c r="AF134" s="804"/>
      <c r="AG134" s="349"/>
      <c r="AH134" s="802">
        <f t="shared" si="67"/>
        <v>9263</v>
      </c>
    </row>
    <row r="135" spans="1:34">
      <c r="A135" s="882" t="s">
        <v>136</v>
      </c>
      <c r="B135" s="240" t="s">
        <v>53</v>
      </c>
      <c r="C135" s="613">
        <f>IF(S$140&gt;0,(S135/S$140),0)</f>
        <v>0</v>
      </c>
      <c r="D135" s="614">
        <f t="shared" ref="D135:M140" si="71">IF(T$140&gt;0,(T135/T$140),0)</f>
        <v>0.25255102040816324</v>
      </c>
      <c r="E135" s="614">
        <f t="shared" si="71"/>
        <v>0.21374045801526717</v>
      </c>
      <c r="F135" s="614">
        <f t="shared" si="71"/>
        <v>0</v>
      </c>
      <c r="G135" s="614">
        <f t="shared" si="71"/>
        <v>6.4516129032258063E-2</v>
      </c>
      <c r="H135" s="615">
        <f t="shared" si="71"/>
        <v>0</v>
      </c>
      <c r="I135" s="613">
        <f t="shared" si="71"/>
        <v>0.21506442021803765</v>
      </c>
      <c r="J135" s="613">
        <f t="shared" si="71"/>
        <v>0</v>
      </c>
      <c r="K135" s="614">
        <f t="shared" si="71"/>
        <v>0</v>
      </c>
      <c r="L135" s="614">
        <f t="shared" si="71"/>
        <v>0</v>
      </c>
      <c r="M135" s="614">
        <f t="shared" si="71"/>
        <v>0</v>
      </c>
      <c r="N135" s="613">
        <f>IF(AE$140&gt;0,(AE135/AE$140),0)</f>
        <v>0</v>
      </c>
      <c r="O135" s="613">
        <f t="shared" ref="O135:Q140" si="72">IF(AF$140&gt;0,(AF135/AF$140),0)</f>
        <v>0</v>
      </c>
      <c r="P135" s="615">
        <f t="shared" si="72"/>
        <v>0</v>
      </c>
      <c r="Q135" s="613">
        <f t="shared" si="72"/>
        <v>0</v>
      </c>
      <c r="R135" s="357"/>
      <c r="S135" s="856"/>
      <c r="T135" s="856">
        <v>99</v>
      </c>
      <c r="U135" s="856">
        <v>112</v>
      </c>
      <c r="V135" s="856"/>
      <c r="W135" s="856">
        <v>6</v>
      </c>
      <c r="X135" s="856"/>
      <c r="Y135" s="857">
        <v>217</v>
      </c>
      <c r="Z135" s="857"/>
      <c r="AA135" s="856"/>
      <c r="AB135" s="856"/>
      <c r="AC135" s="856"/>
      <c r="AD135" s="856"/>
      <c r="AE135" s="857"/>
      <c r="AF135" s="857"/>
      <c r="AG135" s="856"/>
      <c r="AH135" s="857"/>
    </row>
    <row r="136" spans="1:34">
      <c r="A136" s="883"/>
      <c r="B136" s="239" t="s">
        <v>93</v>
      </c>
      <c r="C136" s="624">
        <f t="shared" ref="C136:C140" si="73">IF(S$140&gt;0,(S136/S$140),0)</f>
        <v>0</v>
      </c>
      <c r="D136" s="625">
        <f t="shared" si="71"/>
        <v>0.31377551020408162</v>
      </c>
      <c r="E136" s="625">
        <f t="shared" si="71"/>
        <v>0.26526717557251911</v>
      </c>
      <c r="F136" s="625">
        <f t="shared" si="71"/>
        <v>0</v>
      </c>
      <c r="G136" s="625">
        <f t="shared" si="71"/>
        <v>0.27956989247311825</v>
      </c>
      <c r="H136" s="626">
        <f t="shared" si="71"/>
        <v>0</v>
      </c>
      <c r="I136" s="624">
        <f t="shared" si="71"/>
        <v>0.28543111992071357</v>
      </c>
      <c r="J136" s="624">
        <f t="shared" si="71"/>
        <v>0</v>
      </c>
      <c r="K136" s="625">
        <f t="shared" si="71"/>
        <v>0</v>
      </c>
      <c r="L136" s="625">
        <f t="shared" si="71"/>
        <v>0</v>
      </c>
      <c r="M136" s="625">
        <f t="shared" si="71"/>
        <v>0</v>
      </c>
      <c r="N136" s="624">
        <f t="shared" ref="N136:N140" si="74">IF(AE$140&gt;0,(AE136/AE$140),0)</f>
        <v>0</v>
      </c>
      <c r="O136" s="624">
        <f t="shared" si="72"/>
        <v>0</v>
      </c>
      <c r="P136" s="626">
        <f t="shared" si="72"/>
        <v>0</v>
      </c>
      <c r="Q136" s="624">
        <f t="shared" si="72"/>
        <v>8.3333333333333329E-2</v>
      </c>
      <c r="R136" s="357"/>
      <c r="S136" s="858"/>
      <c r="T136" s="858">
        <v>123</v>
      </c>
      <c r="U136" s="858">
        <v>139</v>
      </c>
      <c r="V136" s="858"/>
      <c r="W136" s="858">
        <v>26</v>
      </c>
      <c r="X136" s="858"/>
      <c r="Y136" s="859">
        <v>288</v>
      </c>
      <c r="Z136" s="859"/>
      <c r="AA136" s="858"/>
      <c r="AB136" s="858"/>
      <c r="AC136" s="858"/>
      <c r="AD136" s="858"/>
      <c r="AE136" s="859"/>
      <c r="AF136" s="859"/>
      <c r="AG136" s="858"/>
      <c r="AH136" s="859">
        <v>1</v>
      </c>
    </row>
    <row r="137" spans="1:34">
      <c r="A137" s="883"/>
      <c r="B137" s="239" t="s">
        <v>55</v>
      </c>
      <c r="C137" s="624">
        <f t="shared" si="73"/>
        <v>0</v>
      </c>
      <c r="D137" s="625">
        <f t="shared" si="71"/>
        <v>0.34438775510204084</v>
      </c>
      <c r="E137" s="625">
        <f t="shared" si="71"/>
        <v>0.41412213740458015</v>
      </c>
      <c r="F137" s="625">
        <f t="shared" si="71"/>
        <v>0</v>
      </c>
      <c r="G137" s="625">
        <f t="shared" si="71"/>
        <v>0.64516129032258063</v>
      </c>
      <c r="H137" s="626">
        <f t="shared" si="71"/>
        <v>0</v>
      </c>
      <c r="I137" s="624">
        <f t="shared" si="71"/>
        <v>0.40832507433102083</v>
      </c>
      <c r="J137" s="624">
        <f t="shared" si="71"/>
        <v>0</v>
      </c>
      <c r="K137" s="625">
        <f t="shared" si="71"/>
        <v>0</v>
      </c>
      <c r="L137" s="625">
        <f t="shared" si="71"/>
        <v>0</v>
      </c>
      <c r="M137" s="625">
        <f t="shared" si="71"/>
        <v>0</v>
      </c>
      <c r="N137" s="624">
        <f t="shared" si="74"/>
        <v>0</v>
      </c>
      <c r="O137" s="624">
        <f t="shared" si="72"/>
        <v>0</v>
      </c>
      <c r="P137" s="626">
        <f t="shared" si="72"/>
        <v>0</v>
      </c>
      <c r="Q137" s="624">
        <f t="shared" si="72"/>
        <v>0.41666666666666669</v>
      </c>
      <c r="R137" s="357"/>
      <c r="S137" s="858"/>
      <c r="T137" s="858">
        <v>135</v>
      </c>
      <c r="U137" s="858">
        <v>217</v>
      </c>
      <c r="V137" s="858"/>
      <c r="W137" s="858">
        <v>60</v>
      </c>
      <c r="X137" s="858"/>
      <c r="Y137" s="859">
        <v>412</v>
      </c>
      <c r="Z137" s="859"/>
      <c r="AA137" s="858"/>
      <c r="AB137" s="858"/>
      <c r="AC137" s="858"/>
      <c r="AD137" s="858"/>
      <c r="AE137" s="859"/>
      <c r="AF137" s="859"/>
      <c r="AG137" s="858"/>
      <c r="AH137" s="859">
        <v>5</v>
      </c>
    </row>
    <row r="138" spans="1:34">
      <c r="A138" s="883"/>
      <c r="B138" s="239" t="s">
        <v>78</v>
      </c>
      <c r="C138" s="624">
        <f t="shared" si="73"/>
        <v>0</v>
      </c>
      <c r="D138" s="625">
        <f t="shared" si="71"/>
        <v>8.673469387755102E-2</v>
      </c>
      <c r="E138" s="625">
        <f t="shared" si="71"/>
        <v>0.10687022900763359</v>
      </c>
      <c r="F138" s="625">
        <f t="shared" si="71"/>
        <v>0</v>
      </c>
      <c r="G138" s="625">
        <f t="shared" si="71"/>
        <v>0</v>
      </c>
      <c r="H138" s="626">
        <f t="shared" si="71"/>
        <v>0</v>
      </c>
      <c r="I138" s="624">
        <f t="shared" si="71"/>
        <v>8.9197224975222991E-2</v>
      </c>
      <c r="J138" s="624">
        <f t="shared" si="71"/>
        <v>0</v>
      </c>
      <c r="K138" s="625">
        <f t="shared" si="71"/>
        <v>0</v>
      </c>
      <c r="L138" s="625">
        <f t="shared" si="71"/>
        <v>0</v>
      </c>
      <c r="M138" s="625">
        <f t="shared" si="71"/>
        <v>0</v>
      </c>
      <c r="N138" s="624">
        <f t="shared" si="74"/>
        <v>0</v>
      </c>
      <c r="O138" s="624">
        <f t="shared" si="72"/>
        <v>0</v>
      </c>
      <c r="P138" s="626">
        <f t="shared" si="72"/>
        <v>0</v>
      </c>
      <c r="Q138" s="624">
        <f t="shared" si="72"/>
        <v>0.41666666666666669</v>
      </c>
      <c r="R138" s="357"/>
      <c r="S138" s="858"/>
      <c r="T138" s="858">
        <v>34</v>
      </c>
      <c r="U138" s="858">
        <v>56</v>
      </c>
      <c r="V138" s="858"/>
      <c r="W138" s="858"/>
      <c r="X138" s="858"/>
      <c r="Y138" s="859">
        <v>90</v>
      </c>
      <c r="Z138" s="859"/>
      <c r="AA138" s="858"/>
      <c r="AB138" s="858"/>
      <c r="AC138" s="858"/>
      <c r="AD138" s="858"/>
      <c r="AE138" s="859"/>
      <c r="AF138" s="859"/>
      <c r="AG138" s="858"/>
      <c r="AH138" s="859">
        <v>5</v>
      </c>
    </row>
    <row r="139" spans="1:34">
      <c r="A139" s="884"/>
      <c r="B139" s="580" t="s">
        <v>131</v>
      </c>
      <c r="C139" s="624">
        <f t="shared" si="73"/>
        <v>0</v>
      </c>
      <c r="D139" s="625">
        <f t="shared" si="71"/>
        <v>2.5510204081632651E-3</v>
      </c>
      <c r="E139" s="625">
        <f t="shared" si="71"/>
        <v>0</v>
      </c>
      <c r="F139" s="625">
        <f t="shared" si="71"/>
        <v>0</v>
      </c>
      <c r="G139" s="625">
        <f t="shared" si="71"/>
        <v>1.0752688172043012E-2</v>
      </c>
      <c r="H139" s="626">
        <f t="shared" si="71"/>
        <v>0</v>
      </c>
      <c r="I139" s="624">
        <f t="shared" si="71"/>
        <v>1.9821605550049554E-3</v>
      </c>
      <c r="J139" s="624">
        <f t="shared" si="71"/>
        <v>0</v>
      </c>
      <c r="K139" s="625">
        <f t="shared" si="71"/>
        <v>0</v>
      </c>
      <c r="L139" s="625">
        <f t="shared" si="71"/>
        <v>0</v>
      </c>
      <c r="M139" s="625">
        <f t="shared" si="71"/>
        <v>0</v>
      </c>
      <c r="N139" s="624">
        <f t="shared" si="74"/>
        <v>0</v>
      </c>
      <c r="O139" s="624">
        <f t="shared" si="72"/>
        <v>0</v>
      </c>
      <c r="P139" s="626">
        <f t="shared" si="72"/>
        <v>0</v>
      </c>
      <c r="Q139" s="624">
        <f t="shared" si="72"/>
        <v>8.3333333333333329E-2</v>
      </c>
      <c r="R139" s="357"/>
      <c r="S139" s="858"/>
      <c r="T139" s="858">
        <v>1</v>
      </c>
      <c r="U139" s="858"/>
      <c r="V139" s="858"/>
      <c r="W139" s="858">
        <v>1</v>
      </c>
      <c r="X139" s="858"/>
      <c r="Y139" s="859">
        <v>2</v>
      </c>
      <c r="Z139" s="859"/>
      <c r="AA139" s="858"/>
      <c r="AB139" s="858"/>
      <c r="AC139" s="858"/>
      <c r="AD139" s="858"/>
      <c r="AE139" s="859"/>
      <c r="AF139" s="859"/>
      <c r="AG139" s="858"/>
      <c r="AH139" s="859">
        <v>1</v>
      </c>
    </row>
    <row r="140" spans="1:34">
      <c r="A140" s="885"/>
      <c r="B140" s="436" t="s">
        <v>59</v>
      </c>
      <c r="C140" s="577">
        <f t="shared" si="73"/>
        <v>0</v>
      </c>
      <c r="D140" s="578">
        <f t="shared" si="71"/>
        <v>1</v>
      </c>
      <c r="E140" s="578">
        <f t="shared" si="71"/>
        <v>1</v>
      </c>
      <c r="F140" s="578">
        <f t="shared" si="71"/>
        <v>0</v>
      </c>
      <c r="G140" s="578">
        <f t="shared" si="71"/>
        <v>1</v>
      </c>
      <c r="H140" s="579">
        <f t="shared" si="71"/>
        <v>0</v>
      </c>
      <c r="I140" s="577">
        <f t="shared" si="71"/>
        <v>1</v>
      </c>
      <c r="J140" s="577">
        <f t="shared" si="71"/>
        <v>0</v>
      </c>
      <c r="K140" s="578">
        <f t="shared" si="71"/>
        <v>0</v>
      </c>
      <c r="L140" s="578">
        <f t="shared" si="71"/>
        <v>0</v>
      </c>
      <c r="M140" s="578">
        <f t="shared" si="71"/>
        <v>0</v>
      </c>
      <c r="N140" s="577">
        <f t="shared" si="74"/>
        <v>0</v>
      </c>
      <c r="O140" s="577">
        <f t="shared" si="72"/>
        <v>0</v>
      </c>
      <c r="P140" s="579">
        <f t="shared" si="72"/>
        <v>0</v>
      </c>
      <c r="Q140" s="577">
        <f t="shared" si="72"/>
        <v>1</v>
      </c>
      <c r="R140" s="357"/>
      <c r="S140" s="858"/>
      <c r="T140" s="858">
        <v>392</v>
      </c>
      <c r="U140" s="858">
        <v>524</v>
      </c>
      <c r="V140" s="858"/>
      <c r="W140" s="858">
        <v>93</v>
      </c>
      <c r="X140" s="858"/>
      <c r="Y140" s="859">
        <v>1009</v>
      </c>
      <c r="Z140" s="859"/>
      <c r="AA140" s="858"/>
      <c r="AB140" s="858"/>
      <c r="AC140" s="858"/>
      <c r="AD140" s="858"/>
      <c r="AE140" s="859"/>
      <c r="AF140" s="859"/>
      <c r="AG140" s="858"/>
      <c r="AH140" s="859">
        <v>12</v>
      </c>
    </row>
    <row r="141" spans="1:34">
      <c r="A141" s="882" t="s">
        <v>137</v>
      </c>
      <c r="B141" s="240" t="s">
        <v>53</v>
      </c>
      <c r="C141" s="806">
        <f>IF(S$146&gt;0,(S141/S$146),0)</f>
        <v>0.35422575155984121</v>
      </c>
      <c r="D141" s="806">
        <f t="shared" ref="D141:M146" si="75">IF(T$146&gt;0,(T141/T$146),0)</f>
        <v>0.25340599455040874</v>
      </c>
      <c r="E141" s="806">
        <f t="shared" si="75"/>
        <v>0</v>
      </c>
      <c r="F141" s="806">
        <f t="shared" si="75"/>
        <v>0.14285714285714285</v>
      </c>
      <c r="G141" s="806">
        <f t="shared" si="75"/>
        <v>0.15489749430523919</v>
      </c>
      <c r="H141" s="806">
        <f t="shared" si="75"/>
        <v>8.6956521739130432E-2</v>
      </c>
      <c r="I141" s="613">
        <f t="shared" si="75"/>
        <v>0.29780724120346763</v>
      </c>
      <c r="J141" s="613">
        <f t="shared" si="75"/>
        <v>0</v>
      </c>
      <c r="K141" s="614">
        <f t="shared" si="75"/>
        <v>0</v>
      </c>
      <c r="L141" s="614">
        <f t="shared" si="75"/>
        <v>0</v>
      </c>
      <c r="M141" s="614">
        <f t="shared" si="75"/>
        <v>0</v>
      </c>
      <c r="N141" s="613">
        <f>IF(AE$146&gt;0,(AE141/AE$146),0)</f>
        <v>0.17190082644628099</v>
      </c>
      <c r="O141" s="613">
        <f t="shared" ref="O141:Q146" si="76">IF(AF$146&gt;0,(AF141/AF$146),0)</f>
        <v>0</v>
      </c>
      <c r="P141" s="615">
        <f t="shared" si="76"/>
        <v>0</v>
      </c>
      <c r="Q141" s="613">
        <f t="shared" si="76"/>
        <v>0</v>
      </c>
      <c r="R141" s="357"/>
      <c r="S141" s="856">
        <v>1249</v>
      </c>
      <c r="T141" s="856">
        <v>372</v>
      </c>
      <c r="U141" s="856"/>
      <c r="V141" s="856">
        <v>61</v>
      </c>
      <c r="W141" s="856">
        <v>68</v>
      </c>
      <c r="X141" s="856">
        <v>2</v>
      </c>
      <c r="Y141" s="857">
        <v>1752</v>
      </c>
      <c r="Z141" s="857"/>
      <c r="AA141" s="856"/>
      <c r="AB141" s="856"/>
      <c r="AC141" s="856"/>
      <c r="AD141" s="856"/>
      <c r="AE141" s="857">
        <v>104</v>
      </c>
      <c r="AF141" s="857"/>
      <c r="AG141" s="856"/>
      <c r="AH141" s="857"/>
    </row>
    <row r="142" spans="1:34">
      <c r="A142" s="883"/>
      <c r="B142" s="239" t="s">
        <v>93</v>
      </c>
      <c r="C142" s="806">
        <f t="shared" ref="C142:C146" si="77">IF(S$146&gt;0,(S142/S$146),0)</f>
        <v>0.25127623369256946</v>
      </c>
      <c r="D142" s="806">
        <f t="shared" si="75"/>
        <v>0.21049046321525886</v>
      </c>
      <c r="E142" s="806">
        <f t="shared" si="75"/>
        <v>0</v>
      </c>
      <c r="F142" s="806">
        <f t="shared" si="75"/>
        <v>0.27634660421545665</v>
      </c>
      <c r="G142" s="806">
        <f t="shared" si="75"/>
        <v>0.17995444191343962</v>
      </c>
      <c r="H142" s="806">
        <f t="shared" si="75"/>
        <v>0.34782608695652173</v>
      </c>
      <c r="I142" s="624">
        <f t="shared" si="75"/>
        <v>0.23797382287948327</v>
      </c>
      <c r="J142" s="624">
        <f t="shared" si="75"/>
        <v>0</v>
      </c>
      <c r="K142" s="625">
        <f t="shared" si="75"/>
        <v>0</v>
      </c>
      <c r="L142" s="625">
        <f t="shared" si="75"/>
        <v>0</v>
      </c>
      <c r="M142" s="625">
        <f t="shared" si="75"/>
        <v>0</v>
      </c>
      <c r="N142" s="624">
        <f t="shared" ref="N142:N146" si="78">IF(AE$146&gt;0,(AE142/AE$146),0)</f>
        <v>0</v>
      </c>
      <c r="O142" s="624">
        <f t="shared" si="76"/>
        <v>0</v>
      </c>
      <c r="P142" s="626">
        <f t="shared" si="76"/>
        <v>0</v>
      </c>
      <c r="Q142" s="624">
        <f t="shared" si="76"/>
        <v>0</v>
      </c>
      <c r="R142" s="357"/>
      <c r="S142" s="858">
        <v>886</v>
      </c>
      <c r="T142" s="858">
        <v>309</v>
      </c>
      <c r="U142" s="858"/>
      <c r="V142" s="858">
        <v>118</v>
      </c>
      <c r="W142" s="858">
        <v>79</v>
      </c>
      <c r="X142" s="858">
        <v>8</v>
      </c>
      <c r="Y142" s="859">
        <v>1400</v>
      </c>
      <c r="Z142" s="859"/>
      <c r="AA142" s="858"/>
      <c r="AB142" s="858"/>
      <c r="AC142" s="858"/>
      <c r="AD142" s="858"/>
      <c r="AE142" s="859"/>
      <c r="AF142" s="859"/>
      <c r="AG142" s="858"/>
      <c r="AH142" s="859"/>
    </row>
    <row r="143" spans="1:34">
      <c r="A143" s="883"/>
      <c r="B143" s="239" t="s">
        <v>55</v>
      </c>
      <c r="C143" s="806">
        <f t="shared" si="77"/>
        <v>0.21525808281338626</v>
      </c>
      <c r="D143" s="806">
        <f t="shared" si="75"/>
        <v>0.20708446866485014</v>
      </c>
      <c r="E143" s="806">
        <f t="shared" si="75"/>
        <v>0</v>
      </c>
      <c r="F143" s="806">
        <f t="shared" si="75"/>
        <v>0.18266978922716628</v>
      </c>
      <c r="G143" s="806">
        <f t="shared" si="75"/>
        <v>0.11845102505694761</v>
      </c>
      <c r="H143" s="806">
        <f t="shared" si="75"/>
        <v>0.39130434782608697</v>
      </c>
      <c r="I143" s="624">
        <f t="shared" si="75"/>
        <v>0.20431752507224205</v>
      </c>
      <c r="J143" s="624">
        <f t="shared" si="75"/>
        <v>0</v>
      </c>
      <c r="K143" s="625">
        <f t="shared" si="75"/>
        <v>0</v>
      </c>
      <c r="L143" s="625">
        <f t="shared" si="75"/>
        <v>0</v>
      </c>
      <c r="M143" s="625">
        <f t="shared" si="75"/>
        <v>0</v>
      </c>
      <c r="N143" s="624">
        <f t="shared" si="78"/>
        <v>0</v>
      </c>
      <c r="O143" s="624">
        <f t="shared" si="76"/>
        <v>0</v>
      </c>
      <c r="P143" s="626">
        <f t="shared" si="76"/>
        <v>0</v>
      </c>
      <c r="Q143" s="624">
        <f t="shared" si="76"/>
        <v>0</v>
      </c>
      <c r="R143" s="357"/>
      <c r="S143" s="858">
        <v>759</v>
      </c>
      <c r="T143" s="858">
        <v>304</v>
      </c>
      <c r="U143" s="858"/>
      <c r="V143" s="858">
        <v>78</v>
      </c>
      <c r="W143" s="858">
        <v>52</v>
      </c>
      <c r="X143" s="858">
        <v>9</v>
      </c>
      <c r="Y143" s="859">
        <v>1202</v>
      </c>
      <c r="Z143" s="859"/>
      <c r="AA143" s="858"/>
      <c r="AB143" s="858"/>
      <c r="AC143" s="858"/>
      <c r="AD143" s="858"/>
      <c r="AE143" s="859"/>
      <c r="AF143" s="859"/>
      <c r="AG143" s="858"/>
      <c r="AH143" s="859"/>
    </row>
    <row r="144" spans="1:34">
      <c r="A144" s="883"/>
      <c r="B144" s="239" t="s">
        <v>78</v>
      </c>
      <c r="C144" s="806">
        <f t="shared" si="77"/>
        <v>7.0901871809415762E-2</v>
      </c>
      <c r="D144" s="806">
        <f t="shared" si="75"/>
        <v>0.1008174386920981</v>
      </c>
      <c r="E144" s="806">
        <f t="shared" si="75"/>
        <v>0</v>
      </c>
      <c r="F144" s="806">
        <f t="shared" si="75"/>
        <v>0.18032786885245902</v>
      </c>
      <c r="G144" s="806">
        <f t="shared" si="75"/>
        <v>0.21640091116173121</v>
      </c>
      <c r="H144" s="806">
        <f t="shared" si="75"/>
        <v>0</v>
      </c>
      <c r="I144" s="624">
        <f t="shared" si="75"/>
        <v>9.6889342172361045E-2</v>
      </c>
      <c r="J144" s="624">
        <f t="shared" si="75"/>
        <v>0</v>
      </c>
      <c r="K144" s="625">
        <f t="shared" si="75"/>
        <v>0</v>
      </c>
      <c r="L144" s="625">
        <f t="shared" si="75"/>
        <v>0</v>
      </c>
      <c r="M144" s="625">
        <f t="shared" si="75"/>
        <v>0</v>
      </c>
      <c r="N144" s="624">
        <f t="shared" si="78"/>
        <v>0.10578512396694215</v>
      </c>
      <c r="O144" s="624">
        <f t="shared" si="76"/>
        <v>0</v>
      </c>
      <c r="P144" s="626">
        <f t="shared" si="76"/>
        <v>0</v>
      </c>
      <c r="Q144" s="624">
        <f t="shared" si="76"/>
        <v>0.1460559796437659</v>
      </c>
      <c r="R144" s="357"/>
      <c r="S144" s="858">
        <v>250</v>
      </c>
      <c r="T144" s="858">
        <v>148</v>
      </c>
      <c r="U144" s="858"/>
      <c r="V144" s="858">
        <v>77</v>
      </c>
      <c r="W144" s="858">
        <v>95</v>
      </c>
      <c r="X144" s="858"/>
      <c r="Y144" s="859">
        <v>570</v>
      </c>
      <c r="Z144" s="859"/>
      <c r="AA144" s="858"/>
      <c r="AB144" s="858"/>
      <c r="AC144" s="858"/>
      <c r="AD144" s="858"/>
      <c r="AE144" s="859">
        <v>64</v>
      </c>
      <c r="AF144" s="859"/>
      <c r="AG144" s="858"/>
      <c r="AH144" s="859">
        <v>287</v>
      </c>
    </row>
    <row r="145" spans="1:34">
      <c r="A145" s="884"/>
      <c r="B145" s="580" t="s">
        <v>131</v>
      </c>
      <c r="C145" s="806">
        <f t="shared" si="77"/>
        <v>0.10833806012478729</v>
      </c>
      <c r="D145" s="806">
        <f t="shared" si="75"/>
        <v>0.22820163487738421</v>
      </c>
      <c r="E145" s="806">
        <f t="shared" si="75"/>
        <v>0</v>
      </c>
      <c r="F145" s="806">
        <f t="shared" si="75"/>
        <v>0.21779859484777517</v>
      </c>
      <c r="G145" s="806">
        <f t="shared" si="75"/>
        <v>0.33029612756264237</v>
      </c>
      <c r="H145" s="806">
        <f t="shared" si="75"/>
        <v>0.17391304347826086</v>
      </c>
      <c r="I145" s="624">
        <f t="shared" si="75"/>
        <v>0.16301206867244603</v>
      </c>
      <c r="J145" s="624">
        <f t="shared" si="75"/>
        <v>0</v>
      </c>
      <c r="K145" s="625">
        <f t="shared" si="75"/>
        <v>0</v>
      </c>
      <c r="L145" s="625">
        <f t="shared" si="75"/>
        <v>0</v>
      </c>
      <c r="M145" s="625">
        <f t="shared" si="75"/>
        <v>0</v>
      </c>
      <c r="N145" s="624">
        <f t="shared" si="78"/>
        <v>0.72231404958677681</v>
      </c>
      <c r="O145" s="624">
        <f t="shared" si="76"/>
        <v>0</v>
      </c>
      <c r="P145" s="626">
        <f t="shared" si="76"/>
        <v>0</v>
      </c>
      <c r="Q145" s="624">
        <f t="shared" si="76"/>
        <v>0.85394402035623407</v>
      </c>
      <c r="R145" s="357"/>
      <c r="S145" s="858">
        <f>374+8</f>
        <v>382</v>
      </c>
      <c r="T145" s="858">
        <v>335</v>
      </c>
      <c r="U145" s="858"/>
      <c r="V145" s="858">
        <v>93</v>
      </c>
      <c r="W145" s="858">
        <v>145</v>
      </c>
      <c r="X145" s="858">
        <v>4</v>
      </c>
      <c r="Y145" s="859">
        <f>951+8</f>
        <v>959</v>
      </c>
      <c r="Z145" s="859"/>
      <c r="AA145" s="858"/>
      <c r="AB145" s="858"/>
      <c r="AC145" s="858"/>
      <c r="AD145" s="858"/>
      <c r="AE145" s="859">
        <v>437</v>
      </c>
      <c r="AF145" s="859"/>
      <c r="AG145" s="858"/>
      <c r="AH145" s="859">
        <v>1678</v>
      </c>
    </row>
    <row r="146" spans="1:34">
      <c r="A146" s="885"/>
      <c r="B146" s="436" t="s">
        <v>59</v>
      </c>
      <c r="C146" s="807">
        <f t="shared" si="77"/>
        <v>1</v>
      </c>
      <c r="D146" s="808">
        <f t="shared" si="75"/>
        <v>1</v>
      </c>
      <c r="E146" s="808">
        <f t="shared" si="75"/>
        <v>0</v>
      </c>
      <c r="F146" s="808">
        <f t="shared" si="75"/>
        <v>1</v>
      </c>
      <c r="G146" s="808">
        <f t="shared" si="75"/>
        <v>1</v>
      </c>
      <c r="H146" s="809">
        <f t="shared" si="75"/>
        <v>1</v>
      </c>
      <c r="I146" s="577">
        <f t="shared" si="75"/>
        <v>1</v>
      </c>
      <c r="J146" s="577">
        <f t="shared" si="75"/>
        <v>0</v>
      </c>
      <c r="K146" s="578">
        <f t="shared" si="75"/>
        <v>0</v>
      </c>
      <c r="L146" s="578">
        <f t="shared" si="75"/>
        <v>0</v>
      </c>
      <c r="M146" s="578">
        <f t="shared" si="75"/>
        <v>0</v>
      </c>
      <c r="N146" s="577">
        <f t="shared" si="78"/>
        <v>1</v>
      </c>
      <c r="O146" s="577">
        <f t="shared" si="76"/>
        <v>0</v>
      </c>
      <c r="P146" s="579">
        <f t="shared" si="76"/>
        <v>0</v>
      </c>
      <c r="Q146" s="577">
        <f t="shared" si="76"/>
        <v>1</v>
      </c>
      <c r="R146" s="357"/>
      <c r="S146" s="858">
        <v>3526</v>
      </c>
      <c r="T146" s="858">
        <v>1468</v>
      </c>
      <c r="U146" s="858"/>
      <c r="V146" s="858">
        <v>427</v>
      </c>
      <c r="W146" s="858">
        <v>439</v>
      </c>
      <c r="X146" s="858">
        <v>23</v>
      </c>
      <c r="Y146" s="859">
        <v>5883</v>
      </c>
      <c r="Z146" s="859"/>
      <c r="AA146" s="858"/>
      <c r="AB146" s="858"/>
      <c r="AC146" s="858"/>
      <c r="AD146" s="858"/>
      <c r="AE146" s="859">
        <v>605</v>
      </c>
      <c r="AF146" s="859"/>
      <c r="AG146" s="858"/>
      <c r="AH146" s="859">
        <v>1965</v>
      </c>
    </row>
    <row r="147" spans="1:34">
      <c r="A147" s="882" t="s">
        <v>138</v>
      </c>
      <c r="B147" s="240" t="s">
        <v>53</v>
      </c>
      <c r="C147" s="806">
        <f>IF(S$152&gt;0,(S147/S$152),0)</f>
        <v>0.52383952951060697</v>
      </c>
      <c r="D147" s="806">
        <f t="shared" ref="D147:M152" si="79">IF(T$152&gt;0,(T147/T$152),0)</f>
        <v>0.38362573099415204</v>
      </c>
      <c r="E147" s="806">
        <f t="shared" si="79"/>
        <v>0.38315366343869905</v>
      </c>
      <c r="F147" s="806">
        <f t="shared" si="79"/>
        <v>0.19778699861687413</v>
      </c>
      <c r="G147" s="806">
        <f t="shared" si="79"/>
        <v>0</v>
      </c>
      <c r="H147" s="806">
        <f t="shared" si="79"/>
        <v>0.2878787878787879</v>
      </c>
      <c r="I147" s="613">
        <f t="shared" si="79"/>
        <v>0.43740955137481913</v>
      </c>
      <c r="J147" s="613">
        <f t="shared" si="79"/>
        <v>0</v>
      </c>
      <c r="K147" s="614">
        <f t="shared" si="79"/>
        <v>0</v>
      </c>
      <c r="L147" s="614">
        <f t="shared" si="79"/>
        <v>0</v>
      </c>
      <c r="M147" s="614">
        <f t="shared" si="79"/>
        <v>0</v>
      </c>
      <c r="N147" s="613">
        <f>IF(AE$152&gt;0,(AE147/AE$152),0)</f>
        <v>2.8868771829781169E-2</v>
      </c>
      <c r="O147" s="613">
        <f t="shared" ref="O147:Q152" si="80">IF(AF$152&gt;0,(AF147/AF$152),0)</f>
        <v>0</v>
      </c>
      <c r="P147" s="615">
        <f t="shared" si="80"/>
        <v>0</v>
      </c>
      <c r="Q147" s="613">
        <f t="shared" si="80"/>
        <v>0</v>
      </c>
      <c r="R147" s="799"/>
      <c r="S147" s="856">
        <v>4988</v>
      </c>
      <c r="T147" s="856">
        <v>328</v>
      </c>
      <c r="U147" s="856">
        <v>4194</v>
      </c>
      <c r="V147" s="856">
        <v>143</v>
      </c>
      <c r="W147" s="856"/>
      <c r="X147" s="856">
        <v>19</v>
      </c>
      <c r="Y147" s="857">
        <v>9672</v>
      </c>
      <c r="Z147" s="857"/>
      <c r="AA147" s="856"/>
      <c r="AB147" s="856"/>
      <c r="AC147" s="856"/>
      <c r="AD147" s="856"/>
      <c r="AE147" s="857">
        <v>405</v>
      </c>
      <c r="AF147" s="857"/>
      <c r="AG147" s="856"/>
      <c r="AH147" s="857"/>
    </row>
    <row r="148" spans="1:34">
      <c r="A148" s="883"/>
      <c r="B148" s="239" t="s">
        <v>93</v>
      </c>
      <c r="C148" s="806">
        <f t="shared" ref="C148:C152" si="81">IF(S$152&gt;0,(S148/S$152),0)</f>
        <v>0.18966603654694392</v>
      </c>
      <c r="D148" s="806">
        <f t="shared" si="79"/>
        <v>0.256140350877193</v>
      </c>
      <c r="E148" s="806">
        <f t="shared" si="79"/>
        <v>0.20993970400146172</v>
      </c>
      <c r="F148" s="806">
        <f t="shared" si="79"/>
        <v>0.17289073305670816</v>
      </c>
      <c r="G148" s="806">
        <f t="shared" si="79"/>
        <v>0</v>
      </c>
      <c r="H148" s="806">
        <f t="shared" si="79"/>
        <v>0.16666666666666666</v>
      </c>
      <c r="I148" s="624">
        <f t="shared" si="79"/>
        <v>0.20165520984081042</v>
      </c>
      <c r="J148" s="624">
        <f t="shared" si="79"/>
        <v>0</v>
      </c>
      <c r="K148" s="625">
        <f t="shared" si="79"/>
        <v>0</v>
      </c>
      <c r="L148" s="625">
        <f t="shared" si="79"/>
        <v>0</v>
      </c>
      <c r="M148" s="625">
        <f t="shared" si="79"/>
        <v>0</v>
      </c>
      <c r="N148" s="624">
        <f t="shared" ref="N148:N152" si="82">IF(AE$152&gt;0,(AE148/AE$152),0)</f>
        <v>5.4886306935633331E-3</v>
      </c>
      <c r="O148" s="624">
        <f t="shared" si="80"/>
        <v>0</v>
      </c>
      <c r="P148" s="626">
        <f t="shared" si="80"/>
        <v>0</v>
      </c>
      <c r="Q148" s="624">
        <f t="shared" si="80"/>
        <v>0</v>
      </c>
      <c r="R148" s="357"/>
      <c r="S148" s="858">
        <v>1806</v>
      </c>
      <c r="T148" s="858">
        <v>219</v>
      </c>
      <c r="U148" s="858">
        <v>2298</v>
      </c>
      <c r="V148" s="858">
        <v>125</v>
      </c>
      <c r="W148" s="858"/>
      <c r="X148" s="858">
        <v>11</v>
      </c>
      <c r="Y148" s="859">
        <v>4459</v>
      </c>
      <c r="Z148" s="859"/>
      <c r="AA148" s="858"/>
      <c r="AB148" s="858"/>
      <c r="AC148" s="858"/>
      <c r="AD148" s="858"/>
      <c r="AE148" s="859">
        <v>77</v>
      </c>
      <c r="AF148" s="859"/>
      <c r="AG148" s="858"/>
      <c r="AH148" s="859"/>
    </row>
    <row r="149" spans="1:34">
      <c r="A149" s="883"/>
      <c r="B149" s="239" t="s">
        <v>55</v>
      </c>
      <c r="C149" s="806">
        <f t="shared" si="81"/>
        <v>0.16141566897710566</v>
      </c>
      <c r="D149" s="806">
        <f t="shared" si="79"/>
        <v>0.16374269005847952</v>
      </c>
      <c r="E149" s="806">
        <f t="shared" si="79"/>
        <v>0.19989037091174858</v>
      </c>
      <c r="F149" s="806">
        <f t="shared" si="79"/>
        <v>0.26556016597510373</v>
      </c>
      <c r="G149" s="806">
        <f t="shared" si="79"/>
        <v>0</v>
      </c>
      <c r="H149" s="806">
        <f t="shared" si="79"/>
        <v>0.31818181818181818</v>
      </c>
      <c r="I149" s="624">
        <f t="shared" si="79"/>
        <v>0.18442474674384948</v>
      </c>
      <c r="J149" s="624">
        <f t="shared" si="79"/>
        <v>0</v>
      </c>
      <c r="K149" s="625">
        <f t="shared" si="79"/>
        <v>0</v>
      </c>
      <c r="L149" s="625">
        <f t="shared" si="79"/>
        <v>0</v>
      </c>
      <c r="M149" s="625">
        <f t="shared" si="79"/>
        <v>0</v>
      </c>
      <c r="N149" s="624">
        <f t="shared" si="82"/>
        <v>6.8429681374296098E-3</v>
      </c>
      <c r="O149" s="624">
        <f t="shared" si="80"/>
        <v>0</v>
      </c>
      <c r="P149" s="626">
        <f t="shared" si="80"/>
        <v>0</v>
      </c>
      <c r="Q149" s="624">
        <f t="shared" si="80"/>
        <v>0</v>
      </c>
      <c r="R149" s="357"/>
      <c r="S149" s="858">
        <v>1537</v>
      </c>
      <c r="T149" s="858">
        <v>140</v>
      </c>
      <c r="U149" s="858">
        <v>2188</v>
      </c>
      <c r="V149" s="858">
        <v>192</v>
      </c>
      <c r="W149" s="858"/>
      <c r="X149" s="858">
        <v>21</v>
      </c>
      <c r="Y149" s="859">
        <v>4078</v>
      </c>
      <c r="Z149" s="859"/>
      <c r="AA149" s="858"/>
      <c r="AB149" s="858"/>
      <c r="AC149" s="858"/>
      <c r="AD149" s="858"/>
      <c r="AE149" s="859">
        <v>96</v>
      </c>
      <c r="AF149" s="859"/>
      <c r="AG149" s="858"/>
      <c r="AH149" s="859"/>
    </row>
    <row r="150" spans="1:34">
      <c r="A150" s="883"/>
      <c r="B150" s="239" t="s">
        <v>78</v>
      </c>
      <c r="C150" s="806">
        <f t="shared" si="81"/>
        <v>8.4015963032976261E-4</v>
      </c>
      <c r="D150" s="806">
        <f t="shared" si="79"/>
        <v>0</v>
      </c>
      <c r="E150" s="806">
        <f t="shared" si="79"/>
        <v>0</v>
      </c>
      <c r="F150" s="806">
        <f t="shared" si="79"/>
        <v>0</v>
      </c>
      <c r="G150" s="806">
        <f t="shared" si="79"/>
        <v>0</v>
      </c>
      <c r="H150" s="806">
        <f t="shared" si="79"/>
        <v>0</v>
      </c>
      <c r="I150" s="624">
        <f t="shared" si="79"/>
        <v>3.6179450072358897E-4</v>
      </c>
      <c r="J150" s="624">
        <f t="shared" si="79"/>
        <v>0</v>
      </c>
      <c r="K150" s="625">
        <f t="shared" si="79"/>
        <v>0</v>
      </c>
      <c r="L150" s="625">
        <f t="shared" si="79"/>
        <v>0</v>
      </c>
      <c r="M150" s="625">
        <f t="shared" si="79"/>
        <v>0</v>
      </c>
      <c r="N150" s="624">
        <f t="shared" si="82"/>
        <v>0.95552070710670756</v>
      </c>
      <c r="O150" s="624">
        <f t="shared" si="80"/>
        <v>0</v>
      </c>
      <c r="P150" s="626">
        <f t="shared" si="80"/>
        <v>0</v>
      </c>
      <c r="Q150" s="624">
        <f t="shared" si="80"/>
        <v>1</v>
      </c>
      <c r="R150" s="357"/>
      <c r="S150" s="858">
        <v>8</v>
      </c>
      <c r="T150" s="858"/>
      <c r="U150" s="858"/>
      <c r="V150" s="858"/>
      <c r="W150" s="858"/>
      <c r="X150" s="858"/>
      <c r="Y150" s="859">
        <v>8</v>
      </c>
      <c r="Z150" s="859"/>
      <c r="AA150" s="858"/>
      <c r="AB150" s="858"/>
      <c r="AC150" s="858"/>
      <c r="AD150" s="858"/>
      <c r="AE150" s="859">
        <v>13405</v>
      </c>
      <c r="AF150" s="859"/>
      <c r="AG150" s="858"/>
      <c r="AH150" s="859">
        <v>5019</v>
      </c>
    </row>
    <row r="151" spans="1:34">
      <c r="A151" s="884"/>
      <c r="B151" s="580" t="s">
        <v>131</v>
      </c>
      <c r="C151" s="806">
        <f t="shared" si="81"/>
        <v>0.12423860533501366</v>
      </c>
      <c r="D151" s="806">
        <f t="shared" si="79"/>
        <v>0.19649122807017544</v>
      </c>
      <c r="E151" s="806">
        <f t="shared" si="79"/>
        <v>0.20701626164809062</v>
      </c>
      <c r="F151" s="806">
        <f t="shared" si="79"/>
        <v>0.36376210235131395</v>
      </c>
      <c r="G151" s="806">
        <f t="shared" si="79"/>
        <v>0</v>
      </c>
      <c r="H151" s="806">
        <f t="shared" si="79"/>
        <v>0.22727272727272727</v>
      </c>
      <c r="I151" s="624">
        <f t="shared" si="79"/>
        <v>0.17614869753979739</v>
      </c>
      <c r="J151" s="624">
        <f t="shared" si="79"/>
        <v>0</v>
      </c>
      <c r="K151" s="625">
        <f t="shared" si="79"/>
        <v>0</v>
      </c>
      <c r="L151" s="625">
        <f t="shared" si="79"/>
        <v>0</v>
      </c>
      <c r="M151" s="625">
        <f t="shared" si="79"/>
        <v>0</v>
      </c>
      <c r="N151" s="624">
        <f t="shared" si="82"/>
        <v>3.2789222325183549E-3</v>
      </c>
      <c r="O151" s="624">
        <f t="shared" si="80"/>
        <v>0</v>
      </c>
      <c r="P151" s="626">
        <f t="shared" si="80"/>
        <v>0</v>
      </c>
      <c r="Q151" s="624">
        <f t="shared" si="80"/>
        <v>0</v>
      </c>
      <c r="R151" s="357"/>
      <c r="S151" s="858">
        <f>1134+49</f>
        <v>1183</v>
      </c>
      <c r="T151" s="858">
        <f>164+4</f>
        <v>168</v>
      </c>
      <c r="U151" s="858">
        <f>2241+25</f>
        <v>2266</v>
      </c>
      <c r="V151" s="858">
        <f>262+1</f>
        <v>263</v>
      </c>
      <c r="W151" s="858"/>
      <c r="X151" s="858">
        <v>15</v>
      </c>
      <c r="Y151" s="859">
        <f>3816+79</f>
        <v>3895</v>
      </c>
      <c r="Z151" s="859"/>
      <c r="AA151" s="858"/>
      <c r="AB151" s="858"/>
      <c r="AC151" s="858"/>
      <c r="AD151" s="858"/>
      <c r="AE151" s="859">
        <v>46</v>
      </c>
      <c r="AF151" s="859"/>
      <c r="AG151" s="858"/>
      <c r="AH151" s="859"/>
    </row>
    <row r="152" spans="1:34">
      <c r="A152" s="885"/>
      <c r="B152" s="436" t="s">
        <v>59</v>
      </c>
      <c r="C152" s="807">
        <f t="shared" si="81"/>
        <v>1</v>
      </c>
      <c r="D152" s="808">
        <f t="shared" si="79"/>
        <v>1</v>
      </c>
      <c r="E152" s="808">
        <f t="shared" si="79"/>
        <v>1</v>
      </c>
      <c r="F152" s="808">
        <f t="shared" si="79"/>
        <v>1</v>
      </c>
      <c r="G152" s="808">
        <f t="shared" si="79"/>
        <v>0</v>
      </c>
      <c r="H152" s="809">
        <f t="shared" si="79"/>
        <v>1</v>
      </c>
      <c r="I152" s="577">
        <f t="shared" si="79"/>
        <v>1</v>
      </c>
      <c r="J152" s="577">
        <f t="shared" si="79"/>
        <v>0</v>
      </c>
      <c r="K152" s="578">
        <f t="shared" si="79"/>
        <v>0</v>
      </c>
      <c r="L152" s="578">
        <f t="shared" si="79"/>
        <v>0</v>
      </c>
      <c r="M152" s="578">
        <f t="shared" si="79"/>
        <v>0</v>
      </c>
      <c r="N152" s="577">
        <f t="shared" si="82"/>
        <v>1</v>
      </c>
      <c r="O152" s="577">
        <f t="shared" si="80"/>
        <v>0</v>
      </c>
      <c r="P152" s="579">
        <f t="shared" si="80"/>
        <v>0</v>
      </c>
      <c r="Q152" s="577">
        <f t="shared" si="80"/>
        <v>1</v>
      </c>
      <c r="R152" s="357"/>
      <c r="S152" s="858">
        <v>9522</v>
      </c>
      <c r="T152" s="858">
        <v>855</v>
      </c>
      <c r="U152" s="858">
        <v>10946</v>
      </c>
      <c r="V152" s="858">
        <v>723</v>
      </c>
      <c r="W152" s="858"/>
      <c r="X152" s="858">
        <v>66</v>
      </c>
      <c r="Y152" s="859">
        <v>22112</v>
      </c>
      <c r="Z152" s="859"/>
      <c r="AA152" s="858"/>
      <c r="AB152" s="858"/>
      <c r="AC152" s="858"/>
      <c r="AD152" s="858"/>
      <c r="AE152" s="859">
        <v>14029</v>
      </c>
      <c r="AF152" s="859"/>
      <c r="AG152" s="858"/>
      <c r="AH152" s="859">
        <v>5019</v>
      </c>
    </row>
    <row r="153" spans="1:34">
      <c r="A153" s="882" t="s">
        <v>139</v>
      </c>
      <c r="B153" s="240" t="s">
        <v>53</v>
      </c>
      <c r="C153" s="806">
        <f>IF(S$158&gt;0,(S153/S$158),0)</f>
        <v>0.30509053638537753</v>
      </c>
      <c r="D153" s="806">
        <f t="shared" ref="D153:M158" si="83">IF(T$158&gt;0,(T153/T$158),0)</f>
        <v>0.23390557939914164</v>
      </c>
      <c r="E153" s="806">
        <f t="shared" si="83"/>
        <v>0.19458128078817735</v>
      </c>
      <c r="F153" s="806">
        <f t="shared" si="83"/>
        <v>0.28321678321678323</v>
      </c>
      <c r="G153" s="806">
        <f t="shared" si="83"/>
        <v>0.27219796215429404</v>
      </c>
      <c r="H153" s="806">
        <f t="shared" si="83"/>
        <v>0.23636363636363636</v>
      </c>
      <c r="I153" s="613">
        <f t="shared" si="83"/>
        <v>0.27197265625</v>
      </c>
      <c r="J153" s="613">
        <f t="shared" si="83"/>
        <v>0</v>
      </c>
      <c r="K153" s="614">
        <f t="shared" si="83"/>
        <v>0</v>
      </c>
      <c r="L153" s="614">
        <f t="shared" si="83"/>
        <v>0</v>
      </c>
      <c r="M153" s="614">
        <f t="shared" si="83"/>
        <v>0</v>
      </c>
      <c r="N153" s="613">
        <f>IF(AE$158&gt;0,(AE153/AE$158),0)</f>
        <v>0.16696588868940754</v>
      </c>
      <c r="O153" s="613">
        <f t="shared" ref="O153:Q158" si="84">IF(AF$158&gt;0,(AF153/AF$158),0)</f>
        <v>0</v>
      </c>
      <c r="P153" s="615">
        <f t="shared" si="84"/>
        <v>0</v>
      </c>
      <c r="Q153" s="613">
        <f t="shared" si="84"/>
        <v>0.54593175853018372</v>
      </c>
      <c r="R153" s="799"/>
      <c r="S153" s="856">
        <v>893</v>
      </c>
      <c r="T153" s="856">
        <v>327</v>
      </c>
      <c r="U153" s="856">
        <v>79</v>
      </c>
      <c r="V153" s="856">
        <v>81</v>
      </c>
      <c r="W153" s="856">
        <v>187</v>
      </c>
      <c r="X153" s="856">
        <v>104</v>
      </c>
      <c r="Y153" s="857">
        <v>1671</v>
      </c>
      <c r="Z153" s="857"/>
      <c r="AA153" s="856"/>
      <c r="AB153" s="856"/>
      <c r="AC153" s="856"/>
      <c r="AD153" s="856"/>
      <c r="AE153" s="857">
        <v>93</v>
      </c>
      <c r="AF153" s="857"/>
      <c r="AG153" s="856"/>
      <c r="AH153" s="857">
        <v>416</v>
      </c>
    </row>
    <row r="154" spans="1:34">
      <c r="A154" s="883"/>
      <c r="B154" s="239" t="s">
        <v>93</v>
      </c>
      <c r="C154" s="806">
        <f t="shared" ref="C154:C158" si="85">IF(S$158&gt;0,(S154/S$158),0)</f>
        <v>0.24325247693884525</v>
      </c>
      <c r="D154" s="806">
        <f t="shared" si="83"/>
        <v>0.29971387696709584</v>
      </c>
      <c r="E154" s="806">
        <f t="shared" si="83"/>
        <v>0.19704433497536947</v>
      </c>
      <c r="F154" s="806">
        <f t="shared" si="83"/>
        <v>0.23076923076923078</v>
      </c>
      <c r="G154" s="806">
        <f t="shared" si="83"/>
        <v>0.26928675400291119</v>
      </c>
      <c r="H154" s="806">
        <f t="shared" si="83"/>
        <v>0.17045454545454544</v>
      </c>
      <c r="I154" s="624">
        <f t="shared" si="83"/>
        <v>0.25016276041666669</v>
      </c>
      <c r="J154" s="624">
        <f t="shared" si="83"/>
        <v>0</v>
      </c>
      <c r="K154" s="625">
        <f t="shared" si="83"/>
        <v>0</v>
      </c>
      <c r="L154" s="625">
        <f t="shared" si="83"/>
        <v>0</v>
      </c>
      <c r="M154" s="625">
        <f t="shared" si="83"/>
        <v>0</v>
      </c>
      <c r="N154" s="624">
        <f t="shared" ref="N154:N158" si="86">IF(AE$158&gt;0,(AE154/AE$158),0)</f>
        <v>0.18312387791741472</v>
      </c>
      <c r="O154" s="624">
        <f t="shared" si="84"/>
        <v>0</v>
      </c>
      <c r="P154" s="626">
        <f t="shared" si="84"/>
        <v>0</v>
      </c>
      <c r="Q154" s="624">
        <f t="shared" si="84"/>
        <v>3.937007874015748E-3</v>
      </c>
      <c r="R154" s="357"/>
      <c r="S154" s="858">
        <v>712</v>
      </c>
      <c r="T154" s="858">
        <v>419</v>
      </c>
      <c r="U154" s="858">
        <v>80</v>
      </c>
      <c r="V154" s="858">
        <v>66</v>
      </c>
      <c r="W154" s="858">
        <v>185</v>
      </c>
      <c r="X154" s="858">
        <v>75</v>
      </c>
      <c r="Y154" s="859">
        <v>1537</v>
      </c>
      <c r="Z154" s="859"/>
      <c r="AA154" s="858"/>
      <c r="AB154" s="858"/>
      <c r="AC154" s="858"/>
      <c r="AD154" s="858"/>
      <c r="AE154" s="859">
        <v>102</v>
      </c>
      <c r="AF154" s="859"/>
      <c r="AG154" s="858"/>
      <c r="AH154" s="859">
        <v>3</v>
      </c>
    </row>
    <row r="155" spans="1:34">
      <c r="A155" s="883"/>
      <c r="B155" s="239" t="s">
        <v>55</v>
      </c>
      <c r="C155" s="806">
        <f t="shared" si="85"/>
        <v>0.19918004783054322</v>
      </c>
      <c r="D155" s="806">
        <f t="shared" si="83"/>
        <v>0.23605150214592274</v>
      </c>
      <c r="E155" s="806">
        <f t="shared" si="83"/>
        <v>0.19704433497536947</v>
      </c>
      <c r="F155" s="806">
        <f t="shared" si="83"/>
        <v>0.24475524475524477</v>
      </c>
      <c r="G155" s="806">
        <f t="shared" si="83"/>
        <v>0.24163027656477437</v>
      </c>
      <c r="H155" s="806">
        <f t="shared" si="83"/>
        <v>0.27727272727272728</v>
      </c>
      <c r="I155" s="624">
        <f t="shared" si="83"/>
        <v>0.21988932291666666</v>
      </c>
      <c r="J155" s="624">
        <f t="shared" si="83"/>
        <v>0</v>
      </c>
      <c r="K155" s="625">
        <f t="shared" si="83"/>
        <v>0</v>
      </c>
      <c r="L155" s="625">
        <f t="shared" si="83"/>
        <v>0</v>
      </c>
      <c r="M155" s="625">
        <f t="shared" si="83"/>
        <v>0</v>
      </c>
      <c r="N155" s="624">
        <f t="shared" si="86"/>
        <v>0.10412926391382406</v>
      </c>
      <c r="O155" s="624">
        <f t="shared" si="84"/>
        <v>0</v>
      </c>
      <c r="P155" s="626">
        <f t="shared" si="84"/>
        <v>0</v>
      </c>
      <c r="Q155" s="624">
        <f t="shared" si="84"/>
        <v>2.6246719160104987E-3</v>
      </c>
      <c r="R155" s="357"/>
      <c r="S155" s="858">
        <v>583</v>
      </c>
      <c r="T155" s="858">
        <v>330</v>
      </c>
      <c r="U155" s="858">
        <v>80</v>
      </c>
      <c r="V155" s="858">
        <v>70</v>
      </c>
      <c r="W155" s="858">
        <v>166</v>
      </c>
      <c r="X155" s="858">
        <v>122</v>
      </c>
      <c r="Y155" s="859">
        <v>1351</v>
      </c>
      <c r="Z155" s="859"/>
      <c r="AA155" s="858"/>
      <c r="AB155" s="858"/>
      <c r="AC155" s="858"/>
      <c r="AD155" s="858"/>
      <c r="AE155" s="859">
        <v>58</v>
      </c>
      <c r="AF155" s="859"/>
      <c r="AG155" s="858"/>
      <c r="AH155" s="859">
        <v>2</v>
      </c>
    </row>
    <row r="156" spans="1:34">
      <c r="A156" s="883"/>
      <c r="B156" s="239" t="s">
        <v>78</v>
      </c>
      <c r="C156" s="806">
        <f t="shared" si="85"/>
        <v>0.19439699350871198</v>
      </c>
      <c r="D156" s="806">
        <f t="shared" si="83"/>
        <v>0.18955650929899856</v>
      </c>
      <c r="E156" s="806">
        <f t="shared" si="83"/>
        <v>0.4039408866995074</v>
      </c>
      <c r="F156" s="806">
        <f t="shared" si="83"/>
        <v>3.4965034965034965E-3</v>
      </c>
      <c r="G156" s="806">
        <f t="shared" si="83"/>
        <v>2.911208151382824E-3</v>
      </c>
      <c r="H156" s="806">
        <f t="shared" si="83"/>
        <v>0.24318181818181819</v>
      </c>
      <c r="I156" s="624">
        <f t="shared" si="83"/>
        <v>0.18033854166666666</v>
      </c>
      <c r="J156" s="624">
        <f t="shared" si="83"/>
        <v>0</v>
      </c>
      <c r="K156" s="625">
        <f t="shared" si="83"/>
        <v>0</v>
      </c>
      <c r="L156" s="625">
        <f t="shared" si="83"/>
        <v>0</v>
      </c>
      <c r="M156" s="625">
        <f t="shared" si="83"/>
        <v>0</v>
      </c>
      <c r="N156" s="624">
        <f t="shared" si="86"/>
        <v>0.14183123877917414</v>
      </c>
      <c r="O156" s="624">
        <f t="shared" si="84"/>
        <v>0</v>
      </c>
      <c r="P156" s="626">
        <f t="shared" si="84"/>
        <v>0</v>
      </c>
      <c r="Q156" s="624">
        <f t="shared" si="84"/>
        <v>0.17585301837270342</v>
      </c>
      <c r="R156" s="357"/>
      <c r="S156" s="858">
        <v>569</v>
      </c>
      <c r="T156" s="858">
        <v>265</v>
      </c>
      <c r="U156" s="858">
        <v>164</v>
      </c>
      <c r="V156" s="858">
        <v>1</v>
      </c>
      <c r="W156" s="858">
        <v>2</v>
      </c>
      <c r="X156" s="858">
        <v>107</v>
      </c>
      <c r="Y156" s="859">
        <v>1108</v>
      </c>
      <c r="Z156" s="859"/>
      <c r="AA156" s="858"/>
      <c r="AB156" s="858"/>
      <c r="AC156" s="858"/>
      <c r="AD156" s="858"/>
      <c r="AE156" s="859">
        <v>79</v>
      </c>
      <c r="AF156" s="859"/>
      <c r="AG156" s="858"/>
      <c r="AH156" s="859">
        <v>134</v>
      </c>
    </row>
    <row r="157" spans="1:34">
      <c r="A157" s="884"/>
      <c r="B157" s="580" t="s">
        <v>131</v>
      </c>
      <c r="C157" s="806">
        <f t="shared" si="85"/>
        <v>5.8079945336522033E-2</v>
      </c>
      <c r="D157" s="806">
        <f t="shared" si="83"/>
        <v>4.07725321888412E-2</v>
      </c>
      <c r="E157" s="806">
        <f t="shared" si="83"/>
        <v>7.3891625615763543E-3</v>
      </c>
      <c r="F157" s="806">
        <f t="shared" si="83"/>
        <v>0.23776223776223776</v>
      </c>
      <c r="G157" s="806">
        <f t="shared" si="83"/>
        <v>0.21397379912663755</v>
      </c>
      <c r="H157" s="806">
        <f t="shared" si="83"/>
        <v>7.2727272727272724E-2</v>
      </c>
      <c r="I157" s="624">
        <f t="shared" si="83"/>
        <v>7.763671875E-2</v>
      </c>
      <c r="J157" s="624">
        <f t="shared" si="83"/>
        <v>0</v>
      </c>
      <c r="K157" s="625">
        <f t="shared" si="83"/>
        <v>0</v>
      </c>
      <c r="L157" s="625">
        <f t="shared" si="83"/>
        <v>0</v>
      </c>
      <c r="M157" s="625">
        <f t="shared" si="83"/>
        <v>0</v>
      </c>
      <c r="N157" s="624">
        <f t="shared" si="86"/>
        <v>0.40394973070017953</v>
      </c>
      <c r="O157" s="624">
        <f t="shared" si="84"/>
        <v>0</v>
      </c>
      <c r="P157" s="626">
        <f t="shared" si="84"/>
        <v>0</v>
      </c>
      <c r="Q157" s="624">
        <f t="shared" si="84"/>
        <v>0.27165354330708663</v>
      </c>
      <c r="R157" s="357"/>
      <c r="S157" s="858">
        <f>0+170</f>
        <v>170</v>
      </c>
      <c r="T157" s="858">
        <v>57</v>
      </c>
      <c r="U157" s="858">
        <f>0+3</f>
        <v>3</v>
      </c>
      <c r="V157" s="858">
        <f>33+35</f>
        <v>68</v>
      </c>
      <c r="W157" s="858">
        <f>133+14</f>
        <v>147</v>
      </c>
      <c r="X157" s="858">
        <f>29+3</f>
        <v>32</v>
      </c>
      <c r="Y157" s="859">
        <f>252+225</f>
        <v>477</v>
      </c>
      <c r="Z157" s="859"/>
      <c r="AA157" s="858"/>
      <c r="AB157" s="858"/>
      <c r="AC157" s="858"/>
      <c r="AD157" s="858"/>
      <c r="AE157" s="859">
        <v>225</v>
      </c>
      <c r="AF157" s="859"/>
      <c r="AG157" s="858"/>
      <c r="AH157" s="859">
        <v>207</v>
      </c>
    </row>
    <row r="158" spans="1:34">
      <c r="A158" s="885"/>
      <c r="B158" s="436" t="s">
        <v>59</v>
      </c>
      <c r="C158" s="807">
        <f t="shared" si="85"/>
        <v>1</v>
      </c>
      <c r="D158" s="808">
        <f t="shared" si="83"/>
        <v>1</v>
      </c>
      <c r="E158" s="808">
        <f t="shared" si="83"/>
        <v>1</v>
      </c>
      <c r="F158" s="808">
        <f t="shared" si="83"/>
        <v>1</v>
      </c>
      <c r="G158" s="808">
        <f t="shared" si="83"/>
        <v>1</v>
      </c>
      <c r="H158" s="809">
        <f t="shared" si="83"/>
        <v>1</v>
      </c>
      <c r="I158" s="577">
        <f t="shared" si="83"/>
        <v>1</v>
      </c>
      <c r="J158" s="577">
        <f t="shared" si="83"/>
        <v>0</v>
      </c>
      <c r="K158" s="578">
        <f t="shared" si="83"/>
        <v>0</v>
      </c>
      <c r="L158" s="578">
        <f t="shared" si="83"/>
        <v>0</v>
      </c>
      <c r="M158" s="578">
        <f t="shared" si="83"/>
        <v>0</v>
      </c>
      <c r="N158" s="577">
        <f t="shared" si="86"/>
        <v>1</v>
      </c>
      <c r="O158" s="577">
        <f t="shared" si="84"/>
        <v>0</v>
      </c>
      <c r="P158" s="579">
        <f t="shared" si="84"/>
        <v>0</v>
      </c>
      <c r="Q158" s="577">
        <f t="shared" si="84"/>
        <v>1</v>
      </c>
      <c r="R158" s="357"/>
      <c r="S158" s="858">
        <v>2927</v>
      </c>
      <c r="T158" s="858">
        <v>1398</v>
      </c>
      <c r="U158" s="858">
        <v>406</v>
      </c>
      <c r="V158" s="858">
        <v>286</v>
      </c>
      <c r="W158" s="858">
        <v>687</v>
      </c>
      <c r="X158" s="858">
        <v>440</v>
      </c>
      <c r="Y158" s="859">
        <v>6144</v>
      </c>
      <c r="Z158" s="859"/>
      <c r="AA158" s="858"/>
      <c r="AB158" s="858"/>
      <c r="AC158" s="858"/>
      <c r="AD158" s="858"/>
      <c r="AE158" s="859">
        <v>557</v>
      </c>
      <c r="AF158" s="859"/>
      <c r="AG158" s="858"/>
      <c r="AH158" s="859">
        <v>762</v>
      </c>
    </row>
    <row r="159" spans="1:34">
      <c r="A159" s="882" t="s">
        <v>141</v>
      </c>
      <c r="B159" s="240" t="s">
        <v>53</v>
      </c>
      <c r="C159" s="806">
        <f>IF(S$164&gt;0,(S159/S$164),0)</f>
        <v>0.38562091503267976</v>
      </c>
      <c r="D159" s="806">
        <f t="shared" ref="D159:M164" si="87">IF(T$164&gt;0,(T159/T$164),0)</f>
        <v>0</v>
      </c>
      <c r="E159" s="806">
        <f t="shared" si="87"/>
        <v>0</v>
      </c>
      <c r="F159" s="806">
        <f t="shared" si="87"/>
        <v>0.29716981132075471</v>
      </c>
      <c r="G159" s="806">
        <f t="shared" si="87"/>
        <v>0</v>
      </c>
      <c r="H159" s="806">
        <f t="shared" si="87"/>
        <v>0.24675324675324675</v>
      </c>
      <c r="I159" s="613">
        <f t="shared" si="87"/>
        <v>0.3639705882352941</v>
      </c>
      <c r="J159" s="613">
        <f t="shared" si="87"/>
        <v>0</v>
      </c>
      <c r="K159" s="614">
        <f t="shared" si="87"/>
        <v>0</v>
      </c>
      <c r="L159" s="614">
        <f t="shared" si="87"/>
        <v>0</v>
      </c>
      <c r="M159" s="614">
        <f t="shared" si="87"/>
        <v>0</v>
      </c>
      <c r="N159" s="613">
        <f>IF(AE$164&gt;0,(AE159/AE$164),0)</f>
        <v>0.23756906077348067</v>
      </c>
      <c r="O159" s="613">
        <f t="shared" ref="O159:Q164" si="88">IF(AF$164&gt;0,(AF159/AF$164),0)</f>
        <v>0</v>
      </c>
      <c r="P159" s="615">
        <f t="shared" si="88"/>
        <v>0</v>
      </c>
      <c r="Q159" s="613">
        <f t="shared" si="88"/>
        <v>0</v>
      </c>
      <c r="R159" s="799"/>
      <c r="S159" s="856">
        <v>413</v>
      </c>
      <c r="T159" s="856"/>
      <c r="U159" s="856"/>
      <c r="V159" s="856">
        <v>63</v>
      </c>
      <c r="W159" s="856"/>
      <c r="X159" s="856">
        <v>19</v>
      </c>
      <c r="Y159" s="857">
        <v>495</v>
      </c>
      <c r="Z159" s="857"/>
      <c r="AA159" s="856"/>
      <c r="AB159" s="856"/>
      <c r="AC159" s="856"/>
      <c r="AD159" s="856"/>
      <c r="AE159" s="857">
        <v>172</v>
      </c>
      <c r="AF159" s="857"/>
      <c r="AG159" s="856"/>
      <c r="AH159" s="857"/>
    </row>
    <row r="160" spans="1:34">
      <c r="A160" s="883"/>
      <c r="B160" s="239" t="s">
        <v>93</v>
      </c>
      <c r="C160" s="806">
        <f t="shared" ref="C160:C164" si="89">IF(S$164&gt;0,(S160/S$164),0)</f>
        <v>0.2857142857142857</v>
      </c>
      <c r="D160" s="806">
        <f t="shared" si="87"/>
        <v>0</v>
      </c>
      <c r="E160" s="806">
        <f t="shared" si="87"/>
        <v>0</v>
      </c>
      <c r="F160" s="806">
        <f t="shared" si="87"/>
        <v>0.40094339622641512</v>
      </c>
      <c r="G160" s="806">
        <f t="shared" si="87"/>
        <v>0</v>
      </c>
      <c r="H160" s="806">
        <f t="shared" si="87"/>
        <v>0.23376623376623376</v>
      </c>
      <c r="I160" s="624">
        <f t="shared" si="87"/>
        <v>0.30073529411764705</v>
      </c>
      <c r="J160" s="624">
        <f t="shared" si="87"/>
        <v>0</v>
      </c>
      <c r="K160" s="625">
        <f t="shared" si="87"/>
        <v>0</v>
      </c>
      <c r="L160" s="625">
        <f t="shared" si="87"/>
        <v>0</v>
      </c>
      <c r="M160" s="625">
        <f t="shared" si="87"/>
        <v>0</v>
      </c>
      <c r="N160" s="624">
        <f t="shared" ref="N160:N164" si="90">IF(AE$164&gt;0,(AE160/AE$164),0)</f>
        <v>0.16712707182320441</v>
      </c>
      <c r="O160" s="624">
        <f t="shared" si="88"/>
        <v>0</v>
      </c>
      <c r="P160" s="626">
        <f t="shared" si="88"/>
        <v>0</v>
      </c>
      <c r="Q160" s="624">
        <f t="shared" si="88"/>
        <v>0</v>
      </c>
      <c r="R160" s="357"/>
      <c r="S160" s="858">
        <v>306</v>
      </c>
      <c r="T160" s="858"/>
      <c r="U160" s="858"/>
      <c r="V160" s="858">
        <v>85</v>
      </c>
      <c r="W160" s="858"/>
      <c r="X160" s="858">
        <v>18</v>
      </c>
      <c r="Y160" s="859">
        <v>409</v>
      </c>
      <c r="Z160" s="859"/>
      <c r="AA160" s="858"/>
      <c r="AB160" s="858"/>
      <c r="AC160" s="858"/>
      <c r="AD160" s="858"/>
      <c r="AE160" s="859">
        <v>121</v>
      </c>
      <c r="AF160" s="859"/>
      <c r="AG160" s="858"/>
      <c r="AH160" s="859"/>
    </row>
    <row r="161" spans="1:34">
      <c r="A161" s="883"/>
      <c r="B161" s="239" t="s">
        <v>55</v>
      </c>
      <c r="C161" s="806">
        <f t="shared" si="89"/>
        <v>0.21661998132586369</v>
      </c>
      <c r="D161" s="806">
        <f t="shared" si="87"/>
        <v>0</v>
      </c>
      <c r="E161" s="806">
        <f t="shared" si="87"/>
        <v>0</v>
      </c>
      <c r="F161" s="806">
        <f t="shared" si="87"/>
        <v>0.15566037735849056</v>
      </c>
      <c r="G161" s="806">
        <f t="shared" si="87"/>
        <v>0</v>
      </c>
      <c r="H161" s="806">
        <f t="shared" si="87"/>
        <v>0.37662337662337664</v>
      </c>
      <c r="I161" s="624">
        <f t="shared" si="87"/>
        <v>0.2161764705882353</v>
      </c>
      <c r="J161" s="624">
        <f t="shared" si="87"/>
        <v>0</v>
      </c>
      <c r="K161" s="625">
        <f t="shared" si="87"/>
        <v>0</v>
      </c>
      <c r="L161" s="625">
        <f t="shared" si="87"/>
        <v>0</v>
      </c>
      <c r="M161" s="625">
        <f t="shared" si="87"/>
        <v>0</v>
      </c>
      <c r="N161" s="624">
        <f t="shared" si="90"/>
        <v>0.27624309392265195</v>
      </c>
      <c r="O161" s="624">
        <f t="shared" si="88"/>
        <v>0</v>
      </c>
      <c r="P161" s="626">
        <f t="shared" si="88"/>
        <v>0</v>
      </c>
      <c r="Q161" s="624">
        <f t="shared" si="88"/>
        <v>0</v>
      </c>
      <c r="R161" s="357"/>
      <c r="S161" s="858">
        <v>232</v>
      </c>
      <c r="T161" s="858"/>
      <c r="U161" s="858"/>
      <c r="V161" s="858">
        <v>33</v>
      </c>
      <c r="W161" s="858"/>
      <c r="X161" s="858">
        <v>29</v>
      </c>
      <c r="Y161" s="859">
        <v>294</v>
      </c>
      <c r="Z161" s="859"/>
      <c r="AA161" s="858"/>
      <c r="AB161" s="858"/>
      <c r="AC161" s="858"/>
      <c r="AD161" s="858"/>
      <c r="AE161" s="859">
        <v>200</v>
      </c>
      <c r="AF161" s="859"/>
      <c r="AG161" s="858"/>
      <c r="AH161" s="859"/>
    </row>
    <row r="162" spans="1:34">
      <c r="A162" s="883"/>
      <c r="B162" s="239" t="s">
        <v>78</v>
      </c>
      <c r="C162" s="806">
        <f t="shared" si="89"/>
        <v>0.11204481792717087</v>
      </c>
      <c r="D162" s="806">
        <f t="shared" si="87"/>
        <v>0</v>
      </c>
      <c r="E162" s="806">
        <f t="shared" si="87"/>
        <v>0</v>
      </c>
      <c r="F162" s="806">
        <f t="shared" si="87"/>
        <v>0.14622641509433962</v>
      </c>
      <c r="G162" s="806">
        <f t="shared" si="87"/>
        <v>0</v>
      </c>
      <c r="H162" s="806">
        <f t="shared" si="87"/>
        <v>0.14285714285714285</v>
      </c>
      <c r="I162" s="624">
        <f t="shared" si="87"/>
        <v>0.11911764705882352</v>
      </c>
      <c r="J162" s="624">
        <f t="shared" si="87"/>
        <v>0</v>
      </c>
      <c r="K162" s="625">
        <f t="shared" si="87"/>
        <v>0</v>
      </c>
      <c r="L162" s="625">
        <f t="shared" si="87"/>
        <v>0</v>
      </c>
      <c r="M162" s="625">
        <f t="shared" si="87"/>
        <v>0</v>
      </c>
      <c r="N162" s="624">
        <f t="shared" si="90"/>
        <v>0.31906077348066297</v>
      </c>
      <c r="O162" s="624">
        <f t="shared" si="88"/>
        <v>0</v>
      </c>
      <c r="P162" s="626">
        <f t="shared" si="88"/>
        <v>0</v>
      </c>
      <c r="Q162" s="624">
        <f t="shared" si="88"/>
        <v>0</v>
      </c>
      <c r="R162" s="357"/>
      <c r="S162" s="858">
        <v>120</v>
      </c>
      <c r="T162" s="858"/>
      <c r="U162" s="858"/>
      <c r="V162" s="858">
        <v>31</v>
      </c>
      <c r="W162" s="858"/>
      <c r="X162" s="858">
        <v>11</v>
      </c>
      <c r="Y162" s="859">
        <v>162</v>
      </c>
      <c r="Z162" s="859"/>
      <c r="AA162" s="858"/>
      <c r="AB162" s="858"/>
      <c r="AC162" s="858"/>
      <c r="AD162" s="858"/>
      <c r="AE162" s="859">
        <v>231</v>
      </c>
      <c r="AF162" s="859"/>
      <c r="AG162" s="858"/>
      <c r="AH162" s="859"/>
    </row>
    <row r="163" spans="1:34">
      <c r="A163" s="884"/>
      <c r="B163" s="580" t="s">
        <v>131</v>
      </c>
      <c r="C163" s="806">
        <f t="shared" si="89"/>
        <v>0</v>
      </c>
      <c r="D163" s="806">
        <f t="shared" si="87"/>
        <v>0</v>
      </c>
      <c r="E163" s="806">
        <f t="shared" si="87"/>
        <v>0</v>
      </c>
      <c r="F163" s="806">
        <f t="shared" si="87"/>
        <v>0</v>
      </c>
      <c r="G163" s="806">
        <f t="shared" si="87"/>
        <v>0</v>
      </c>
      <c r="H163" s="806">
        <f t="shared" si="87"/>
        <v>0</v>
      </c>
      <c r="I163" s="624">
        <f t="shared" si="87"/>
        <v>0</v>
      </c>
      <c r="J163" s="624">
        <f t="shared" si="87"/>
        <v>0</v>
      </c>
      <c r="K163" s="625">
        <f t="shared" si="87"/>
        <v>0</v>
      </c>
      <c r="L163" s="625">
        <f t="shared" si="87"/>
        <v>0</v>
      </c>
      <c r="M163" s="625">
        <f t="shared" si="87"/>
        <v>0</v>
      </c>
      <c r="N163" s="624">
        <f t="shared" si="90"/>
        <v>0</v>
      </c>
      <c r="O163" s="624">
        <f t="shared" si="88"/>
        <v>0</v>
      </c>
      <c r="P163" s="626">
        <f t="shared" si="88"/>
        <v>0</v>
      </c>
      <c r="Q163" s="624">
        <f t="shared" si="88"/>
        <v>0</v>
      </c>
      <c r="R163" s="357"/>
      <c r="S163" s="858"/>
      <c r="T163" s="858"/>
      <c r="U163" s="858"/>
      <c r="V163" s="858"/>
      <c r="W163" s="858"/>
      <c r="X163" s="858"/>
      <c r="Y163" s="859"/>
      <c r="Z163" s="859"/>
      <c r="AA163" s="858"/>
      <c r="AB163" s="858"/>
      <c r="AC163" s="858"/>
      <c r="AD163" s="858"/>
      <c r="AE163" s="859"/>
      <c r="AF163" s="859"/>
      <c r="AG163" s="858"/>
      <c r="AH163" s="859"/>
    </row>
    <row r="164" spans="1:34">
      <c r="A164" s="885"/>
      <c r="B164" s="436" t="s">
        <v>59</v>
      </c>
      <c r="C164" s="807">
        <f t="shared" si="89"/>
        <v>1</v>
      </c>
      <c r="D164" s="808">
        <f t="shared" si="87"/>
        <v>0</v>
      </c>
      <c r="E164" s="808">
        <f t="shared" si="87"/>
        <v>0</v>
      </c>
      <c r="F164" s="808">
        <f t="shared" si="87"/>
        <v>1</v>
      </c>
      <c r="G164" s="808">
        <f t="shared" si="87"/>
        <v>0</v>
      </c>
      <c r="H164" s="809">
        <f t="shared" si="87"/>
        <v>1</v>
      </c>
      <c r="I164" s="577">
        <f t="shared" si="87"/>
        <v>1</v>
      </c>
      <c r="J164" s="577">
        <f t="shared" si="87"/>
        <v>0</v>
      </c>
      <c r="K164" s="578">
        <f t="shared" si="87"/>
        <v>0</v>
      </c>
      <c r="L164" s="578">
        <f t="shared" si="87"/>
        <v>0</v>
      </c>
      <c r="M164" s="578">
        <f t="shared" si="87"/>
        <v>0</v>
      </c>
      <c r="N164" s="577">
        <f t="shared" si="90"/>
        <v>1</v>
      </c>
      <c r="O164" s="577">
        <f t="shared" si="88"/>
        <v>0</v>
      </c>
      <c r="P164" s="579">
        <f t="shared" si="88"/>
        <v>0</v>
      </c>
      <c r="Q164" s="577">
        <f t="shared" si="88"/>
        <v>0</v>
      </c>
      <c r="R164" s="357"/>
      <c r="S164" s="858">
        <v>1071</v>
      </c>
      <c r="T164" s="858"/>
      <c r="U164" s="858"/>
      <c r="V164" s="858">
        <v>212</v>
      </c>
      <c r="W164" s="858"/>
      <c r="X164" s="858">
        <v>77</v>
      </c>
      <c r="Y164" s="859">
        <v>1360</v>
      </c>
      <c r="Z164" s="859"/>
      <c r="AA164" s="858"/>
      <c r="AB164" s="858"/>
      <c r="AC164" s="858"/>
      <c r="AD164" s="858"/>
      <c r="AE164" s="859">
        <v>724</v>
      </c>
      <c r="AF164" s="859"/>
      <c r="AG164" s="858"/>
      <c r="AH164" s="859"/>
    </row>
    <row r="165" spans="1:34">
      <c r="A165" s="882" t="s">
        <v>143</v>
      </c>
      <c r="B165" s="240" t="s">
        <v>53</v>
      </c>
      <c r="C165" s="806">
        <f>IF(S$170&gt;0,(S165/S$170),0)</f>
        <v>0</v>
      </c>
      <c r="D165" s="806">
        <f t="shared" ref="D165:M170" si="91">IF(T$170&gt;0,(T165/T$170),0)</f>
        <v>0.27127659574468083</v>
      </c>
      <c r="E165" s="806">
        <f t="shared" si="91"/>
        <v>0.23239436619718309</v>
      </c>
      <c r="F165" s="806">
        <f t="shared" si="91"/>
        <v>0</v>
      </c>
      <c r="G165" s="806">
        <f t="shared" si="91"/>
        <v>0</v>
      </c>
      <c r="H165" s="806">
        <f t="shared" si="91"/>
        <v>0.33333333333333331</v>
      </c>
      <c r="I165" s="613">
        <f t="shared" si="91"/>
        <v>0.26281732205077152</v>
      </c>
      <c r="J165" s="613">
        <f t="shared" si="91"/>
        <v>0</v>
      </c>
      <c r="K165" s="614">
        <f t="shared" si="91"/>
        <v>0</v>
      </c>
      <c r="L165" s="614">
        <f t="shared" si="91"/>
        <v>0</v>
      </c>
      <c r="M165" s="614">
        <f t="shared" si="91"/>
        <v>0</v>
      </c>
      <c r="N165" s="613">
        <f>IF(AE$170&gt;0,(AE165/AE$170),0)</f>
        <v>0.12527472527472527</v>
      </c>
      <c r="O165" s="613">
        <f t="shared" ref="O165:Q170" si="92">IF(AF$170&gt;0,(AF165/AF$170),0)</f>
        <v>0</v>
      </c>
      <c r="P165" s="615">
        <f t="shared" si="92"/>
        <v>0</v>
      </c>
      <c r="Q165" s="613">
        <f t="shared" si="92"/>
        <v>0</v>
      </c>
      <c r="R165" s="799"/>
      <c r="S165" s="856"/>
      <c r="T165" s="856">
        <v>306</v>
      </c>
      <c r="U165" s="856">
        <v>165</v>
      </c>
      <c r="V165" s="856"/>
      <c r="W165" s="856"/>
      <c r="X165" s="856">
        <v>57</v>
      </c>
      <c r="Y165" s="857">
        <v>528</v>
      </c>
      <c r="Z165" s="857"/>
      <c r="AA165" s="856"/>
      <c r="AB165" s="856"/>
      <c r="AC165" s="856"/>
      <c r="AD165" s="856"/>
      <c r="AE165" s="857">
        <v>57</v>
      </c>
      <c r="AF165" s="857"/>
      <c r="AG165" s="856"/>
      <c r="AH165" s="857"/>
    </row>
    <row r="166" spans="1:34">
      <c r="A166" s="883"/>
      <c r="B166" s="239" t="s">
        <v>93</v>
      </c>
      <c r="C166" s="806">
        <f t="shared" ref="C166:C170" si="93">IF(S$170&gt;0,(S166/S$170),0)</f>
        <v>0</v>
      </c>
      <c r="D166" s="806">
        <f t="shared" si="91"/>
        <v>0.21719858156028368</v>
      </c>
      <c r="E166" s="806">
        <f t="shared" si="91"/>
        <v>0.26760563380281688</v>
      </c>
      <c r="F166" s="806">
        <f t="shared" si="91"/>
        <v>0</v>
      </c>
      <c r="G166" s="806">
        <f t="shared" si="91"/>
        <v>0</v>
      </c>
      <c r="H166" s="806">
        <f t="shared" si="91"/>
        <v>0.22807017543859648</v>
      </c>
      <c r="I166" s="624">
        <f t="shared" si="91"/>
        <v>0.23593827775012444</v>
      </c>
      <c r="J166" s="624">
        <f t="shared" si="91"/>
        <v>0</v>
      </c>
      <c r="K166" s="625">
        <f t="shared" si="91"/>
        <v>0</v>
      </c>
      <c r="L166" s="625">
        <f t="shared" si="91"/>
        <v>0</v>
      </c>
      <c r="M166" s="625">
        <f t="shared" si="91"/>
        <v>0</v>
      </c>
      <c r="N166" s="624">
        <f t="shared" ref="N166:N170" si="94">IF(AE$170&gt;0,(AE166/AE$170),0)</f>
        <v>5.054945054945055E-2</v>
      </c>
      <c r="O166" s="624">
        <f t="shared" si="92"/>
        <v>0</v>
      </c>
      <c r="P166" s="626">
        <f t="shared" si="92"/>
        <v>0</v>
      </c>
      <c r="Q166" s="624">
        <f t="shared" si="92"/>
        <v>0</v>
      </c>
      <c r="R166" s="357"/>
      <c r="S166" s="858"/>
      <c r="T166" s="858">
        <v>245</v>
      </c>
      <c r="U166" s="858">
        <v>190</v>
      </c>
      <c r="V166" s="858"/>
      <c r="W166" s="858"/>
      <c r="X166" s="858">
        <v>39</v>
      </c>
      <c r="Y166" s="859">
        <v>474</v>
      </c>
      <c r="Z166" s="859"/>
      <c r="AA166" s="858"/>
      <c r="AB166" s="858"/>
      <c r="AC166" s="858"/>
      <c r="AD166" s="858"/>
      <c r="AE166" s="859">
        <v>23</v>
      </c>
      <c r="AF166" s="859"/>
      <c r="AG166" s="858"/>
      <c r="AH166" s="859"/>
    </row>
    <row r="167" spans="1:34">
      <c r="A167" s="883"/>
      <c r="B167" s="239" t="s">
        <v>55</v>
      </c>
      <c r="C167" s="806">
        <f t="shared" si="93"/>
        <v>0</v>
      </c>
      <c r="D167" s="806">
        <f t="shared" si="91"/>
        <v>0.30762411347517732</v>
      </c>
      <c r="E167" s="806">
        <f t="shared" si="91"/>
        <v>0.27605633802816903</v>
      </c>
      <c r="F167" s="806">
        <f t="shared" si="91"/>
        <v>0</v>
      </c>
      <c r="G167" s="806">
        <f t="shared" si="91"/>
        <v>0</v>
      </c>
      <c r="H167" s="806">
        <f t="shared" si="91"/>
        <v>0.31578947368421051</v>
      </c>
      <c r="I167" s="624">
        <f t="shared" si="91"/>
        <v>0.29716276754604282</v>
      </c>
      <c r="J167" s="624">
        <f t="shared" si="91"/>
        <v>0</v>
      </c>
      <c r="K167" s="625">
        <f t="shared" si="91"/>
        <v>0</v>
      </c>
      <c r="L167" s="625">
        <f t="shared" si="91"/>
        <v>0</v>
      </c>
      <c r="M167" s="625">
        <f t="shared" si="91"/>
        <v>0</v>
      </c>
      <c r="N167" s="624">
        <f t="shared" si="94"/>
        <v>0.23516483516483516</v>
      </c>
      <c r="O167" s="624">
        <f t="shared" si="92"/>
        <v>0</v>
      </c>
      <c r="P167" s="626">
        <f t="shared" si="92"/>
        <v>0</v>
      </c>
      <c r="Q167" s="624">
        <f t="shared" si="92"/>
        <v>0</v>
      </c>
      <c r="R167" s="357"/>
      <c r="S167" s="858"/>
      <c r="T167" s="858">
        <v>347</v>
      </c>
      <c r="U167" s="858">
        <v>196</v>
      </c>
      <c r="V167" s="858"/>
      <c r="W167" s="858"/>
      <c r="X167" s="858">
        <v>54</v>
      </c>
      <c r="Y167" s="859">
        <v>597</v>
      </c>
      <c r="Z167" s="859"/>
      <c r="AA167" s="858"/>
      <c r="AB167" s="858"/>
      <c r="AC167" s="858"/>
      <c r="AD167" s="858"/>
      <c r="AE167" s="859">
        <v>107</v>
      </c>
      <c r="AF167" s="859"/>
      <c r="AG167" s="858"/>
      <c r="AH167" s="859"/>
    </row>
    <row r="168" spans="1:34">
      <c r="A168" s="883"/>
      <c r="B168" s="239" t="s">
        <v>78</v>
      </c>
      <c r="C168" s="806">
        <f t="shared" si="93"/>
        <v>0</v>
      </c>
      <c r="D168" s="806">
        <f t="shared" si="91"/>
        <v>0.10904255319148937</v>
      </c>
      <c r="E168" s="806">
        <f t="shared" si="91"/>
        <v>1.1267605633802818E-2</v>
      </c>
      <c r="F168" s="806">
        <f t="shared" si="91"/>
        <v>0</v>
      </c>
      <c r="G168" s="806">
        <f t="shared" si="91"/>
        <v>0</v>
      </c>
      <c r="H168" s="806">
        <f t="shared" si="91"/>
        <v>0.12280701754385964</v>
      </c>
      <c r="I168" s="624">
        <f t="shared" si="91"/>
        <v>7.5659532105525132E-2</v>
      </c>
      <c r="J168" s="624">
        <f t="shared" si="91"/>
        <v>0</v>
      </c>
      <c r="K168" s="625">
        <f t="shared" si="91"/>
        <v>0</v>
      </c>
      <c r="L168" s="625">
        <f t="shared" si="91"/>
        <v>0</v>
      </c>
      <c r="M168" s="625">
        <f t="shared" si="91"/>
        <v>0</v>
      </c>
      <c r="N168" s="624">
        <f t="shared" si="94"/>
        <v>0.56043956043956045</v>
      </c>
      <c r="O168" s="624">
        <f t="shared" si="92"/>
        <v>0</v>
      </c>
      <c r="P168" s="626">
        <f t="shared" si="92"/>
        <v>0</v>
      </c>
      <c r="Q168" s="624">
        <f t="shared" si="92"/>
        <v>1</v>
      </c>
      <c r="R168" s="357"/>
      <c r="S168" s="858"/>
      <c r="T168" s="858">
        <v>123</v>
      </c>
      <c r="U168" s="858">
        <v>8</v>
      </c>
      <c r="V168" s="858"/>
      <c r="W168" s="858"/>
      <c r="X168" s="858">
        <v>21</v>
      </c>
      <c r="Y168" s="859">
        <v>152</v>
      </c>
      <c r="Z168" s="859"/>
      <c r="AA168" s="858"/>
      <c r="AB168" s="858"/>
      <c r="AC168" s="858"/>
      <c r="AD168" s="858"/>
      <c r="AE168" s="859">
        <v>255</v>
      </c>
      <c r="AF168" s="859"/>
      <c r="AG168" s="858"/>
      <c r="AH168" s="859">
        <v>38</v>
      </c>
    </row>
    <row r="169" spans="1:34">
      <c r="A169" s="884"/>
      <c r="B169" s="580" t="s">
        <v>131</v>
      </c>
      <c r="C169" s="806">
        <f t="shared" si="93"/>
        <v>0</v>
      </c>
      <c r="D169" s="806">
        <f t="shared" si="91"/>
        <v>9.4858156028368792E-2</v>
      </c>
      <c r="E169" s="806">
        <f t="shared" si="91"/>
        <v>0.21267605633802816</v>
      </c>
      <c r="F169" s="806">
        <f t="shared" si="91"/>
        <v>0</v>
      </c>
      <c r="G169" s="806">
        <f t="shared" si="91"/>
        <v>0</v>
      </c>
      <c r="H169" s="806">
        <f t="shared" si="91"/>
        <v>0</v>
      </c>
      <c r="I169" s="624">
        <f t="shared" si="91"/>
        <v>0.12842210054753608</v>
      </c>
      <c r="J169" s="624">
        <f t="shared" si="91"/>
        <v>0</v>
      </c>
      <c r="K169" s="625">
        <f t="shared" si="91"/>
        <v>0</v>
      </c>
      <c r="L169" s="625">
        <f t="shared" si="91"/>
        <v>0</v>
      </c>
      <c r="M169" s="625">
        <f t="shared" si="91"/>
        <v>0</v>
      </c>
      <c r="N169" s="624">
        <f t="shared" si="94"/>
        <v>2.8571428571428571E-2</v>
      </c>
      <c r="O169" s="624">
        <f t="shared" si="92"/>
        <v>0</v>
      </c>
      <c r="P169" s="626">
        <f t="shared" si="92"/>
        <v>0</v>
      </c>
      <c r="Q169" s="624">
        <f t="shared" si="92"/>
        <v>0</v>
      </c>
      <c r="R169" s="357"/>
      <c r="S169" s="858"/>
      <c r="T169" s="858">
        <f>80+27</f>
        <v>107</v>
      </c>
      <c r="U169" s="858">
        <f>135+16</f>
        <v>151</v>
      </c>
      <c r="V169" s="858"/>
      <c r="W169" s="858"/>
      <c r="X169" s="858"/>
      <c r="Y169" s="859">
        <f>215+43</f>
        <v>258</v>
      </c>
      <c r="Z169" s="859"/>
      <c r="AA169" s="858"/>
      <c r="AB169" s="858"/>
      <c r="AC169" s="858"/>
      <c r="AD169" s="858"/>
      <c r="AE169" s="859">
        <v>13</v>
      </c>
      <c r="AF169" s="859"/>
      <c r="AG169" s="858"/>
      <c r="AH169" s="859"/>
    </row>
    <row r="170" spans="1:34">
      <c r="A170" s="885"/>
      <c r="B170" s="436" t="s">
        <v>59</v>
      </c>
      <c r="C170" s="807">
        <f t="shared" si="93"/>
        <v>0</v>
      </c>
      <c r="D170" s="808">
        <f t="shared" si="91"/>
        <v>1</v>
      </c>
      <c r="E170" s="808">
        <f t="shared" si="91"/>
        <v>1</v>
      </c>
      <c r="F170" s="808">
        <f t="shared" si="91"/>
        <v>0</v>
      </c>
      <c r="G170" s="808">
        <f t="shared" si="91"/>
        <v>0</v>
      </c>
      <c r="H170" s="809">
        <f t="shared" si="91"/>
        <v>1</v>
      </c>
      <c r="I170" s="577">
        <f t="shared" si="91"/>
        <v>1</v>
      </c>
      <c r="J170" s="577">
        <f t="shared" si="91"/>
        <v>0</v>
      </c>
      <c r="K170" s="578">
        <f t="shared" si="91"/>
        <v>0</v>
      </c>
      <c r="L170" s="578">
        <f t="shared" si="91"/>
        <v>0</v>
      </c>
      <c r="M170" s="578">
        <f t="shared" si="91"/>
        <v>0</v>
      </c>
      <c r="N170" s="577">
        <f t="shared" si="94"/>
        <v>1</v>
      </c>
      <c r="O170" s="577">
        <f t="shared" si="92"/>
        <v>0</v>
      </c>
      <c r="P170" s="579">
        <f t="shared" si="92"/>
        <v>0</v>
      </c>
      <c r="Q170" s="577">
        <f t="shared" si="92"/>
        <v>1</v>
      </c>
      <c r="R170" s="357"/>
      <c r="S170" s="858"/>
      <c r="T170" s="858">
        <v>1128</v>
      </c>
      <c r="U170" s="858">
        <v>710</v>
      </c>
      <c r="V170" s="858"/>
      <c r="W170" s="858"/>
      <c r="X170" s="858">
        <v>171</v>
      </c>
      <c r="Y170" s="859">
        <v>2009</v>
      </c>
      <c r="Z170" s="859"/>
      <c r="AA170" s="858"/>
      <c r="AB170" s="858"/>
      <c r="AC170" s="858"/>
      <c r="AD170" s="858"/>
      <c r="AE170" s="859">
        <v>455</v>
      </c>
      <c r="AF170" s="859"/>
      <c r="AG170" s="858"/>
      <c r="AH170" s="859">
        <v>38</v>
      </c>
    </row>
    <row r="171" spans="1:34">
      <c r="A171" s="882" t="s">
        <v>152</v>
      </c>
      <c r="B171" s="240" t="s">
        <v>53</v>
      </c>
      <c r="C171" s="806">
        <f>IF(S$176&gt;0,(S171/S$176),0)</f>
        <v>0</v>
      </c>
      <c r="D171" s="806">
        <f t="shared" ref="D171:M176" si="95">IF(T$176&gt;0,(T171/T$176),0)</f>
        <v>0.34605377276669558</v>
      </c>
      <c r="E171" s="806">
        <f t="shared" si="95"/>
        <v>0</v>
      </c>
      <c r="F171" s="806">
        <f t="shared" si="95"/>
        <v>0.25165562913907286</v>
      </c>
      <c r="G171" s="806">
        <f t="shared" si="95"/>
        <v>0</v>
      </c>
      <c r="H171" s="806">
        <f t="shared" si="95"/>
        <v>0.35483870967741937</v>
      </c>
      <c r="I171" s="613">
        <f t="shared" si="95"/>
        <v>0.3286890436985434</v>
      </c>
      <c r="J171" s="613">
        <f t="shared" si="95"/>
        <v>0</v>
      </c>
      <c r="K171" s="614">
        <f t="shared" si="95"/>
        <v>0</v>
      </c>
      <c r="L171" s="614">
        <f t="shared" si="95"/>
        <v>0</v>
      </c>
      <c r="M171" s="614">
        <f t="shared" si="95"/>
        <v>0</v>
      </c>
      <c r="N171" s="613">
        <f>IF(AE$176&gt;0,(AE171/AE$176),0)</f>
        <v>0</v>
      </c>
      <c r="O171" s="613">
        <f t="shared" ref="O171:Q176" si="96">IF(AF$176&gt;0,(AF171/AF$176),0)</f>
        <v>0</v>
      </c>
      <c r="P171" s="615">
        <f t="shared" si="96"/>
        <v>0</v>
      </c>
      <c r="Q171" s="613">
        <f t="shared" si="96"/>
        <v>0</v>
      </c>
      <c r="R171" s="799"/>
      <c r="S171" s="856"/>
      <c r="T171" s="856">
        <v>399</v>
      </c>
      <c r="U171" s="856"/>
      <c r="V171" s="856">
        <v>76</v>
      </c>
      <c r="W171" s="856"/>
      <c r="X171" s="856">
        <v>44</v>
      </c>
      <c r="Y171" s="857">
        <v>519</v>
      </c>
      <c r="Z171" s="857"/>
      <c r="AA171" s="856"/>
      <c r="AB171" s="856"/>
      <c r="AC171" s="856"/>
      <c r="AD171" s="856"/>
      <c r="AE171" s="857"/>
      <c r="AF171" s="857"/>
      <c r="AG171" s="856"/>
      <c r="AH171" s="857"/>
    </row>
    <row r="172" spans="1:34">
      <c r="A172" s="883"/>
      <c r="B172" s="239" t="s">
        <v>93</v>
      </c>
      <c r="C172" s="806">
        <f t="shared" ref="C172:C176" si="97">IF(S$176&gt;0,(S172/S$176),0)</f>
        <v>0</v>
      </c>
      <c r="D172" s="806">
        <f t="shared" si="95"/>
        <v>0.27059843885516044</v>
      </c>
      <c r="E172" s="806">
        <f t="shared" si="95"/>
        <v>0</v>
      </c>
      <c r="F172" s="806">
        <f t="shared" si="95"/>
        <v>0.16887417218543047</v>
      </c>
      <c r="G172" s="806">
        <f t="shared" si="95"/>
        <v>0</v>
      </c>
      <c r="H172" s="806">
        <f t="shared" si="95"/>
        <v>0.20967741935483872</v>
      </c>
      <c r="I172" s="624">
        <f t="shared" si="95"/>
        <v>0.24635845471817605</v>
      </c>
      <c r="J172" s="624">
        <f t="shared" si="95"/>
        <v>0</v>
      </c>
      <c r="K172" s="625">
        <f t="shared" si="95"/>
        <v>0</v>
      </c>
      <c r="L172" s="625">
        <f t="shared" si="95"/>
        <v>0</v>
      </c>
      <c r="M172" s="625">
        <f t="shared" si="95"/>
        <v>0</v>
      </c>
      <c r="N172" s="624">
        <f t="shared" ref="N172:N176" si="98">IF(AE$176&gt;0,(AE172/AE$176),0)</f>
        <v>0</v>
      </c>
      <c r="O172" s="624">
        <f t="shared" si="96"/>
        <v>0</v>
      </c>
      <c r="P172" s="626">
        <f t="shared" si="96"/>
        <v>0</v>
      </c>
      <c r="Q172" s="624">
        <f t="shared" si="96"/>
        <v>0</v>
      </c>
      <c r="R172" s="357"/>
      <c r="S172" s="858"/>
      <c r="T172" s="858">
        <v>312</v>
      </c>
      <c r="U172" s="858"/>
      <c r="V172" s="858">
        <v>51</v>
      </c>
      <c r="W172" s="858"/>
      <c r="X172" s="858">
        <v>26</v>
      </c>
      <c r="Y172" s="859">
        <v>389</v>
      </c>
      <c r="Z172" s="859"/>
      <c r="AA172" s="858"/>
      <c r="AB172" s="858"/>
      <c r="AC172" s="858"/>
      <c r="AD172" s="858"/>
      <c r="AE172" s="859"/>
      <c r="AF172" s="859"/>
      <c r="AG172" s="858"/>
      <c r="AH172" s="859"/>
    </row>
    <row r="173" spans="1:34">
      <c r="A173" s="883"/>
      <c r="B173" s="239" t="s">
        <v>55</v>
      </c>
      <c r="C173" s="806">
        <f t="shared" si="97"/>
        <v>0</v>
      </c>
      <c r="D173" s="806">
        <f t="shared" si="95"/>
        <v>0.22810060711188204</v>
      </c>
      <c r="E173" s="806">
        <f t="shared" si="95"/>
        <v>0</v>
      </c>
      <c r="F173" s="806">
        <f t="shared" si="95"/>
        <v>0.29139072847682118</v>
      </c>
      <c r="G173" s="806">
        <f t="shared" si="95"/>
        <v>0</v>
      </c>
      <c r="H173" s="806">
        <f t="shared" si="95"/>
        <v>0.2661290322580645</v>
      </c>
      <c r="I173" s="624">
        <f t="shared" si="95"/>
        <v>0.24319189360354654</v>
      </c>
      <c r="J173" s="624">
        <f t="shared" si="95"/>
        <v>0</v>
      </c>
      <c r="K173" s="625">
        <f t="shared" si="95"/>
        <v>0</v>
      </c>
      <c r="L173" s="625">
        <f t="shared" si="95"/>
        <v>0</v>
      </c>
      <c r="M173" s="625">
        <f t="shared" si="95"/>
        <v>0</v>
      </c>
      <c r="N173" s="624">
        <f t="shared" si="98"/>
        <v>0</v>
      </c>
      <c r="O173" s="624">
        <f t="shared" si="96"/>
        <v>0</v>
      </c>
      <c r="P173" s="626">
        <f t="shared" si="96"/>
        <v>0</v>
      </c>
      <c r="Q173" s="624">
        <f t="shared" si="96"/>
        <v>0</v>
      </c>
      <c r="R173" s="357"/>
      <c r="S173" s="858"/>
      <c r="T173" s="858">
        <v>263</v>
      </c>
      <c r="U173" s="858"/>
      <c r="V173" s="858">
        <v>88</v>
      </c>
      <c r="W173" s="858"/>
      <c r="X173" s="858">
        <v>33</v>
      </c>
      <c r="Y173" s="859">
        <v>384</v>
      </c>
      <c r="Z173" s="859"/>
      <c r="AA173" s="858"/>
      <c r="AB173" s="858"/>
      <c r="AC173" s="858"/>
      <c r="AD173" s="858"/>
      <c r="AE173" s="859"/>
      <c r="AF173" s="859"/>
      <c r="AG173" s="858"/>
      <c r="AH173" s="859"/>
    </row>
    <row r="174" spans="1:34">
      <c r="A174" s="883"/>
      <c r="B174" s="239" t="s">
        <v>78</v>
      </c>
      <c r="C174" s="806">
        <f t="shared" si="97"/>
        <v>0</v>
      </c>
      <c r="D174" s="806">
        <f t="shared" si="95"/>
        <v>6.764960971379011E-2</v>
      </c>
      <c r="E174" s="806">
        <f t="shared" si="95"/>
        <v>0</v>
      </c>
      <c r="F174" s="806">
        <f t="shared" si="95"/>
        <v>0.1490066225165563</v>
      </c>
      <c r="G174" s="806">
        <f t="shared" si="95"/>
        <v>0</v>
      </c>
      <c r="H174" s="806">
        <f t="shared" si="95"/>
        <v>0.16935483870967741</v>
      </c>
      <c r="I174" s="624">
        <f t="shared" si="95"/>
        <v>9.1196960101329952E-2</v>
      </c>
      <c r="J174" s="624">
        <f t="shared" si="95"/>
        <v>0</v>
      </c>
      <c r="K174" s="625">
        <f t="shared" si="95"/>
        <v>0</v>
      </c>
      <c r="L174" s="625">
        <f t="shared" si="95"/>
        <v>0</v>
      </c>
      <c r="M174" s="625">
        <f t="shared" si="95"/>
        <v>0</v>
      </c>
      <c r="N174" s="624">
        <f t="shared" si="98"/>
        <v>0</v>
      </c>
      <c r="O174" s="624">
        <f t="shared" si="96"/>
        <v>0</v>
      </c>
      <c r="P174" s="626">
        <f t="shared" si="96"/>
        <v>0</v>
      </c>
      <c r="Q174" s="624">
        <f t="shared" si="96"/>
        <v>0</v>
      </c>
      <c r="R174" s="357"/>
      <c r="S174" s="858"/>
      <c r="T174" s="858">
        <v>78</v>
      </c>
      <c r="U174" s="858"/>
      <c r="V174" s="858">
        <v>45</v>
      </c>
      <c r="W174" s="858"/>
      <c r="X174" s="858">
        <v>21</v>
      </c>
      <c r="Y174" s="859">
        <v>144</v>
      </c>
      <c r="Z174" s="859"/>
      <c r="AA174" s="858"/>
      <c r="AB174" s="858"/>
      <c r="AC174" s="858"/>
      <c r="AD174" s="858"/>
      <c r="AE174" s="859"/>
      <c r="AF174" s="859"/>
      <c r="AG174" s="858"/>
      <c r="AH174" s="859"/>
    </row>
    <row r="175" spans="1:34">
      <c r="A175" s="884"/>
      <c r="B175" s="580" t="s">
        <v>131</v>
      </c>
      <c r="C175" s="806">
        <f t="shared" si="97"/>
        <v>0</v>
      </c>
      <c r="D175" s="806">
        <f t="shared" si="95"/>
        <v>8.7597571552471817E-2</v>
      </c>
      <c r="E175" s="806">
        <f t="shared" si="95"/>
        <v>0</v>
      </c>
      <c r="F175" s="806">
        <f t="shared" si="95"/>
        <v>0.13907284768211919</v>
      </c>
      <c r="G175" s="806">
        <f t="shared" si="95"/>
        <v>0</v>
      </c>
      <c r="H175" s="806">
        <f t="shared" si="95"/>
        <v>0</v>
      </c>
      <c r="I175" s="624">
        <f t="shared" si="95"/>
        <v>9.0563647878404055E-2</v>
      </c>
      <c r="J175" s="624">
        <f t="shared" si="95"/>
        <v>0</v>
      </c>
      <c r="K175" s="625">
        <f t="shared" si="95"/>
        <v>0</v>
      </c>
      <c r="L175" s="625">
        <f t="shared" si="95"/>
        <v>0</v>
      </c>
      <c r="M175" s="625">
        <f t="shared" si="95"/>
        <v>0</v>
      </c>
      <c r="N175" s="624">
        <f t="shared" si="98"/>
        <v>0</v>
      </c>
      <c r="O175" s="624">
        <f t="shared" si="96"/>
        <v>0</v>
      </c>
      <c r="P175" s="626">
        <f t="shared" si="96"/>
        <v>0</v>
      </c>
      <c r="Q175" s="624">
        <f t="shared" si="96"/>
        <v>0</v>
      </c>
      <c r="R175" s="357"/>
      <c r="S175" s="858"/>
      <c r="T175" s="858">
        <f>30+71</f>
        <v>101</v>
      </c>
      <c r="U175" s="858"/>
      <c r="V175" s="858">
        <v>42</v>
      </c>
      <c r="W175" s="858"/>
      <c r="X175" s="858"/>
      <c r="Y175" s="859">
        <f>72+71</f>
        <v>143</v>
      </c>
      <c r="Z175" s="859"/>
      <c r="AA175" s="858"/>
      <c r="AB175" s="858"/>
      <c r="AC175" s="858"/>
      <c r="AD175" s="858"/>
      <c r="AE175" s="859"/>
      <c r="AF175" s="859"/>
      <c r="AG175" s="858"/>
      <c r="AH175" s="859"/>
    </row>
    <row r="176" spans="1:34">
      <c r="A176" s="885"/>
      <c r="B176" s="436" t="s">
        <v>59</v>
      </c>
      <c r="C176" s="807">
        <f t="shared" si="97"/>
        <v>0</v>
      </c>
      <c r="D176" s="808">
        <f t="shared" si="95"/>
        <v>1</v>
      </c>
      <c r="E176" s="808">
        <f t="shared" si="95"/>
        <v>0</v>
      </c>
      <c r="F176" s="808">
        <f t="shared" si="95"/>
        <v>1</v>
      </c>
      <c r="G176" s="808">
        <f t="shared" si="95"/>
        <v>0</v>
      </c>
      <c r="H176" s="809">
        <f t="shared" si="95"/>
        <v>1</v>
      </c>
      <c r="I176" s="577">
        <f t="shared" si="95"/>
        <v>1</v>
      </c>
      <c r="J176" s="577">
        <f t="shared" si="95"/>
        <v>0</v>
      </c>
      <c r="K176" s="578">
        <f t="shared" si="95"/>
        <v>0</v>
      </c>
      <c r="L176" s="578">
        <f t="shared" si="95"/>
        <v>0</v>
      </c>
      <c r="M176" s="578">
        <f t="shared" si="95"/>
        <v>0</v>
      </c>
      <c r="N176" s="577">
        <f t="shared" si="98"/>
        <v>0</v>
      </c>
      <c r="O176" s="577">
        <f t="shared" si="96"/>
        <v>0</v>
      </c>
      <c r="P176" s="579">
        <f t="shared" si="96"/>
        <v>0</v>
      </c>
      <c r="Q176" s="577">
        <f t="shared" si="96"/>
        <v>0</v>
      </c>
      <c r="R176" s="357"/>
      <c r="S176" s="858"/>
      <c r="T176" s="858">
        <v>1153</v>
      </c>
      <c r="U176" s="858"/>
      <c r="V176" s="858">
        <v>302</v>
      </c>
      <c r="W176" s="858"/>
      <c r="X176" s="858">
        <v>124</v>
      </c>
      <c r="Y176" s="859">
        <v>1579</v>
      </c>
      <c r="Z176" s="859"/>
      <c r="AA176" s="858"/>
      <c r="AB176" s="858"/>
      <c r="AC176" s="858"/>
      <c r="AD176" s="858"/>
      <c r="AE176" s="859"/>
      <c r="AF176" s="859"/>
      <c r="AG176" s="858"/>
      <c r="AH176" s="859"/>
    </row>
    <row r="177" spans="1:34">
      <c r="A177" s="882" t="s">
        <v>158</v>
      </c>
      <c r="B177" s="240" t="s">
        <v>53</v>
      </c>
      <c r="C177" s="806">
        <f>IF(S$182&gt;0,(S177/S$182),0)</f>
        <v>0.29625000000000001</v>
      </c>
      <c r="D177" s="806">
        <f t="shared" ref="D177:M182" si="99">IF(T$182&gt;0,(T177/T$182),0)</f>
        <v>0</v>
      </c>
      <c r="E177" s="806">
        <f t="shared" si="99"/>
        <v>0</v>
      </c>
      <c r="F177" s="806">
        <f t="shared" si="99"/>
        <v>0</v>
      </c>
      <c r="G177" s="806">
        <f t="shared" si="99"/>
        <v>0</v>
      </c>
      <c r="H177" s="806">
        <f t="shared" si="99"/>
        <v>6.0606060606060608E-2</v>
      </c>
      <c r="I177" s="613">
        <f t="shared" si="99"/>
        <v>0.28691476590636256</v>
      </c>
      <c r="J177" s="613">
        <f t="shared" si="99"/>
        <v>0</v>
      </c>
      <c r="K177" s="614">
        <f t="shared" si="99"/>
        <v>0</v>
      </c>
      <c r="L177" s="614">
        <f t="shared" si="99"/>
        <v>0</v>
      </c>
      <c r="M177" s="614">
        <f t="shared" si="99"/>
        <v>0</v>
      </c>
      <c r="N177" s="613">
        <f>IF(AE$182&gt;0,(AE177/AE$182),0)</f>
        <v>0.66581306017925734</v>
      </c>
      <c r="O177" s="613">
        <f t="shared" ref="O177:Q182" si="100">IF(AF$182&gt;0,(AF177/AF$182),0)</f>
        <v>0</v>
      </c>
      <c r="P177" s="615">
        <f t="shared" si="100"/>
        <v>0</v>
      </c>
      <c r="Q177" s="613">
        <f t="shared" si="100"/>
        <v>5.0314465408805034E-2</v>
      </c>
      <c r="R177" s="799"/>
      <c r="S177" s="856">
        <v>474</v>
      </c>
      <c r="T177" s="856"/>
      <c r="U177" s="856"/>
      <c r="V177" s="856"/>
      <c r="W177" s="856"/>
      <c r="X177" s="856">
        <v>4</v>
      </c>
      <c r="Y177" s="857">
        <v>478</v>
      </c>
      <c r="Z177" s="857"/>
      <c r="AA177" s="856"/>
      <c r="AB177" s="856"/>
      <c r="AC177" s="856"/>
      <c r="AD177" s="856"/>
      <c r="AE177" s="857">
        <v>520</v>
      </c>
      <c r="AF177" s="857"/>
      <c r="AG177" s="856"/>
      <c r="AH177" s="857">
        <v>8</v>
      </c>
    </row>
    <row r="178" spans="1:34">
      <c r="A178" s="883"/>
      <c r="B178" s="239" t="s">
        <v>93</v>
      </c>
      <c r="C178" s="806">
        <f t="shared" ref="C178:C182" si="101">IF(S$182&gt;0,(S178/S$182),0)</f>
        <v>0.27437499999999998</v>
      </c>
      <c r="D178" s="806">
        <f t="shared" si="99"/>
        <v>0</v>
      </c>
      <c r="E178" s="806">
        <f t="shared" si="99"/>
        <v>0</v>
      </c>
      <c r="F178" s="806">
        <f t="shared" si="99"/>
        <v>0</v>
      </c>
      <c r="G178" s="806">
        <f t="shared" si="99"/>
        <v>0</v>
      </c>
      <c r="H178" s="806">
        <f t="shared" si="99"/>
        <v>0.15151515151515152</v>
      </c>
      <c r="I178" s="624">
        <f t="shared" si="99"/>
        <v>0.2695078031212485</v>
      </c>
      <c r="J178" s="624">
        <f t="shared" si="99"/>
        <v>0</v>
      </c>
      <c r="K178" s="625">
        <f t="shared" si="99"/>
        <v>0</v>
      </c>
      <c r="L178" s="625">
        <f t="shared" si="99"/>
        <v>0</v>
      </c>
      <c r="M178" s="625">
        <f t="shared" si="99"/>
        <v>0</v>
      </c>
      <c r="N178" s="624">
        <f t="shared" ref="N178:N182" si="102">IF(AE$182&gt;0,(AE178/AE$182),0)</f>
        <v>0</v>
      </c>
      <c r="O178" s="624">
        <f t="shared" si="100"/>
        <v>0</v>
      </c>
      <c r="P178" s="626">
        <f t="shared" si="100"/>
        <v>0</v>
      </c>
      <c r="Q178" s="624">
        <f t="shared" si="100"/>
        <v>0.16981132075471697</v>
      </c>
      <c r="R178" s="357"/>
      <c r="S178" s="858">
        <v>439</v>
      </c>
      <c r="T178" s="858"/>
      <c r="U178" s="858"/>
      <c r="V178" s="858"/>
      <c r="W178" s="858"/>
      <c r="X178" s="858">
        <v>10</v>
      </c>
      <c r="Y178" s="859">
        <v>449</v>
      </c>
      <c r="Z178" s="859"/>
      <c r="AA178" s="858"/>
      <c r="AB178" s="858"/>
      <c r="AC178" s="858"/>
      <c r="AD178" s="858"/>
      <c r="AE178" s="859"/>
      <c r="AF178" s="859"/>
      <c r="AG178" s="858"/>
      <c r="AH178" s="859">
        <v>27</v>
      </c>
    </row>
    <row r="179" spans="1:34">
      <c r="A179" s="883"/>
      <c r="B179" s="239" t="s">
        <v>55</v>
      </c>
      <c r="C179" s="806">
        <f t="shared" si="101"/>
        <v>0.30125000000000002</v>
      </c>
      <c r="D179" s="806">
        <f t="shared" si="99"/>
        <v>0</v>
      </c>
      <c r="E179" s="806">
        <f t="shared" si="99"/>
        <v>0</v>
      </c>
      <c r="F179" s="806">
        <f t="shared" si="99"/>
        <v>0</v>
      </c>
      <c r="G179" s="806">
        <f t="shared" si="99"/>
        <v>0</v>
      </c>
      <c r="H179" s="806">
        <f t="shared" si="99"/>
        <v>0.51515151515151514</v>
      </c>
      <c r="I179" s="624">
        <f t="shared" si="99"/>
        <v>0.30972388955582231</v>
      </c>
      <c r="J179" s="624">
        <f t="shared" si="99"/>
        <v>0</v>
      </c>
      <c r="K179" s="625">
        <f t="shared" si="99"/>
        <v>0</v>
      </c>
      <c r="L179" s="625">
        <f t="shared" si="99"/>
        <v>0</v>
      </c>
      <c r="M179" s="625">
        <f t="shared" si="99"/>
        <v>0</v>
      </c>
      <c r="N179" s="624">
        <f t="shared" si="102"/>
        <v>0</v>
      </c>
      <c r="O179" s="624">
        <f t="shared" si="100"/>
        <v>0</v>
      </c>
      <c r="P179" s="626">
        <f t="shared" si="100"/>
        <v>0</v>
      </c>
      <c r="Q179" s="624">
        <f t="shared" si="100"/>
        <v>0.49056603773584906</v>
      </c>
      <c r="R179" s="357"/>
      <c r="S179" s="858">
        <v>482</v>
      </c>
      <c r="T179" s="858"/>
      <c r="U179" s="858"/>
      <c r="V179" s="858"/>
      <c r="W179" s="858"/>
      <c r="X179" s="858">
        <v>34</v>
      </c>
      <c r="Y179" s="859">
        <v>516</v>
      </c>
      <c r="Z179" s="859"/>
      <c r="AA179" s="858"/>
      <c r="AB179" s="858"/>
      <c r="AC179" s="858"/>
      <c r="AD179" s="858"/>
      <c r="AE179" s="859"/>
      <c r="AF179" s="859"/>
      <c r="AG179" s="858"/>
      <c r="AH179" s="859">
        <v>78</v>
      </c>
    </row>
    <row r="180" spans="1:34">
      <c r="A180" s="883"/>
      <c r="B180" s="239" t="s">
        <v>78</v>
      </c>
      <c r="C180" s="806">
        <f t="shared" si="101"/>
        <v>1.8749999999999999E-3</v>
      </c>
      <c r="D180" s="806">
        <f t="shared" si="99"/>
        <v>0</v>
      </c>
      <c r="E180" s="806">
        <f t="shared" si="99"/>
        <v>0</v>
      </c>
      <c r="F180" s="806">
        <f t="shared" si="99"/>
        <v>0</v>
      </c>
      <c r="G180" s="806">
        <f t="shared" si="99"/>
        <v>0</v>
      </c>
      <c r="H180" s="806">
        <f t="shared" si="99"/>
        <v>0</v>
      </c>
      <c r="I180" s="624">
        <f t="shared" si="99"/>
        <v>1.8007202881152461E-3</v>
      </c>
      <c r="J180" s="624">
        <f t="shared" si="99"/>
        <v>0</v>
      </c>
      <c r="K180" s="625">
        <f t="shared" si="99"/>
        <v>0</v>
      </c>
      <c r="L180" s="625">
        <f t="shared" si="99"/>
        <v>0</v>
      </c>
      <c r="M180" s="625">
        <f t="shared" si="99"/>
        <v>0</v>
      </c>
      <c r="N180" s="624">
        <f t="shared" si="102"/>
        <v>0.33418693982074266</v>
      </c>
      <c r="O180" s="624">
        <f t="shared" si="100"/>
        <v>0</v>
      </c>
      <c r="P180" s="626">
        <f t="shared" si="100"/>
        <v>0</v>
      </c>
      <c r="Q180" s="624">
        <f t="shared" si="100"/>
        <v>0.15094339622641509</v>
      </c>
      <c r="R180" s="357"/>
      <c r="S180" s="858">
        <v>3</v>
      </c>
      <c r="T180" s="858"/>
      <c r="U180" s="858"/>
      <c r="V180" s="858"/>
      <c r="W180" s="858"/>
      <c r="X180" s="858"/>
      <c r="Y180" s="859">
        <v>3</v>
      </c>
      <c r="Z180" s="859"/>
      <c r="AA180" s="858"/>
      <c r="AB180" s="858"/>
      <c r="AC180" s="858"/>
      <c r="AD180" s="858"/>
      <c r="AE180" s="859">
        <v>261</v>
      </c>
      <c r="AF180" s="859"/>
      <c r="AG180" s="858"/>
      <c r="AH180" s="859">
        <v>24</v>
      </c>
    </row>
    <row r="181" spans="1:34">
      <c r="A181" s="884"/>
      <c r="B181" s="580" t="s">
        <v>131</v>
      </c>
      <c r="C181" s="806">
        <f t="shared" si="101"/>
        <v>0.12625</v>
      </c>
      <c r="D181" s="806">
        <f t="shared" si="99"/>
        <v>0</v>
      </c>
      <c r="E181" s="806">
        <f t="shared" si="99"/>
        <v>0</v>
      </c>
      <c r="F181" s="806">
        <f t="shared" si="99"/>
        <v>0</v>
      </c>
      <c r="G181" s="806">
        <f t="shared" si="99"/>
        <v>0</v>
      </c>
      <c r="H181" s="806">
        <f t="shared" si="99"/>
        <v>0.27272727272727271</v>
      </c>
      <c r="I181" s="624">
        <f t="shared" si="99"/>
        <v>0.13205282112845138</v>
      </c>
      <c r="J181" s="624">
        <f t="shared" si="99"/>
        <v>0</v>
      </c>
      <c r="K181" s="625">
        <f t="shared" si="99"/>
        <v>0</v>
      </c>
      <c r="L181" s="625">
        <f t="shared" si="99"/>
        <v>0</v>
      </c>
      <c r="M181" s="625">
        <f t="shared" si="99"/>
        <v>0</v>
      </c>
      <c r="N181" s="624">
        <f t="shared" si="102"/>
        <v>0</v>
      </c>
      <c r="O181" s="624">
        <f t="shared" si="100"/>
        <v>0</v>
      </c>
      <c r="P181" s="626">
        <f t="shared" si="100"/>
        <v>0</v>
      </c>
      <c r="Q181" s="624">
        <f t="shared" si="100"/>
        <v>0.13836477987421383</v>
      </c>
      <c r="R181" s="357"/>
      <c r="S181" s="858">
        <f>195+7</f>
        <v>202</v>
      </c>
      <c r="T181" s="858"/>
      <c r="U181" s="858"/>
      <c r="V181" s="858"/>
      <c r="W181" s="858"/>
      <c r="X181" s="858">
        <v>18</v>
      </c>
      <c r="Y181" s="859">
        <f>213+7</f>
        <v>220</v>
      </c>
      <c r="Z181" s="859"/>
      <c r="AA181" s="858"/>
      <c r="AB181" s="858"/>
      <c r="AC181" s="858"/>
      <c r="AD181" s="858"/>
      <c r="AE181" s="859"/>
      <c r="AF181" s="859"/>
      <c r="AG181" s="858"/>
      <c r="AH181" s="859">
        <v>22</v>
      </c>
    </row>
    <row r="182" spans="1:34">
      <c r="A182" s="885"/>
      <c r="B182" s="436" t="s">
        <v>59</v>
      </c>
      <c r="C182" s="807">
        <f t="shared" si="101"/>
        <v>1</v>
      </c>
      <c r="D182" s="808">
        <f t="shared" si="99"/>
        <v>0</v>
      </c>
      <c r="E182" s="808">
        <f t="shared" si="99"/>
        <v>0</v>
      </c>
      <c r="F182" s="808">
        <f t="shared" si="99"/>
        <v>0</v>
      </c>
      <c r="G182" s="808">
        <f t="shared" si="99"/>
        <v>0</v>
      </c>
      <c r="H182" s="809">
        <f t="shared" si="99"/>
        <v>1</v>
      </c>
      <c r="I182" s="577">
        <f t="shared" si="99"/>
        <v>1</v>
      </c>
      <c r="J182" s="577">
        <f t="shared" si="99"/>
        <v>0</v>
      </c>
      <c r="K182" s="578">
        <f t="shared" si="99"/>
        <v>0</v>
      </c>
      <c r="L182" s="578">
        <f t="shared" si="99"/>
        <v>0</v>
      </c>
      <c r="M182" s="578">
        <f t="shared" si="99"/>
        <v>0</v>
      </c>
      <c r="N182" s="577">
        <f t="shared" si="102"/>
        <v>1</v>
      </c>
      <c r="O182" s="577">
        <f t="shared" si="100"/>
        <v>0</v>
      </c>
      <c r="P182" s="579">
        <f t="shared" si="100"/>
        <v>0</v>
      </c>
      <c r="Q182" s="577">
        <f t="shared" si="100"/>
        <v>1</v>
      </c>
      <c r="R182" s="357"/>
      <c r="S182" s="858">
        <v>1600</v>
      </c>
      <c r="T182" s="858"/>
      <c r="U182" s="858"/>
      <c r="V182" s="858"/>
      <c r="W182" s="858"/>
      <c r="X182" s="858">
        <v>66</v>
      </c>
      <c r="Y182" s="859">
        <v>1666</v>
      </c>
      <c r="Z182" s="859"/>
      <c r="AA182" s="858"/>
      <c r="AB182" s="858"/>
      <c r="AC182" s="858"/>
      <c r="AD182" s="858"/>
      <c r="AE182" s="859">
        <v>781</v>
      </c>
      <c r="AF182" s="859"/>
      <c r="AG182" s="858"/>
      <c r="AH182" s="859">
        <v>159</v>
      </c>
    </row>
    <row r="183" spans="1:34">
      <c r="A183" s="882" t="s">
        <v>157</v>
      </c>
      <c r="B183" s="240" t="s">
        <v>53</v>
      </c>
      <c r="C183" s="806">
        <f>IF(S$188&gt;0,(S183/S$188),0)</f>
        <v>0.28436578171091448</v>
      </c>
      <c r="D183" s="806">
        <f t="shared" ref="D183:M188" si="103">IF(T$188&gt;0,(T183/T$188),0)</f>
        <v>0</v>
      </c>
      <c r="E183" s="806">
        <f t="shared" si="103"/>
        <v>0.22058823529411764</v>
      </c>
      <c r="F183" s="806">
        <f t="shared" si="103"/>
        <v>0.23465703971119134</v>
      </c>
      <c r="G183" s="806">
        <f t="shared" si="103"/>
        <v>0</v>
      </c>
      <c r="H183" s="806">
        <f t="shared" si="103"/>
        <v>0</v>
      </c>
      <c r="I183" s="613">
        <f t="shared" si="103"/>
        <v>0.27371916508538902</v>
      </c>
      <c r="J183" s="613">
        <f t="shared" si="103"/>
        <v>0</v>
      </c>
      <c r="K183" s="614">
        <f t="shared" si="103"/>
        <v>0</v>
      </c>
      <c r="L183" s="614">
        <f t="shared" si="103"/>
        <v>0</v>
      </c>
      <c r="M183" s="614">
        <f t="shared" si="103"/>
        <v>0</v>
      </c>
      <c r="N183" s="613">
        <f>IF(AE$188&gt;0,(AE183/AE$188),0)</f>
        <v>0.19515151515151516</v>
      </c>
      <c r="O183" s="613">
        <f t="shared" ref="O183:Q188" si="104">IF(AF$188&gt;0,(AF183/AF$188),0)</f>
        <v>0</v>
      </c>
      <c r="P183" s="615">
        <f t="shared" si="104"/>
        <v>0</v>
      </c>
      <c r="Q183" s="613">
        <f t="shared" si="104"/>
        <v>3.7924151696606789E-2</v>
      </c>
      <c r="R183" s="799"/>
      <c r="S183" s="856">
        <v>482</v>
      </c>
      <c r="T183" s="856"/>
      <c r="U183" s="856">
        <v>30</v>
      </c>
      <c r="V183" s="856">
        <v>65</v>
      </c>
      <c r="W183" s="856"/>
      <c r="X183" s="856"/>
      <c r="Y183" s="857">
        <v>577</v>
      </c>
      <c r="Z183" s="857"/>
      <c r="AA183" s="856"/>
      <c r="AB183" s="856"/>
      <c r="AC183" s="856"/>
      <c r="AD183" s="856"/>
      <c r="AE183" s="857">
        <v>161</v>
      </c>
      <c r="AF183" s="857"/>
      <c r="AG183" s="856"/>
      <c r="AH183" s="857">
        <v>19</v>
      </c>
    </row>
    <row r="184" spans="1:34">
      <c r="A184" s="883"/>
      <c r="B184" s="239" t="s">
        <v>93</v>
      </c>
      <c r="C184" s="806">
        <f t="shared" ref="C184:C188" si="105">IF(S$188&gt;0,(S184/S$188),0)</f>
        <v>0.29203539823008851</v>
      </c>
      <c r="D184" s="806">
        <f t="shared" si="103"/>
        <v>0</v>
      </c>
      <c r="E184" s="806">
        <f t="shared" si="103"/>
        <v>0.25735294117647056</v>
      </c>
      <c r="F184" s="806">
        <f t="shared" si="103"/>
        <v>0.17689530685920576</v>
      </c>
      <c r="G184" s="806">
        <f t="shared" si="103"/>
        <v>0</v>
      </c>
      <c r="H184" s="806">
        <f t="shared" si="103"/>
        <v>0</v>
      </c>
      <c r="I184" s="624">
        <f t="shared" si="103"/>
        <v>0.27466793168880455</v>
      </c>
      <c r="J184" s="624">
        <f t="shared" si="103"/>
        <v>0</v>
      </c>
      <c r="K184" s="625">
        <f t="shared" si="103"/>
        <v>0</v>
      </c>
      <c r="L184" s="625">
        <f t="shared" si="103"/>
        <v>0</v>
      </c>
      <c r="M184" s="625">
        <f t="shared" si="103"/>
        <v>0</v>
      </c>
      <c r="N184" s="624">
        <f t="shared" ref="N184:N188" si="106">IF(AE$188&gt;0,(AE184/AE$188),0)</f>
        <v>0.18787878787878787</v>
      </c>
      <c r="O184" s="624">
        <f t="shared" si="104"/>
        <v>0</v>
      </c>
      <c r="P184" s="626">
        <f t="shared" si="104"/>
        <v>0</v>
      </c>
      <c r="Q184" s="624">
        <f t="shared" si="104"/>
        <v>1.7964071856287425E-2</v>
      </c>
      <c r="R184" s="357"/>
      <c r="S184" s="858">
        <v>495</v>
      </c>
      <c r="T184" s="858"/>
      <c r="U184" s="858">
        <v>35</v>
      </c>
      <c r="V184" s="858">
        <v>49</v>
      </c>
      <c r="W184" s="858"/>
      <c r="X184" s="858"/>
      <c r="Y184" s="859">
        <v>579</v>
      </c>
      <c r="Z184" s="859"/>
      <c r="AA184" s="858"/>
      <c r="AB184" s="858"/>
      <c r="AC184" s="858"/>
      <c r="AD184" s="858"/>
      <c r="AE184" s="859">
        <v>155</v>
      </c>
      <c r="AF184" s="859"/>
      <c r="AG184" s="858"/>
      <c r="AH184" s="859">
        <v>9</v>
      </c>
    </row>
    <row r="185" spans="1:34">
      <c r="A185" s="883"/>
      <c r="B185" s="239" t="s">
        <v>55</v>
      </c>
      <c r="C185" s="806">
        <f t="shared" si="105"/>
        <v>0.29439528023598821</v>
      </c>
      <c r="D185" s="806">
        <f t="shared" si="103"/>
        <v>0</v>
      </c>
      <c r="E185" s="806">
        <f t="shared" si="103"/>
        <v>0.30882352941176472</v>
      </c>
      <c r="F185" s="806">
        <f t="shared" si="103"/>
        <v>0.36101083032490977</v>
      </c>
      <c r="G185" s="806">
        <f t="shared" si="103"/>
        <v>0</v>
      </c>
      <c r="H185" s="806">
        <f t="shared" si="103"/>
        <v>0</v>
      </c>
      <c r="I185" s="624">
        <f t="shared" si="103"/>
        <v>0.3040796963946869</v>
      </c>
      <c r="J185" s="624">
        <f t="shared" si="103"/>
        <v>0</v>
      </c>
      <c r="K185" s="625">
        <f t="shared" si="103"/>
        <v>0</v>
      </c>
      <c r="L185" s="625">
        <f t="shared" si="103"/>
        <v>0</v>
      </c>
      <c r="M185" s="625">
        <f t="shared" si="103"/>
        <v>0</v>
      </c>
      <c r="N185" s="624">
        <f t="shared" si="106"/>
        <v>0.34060606060606058</v>
      </c>
      <c r="O185" s="624">
        <f t="shared" si="104"/>
        <v>0</v>
      </c>
      <c r="P185" s="626">
        <f t="shared" si="104"/>
        <v>0</v>
      </c>
      <c r="Q185" s="624">
        <f t="shared" si="104"/>
        <v>1.996007984031936E-3</v>
      </c>
      <c r="R185" s="357"/>
      <c r="S185" s="858">
        <v>499</v>
      </c>
      <c r="T185" s="858"/>
      <c r="U185" s="858">
        <v>42</v>
      </c>
      <c r="V185" s="858">
        <v>100</v>
      </c>
      <c r="W185" s="858"/>
      <c r="X185" s="858"/>
      <c r="Y185" s="859">
        <v>641</v>
      </c>
      <c r="Z185" s="859"/>
      <c r="AA185" s="858"/>
      <c r="AB185" s="858"/>
      <c r="AC185" s="858"/>
      <c r="AD185" s="858"/>
      <c r="AE185" s="859">
        <v>281</v>
      </c>
      <c r="AF185" s="859"/>
      <c r="AG185" s="858"/>
      <c r="AH185" s="859">
        <v>1</v>
      </c>
    </row>
    <row r="186" spans="1:34">
      <c r="A186" s="883"/>
      <c r="B186" s="239" t="s">
        <v>78</v>
      </c>
      <c r="C186" s="806">
        <f t="shared" si="105"/>
        <v>2.6548672566371681E-2</v>
      </c>
      <c r="D186" s="806">
        <f t="shared" si="103"/>
        <v>0</v>
      </c>
      <c r="E186" s="806">
        <f t="shared" si="103"/>
        <v>8.8235294117647065E-2</v>
      </c>
      <c r="F186" s="806">
        <f t="shared" si="103"/>
        <v>0.1407942238267148</v>
      </c>
      <c r="G186" s="806">
        <f t="shared" si="103"/>
        <v>0</v>
      </c>
      <c r="H186" s="806">
        <f t="shared" si="103"/>
        <v>0</v>
      </c>
      <c r="I186" s="624">
        <f t="shared" si="103"/>
        <v>4.5540796963946868E-2</v>
      </c>
      <c r="J186" s="624">
        <f t="shared" si="103"/>
        <v>0</v>
      </c>
      <c r="K186" s="625">
        <f t="shared" si="103"/>
        <v>0</v>
      </c>
      <c r="L186" s="625">
        <f t="shared" si="103"/>
        <v>0</v>
      </c>
      <c r="M186" s="625">
        <f t="shared" si="103"/>
        <v>0</v>
      </c>
      <c r="N186" s="624">
        <f t="shared" si="106"/>
        <v>0.17939393939393938</v>
      </c>
      <c r="O186" s="624">
        <f t="shared" si="104"/>
        <v>0</v>
      </c>
      <c r="P186" s="626">
        <f t="shared" si="104"/>
        <v>0</v>
      </c>
      <c r="Q186" s="624">
        <f t="shared" si="104"/>
        <v>0.92215568862275454</v>
      </c>
      <c r="R186" s="357"/>
      <c r="S186" s="858">
        <v>45</v>
      </c>
      <c r="T186" s="858"/>
      <c r="U186" s="858">
        <v>12</v>
      </c>
      <c r="V186" s="858">
        <v>39</v>
      </c>
      <c r="W186" s="858"/>
      <c r="X186" s="858"/>
      <c r="Y186" s="859">
        <v>96</v>
      </c>
      <c r="Z186" s="859"/>
      <c r="AA186" s="858"/>
      <c r="AB186" s="858"/>
      <c r="AC186" s="858"/>
      <c r="AD186" s="858"/>
      <c r="AE186" s="859">
        <v>148</v>
      </c>
      <c r="AF186" s="859"/>
      <c r="AG186" s="858"/>
      <c r="AH186" s="859">
        <v>462</v>
      </c>
    </row>
    <row r="187" spans="1:34">
      <c r="A187" s="884"/>
      <c r="B187" s="580" t="s">
        <v>131</v>
      </c>
      <c r="C187" s="806">
        <f t="shared" si="105"/>
        <v>0.10265486725663717</v>
      </c>
      <c r="D187" s="806">
        <f t="shared" si="103"/>
        <v>0</v>
      </c>
      <c r="E187" s="806">
        <f t="shared" si="103"/>
        <v>0.125</v>
      </c>
      <c r="F187" s="806">
        <f t="shared" si="103"/>
        <v>8.6642599277978335E-2</v>
      </c>
      <c r="G187" s="806">
        <f t="shared" si="103"/>
        <v>0</v>
      </c>
      <c r="H187" s="806">
        <f t="shared" si="103"/>
        <v>0</v>
      </c>
      <c r="I187" s="624">
        <f t="shared" si="103"/>
        <v>0.10199240986717267</v>
      </c>
      <c r="J187" s="624">
        <f t="shared" si="103"/>
        <v>0</v>
      </c>
      <c r="K187" s="625">
        <f t="shared" si="103"/>
        <v>0</v>
      </c>
      <c r="L187" s="625">
        <f t="shared" si="103"/>
        <v>0</v>
      </c>
      <c r="M187" s="625">
        <f t="shared" si="103"/>
        <v>0</v>
      </c>
      <c r="N187" s="624">
        <f t="shared" si="106"/>
        <v>9.696969696969697E-2</v>
      </c>
      <c r="O187" s="624">
        <f t="shared" si="104"/>
        <v>0</v>
      </c>
      <c r="P187" s="626">
        <f t="shared" si="104"/>
        <v>0</v>
      </c>
      <c r="Q187" s="624">
        <f t="shared" si="104"/>
        <v>1.9960079840319361E-2</v>
      </c>
      <c r="R187" s="357"/>
      <c r="S187" s="858">
        <f>153+21</f>
        <v>174</v>
      </c>
      <c r="T187" s="858"/>
      <c r="U187" s="858">
        <f>0+17</f>
        <v>17</v>
      </c>
      <c r="V187" s="858">
        <f>5+19</f>
        <v>24</v>
      </c>
      <c r="W187" s="858"/>
      <c r="X187" s="858"/>
      <c r="Y187" s="859">
        <f>158+57</f>
        <v>215</v>
      </c>
      <c r="Z187" s="859"/>
      <c r="AA187" s="858"/>
      <c r="AB187" s="858"/>
      <c r="AC187" s="858"/>
      <c r="AD187" s="858"/>
      <c r="AE187" s="859">
        <f>59+21</f>
        <v>80</v>
      </c>
      <c r="AF187" s="859"/>
      <c r="AG187" s="858"/>
      <c r="AH187" s="859">
        <f>9+1</f>
        <v>10</v>
      </c>
    </row>
    <row r="188" spans="1:34">
      <c r="A188" s="885"/>
      <c r="B188" s="436" t="s">
        <v>59</v>
      </c>
      <c r="C188" s="807">
        <f t="shared" si="105"/>
        <v>1</v>
      </c>
      <c r="D188" s="808">
        <f t="shared" si="103"/>
        <v>0</v>
      </c>
      <c r="E188" s="808">
        <f t="shared" si="103"/>
        <v>1</v>
      </c>
      <c r="F188" s="808">
        <f t="shared" si="103"/>
        <v>1</v>
      </c>
      <c r="G188" s="808">
        <f t="shared" si="103"/>
        <v>0</v>
      </c>
      <c r="H188" s="809">
        <f t="shared" si="103"/>
        <v>0</v>
      </c>
      <c r="I188" s="577">
        <f t="shared" si="103"/>
        <v>1</v>
      </c>
      <c r="J188" s="577">
        <f t="shared" si="103"/>
        <v>0</v>
      </c>
      <c r="K188" s="578">
        <f t="shared" si="103"/>
        <v>0</v>
      </c>
      <c r="L188" s="578">
        <f t="shared" si="103"/>
        <v>0</v>
      </c>
      <c r="M188" s="578">
        <f t="shared" si="103"/>
        <v>0</v>
      </c>
      <c r="N188" s="577">
        <f t="shared" si="106"/>
        <v>1</v>
      </c>
      <c r="O188" s="577">
        <f t="shared" si="104"/>
        <v>0</v>
      </c>
      <c r="P188" s="579">
        <f t="shared" si="104"/>
        <v>0</v>
      </c>
      <c r="Q188" s="577">
        <f t="shared" si="104"/>
        <v>1</v>
      </c>
      <c r="R188" s="357"/>
      <c r="S188" s="858">
        <v>1695</v>
      </c>
      <c r="T188" s="858"/>
      <c r="U188" s="858">
        <v>136</v>
      </c>
      <c r="V188" s="858">
        <v>277</v>
      </c>
      <c r="W188" s="858"/>
      <c r="X188" s="858"/>
      <c r="Y188" s="859">
        <v>2108</v>
      </c>
      <c r="Z188" s="859"/>
      <c r="AA188" s="858"/>
      <c r="AB188" s="858"/>
      <c r="AC188" s="858"/>
      <c r="AD188" s="858"/>
      <c r="AE188" s="859">
        <v>825</v>
      </c>
      <c r="AF188" s="859"/>
      <c r="AG188" s="858"/>
      <c r="AH188" s="859">
        <v>501</v>
      </c>
    </row>
    <row r="189" spans="1:34">
      <c r="A189" s="882" t="s">
        <v>161</v>
      </c>
      <c r="B189" s="240" t="s">
        <v>53</v>
      </c>
      <c r="C189" s="806">
        <f>IF(S$194&gt;0,(S189/S$194),0)</f>
        <v>0.25460636515912899</v>
      </c>
      <c r="D189" s="806">
        <f t="shared" ref="D189:M194" si="107">IF(T$194&gt;0,(T189/T$194),0)</f>
        <v>0.28793309438470727</v>
      </c>
      <c r="E189" s="806">
        <f t="shared" si="107"/>
        <v>0.38429752066115702</v>
      </c>
      <c r="F189" s="806">
        <f t="shared" si="107"/>
        <v>0.41614906832298137</v>
      </c>
      <c r="G189" s="806">
        <f t="shared" si="107"/>
        <v>0.20833333333333334</v>
      </c>
      <c r="H189" s="806">
        <f t="shared" si="107"/>
        <v>0.27950310559006208</v>
      </c>
      <c r="I189" s="613">
        <f t="shared" si="107"/>
        <v>0.27644787644787644</v>
      </c>
      <c r="J189" s="613">
        <f t="shared" si="107"/>
        <v>0</v>
      </c>
      <c r="K189" s="614">
        <f t="shared" si="107"/>
        <v>0</v>
      </c>
      <c r="L189" s="614">
        <f t="shared" si="107"/>
        <v>0</v>
      </c>
      <c r="M189" s="614">
        <f t="shared" si="107"/>
        <v>0</v>
      </c>
      <c r="N189" s="613">
        <f>IF(AE$194&gt;0,(AE189/AE$194),0)</f>
        <v>3.3681765389082463E-2</v>
      </c>
      <c r="O189" s="613">
        <f t="shared" ref="O189:Q194" si="108">IF(AF$194&gt;0,(AF189/AF$194),0)</f>
        <v>0</v>
      </c>
      <c r="P189" s="615">
        <f t="shared" si="108"/>
        <v>0</v>
      </c>
      <c r="Q189" s="613">
        <f t="shared" si="108"/>
        <v>0</v>
      </c>
      <c r="R189" s="799"/>
      <c r="S189" s="856">
        <v>608</v>
      </c>
      <c r="T189" s="856">
        <v>241</v>
      </c>
      <c r="U189" s="856">
        <v>93</v>
      </c>
      <c r="V189" s="856">
        <v>67</v>
      </c>
      <c r="W189" s="856">
        <v>20</v>
      </c>
      <c r="X189" s="856">
        <v>45</v>
      </c>
      <c r="Y189" s="857">
        <v>1074</v>
      </c>
      <c r="Z189" s="857"/>
      <c r="AA189" s="856"/>
      <c r="AB189" s="856"/>
      <c r="AC189" s="856"/>
      <c r="AD189" s="856"/>
      <c r="AE189" s="857">
        <v>58</v>
      </c>
      <c r="AF189" s="857"/>
      <c r="AG189" s="856"/>
      <c r="AH189" s="857"/>
    </row>
    <row r="190" spans="1:34">
      <c r="A190" s="883"/>
      <c r="B190" s="239" t="s">
        <v>93</v>
      </c>
      <c r="C190" s="806">
        <f t="shared" ref="C190:C194" si="109">IF(S$194&gt;0,(S190/S$194),0)</f>
        <v>0.22613065326633167</v>
      </c>
      <c r="D190" s="806">
        <f t="shared" si="107"/>
        <v>0.24253285543608125</v>
      </c>
      <c r="E190" s="806">
        <f t="shared" si="107"/>
        <v>0.17768595041322313</v>
      </c>
      <c r="F190" s="806">
        <f t="shared" si="107"/>
        <v>0.2484472049689441</v>
      </c>
      <c r="G190" s="806">
        <f t="shared" si="107"/>
        <v>0.33333333333333331</v>
      </c>
      <c r="H190" s="806">
        <f t="shared" si="107"/>
        <v>0.2484472049689441</v>
      </c>
      <c r="I190" s="624">
        <f t="shared" si="107"/>
        <v>0.23114543114543115</v>
      </c>
      <c r="J190" s="624">
        <f t="shared" si="107"/>
        <v>0</v>
      </c>
      <c r="K190" s="625">
        <f t="shared" si="107"/>
        <v>0</v>
      </c>
      <c r="L190" s="625">
        <f t="shared" si="107"/>
        <v>0</v>
      </c>
      <c r="M190" s="625">
        <f t="shared" si="107"/>
        <v>0</v>
      </c>
      <c r="N190" s="624">
        <f t="shared" ref="N190:N194" si="110">IF(AE$194&gt;0,(AE190/AE$194),0)</f>
        <v>1.7421602787456445E-2</v>
      </c>
      <c r="O190" s="624">
        <f t="shared" si="108"/>
        <v>0</v>
      </c>
      <c r="P190" s="626">
        <f t="shared" si="108"/>
        <v>0</v>
      </c>
      <c r="Q190" s="624">
        <f t="shared" si="108"/>
        <v>0</v>
      </c>
      <c r="R190" s="357"/>
      <c r="S190" s="858">
        <v>540</v>
      </c>
      <c r="T190" s="858">
        <v>203</v>
      </c>
      <c r="U190" s="858">
        <v>43</v>
      </c>
      <c r="V190" s="858">
        <v>40</v>
      </c>
      <c r="W190" s="858">
        <v>32</v>
      </c>
      <c r="X190" s="858">
        <v>40</v>
      </c>
      <c r="Y190" s="859">
        <v>898</v>
      </c>
      <c r="Z190" s="859"/>
      <c r="AA190" s="858"/>
      <c r="AB190" s="858"/>
      <c r="AC190" s="858"/>
      <c r="AD190" s="858"/>
      <c r="AE190" s="859">
        <v>30</v>
      </c>
      <c r="AF190" s="859"/>
      <c r="AG190" s="858"/>
      <c r="AH190" s="859"/>
    </row>
    <row r="191" spans="1:34">
      <c r="A191" s="883"/>
      <c r="B191" s="239" t="s">
        <v>55</v>
      </c>
      <c r="C191" s="806">
        <f t="shared" si="109"/>
        <v>0.22738693467336685</v>
      </c>
      <c r="D191" s="806">
        <f t="shared" si="107"/>
        <v>0.27240143369175629</v>
      </c>
      <c r="E191" s="806">
        <f t="shared" si="107"/>
        <v>0.18181818181818182</v>
      </c>
      <c r="F191" s="806">
        <f t="shared" si="107"/>
        <v>9.9378881987577633E-2</v>
      </c>
      <c r="G191" s="806">
        <f t="shared" si="107"/>
        <v>0.32291666666666669</v>
      </c>
      <c r="H191" s="806">
        <f t="shared" si="107"/>
        <v>0.40372670807453415</v>
      </c>
      <c r="I191" s="624">
        <f t="shared" si="107"/>
        <v>0.2386100386100386</v>
      </c>
      <c r="J191" s="624">
        <f t="shared" si="107"/>
        <v>0</v>
      </c>
      <c r="K191" s="625">
        <f t="shared" si="107"/>
        <v>0</v>
      </c>
      <c r="L191" s="625">
        <f t="shared" si="107"/>
        <v>0</v>
      </c>
      <c r="M191" s="625">
        <f t="shared" si="107"/>
        <v>0</v>
      </c>
      <c r="N191" s="624">
        <f t="shared" si="110"/>
        <v>4.0069686411149823E-2</v>
      </c>
      <c r="O191" s="624">
        <f t="shared" si="108"/>
        <v>0</v>
      </c>
      <c r="P191" s="626">
        <f t="shared" si="108"/>
        <v>0</v>
      </c>
      <c r="Q191" s="624">
        <f t="shared" si="108"/>
        <v>0</v>
      </c>
      <c r="R191" s="357"/>
      <c r="S191" s="858">
        <v>543</v>
      </c>
      <c r="T191" s="858">
        <v>228</v>
      </c>
      <c r="U191" s="858">
        <v>44</v>
      </c>
      <c r="V191" s="858">
        <v>16</v>
      </c>
      <c r="W191" s="858">
        <v>31</v>
      </c>
      <c r="X191" s="858">
        <v>65</v>
      </c>
      <c r="Y191" s="859">
        <v>927</v>
      </c>
      <c r="Z191" s="859"/>
      <c r="AA191" s="858"/>
      <c r="AB191" s="858"/>
      <c r="AC191" s="858"/>
      <c r="AD191" s="858"/>
      <c r="AE191" s="859">
        <v>69</v>
      </c>
      <c r="AF191" s="859"/>
      <c r="AG191" s="858"/>
      <c r="AH191" s="859"/>
    </row>
    <row r="192" spans="1:34">
      <c r="A192" s="883"/>
      <c r="B192" s="239" t="s">
        <v>78</v>
      </c>
      <c r="C192" s="806">
        <f t="shared" si="109"/>
        <v>0.28224455611390287</v>
      </c>
      <c r="D192" s="806">
        <f t="shared" si="107"/>
        <v>0.18876941457586618</v>
      </c>
      <c r="E192" s="806">
        <f t="shared" si="107"/>
        <v>0.23553719008264462</v>
      </c>
      <c r="F192" s="806">
        <f t="shared" si="107"/>
        <v>0.22981366459627328</v>
      </c>
      <c r="G192" s="806">
        <f t="shared" si="107"/>
        <v>0.13541666666666666</v>
      </c>
      <c r="H192" s="806">
        <f t="shared" si="107"/>
        <v>6.8322981366459631E-2</v>
      </c>
      <c r="I192" s="624">
        <f t="shared" si="107"/>
        <v>0.24453024453024452</v>
      </c>
      <c r="J192" s="624">
        <f t="shared" si="107"/>
        <v>0</v>
      </c>
      <c r="K192" s="625">
        <f t="shared" si="107"/>
        <v>0</v>
      </c>
      <c r="L192" s="625">
        <f t="shared" si="107"/>
        <v>0</v>
      </c>
      <c r="M192" s="625">
        <f t="shared" si="107"/>
        <v>0</v>
      </c>
      <c r="N192" s="624">
        <f t="shared" si="110"/>
        <v>0.34901277584204415</v>
      </c>
      <c r="O192" s="624">
        <f t="shared" si="108"/>
        <v>0</v>
      </c>
      <c r="P192" s="626">
        <f t="shared" si="108"/>
        <v>0</v>
      </c>
      <c r="Q192" s="624">
        <f t="shared" si="108"/>
        <v>1</v>
      </c>
      <c r="R192" s="357"/>
      <c r="S192" s="858">
        <v>674</v>
      </c>
      <c r="T192" s="858">
        <v>158</v>
      </c>
      <c r="U192" s="858">
        <v>57</v>
      </c>
      <c r="V192" s="858">
        <v>37</v>
      </c>
      <c r="W192" s="858">
        <v>13</v>
      </c>
      <c r="X192" s="858">
        <v>11</v>
      </c>
      <c r="Y192" s="859">
        <v>950</v>
      </c>
      <c r="Z192" s="859"/>
      <c r="AA192" s="858"/>
      <c r="AB192" s="858"/>
      <c r="AC192" s="858"/>
      <c r="AD192" s="858"/>
      <c r="AE192" s="859">
        <v>601</v>
      </c>
      <c r="AF192" s="859"/>
      <c r="AG192" s="858"/>
      <c r="AH192" s="859">
        <v>33</v>
      </c>
    </row>
    <row r="193" spans="1:34">
      <c r="A193" s="884"/>
      <c r="B193" s="580" t="s">
        <v>131</v>
      </c>
      <c r="C193" s="806">
        <f t="shared" si="109"/>
        <v>9.6314907872696812E-3</v>
      </c>
      <c r="D193" s="806">
        <f t="shared" si="107"/>
        <v>8.3632019115890081E-3</v>
      </c>
      <c r="E193" s="806">
        <f t="shared" si="107"/>
        <v>2.0661157024793389E-2</v>
      </c>
      <c r="F193" s="806">
        <f t="shared" si="107"/>
        <v>6.2111801242236021E-3</v>
      </c>
      <c r="G193" s="806">
        <f t="shared" si="107"/>
        <v>0</v>
      </c>
      <c r="H193" s="806">
        <f t="shared" si="107"/>
        <v>0</v>
      </c>
      <c r="I193" s="624">
        <f t="shared" si="107"/>
        <v>9.2664092664092659E-3</v>
      </c>
      <c r="J193" s="624">
        <f t="shared" si="107"/>
        <v>0</v>
      </c>
      <c r="K193" s="625">
        <f t="shared" si="107"/>
        <v>0</v>
      </c>
      <c r="L193" s="625">
        <f t="shared" si="107"/>
        <v>0</v>
      </c>
      <c r="M193" s="625">
        <f t="shared" si="107"/>
        <v>0</v>
      </c>
      <c r="N193" s="624">
        <f t="shared" si="110"/>
        <v>0.55981416957026708</v>
      </c>
      <c r="O193" s="624">
        <f t="shared" si="108"/>
        <v>0</v>
      </c>
      <c r="P193" s="626">
        <f t="shared" si="108"/>
        <v>0</v>
      </c>
      <c r="Q193" s="624">
        <f t="shared" si="108"/>
        <v>0</v>
      </c>
      <c r="R193" s="357"/>
      <c r="S193" s="858">
        <v>23</v>
      </c>
      <c r="T193" s="858">
        <f>0+7</f>
        <v>7</v>
      </c>
      <c r="U193" s="858">
        <v>5</v>
      </c>
      <c r="V193" s="858">
        <f>0+1</f>
        <v>1</v>
      </c>
      <c r="W193" s="858"/>
      <c r="X193" s="858"/>
      <c r="Y193" s="859">
        <f>28+8</f>
        <v>36</v>
      </c>
      <c r="Z193" s="859"/>
      <c r="AA193" s="858"/>
      <c r="AB193" s="858"/>
      <c r="AC193" s="858"/>
      <c r="AD193" s="858"/>
      <c r="AE193" s="859">
        <f>429+535</f>
        <v>964</v>
      </c>
      <c r="AF193" s="859"/>
      <c r="AG193" s="858"/>
      <c r="AH193" s="859"/>
    </row>
    <row r="194" spans="1:34">
      <c r="A194" s="885"/>
      <c r="B194" s="436" t="s">
        <v>59</v>
      </c>
      <c r="C194" s="807">
        <f t="shared" si="109"/>
        <v>1</v>
      </c>
      <c r="D194" s="808">
        <f t="shared" si="107"/>
        <v>1</v>
      </c>
      <c r="E194" s="808">
        <f t="shared" si="107"/>
        <v>1</v>
      </c>
      <c r="F194" s="808">
        <f t="shared" si="107"/>
        <v>1</v>
      </c>
      <c r="G194" s="808">
        <f t="shared" si="107"/>
        <v>1</v>
      </c>
      <c r="H194" s="809">
        <f t="shared" si="107"/>
        <v>1</v>
      </c>
      <c r="I194" s="577">
        <f t="shared" si="107"/>
        <v>1</v>
      </c>
      <c r="J194" s="577">
        <f t="shared" si="107"/>
        <v>0</v>
      </c>
      <c r="K194" s="578">
        <f t="shared" si="107"/>
        <v>0</v>
      </c>
      <c r="L194" s="578">
        <f t="shared" si="107"/>
        <v>0</v>
      </c>
      <c r="M194" s="578">
        <f t="shared" si="107"/>
        <v>0</v>
      </c>
      <c r="N194" s="577">
        <f t="shared" si="110"/>
        <v>1</v>
      </c>
      <c r="O194" s="577">
        <f t="shared" si="108"/>
        <v>0</v>
      </c>
      <c r="P194" s="579">
        <f t="shared" si="108"/>
        <v>0</v>
      </c>
      <c r="Q194" s="577">
        <f t="shared" si="108"/>
        <v>1</v>
      </c>
      <c r="R194" s="357"/>
      <c r="S194" s="858">
        <v>2388</v>
      </c>
      <c r="T194" s="858">
        <v>837</v>
      </c>
      <c r="U194" s="858">
        <v>242</v>
      </c>
      <c r="V194" s="858">
        <v>161</v>
      </c>
      <c r="W194" s="858">
        <v>96</v>
      </c>
      <c r="X194" s="858">
        <v>161</v>
      </c>
      <c r="Y194" s="859">
        <v>3885</v>
      </c>
      <c r="Z194" s="859"/>
      <c r="AA194" s="858"/>
      <c r="AB194" s="858"/>
      <c r="AC194" s="858"/>
      <c r="AD194" s="858"/>
      <c r="AE194" s="859">
        <v>1722</v>
      </c>
      <c r="AF194" s="859"/>
      <c r="AG194" s="858"/>
      <c r="AH194" s="859">
        <v>33</v>
      </c>
    </row>
    <row r="195" spans="1:34">
      <c r="A195" s="882" t="s">
        <v>165</v>
      </c>
      <c r="B195" s="240" t="s">
        <v>53</v>
      </c>
      <c r="C195" s="806">
        <f>IF(S$200&gt;0,(S195/S$200),0)</f>
        <v>0.29794670161642639</v>
      </c>
      <c r="D195" s="806">
        <f t="shared" ref="D195:M200" si="111">IF(T$200&gt;0,(T195/T$200),0)</f>
        <v>0</v>
      </c>
      <c r="E195" s="806">
        <f t="shared" si="111"/>
        <v>0</v>
      </c>
      <c r="F195" s="806">
        <f t="shared" si="111"/>
        <v>0.2360774818401937</v>
      </c>
      <c r="G195" s="806">
        <f t="shared" si="111"/>
        <v>0.18535825545171339</v>
      </c>
      <c r="H195" s="806">
        <f t="shared" si="111"/>
        <v>0</v>
      </c>
      <c r="I195" s="613">
        <f t="shared" si="111"/>
        <v>0.26510513707745542</v>
      </c>
      <c r="J195" s="613">
        <f t="shared" si="111"/>
        <v>0</v>
      </c>
      <c r="K195" s="614">
        <f t="shared" si="111"/>
        <v>0</v>
      </c>
      <c r="L195" s="614">
        <f t="shared" si="111"/>
        <v>0</v>
      </c>
      <c r="M195" s="614">
        <f t="shared" si="111"/>
        <v>0</v>
      </c>
      <c r="N195" s="613">
        <f>IF(AE$200&gt;0,(AE195/AE$200),0)</f>
        <v>0.15522388059701492</v>
      </c>
      <c r="O195" s="613">
        <f t="shared" ref="O195:Q200" si="112">IF(AF$200&gt;0,(AF195/AF$200),0)</f>
        <v>0</v>
      </c>
      <c r="P195" s="615">
        <f t="shared" si="112"/>
        <v>0</v>
      </c>
      <c r="Q195" s="613">
        <f t="shared" si="112"/>
        <v>0</v>
      </c>
      <c r="R195" s="799"/>
      <c r="S195" s="856">
        <v>682</v>
      </c>
      <c r="T195" s="856"/>
      <c r="U195" s="856"/>
      <c r="V195" s="856">
        <v>195</v>
      </c>
      <c r="W195" s="856">
        <v>119</v>
      </c>
      <c r="X195" s="856"/>
      <c r="Y195" s="857">
        <v>996</v>
      </c>
      <c r="Z195" s="857"/>
      <c r="AA195" s="856"/>
      <c r="AB195" s="856"/>
      <c r="AC195" s="856"/>
      <c r="AD195" s="856"/>
      <c r="AE195" s="857">
        <v>104</v>
      </c>
      <c r="AF195" s="857"/>
      <c r="AG195" s="856"/>
      <c r="AH195" s="857"/>
    </row>
    <row r="196" spans="1:34">
      <c r="A196" s="883"/>
      <c r="B196" s="239" t="s">
        <v>93</v>
      </c>
      <c r="C196" s="806">
        <f t="shared" ref="C196:C200" si="113">IF(S$200&gt;0,(S196/S$200),0)</f>
        <v>0.24770642201834864</v>
      </c>
      <c r="D196" s="806">
        <f t="shared" si="111"/>
        <v>0</v>
      </c>
      <c r="E196" s="806">
        <f t="shared" si="111"/>
        <v>0</v>
      </c>
      <c r="F196" s="806">
        <f t="shared" si="111"/>
        <v>0.19854721549636803</v>
      </c>
      <c r="G196" s="806">
        <f t="shared" si="111"/>
        <v>0.35202492211838005</v>
      </c>
      <c r="H196" s="806">
        <f t="shared" si="111"/>
        <v>0</v>
      </c>
      <c r="I196" s="624">
        <f t="shared" si="111"/>
        <v>0.25472451424008519</v>
      </c>
      <c r="J196" s="624">
        <f t="shared" si="111"/>
        <v>0</v>
      </c>
      <c r="K196" s="625">
        <f t="shared" si="111"/>
        <v>0</v>
      </c>
      <c r="L196" s="625">
        <f t="shared" si="111"/>
        <v>0</v>
      </c>
      <c r="M196" s="625">
        <f t="shared" si="111"/>
        <v>0</v>
      </c>
      <c r="N196" s="624">
        <f t="shared" ref="N196:N200" si="114">IF(AE$200&gt;0,(AE196/AE$200),0)</f>
        <v>0.29253731343283584</v>
      </c>
      <c r="O196" s="624">
        <f t="shared" si="112"/>
        <v>0</v>
      </c>
      <c r="P196" s="626">
        <f t="shared" si="112"/>
        <v>0</v>
      </c>
      <c r="Q196" s="624">
        <f t="shared" si="112"/>
        <v>0</v>
      </c>
      <c r="R196" s="357"/>
      <c r="S196" s="858">
        <v>567</v>
      </c>
      <c r="T196" s="858"/>
      <c r="U196" s="858"/>
      <c r="V196" s="858">
        <v>164</v>
      </c>
      <c r="W196" s="858">
        <v>226</v>
      </c>
      <c r="X196" s="858"/>
      <c r="Y196" s="859">
        <v>957</v>
      </c>
      <c r="Z196" s="859"/>
      <c r="AA196" s="858"/>
      <c r="AB196" s="858"/>
      <c r="AC196" s="858"/>
      <c r="AD196" s="858"/>
      <c r="AE196" s="859">
        <v>196</v>
      </c>
      <c r="AF196" s="859"/>
      <c r="AG196" s="858"/>
      <c r="AH196" s="859"/>
    </row>
    <row r="197" spans="1:34">
      <c r="A197" s="883"/>
      <c r="B197" s="239" t="s">
        <v>55</v>
      </c>
      <c r="C197" s="806">
        <f t="shared" si="113"/>
        <v>0.20139799038881609</v>
      </c>
      <c r="D197" s="806">
        <f t="shared" si="111"/>
        <v>0</v>
      </c>
      <c r="E197" s="806">
        <f t="shared" si="111"/>
        <v>0</v>
      </c>
      <c r="F197" s="806">
        <f t="shared" si="111"/>
        <v>0.34745762711864409</v>
      </c>
      <c r="G197" s="806">
        <f t="shared" si="111"/>
        <v>0.26791277258566976</v>
      </c>
      <c r="H197" s="806">
        <f t="shared" si="111"/>
        <v>0</v>
      </c>
      <c r="I197" s="624">
        <f t="shared" si="111"/>
        <v>0.2448762310354006</v>
      </c>
      <c r="J197" s="624">
        <f t="shared" si="111"/>
        <v>0</v>
      </c>
      <c r="K197" s="625">
        <f t="shared" si="111"/>
        <v>0</v>
      </c>
      <c r="L197" s="625">
        <f t="shared" si="111"/>
        <v>0</v>
      </c>
      <c r="M197" s="625">
        <f t="shared" si="111"/>
        <v>0</v>
      </c>
      <c r="N197" s="624">
        <f t="shared" si="114"/>
        <v>0.41641791044776122</v>
      </c>
      <c r="O197" s="624">
        <f t="shared" si="112"/>
        <v>0</v>
      </c>
      <c r="P197" s="626">
        <f t="shared" si="112"/>
        <v>0</v>
      </c>
      <c r="Q197" s="624">
        <f t="shared" si="112"/>
        <v>0</v>
      </c>
      <c r="R197" s="357"/>
      <c r="S197" s="858">
        <v>461</v>
      </c>
      <c r="T197" s="858"/>
      <c r="U197" s="858"/>
      <c r="V197" s="858">
        <v>287</v>
      </c>
      <c r="W197" s="858">
        <v>172</v>
      </c>
      <c r="X197" s="858"/>
      <c r="Y197" s="859">
        <v>920</v>
      </c>
      <c r="Z197" s="859"/>
      <c r="AA197" s="858"/>
      <c r="AB197" s="858"/>
      <c r="AC197" s="858"/>
      <c r="AD197" s="858"/>
      <c r="AE197" s="859">
        <v>279</v>
      </c>
      <c r="AF197" s="859"/>
      <c r="AG197" s="858"/>
      <c r="AH197" s="859"/>
    </row>
    <row r="198" spans="1:34">
      <c r="A198" s="883"/>
      <c r="B198" s="239" t="s">
        <v>78</v>
      </c>
      <c r="C198" s="806">
        <f t="shared" si="113"/>
        <v>1.2669287898645697E-2</v>
      </c>
      <c r="D198" s="806">
        <f t="shared" si="111"/>
        <v>0</v>
      </c>
      <c r="E198" s="806">
        <f t="shared" si="111"/>
        <v>0</v>
      </c>
      <c r="F198" s="806">
        <f t="shared" si="111"/>
        <v>0.11138014527845036</v>
      </c>
      <c r="G198" s="806">
        <f t="shared" si="111"/>
        <v>9.3457943925233638E-3</v>
      </c>
      <c r="H198" s="806">
        <f t="shared" si="111"/>
        <v>0</v>
      </c>
      <c r="I198" s="624">
        <f t="shared" si="111"/>
        <v>3.3803566675538993E-2</v>
      </c>
      <c r="J198" s="624">
        <f t="shared" si="111"/>
        <v>0</v>
      </c>
      <c r="K198" s="625">
        <f t="shared" si="111"/>
        <v>0</v>
      </c>
      <c r="L198" s="625">
        <f t="shared" si="111"/>
        <v>0</v>
      </c>
      <c r="M198" s="625">
        <f t="shared" si="111"/>
        <v>0</v>
      </c>
      <c r="N198" s="624">
        <f t="shared" si="114"/>
        <v>0.1208955223880597</v>
      </c>
      <c r="O198" s="624">
        <f t="shared" si="112"/>
        <v>0</v>
      </c>
      <c r="P198" s="626">
        <f t="shared" si="112"/>
        <v>0</v>
      </c>
      <c r="Q198" s="624">
        <f t="shared" si="112"/>
        <v>0</v>
      </c>
      <c r="R198" s="357"/>
      <c r="S198" s="858">
        <v>29</v>
      </c>
      <c r="T198" s="858"/>
      <c r="U198" s="858"/>
      <c r="V198" s="858">
        <v>92</v>
      </c>
      <c r="W198" s="858">
        <v>6</v>
      </c>
      <c r="X198" s="858"/>
      <c r="Y198" s="859">
        <v>127</v>
      </c>
      <c r="Z198" s="859"/>
      <c r="AA198" s="858"/>
      <c r="AB198" s="858"/>
      <c r="AC198" s="858"/>
      <c r="AD198" s="858"/>
      <c r="AE198" s="859">
        <v>81</v>
      </c>
      <c r="AF198" s="859"/>
      <c r="AG198" s="858"/>
      <c r="AH198" s="859"/>
    </row>
    <row r="199" spans="1:34">
      <c r="A199" s="884"/>
      <c r="B199" s="580" t="s">
        <v>131</v>
      </c>
      <c r="C199" s="806">
        <f t="shared" si="113"/>
        <v>0.24027959807776322</v>
      </c>
      <c r="D199" s="806">
        <f t="shared" si="111"/>
        <v>0</v>
      </c>
      <c r="E199" s="806">
        <f t="shared" si="111"/>
        <v>0</v>
      </c>
      <c r="F199" s="806">
        <f t="shared" si="111"/>
        <v>0.10653753026634383</v>
      </c>
      <c r="G199" s="806">
        <f t="shared" si="111"/>
        <v>0.18535825545171339</v>
      </c>
      <c r="H199" s="806">
        <f t="shared" si="111"/>
        <v>0</v>
      </c>
      <c r="I199" s="624">
        <f t="shared" si="111"/>
        <v>0.20149055097151983</v>
      </c>
      <c r="J199" s="624">
        <f t="shared" si="111"/>
        <v>0</v>
      </c>
      <c r="K199" s="625">
        <f t="shared" si="111"/>
        <v>0</v>
      </c>
      <c r="L199" s="625">
        <f t="shared" si="111"/>
        <v>0</v>
      </c>
      <c r="M199" s="625">
        <f t="shared" si="111"/>
        <v>0</v>
      </c>
      <c r="N199" s="624">
        <f t="shared" si="114"/>
        <v>1.4925373134328358E-2</v>
      </c>
      <c r="O199" s="624">
        <f t="shared" si="112"/>
        <v>0</v>
      </c>
      <c r="P199" s="626">
        <f t="shared" si="112"/>
        <v>0</v>
      </c>
      <c r="Q199" s="624">
        <f t="shared" si="112"/>
        <v>0</v>
      </c>
      <c r="R199" s="357"/>
      <c r="S199" s="858">
        <f>493+57</f>
        <v>550</v>
      </c>
      <c r="T199" s="858"/>
      <c r="U199" s="858"/>
      <c r="V199" s="858">
        <f>34+54</f>
        <v>88</v>
      </c>
      <c r="W199" s="858">
        <v>119</v>
      </c>
      <c r="X199" s="858"/>
      <c r="Y199" s="859">
        <f>646+111</f>
        <v>757</v>
      </c>
      <c r="Z199" s="859"/>
      <c r="AA199" s="858"/>
      <c r="AB199" s="858"/>
      <c r="AC199" s="858"/>
      <c r="AD199" s="858"/>
      <c r="AE199" s="859">
        <f>6+4</f>
        <v>10</v>
      </c>
      <c r="AF199" s="859"/>
      <c r="AG199" s="858"/>
      <c r="AH199" s="859"/>
    </row>
    <row r="200" spans="1:34">
      <c r="A200" s="885"/>
      <c r="B200" s="436" t="s">
        <v>59</v>
      </c>
      <c r="C200" s="807">
        <f t="shared" si="113"/>
        <v>1</v>
      </c>
      <c r="D200" s="808">
        <f t="shared" si="111"/>
        <v>0</v>
      </c>
      <c r="E200" s="808">
        <f t="shared" si="111"/>
        <v>0</v>
      </c>
      <c r="F200" s="808">
        <f t="shared" si="111"/>
        <v>1</v>
      </c>
      <c r="G200" s="808">
        <f t="shared" si="111"/>
        <v>1</v>
      </c>
      <c r="H200" s="809">
        <f t="shared" si="111"/>
        <v>0</v>
      </c>
      <c r="I200" s="577">
        <f t="shared" si="111"/>
        <v>1</v>
      </c>
      <c r="J200" s="577">
        <f t="shared" si="111"/>
        <v>0</v>
      </c>
      <c r="K200" s="578">
        <f t="shared" si="111"/>
        <v>0</v>
      </c>
      <c r="L200" s="578">
        <f t="shared" si="111"/>
        <v>0</v>
      </c>
      <c r="M200" s="578">
        <f t="shared" si="111"/>
        <v>0</v>
      </c>
      <c r="N200" s="577">
        <f t="shared" si="114"/>
        <v>1</v>
      </c>
      <c r="O200" s="577">
        <f t="shared" si="112"/>
        <v>0</v>
      </c>
      <c r="P200" s="579">
        <f t="shared" si="112"/>
        <v>0</v>
      </c>
      <c r="Q200" s="577">
        <f t="shared" si="112"/>
        <v>0</v>
      </c>
      <c r="R200" s="357"/>
      <c r="S200" s="858">
        <v>2289</v>
      </c>
      <c r="T200" s="858"/>
      <c r="U200" s="858"/>
      <c r="V200" s="858">
        <v>826</v>
      </c>
      <c r="W200" s="858">
        <v>642</v>
      </c>
      <c r="X200" s="858"/>
      <c r="Y200" s="859">
        <v>3757</v>
      </c>
      <c r="Z200" s="859"/>
      <c r="AA200" s="858"/>
      <c r="AB200" s="858"/>
      <c r="AC200" s="858"/>
      <c r="AD200" s="858"/>
      <c r="AE200" s="859">
        <v>670</v>
      </c>
      <c r="AF200" s="859"/>
      <c r="AG200" s="858"/>
      <c r="AH200" s="859"/>
    </row>
    <row r="201" spans="1:34">
      <c r="A201" s="882" t="s">
        <v>167</v>
      </c>
      <c r="B201" s="240" t="s">
        <v>53</v>
      </c>
      <c r="C201" s="806">
        <f>IF(S$206&gt;0,(S201/S$206),0)</f>
        <v>0.34167438986716098</v>
      </c>
      <c r="D201" s="806">
        <f t="shared" ref="D201:M206" si="115">IF(T$206&gt;0,(T201/T$206),0)</f>
        <v>0</v>
      </c>
      <c r="E201" s="806">
        <f t="shared" si="115"/>
        <v>0.29928894634776987</v>
      </c>
      <c r="F201" s="806">
        <f t="shared" si="115"/>
        <v>0.12444444444444444</v>
      </c>
      <c r="G201" s="806">
        <f t="shared" si="115"/>
        <v>0</v>
      </c>
      <c r="H201" s="806">
        <f t="shared" si="115"/>
        <v>0</v>
      </c>
      <c r="I201" s="613">
        <f t="shared" si="115"/>
        <v>0.30142830643665369</v>
      </c>
      <c r="J201" s="613">
        <f t="shared" si="115"/>
        <v>0</v>
      </c>
      <c r="K201" s="614">
        <f t="shared" si="115"/>
        <v>0</v>
      </c>
      <c r="L201" s="614">
        <f t="shared" si="115"/>
        <v>0</v>
      </c>
      <c r="M201" s="614">
        <f t="shared" si="115"/>
        <v>0</v>
      </c>
      <c r="N201" s="613">
        <f>IF(AE$206&gt;0,(AE201/AE$206),0)</f>
        <v>7.8853046594982087E-3</v>
      </c>
      <c r="O201" s="613">
        <f t="shared" ref="O201:Q206" si="116">IF(AF$206&gt;0,(AF201/AF$206),0)</f>
        <v>0</v>
      </c>
      <c r="P201" s="615">
        <f t="shared" si="116"/>
        <v>0</v>
      </c>
      <c r="Q201" s="613">
        <f t="shared" si="116"/>
        <v>0</v>
      </c>
      <c r="R201" s="799"/>
      <c r="S201" s="856">
        <v>1106</v>
      </c>
      <c r="T201" s="856"/>
      <c r="U201" s="856">
        <v>463</v>
      </c>
      <c r="V201" s="856">
        <v>56</v>
      </c>
      <c r="W201" s="856"/>
      <c r="X201" s="856"/>
      <c r="Y201" s="857">
        <v>1625</v>
      </c>
      <c r="Z201" s="857"/>
      <c r="AA201" s="856"/>
      <c r="AB201" s="856"/>
      <c r="AC201" s="856"/>
      <c r="AD201" s="856"/>
      <c r="AE201" s="857">
        <v>22</v>
      </c>
      <c r="AF201" s="857"/>
      <c r="AG201" s="856"/>
      <c r="AH201" s="857"/>
    </row>
    <row r="202" spans="1:34">
      <c r="A202" s="883"/>
      <c r="B202" s="239" t="s">
        <v>93</v>
      </c>
      <c r="C202" s="806">
        <f t="shared" ref="C202:C206" si="117">IF(S$206&gt;0,(S202/S$206),0)</f>
        <v>0.23324065492740192</v>
      </c>
      <c r="D202" s="806">
        <f t="shared" si="115"/>
        <v>0</v>
      </c>
      <c r="E202" s="806">
        <f t="shared" si="115"/>
        <v>0.24563671622495151</v>
      </c>
      <c r="F202" s="806">
        <f t="shared" si="115"/>
        <v>0.21777777777777776</v>
      </c>
      <c r="G202" s="806">
        <f t="shared" si="115"/>
        <v>0</v>
      </c>
      <c r="H202" s="806">
        <f t="shared" si="115"/>
        <v>0</v>
      </c>
      <c r="I202" s="624">
        <f t="shared" si="115"/>
        <v>0.22871452420701169</v>
      </c>
      <c r="J202" s="624">
        <f t="shared" si="115"/>
        <v>0</v>
      </c>
      <c r="K202" s="625">
        <f t="shared" si="115"/>
        <v>0</v>
      </c>
      <c r="L202" s="625">
        <f t="shared" si="115"/>
        <v>0</v>
      </c>
      <c r="M202" s="625">
        <f t="shared" si="115"/>
        <v>0</v>
      </c>
      <c r="N202" s="624">
        <f t="shared" ref="N202:N206" si="118">IF(AE$206&gt;0,(AE202/AE$206),0)</f>
        <v>5.197132616487455E-2</v>
      </c>
      <c r="O202" s="624">
        <f t="shared" si="116"/>
        <v>0</v>
      </c>
      <c r="P202" s="626">
        <f t="shared" si="116"/>
        <v>0</v>
      </c>
      <c r="Q202" s="624">
        <f t="shared" si="116"/>
        <v>0</v>
      </c>
      <c r="R202" s="357"/>
      <c r="S202" s="858">
        <v>755</v>
      </c>
      <c r="T202" s="858"/>
      <c r="U202" s="858">
        <v>380</v>
      </c>
      <c r="V202" s="858">
        <v>98</v>
      </c>
      <c r="W202" s="858"/>
      <c r="X202" s="858"/>
      <c r="Y202" s="859">
        <v>1233</v>
      </c>
      <c r="Z202" s="859"/>
      <c r="AA202" s="858"/>
      <c r="AB202" s="858"/>
      <c r="AC202" s="858"/>
      <c r="AD202" s="858"/>
      <c r="AE202" s="859">
        <v>145</v>
      </c>
      <c r="AF202" s="859"/>
      <c r="AG202" s="858"/>
      <c r="AH202" s="859"/>
    </row>
    <row r="203" spans="1:34">
      <c r="A203" s="883"/>
      <c r="B203" s="239" t="s">
        <v>55</v>
      </c>
      <c r="C203" s="806">
        <f t="shared" si="117"/>
        <v>0.17732468334877974</v>
      </c>
      <c r="D203" s="806">
        <f t="shared" si="115"/>
        <v>0</v>
      </c>
      <c r="E203" s="806">
        <f t="shared" si="115"/>
        <v>0.2087912087912088</v>
      </c>
      <c r="F203" s="806">
        <f t="shared" si="115"/>
        <v>0.26666666666666666</v>
      </c>
      <c r="G203" s="806">
        <f t="shared" si="115"/>
        <v>0</v>
      </c>
      <c r="H203" s="806">
        <f t="shared" si="115"/>
        <v>0</v>
      </c>
      <c r="I203" s="624">
        <f t="shared" si="115"/>
        <v>0.18864774624373956</v>
      </c>
      <c r="J203" s="624">
        <f t="shared" si="115"/>
        <v>0</v>
      </c>
      <c r="K203" s="625">
        <f t="shared" si="115"/>
        <v>0</v>
      </c>
      <c r="L203" s="625">
        <f t="shared" si="115"/>
        <v>0</v>
      </c>
      <c r="M203" s="625">
        <f t="shared" si="115"/>
        <v>0</v>
      </c>
      <c r="N203" s="624">
        <f t="shared" si="118"/>
        <v>2.2580645161290321E-2</v>
      </c>
      <c r="O203" s="624">
        <f t="shared" si="116"/>
        <v>0</v>
      </c>
      <c r="P203" s="626">
        <f t="shared" si="116"/>
        <v>0</v>
      </c>
      <c r="Q203" s="624">
        <f t="shared" si="116"/>
        <v>7.4935400516795869E-2</v>
      </c>
      <c r="R203" s="357"/>
      <c r="S203" s="858">
        <v>574</v>
      </c>
      <c r="T203" s="858"/>
      <c r="U203" s="858">
        <v>323</v>
      </c>
      <c r="V203" s="858">
        <v>120</v>
      </c>
      <c r="W203" s="858"/>
      <c r="X203" s="858"/>
      <c r="Y203" s="859">
        <v>1017</v>
      </c>
      <c r="Z203" s="859"/>
      <c r="AA203" s="858"/>
      <c r="AB203" s="858"/>
      <c r="AC203" s="858"/>
      <c r="AD203" s="858"/>
      <c r="AE203" s="859">
        <v>63</v>
      </c>
      <c r="AF203" s="859"/>
      <c r="AG203" s="858"/>
      <c r="AH203" s="859">
        <v>58</v>
      </c>
    </row>
    <row r="204" spans="1:34">
      <c r="A204" s="883"/>
      <c r="B204" s="239" t="s">
        <v>78</v>
      </c>
      <c r="C204" s="806">
        <f t="shared" si="117"/>
        <v>5.8696323756564722E-2</v>
      </c>
      <c r="D204" s="806">
        <f t="shared" si="115"/>
        <v>0</v>
      </c>
      <c r="E204" s="806">
        <f t="shared" si="115"/>
        <v>7.3691014867485458E-2</v>
      </c>
      <c r="F204" s="806">
        <f t="shared" si="115"/>
        <v>0</v>
      </c>
      <c r="G204" s="806">
        <f t="shared" si="115"/>
        <v>0</v>
      </c>
      <c r="H204" s="806">
        <f t="shared" si="115"/>
        <v>0</v>
      </c>
      <c r="I204" s="624">
        <f t="shared" si="115"/>
        <v>5.6390280096457059E-2</v>
      </c>
      <c r="J204" s="624">
        <f t="shared" si="115"/>
        <v>0</v>
      </c>
      <c r="K204" s="625">
        <f t="shared" si="115"/>
        <v>0</v>
      </c>
      <c r="L204" s="625">
        <f t="shared" si="115"/>
        <v>0</v>
      </c>
      <c r="M204" s="625">
        <f t="shared" si="115"/>
        <v>0</v>
      </c>
      <c r="N204" s="624">
        <f t="shared" si="118"/>
        <v>0.13476702508960572</v>
      </c>
      <c r="O204" s="624">
        <f t="shared" si="116"/>
        <v>0</v>
      </c>
      <c r="P204" s="626">
        <f t="shared" si="116"/>
        <v>0</v>
      </c>
      <c r="Q204" s="624">
        <f t="shared" si="116"/>
        <v>0.50258397932816534</v>
      </c>
      <c r="R204" s="357"/>
      <c r="S204" s="858">
        <v>190</v>
      </c>
      <c r="T204" s="858"/>
      <c r="U204" s="858">
        <v>114</v>
      </c>
      <c r="V204" s="858"/>
      <c r="W204" s="858"/>
      <c r="X204" s="858"/>
      <c r="Y204" s="859">
        <v>304</v>
      </c>
      <c r="Z204" s="859"/>
      <c r="AA204" s="858"/>
      <c r="AB204" s="858"/>
      <c r="AC204" s="858"/>
      <c r="AD204" s="858"/>
      <c r="AE204" s="859">
        <v>376</v>
      </c>
      <c r="AF204" s="859"/>
      <c r="AG204" s="858"/>
      <c r="AH204" s="859">
        <v>389</v>
      </c>
    </row>
    <row r="205" spans="1:34">
      <c r="A205" s="884"/>
      <c r="B205" s="580" t="s">
        <v>131</v>
      </c>
      <c r="C205" s="806">
        <f t="shared" si="117"/>
        <v>0.18906394810009267</v>
      </c>
      <c r="D205" s="806">
        <f t="shared" si="115"/>
        <v>0</v>
      </c>
      <c r="E205" s="806">
        <f t="shared" si="115"/>
        <v>0.17259211376858435</v>
      </c>
      <c r="F205" s="806">
        <f t="shared" si="115"/>
        <v>0.39111111111111113</v>
      </c>
      <c r="G205" s="806">
        <f t="shared" si="115"/>
        <v>1</v>
      </c>
      <c r="H205" s="806">
        <f t="shared" si="115"/>
        <v>0</v>
      </c>
      <c r="I205" s="624">
        <f t="shared" si="115"/>
        <v>0.22481914301613801</v>
      </c>
      <c r="J205" s="624">
        <f t="shared" si="115"/>
        <v>0</v>
      </c>
      <c r="K205" s="625">
        <f t="shared" si="115"/>
        <v>0</v>
      </c>
      <c r="L205" s="625">
        <f t="shared" si="115"/>
        <v>0</v>
      </c>
      <c r="M205" s="625">
        <f t="shared" si="115"/>
        <v>0</v>
      </c>
      <c r="N205" s="624">
        <f t="shared" si="118"/>
        <v>0.78279569892473122</v>
      </c>
      <c r="O205" s="624">
        <f t="shared" si="116"/>
        <v>0</v>
      </c>
      <c r="P205" s="626">
        <f t="shared" si="116"/>
        <v>0</v>
      </c>
      <c r="Q205" s="624">
        <f t="shared" si="116"/>
        <v>0.42248062015503873</v>
      </c>
      <c r="R205" s="357"/>
      <c r="S205" s="858">
        <f>338+274</f>
        <v>612</v>
      </c>
      <c r="T205" s="858"/>
      <c r="U205" s="858">
        <f>122+145</f>
        <v>267</v>
      </c>
      <c r="V205" s="858">
        <v>176</v>
      </c>
      <c r="W205" s="858">
        <f>0+157</f>
        <v>157</v>
      </c>
      <c r="X205" s="858"/>
      <c r="Y205" s="859">
        <f>636+576</f>
        <v>1212</v>
      </c>
      <c r="Z205" s="859"/>
      <c r="AA205" s="858"/>
      <c r="AB205" s="858"/>
      <c r="AC205" s="858"/>
      <c r="AD205" s="858"/>
      <c r="AE205" s="859">
        <f>1+2183</f>
        <v>2184</v>
      </c>
      <c r="AF205" s="859"/>
      <c r="AG205" s="858"/>
      <c r="AH205" s="859">
        <v>327</v>
      </c>
    </row>
    <row r="206" spans="1:34">
      <c r="A206" s="885"/>
      <c r="B206" s="436" t="s">
        <v>59</v>
      </c>
      <c r="C206" s="807">
        <f t="shared" si="117"/>
        <v>1</v>
      </c>
      <c r="D206" s="808">
        <f t="shared" si="115"/>
        <v>0</v>
      </c>
      <c r="E206" s="808">
        <f t="shared" si="115"/>
        <v>1</v>
      </c>
      <c r="F206" s="808">
        <f t="shared" si="115"/>
        <v>1</v>
      </c>
      <c r="G206" s="808">
        <f t="shared" si="115"/>
        <v>1</v>
      </c>
      <c r="H206" s="809">
        <f t="shared" si="115"/>
        <v>0</v>
      </c>
      <c r="I206" s="577">
        <f t="shared" si="115"/>
        <v>1</v>
      </c>
      <c r="J206" s="577">
        <f t="shared" si="115"/>
        <v>0</v>
      </c>
      <c r="K206" s="578">
        <f t="shared" si="115"/>
        <v>0</v>
      </c>
      <c r="L206" s="578">
        <f t="shared" si="115"/>
        <v>0</v>
      </c>
      <c r="M206" s="578">
        <f t="shared" si="115"/>
        <v>0</v>
      </c>
      <c r="N206" s="577">
        <f t="shared" si="118"/>
        <v>1</v>
      </c>
      <c r="O206" s="577">
        <f t="shared" si="116"/>
        <v>0</v>
      </c>
      <c r="P206" s="579">
        <f t="shared" si="116"/>
        <v>0</v>
      </c>
      <c r="Q206" s="577">
        <f t="shared" si="116"/>
        <v>1</v>
      </c>
      <c r="R206" s="357"/>
      <c r="S206" s="858">
        <v>3237</v>
      </c>
      <c r="T206" s="858"/>
      <c r="U206" s="858">
        <v>1547</v>
      </c>
      <c r="V206" s="858">
        <v>450</v>
      </c>
      <c r="W206" s="858">
        <v>157</v>
      </c>
      <c r="X206" s="858"/>
      <c r="Y206" s="859">
        <v>5391</v>
      </c>
      <c r="Z206" s="859"/>
      <c r="AA206" s="858"/>
      <c r="AB206" s="858"/>
      <c r="AC206" s="858"/>
      <c r="AD206" s="858"/>
      <c r="AE206" s="859">
        <v>2790</v>
      </c>
      <c r="AF206" s="859"/>
      <c r="AG206" s="858"/>
      <c r="AH206" s="859">
        <v>774</v>
      </c>
    </row>
    <row r="207" spans="1:34">
      <c r="A207" s="882" t="s">
        <v>169</v>
      </c>
      <c r="B207" s="240" t="s">
        <v>53</v>
      </c>
      <c r="C207" s="806">
        <f>IF(S$212&gt;0,(S207/S$212),0)</f>
        <v>0</v>
      </c>
      <c r="D207" s="806">
        <f t="shared" ref="D207:M212" si="119">IF(T$212&gt;0,(T207/T$212),0)</f>
        <v>0.28779840848806365</v>
      </c>
      <c r="E207" s="806">
        <f t="shared" si="119"/>
        <v>0</v>
      </c>
      <c r="F207" s="806">
        <f t="shared" si="119"/>
        <v>0</v>
      </c>
      <c r="G207" s="806">
        <f t="shared" si="119"/>
        <v>0</v>
      </c>
      <c r="H207" s="806">
        <f t="shared" si="119"/>
        <v>0</v>
      </c>
      <c r="I207" s="613">
        <f t="shared" si="119"/>
        <v>0.28779840848806365</v>
      </c>
      <c r="J207" s="613">
        <f t="shared" si="119"/>
        <v>0</v>
      </c>
      <c r="K207" s="614">
        <f t="shared" si="119"/>
        <v>0</v>
      </c>
      <c r="L207" s="614">
        <f t="shared" si="119"/>
        <v>0</v>
      </c>
      <c r="M207" s="614">
        <f t="shared" si="119"/>
        <v>0</v>
      </c>
      <c r="N207" s="613">
        <f>IF(AE$212&gt;0,(AE207/AE$212),0)</f>
        <v>6.2003179650238473E-2</v>
      </c>
      <c r="O207" s="613">
        <f t="shared" ref="O207:Q212" si="120">IF(AF$212&gt;0,(AF207/AF$212),0)</f>
        <v>0</v>
      </c>
      <c r="P207" s="615">
        <f t="shared" si="120"/>
        <v>0</v>
      </c>
      <c r="Q207" s="613">
        <f t="shared" si="120"/>
        <v>0</v>
      </c>
      <c r="R207" s="799"/>
      <c r="S207" s="856"/>
      <c r="T207" s="856">
        <v>217</v>
      </c>
      <c r="U207" s="856"/>
      <c r="V207" s="856"/>
      <c r="W207" s="856"/>
      <c r="X207" s="856"/>
      <c r="Y207" s="857">
        <v>217</v>
      </c>
      <c r="Z207" s="857"/>
      <c r="AA207" s="856"/>
      <c r="AB207" s="856"/>
      <c r="AC207" s="856"/>
      <c r="AD207" s="856"/>
      <c r="AE207" s="857">
        <v>39</v>
      </c>
      <c r="AF207" s="857"/>
      <c r="AG207" s="856"/>
      <c r="AH207" s="857"/>
    </row>
    <row r="208" spans="1:34">
      <c r="A208" s="883"/>
      <c r="B208" s="239" t="s">
        <v>93</v>
      </c>
      <c r="C208" s="806">
        <f t="shared" ref="C208:C212" si="121">IF(S$212&gt;0,(S208/S$212),0)</f>
        <v>0</v>
      </c>
      <c r="D208" s="806">
        <f t="shared" si="119"/>
        <v>0.26657824933687002</v>
      </c>
      <c r="E208" s="806">
        <f t="shared" si="119"/>
        <v>0</v>
      </c>
      <c r="F208" s="806">
        <f t="shared" si="119"/>
        <v>0</v>
      </c>
      <c r="G208" s="806">
        <f t="shared" si="119"/>
        <v>0</v>
      </c>
      <c r="H208" s="806">
        <f t="shared" si="119"/>
        <v>0</v>
      </c>
      <c r="I208" s="624">
        <f t="shared" si="119"/>
        <v>0.26657824933687002</v>
      </c>
      <c r="J208" s="624">
        <f t="shared" si="119"/>
        <v>0</v>
      </c>
      <c r="K208" s="625">
        <f t="shared" si="119"/>
        <v>0</v>
      </c>
      <c r="L208" s="625">
        <f t="shared" si="119"/>
        <v>0</v>
      </c>
      <c r="M208" s="625">
        <f t="shared" si="119"/>
        <v>0</v>
      </c>
      <c r="N208" s="624">
        <f t="shared" ref="N208:N212" si="122">IF(AE$212&gt;0,(AE208/AE$212),0)</f>
        <v>7.6311605723370424E-2</v>
      </c>
      <c r="O208" s="624">
        <f t="shared" si="120"/>
        <v>0</v>
      </c>
      <c r="P208" s="626">
        <f t="shared" si="120"/>
        <v>0</v>
      </c>
      <c r="Q208" s="624">
        <f t="shared" si="120"/>
        <v>0</v>
      </c>
      <c r="R208" s="357"/>
      <c r="S208" s="858"/>
      <c r="T208" s="858">
        <v>201</v>
      </c>
      <c r="U208" s="858"/>
      <c r="V208" s="858"/>
      <c r="W208" s="858"/>
      <c r="X208" s="858"/>
      <c r="Y208" s="859">
        <v>201</v>
      </c>
      <c r="Z208" s="859"/>
      <c r="AA208" s="858"/>
      <c r="AB208" s="858"/>
      <c r="AC208" s="858"/>
      <c r="AD208" s="858"/>
      <c r="AE208" s="859">
        <v>48</v>
      </c>
      <c r="AF208" s="859"/>
      <c r="AG208" s="858"/>
      <c r="AH208" s="859"/>
    </row>
    <row r="209" spans="1:34">
      <c r="A209" s="883"/>
      <c r="B209" s="239" t="s">
        <v>55</v>
      </c>
      <c r="C209" s="806">
        <f t="shared" si="121"/>
        <v>0</v>
      </c>
      <c r="D209" s="806">
        <f t="shared" si="119"/>
        <v>0.23740053050397877</v>
      </c>
      <c r="E209" s="806">
        <f t="shared" si="119"/>
        <v>0</v>
      </c>
      <c r="F209" s="806">
        <f t="shared" si="119"/>
        <v>0</v>
      </c>
      <c r="G209" s="806">
        <f t="shared" si="119"/>
        <v>0</v>
      </c>
      <c r="H209" s="806">
        <f t="shared" si="119"/>
        <v>0</v>
      </c>
      <c r="I209" s="624">
        <f t="shared" si="119"/>
        <v>0.23740053050397877</v>
      </c>
      <c r="J209" s="624">
        <f t="shared" si="119"/>
        <v>0</v>
      </c>
      <c r="K209" s="625">
        <f t="shared" si="119"/>
        <v>0</v>
      </c>
      <c r="L209" s="625">
        <f t="shared" si="119"/>
        <v>0</v>
      </c>
      <c r="M209" s="625">
        <f t="shared" si="119"/>
        <v>0</v>
      </c>
      <c r="N209" s="624">
        <f t="shared" si="122"/>
        <v>0.11764705882352941</v>
      </c>
      <c r="O209" s="624">
        <f t="shared" si="120"/>
        <v>0</v>
      </c>
      <c r="P209" s="626">
        <f t="shared" si="120"/>
        <v>0</v>
      </c>
      <c r="Q209" s="624">
        <f t="shared" si="120"/>
        <v>0</v>
      </c>
      <c r="R209" s="357"/>
      <c r="S209" s="858"/>
      <c r="T209" s="858">
        <v>179</v>
      </c>
      <c r="U209" s="858"/>
      <c r="V209" s="858"/>
      <c r="W209" s="858"/>
      <c r="X209" s="858"/>
      <c r="Y209" s="859">
        <v>179</v>
      </c>
      <c r="Z209" s="859"/>
      <c r="AA209" s="858"/>
      <c r="AB209" s="858"/>
      <c r="AC209" s="858"/>
      <c r="AD209" s="858"/>
      <c r="AE209" s="859">
        <v>74</v>
      </c>
      <c r="AF209" s="859"/>
      <c r="AG209" s="858"/>
      <c r="AH209" s="859"/>
    </row>
    <row r="210" spans="1:34">
      <c r="A210" s="883"/>
      <c r="B210" s="239" t="s">
        <v>78</v>
      </c>
      <c r="C210" s="806">
        <f t="shared" si="121"/>
        <v>0</v>
      </c>
      <c r="D210" s="806">
        <f t="shared" si="119"/>
        <v>0.123342175066313</v>
      </c>
      <c r="E210" s="806">
        <f t="shared" si="119"/>
        <v>0</v>
      </c>
      <c r="F210" s="806">
        <f t="shared" si="119"/>
        <v>0</v>
      </c>
      <c r="G210" s="806">
        <f t="shared" si="119"/>
        <v>0</v>
      </c>
      <c r="H210" s="806">
        <f t="shared" si="119"/>
        <v>0</v>
      </c>
      <c r="I210" s="624">
        <f t="shared" si="119"/>
        <v>0.123342175066313</v>
      </c>
      <c r="J210" s="624">
        <f t="shared" si="119"/>
        <v>0</v>
      </c>
      <c r="K210" s="625">
        <f t="shared" si="119"/>
        <v>0</v>
      </c>
      <c r="L210" s="625">
        <f t="shared" si="119"/>
        <v>0</v>
      </c>
      <c r="M210" s="625">
        <f t="shared" si="119"/>
        <v>0</v>
      </c>
      <c r="N210" s="624">
        <f t="shared" si="122"/>
        <v>0.30683624801271858</v>
      </c>
      <c r="O210" s="624">
        <f t="shared" si="120"/>
        <v>0</v>
      </c>
      <c r="P210" s="626">
        <f t="shared" si="120"/>
        <v>0</v>
      </c>
      <c r="Q210" s="624">
        <f t="shared" si="120"/>
        <v>0</v>
      </c>
      <c r="R210" s="357"/>
      <c r="S210" s="858"/>
      <c r="T210" s="858">
        <v>93</v>
      </c>
      <c r="U210" s="858"/>
      <c r="V210" s="858"/>
      <c r="W210" s="858"/>
      <c r="X210" s="858"/>
      <c r="Y210" s="859">
        <v>93</v>
      </c>
      <c r="Z210" s="859"/>
      <c r="AA210" s="858"/>
      <c r="AB210" s="858"/>
      <c r="AC210" s="858"/>
      <c r="AD210" s="858"/>
      <c r="AE210" s="859">
        <v>193</v>
      </c>
      <c r="AF210" s="859"/>
      <c r="AG210" s="858"/>
      <c r="AH210" s="859"/>
    </row>
    <row r="211" spans="1:34">
      <c r="A211" s="884"/>
      <c r="B211" s="580" t="s">
        <v>131</v>
      </c>
      <c r="C211" s="806">
        <f t="shared" si="121"/>
        <v>0</v>
      </c>
      <c r="D211" s="806">
        <f t="shared" si="119"/>
        <v>8.4880636604774531E-2</v>
      </c>
      <c r="E211" s="806">
        <f t="shared" si="119"/>
        <v>0</v>
      </c>
      <c r="F211" s="806">
        <f t="shared" si="119"/>
        <v>0</v>
      </c>
      <c r="G211" s="806">
        <f t="shared" si="119"/>
        <v>0</v>
      </c>
      <c r="H211" s="806">
        <f t="shared" si="119"/>
        <v>0</v>
      </c>
      <c r="I211" s="624">
        <f t="shared" si="119"/>
        <v>8.4880636604774531E-2</v>
      </c>
      <c r="J211" s="624">
        <f t="shared" si="119"/>
        <v>0</v>
      </c>
      <c r="K211" s="625">
        <f t="shared" si="119"/>
        <v>0</v>
      </c>
      <c r="L211" s="625">
        <f t="shared" si="119"/>
        <v>0</v>
      </c>
      <c r="M211" s="625">
        <f t="shared" si="119"/>
        <v>0</v>
      </c>
      <c r="N211" s="624">
        <f t="shared" si="122"/>
        <v>0.43720190779014306</v>
      </c>
      <c r="O211" s="624">
        <f t="shared" si="120"/>
        <v>0</v>
      </c>
      <c r="P211" s="626">
        <f t="shared" si="120"/>
        <v>0</v>
      </c>
      <c r="Q211" s="624">
        <f t="shared" si="120"/>
        <v>0</v>
      </c>
      <c r="R211" s="357"/>
      <c r="S211" s="858"/>
      <c r="T211" s="858">
        <v>64</v>
      </c>
      <c r="U211" s="858"/>
      <c r="V211" s="858"/>
      <c r="W211" s="858"/>
      <c r="X211" s="858"/>
      <c r="Y211" s="859">
        <v>64</v>
      </c>
      <c r="Z211" s="859"/>
      <c r="AA211" s="858"/>
      <c r="AB211" s="858"/>
      <c r="AC211" s="858"/>
      <c r="AD211" s="858"/>
      <c r="AE211" s="859">
        <v>275</v>
      </c>
      <c r="AF211" s="859"/>
      <c r="AG211" s="858"/>
      <c r="AH211" s="859"/>
    </row>
    <row r="212" spans="1:34">
      <c r="A212" s="885"/>
      <c r="B212" s="436" t="s">
        <v>59</v>
      </c>
      <c r="C212" s="807">
        <f t="shared" si="121"/>
        <v>0</v>
      </c>
      <c r="D212" s="808">
        <f t="shared" si="119"/>
        <v>1</v>
      </c>
      <c r="E212" s="808">
        <f t="shared" si="119"/>
        <v>0</v>
      </c>
      <c r="F212" s="808">
        <f t="shared" si="119"/>
        <v>0</v>
      </c>
      <c r="G212" s="808">
        <f t="shared" si="119"/>
        <v>0</v>
      </c>
      <c r="H212" s="809">
        <f t="shared" si="119"/>
        <v>0</v>
      </c>
      <c r="I212" s="577">
        <f t="shared" si="119"/>
        <v>1</v>
      </c>
      <c r="J212" s="577">
        <f t="shared" si="119"/>
        <v>0</v>
      </c>
      <c r="K212" s="578">
        <f t="shared" si="119"/>
        <v>0</v>
      </c>
      <c r="L212" s="578">
        <f t="shared" si="119"/>
        <v>0</v>
      </c>
      <c r="M212" s="578">
        <f t="shared" si="119"/>
        <v>0</v>
      </c>
      <c r="N212" s="577">
        <f t="shared" si="122"/>
        <v>1</v>
      </c>
      <c r="O212" s="577">
        <f t="shared" si="120"/>
        <v>0</v>
      </c>
      <c r="P212" s="579">
        <f t="shared" si="120"/>
        <v>0</v>
      </c>
      <c r="Q212" s="577">
        <f t="shared" si="120"/>
        <v>0</v>
      </c>
      <c r="R212" s="357"/>
      <c r="S212" s="858"/>
      <c r="T212" s="858">
        <v>754</v>
      </c>
      <c r="U212" s="858"/>
      <c r="V212" s="858"/>
      <c r="W212" s="858"/>
      <c r="X212" s="858"/>
      <c r="Y212" s="859">
        <v>754</v>
      </c>
      <c r="Z212" s="859"/>
      <c r="AA212" s="858"/>
      <c r="AB212" s="858"/>
      <c r="AC212" s="858"/>
      <c r="AD212" s="858"/>
      <c r="AE212" s="859">
        <v>629</v>
      </c>
      <c r="AF212" s="859"/>
      <c r="AG212" s="858"/>
      <c r="AH212" s="859"/>
    </row>
    <row r="213" spans="1:34">
      <c r="A213" s="882" t="s">
        <v>172</v>
      </c>
      <c r="B213" s="240" t="s">
        <v>53</v>
      </c>
      <c r="C213" s="806">
        <f>IF(S$218&gt;0,(S213/S$218),0)</f>
        <v>0.32875104777870912</v>
      </c>
      <c r="D213" s="806">
        <f t="shared" ref="D213:M218" si="123">IF(T$218&gt;0,(T213/T$218),0)</f>
        <v>0.25228336787167088</v>
      </c>
      <c r="E213" s="806">
        <f t="shared" si="123"/>
        <v>0.27541138493032047</v>
      </c>
      <c r="F213" s="806">
        <f t="shared" si="123"/>
        <v>0.27537848605577692</v>
      </c>
      <c r="G213" s="806">
        <f t="shared" si="123"/>
        <v>0.30616205725376033</v>
      </c>
      <c r="H213" s="806">
        <f t="shared" si="123"/>
        <v>0.16968541468064824</v>
      </c>
      <c r="I213" s="613">
        <f t="shared" si="123"/>
        <v>0.29741203018122842</v>
      </c>
      <c r="J213" s="613">
        <f t="shared" si="123"/>
        <v>0</v>
      </c>
      <c r="K213" s="614">
        <f t="shared" si="123"/>
        <v>0</v>
      </c>
      <c r="L213" s="614">
        <f t="shared" si="123"/>
        <v>0</v>
      </c>
      <c r="M213" s="614">
        <f t="shared" si="123"/>
        <v>0</v>
      </c>
      <c r="N213" s="613">
        <f>IF(AE$218&gt;0,(AE213/AE$218),0)</f>
        <v>0.16602580984988149</v>
      </c>
      <c r="O213" s="613">
        <f t="shared" ref="O213:Q218" si="124">IF(AF$218&gt;0,(AF213/AF$218),0)</f>
        <v>0</v>
      </c>
      <c r="P213" s="615">
        <f t="shared" si="124"/>
        <v>0</v>
      </c>
      <c r="Q213" s="613">
        <f t="shared" si="124"/>
        <v>0.10130668716372021</v>
      </c>
      <c r="R213" s="799"/>
      <c r="S213" s="860">
        <f>S219+S225+S231+S237+S243+S249+S255+S261+S267+S273+S279+S285</f>
        <v>11766</v>
      </c>
      <c r="T213" s="860">
        <f t="shared" ref="T213:AH218" si="125">T219+T225+T231+T237+T243+T249+T255+T261+T267+T273+T279+T285</f>
        <v>3287</v>
      </c>
      <c r="U213" s="860">
        <f t="shared" si="125"/>
        <v>3498</v>
      </c>
      <c r="V213" s="860">
        <f t="shared" si="125"/>
        <v>1728</v>
      </c>
      <c r="W213" s="860">
        <f t="shared" si="125"/>
        <v>631</v>
      </c>
      <c r="X213" s="860">
        <f t="shared" si="125"/>
        <v>178</v>
      </c>
      <c r="Y213" s="861">
        <f t="shared" si="125"/>
        <v>21088</v>
      </c>
      <c r="Z213" s="861">
        <f t="shared" si="125"/>
        <v>0</v>
      </c>
      <c r="AA213" s="860">
        <f t="shared" si="125"/>
        <v>0</v>
      </c>
      <c r="AB213" s="860">
        <f t="shared" si="125"/>
        <v>0</v>
      </c>
      <c r="AC213" s="860">
        <f t="shared" si="125"/>
        <v>0</v>
      </c>
      <c r="AD213" s="860">
        <f t="shared" si="125"/>
        <v>0</v>
      </c>
      <c r="AE213" s="861">
        <f t="shared" si="125"/>
        <v>3152</v>
      </c>
      <c r="AF213" s="861">
        <f t="shared" si="125"/>
        <v>0</v>
      </c>
      <c r="AG213" s="860">
        <f t="shared" si="125"/>
        <v>0</v>
      </c>
      <c r="AH213" s="861">
        <f t="shared" si="125"/>
        <v>659</v>
      </c>
    </row>
    <row r="214" spans="1:34">
      <c r="A214" s="883"/>
      <c r="B214" s="239" t="s">
        <v>93</v>
      </c>
      <c r="C214" s="806">
        <f t="shared" ref="C214:C218" si="126">IF(S$218&gt;0,(S214/S$218),0)</f>
        <v>0.25898295613299804</v>
      </c>
      <c r="D214" s="806">
        <f t="shared" si="123"/>
        <v>0.28628444239772816</v>
      </c>
      <c r="E214" s="806">
        <f t="shared" si="123"/>
        <v>0.27501771514054013</v>
      </c>
      <c r="F214" s="806">
        <f t="shared" si="123"/>
        <v>0.24031872509960159</v>
      </c>
      <c r="G214" s="806">
        <f t="shared" si="123"/>
        <v>0.24163027656477437</v>
      </c>
      <c r="H214" s="806">
        <f t="shared" si="123"/>
        <v>0.25643469971401334</v>
      </c>
      <c r="I214" s="624">
        <f t="shared" si="123"/>
        <v>0.26467809040265144</v>
      </c>
      <c r="J214" s="624">
        <f t="shared" si="123"/>
        <v>0</v>
      </c>
      <c r="K214" s="625">
        <f t="shared" si="123"/>
        <v>0</v>
      </c>
      <c r="L214" s="625">
        <f t="shared" si="123"/>
        <v>0</v>
      </c>
      <c r="M214" s="625">
        <f t="shared" si="123"/>
        <v>0</v>
      </c>
      <c r="N214" s="624">
        <f t="shared" ref="N214:N218" si="127">IF(AE$218&gt;0,(AE214/AE$218),0)</f>
        <v>0.12430866473531736</v>
      </c>
      <c r="O214" s="624">
        <f t="shared" si="124"/>
        <v>0</v>
      </c>
      <c r="P214" s="626">
        <f t="shared" si="124"/>
        <v>0</v>
      </c>
      <c r="Q214" s="624">
        <f t="shared" si="124"/>
        <v>5.764796310530361E-2</v>
      </c>
      <c r="R214" s="357"/>
      <c r="S214" s="862">
        <f t="shared" ref="S214:AE218" si="128">S220+S226+S232+S238+S244+S250+S256+S262+S268+S274+S280+S286</f>
        <v>9269</v>
      </c>
      <c r="T214" s="862">
        <f t="shared" si="128"/>
        <v>3730</v>
      </c>
      <c r="U214" s="862">
        <f t="shared" si="128"/>
        <v>3493</v>
      </c>
      <c r="V214" s="862">
        <f t="shared" si="128"/>
        <v>1508</v>
      </c>
      <c r="W214" s="862">
        <f t="shared" si="128"/>
        <v>498</v>
      </c>
      <c r="X214" s="862">
        <f t="shared" si="128"/>
        <v>269</v>
      </c>
      <c r="Y214" s="863">
        <f t="shared" si="128"/>
        <v>18767</v>
      </c>
      <c r="Z214" s="863">
        <f t="shared" si="128"/>
        <v>0</v>
      </c>
      <c r="AA214" s="862">
        <f t="shared" si="128"/>
        <v>0</v>
      </c>
      <c r="AB214" s="862">
        <f t="shared" si="128"/>
        <v>0</v>
      </c>
      <c r="AC214" s="862">
        <f t="shared" si="128"/>
        <v>0</v>
      </c>
      <c r="AD214" s="862">
        <f t="shared" si="128"/>
        <v>0</v>
      </c>
      <c r="AE214" s="863">
        <f t="shared" si="128"/>
        <v>2360</v>
      </c>
      <c r="AF214" s="863">
        <f t="shared" si="125"/>
        <v>0</v>
      </c>
      <c r="AG214" s="862">
        <f t="shared" si="125"/>
        <v>0</v>
      </c>
      <c r="AH214" s="863">
        <f t="shared" si="125"/>
        <v>375</v>
      </c>
    </row>
    <row r="215" spans="1:34">
      <c r="A215" s="883"/>
      <c r="B215" s="239" t="s">
        <v>55</v>
      </c>
      <c r="C215" s="806">
        <f t="shared" si="126"/>
        <v>0.22841575859178542</v>
      </c>
      <c r="D215" s="806">
        <f t="shared" si="123"/>
        <v>0.23670274004144601</v>
      </c>
      <c r="E215" s="806">
        <f t="shared" si="123"/>
        <v>0.23596567199433116</v>
      </c>
      <c r="F215" s="806">
        <f t="shared" si="123"/>
        <v>0.30199203187250995</v>
      </c>
      <c r="G215" s="806">
        <f t="shared" si="123"/>
        <v>0.29694323144104806</v>
      </c>
      <c r="H215" s="806">
        <f t="shared" si="123"/>
        <v>0.35176358436606292</v>
      </c>
      <c r="I215" s="624">
        <f t="shared" si="123"/>
        <v>0.24161906776673014</v>
      </c>
      <c r="J215" s="624">
        <f t="shared" si="123"/>
        <v>0</v>
      </c>
      <c r="K215" s="625">
        <f t="shared" si="123"/>
        <v>0</v>
      </c>
      <c r="L215" s="625">
        <f t="shared" si="123"/>
        <v>0</v>
      </c>
      <c r="M215" s="625">
        <f t="shared" si="123"/>
        <v>0</v>
      </c>
      <c r="N215" s="624">
        <f t="shared" si="127"/>
        <v>0.14079536476165394</v>
      </c>
      <c r="O215" s="624">
        <f t="shared" si="124"/>
        <v>0</v>
      </c>
      <c r="P215" s="626">
        <f t="shared" si="124"/>
        <v>0</v>
      </c>
      <c r="Q215" s="624">
        <f t="shared" si="124"/>
        <v>6.1952344350499615E-2</v>
      </c>
      <c r="R215" s="357"/>
      <c r="S215" s="862">
        <f t="shared" si="128"/>
        <v>8175</v>
      </c>
      <c r="T215" s="862">
        <f t="shared" si="128"/>
        <v>3084</v>
      </c>
      <c r="U215" s="862">
        <f t="shared" si="128"/>
        <v>2997</v>
      </c>
      <c r="V215" s="862">
        <f t="shared" si="128"/>
        <v>1895</v>
      </c>
      <c r="W215" s="862">
        <f t="shared" si="128"/>
        <v>612</v>
      </c>
      <c r="X215" s="862">
        <f t="shared" si="128"/>
        <v>369</v>
      </c>
      <c r="Y215" s="863">
        <f t="shared" si="128"/>
        <v>17132</v>
      </c>
      <c r="Z215" s="863">
        <f t="shared" si="128"/>
        <v>0</v>
      </c>
      <c r="AA215" s="862">
        <f t="shared" si="128"/>
        <v>0</v>
      </c>
      <c r="AB215" s="862">
        <f t="shared" si="128"/>
        <v>0</v>
      </c>
      <c r="AC215" s="862">
        <f t="shared" si="128"/>
        <v>0</v>
      </c>
      <c r="AD215" s="862">
        <f t="shared" si="128"/>
        <v>0</v>
      </c>
      <c r="AE215" s="863">
        <f t="shared" si="128"/>
        <v>2673</v>
      </c>
      <c r="AF215" s="863">
        <f t="shared" si="125"/>
        <v>0</v>
      </c>
      <c r="AG215" s="862">
        <f t="shared" si="125"/>
        <v>0</v>
      </c>
      <c r="AH215" s="863">
        <f t="shared" si="125"/>
        <v>403</v>
      </c>
    </row>
    <row r="216" spans="1:34">
      <c r="A216" s="883"/>
      <c r="B216" s="239" t="s">
        <v>78</v>
      </c>
      <c r="C216" s="806">
        <f t="shared" si="126"/>
        <v>2.9337803855825649E-2</v>
      </c>
      <c r="D216" s="806">
        <f t="shared" si="123"/>
        <v>8.5578325274387898E-2</v>
      </c>
      <c r="E216" s="806">
        <f t="shared" si="123"/>
        <v>0.12172269900007873</v>
      </c>
      <c r="F216" s="806">
        <f t="shared" si="123"/>
        <v>3.7609561752988047E-2</v>
      </c>
      <c r="G216" s="806">
        <f t="shared" si="123"/>
        <v>5.8224163027656477E-2</v>
      </c>
      <c r="H216" s="806">
        <f t="shared" si="123"/>
        <v>6.2917063870352716E-2</v>
      </c>
      <c r="I216" s="624">
        <f t="shared" si="123"/>
        <v>5.8289260277836541E-2</v>
      </c>
      <c r="J216" s="624">
        <f t="shared" si="123"/>
        <v>0</v>
      </c>
      <c r="K216" s="625">
        <f t="shared" si="123"/>
        <v>0</v>
      </c>
      <c r="L216" s="625">
        <f t="shared" si="123"/>
        <v>0</v>
      </c>
      <c r="M216" s="625">
        <f t="shared" si="123"/>
        <v>0</v>
      </c>
      <c r="N216" s="624">
        <f t="shared" si="127"/>
        <v>0.31530155385830921</v>
      </c>
      <c r="O216" s="624">
        <f t="shared" si="124"/>
        <v>0</v>
      </c>
      <c r="P216" s="626">
        <f t="shared" si="124"/>
        <v>0</v>
      </c>
      <c r="Q216" s="624">
        <f t="shared" si="124"/>
        <v>0.65626441199077634</v>
      </c>
      <c r="R216" s="357"/>
      <c r="S216" s="862">
        <f t="shared" si="128"/>
        <v>1050</v>
      </c>
      <c r="T216" s="862">
        <f t="shared" si="128"/>
        <v>1115</v>
      </c>
      <c r="U216" s="862">
        <f t="shared" si="128"/>
        <v>1546</v>
      </c>
      <c r="V216" s="862">
        <f t="shared" si="128"/>
        <v>236</v>
      </c>
      <c r="W216" s="862">
        <f t="shared" si="128"/>
        <v>120</v>
      </c>
      <c r="X216" s="862">
        <f t="shared" si="128"/>
        <v>66</v>
      </c>
      <c r="Y216" s="863">
        <f t="shared" si="128"/>
        <v>4133</v>
      </c>
      <c r="Z216" s="863">
        <f t="shared" si="128"/>
        <v>0</v>
      </c>
      <c r="AA216" s="862">
        <f t="shared" si="128"/>
        <v>0</v>
      </c>
      <c r="AB216" s="862">
        <f t="shared" si="128"/>
        <v>0</v>
      </c>
      <c r="AC216" s="862">
        <f t="shared" si="128"/>
        <v>0</v>
      </c>
      <c r="AD216" s="862">
        <f t="shared" si="128"/>
        <v>0</v>
      </c>
      <c r="AE216" s="863">
        <f t="shared" si="128"/>
        <v>5986</v>
      </c>
      <c r="AF216" s="863">
        <f t="shared" si="125"/>
        <v>0</v>
      </c>
      <c r="AG216" s="862">
        <f t="shared" si="125"/>
        <v>0</v>
      </c>
      <c r="AH216" s="863">
        <f t="shared" si="125"/>
        <v>4269</v>
      </c>
    </row>
    <row r="217" spans="1:34">
      <c r="A217" s="884"/>
      <c r="B217" s="580" t="s">
        <v>131</v>
      </c>
      <c r="C217" s="806">
        <f t="shared" si="126"/>
        <v>0.15451243364068176</v>
      </c>
      <c r="D217" s="806">
        <f t="shared" si="123"/>
        <v>0.13915112441476707</v>
      </c>
      <c r="E217" s="806">
        <f t="shared" si="123"/>
        <v>9.1882528934729549E-2</v>
      </c>
      <c r="F217" s="806">
        <f t="shared" si="123"/>
        <v>0.1447011952191235</v>
      </c>
      <c r="G217" s="806">
        <f t="shared" si="123"/>
        <v>9.7040271712760792E-2</v>
      </c>
      <c r="H217" s="806">
        <f t="shared" si="123"/>
        <v>0.15919923736892277</v>
      </c>
      <c r="I217" s="624">
        <f t="shared" si="123"/>
        <v>0.13800155137155348</v>
      </c>
      <c r="J217" s="624">
        <f t="shared" si="123"/>
        <v>0</v>
      </c>
      <c r="K217" s="625">
        <f t="shared" si="123"/>
        <v>0</v>
      </c>
      <c r="L217" s="625">
        <f t="shared" si="123"/>
        <v>0</v>
      </c>
      <c r="M217" s="625">
        <f t="shared" si="123"/>
        <v>0</v>
      </c>
      <c r="N217" s="624">
        <f t="shared" si="127"/>
        <v>0.253568606794838</v>
      </c>
      <c r="O217" s="624">
        <f t="shared" si="124"/>
        <v>0</v>
      </c>
      <c r="P217" s="626">
        <f t="shared" si="124"/>
        <v>0</v>
      </c>
      <c r="Q217" s="624">
        <f t="shared" si="124"/>
        <v>0.12282859338970023</v>
      </c>
      <c r="R217" s="357"/>
      <c r="S217" s="862">
        <f t="shared" si="128"/>
        <v>5530</v>
      </c>
      <c r="T217" s="862">
        <f t="shared" si="128"/>
        <v>1813</v>
      </c>
      <c r="U217" s="862">
        <f t="shared" si="128"/>
        <v>1167</v>
      </c>
      <c r="V217" s="862">
        <f t="shared" si="128"/>
        <v>908</v>
      </c>
      <c r="W217" s="862">
        <f t="shared" si="128"/>
        <v>200</v>
      </c>
      <c r="X217" s="862">
        <f t="shared" si="128"/>
        <v>167</v>
      </c>
      <c r="Y217" s="863">
        <f t="shared" si="128"/>
        <v>9785</v>
      </c>
      <c r="Z217" s="863">
        <f t="shared" si="128"/>
        <v>0</v>
      </c>
      <c r="AA217" s="862">
        <f t="shared" si="128"/>
        <v>0</v>
      </c>
      <c r="AB217" s="862">
        <f t="shared" si="128"/>
        <v>0</v>
      </c>
      <c r="AC217" s="862">
        <f t="shared" si="128"/>
        <v>0</v>
      </c>
      <c r="AD217" s="862">
        <f t="shared" si="128"/>
        <v>0</v>
      </c>
      <c r="AE217" s="863">
        <f t="shared" si="128"/>
        <v>4814</v>
      </c>
      <c r="AF217" s="863">
        <f t="shared" si="125"/>
        <v>0</v>
      </c>
      <c r="AG217" s="862">
        <f t="shared" si="125"/>
        <v>0</v>
      </c>
      <c r="AH217" s="863">
        <f t="shared" si="125"/>
        <v>799</v>
      </c>
    </row>
    <row r="218" spans="1:34">
      <c r="A218" s="885" t="s">
        <v>86</v>
      </c>
      <c r="B218" s="436" t="s">
        <v>59</v>
      </c>
      <c r="C218" s="807">
        <f t="shared" si="126"/>
        <v>1</v>
      </c>
      <c r="D218" s="808">
        <f t="shared" si="123"/>
        <v>1</v>
      </c>
      <c r="E218" s="808">
        <f t="shared" si="123"/>
        <v>1</v>
      </c>
      <c r="F218" s="808">
        <f t="shared" si="123"/>
        <v>1</v>
      </c>
      <c r="G218" s="808">
        <f t="shared" si="123"/>
        <v>1</v>
      </c>
      <c r="H218" s="809">
        <f t="shared" si="123"/>
        <v>1</v>
      </c>
      <c r="I218" s="577">
        <f t="shared" si="123"/>
        <v>1</v>
      </c>
      <c r="J218" s="577">
        <f t="shared" si="123"/>
        <v>0</v>
      </c>
      <c r="K218" s="578">
        <f t="shared" si="123"/>
        <v>0</v>
      </c>
      <c r="L218" s="578">
        <f t="shared" si="123"/>
        <v>0</v>
      </c>
      <c r="M218" s="578">
        <f t="shared" si="123"/>
        <v>0</v>
      </c>
      <c r="N218" s="577">
        <f t="shared" si="127"/>
        <v>1</v>
      </c>
      <c r="O218" s="577">
        <f t="shared" si="124"/>
        <v>0</v>
      </c>
      <c r="P218" s="579">
        <f t="shared" si="124"/>
        <v>0</v>
      </c>
      <c r="Q218" s="577">
        <f t="shared" si="124"/>
        <v>1</v>
      </c>
      <c r="R218" s="357"/>
      <c r="S218" s="862">
        <f t="shared" si="128"/>
        <v>35790</v>
      </c>
      <c r="T218" s="862">
        <f t="shared" si="128"/>
        <v>13029</v>
      </c>
      <c r="U218" s="862">
        <f t="shared" si="128"/>
        <v>12701</v>
      </c>
      <c r="V218" s="862">
        <f t="shared" si="128"/>
        <v>6275</v>
      </c>
      <c r="W218" s="862">
        <f t="shared" si="128"/>
        <v>2061</v>
      </c>
      <c r="X218" s="862">
        <f t="shared" si="128"/>
        <v>1049</v>
      </c>
      <c r="Y218" s="863">
        <f t="shared" si="128"/>
        <v>70905</v>
      </c>
      <c r="Z218" s="863">
        <f t="shared" si="128"/>
        <v>0</v>
      </c>
      <c r="AA218" s="862">
        <f t="shared" si="128"/>
        <v>0</v>
      </c>
      <c r="AB218" s="862">
        <f t="shared" si="128"/>
        <v>0</v>
      </c>
      <c r="AC218" s="862">
        <f t="shared" si="128"/>
        <v>0</v>
      </c>
      <c r="AD218" s="862">
        <f t="shared" si="128"/>
        <v>0</v>
      </c>
      <c r="AE218" s="863">
        <f t="shared" si="128"/>
        <v>18985</v>
      </c>
      <c r="AF218" s="863">
        <f t="shared" si="125"/>
        <v>0</v>
      </c>
      <c r="AG218" s="862">
        <f t="shared" si="125"/>
        <v>0</v>
      </c>
      <c r="AH218" s="863">
        <f t="shared" si="125"/>
        <v>6505</v>
      </c>
    </row>
    <row r="219" spans="1:34">
      <c r="A219" s="882" t="s">
        <v>144</v>
      </c>
      <c r="B219" s="240" t="s">
        <v>53</v>
      </c>
      <c r="C219" s="806">
        <f>IF(S$224&gt;0,(S219/S$224),0)</f>
        <v>0.29772209567198177</v>
      </c>
      <c r="D219" s="806">
        <f t="shared" ref="D219:M224" si="129">IF(T$224&gt;0,(T219/T$224),0)</f>
        <v>0.24854481955762514</v>
      </c>
      <c r="E219" s="806">
        <f t="shared" si="129"/>
        <v>0.24340175953079179</v>
      </c>
      <c r="F219" s="806">
        <f t="shared" si="129"/>
        <v>0</v>
      </c>
      <c r="G219" s="806">
        <f t="shared" si="129"/>
        <v>0</v>
      </c>
      <c r="H219" s="806">
        <f t="shared" si="129"/>
        <v>0</v>
      </c>
      <c r="I219" s="613">
        <f t="shared" si="129"/>
        <v>0.27138976912630147</v>
      </c>
      <c r="J219" s="613">
        <f t="shared" si="129"/>
        <v>0</v>
      </c>
      <c r="K219" s="614">
        <f t="shared" si="129"/>
        <v>0</v>
      </c>
      <c r="L219" s="614">
        <f t="shared" si="129"/>
        <v>0</v>
      </c>
      <c r="M219" s="614">
        <f t="shared" si="129"/>
        <v>0</v>
      </c>
      <c r="N219" s="613">
        <f>IF(AE$224&gt;0,(AE219/AE$224),0)</f>
        <v>0.26733025239957342</v>
      </c>
      <c r="O219" s="613">
        <f t="shared" ref="O219:Q224" si="130">IF(AF$224&gt;0,(AF219/AF$224),0)</f>
        <v>0</v>
      </c>
      <c r="P219" s="615">
        <f t="shared" si="130"/>
        <v>0</v>
      </c>
      <c r="Q219" s="613">
        <f t="shared" si="130"/>
        <v>0.27519582245430807</v>
      </c>
      <c r="R219" s="799"/>
      <c r="S219" s="856">
        <v>1307</v>
      </c>
      <c r="T219" s="856">
        <v>427</v>
      </c>
      <c r="U219" s="856">
        <v>664</v>
      </c>
      <c r="V219" s="856"/>
      <c r="W219" s="856"/>
      <c r="X219" s="856"/>
      <c r="Y219" s="857">
        <v>2398</v>
      </c>
      <c r="Z219" s="857"/>
      <c r="AA219" s="856"/>
      <c r="AB219" s="856"/>
      <c r="AC219" s="856"/>
      <c r="AD219" s="856"/>
      <c r="AE219" s="857">
        <v>752</v>
      </c>
      <c r="AF219" s="857"/>
      <c r="AG219" s="856"/>
      <c r="AH219" s="857">
        <v>527</v>
      </c>
    </row>
    <row r="220" spans="1:34">
      <c r="A220" s="883"/>
      <c r="B220" s="239" t="s">
        <v>93</v>
      </c>
      <c r="C220" s="806">
        <f t="shared" ref="C220:C224" si="131">IF(S$224&gt;0,(S220/S$224),0)</f>
        <v>0.25375854214123006</v>
      </c>
      <c r="D220" s="806">
        <f t="shared" si="129"/>
        <v>0.320139697322468</v>
      </c>
      <c r="E220" s="806">
        <f t="shared" si="129"/>
        <v>0.29838709677419356</v>
      </c>
      <c r="F220" s="806">
        <f t="shared" si="129"/>
        <v>0</v>
      </c>
      <c r="G220" s="806">
        <f t="shared" si="129"/>
        <v>0</v>
      </c>
      <c r="H220" s="806">
        <f t="shared" si="129"/>
        <v>0</v>
      </c>
      <c r="I220" s="624">
        <f t="shared" si="129"/>
        <v>0.28044363965595293</v>
      </c>
      <c r="J220" s="624">
        <f t="shared" si="129"/>
        <v>0</v>
      </c>
      <c r="K220" s="625">
        <f t="shared" si="129"/>
        <v>0</v>
      </c>
      <c r="L220" s="625">
        <f t="shared" si="129"/>
        <v>0</v>
      </c>
      <c r="M220" s="625">
        <f t="shared" si="129"/>
        <v>0</v>
      </c>
      <c r="N220" s="624">
        <f t="shared" ref="N220:N224" si="132">IF(AE$224&gt;0,(AE220/AE$224),0)</f>
        <v>0.1578386064699609</v>
      </c>
      <c r="O220" s="624">
        <f t="shared" si="130"/>
        <v>0</v>
      </c>
      <c r="P220" s="626">
        <f t="shared" si="130"/>
        <v>0</v>
      </c>
      <c r="Q220" s="624">
        <f t="shared" si="130"/>
        <v>0.1639686684073107</v>
      </c>
      <c r="R220" s="357"/>
      <c r="S220" s="858">
        <v>1114</v>
      </c>
      <c r="T220" s="858">
        <v>550</v>
      </c>
      <c r="U220" s="858">
        <v>814</v>
      </c>
      <c r="V220" s="858"/>
      <c r="W220" s="858"/>
      <c r="X220" s="858"/>
      <c r="Y220" s="859">
        <v>2478</v>
      </c>
      <c r="Z220" s="859"/>
      <c r="AA220" s="858"/>
      <c r="AB220" s="858"/>
      <c r="AC220" s="858"/>
      <c r="AD220" s="858"/>
      <c r="AE220" s="859">
        <v>444</v>
      </c>
      <c r="AF220" s="859"/>
      <c r="AG220" s="858"/>
      <c r="AH220" s="859">
        <v>314</v>
      </c>
    </row>
    <row r="221" spans="1:34">
      <c r="A221" s="883"/>
      <c r="B221" s="239" t="s">
        <v>55</v>
      </c>
      <c r="C221" s="806">
        <f t="shared" si="131"/>
        <v>0.27015945330296126</v>
      </c>
      <c r="D221" s="806">
        <f t="shared" si="129"/>
        <v>0.21187427240977882</v>
      </c>
      <c r="E221" s="806">
        <f t="shared" si="129"/>
        <v>0.22800586510263929</v>
      </c>
      <c r="F221" s="806">
        <f t="shared" si="129"/>
        <v>0</v>
      </c>
      <c r="G221" s="806">
        <f t="shared" si="129"/>
        <v>0</v>
      </c>
      <c r="H221" s="806">
        <f t="shared" si="129"/>
        <v>0</v>
      </c>
      <c r="I221" s="624">
        <f t="shared" si="129"/>
        <v>0.24581258488003621</v>
      </c>
      <c r="J221" s="624">
        <f t="shared" si="129"/>
        <v>0</v>
      </c>
      <c r="K221" s="625">
        <f t="shared" si="129"/>
        <v>0</v>
      </c>
      <c r="L221" s="625">
        <f t="shared" si="129"/>
        <v>0</v>
      </c>
      <c r="M221" s="625">
        <f t="shared" si="129"/>
        <v>0</v>
      </c>
      <c r="N221" s="624">
        <f t="shared" si="132"/>
        <v>0.14219694276573053</v>
      </c>
      <c r="O221" s="624">
        <f t="shared" si="130"/>
        <v>0</v>
      </c>
      <c r="P221" s="626">
        <f t="shared" si="130"/>
        <v>0</v>
      </c>
      <c r="Q221" s="624">
        <f t="shared" si="130"/>
        <v>0.16866840731070495</v>
      </c>
      <c r="R221" s="357"/>
      <c r="S221" s="858">
        <v>1186</v>
      </c>
      <c r="T221" s="858">
        <v>364</v>
      </c>
      <c r="U221" s="858">
        <v>622</v>
      </c>
      <c r="V221" s="858"/>
      <c r="W221" s="858"/>
      <c r="X221" s="858"/>
      <c r="Y221" s="859">
        <v>2172</v>
      </c>
      <c r="Z221" s="859"/>
      <c r="AA221" s="858"/>
      <c r="AB221" s="858"/>
      <c r="AC221" s="858"/>
      <c r="AD221" s="858"/>
      <c r="AE221" s="859">
        <v>400</v>
      </c>
      <c r="AF221" s="859"/>
      <c r="AG221" s="858"/>
      <c r="AH221" s="859">
        <v>323</v>
      </c>
    </row>
    <row r="222" spans="1:34">
      <c r="A222" s="883"/>
      <c r="B222" s="239" t="s">
        <v>78</v>
      </c>
      <c r="C222" s="806">
        <f t="shared" si="131"/>
        <v>5.4897494305239179E-2</v>
      </c>
      <c r="D222" s="806">
        <f t="shared" si="129"/>
        <v>9.662398137369034E-2</v>
      </c>
      <c r="E222" s="806">
        <f t="shared" si="129"/>
        <v>0.17558651026392963</v>
      </c>
      <c r="F222" s="806">
        <f t="shared" si="129"/>
        <v>0</v>
      </c>
      <c r="G222" s="806">
        <f t="shared" si="129"/>
        <v>0</v>
      </c>
      <c r="H222" s="806">
        <f t="shared" si="129"/>
        <v>0</v>
      </c>
      <c r="I222" s="624">
        <f t="shared" si="129"/>
        <v>0.10027161611588954</v>
      </c>
      <c r="J222" s="624">
        <f t="shared" si="129"/>
        <v>0</v>
      </c>
      <c r="K222" s="625">
        <f t="shared" si="129"/>
        <v>0</v>
      </c>
      <c r="L222" s="625">
        <f t="shared" si="129"/>
        <v>0</v>
      </c>
      <c r="M222" s="625">
        <f t="shared" si="129"/>
        <v>0</v>
      </c>
      <c r="N222" s="624">
        <f t="shared" si="132"/>
        <v>0.16281549946676147</v>
      </c>
      <c r="O222" s="624">
        <f t="shared" si="130"/>
        <v>0</v>
      </c>
      <c r="P222" s="626">
        <f t="shared" si="130"/>
        <v>0</v>
      </c>
      <c r="Q222" s="624">
        <f t="shared" si="130"/>
        <v>0.32898172323759789</v>
      </c>
      <c r="R222" s="357"/>
      <c r="S222" s="858">
        <v>241</v>
      </c>
      <c r="T222" s="858">
        <v>166</v>
      </c>
      <c r="U222" s="858">
        <v>479</v>
      </c>
      <c r="V222" s="858"/>
      <c r="W222" s="858"/>
      <c r="X222" s="858"/>
      <c r="Y222" s="859">
        <v>886</v>
      </c>
      <c r="Z222" s="859"/>
      <c r="AA222" s="858"/>
      <c r="AB222" s="858"/>
      <c r="AC222" s="858"/>
      <c r="AD222" s="858"/>
      <c r="AE222" s="859">
        <v>458</v>
      </c>
      <c r="AF222" s="859"/>
      <c r="AG222" s="858"/>
      <c r="AH222" s="859">
        <v>630</v>
      </c>
    </row>
    <row r="223" spans="1:34">
      <c r="A223" s="884"/>
      <c r="B223" s="580" t="s">
        <v>131</v>
      </c>
      <c r="C223" s="806">
        <f t="shared" si="131"/>
        <v>0.1234624145785877</v>
      </c>
      <c r="D223" s="806">
        <f t="shared" si="129"/>
        <v>0.12281722933643772</v>
      </c>
      <c r="E223" s="806">
        <f t="shared" si="129"/>
        <v>5.4618768328445748E-2</v>
      </c>
      <c r="F223" s="806">
        <f t="shared" si="129"/>
        <v>0</v>
      </c>
      <c r="G223" s="806">
        <f t="shared" si="129"/>
        <v>0</v>
      </c>
      <c r="H223" s="806">
        <f t="shared" si="129"/>
        <v>0</v>
      </c>
      <c r="I223" s="624">
        <f t="shared" si="129"/>
        <v>0.10208239022181982</v>
      </c>
      <c r="J223" s="624">
        <f t="shared" si="129"/>
        <v>0</v>
      </c>
      <c r="K223" s="625">
        <f t="shared" si="129"/>
        <v>0</v>
      </c>
      <c r="L223" s="625">
        <f t="shared" si="129"/>
        <v>0</v>
      </c>
      <c r="M223" s="625">
        <f t="shared" si="129"/>
        <v>0</v>
      </c>
      <c r="N223" s="624">
        <f t="shared" si="132"/>
        <v>0.26981869889797372</v>
      </c>
      <c r="O223" s="624">
        <f t="shared" si="130"/>
        <v>0</v>
      </c>
      <c r="P223" s="626">
        <f t="shared" si="130"/>
        <v>0</v>
      </c>
      <c r="Q223" s="624">
        <f t="shared" si="130"/>
        <v>6.3185378590078334E-2</v>
      </c>
      <c r="R223" s="357"/>
      <c r="S223" s="858">
        <f>484+58</f>
        <v>542</v>
      </c>
      <c r="T223" s="858">
        <f>183+28</f>
        <v>211</v>
      </c>
      <c r="U223" s="858">
        <f>139+10</f>
        <v>149</v>
      </c>
      <c r="V223" s="858"/>
      <c r="W223" s="858"/>
      <c r="X223" s="858"/>
      <c r="Y223" s="859">
        <f>806+96</f>
        <v>902</v>
      </c>
      <c r="Z223" s="859"/>
      <c r="AA223" s="858"/>
      <c r="AB223" s="858"/>
      <c r="AC223" s="858"/>
      <c r="AD223" s="858"/>
      <c r="AE223" s="859">
        <v>759</v>
      </c>
      <c r="AF223" s="859"/>
      <c r="AG223" s="858"/>
      <c r="AH223" s="859">
        <v>121</v>
      </c>
    </row>
    <row r="224" spans="1:34">
      <c r="A224" s="885"/>
      <c r="B224" s="436" t="s">
        <v>59</v>
      </c>
      <c r="C224" s="807">
        <f t="shared" si="131"/>
        <v>1</v>
      </c>
      <c r="D224" s="808">
        <f t="shared" si="129"/>
        <v>1</v>
      </c>
      <c r="E224" s="808">
        <f t="shared" si="129"/>
        <v>1</v>
      </c>
      <c r="F224" s="808">
        <f t="shared" si="129"/>
        <v>0</v>
      </c>
      <c r="G224" s="808">
        <f t="shared" si="129"/>
        <v>0</v>
      </c>
      <c r="H224" s="809">
        <f t="shared" si="129"/>
        <v>0</v>
      </c>
      <c r="I224" s="577">
        <f t="shared" si="129"/>
        <v>1</v>
      </c>
      <c r="J224" s="577">
        <f t="shared" si="129"/>
        <v>0</v>
      </c>
      <c r="K224" s="578">
        <f t="shared" si="129"/>
        <v>0</v>
      </c>
      <c r="L224" s="578">
        <f t="shared" si="129"/>
        <v>0</v>
      </c>
      <c r="M224" s="578">
        <f t="shared" si="129"/>
        <v>0</v>
      </c>
      <c r="N224" s="577">
        <f t="shared" si="132"/>
        <v>1</v>
      </c>
      <c r="O224" s="577">
        <f t="shared" si="130"/>
        <v>0</v>
      </c>
      <c r="P224" s="579">
        <f t="shared" si="130"/>
        <v>0</v>
      </c>
      <c r="Q224" s="577">
        <f t="shared" si="130"/>
        <v>1</v>
      </c>
      <c r="R224" s="357"/>
      <c r="S224" s="858">
        <v>4390</v>
      </c>
      <c r="T224" s="858">
        <v>1718</v>
      </c>
      <c r="U224" s="858">
        <v>2728</v>
      </c>
      <c r="V224" s="858"/>
      <c r="W224" s="858"/>
      <c r="X224" s="858"/>
      <c r="Y224" s="859">
        <v>8836</v>
      </c>
      <c r="Z224" s="859"/>
      <c r="AA224" s="858"/>
      <c r="AB224" s="858"/>
      <c r="AC224" s="858"/>
      <c r="AD224" s="858"/>
      <c r="AE224" s="859">
        <v>2813</v>
      </c>
      <c r="AF224" s="859"/>
      <c r="AG224" s="858"/>
      <c r="AH224" s="859">
        <v>1915</v>
      </c>
    </row>
    <row r="225" spans="1:34">
      <c r="A225" s="882" t="s">
        <v>145</v>
      </c>
      <c r="B225" s="240" t="s">
        <v>53</v>
      </c>
      <c r="C225" s="806">
        <f>IF(S$230&gt;0,(S225/S$230),0)</f>
        <v>0.36743479361863762</v>
      </c>
      <c r="D225" s="806">
        <f t="shared" ref="D225:M230" si="133">IF(T$230&gt;0,(T225/T$230),0)</f>
        <v>0.22275834338560516</v>
      </c>
      <c r="E225" s="806">
        <f t="shared" si="133"/>
        <v>0.20912547528517111</v>
      </c>
      <c r="F225" s="806">
        <f t="shared" si="133"/>
        <v>0.15283267457180499</v>
      </c>
      <c r="G225" s="806">
        <f t="shared" si="133"/>
        <v>0.21890547263681592</v>
      </c>
      <c r="H225" s="806">
        <f t="shared" si="133"/>
        <v>0.10248447204968944</v>
      </c>
      <c r="I225" s="613">
        <f t="shared" si="133"/>
        <v>0.27996118389131491</v>
      </c>
      <c r="J225" s="613">
        <f t="shared" si="133"/>
        <v>0</v>
      </c>
      <c r="K225" s="614">
        <f t="shared" si="133"/>
        <v>0</v>
      </c>
      <c r="L225" s="614">
        <f t="shared" si="133"/>
        <v>0</v>
      </c>
      <c r="M225" s="614">
        <f t="shared" si="133"/>
        <v>0</v>
      </c>
      <c r="N225" s="613">
        <f>IF(AE$230&gt;0,(AE225/AE$230),0)</f>
        <v>7.7284946236559141E-2</v>
      </c>
      <c r="O225" s="613">
        <f t="shared" ref="O225:Q230" si="134">IF(AF$230&gt;0,(AF225/AF$230),0)</f>
        <v>0</v>
      </c>
      <c r="P225" s="615">
        <f t="shared" si="134"/>
        <v>0</v>
      </c>
      <c r="Q225" s="613">
        <f t="shared" si="134"/>
        <v>0</v>
      </c>
      <c r="R225" s="799"/>
      <c r="S225" s="856">
        <v>1451</v>
      </c>
      <c r="T225" s="856">
        <v>554</v>
      </c>
      <c r="U225" s="856">
        <v>110</v>
      </c>
      <c r="V225" s="856">
        <v>116</v>
      </c>
      <c r="W225" s="856">
        <v>44</v>
      </c>
      <c r="X225" s="856">
        <v>33</v>
      </c>
      <c r="Y225" s="857">
        <v>2308</v>
      </c>
      <c r="Z225" s="857"/>
      <c r="AA225" s="856"/>
      <c r="AB225" s="856"/>
      <c r="AC225" s="856"/>
      <c r="AD225" s="856"/>
      <c r="AE225" s="857">
        <v>115</v>
      </c>
      <c r="AF225" s="857"/>
      <c r="AG225" s="856"/>
      <c r="AH225" s="857"/>
    </row>
    <row r="226" spans="1:34">
      <c r="A226" s="883"/>
      <c r="B226" s="239" t="s">
        <v>93</v>
      </c>
      <c r="C226" s="806">
        <f t="shared" ref="C226:C230" si="135">IF(S$230&gt;0,(S226/S$230),0)</f>
        <v>0.2618384401114206</v>
      </c>
      <c r="D226" s="806">
        <f t="shared" si="133"/>
        <v>0.25010052271813432</v>
      </c>
      <c r="E226" s="806">
        <f t="shared" si="133"/>
        <v>0.39163498098859317</v>
      </c>
      <c r="F226" s="806">
        <f t="shared" si="133"/>
        <v>0.30171277997364954</v>
      </c>
      <c r="G226" s="806">
        <f t="shared" si="133"/>
        <v>0.23383084577114427</v>
      </c>
      <c r="H226" s="806">
        <f t="shared" si="133"/>
        <v>0.26708074534161491</v>
      </c>
      <c r="I226" s="624">
        <f t="shared" si="133"/>
        <v>0.26977195536147502</v>
      </c>
      <c r="J226" s="624">
        <f t="shared" si="133"/>
        <v>0</v>
      </c>
      <c r="K226" s="625">
        <f t="shared" si="133"/>
        <v>0</v>
      </c>
      <c r="L226" s="625">
        <f t="shared" si="133"/>
        <v>0</v>
      </c>
      <c r="M226" s="625">
        <f t="shared" si="133"/>
        <v>0</v>
      </c>
      <c r="N226" s="624">
        <f t="shared" ref="N226:N230" si="136">IF(AE$230&gt;0,(AE226/AE$230),0)</f>
        <v>0.24529569892473119</v>
      </c>
      <c r="O226" s="624">
        <f t="shared" si="134"/>
        <v>0</v>
      </c>
      <c r="P226" s="626">
        <f t="shared" si="134"/>
        <v>0</v>
      </c>
      <c r="Q226" s="624">
        <f t="shared" si="134"/>
        <v>0</v>
      </c>
      <c r="R226" s="357"/>
      <c r="S226" s="858">
        <v>1034</v>
      </c>
      <c r="T226" s="858">
        <v>622</v>
      </c>
      <c r="U226" s="858">
        <v>206</v>
      </c>
      <c r="V226" s="858">
        <v>229</v>
      </c>
      <c r="W226" s="858">
        <v>47</v>
      </c>
      <c r="X226" s="858">
        <v>86</v>
      </c>
      <c r="Y226" s="859">
        <v>2224</v>
      </c>
      <c r="Z226" s="859"/>
      <c r="AA226" s="858"/>
      <c r="AB226" s="858"/>
      <c r="AC226" s="858"/>
      <c r="AD226" s="858"/>
      <c r="AE226" s="859">
        <v>365</v>
      </c>
      <c r="AF226" s="859"/>
      <c r="AG226" s="858"/>
      <c r="AH226" s="859"/>
    </row>
    <row r="227" spans="1:34">
      <c r="A227" s="883"/>
      <c r="B227" s="239" t="s">
        <v>55</v>
      </c>
      <c r="C227" s="806">
        <f t="shared" si="135"/>
        <v>0.22334768295771082</v>
      </c>
      <c r="D227" s="806">
        <f t="shared" si="133"/>
        <v>0.28226779252110978</v>
      </c>
      <c r="E227" s="806">
        <f t="shared" si="133"/>
        <v>0.21292775665399238</v>
      </c>
      <c r="F227" s="806">
        <f t="shared" si="133"/>
        <v>0.30303030303030304</v>
      </c>
      <c r="G227" s="806">
        <f t="shared" si="133"/>
        <v>0.24875621890547264</v>
      </c>
      <c r="H227" s="806">
        <f t="shared" si="133"/>
        <v>0.34782608695652173</v>
      </c>
      <c r="I227" s="624">
        <f t="shared" si="133"/>
        <v>0.25327510917030566</v>
      </c>
      <c r="J227" s="624">
        <f t="shared" si="133"/>
        <v>0</v>
      </c>
      <c r="K227" s="625">
        <f t="shared" si="133"/>
        <v>0</v>
      </c>
      <c r="L227" s="625">
        <f t="shared" si="133"/>
        <v>0</v>
      </c>
      <c r="M227" s="625">
        <f t="shared" si="133"/>
        <v>0</v>
      </c>
      <c r="N227" s="624">
        <f t="shared" si="136"/>
        <v>0.46908602150537637</v>
      </c>
      <c r="O227" s="624">
        <f t="shared" si="134"/>
        <v>0</v>
      </c>
      <c r="P227" s="626">
        <f t="shared" si="134"/>
        <v>0</v>
      </c>
      <c r="Q227" s="624">
        <f t="shared" si="134"/>
        <v>0</v>
      </c>
      <c r="R227" s="357"/>
      <c r="S227" s="858">
        <v>882</v>
      </c>
      <c r="T227" s="858">
        <v>702</v>
      </c>
      <c r="U227" s="858">
        <v>112</v>
      </c>
      <c r="V227" s="858">
        <v>230</v>
      </c>
      <c r="W227" s="858">
        <v>50</v>
      </c>
      <c r="X227" s="858">
        <v>112</v>
      </c>
      <c r="Y227" s="859">
        <v>2088</v>
      </c>
      <c r="Z227" s="859"/>
      <c r="AA227" s="858"/>
      <c r="AB227" s="858"/>
      <c r="AC227" s="858"/>
      <c r="AD227" s="858"/>
      <c r="AE227" s="859">
        <v>698</v>
      </c>
      <c r="AF227" s="859"/>
      <c r="AG227" s="858"/>
      <c r="AH227" s="859"/>
    </row>
    <row r="228" spans="1:34">
      <c r="A228" s="883"/>
      <c r="B228" s="239" t="s">
        <v>78</v>
      </c>
      <c r="C228" s="806">
        <f t="shared" si="135"/>
        <v>2.025829323879463E-3</v>
      </c>
      <c r="D228" s="806">
        <f t="shared" si="133"/>
        <v>0.13268998793727382</v>
      </c>
      <c r="E228" s="806">
        <f t="shared" si="133"/>
        <v>3.9923954372623575E-2</v>
      </c>
      <c r="F228" s="806">
        <f t="shared" si="133"/>
        <v>0.12648221343873517</v>
      </c>
      <c r="G228" s="806">
        <f t="shared" si="133"/>
        <v>0</v>
      </c>
      <c r="H228" s="806">
        <f t="shared" si="133"/>
        <v>0</v>
      </c>
      <c r="I228" s="624">
        <f t="shared" si="133"/>
        <v>5.5191654536632703E-2</v>
      </c>
      <c r="J228" s="624">
        <f t="shared" si="133"/>
        <v>0</v>
      </c>
      <c r="K228" s="625">
        <f t="shared" si="133"/>
        <v>0</v>
      </c>
      <c r="L228" s="625">
        <f t="shared" si="133"/>
        <v>0</v>
      </c>
      <c r="M228" s="625">
        <f t="shared" si="133"/>
        <v>0</v>
      </c>
      <c r="N228" s="624">
        <f t="shared" si="136"/>
        <v>0.19623655913978494</v>
      </c>
      <c r="O228" s="624">
        <f t="shared" si="134"/>
        <v>0</v>
      </c>
      <c r="P228" s="626">
        <f t="shared" si="134"/>
        <v>0</v>
      </c>
      <c r="Q228" s="624">
        <f t="shared" si="134"/>
        <v>0</v>
      </c>
      <c r="R228" s="357"/>
      <c r="S228" s="858">
        <v>8</v>
      </c>
      <c r="T228" s="858">
        <v>330</v>
      </c>
      <c r="U228" s="858">
        <v>21</v>
      </c>
      <c r="V228" s="858">
        <v>96</v>
      </c>
      <c r="W228" s="858"/>
      <c r="X228" s="858"/>
      <c r="Y228" s="859">
        <v>455</v>
      </c>
      <c r="Z228" s="859"/>
      <c r="AA228" s="858"/>
      <c r="AB228" s="858"/>
      <c r="AC228" s="858"/>
      <c r="AD228" s="858"/>
      <c r="AE228" s="859">
        <v>292</v>
      </c>
      <c r="AF228" s="859"/>
      <c r="AG228" s="858"/>
      <c r="AH228" s="859"/>
    </row>
    <row r="229" spans="1:34">
      <c r="A229" s="884"/>
      <c r="B229" s="580" t="s">
        <v>131</v>
      </c>
      <c r="C229" s="806">
        <f t="shared" si="135"/>
        <v>0.14535325398835147</v>
      </c>
      <c r="D229" s="806">
        <f t="shared" si="133"/>
        <v>0.11218335343787696</v>
      </c>
      <c r="E229" s="806">
        <f t="shared" si="133"/>
        <v>0.14638783269961977</v>
      </c>
      <c r="F229" s="806">
        <f t="shared" si="133"/>
        <v>0.11594202898550725</v>
      </c>
      <c r="G229" s="806">
        <f t="shared" si="133"/>
        <v>0.29850746268656714</v>
      </c>
      <c r="H229" s="806">
        <f t="shared" si="133"/>
        <v>0.28260869565217389</v>
      </c>
      <c r="I229" s="624">
        <f t="shared" si="133"/>
        <v>0.14180009704027172</v>
      </c>
      <c r="J229" s="624">
        <f t="shared" si="133"/>
        <v>0</v>
      </c>
      <c r="K229" s="625">
        <f t="shared" si="133"/>
        <v>0</v>
      </c>
      <c r="L229" s="625">
        <f t="shared" si="133"/>
        <v>0</v>
      </c>
      <c r="M229" s="625">
        <f t="shared" si="133"/>
        <v>0</v>
      </c>
      <c r="N229" s="624">
        <f t="shared" si="136"/>
        <v>1.2096774193548387E-2</v>
      </c>
      <c r="O229" s="624">
        <f t="shared" si="134"/>
        <v>0</v>
      </c>
      <c r="P229" s="626">
        <f t="shared" si="134"/>
        <v>0</v>
      </c>
      <c r="Q229" s="624">
        <f t="shared" si="134"/>
        <v>0</v>
      </c>
      <c r="R229" s="357"/>
      <c r="S229" s="858">
        <f>566+8</f>
        <v>574</v>
      </c>
      <c r="T229" s="858">
        <f>277+2</f>
        <v>279</v>
      </c>
      <c r="U229" s="858">
        <v>77</v>
      </c>
      <c r="V229" s="858">
        <v>88</v>
      </c>
      <c r="W229" s="858">
        <v>60</v>
      </c>
      <c r="X229" s="858">
        <v>91</v>
      </c>
      <c r="Y229" s="859">
        <f>1159+10</f>
        <v>1169</v>
      </c>
      <c r="Z229" s="859"/>
      <c r="AA229" s="858"/>
      <c r="AB229" s="858"/>
      <c r="AC229" s="858"/>
      <c r="AD229" s="858"/>
      <c r="AE229" s="859">
        <f>16+2</f>
        <v>18</v>
      </c>
      <c r="AF229" s="859"/>
      <c r="AG229" s="858"/>
      <c r="AH229" s="859"/>
    </row>
    <row r="230" spans="1:34">
      <c r="A230" s="885"/>
      <c r="B230" s="436" t="s">
        <v>59</v>
      </c>
      <c r="C230" s="807">
        <f t="shared" si="135"/>
        <v>1</v>
      </c>
      <c r="D230" s="808">
        <f t="shared" si="133"/>
        <v>1</v>
      </c>
      <c r="E230" s="808">
        <f t="shared" si="133"/>
        <v>1</v>
      </c>
      <c r="F230" s="808">
        <f t="shared" si="133"/>
        <v>1</v>
      </c>
      <c r="G230" s="808">
        <f t="shared" si="133"/>
        <v>1</v>
      </c>
      <c r="H230" s="809">
        <f t="shared" si="133"/>
        <v>1</v>
      </c>
      <c r="I230" s="577">
        <f t="shared" si="133"/>
        <v>1</v>
      </c>
      <c r="J230" s="577">
        <f t="shared" si="133"/>
        <v>0</v>
      </c>
      <c r="K230" s="578">
        <f t="shared" si="133"/>
        <v>0</v>
      </c>
      <c r="L230" s="578">
        <f t="shared" si="133"/>
        <v>0</v>
      </c>
      <c r="M230" s="578">
        <f t="shared" si="133"/>
        <v>0</v>
      </c>
      <c r="N230" s="577">
        <f t="shared" si="136"/>
        <v>1</v>
      </c>
      <c r="O230" s="577">
        <f t="shared" si="134"/>
        <v>0</v>
      </c>
      <c r="P230" s="579">
        <f t="shared" si="134"/>
        <v>0</v>
      </c>
      <c r="Q230" s="577">
        <f t="shared" si="134"/>
        <v>0</v>
      </c>
      <c r="R230" s="357"/>
      <c r="S230" s="858">
        <v>3949</v>
      </c>
      <c r="T230" s="858">
        <v>2487</v>
      </c>
      <c r="U230" s="858">
        <v>526</v>
      </c>
      <c r="V230" s="858">
        <v>759</v>
      </c>
      <c r="W230" s="858">
        <v>201</v>
      </c>
      <c r="X230" s="858">
        <v>322</v>
      </c>
      <c r="Y230" s="859">
        <v>8244</v>
      </c>
      <c r="Z230" s="859"/>
      <c r="AA230" s="858"/>
      <c r="AB230" s="858"/>
      <c r="AC230" s="858"/>
      <c r="AD230" s="858"/>
      <c r="AE230" s="859">
        <v>1488</v>
      </c>
      <c r="AF230" s="859"/>
      <c r="AG230" s="858"/>
      <c r="AH230" s="859"/>
    </row>
    <row r="231" spans="1:34">
      <c r="A231" s="882" t="s">
        <v>142</v>
      </c>
      <c r="B231" s="240" t="s">
        <v>53</v>
      </c>
      <c r="C231" s="806">
        <f>IF(S$236&gt;0,(S231/S$236),0)</f>
        <v>0.32935719019218024</v>
      </c>
      <c r="D231" s="806">
        <f t="shared" ref="D231:M236" si="137">IF(T$236&gt;0,(T231/T$236),0)</f>
        <v>0</v>
      </c>
      <c r="E231" s="806">
        <f t="shared" si="137"/>
        <v>0.27881040892193309</v>
      </c>
      <c r="F231" s="806">
        <f t="shared" si="137"/>
        <v>0</v>
      </c>
      <c r="G231" s="806">
        <f t="shared" si="137"/>
        <v>0</v>
      </c>
      <c r="H231" s="806">
        <f t="shared" si="137"/>
        <v>0</v>
      </c>
      <c r="I231" s="613">
        <f t="shared" si="137"/>
        <v>0.32170978627671543</v>
      </c>
      <c r="J231" s="613">
        <f t="shared" si="137"/>
        <v>0</v>
      </c>
      <c r="K231" s="614">
        <f t="shared" si="137"/>
        <v>0</v>
      </c>
      <c r="L231" s="614">
        <f t="shared" si="137"/>
        <v>0</v>
      </c>
      <c r="M231" s="614">
        <f t="shared" si="137"/>
        <v>0</v>
      </c>
      <c r="N231" s="613">
        <f>IF(AE$236&gt;0,(AE231/AE$236),0)</f>
        <v>0.26252847380410022</v>
      </c>
      <c r="O231" s="613">
        <f t="shared" ref="O231:Q236" si="138">IF(AF$236&gt;0,(AF231/AF$236),0)</f>
        <v>0</v>
      </c>
      <c r="P231" s="615">
        <f t="shared" si="138"/>
        <v>0</v>
      </c>
      <c r="Q231" s="613">
        <f t="shared" si="138"/>
        <v>0</v>
      </c>
      <c r="R231" s="799"/>
      <c r="S231" s="856">
        <v>994</v>
      </c>
      <c r="T231" s="856"/>
      <c r="U231" s="856">
        <v>150</v>
      </c>
      <c r="V231" s="856"/>
      <c r="W231" s="856"/>
      <c r="X231" s="856"/>
      <c r="Y231" s="857">
        <v>1144</v>
      </c>
      <c r="Z231" s="857"/>
      <c r="AA231" s="856"/>
      <c r="AB231" s="856"/>
      <c r="AC231" s="856"/>
      <c r="AD231" s="856"/>
      <c r="AE231" s="857">
        <v>461</v>
      </c>
      <c r="AF231" s="857"/>
      <c r="AG231" s="856"/>
      <c r="AH231" s="857"/>
    </row>
    <row r="232" spans="1:34">
      <c r="A232" s="883"/>
      <c r="B232" s="239" t="s">
        <v>93</v>
      </c>
      <c r="C232" s="806">
        <f t="shared" ref="C232:C236" si="139">IF(S$236&gt;0,(S232/S$236),0)</f>
        <v>0.26872100728959575</v>
      </c>
      <c r="D232" s="806">
        <f t="shared" si="137"/>
        <v>0</v>
      </c>
      <c r="E232" s="806">
        <f t="shared" si="137"/>
        <v>0.33457249070631973</v>
      </c>
      <c r="F232" s="806">
        <f t="shared" si="137"/>
        <v>0</v>
      </c>
      <c r="G232" s="806">
        <f t="shared" si="137"/>
        <v>0</v>
      </c>
      <c r="H232" s="806">
        <f t="shared" si="137"/>
        <v>0</v>
      </c>
      <c r="I232" s="624">
        <f t="shared" si="137"/>
        <v>0.27868391451068614</v>
      </c>
      <c r="J232" s="624">
        <f t="shared" si="137"/>
        <v>0</v>
      </c>
      <c r="K232" s="625">
        <f t="shared" si="137"/>
        <v>0</v>
      </c>
      <c r="L232" s="625">
        <f t="shared" si="137"/>
        <v>0</v>
      </c>
      <c r="M232" s="625">
        <f t="shared" si="137"/>
        <v>0</v>
      </c>
      <c r="N232" s="624">
        <f t="shared" ref="N232:N236" si="140">IF(AE$236&gt;0,(AE232/AE$236),0)</f>
        <v>8.4282460136674259E-2</v>
      </c>
      <c r="O232" s="624">
        <f t="shared" si="138"/>
        <v>0</v>
      </c>
      <c r="P232" s="626">
        <f t="shared" si="138"/>
        <v>0</v>
      </c>
      <c r="Q232" s="624">
        <f t="shared" si="138"/>
        <v>0</v>
      </c>
      <c r="R232" s="357"/>
      <c r="S232" s="858">
        <v>811</v>
      </c>
      <c r="T232" s="858"/>
      <c r="U232" s="858">
        <v>180</v>
      </c>
      <c r="V232" s="858"/>
      <c r="W232" s="858"/>
      <c r="X232" s="858"/>
      <c r="Y232" s="859">
        <v>991</v>
      </c>
      <c r="Z232" s="859"/>
      <c r="AA232" s="858"/>
      <c r="AB232" s="858"/>
      <c r="AC232" s="858"/>
      <c r="AD232" s="858"/>
      <c r="AE232" s="859">
        <v>148</v>
      </c>
      <c r="AF232" s="859"/>
      <c r="AG232" s="858"/>
      <c r="AH232" s="859"/>
    </row>
    <row r="233" spans="1:34">
      <c r="A233" s="883"/>
      <c r="B233" s="239" t="s">
        <v>55</v>
      </c>
      <c r="C233" s="806">
        <f t="shared" si="139"/>
        <v>0.24552683896620278</v>
      </c>
      <c r="D233" s="806">
        <f t="shared" si="137"/>
        <v>0</v>
      </c>
      <c r="E233" s="806">
        <f t="shared" si="137"/>
        <v>0.24163568773234201</v>
      </c>
      <c r="F233" s="806">
        <f t="shared" si="137"/>
        <v>0</v>
      </c>
      <c r="G233" s="806">
        <f t="shared" si="137"/>
        <v>0</v>
      </c>
      <c r="H233" s="806">
        <f t="shared" si="137"/>
        <v>0</v>
      </c>
      <c r="I233" s="624">
        <f t="shared" si="137"/>
        <v>0.24493813273340834</v>
      </c>
      <c r="J233" s="624">
        <f t="shared" si="137"/>
        <v>0</v>
      </c>
      <c r="K233" s="625">
        <f t="shared" si="137"/>
        <v>0</v>
      </c>
      <c r="L233" s="625">
        <f t="shared" si="137"/>
        <v>0</v>
      </c>
      <c r="M233" s="625">
        <f t="shared" si="137"/>
        <v>0</v>
      </c>
      <c r="N233" s="624">
        <f t="shared" si="140"/>
        <v>6.9476082004555809E-2</v>
      </c>
      <c r="O233" s="624">
        <f t="shared" si="138"/>
        <v>0</v>
      </c>
      <c r="P233" s="626">
        <f t="shared" si="138"/>
        <v>0</v>
      </c>
      <c r="Q233" s="624">
        <f t="shared" si="138"/>
        <v>0</v>
      </c>
      <c r="R233" s="357"/>
      <c r="S233" s="858">
        <v>741</v>
      </c>
      <c r="T233" s="858"/>
      <c r="U233" s="858">
        <v>130</v>
      </c>
      <c r="V233" s="858"/>
      <c r="W233" s="858"/>
      <c r="X233" s="858"/>
      <c r="Y233" s="859">
        <v>871</v>
      </c>
      <c r="Z233" s="859"/>
      <c r="AA233" s="858"/>
      <c r="AB233" s="858"/>
      <c r="AC233" s="858"/>
      <c r="AD233" s="858"/>
      <c r="AE233" s="859">
        <v>122</v>
      </c>
      <c r="AF233" s="859"/>
      <c r="AG233" s="858"/>
      <c r="AH233" s="859"/>
    </row>
    <row r="234" spans="1:34">
      <c r="A234" s="883"/>
      <c r="B234" s="239" t="s">
        <v>78</v>
      </c>
      <c r="C234" s="806">
        <f t="shared" si="139"/>
        <v>2.3194168323392977E-3</v>
      </c>
      <c r="D234" s="806">
        <f t="shared" si="137"/>
        <v>0</v>
      </c>
      <c r="E234" s="806">
        <f t="shared" si="137"/>
        <v>0.14126394052044611</v>
      </c>
      <c r="F234" s="806">
        <f t="shared" si="137"/>
        <v>0</v>
      </c>
      <c r="G234" s="806">
        <f t="shared" si="137"/>
        <v>0</v>
      </c>
      <c r="H234" s="806">
        <f t="shared" si="137"/>
        <v>0</v>
      </c>
      <c r="I234" s="624">
        <f t="shared" si="137"/>
        <v>2.3340832395950507E-2</v>
      </c>
      <c r="J234" s="624">
        <f t="shared" si="137"/>
        <v>0</v>
      </c>
      <c r="K234" s="625">
        <f t="shared" si="137"/>
        <v>0</v>
      </c>
      <c r="L234" s="625">
        <f t="shared" si="137"/>
        <v>0</v>
      </c>
      <c r="M234" s="625">
        <f t="shared" si="137"/>
        <v>0</v>
      </c>
      <c r="N234" s="624">
        <f t="shared" si="140"/>
        <v>0.37300683371298404</v>
      </c>
      <c r="O234" s="624">
        <f t="shared" si="138"/>
        <v>0</v>
      </c>
      <c r="P234" s="626">
        <f t="shared" si="138"/>
        <v>0</v>
      </c>
      <c r="Q234" s="624">
        <f t="shared" si="138"/>
        <v>1</v>
      </c>
      <c r="R234" s="357"/>
      <c r="S234" s="858">
        <v>7</v>
      </c>
      <c r="T234" s="858"/>
      <c r="U234" s="858">
        <v>76</v>
      </c>
      <c r="V234" s="858"/>
      <c r="W234" s="858"/>
      <c r="X234" s="858"/>
      <c r="Y234" s="859">
        <v>83</v>
      </c>
      <c r="Z234" s="859"/>
      <c r="AA234" s="858"/>
      <c r="AB234" s="858"/>
      <c r="AC234" s="858"/>
      <c r="AD234" s="858"/>
      <c r="AE234" s="859">
        <v>655</v>
      </c>
      <c r="AF234" s="859"/>
      <c r="AG234" s="858"/>
      <c r="AH234" s="859">
        <v>80</v>
      </c>
    </row>
    <row r="235" spans="1:34">
      <c r="A235" s="884"/>
      <c r="B235" s="580" t="s">
        <v>131</v>
      </c>
      <c r="C235" s="806">
        <f t="shared" si="139"/>
        <v>0.15407554671968191</v>
      </c>
      <c r="D235" s="806">
        <f t="shared" si="137"/>
        <v>0</v>
      </c>
      <c r="E235" s="806">
        <f t="shared" si="137"/>
        <v>3.7174721189591076E-3</v>
      </c>
      <c r="F235" s="806">
        <f t="shared" si="137"/>
        <v>0</v>
      </c>
      <c r="G235" s="806">
        <f t="shared" si="137"/>
        <v>0</v>
      </c>
      <c r="H235" s="806">
        <f t="shared" si="137"/>
        <v>0</v>
      </c>
      <c r="I235" s="624">
        <f t="shared" si="137"/>
        <v>0.1313273340832396</v>
      </c>
      <c r="J235" s="624">
        <f t="shared" si="137"/>
        <v>0</v>
      </c>
      <c r="K235" s="625">
        <f t="shared" si="137"/>
        <v>0</v>
      </c>
      <c r="L235" s="625">
        <f t="shared" si="137"/>
        <v>0</v>
      </c>
      <c r="M235" s="625">
        <f t="shared" si="137"/>
        <v>0</v>
      </c>
      <c r="N235" s="624">
        <f t="shared" si="140"/>
        <v>0.21070615034168566</v>
      </c>
      <c r="O235" s="624">
        <f t="shared" si="138"/>
        <v>0</v>
      </c>
      <c r="P235" s="626">
        <f t="shared" si="138"/>
        <v>0</v>
      </c>
      <c r="Q235" s="624">
        <f t="shared" si="138"/>
        <v>0</v>
      </c>
      <c r="R235" s="357"/>
      <c r="S235" s="858">
        <f>454+11</f>
        <v>465</v>
      </c>
      <c r="T235" s="858"/>
      <c r="U235" s="858">
        <f>0+2</f>
        <v>2</v>
      </c>
      <c r="V235" s="858"/>
      <c r="W235" s="858"/>
      <c r="X235" s="858"/>
      <c r="Y235" s="859">
        <f>454+13</f>
        <v>467</v>
      </c>
      <c r="Z235" s="859"/>
      <c r="AA235" s="858"/>
      <c r="AB235" s="858"/>
      <c r="AC235" s="858"/>
      <c r="AD235" s="858"/>
      <c r="AE235" s="859">
        <f>71+299</f>
        <v>370</v>
      </c>
      <c r="AF235" s="859"/>
      <c r="AG235" s="858"/>
      <c r="AH235" s="859"/>
    </row>
    <row r="236" spans="1:34">
      <c r="A236" s="885"/>
      <c r="B236" s="436" t="s">
        <v>59</v>
      </c>
      <c r="C236" s="807">
        <f t="shared" si="139"/>
        <v>1</v>
      </c>
      <c r="D236" s="808">
        <f t="shared" si="137"/>
        <v>0</v>
      </c>
      <c r="E236" s="808">
        <f t="shared" si="137"/>
        <v>1</v>
      </c>
      <c r="F236" s="808">
        <f t="shared" si="137"/>
        <v>0</v>
      </c>
      <c r="G236" s="808">
        <f t="shared" si="137"/>
        <v>0</v>
      </c>
      <c r="H236" s="809">
        <f t="shared" si="137"/>
        <v>0</v>
      </c>
      <c r="I236" s="577">
        <f t="shared" si="137"/>
        <v>1</v>
      </c>
      <c r="J236" s="577">
        <f t="shared" si="137"/>
        <v>0</v>
      </c>
      <c r="K236" s="578">
        <f t="shared" si="137"/>
        <v>0</v>
      </c>
      <c r="L236" s="578">
        <f t="shared" si="137"/>
        <v>0</v>
      </c>
      <c r="M236" s="578">
        <f t="shared" si="137"/>
        <v>0</v>
      </c>
      <c r="N236" s="577">
        <f t="shared" si="140"/>
        <v>1</v>
      </c>
      <c r="O236" s="577">
        <f t="shared" si="138"/>
        <v>0</v>
      </c>
      <c r="P236" s="579">
        <f t="shared" si="138"/>
        <v>0</v>
      </c>
      <c r="Q236" s="577">
        <f t="shared" si="138"/>
        <v>1</v>
      </c>
      <c r="R236" s="357"/>
      <c r="S236" s="858">
        <v>3018</v>
      </c>
      <c r="T236" s="858"/>
      <c r="U236" s="858">
        <v>538</v>
      </c>
      <c r="V236" s="858"/>
      <c r="W236" s="858"/>
      <c r="X236" s="858"/>
      <c r="Y236" s="859">
        <v>3556</v>
      </c>
      <c r="Z236" s="859"/>
      <c r="AA236" s="858"/>
      <c r="AB236" s="858"/>
      <c r="AC236" s="858"/>
      <c r="AD236" s="858"/>
      <c r="AE236" s="859">
        <v>1756</v>
      </c>
      <c r="AF236" s="859"/>
      <c r="AG236" s="858"/>
      <c r="AH236" s="859">
        <v>80</v>
      </c>
    </row>
    <row r="237" spans="1:34">
      <c r="A237" s="882" t="s">
        <v>146</v>
      </c>
      <c r="B237" s="240" t="s">
        <v>53</v>
      </c>
      <c r="C237" s="806">
        <f>IF(S$242&gt;0,(S237/S$242),0)</f>
        <v>0.28723858301323091</v>
      </c>
      <c r="D237" s="806">
        <f t="shared" ref="D237:M242" si="141">IF(T$242&gt;0,(T237/T$242),0)</f>
        <v>0.24420677361853832</v>
      </c>
      <c r="E237" s="806">
        <f t="shared" si="141"/>
        <v>0.24521934758155231</v>
      </c>
      <c r="F237" s="806">
        <f t="shared" si="141"/>
        <v>0.2937062937062937</v>
      </c>
      <c r="G237" s="806">
        <f t="shared" si="141"/>
        <v>0</v>
      </c>
      <c r="H237" s="806">
        <f t="shared" si="141"/>
        <v>0</v>
      </c>
      <c r="I237" s="613">
        <f t="shared" si="141"/>
        <v>0.27261583721500365</v>
      </c>
      <c r="J237" s="613">
        <f t="shared" si="141"/>
        <v>0</v>
      </c>
      <c r="K237" s="614">
        <f t="shared" si="141"/>
        <v>0</v>
      </c>
      <c r="L237" s="614">
        <f t="shared" si="141"/>
        <v>0</v>
      </c>
      <c r="M237" s="614">
        <f t="shared" si="141"/>
        <v>0</v>
      </c>
      <c r="N237" s="613">
        <f>IF(AE$242&gt;0,(AE237/AE$242),0)</f>
        <v>0.30622406639004152</v>
      </c>
      <c r="O237" s="613">
        <f t="shared" ref="O237:Q242" si="142">IF(AF$242&gt;0,(AF237/AF$242),0)</f>
        <v>0</v>
      </c>
      <c r="P237" s="615">
        <f t="shared" si="142"/>
        <v>0</v>
      </c>
      <c r="Q237" s="613">
        <f t="shared" si="142"/>
        <v>3.5714285714285712E-2</v>
      </c>
      <c r="R237" s="799"/>
      <c r="S237" s="856">
        <v>673</v>
      </c>
      <c r="T237" s="856">
        <v>137</v>
      </c>
      <c r="U237" s="856">
        <v>218</v>
      </c>
      <c r="V237" s="856">
        <v>84</v>
      </c>
      <c r="W237" s="856"/>
      <c r="X237" s="856"/>
      <c r="Y237" s="857">
        <v>1112</v>
      </c>
      <c r="Z237" s="857"/>
      <c r="AA237" s="856"/>
      <c r="AB237" s="856"/>
      <c r="AC237" s="856"/>
      <c r="AD237" s="856"/>
      <c r="AE237" s="857">
        <v>369</v>
      </c>
      <c r="AF237" s="857"/>
      <c r="AG237" s="856"/>
      <c r="AH237" s="857">
        <v>18</v>
      </c>
    </row>
    <row r="238" spans="1:34">
      <c r="A238" s="883"/>
      <c r="B238" s="239" t="s">
        <v>93</v>
      </c>
      <c r="C238" s="806">
        <f t="shared" ref="C238:C242" si="143">IF(S$242&gt;0,(S238/S$242),0)</f>
        <v>0.29961587708066584</v>
      </c>
      <c r="D238" s="806">
        <f t="shared" si="141"/>
        <v>0.22994652406417113</v>
      </c>
      <c r="E238" s="806">
        <f t="shared" si="141"/>
        <v>0.26321709786276715</v>
      </c>
      <c r="F238" s="806">
        <f t="shared" si="141"/>
        <v>0.20279720279720279</v>
      </c>
      <c r="G238" s="806">
        <f t="shared" si="141"/>
        <v>0</v>
      </c>
      <c r="H238" s="806">
        <f t="shared" si="141"/>
        <v>0</v>
      </c>
      <c r="I238" s="624">
        <f t="shared" si="141"/>
        <v>0.27531257661191466</v>
      </c>
      <c r="J238" s="624">
        <f t="shared" si="141"/>
        <v>0</v>
      </c>
      <c r="K238" s="625">
        <f t="shared" si="141"/>
        <v>0</v>
      </c>
      <c r="L238" s="625">
        <f t="shared" si="141"/>
        <v>0</v>
      </c>
      <c r="M238" s="625">
        <f t="shared" si="141"/>
        <v>0</v>
      </c>
      <c r="N238" s="624">
        <f t="shared" ref="N238:N242" si="144">IF(AE$242&gt;0,(AE238/AE$242),0)</f>
        <v>0.13195020746887967</v>
      </c>
      <c r="O238" s="624">
        <f t="shared" si="142"/>
        <v>0</v>
      </c>
      <c r="P238" s="626">
        <f t="shared" si="142"/>
        <v>0</v>
      </c>
      <c r="Q238" s="624">
        <f t="shared" si="142"/>
        <v>1.5873015873015872E-2</v>
      </c>
      <c r="R238" s="357"/>
      <c r="S238" s="858">
        <v>702</v>
      </c>
      <c r="T238" s="858">
        <v>129</v>
      </c>
      <c r="U238" s="858">
        <v>234</v>
      </c>
      <c r="V238" s="858">
        <v>58</v>
      </c>
      <c r="W238" s="858"/>
      <c r="X238" s="858"/>
      <c r="Y238" s="859">
        <v>1123</v>
      </c>
      <c r="Z238" s="859"/>
      <c r="AA238" s="858"/>
      <c r="AB238" s="858"/>
      <c r="AC238" s="858"/>
      <c r="AD238" s="858"/>
      <c r="AE238" s="859">
        <v>159</v>
      </c>
      <c r="AF238" s="859"/>
      <c r="AG238" s="858"/>
      <c r="AH238" s="859">
        <v>8</v>
      </c>
    </row>
    <row r="239" spans="1:34">
      <c r="A239" s="883"/>
      <c r="B239" s="239" t="s">
        <v>55</v>
      </c>
      <c r="C239" s="806">
        <f t="shared" si="143"/>
        <v>0.24455825864276567</v>
      </c>
      <c r="D239" s="806">
        <f t="shared" si="141"/>
        <v>0.23529411764705882</v>
      </c>
      <c r="E239" s="806">
        <f t="shared" si="141"/>
        <v>0.27334083239595053</v>
      </c>
      <c r="F239" s="806">
        <f t="shared" si="141"/>
        <v>0.22377622377622378</v>
      </c>
      <c r="G239" s="806">
        <f t="shared" si="141"/>
        <v>0</v>
      </c>
      <c r="H239" s="806">
        <f t="shared" si="141"/>
        <v>0</v>
      </c>
      <c r="I239" s="624">
        <f t="shared" si="141"/>
        <v>0.2481000245158127</v>
      </c>
      <c r="J239" s="624">
        <f t="shared" si="141"/>
        <v>0</v>
      </c>
      <c r="K239" s="625">
        <f t="shared" si="141"/>
        <v>0</v>
      </c>
      <c r="L239" s="625">
        <f t="shared" si="141"/>
        <v>0</v>
      </c>
      <c r="M239" s="625">
        <f t="shared" si="141"/>
        <v>0</v>
      </c>
      <c r="N239" s="624">
        <f t="shared" si="144"/>
        <v>6.2240663900414939E-2</v>
      </c>
      <c r="O239" s="624">
        <f t="shared" si="142"/>
        <v>0</v>
      </c>
      <c r="P239" s="626">
        <f t="shared" si="142"/>
        <v>0</v>
      </c>
      <c r="Q239" s="624">
        <f t="shared" si="142"/>
        <v>0</v>
      </c>
      <c r="R239" s="357"/>
      <c r="S239" s="858">
        <v>573</v>
      </c>
      <c r="T239" s="858">
        <v>132</v>
      </c>
      <c r="U239" s="858">
        <v>243</v>
      </c>
      <c r="V239" s="858">
        <v>64</v>
      </c>
      <c r="W239" s="858"/>
      <c r="X239" s="858"/>
      <c r="Y239" s="859">
        <v>1012</v>
      </c>
      <c r="Z239" s="859"/>
      <c r="AA239" s="858"/>
      <c r="AB239" s="858"/>
      <c r="AC239" s="858"/>
      <c r="AD239" s="858"/>
      <c r="AE239" s="859">
        <v>75</v>
      </c>
      <c r="AF239" s="859"/>
      <c r="AG239" s="858"/>
      <c r="AH239" s="859"/>
    </row>
    <row r="240" spans="1:34">
      <c r="A240" s="883"/>
      <c r="B240" s="239" t="s">
        <v>78</v>
      </c>
      <c r="C240" s="806">
        <f t="shared" si="143"/>
        <v>9.3043107127614169E-2</v>
      </c>
      <c r="D240" s="806">
        <f t="shared" si="141"/>
        <v>5.3475935828877004E-2</v>
      </c>
      <c r="E240" s="806">
        <f t="shared" si="141"/>
        <v>0.21822272215973004</v>
      </c>
      <c r="F240" s="806">
        <f t="shared" si="141"/>
        <v>3.4965034965034965E-3</v>
      </c>
      <c r="G240" s="806">
        <f t="shared" si="141"/>
        <v>0</v>
      </c>
      <c r="H240" s="806">
        <f t="shared" si="141"/>
        <v>0</v>
      </c>
      <c r="I240" s="624">
        <f t="shared" si="141"/>
        <v>0.10860505025741603</v>
      </c>
      <c r="J240" s="624">
        <f t="shared" si="141"/>
        <v>0</v>
      </c>
      <c r="K240" s="625">
        <f t="shared" si="141"/>
        <v>0</v>
      </c>
      <c r="L240" s="625">
        <f t="shared" si="141"/>
        <v>0</v>
      </c>
      <c r="M240" s="625">
        <f t="shared" si="141"/>
        <v>0</v>
      </c>
      <c r="N240" s="624">
        <f t="shared" si="144"/>
        <v>0.44232365145228214</v>
      </c>
      <c r="O240" s="624">
        <f t="shared" si="142"/>
        <v>0</v>
      </c>
      <c r="P240" s="626">
        <f t="shared" si="142"/>
        <v>0</v>
      </c>
      <c r="Q240" s="624">
        <f t="shared" si="142"/>
        <v>0.75992063492063489</v>
      </c>
      <c r="R240" s="357"/>
      <c r="S240" s="858">
        <v>218</v>
      </c>
      <c r="T240" s="858">
        <v>30</v>
      </c>
      <c r="U240" s="858">
        <v>194</v>
      </c>
      <c r="V240" s="858">
        <v>1</v>
      </c>
      <c r="W240" s="858"/>
      <c r="X240" s="858"/>
      <c r="Y240" s="859">
        <v>443</v>
      </c>
      <c r="Z240" s="859"/>
      <c r="AA240" s="858"/>
      <c r="AB240" s="858"/>
      <c r="AC240" s="858"/>
      <c r="AD240" s="858"/>
      <c r="AE240" s="859">
        <v>533</v>
      </c>
      <c r="AF240" s="859"/>
      <c r="AG240" s="858"/>
      <c r="AH240" s="859">
        <v>383</v>
      </c>
    </row>
    <row r="241" spans="1:34">
      <c r="A241" s="884"/>
      <c r="B241" s="580" t="s">
        <v>131</v>
      </c>
      <c r="C241" s="806">
        <f t="shared" si="143"/>
        <v>7.5544174135723438E-2</v>
      </c>
      <c r="D241" s="806">
        <f t="shared" si="141"/>
        <v>0.23707664884135474</v>
      </c>
      <c r="E241" s="806">
        <f t="shared" si="141"/>
        <v>0</v>
      </c>
      <c r="F241" s="806">
        <f t="shared" si="141"/>
        <v>0.2762237762237762</v>
      </c>
      <c r="G241" s="806">
        <f t="shared" si="141"/>
        <v>0</v>
      </c>
      <c r="H241" s="806">
        <f t="shared" si="141"/>
        <v>0</v>
      </c>
      <c r="I241" s="624">
        <f t="shared" si="141"/>
        <v>9.5366511399852902E-2</v>
      </c>
      <c r="J241" s="624">
        <f t="shared" si="141"/>
        <v>0</v>
      </c>
      <c r="K241" s="625">
        <f t="shared" si="141"/>
        <v>0</v>
      </c>
      <c r="L241" s="625">
        <f t="shared" si="141"/>
        <v>0</v>
      </c>
      <c r="M241" s="625">
        <f t="shared" si="141"/>
        <v>0</v>
      </c>
      <c r="N241" s="624">
        <f t="shared" si="144"/>
        <v>5.7261410788381741E-2</v>
      </c>
      <c r="O241" s="624">
        <f t="shared" si="142"/>
        <v>0</v>
      </c>
      <c r="P241" s="626">
        <f t="shared" si="142"/>
        <v>0</v>
      </c>
      <c r="Q241" s="624">
        <f t="shared" si="142"/>
        <v>0.18849206349206349</v>
      </c>
      <c r="R241" s="357"/>
      <c r="S241" s="858">
        <v>177</v>
      </c>
      <c r="T241" s="858">
        <f>0+133</f>
        <v>133</v>
      </c>
      <c r="U241" s="858"/>
      <c r="V241" s="858">
        <v>79</v>
      </c>
      <c r="W241" s="858"/>
      <c r="X241" s="858"/>
      <c r="Y241" s="859">
        <f>256+133</f>
        <v>389</v>
      </c>
      <c r="Z241" s="859"/>
      <c r="AA241" s="858"/>
      <c r="AB241" s="858"/>
      <c r="AC241" s="858"/>
      <c r="AD241" s="858"/>
      <c r="AE241" s="859">
        <f>4+65</f>
        <v>69</v>
      </c>
      <c r="AF241" s="859"/>
      <c r="AG241" s="858"/>
      <c r="AH241" s="859">
        <f>20+75</f>
        <v>95</v>
      </c>
    </row>
    <row r="242" spans="1:34">
      <c r="A242" s="885"/>
      <c r="B242" s="436" t="s">
        <v>59</v>
      </c>
      <c r="C242" s="807">
        <f t="shared" si="143"/>
        <v>1</v>
      </c>
      <c r="D242" s="808">
        <f t="shared" si="141"/>
        <v>1</v>
      </c>
      <c r="E242" s="808">
        <f t="shared" si="141"/>
        <v>1</v>
      </c>
      <c r="F242" s="808">
        <f t="shared" si="141"/>
        <v>1</v>
      </c>
      <c r="G242" s="808">
        <f t="shared" si="141"/>
        <v>0</v>
      </c>
      <c r="H242" s="809">
        <f t="shared" si="141"/>
        <v>0</v>
      </c>
      <c r="I242" s="577">
        <f t="shared" si="141"/>
        <v>1</v>
      </c>
      <c r="J242" s="577">
        <f t="shared" si="141"/>
        <v>0</v>
      </c>
      <c r="K242" s="578">
        <f t="shared" si="141"/>
        <v>0</v>
      </c>
      <c r="L242" s="578">
        <f t="shared" si="141"/>
        <v>0</v>
      </c>
      <c r="M242" s="578">
        <f t="shared" si="141"/>
        <v>0</v>
      </c>
      <c r="N242" s="577">
        <f t="shared" si="144"/>
        <v>1</v>
      </c>
      <c r="O242" s="577">
        <f t="shared" si="142"/>
        <v>0</v>
      </c>
      <c r="P242" s="579">
        <f t="shared" si="142"/>
        <v>0</v>
      </c>
      <c r="Q242" s="577">
        <f t="shared" si="142"/>
        <v>1</v>
      </c>
      <c r="R242" s="357"/>
      <c r="S242" s="858">
        <v>2343</v>
      </c>
      <c r="T242" s="858">
        <v>561</v>
      </c>
      <c r="U242" s="858">
        <v>889</v>
      </c>
      <c r="V242" s="858">
        <v>286</v>
      </c>
      <c r="W242" s="858"/>
      <c r="X242" s="858"/>
      <c r="Y242" s="859">
        <v>4079</v>
      </c>
      <c r="Z242" s="859"/>
      <c r="AA242" s="858"/>
      <c r="AB242" s="858"/>
      <c r="AC242" s="858"/>
      <c r="AD242" s="858"/>
      <c r="AE242" s="859">
        <v>1205</v>
      </c>
      <c r="AF242" s="859"/>
      <c r="AG242" s="858"/>
      <c r="AH242" s="859">
        <v>504</v>
      </c>
    </row>
    <row r="243" spans="1:34">
      <c r="A243" s="882" t="s">
        <v>149</v>
      </c>
      <c r="B243" s="240" t="s">
        <v>53</v>
      </c>
      <c r="C243" s="806">
        <f>IF(S$248&gt;0,(S243/S$248),0)</f>
        <v>0.32841328413284132</v>
      </c>
      <c r="D243" s="806">
        <f t="shared" ref="D243:M248" si="145">IF(T$248&gt;0,(T243/T$248),0)</f>
        <v>0.27995642701525053</v>
      </c>
      <c r="E243" s="806">
        <f t="shared" si="145"/>
        <v>0.29576453697056715</v>
      </c>
      <c r="F243" s="806">
        <f t="shared" si="145"/>
        <v>0.27282850779510021</v>
      </c>
      <c r="G243" s="806">
        <f t="shared" si="145"/>
        <v>0</v>
      </c>
      <c r="H243" s="806">
        <f t="shared" si="145"/>
        <v>0.23853211009174313</v>
      </c>
      <c r="I243" s="613">
        <f t="shared" si="145"/>
        <v>0.31064650059311982</v>
      </c>
      <c r="J243" s="613">
        <f t="shared" si="145"/>
        <v>0</v>
      </c>
      <c r="K243" s="614">
        <f t="shared" si="145"/>
        <v>0</v>
      </c>
      <c r="L243" s="614">
        <f t="shared" si="145"/>
        <v>0</v>
      </c>
      <c r="M243" s="614">
        <f t="shared" si="145"/>
        <v>0</v>
      </c>
      <c r="N243" s="613">
        <f>IF(AE$248&gt;0,(AE243/AE$248),0)</f>
        <v>0.23602734217933252</v>
      </c>
      <c r="O243" s="613">
        <f t="shared" ref="O243:Q248" si="146">IF(AF$248&gt;0,(AF243/AF$248),0)</f>
        <v>0</v>
      </c>
      <c r="P243" s="615">
        <f t="shared" si="146"/>
        <v>0</v>
      </c>
      <c r="Q243" s="613">
        <f t="shared" si="146"/>
        <v>8.9201877934272297E-2</v>
      </c>
      <c r="R243" s="799"/>
      <c r="S243" s="856">
        <v>2581</v>
      </c>
      <c r="T243" s="856">
        <v>514</v>
      </c>
      <c r="U243" s="856">
        <v>824</v>
      </c>
      <c r="V243" s="856">
        <v>245</v>
      </c>
      <c r="W243" s="856"/>
      <c r="X243" s="856">
        <v>26</v>
      </c>
      <c r="Y243" s="857">
        <v>4190</v>
      </c>
      <c r="Z243" s="857"/>
      <c r="AA243" s="856"/>
      <c r="AB243" s="856"/>
      <c r="AC243" s="856"/>
      <c r="AD243" s="856"/>
      <c r="AE243" s="857">
        <v>587</v>
      </c>
      <c r="AF243" s="857"/>
      <c r="AG243" s="856"/>
      <c r="AH243" s="857">
        <v>19</v>
      </c>
    </row>
    <row r="244" spans="1:34">
      <c r="A244" s="883"/>
      <c r="B244" s="239" t="s">
        <v>93</v>
      </c>
      <c r="C244" s="806">
        <f t="shared" ref="C244:C248" si="147">IF(S$248&gt;0,(S244/S$248),0)</f>
        <v>0.22521949357424609</v>
      </c>
      <c r="D244" s="806">
        <f t="shared" si="145"/>
        <v>0.28812636165577343</v>
      </c>
      <c r="E244" s="806">
        <f t="shared" si="145"/>
        <v>0.27422828427853552</v>
      </c>
      <c r="F244" s="806">
        <f t="shared" si="145"/>
        <v>0.26503340757238308</v>
      </c>
      <c r="G244" s="806">
        <f t="shared" si="145"/>
        <v>0</v>
      </c>
      <c r="H244" s="806">
        <f t="shared" si="145"/>
        <v>0.25688073394495414</v>
      </c>
      <c r="I244" s="624">
        <f t="shared" si="145"/>
        <v>0.24681198102016608</v>
      </c>
      <c r="J244" s="624">
        <f t="shared" si="145"/>
        <v>0</v>
      </c>
      <c r="K244" s="625">
        <f t="shared" si="145"/>
        <v>0</v>
      </c>
      <c r="L244" s="625">
        <f t="shared" si="145"/>
        <v>0</v>
      </c>
      <c r="M244" s="625">
        <f t="shared" si="145"/>
        <v>0</v>
      </c>
      <c r="N244" s="624">
        <f t="shared" ref="N244:N248" si="148">IF(AE$248&gt;0,(AE244/AE$248),0)</f>
        <v>6.0313630880579013E-2</v>
      </c>
      <c r="O244" s="624">
        <f t="shared" si="146"/>
        <v>0</v>
      </c>
      <c r="P244" s="626">
        <f t="shared" si="146"/>
        <v>0</v>
      </c>
      <c r="Q244" s="624">
        <f t="shared" si="146"/>
        <v>0</v>
      </c>
      <c r="R244" s="357"/>
      <c r="S244" s="858">
        <v>1770</v>
      </c>
      <c r="T244" s="858">
        <v>529</v>
      </c>
      <c r="U244" s="858">
        <v>764</v>
      </c>
      <c r="V244" s="858">
        <v>238</v>
      </c>
      <c r="W244" s="858"/>
      <c r="X244" s="858">
        <v>28</v>
      </c>
      <c r="Y244" s="859">
        <v>3329</v>
      </c>
      <c r="Z244" s="859"/>
      <c r="AA244" s="858"/>
      <c r="AB244" s="858"/>
      <c r="AC244" s="858"/>
      <c r="AD244" s="858"/>
      <c r="AE244" s="859">
        <v>150</v>
      </c>
      <c r="AF244" s="859"/>
      <c r="AG244" s="858"/>
      <c r="AH244" s="859"/>
    </row>
    <row r="245" spans="1:34">
      <c r="A245" s="883"/>
      <c r="B245" s="239" t="s">
        <v>55</v>
      </c>
      <c r="C245" s="806">
        <f t="shared" si="147"/>
        <v>0.20753276498282225</v>
      </c>
      <c r="D245" s="806">
        <f t="shared" si="145"/>
        <v>0.22167755991285404</v>
      </c>
      <c r="E245" s="806">
        <f t="shared" si="145"/>
        <v>0.22038765254845658</v>
      </c>
      <c r="F245" s="806">
        <f t="shared" si="145"/>
        <v>0.33407572383073497</v>
      </c>
      <c r="G245" s="806">
        <f t="shared" si="145"/>
        <v>0</v>
      </c>
      <c r="H245" s="806">
        <f t="shared" si="145"/>
        <v>0.43119266055045874</v>
      </c>
      <c r="I245" s="624">
        <f t="shared" si="145"/>
        <v>0.22234578884934758</v>
      </c>
      <c r="J245" s="624">
        <f t="shared" si="145"/>
        <v>0</v>
      </c>
      <c r="K245" s="625">
        <f t="shared" si="145"/>
        <v>0</v>
      </c>
      <c r="L245" s="625">
        <f t="shared" si="145"/>
        <v>0</v>
      </c>
      <c r="M245" s="625">
        <f t="shared" si="145"/>
        <v>0</v>
      </c>
      <c r="N245" s="624">
        <f t="shared" si="148"/>
        <v>5.790108564535585E-2</v>
      </c>
      <c r="O245" s="624">
        <f t="shared" si="146"/>
        <v>0</v>
      </c>
      <c r="P245" s="626">
        <f t="shared" si="146"/>
        <v>0</v>
      </c>
      <c r="Q245" s="624">
        <f t="shared" si="146"/>
        <v>0</v>
      </c>
      <c r="R245" s="357"/>
      <c r="S245" s="858">
        <v>1631</v>
      </c>
      <c r="T245" s="858">
        <v>407</v>
      </c>
      <c r="U245" s="858">
        <v>614</v>
      </c>
      <c r="V245" s="858">
        <v>300</v>
      </c>
      <c r="W245" s="858"/>
      <c r="X245" s="858">
        <v>47</v>
      </c>
      <c r="Y245" s="859">
        <v>2999</v>
      </c>
      <c r="Z245" s="859"/>
      <c r="AA245" s="858"/>
      <c r="AB245" s="858"/>
      <c r="AC245" s="858"/>
      <c r="AD245" s="858"/>
      <c r="AE245" s="859">
        <v>144</v>
      </c>
      <c r="AF245" s="859"/>
      <c r="AG245" s="858"/>
      <c r="AH245" s="859"/>
    </row>
    <row r="246" spans="1:34">
      <c r="A246" s="883"/>
      <c r="B246" s="239" t="s">
        <v>78</v>
      </c>
      <c r="C246" s="806">
        <f t="shared" si="147"/>
        <v>3.5500699834584551E-2</v>
      </c>
      <c r="D246" s="806">
        <f t="shared" si="145"/>
        <v>4.4662309368191724E-2</v>
      </c>
      <c r="E246" s="806">
        <f t="shared" si="145"/>
        <v>2.2254127781765973E-2</v>
      </c>
      <c r="F246" s="806">
        <f t="shared" si="145"/>
        <v>8.9086859688195987E-3</v>
      </c>
      <c r="G246" s="806">
        <f t="shared" si="145"/>
        <v>0</v>
      </c>
      <c r="H246" s="806">
        <f t="shared" si="145"/>
        <v>6.4220183486238536E-2</v>
      </c>
      <c r="I246" s="624">
        <f t="shared" si="145"/>
        <v>3.2473309608540925E-2</v>
      </c>
      <c r="J246" s="624">
        <f t="shared" si="145"/>
        <v>0</v>
      </c>
      <c r="K246" s="625">
        <f t="shared" si="145"/>
        <v>0</v>
      </c>
      <c r="L246" s="625">
        <f t="shared" si="145"/>
        <v>0</v>
      </c>
      <c r="M246" s="625">
        <f t="shared" si="145"/>
        <v>0</v>
      </c>
      <c r="N246" s="624">
        <f t="shared" si="148"/>
        <v>0.25532770406111782</v>
      </c>
      <c r="O246" s="624">
        <f t="shared" si="146"/>
        <v>0</v>
      </c>
      <c r="P246" s="626">
        <f t="shared" si="146"/>
        <v>0</v>
      </c>
      <c r="Q246" s="624">
        <f t="shared" si="146"/>
        <v>0.91079812206572774</v>
      </c>
      <c r="R246" s="357"/>
      <c r="S246" s="858">
        <v>279</v>
      </c>
      <c r="T246" s="858">
        <v>82</v>
      </c>
      <c r="U246" s="858">
        <v>62</v>
      </c>
      <c r="V246" s="858">
        <v>8</v>
      </c>
      <c r="W246" s="858"/>
      <c r="X246" s="858">
        <v>7</v>
      </c>
      <c r="Y246" s="859">
        <v>438</v>
      </c>
      <c r="Z246" s="859"/>
      <c r="AA246" s="858"/>
      <c r="AB246" s="858"/>
      <c r="AC246" s="858"/>
      <c r="AD246" s="858"/>
      <c r="AE246" s="859">
        <v>635</v>
      </c>
      <c r="AF246" s="859"/>
      <c r="AG246" s="858"/>
      <c r="AH246" s="859">
        <v>194</v>
      </c>
    </row>
    <row r="247" spans="1:34">
      <c r="A247" s="884"/>
      <c r="B247" s="580" t="s">
        <v>131</v>
      </c>
      <c r="C247" s="806">
        <f t="shared" si="147"/>
        <v>0.20333375747550578</v>
      </c>
      <c r="D247" s="806">
        <f t="shared" si="145"/>
        <v>0.16557734204793029</v>
      </c>
      <c r="E247" s="806">
        <f t="shared" si="145"/>
        <v>0.18736539842067479</v>
      </c>
      <c r="F247" s="806">
        <f t="shared" si="145"/>
        <v>0.11915367483296214</v>
      </c>
      <c r="G247" s="806">
        <f t="shared" si="145"/>
        <v>0</v>
      </c>
      <c r="H247" s="806">
        <f t="shared" si="145"/>
        <v>9.1743119266055051E-3</v>
      </c>
      <c r="I247" s="624">
        <f t="shared" si="145"/>
        <v>0.18772241992882563</v>
      </c>
      <c r="J247" s="624">
        <f t="shared" si="145"/>
        <v>0</v>
      </c>
      <c r="K247" s="625">
        <f t="shared" si="145"/>
        <v>0</v>
      </c>
      <c r="L247" s="625">
        <f t="shared" si="145"/>
        <v>0</v>
      </c>
      <c r="M247" s="625">
        <f t="shared" si="145"/>
        <v>0</v>
      </c>
      <c r="N247" s="624">
        <f t="shared" si="148"/>
        <v>0.39043023723361481</v>
      </c>
      <c r="O247" s="624">
        <f t="shared" si="146"/>
        <v>0</v>
      </c>
      <c r="P247" s="626">
        <f t="shared" si="146"/>
        <v>0</v>
      </c>
      <c r="Q247" s="624">
        <f t="shared" si="146"/>
        <v>0</v>
      </c>
      <c r="R247" s="357"/>
      <c r="S247" s="858">
        <f>585+1013</f>
        <v>1598</v>
      </c>
      <c r="T247" s="858">
        <f>300+4</f>
        <v>304</v>
      </c>
      <c r="U247" s="858">
        <f>221+301</f>
        <v>522</v>
      </c>
      <c r="V247" s="858">
        <f>22+85</f>
        <v>107</v>
      </c>
      <c r="W247" s="858"/>
      <c r="X247" s="858">
        <f>0+1</f>
        <v>1</v>
      </c>
      <c r="Y247" s="859">
        <f>1128+1404</f>
        <v>2532</v>
      </c>
      <c r="Z247" s="859"/>
      <c r="AA247" s="858"/>
      <c r="AB247" s="858"/>
      <c r="AC247" s="858"/>
      <c r="AD247" s="858"/>
      <c r="AE247" s="859">
        <f>6+965</f>
        <v>971</v>
      </c>
      <c r="AF247" s="859"/>
      <c r="AG247" s="858"/>
      <c r="AH247" s="859"/>
    </row>
    <row r="248" spans="1:34">
      <c r="A248" s="885"/>
      <c r="B248" s="436" t="s">
        <v>59</v>
      </c>
      <c r="C248" s="807">
        <f t="shared" si="147"/>
        <v>1</v>
      </c>
      <c r="D248" s="808">
        <f t="shared" si="145"/>
        <v>1</v>
      </c>
      <c r="E248" s="808">
        <f t="shared" si="145"/>
        <v>1</v>
      </c>
      <c r="F248" s="808">
        <f t="shared" si="145"/>
        <v>1</v>
      </c>
      <c r="G248" s="808">
        <f t="shared" si="145"/>
        <v>0</v>
      </c>
      <c r="H248" s="809">
        <f t="shared" si="145"/>
        <v>1</v>
      </c>
      <c r="I248" s="577">
        <f t="shared" si="145"/>
        <v>1</v>
      </c>
      <c r="J248" s="577">
        <f t="shared" si="145"/>
        <v>0</v>
      </c>
      <c r="K248" s="578">
        <f t="shared" si="145"/>
        <v>0</v>
      </c>
      <c r="L248" s="578">
        <f t="shared" si="145"/>
        <v>0</v>
      </c>
      <c r="M248" s="578">
        <f t="shared" si="145"/>
        <v>0</v>
      </c>
      <c r="N248" s="577">
        <f t="shared" si="148"/>
        <v>1</v>
      </c>
      <c r="O248" s="577">
        <f t="shared" si="146"/>
        <v>0</v>
      </c>
      <c r="P248" s="579">
        <f t="shared" si="146"/>
        <v>0</v>
      </c>
      <c r="Q248" s="577">
        <f t="shared" si="146"/>
        <v>1</v>
      </c>
      <c r="R248" s="357"/>
      <c r="S248" s="858">
        <v>7859</v>
      </c>
      <c r="T248" s="858">
        <v>1836</v>
      </c>
      <c r="U248" s="858">
        <v>2786</v>
      </c>
      <c r="V248" s="858">
        <v>898</v>
      </c>
      <c r="W248" s="858"/>
      <c r="X248" s="858">
        <v>109</v>
      </c>
      <c r="Y248" s="859">
        <v>13488</v>
      </c>
      <c r="Z248" s="859"/>
      <c r="AA248" s="858"/>
      <c r="AB248" s="858"/>
      <c r="AC248" s="858"/>
      <c r="AD248" s="858"/>
      <c r="AE248" s="859">
        <v>2487</v>
      </c>
      <c r="AF248" s="859"/>
      <c r="AG248" s="858"/>
      <c r="AH248" s="859">
        <v>213</v>
      </c>
    </row>
    <row r="249" spans="1:34">
      <c r="A249" s="882" t="s">
        <v>150</v>
      </c>
      <c r="B249" s="240" t="s">
        <v>53</v>
      </c>
      <c r="C249" s="806">
        <f>IF(S$254&gt;0,(S249/S$254),0)</f>
        <v>0.38562628336755644</v>
      </c>
      <c r="D249" s="806">
        <f t="shared" ref="D249:M254" si="149">IF(T$254&gt;0,(T249/T$254),0)</f>
        <v>0</v>
      </c>
      <c r="E249" s="806">
        <f t="shared" si="149"/>
        <v>0.31498913830557568</v>
      </c>
      <c r="F249" s="806">
        <f t="shared" si="149"/>
        <v>0.36507936507936506</v>
      </c>
      <c r="G249" s="806">
        <f t="shared" si="149"/>
        <v>0.37735849056603776</v>
      </c>
      <c r="H249" s="806">
        <f t="shared" si="149"/>
        <v>0.18719211822660098</v>
      </c>
      <c r="I249" s="613">
        <f t="shared" si="149"/>
        <v>0.3549626035981403</v>
      </c>
      <c r="J249" s="613">
        <f t="shared" si="149"/>
        <v>0</v>
      </c>
      <c r="K249" s="614">
        <f t="shared" si="149"/>
        <v>0</v>
      </c>
      <c r="L249" s="614">
        <f t="shared" si="149"/>
        <v>0</v>
      </c>
      <c r="M249" s="614">
        <f t="shared" si="149"/>
        <v>0</v>
      </c>
      <c r="N249" s="613">
        <f>IF(AE$254&gt;0,(AE249/AE$254),0)</f>
        <v>0</v>
      </c>
      <c r="O249" s="613">
        <f t="shared" ref="O249:Q254" si="150">IF(AF$254&gt;0,(AF249/AF$254),0)</f>
        <v>0</v>
      </c>
      <c r="P249" s="615">
        <f t="shared" si="150"/>
        <v>0</v>
      </c>
      <c r="Q249" s="613">
        <f t="shared" si="150"/>
        <v>0</v>
      </c>
      <c r="R249" s="799"/>
      <c r="S249" s="856">
        <v>939</v>
      </c>
      <c r="T249" s="856"/>
      <c r="U249" s="856">
        <v>435</v>
      </c>
      <c r="V249" s="856">
        <v>184</v>
      </c>
      <c r="W249" s="856">
        <v>160</v>
      </c>
      <c r="X249" s="856">
        <v>38</v>
      </c>
      <c r="Y249" s="857">
        <v>1756</v>
      </c>
      <c r="Z249" s="857"/>
      <c r="AA249" s="856"/>
      <c r="AB249" s="856"/>
      <c r="AC249" s="856"/>
      <c r="AD249" s="856"/>
      <c r="AE249" s="857"/>
      <c r="AF249" s="857"/>
      <c r="AG249" s="856"/>
      <c r="AH249" s="857"/>
    </row>
    <row r="250" spans="1:34">
      <c r="A250" s="883"/>
      <c r="B250" s="239" t="s">
        <v>93</v>
      </c>
      <c r="C250" s="806">
        <f t="shared" ref="C250:C254" si="151">IF(S$254&gt;0,(S250/S$254),0)</f>
        <v>0.2574948665297741</v>
      </c>
      <c r="D250" s="806">
        <f t="shared" si="149"/>
        <v>0</v>
      </c>
      <c r="E250" s="806">
        <f t="shared" si="149"/>
        <v>0.28892107168718317</v>
      </c>
      <c r="F250" s="806">
        <f t="shared" si="149"/>
        <v>0.23214285714285715</v>
      </c>
      <c r="G250" s="806">
        <f t="shared" si="149"/>
        <v>0.22877358490566038</v>
      </c>
      <c r="H250" s="806">
        <f t="shared" si="149"/>
        <v>0.28078817733990147</v>
      </c>
      <c r="I250" s="624">
        <f t="shared" si="149"/>
        <v>0.26217909844350112</v>
      </c>
      <c r="J250" s="624">
        <f t="shared" si="149"/>
        <v>0</v>
      </c>
      <c r="K250" s="625">
        <f t="shared" si="149"/>
        <v>0</v>
      </c>
      <c r="L250" s="625">
        <f t="shared" si="149"/>
        <v>0</v>
      </c>
      <c r="M250" s="625">
        <f t="shared" si="149"/>
        <v>0</v>
      </c>
      <c r="N250" s="624">
        <f t="shared" ref="N250:N254" si="152">IF(AE$254&gt;0,(AE250/AE$254),0)</f>
        <v>0</v>
      </c>
      <c r="O250" s="624">
        <f t="shared" si="150"/>
        <v>0</v>
      </c>
      <c r="P250" s="626">
        <f t="shared" si="150"/>
        <v>0</v>
      </c>
      <c r="Q250" s="624">
        <f t="shared" si="150"/>
        <v>0</v>
      </c>
      <c r="R250" s="357"/>
      <c r="S250" s="858">
        <v>627</v>
      </c>
      <c r="T250" s="858"/>
      <c r="U250" s="858">
        <v>399</v>
      </c>
      <c r="V250" s="858">
        <v>117</v>
      </c>
      <c r="W250" s="858">
        <v>97</v>
      </c>
      <c r="X250" s="858">
        <v>57</v>
      </c>
      <c r="Y250" s="859">
        <v>1297</v>
      </c>
      <c r="Z250" s="859"/>
      <c r="AA250" s="858"/>
      <c r="AB250" s="858"/>
      <c r="AC250" s="858"/>
      <c r="AD250" s="858"/>
      <c r="AE250" s="859"/>
      <c r="AF250" s="859"/>
      <c r="AG250" s="858"/>
      <c r="AH250" s="859"/>
    </row>
    <row r="251" spans="1:34">
      <c r="A251" s="883"/>
      <c r="B251" s="239" t="s">
        <v>55</v>
      </c>
      <c r="C251" s="806">
        <f t="shared" si="151"/>
        <v>0.21806981519507188</v>
      </c>
      <c r="D251" s="806">
        <f t="shared" si="149"/>
        <v>0</v>
      </c>
      <c r="E251" s="806">
        <f t="shared" si="149"/>
        <v>0.3099203475742216</v>
      </c>
      <c r="F251" s="806">
        <f t="shared" si="149"/>
        <v>0.3888888888888889</v>
      </c>
      <c r="G251" s="806">
        <f t="shared" si="149"/>
        <v>0.32783018867924529</v>
      </c>
      <c r="H251" s="806">
        <f t="shared" si="149"/>
        <v>0.20689655172413793</v>
      </c>
      <c r="I251" s="624">
        <f t="shared" si="149"/>
        <v>0.2700626642409541</v>
      </c>
      <c r="J251" s="624">
        <f t="shared" si="149"/>
        <v>0</v>
      </c>
      <c r="K251" s="625">
        <f t="shared" si="149"/>
        <v>0</v>
      </c>
      <c r="L251" s="625">
        <f t="shared" si="149"/>
        <v>0</v>
      </c>
      <c r="M251" s="625">
        <f t="shared" si="149"/>
        <v>0</v>
      </c>
      <c r="N251" s="624">
        <f t="shared" si="152"/>
        <v>0</v>
      </c>
      <c r="O251" s="624">
        <f t="shared" si="150"/>
        <v>0</v>
      </c>
      <c r="P251" s="626">
        <f t="shared" si="150"/>
        <v>0</v>
      </c>
      <c r="Q251" s="624">
        <f t="shared" si="150"/>
        <v>0</v>
      </c>
      <c r="R251" s="357"/>
      <c r="S251" s="858">
        <v>531</v>
      </c>
      <c r="T251" s="858"/>
      <c r="U251" s="858">
        <v>428</v>
      </c>
      <c r="V251" s="858">
        <v>196</v>
      </c>
      <c r="W251" s="858">
        <v>139</v>
      </c>
      <c r="X251" s="858">
        <v>42</v>
      </c>
      <c r="Y251" s="859">
        <v>1336</v>
      </c>
      <c r="Z251" s="859"/>
      <c r="AA251" s="858"/>
      <c r="AB251" s="858"/>
      <c r="AC251" s="858"/>
      <c r="AD251" s="858"/>
      <c r="AE251" s="859"/>
      <c r="AF251" s="859"/>
      <c r="AG251" s="858"/>
      <c r="AH251" s="859"/>
    </row>
    <row r="252" spans="1:34">
      <c r="A252" s="883"/>
      <c r="B252" s="239" t="s">
        <v>78</v>
      </c>
      <c r="C252" s="806">
        <f t="shared" si="151"/>
        <v>6.570841889117043E-3</v>
      </c>
      <c r="D252" s="806">
        <f t="shared" si="149"/>
        <v>0</v>
      </c>
      <c r="E252" s="806">
        <f t="shared" si="149"/>
        <v>8.616944243301955E-2</v>
      </c>
      <c r="F252" s="806">
        <f t="shared" si="149"/>
        <v>1.3888888888888888E-2</v>
      </c>
      <c r="G252" s="806">
        <f t="shared" si="149"/>
        <v>6.6037735849056603E-2</v>
      </c>
      <c r="H252" s="806">
        <f t="shared" si="149"/>
        <v>2.9556650246305417E-2</v>
      </c>
      <c r="I252" s="624">
        <f t="shared" si="149"/>
        <v>3.5577117444916109E-2</v>
      </c>
      <c r="J252" s="624">
        <f t="shared" si="149"/>
        <v>0</v>
      </c>
      <c r="K252" s="625">
        <f t="shared" si="149"/>
        <v>0</v>
      </c>
      <c r="L252" s="625">
        <f t="shared" si="149"/>
        <v>0</v>
      </c>
      <c r="M252" s="625">
        <f t="shared" si="149"/>
        <v>0</v>
      </c>
      <c r="N252" s="624">
        <f t="shared" si="152"/>
        <v>1</v>
      </c>
      <c r="O252" s="624">
        <f t="shared" si="150"/>
        <v>0</v>
      </c>
      <c r="P252" s="626">
        <f t="shared" si="150"/>
        <v>0</v>
      </c>
      <c r="Q252" s="624">
        <f t="shared" si="150"/>
        <v>1</v>
      </c>
      <c r="R252" s="357"/>
      <c r="S252" s="858">
        <v>16</v>
      </c>
      <c r="T252" s="858"/>
      <c r="U252" s="858">
        <v>119</v>
      </c>
      <c r="V252" s="858">
        <v>7</v>
      </c>
      <c r="W252" s="858">
        <v>28</v>
      </c>
      <c r="X252" s="858">
        <v>6</v>
      </c>
      <c r="Y252" s="859">
        <v>176</v>
      </c>
      <c r="Z252" s="859"/>
      <c r="AA252" s="858"/>
      <c r="AB252" s="858"/>
      <c r="AC252" s="858"/>
      <c r="AD252" s="858"/>
      <c r="AE252" s="859">
        <v>1864</v>
      </c>
      <c r="AF252" s="859"/>
      <c r="AG252" s="858"/>
      <c r="AH252" s="859">
        <v>557</v>
      </c>
    </row>
    <row r="253" spans="1:34">
      <c r="A253" s="884"/>
      <c r="B253" s="580" t="s">
        <v>131</v>
      </c>
      <c r="C253" s="806">
        <f t="shared" si="151"/>
        <v>0.1322381930184805</v>
      </c>
      <c r="D253" s="806">
        <f t="shared" si="149"/>
        <v>0</v>
      </c>
      <c r="E253" s="806">
        <f t="shared" si="149"/>
        <v>0</v>
      </c>
      <c r="F253" s="806">
        <f t="shared" si="149"/>
        <v>0</v>
      </c>
      <c r="G253" s="806">
        <f t="shared" si="149"/>
        <v>0</v>
      </c>
      <c r="H253" s="806">
        <f t="shared" si="149"/>
        <v>0.29556650246305421</v>
      </c>
      <c r="I253" s="624">
        <f t="shared" si="149"/>
        <v>7.721851627248838E-2</v>
      </c>
      <c r="J253" s="624">
        <f t="shared" si="149"/>
        <v>0</v>
      </c>
      <c r="K253" s="625">
        <f t="shared" si="149"/>
        <v>0</v>
      </c>
      <c r="L253" s="625">
        <f t="shared" si="149"/>
        <v>0</v>
      </c>
      <c r="M253" s="625">
        <f t="shared" si="149"/>
        <v>0</v>
      </c>
      <c r="N253" s="624">
        <f t="shared" si="152"/>
        <v>0</v>
      </c>
      <c r="O253" s="624">
        <f t="shared" si="150"/>
        <v>0</v>
      </c>
      <c r="P253" s="626">
        <f t="shared" si="150"/>
        <v>0</v>
      </c>
      <c r="Q253" s="624">
        <f t="shared" si="150"/>
        <v>0</v>
      </c>
      <c r="R253" s="357"/>
      <c r="S253" s="858">
        <v>322</v>
      </c>
      <c r="T253" s="858"/>
      <c r="U253" s="858"/>
      <c r="V253" s="858"/>
      <c r="W253" s="858"/>
      <c r="X253" s="858">
        <v>60</v>
      </c>
      <c r="Y253" s="859">
        <v>382</v>
      </c>
      <c r="Z253" s="859"/>
      <c r="AA253" s="858"/>
      <c r="AB253" s="858"/>
      <c r="AC253" s="858"/>
      <c r="AD253" s="858"/>
      <c r="AE253" s="859"/>
      <c r="AF253" s="859"/>
      <c r="AG253" s="858"/>
      <c r="AH253" s="859"/>
    </row>
    <row r="254" spans="1:34">
      <c r="A254" s="885"/>
      <c r="B254" s="436" t="s">
        <v>59</v>
      </c>
      <c r="C254" s="807">
        <f t="shared" si="151"/>
        <v>1</v>
      </c>
      <c r="D254" s="808">
        <f t="shared" si="149"/>
        <v>0</v>
      </c>
      <c r="E254" s="808">
        <f t="shared" si="149"/>
        <v>1</v>
      </c>
      <c r="F254" s="808">
        <f t="shared" si="149"/>
        <v>1</v>
      </c>
      <c r="G254" s="808">
        <f t="shared" si="149"/>
        <v>1</v>
      </c>
      <c r="H254" s="809">
        <f t="shared" si="149"/>
        <v>1</v>
      </c>
      <c r="I254" s="577">
        <f t="shared" si="149"/>
        <v>1</v>
      </c>
      <c r="J254" s="577">
        <f t="shared" si="149"/>
        <v>0</v>
      </c>
      <c r="K254" s="578">
        <f t="shared" si="149"/>
        <v>0</v>
      </c>
      <c r="L254" s="578">
        <f t="shared" si="149"/>
        <v>0</v>
      </c>
      <c r="M254" s="578">
        <f t="shared" si="149"/>
        <v>0</v>
      </c>
      <c r="N254" s="577">
        <f t="shared" si="152"/>
        <v>1</v>
      </c>
      <c r="O254" s="577">
        <f t="shared" si="150"/>
        <v>0</v>
      </c>
      <c r="P254" s="579">
        <f t="shared" si="150"/>
        <v>0</v>
      </c>
      <c r="Q254" s="577">
        <f t="shared" si="150"/>
        <v>1</v>
      </c>
      <c r="R254" s="357"/>
      <c r="S254" s="858">
        <v>2435</v>
      </c>
      <c r="T254" s="858"/>
      <c r="U254" s="858">
        <v>1381</v>
      </c>
      <c r="V254" s="858">
        <v>504</v>
      </c>
      <c r="W254" s="858">
        <v>424</v>
      </c>
      <c r="X254" s="858">
        <v>203</v>
      </c>
      <c r="Y254" s="859">
        <v>4947</v>
      </c>
      <c r="Z254" s="859"/>
      <c r="AA254" s="858"/>
      <c r="AB254" s="858"/>
      <c r="AC254" s="858"/>
      <c r="AD254" s="858"/>
      <c r="AE254" s="859">
        <v>1864</v>
      </c>
      <c r="AF254" s="859"/>
      <c r="AG254" s="858"/>
      <c r="AH254" s="859">
        <v>557</v>
      </c>
    </row>
    <row r="255" spans="1:34">
      <c r="A255" s="882" t="s">
        <v>151</v>
      </c>
      <c r="B255" s="240" t="s">
        <v>53</v>
      </c>
      <c r="C255" s="806">
        <f>IF(S$260&gt;0,(S255/S$260),0)</f>
        <v>0.27927927927927926</v>
      </c>
      <c r="D255" s="806">
        <f t="shared" ref="D255:M260" si="153">IF(T$260&gt;0,(T255/T$260),0)</f>
        <v>0.29138627187079408</v>
      </c>
      <c r="E255" s="806">
        <f t="shared" si="153"/>
        <v>0.30278670953912112</v>
      </c>
      <c r="F255" s="806">
        <f t="shared" si="153"/>
        <v>0.35993975903614456</v>
      </c>
      <c r="G255" s="806">
        <f t="shared" si="153"/>
        <v>0.34158415841584161</v>
      </c>
      <c r="H255" s="806">
        <f t="shared" si="153"/>
        <v>9.5238095238095233E-2</v>
      </c>
      <c r="I255" s="613">
        <f t="shared" si="153"/>
        <v>0.30078683834048642</v>
      </c>
      <c r="J255" s="613">
        <f t="shared" si="153"/>
        <v>0</v>
      </c>
      <c r="K255" s="614">
        <f t="shared" si="153"/>
        <v>0</v>
      </c>
      <c r="L255" s="614">
        <f t="shared" si="153"/>
        <v>0</v>
      </c>
      <c r="M255" s="614">
        <f t="shared" si="153"/>
        <v>0</v>
      </c>
      <c r="N255" s="613">
        <f>IF(AE$260&gt;0,(AE255/AE$260),0)</f>
        <v>0.13321492007104796</v>
      </c>
      <c r="O255" s="613">
        <f t="shared" ref="O255:Q260" si="154">IF(AF$260&gt;0,(AF255/AF$260),0)</f>
        <v>0</v>
      </c>
      <c r="P255" s="615">
        <f t="shared" si="154"/>
        <v>0</v>
      </c>
      <c r="Q255" s="613">
        <f t="shared" si="154"/>
        <v>0</v>
      </c>
      <c r="R255" s="799"/>
      <c r="S255" s="856">
        <v>372</v>
      </c>
      <c r="T255" s="856">
        <v>433</v>
      </c>
      <c r="U255" s="856">
        <v>565</v>
      </c>
      <c r="V255" s="856">
        <v>239</v>
      </c>
      <c r="W255" s="856">
        <v>69</v>
      </c>
      <c r="X255" s="856">
        <v>4</v>
      </c>
      <c r="Y255" s="857">
        <v>1682</v>
      </c>
      <c r="Z255" s="857"/>
      <c r="AA255" s="856"/>
      <c r="AB255" s="856"/>
      <c r="AC255" s="856"/>
      <c r="AD255" s="856"/>
      <c r="AE255" s="857">
        <v>225</v>
      </c>
      <c r="AF255" s="857"/>
      <c r="AG255" s="856"/>
      <c r="AH255" s="857"/>
    </row>
    <row r="256" spans="1:34">
      <c r="A256" s="883"/>
      <c r="B256" s="239" t="s">
        <v>93</v>
      </c>
      <c r="C256" s="806">
        <f t="shared" ref="C256:C260" si="155">IF(S$260&gt;0,(S256/S$260),0)</f>
        <v>0.31231231231231232</v>
      </c>
      <c r="D256" s="806">
        <f t="shared" si="153"/>
        <v>0.35464333781965007</v>
      </c>
      <c r="E256" s="806">
        <f t="shared" si="153"/>
        <v>0.18649517684887459</v>
      </c>
      <c r="F256" s="806">
        <f t="shared" si="153"/>
        <v>0.19879518072289157</v>
      </c>
      <c r="G256" s="806">
        <f t="shared" si="153"/>
        <v>0.21782178217821782</v>
      </c>
      <c r="H256" s="806">
        <f t="shared" si="153"/>
        <v>0.19047619047619047</v>
      </c>
      <c r="I256" s="624">
        <f t="shared" si="153"/>
        <v>0.26376967095851217</v>
      </c>
      <c r="J256" s="624">
        <f t="shared" si="153"/>
        <v>0</v>
      </c>
      <c r="K256" s="625">
        <f t="shared" si="153"/>
        <v>0</v>
      </c>
      <c r="L256" s="625">
        <f t="shared" si="153"/>
        <v>0</v>
      </c>
      <c r="M256" s="625">
        <f t="shared" si="153"/>
        <v>0</v>
      </c>
      <c r="N256" s="624">
        <f t="shared" ref="N256:N260" si="156">IF(AE$260&gt;0,(AE256/AE$260),0)</f>
        <v>0.10657193605683836</v>
      </c>
      <c r="O256" s="624">
        <f t="shared" si="154"/>
        <v>0</v>
      </c>
      <c r="P256" s="626">
        <f t="shared" si="154"/>
        <v>0</v>
      </c>
      <c r="Q256" s="624">
        <f t="shared" si="154"/>
        <v>0</v>
      </c>
      <c r="R256" s="357"/>
      <c r="S256" s="858">
        <v>416</v>
      </c>
      <c r="T256" s="858">
        <v>527</v>
      </c>
      <c r="U256" s="858">
        <v>348</v>
      </c>
      <c r="V256" s="858">
        <v>132</v>
      </c>
      <c r="W256" s="858">
        <v>44</v>
      </c>
      <c r="X256" s="858">
        <v>8</v>
      </c>
      <c r="Y256" s="859">
        <v>1475</v>
      </c>
      <c r="Z256" s="859"/>
      <c r="AA256" s="858"/>
      <c r="AB256" s="858"/>
      <c r="AC256" s="858"/>
      <c r="AD256" s="858"/>
      <c r="AE256" s="859">
        <v>180</v>
      </c>
      <c r="AF256" s="859"/>
      <c r="AG256" s="858"/>
      <c r="AH256" s="859"/>
    </row>
    <row r="257" spans="1:34">
      <c r="A257" s="883"/>
      <c r="B257" s="239" t="s">
        <v>55</v>
      </c>
      <c r="C257" s="806">
        <f t="shared" si="155"/>
        <v>0.28303303303303301</v>
      </c>
      <c r="D257" s="806">
        <f t="shared" si="153"/>
        <v>0.28465679676985195</v>
      </c>
      <c r="E257" s="806">
        <f t="shared" si="153"/>
        <v>0.20042872454448016</v>
      </c>
      <c r="F257" s="806">
        <f t="shared" si="153"/>
        <v>0.33132530120481929</v>
      </c>
      <c r="G257" s="806">
        <f t="shared" si="153"/>
        <v>0.37128712871287128</v>
      </c>
      <c r="H257" s="806">
        <f t="shared" si="153"/>
        <v>0.40476190476190477</v>
      </c>
      <c r="I257" s="624">
        <f t="shared" si="153"/>
        <v>0.26573676680972819</v>
      </c>
      <c r="J257" s="624">
        <f t="shared" si="153"/>
        <v>0</v>
      </c>
      <c r="K257" s="625">
        <f t="shared" si="153"/>
        <v>0</v>
      </c>
      <c r="L257" s="625">
        <f t="shared" si="153"/>
        <v>0</v>
      </c>
      <c r="M257" s="625">
        <f t="shared" si="153"/>
        <v>0</v>
      </c>
      <c r="N257" s="624">
        <f t="shared" si="156"/>
        <v>0.14564831261101244</v>
      </c>
      <c r="O257" s="624">
        <f t="shared" si="154"/>
        <v>0</v>
      </c>
      <c r="P257" s="626">
        <f t="shared" si="154"/>
        <v>0</v>
      </c>
      <c r="Q257" s="624">
        <f t="shared" si="154"/>
        <v>0</v>
      </c>
      <c r="R257" s="357"/>
      <c r="S257" s="858">
        <v>377</v>
      </c>
      <c r="T257" s="858">
        <v>423</v>
      </c>
      <c r="U257" s="858">
        <v>374</v>
      </c>
      <c r="V257" s="858">
        <v>220</v>
      </c>
      <c r="W257" s="858">
        <v>75</v>
      </c>
      <c r="X257" s="858">
        <v>17</v>
      </c>
      <c r="Y257" s="859">
        <v>1486</v>
      </c>
      <c r="Z257" s="859"/>
      <c r="AA257" s="858"/>
      <c r="AB257" s="858"/>
      <c r="AC257" s="858"/>
      <c r="AD257" s="858"/>
      <c r="AE257" s="859">
        <v>246</v>
      </c>
      <c r="AF257" s="859"/>
      <c r="AG257" s="858"/>
      <c r="AH257" s="859"/>
    </row>
    <row r="258" spans="1:34">
      <c r="A258" s="883"/>
      <c r="B258" s="239" t="s">
        <v>78</v>
      </c>
      <c r="C258" s="806">
        <f t="shared" si="155"/>
        <v>6.9819819819819814E-2</v>
      </c>
      <c r="D258" s="806">
        <f t="shared" si="153"/>
        <v>2.0861372812920592E-2</v>
      </c>
      <c r="E258" s="806">
        <f t="shared" si="153"/>
        <v>0.20685959271168275</v>
      </c>
      <c r="F258" s="806">
        <f t="shared" si="153"/>
        <v>0.10692771084337349</v>
      </c>
      <c r="G258" s="806">
        <f t="shared" si="153"/>
        <v>3.9603960396039604E-2</v>
      </c>
      <c r="H258" s="806">
        <f t="shared" si="153"/>
        <v>0.30952380952380953</v>
      </c>
      <c r="I258" s="624">
        <f t="shared" si="153"/>
        <v>0.10765379113018599</v>
      </c>
      <c r="J258" s="624">
        <f t="shared" si="153"/>
        <v>0</v>
      </c>
      <c r="K258" s="625">
        <f t="shared" si="153"/>
        <v>0</v>
      </c>
      <c r="L258" s="625">
        <f t="shared" si="153"/>
        <v>0</v>
      </c>
      <c r="M258" s="625">
        <f t="shared" si="153"/>
        <v>0</v>
      </c>
      <c r="N258" s="624">
        <f t="shared" si="156"/>
        <v>0.18590882178804027</v>
      </c>
      <c r="O258" s="624">
        <f t="shared" si="154"/>
        <v>0</v>
      </c>
      <c r="P258" s="626">
        <f t="shared" si="154"/>
        <v>0</v>
      </c>
      <c r="Q258" s="624">
        <f t="shared" si="154"/>
        <v>0</v>
      </c>
      <c r="R258" s="357"/>
      <c r="S258" s="858">
        <v>93</v>
      </c>
      <c r="T258" s="858">
        <v>31</v>
      </c>
      <c r="U258" s="858">
        <v>386</v>
      </c>
      <c r="V258" s="858">
        <v>71</v>
      </c>
      <c r="W258" s="858">
        <v>8</v>
      </c>
      <c r="X258" s="858">
        <v>13</v>
      </c>
      <c r="Y258" s="859">
        <v>602</v>
      </c>
      <c r="Z258" s="859"/>
      <c r="AA258" s="858"/>
      <c r="AB258" s="858"/>
      <c r="AC258" s="858"/>
      <c r="AD258" s="858"/>
      <c r="AE258" s="859">
        <v>314</v>
      </c>
      <c r="AF258" s="859"/>
      <c r="AG258" s="858"/>
      <c r="AH258" s="859"/>
    </row>
    <row r="259" spans="1:34">
      <c r="A259" s="884"/>
      <c r="B259" s="580" t="s">
        <v>131</v>
      </c>
      <c r="C259" s="806">
        <f t="shared" si="155"/>
        <v>5.5555555555555552E-2</v>
      </c>
      <c r="D259" s="806">
        <f t="shared" si="153"/>
        <v>4.8452220726783311E-2</v>
      </c>
      <c r="E259" s="806">
        <f t="shared" si="153"/>
        <v>0.10342979635584137</v>
      </c>
      <c r="F259" s="806">
        <f t="shared" si="153"/>
        <v>3.0120481927710845E-3</v>
      </c>
      <c r="G259" s="806">
        <f t="shared" si="153"/>
        <v>2.9702970297029702E-2</v>
      </c>
      <c r="H259" s="806">
        <f t="shared" si="153"/>
        <v>0</v>
      </c>
      <c r="I259" s="624">
        <f t="shared" si="153"/>
        <v>6.2052932761087268E-2</v>
      </c>
      <c r="J259" s="624">
        <f t="shared" si="153"/>
        <v>0</v>
      </c>
      <c r="K259" s="625">
        <f t="shared" si="153"/>
        <v>0</v>
      </c>
      <c r="L259" s="625">
        <f t="shared" si="153"/>
        <v>0</v>
      </c>
      <c r="M259" s="625">
        <f t="shared" si="153"/>
        <v>0</v>
      </c>
      <c r="N259" s="624">
        <f t="shared" si="156"/>
        <v>0.42865600947306098</v>
      </c>
      <c r="O259" s="624">
        <f t="shared" si="154"/>
        <v>0</v>
      </c>
      <c r="P259" s="626">
        <f t="shared" si="154"/>
        <v>0</v>
      </c>
      <c r="Q259" s="624">
        <f t="shared" si="154"/>
        <v>0</v>
      </c>
      <c r="R259" s="357"/>
      <c r="S259" s="858">
        <f>15+59</f>
        <v>74</v>
      </c>
      <c r="T259" s="858">
        <f>50+22</f>
        <v>72</v>
      </c>
      <c r="U259" s="858">
        <f>6+187</f>
        <v>193</v>
      </c>
      <c r="V259" s="858">
        <v>2</v>
      </c>
      <c r="W259" s="858">
        <f>5+1</f>
        <v>6</v>
      </c>
      <c r="X259" s="858"/>
      <c r="Y259" s="859">
        <f>78+269</f>
        <v>347</v>
      </c>
      <c r="Z259" s="859"/>
      <c r="AA259" s="858"/>
      <c r="AB259" s="858"/>
      <c r="AC259" s="858"/>
      <c r="AD259" s="858"/>
      <c r="AE259" s="859">
        <f>3+721</f>
        <v>724</v>
      </c>
      <c r="AF259" s="859"/>
      <c r="AG259" s="858"/>
      <c r="AH259" s="859"/>
    </row>
    <row r="260" spans="1:34">
      <c r="A260" s="885"/>
      <c r="B260" s="436" t="s">
        <v>59</v>
      </c>
      <c r="C260" s="807">
        <f t="shared" si="155"/>
        <v>1</v>
      </c>
      <c r="D260" s="808">
        <f t="shared" si="153"/>
        <v>1</v>
      </c>
      <c r="E260" s="808">
        <f t="shared" si="153"/>
        <v>1</v>
      </c>
      <c r="F260" s="808">
        <f t="shared" si="153"/>
        <v>1</v>
      </c>
      <c r="G260" s="808">
        <f t="shared" si="153"/>
        <v>1</v>
      </c>
      <c r="H260" s="809">
        <f t="shared" si="153"/>
        <v>1</v>
      </c>
      <c r="I260" s="577">
        <f t="shared" si="153"/>
        <v>1</v>
      </c>
      <c r="J260" s="577">
        <f t="shared" si="153"/>
        <v>0</v>
      </c>
      <c r="K260" s="578">
        <f t="shared" si="153"/>
        <v>0</v>
      </c>
      <c r="L260" s="578">
        <f t="shared" si="153"/>
        <v>0</v>
      </c>
      <c r="M260" s="578">
        <f t="shared" si="153"/>
        <v>0</v>
      </c>
      <c r="N260" s="577">
        <f t="shared" si="156"/>
        <v>1</v>
      </c>
      <c r="O260" s="577">
        <f t="shared" si="154"/>
        <v>0</v>
      </c>
      <c r="P260" s="579">
        <f t="shared" si="154"/>
        <v>0</v>
      </c>
      <c r="Q260" s="577">
        <f t="shared" si="154"/>
        <v>0</v>
      </c>
      <c r="R260" s="357"/>
      <c r="S260" s="858">
        <v>1332</v>
      </c>
      <c r="T260" s="858">
        <v>1486</v>
      </c>
      <c r="U260" s="858">
        <v>1866</v>
      </c>
      <c r="V260" s="858">
        <v>664</v>
      </c>
      <c r="W260" s="858">
        <v>202</v>
      </c>
      <c r="X260" s="858">
        <v>42</v>
      </c>
      <c r="Y260" s="859">
        <v>5592</v>
      </c>
      <c r="Z260" s="859"/>
      <c r="AA260" s="858"/>
      <c r="AB260" s="858"/>
      <c r="AC260" s="858"/>
      <c r="AD260" s="858"/>
      <c r="AE260" s="859">
        <v>1689</v>
      </c>
      <c r="AF260" s="859"/>
      <c r="AG260" s="858"/>
      <c r="AH260" s="859"/>
    </row>
    <row r="261" spans="1:34">
      <c r="A261" s="882" t="s">
        <v>154</v>
      </c>
      <c r="B261" s="240" t="s">
        <v>53</v>
      </c>
      <c r="C261" s="806">
        <f>IF(S$266&gt;0,(S261/S$266),0)</f>
        <v>0.35431799838579497</v>
      </c>
      <c r="D261" s="806">
        <f t="shared" ref="D261:M266" si="157">IF(T$266&gt;0,(T261/T$266),0)</f>
        <v>0</v>
      </c>
      <c r="E261" s="806">
        <f t="shared" si="157"/>
        <v>0.26959619952494063</v>
      </c>
      <c r="F261" s="806">
        <f t="shared" si="157"/>
        <v>0.42222222222222222</v>
      </c>
      <c r="G261" s="806">
        <f t="shared" si="157"/>
        <v>0.40782122905027934</v>
      </c>
      <c r="H261" s="806">
        <f t="shared" si="157"/>
        <v>0</v>
      </c>
      <c r="I261" s="613">
        <f t="shared" si="157"/>
        <v>0.33063829787234045</v>
      </c>
      <c r="J261" s="613">
        <f t="shared" si="157"/>
        <v>0</v>
      </c>
      <c r="K261" s="614">
        <f t="shared" si="157"/>
        <v>0</v>
      </c>
      <c r="L261" s="614">
        <f t="shared" si="157"/>
        <v>0</v>
      </c>
      <c r="M261" s="614">
        <f t="shared" si="157"/>
        <v>0</v>
      </c>
      <c r="N261" s="613">
        <f>IF(AE$266&gt;0,(AE261/AE$266),0)</f>
        <v>0</v>
      </c>
      <c r="O261" s="613">
        <f t="shared" ref="O261:Q266" si="158">IF(AF$266&gt;0,(AF261/AF$266),0)</f>
        <v>0</v>
      </c>
      <c r="P261" s="615">
        <f t="shared" si="158"/>
        <v>0</v>
      </c>
      <c r="Q261" s="613">
        <f t="shared" si="158"/>
        <v>0</v>
      </c>
      <c r="R261" s="799"/>
      <c r="S261" s="856">
        <v>439</v>
      </c>
      <c r="T261" s="856"/>
      <c r="U261" s="856">
        <v>227</v>
      </c>
      <c r="V261" s="856">
        <v>38</v>
      </c>
      <c r="W261" s="856">
        <v>73</v>
      </c>
      <c r="X261" s="856"/>
      <c r="Y261" s="857">
        <v>777</v>
      </c>
      <c r="Z261" s="857"/>
      <c r="AA261" s="856"/>
      <c r="AB261" s="856"/>
      <c r="AC261" s="856"/>
      <c r="AD261" s="856"/>
      <c r="AE261" s="857"/>
      <c r="AF261" s="857"/>
      <c r="AG261" s="856"/>
      <c r="AH261" s="857"/>
    </row>
    <row r="262" spans="1:34">
      <c r="A262" s="883"/>
      <c r="B262" s="239" t="s">
        <v>93</v>
      </c>
      <c r="C262" s="806">
        <f t="shared" ref="C262:C266" si="159">IF(S$266&gt;0,(S262/S$266),0)</f>
        <v>0.26876513317191281</v>
      </c>
      <c r="D262" s="806">
        <f t="shared" si="157"/>
        <v>0</v>
      </c>
      <c r="E262" s="806">
        <f t="shared" si="157"/>
        <v>0.27078384798099764</v>
      </c>
      <c r="F262" s="806">
        <f t="shared" si="157"/>
        <v>0.25555555555555554</v>
      </c>
      <c r="G262" s="806">
        <f t="shared" si="157"/>
        <v>0.20670391061452514</v>
      </c>
      <c r="H262" s="806">
        <f t="shared" si="157"/>
        <v>0</v>
      </c>
      <c r="I262" s="624">
        <f t="shared" si="157"/>
        <v>0.26425531914893619</v>
      </c>
      <c r="J262" s="624">
        <f t="shared" si="157"/>
        <v>0</v>
      </c>
      <c r="K262" s="625">
        <f t="shared" si="157"/>
        <v>0</v>
      </c>
      <c r="L262" s="625">
        <f t="shared" si="157"/>
        <v>0</v>
      </c>
      <c r="M262" s="625">
        <f t="shared" si="157"/>
        <v>0</v>
      </c>
      <c r="N262" s="624">
        <f t="shared" ref="N262:N266" si="160">IF(AE$266&gt;0,(AE262/AE$266),0)</f>
        <v>0</v>
      </c>
      <c r="O262" s="624">
        <f t="shared" si="158"/>
        <v>0</v>
      </c>
      <c r="P262" s="626">
        <f t="shared" si="158"/>
        <v>0</v>
      </c>
      <c r="Q262" s="624">
        <f t="shared" si="158"/>
        <v>0</v>
      </c>
      <c r="R262" s="357"/>
      <c r="S262" s="858">
        <v>333</v>
      </c>
      <c r="T262" s="858"/>
      <c r="U262" s="858">
        <v>228</v>
      </c>
      <c r="V262" s="858">
        <v>23</v>
      </c>
      <c r="W262" s="858">
        <v>37</v>
      </c>
      <c r="X262" s="858"/>
      <c r="Y262" s="859">
        <v>621</v>
      </c>
      <c r="Z262" s="859"/>
      <c r="AA262" s="858"/>
      <c r="AB262" s="858"/>
      <c r="AC262" s="858"/>
      <c r="AD262" s="858"/>
      <c r="AE262" s="859"/>
      <c r="AF262" s="859"/>
      <c r="AG262" s="858"/>
      <c r="AH262" s="859"/>
    </row>
    <row r="263" spans="1:34">
      <c r="A263" s="883"/>
      <c r="B263" s="239" t="s">
        <v>55</v>
      </c>
      <c r="C263" s="806">
        <f t="shared" si="159"/>
        <v>0.19693301049233253</v>
      </c>
      <c r="D263" s="806">
        <f t="shared" si="157"/>
        <v>0</v>
      </c>
      <c r="E263" s="806">
        <f t="shared" si="157"/>
        <v>0.25415676959619954</v>
      </c>
      <c r="F263" s="806">
        <f t="shared" si="157"/>
        <v>0.22222222222222221</v>
      </c>
      <c r="G263" s="806">
        <f t="shared" si="157"/>
        <v>0.26256983240223464</v>
      </c>
      <c r="H263" s="806">
        <f t="shared" si="157"/>
        <v>0</v>
      </c>
      <c r="I263" s="624">
        <f t="shared" si="157"/>
        <v>0.22340425531914893</v>
      </c>
      <c r="J263" s="624">
        <f t="shared" si="157"/>
        <v>0</v>
      </c>
      <c r="K263" s="625">
        <f t="shared" si="157"/>
        <v>0</v>
      </c>
      <c r="L263" s="625">
        <f t="shared" si="157"/>
        <v>0</v>
      </c>
      <c r="M263" s="625">
        <f t="shared" si="157"/>
        <v>0</v>
      </c>
      <c r="N263" s="624">
        <f t="shared" si="160"/>
        <v>0</v>
      </c>
      <c r="O263" s="624">
        <f t="shared" si="158"/>
        <v>0</v>
      </c>
      <c r="P263" s="626">
        <f t="shared" si="158"/>
        <v>0</v>
      </c>
      <c r="Q263" s="624">
        <f t="shared" si="158"/>
        <v>0</v>
      </c>
      <c r="R263" s="357"/>
      <c r="S263" s="858">
        <v>244</v>
      </c>
      <c r="T263" s="858"/>
      <c r="U263" s="858">
        <v>214</v>
      </c>
      <c r="V263" s="858">
        <v>20</v>
      </c>
      <c r="W263" s="858">
        <v>47</v>
      </c>
      <c r="X263" s="858"/>
      <c r="Y263" s="859">
        <v>525</v>
      </c>
      <c r="Z263" s="859"/>
      <c r="AA263" s="858"/>
      <c r="AB263" s="858"/>
      <c r="AC263" s="858"/>
      <c r="AD263" s="858"/>
      <c r="AE263" s="859"/>
      <c r="AF263" s="859"/>
      <c r="AG263" s="858"/>
      <c r="AH263" s="859"/>
    </row>
    <row r="264" spans="1:34">
      <c r="A264" s="883"/>
      <c r="B264" s="239" t="s">
        <v>78</v>
      </c>
      <c r="C264" s="806">
        <f t="shared" si="159"/>
        <v>0</v>
      </c>
      <c r="D264" s="806">
        <f t="shared" si="157"/>
        <v>0</v>
      </c>
      <c r="E264" s="806">
        <f t="shared" si="157"/>
        <v>9.5011876484560567E-2</v>
      </c>
      <c r="F264" s="806">
        <f t="shared" si="157"/>
        <v>8.8888888888888892E-2</v>
      </c>
      <c r="G264" s="806">
        <f t="shared" si="157"/>
        <v>8.9385474860335198E-2</v>
      </c>
      <c r="H264" s="806">
        <f t="shared" si="157"/>
        <v>0</v>
      </c>
      <c r="I264" s="624">
        <f t="shared" si="157"/>
        <v>4.425531914893617E-2</v>
      </c>
      <c r="J264" s="624">
        <f t="shared" si="157"/>
        <v>0</v>
      </c>
      <c r="K264" s="625">
        <f t="shared" si="157"/>
        <v>0</v>
      </c>
      <c r="L264" s="625">
        <f t="shared" si="157"/>
        <v>0</v>
      </c>
      <c r="M264" s="625">
        <f t="shared" si="157"/>
        <v>0</v>
      </c>
      <c r="N264" s="624">
        <f t="shared" si="160"/>
        <v>0.36705882352941177</v>
      </c>
      <c r="O264" s="624">
        <f t="shared" si="158"/>
        <v>0</v>
      </c>
      <c r="P264" s="626">
        <f t="shared" si="158"/>
        <v>0</v>
      </c>
      <c r="Q264" s="624">
        <f t="shared" si="158"/>
        <v>0</v>
      </c>
      <c r="R264" s="357"/>
      <c r="S264" s="858"/>
      <c r="T264" s="858"/>
      <c r="U264" s="858">
        <v>80</v>
      </c>
      <c r="V264" s="858">
        <v>8</v>
      </c>
      <c r="W264" s="858">
        <v>16</v>
      </c>
      <c r="X264" s="858"/>
      <c r="Y264" s="859">
        <v>104</v>
      </c>
      <c r="Z264" s="859"/>
      <c r="AA264" s="858"/>
      <c r="AB264" s="858"/>
      <c r="AC264" s="858"/>
      <c r="AD264" s="858"/>
      <c r="AE264" s="859">
        <v>312</v>
      </c>
      <c r="AF264" s="859"/>
      <c r="AG264" s="858"/>
      <c r="AH264" s="859"/>
    </row>
    <row r="265" spans="1:34">
      <c r="A265" s="884"/>
      <c r="B265" s="580" t="s">
        <v>131</v>
      </c>
      <c r="C265" s="806">
        <f t="shared" si="159"/>
        <v>0.17998385794995964</v>
      </c>
      <c r="D265" s="806">
        <f t="shared" si="157"/>
        <v>0</v>
      </c>
      <c r="E265" s="806">
        <f t="shared" si="157"/>
        <v>0.11045130641330166</v>
      </c>
      <c r="F265" s="806">
        <f t="shared" si="157"/>
        <v>1.1111111111111112E-2</v>
      </c>
      <c r="G265" s="806">
        <f t="shared" si="157"/>
        <v>3.3519553072625698E-2</v>
      </c>
      <c r="H265" s="806">
        <f t="shared" si="157"/>
        <v>0</v>
      </c>
      <c r="I265" s="624">
        <f t="shared" si="157"/>
        <v>0.13744680851063829</v>
      </c>
      <c r="J265" s="624">
        <f t="shared" si="157"/>
        <v>0</v>
      </c>
      <c r="K265" s="625">
        <f t="shared" si="157"/>
        <v>0</v>
      </c>
      <c r="L265" s="625">
        <f t="shared" si="157"/>
        <v>0</v>
      </c>
      <c r="M265" s="625">
        <f t="shared" si="157"/>
        <v>0</v>
      </c>
      <c r="N265" s="624">
        <f t="shared" si="160"/>
        <v>0.63294117647058823</v>
      </c>
      <c r="O265" s="624">
        <f t="shared" si="158"/>
        <v>0</v>
      </c>
      <c r="P265" s="626">
        <f t="shared" si="158"/>
        <v>0</v>
      </c>
      <c r="Q265" s="624">
        <f t="shared" si="158"/>
        <v>1</v>
      </c>
      <c r="R265" s="357"/>
      <c r="S265" s="858">
        <v>223</v>
      </c>
      <c r="T265" s="858"/>
      <c r="U265" s="858">
        <v>93</v>
      </c>
      <c r="V265" s="858">
        <v>1</v>
      </c>
      <c r="W265" s="858">
        <v>6</v>
      </c>
      <c r="X265" s="858"/>
      <c r="Y265" s="859">
        <v>323</v>
      </c>
      <c r="Z265" s="859"/>
      <c r="AA265" s="858"/>
      <c r="AB265" s="858"/>
      <c r="AC265" s="858"/>
      <c r="AD265" s="858"/>
      <c r="AE265" s="859">
        <v>538</v>
      </c>
      <c r="AF265" s="859"/>
      <c r="AG265" s="858"/>
      <c r="AH265" s="859">
        <v>171</v>
      </c>
    </row>
    <row r="266" spans="1:34">
      <c r="A266" s="885"/>
      <c r="B266" s="436" t="s">
        <v>59</v>
      </c>
      <c r="C266" s="807">
        <f t="shared" si="159"/>
        <v>1</v>
      </c>
      <c r="D266" s="808">
        <f t="shared" si="157"/>
        <v>0</v>
      </c>
      <c r="E266" s="808">
        <f t="shared" si="157"/>
        <v>1</v>
      </c>
      <c r="F266" s="808">
        <f t="shared" si="157"/>
        <v>1</v>
      </c>
      <c r="G266" s="808">
        <f t="shared" si="157"/>
        <v>1</v>
      </c>
      <c r="H266" s="809">
        <f t="shared" si="157"/>
        <v>0</v>
      </c>
      <c r="I266" s="577">
        <f t="shared" si="157"/>
        <v>1</v>
      </c>
      <c r="J266" s="577">
        <f t="shared" si="157"/>
        <v>0</v>
      </c>
      <c r="K266" s="578">
        <f t="shared" si="157"/>
        <v>0</v>
      </c>
      <c r="L266" s="578">
        <f t="shared" si="157"/>
        <v>0</v>
      </c>
      <c r="M266" s="578">
        <f t="shared" si="157"/>
        <v>0</v>
      </c>
      <c r="N266" s="577">
        <f t="shared" si="160"/>
        <v>1</v>
      </c>
      <c r="O266" s="577">
        <f t="shared" si="158"/>
        <v>0</v>
      </c>
      <c r="P266" s="579">
        <f t="shared" si="158"/>
        <v>0</v>
      </c>
      <c r="Q266" s="577">
        <f t="shared" si="158"/>
        <v>1</v>
      </c>
      <c r="R266" s="357"/>
      <c r="S266" s="858">
        <v>1239</v>
      </c>
      <c r="T266" s="858"/>
      <c r="U266" s="858">
        <v>842</v>
      </c>
      <c r="V266" s="858">
        <v>90</v>
      </c>
      <c r="W266" s="858">
        <v>179</v>
      </c>
      <c r="X266" s="858"/>
      <c r="Y266" s="859">
        <v>2350</v>
      </c>
      <c r="Z266" s="859"/>
      <c r="AA266" s="858"/>
      <c r="AB266" s="858"/>
      <c r="AC266" s="858"/>
      <c r="AD266" s="858"/>
      <c r="AE266" s="859">
        <v>850</v>
      </c>
      <c r="AF266" s="859"/>
      <c r="AG266" s="858"/>
      <c r="AH266" s="859">
        <v>171</v>
      </c>
    </row>
    <row r="267" spans="1:34">
      <c r="A267" s="882" t="s">
        <v>153</v>
      </c>
      <c r="B267" s="240" t="s">
        <v>53</v>
      </c>
      <c r="C267" s="806">
        <f>IF(S$272&gt;0,(S267/S$272),0)</f>
        <v>0</v>
      </c>
      <c r="D267" s="806">
        <f t="shared" ref="D267:M272" si="161">IF(T$272&gt;0,(T267/T$272),0)</f>
        <v>0.23509369676320271</v>
      </c>
      <c r="E267" s="806">
        <f t="shared" si="161"/>
        <v>0</v>
      </c>
      <c r="F267" s="806">
        <f t="shared" si="161"/>
        <v>0.19318181818181818</v>
      </c>
      <c r="G267" s="806">
        <f t="shared" si="161"/>
        <v>8.6956521739130432E-2</v>
      </c>
      <c r="H267" s="806">
        <f t="shared" si="161"/>
        <v>0.1953125</v>
      </c>
      <c r="I267" s="613">
        <f t="shared" si="161"/>
        <v>0.22042663219133807</v>
      </c>
      <c r="J267" s="613">
        <f t="shared" si="161"/>
        <v>0</v>
      </c>
      <c r="K267" s="614">
        <f t="shared" si="161"/>
        <v>0</v>
      </c>
      <c r="L267" s="614">
        <f t="shared" si="161"/>
        <v>0</v>
      </c>
      <c r="M267" s="614">
        <f t="shared" si="161"/>
        <v>0</v>
      </c>
      <c r="N267" s="613">
        <f>IF(AE$272&gt;0,(AE267/AE$272),0)</f>
        <v>3.9024390243902439E-2</v>
      </c>
      <c r="O267" s="613">
        <f t="shared" ref="O267:Q272" si="162">IF(AF$272&gt;0,(AF267/AF$272),0)</f>
        <v>0</v>
      </c>
      <c r="P267" s="615">
        <f t="shared" si="162"/>
        <v>0</v>
      </c>
      <c r="Q267" s="613">
        <f t="shared" si="162"/>
        <v>0</v>
      </c>
      <c r="R267" s="799"/>
      <c r="S267" s="856"/>
      <c r="T267" s="856">
        <v>276</v>
      </c>
      <c r="U267" s="856"/>
      <c r="V267" s="856">
        <v>34</v>
      </c>
      <c r="W267" s="856">
        <v>6</v>
      </c>
      <c r="X267" s="856">
        <v>25</v>
      </c>
      <c r="Y267" s="857">
        <v>341</v>
      </c>
      <c r="Z267" s="857"/>
      <c r="AA267" s="856"/>
      <c r="AB267" s="856"/>
      <c r="AC267" s="856"/>
      <c r="AD267" s="856"/>
      <c r="AE267" s="857">
        <v>16</v>
      </c>
      <c r="AF267" s="857"/>
      <c r="AG267" s="856"/>
      <c r="AH267" s="857"/>
    </row>
    <row r="268" spans="1:34">
      <c r="A268" s="883"/>
      <c r="B268" s="239" t="s">
        <v>93</v>
      </c>
      <c r="C268" s="806">
        <f t="shared" ref="C268:C272" si="163">IF(S$272&gt;0,(S268/S$272),0)</f>
        <v>0</v>
      </c>
      <c r="D268" s="806">
        <f t="shared" si="161"/>
        <v>0.30749574105621807</v>
      </c>
      <c r="E268" s="806">
        <f t="shared" si="161"/>
        <v>0</v>
      </c>
      <c r="F268" s="806">
        <f t="shared" si="161"/>
        <v>0.18181818181818182</v>
      </c>
      <c r="G268" s="806">
        <f t="shared" si="161"/>
        <v>0.21739130434782608</v>
      </c>
      <c r="H268" s="806">
        <f t="shared" si="161"/>
        <v>0.15625</v>
      </c>
      <c r="I268" s="624">
        <f t="shared" si="161"/>
        <v>0.27666451195862962</v>
      </c>
      <c r="J268" s="624">
        <f t="shared" si="161"/>
        <v>0</v>
      </c>
      <c r="K268" s="625">
        <f t="shared" si="161"/>
        <v>0</v>
      </c>
      <c r="L268" s="625">
        <f t="shared" si="161"/>
        <v>0</v>
      </c>
      <c r="M268" s="625">
        <f t="shared" si="161"/>
        <v>0</v>
      </c>
      <c r="N268" s="624">
        <f t="shared" ref="N268:N272" si="164">IF(AE$272&gt;0,(AE268/AE$272),0)</f>
        <v>0.35365853658536583</v>
      </c>
      <c r="O268" s="624">
        <f t="shared" si="162"/>
        <v>0</v>
      </c>
      <c r="P268" s="626">
        <f t="shared" si="162"/>
        <v>0</v>
      </c>
      <c r="Q268" s="624">
        <f t="shared" si="162"/>
        <v>0</v>
      </c>
      <c r="R268" s="357"/>
      <c r="S268" s="858"/>
      <c r="T268" s="858">
        <v>361</v>
      </c>
      <c r="U268" s="858"/>
      <c r="V268" s="858">
        <v>32</v>
      </c>
      <c r="W268" s="858">
        <v>15</v>
      </c>
      <c r="X268" s="858">
        <v>20</v>
      </c>
      <c r="Y268" s="859">
        <v>428</v>
      </c>
      <c r="Z268" s="859"/>
      <c r="AA268" s="858"/>
      <c r="AB268" s="858"/>
      <c r="AC268" s="858"/>
      <c r="AD268" s="858"/>
      <c r="AE268" s="859">
        <v>145</v>
      </c>
      <c r="AF268" s="859"/>
      <c r="AG268" s="858"/>
      <c r="AH268" s="859"/>
    </row>
    <row r="269" spans="1:34">
      <c r="A269" s="883"/>
      <c r="B269" s="239" t="s">
        <v>55</v>
      </c>
      <c r="C269" s="806">
        <f t="shared" si="163"/>
        <v>0</v>
      </c>
      <c r="D269" s="806">
        <f t="shared" si="161"/>
        <v>0.29471890971039183</v>
      </c>
      <c r="E269" s="806">
        <f t="shared" si="161"/>
        <v>0</v>
      </c>
      <c r="F269" s="806">
        <f t="shared" si="161"/>
        <v>0.36931818181818182</v>
      </c>
      <c r="G269" s="806">
        <f t="shared" si="161"/>
        <v>0.52173913043478259</v>
      </c>
      <c r="H269" s="806">
        <f t="shared" si="161"/>
        <v>0.4609375</v>
      </c>
      <c r="I269" s="624">
        <f t="shared" si="161"/>
        <v>0.3270846800258565</v>
      </c>
      <c r="J269" s="624">
        <f t="shared" si="161"/>
        <v>0</v>
      </c>
      <c r="K269" s="625">
        <f t="shared" si="161"/>
        <v>0</v>
      </c>
      <c r="L269" s="625">
        <f t="shared" si="161"/>
        <v>0</v>
      </c>
      <c r="M269" s="625">
        <f t="shared" si="161"/>
        <v>0</v>
      </c>
      <c r="N269" s="624">
        <f t="shared" si="164"/>
        <v>0.26097560975609757</v>
      </c>
      <c r="O269" s="624">
        <f t="shared" si="162"/>
        <v>0</v>
      </c>
      <c r="P269" s="626">
        <f t="shared" si="162"/>
        <v>0</v>
      </c>
      <c r="Q269" s="624">
        <f t="shared" si="162"/>
        <v>0</v>
      </c>
      <c r="R269" s="357"/>
      <c r="S269" s="858"/>
      <c r="T269" s="858">
        <v>346</v>
      </c>
      <c r="U269" s="858"/>
      <c r="V269" s="858">
        <v>65</v>
      </c>
      <c r="W269" s="858">
        <v>36</v>
      </c>
      <c r="X269" s="858">
        <v>59</v>
      </c>
      <c r="Y269" s="859">
        <v>506</v>
      </c>
      <c r="Z269" s="859"/>
      <c r="AA269" s="858"/>
      <c r="AB269" s="858"/>
      <c r="AC269" s="858"/>
      <c r="AD269" s="858"/>
      <c r="AE269" s="859">
        <v>107</v>
      </c>
      <c r="AF269" s="859"/>
      <c r="AG269" s="858"/>
      <c r="AH269" s="859"/>
    </row>
    <row r="270" spans="1:34">
      <c r="A270" s="883"/>
      <c r="B270" s="239" t="s">
        <v>78</v>
      </c>
      <c r="C270" s="806">
        <f t="shared" si="163"/>
        <v>0</v>
      </c>
      <c r="D270" s="806">
        <f t="shared" si="161"/>
        <v>3.8330494037478707E-2</v>
      </c>
      <c r="E270" s="806">
        <f t="shared" si="161"/>
        <v>0</v>
      </c>
      <c r="F270" s="806">
        <f t="shared" si="161"/>
        <v>0.16477272727272727</v>
      </c>
      <c r="G270" s="806">
        <f t="shared" si="161"/>
        <v>0.17391304347826086</v>
      </c>
      <c r="H270" s="806">
        <f t="shared" si="161"/>
        <v>0.1484375</v>
      </c>
      <c r="I270" s="624">
        <f t="shared" si="161"/>
        <v>6.7873303167420809E-2</v>
      </c>
      <c r="J270" s="624">
        <f t="shared" si="161"/>
        <v>0</v>
      </c>
      <c r="K270" s="625">
        <f t="shared" si="161"/>
        <v>0</v>
      </c>
      <c r="L270" s="625">
        <f t="shared" si="161"/>
        <v>0</v>
      </c>
      <c r="M270" s="625">
        <f t="shared" si="161"/>
        <v>0</v>
      </c>
      <c r="N270" s="624">
        <f t="shared" si="164"/>
        <v>0.28536585365853656</v>
      </c>
      <c r="O270" s="624">
        <f t="shared" si="162"/>
        <v>0</v>
      </c>
      <c r="P270" s="626">
        <f t="shared" si="162"/>
        <v>0</v>
      </c>
      <c r="Q270" s="624">
        <f t="shared" si="162"/>
        <v>0</v>
      </c>
      <c r="R270" s="357"/>
      <c r="S270" s="858"/>
      <c r="T270" s="858">
        <v>45</v>
      </c>
      <c r="U270" s="858"/>
      <c r="V270" s="858">
        <v>29</v>
      </c>
      <c r="W270" s="858">
        <v>12</v>
      </c>
      <c r="X270" s="858">
        <v>19</v>
      </c>
      <c r="Y270" s="859">
        <v>105</v>
      </c>
      <c r="Z270" s="859"/>
      <c r="AA270" s="858"/>
      <c r="AB270" s="858"/>
      <c r="AC270" s="858"/>
      <c r="AD270" s="858"/>
      <c r="AE270" s="859">
        <v>117</v>
      </c>
      <c r="AF270" s="859"/>
      <c r="AG270" s="858"/>
      <c r="AH270" s="859"/>
    </row>
    <row r="271" spans="1:34">
      <c r="A271" s="884"/>
      <c r="B271" s="580" t="s">
        <v>131</v>
      </c>
      <c r="C271" s="806">
        <f t="shared" si="163"/>
        <v>0</v>
      </c>
      <c r="D271" s="806">
        <f t="shared" si="161"/>
        <v>0.12436115843270869</v>
      </c>
      <c r="E271" s="806">
        <f t="shared" si="161"/>
        <v>0</v>
      </c>
      <c r="F271" s="806">
        <f t="shared" si="161"/>
        <v>9.0909090909090912E-2</v>
      </c>
      <c r="G271" s="806">
        <f t="shared" si="161"/>
        <v>0</v>
      </c>
      <c r="H271" s="806">
        <f t="shared" si="161"/>
        <v>3.90625E-2</v>
      </c>
      <c r="I271" s="624">
        <f t="shared" si="161"/>
        <v>0.10795087265675501</v>
      </c>
      <c r="J271" s="624">
        <f t="shared" si="161"/>
        <v>0</v>
      </c>
      <c r="K271" s="625">
        <f t="shared" si="161"/>
        <v>0</v>
      </c>
      <c r="L271" s="625">
        <f t="shared" si="161"/>
        <v>0</v>
      </c>
      <c r="M271" s="625">
        <f t="shared" si="161"/>
        <v>0</v>
      </c>
      <c r="N271" s="624">
        <f t="shared" si="164"/>
        <v>6.097560975609756E-2</v>
      </c>
      <c r="O271" s="624">
        <f t="shared" si="162"/>
        <v>0</v>
      </c>
      <c r="P271" s="626">
        <f t="shared" si="162"/>
        <v>0</v>
      </c>
      <c r="Q271" s="624">
        <f t="shared" si="162"/>
        <v>0</v>
      </c>
      <c r="R271" s="357"/>
      <c r="S271" s="858"/>
      <c r="T271" s="858">
        <f>127+19</f>
        <v>146</v>
      </c>
      <c r="U271" s="858"/>
      <c r="V271" s="858">
        <f>0+16</f>
        <v>16</v>
      </c>
      <c r="W271" s="858"/>
      <c r="X271" s="858">
        <f>4+1</f>
        <v>5</v>
      </c>
      <c r="Y271" s="859">
        <f>131+36</f>
        <v>167</v>
      </c>
      <c r="Z271" s="859"/>
      <c r="AA271" s="858"/>
      <c r="AB271" s="858"/>
      <c r="AC271" s="858"/>
      <c r="AD271" s="858"/>
      <c r="AE271" s="859">
        <f>1+24</f>
        <v>25</v>
      </c>
      <c r="AF271" s="859"/>
      <c r="AG271" s="858"/>
      <c r="AH271" s="859"/>
    </row>
    <row r="272" spans="1:34">
      <c r="A272" s="885"/>
      <c r="B272" s="436" t="s">
        <v>59</v>
      </c>
      <c r="C272" s="807">
        <f t="shared" si="163"/>
        <v>0</v>
      </c>
      <c r="D272" s="808">
        <f t="shared" si="161"/>
        <v>1</v>
      </c>
      <c r="E272" s="808">
        <f t="shared" si="161"/>
        <v>0</v>
      </c>
      <c r="F272" s="808">
        <f t="shared" si="161"/>
        <v>1</v>
      </c>
      <c r="G272" s="808">
        <f t="shared" si="161"/>
        <v>1</v>
      </c>
      <c r="H272" s="809">
        <f t="shared" si="161"/>
        <v>1</v>
      </c>
      <c r="I272" s="577">
        <f t="shared" si="161"/>
        <v>1</v>
      </c>
      <c r="J272" s="577">
        <f t="shared" si="161"/>
        <v>0</v>
      </c>
      <c r="K272" s="578">
        <f t="shared" si="161"/>
        <v>0</v>
      </c>
      <c r="L272" s="578">
        <f t="shared" si="161"/>
        <v>0</v>
      </c>
      <c r="M272" s="578">
        <f t="shared" si="161"/>
        <v>0</v>
      </c>
      <c r="N272" s="577">
        <f t="shared" si="164"/>
        <v>1</v>
      </c>
      <c r="O272" s="577">
        <f t="shared" si="162"/>
        <v>0</v>
      </c>
      <c r="P272" s="579">
        <f t="shared" si="162"/>
        <v>0</v>
      </c>
      <c r="Q272" s="577">
        <f t="shared" si="162"/>
        <v>0</v>
      </c>
      <c r="R272" s="357"/>
      <c r="S272" s="858"/>
      <c r="T272" s="858">
        <v>1174</v>
      </c>
      <c r="U272" s="858"/>
      <c r="V272" s="858">
        <v>176</v>
      </c>
      <c r="W272" s="858">
        <v>69</v>
      </c>
      <c r="X272" s="858">
        <v>128</v>
      </c>
      <c r="Y272" s="859">
        <v>1547</v>
      </c>
      <c r="Z272" s="859"/>
      <c r="AA272" s="858"/>
      <c r="AB272" s="858"/>
      <c r="AC272" s="858"/>
      <c r="AD272" s="858"/>
      <c r="AE272" s="859">
        <v>410</v>
      </c>
      <c r="AF272" s="859"/>
      <c r="AG272" s="858"/>
      <c r="AH272" s="859"/>
    </row>
    <row r="273" spans="1:34">
      <c r="A273" s="882" t="s">
        <v>160</v>
      </c>
      <c r="B273" s="240" t="s">
        <v>53</v>
      </c>
      <c r="C273" s="806">
        <f>IF(S$278&gt;0,(S273/S$278),0)</f>
        <v>0.26680040120361082</v>
      </c>
      <c r="D273" s="806">
        <f t="shared" ref="D273:M278" si="165">IF(T$278&gt;0,(T273/T$278),0)</f>
        <v>0.25343878954607979</v>
      </c>
      <c r="E273" s="806">
        <f t="shared" si="165"/>
        <v>0.26637554585152839</v>
      </c>
      <c r="F273" s="806">
        <f t="shared" si="165"/>
        <v>0</v>
      </c>
      <c r="G273" s="806">
        <f t="shared" si="165"/>
        <v>0</v>
      </c>
      <c r="H273" s="806">
        <f t="shared" si="165"/>
        <v>0.21224489795918366</v>
      </c>
      <c r="I273" s="613">
        <f t="shared" si="165"/>
        <v>0.26167315175097278</v>
      </c>
      <c r="J273" s="613">
        <f t="shared" si="165"/>
        <v>0</v>
      </c>
      <c r="K273" s="614">
        <f t="shared" si="165"/>
        <v>0</v>
      </c>
      <c r="L273" s="614">
        <f t="shared" si="165"/>
        <v>0</v>
      </c>
      <c r="M273" s="614">
        <f t="shared" si="165"/>
        <v>0</v>
      </c>
      <c r="N273" s="613">
        <f>IF(AE$278&gt;0,(AE273/AE$278),0)</f>
        <v>0.18063958513396716</v>
      </c>
      <c r="O273" s="613">
        <f t="shared" ref="O273:Q278" si="166">IF(AF$278&gt;0,(AF273/AF$278),0)</f>
        <v>0</v>
      </c>
      <c r="P273" s="615">
        <f t="shared" si="166"/>
        <v>0</v>
      </c>
      <c r="Q273" s="613">
        <f t="shared" si="166"/>
        <v>0.29503105590062112</v>
      </c>
      <c r="R273" s="799"/>
      <c r="S273" s="856">
        <v>1596</v>
      </c>
      <c r="T273" s="856">
        <v>737</v>
      </c>
      <c r="U273" s="856">
        <v>305</v>
      </c>
      <c r="V273" s="856"/>
      <c r="W273" s="856"/>
      <c r="X273" s="856">
        <v>52</v>
      </c>
      <c r="Y273" s="857">
        <v>2690</v>
      </c>
      <c r="Z273" s="857"/>
      <c r="AA273" s="856"/>
      <c r="AB273" s="856"/>
      <c r="AC273" s="856"/>
      <c r="AD273" s="856"/>
      <c r="AE273" s="857">
        <v>627</v>
      </c>
      <c r="AF273" s="857"/>
      <c r="AG273" s="856"/>
      <c r="AH273" s="857">
        <v>95</v>
      </c>
    </row>
    <row r="274" spans="1:34">
      <c r="A274" s="883"/>
      <c r="B274" s="239" t="s">
        <v>93</v>
      </c>
      <c r="C274" s="806">
        <f t="shared" ref="C274:C278" si="167">IF(S$278&gt;0,(S274/S$278),0)</f>
        <v>0.28552323637579408</v>
      </c>
      <c r="D274" s="806">
        <f t="shared" si="165"/>
        <v>0.28679504814305362</v>
      </c>
      <c r="E274" s="806">
        <f t="shared" si="165"/>
        <v>0.27947598253275108</v>
      </c>
      <c r="F274" s="806">
        <f t="shared" si="165"/>
        <v>0</v>
      </c>
      <c r="G274" s="806">
        <f t="shared" si="165"/>
        <v>0</v>
      </c>
      <c r="H274" s="806">
        <f t="shared" si="165"/>
        <v>0.2857142857142857</v>
      </c>
      <c r="I274" s="624">
        <f t="shared" si="165"/>
        <v>0.28521400778210115</v>
      </c>
      <c r="J274" s="624">
        <f t="shared" si="165"/>
        <v>0</v>
      </c>
      <c r="K274" s="625">
        <f t="shared" si="165"/>
        <v>0</v>
      </c>
      <c r="L274" s="625">
        <f t="shared" si="165"/>
        <v>0</v>
      </c>
      <c r="M274" s="625">
        <f t="shared" si="165"/>
        <v>0</v>
      </c>
      <c r="N274" s="624">
        <f t="shared" ref="N274:N278" si="168">IF(AE$278&gt;0,(AE274/AE$278),0)</f>
        <v>0.22154998559492942</v>
      </c>
      <c r="O274" s="624">
        <f t="shared" si="166"/>
        <v>0</v>
      </c>
      <c r="P274" s="626">
        <f t="shared" si="166"/>
        <v>0</v>
      </c>
      <c r="Q274" s="624">
        <f t="shared" si="166"/>
        <v>0.16459627329192547</v>
      </c>
      <c r="R274" s="357"/>
      <c r="S274" s="858">
        <v>1708</v>
      </c>
      <c r="T274" s="858">
        <v>834</v>
      </c>
      <c r="U274" s="858">
        <v>320</v>
      </c>
      <c r="V274" s="858"/>
      <c r="W274" s="858"/>
      <c r="X274" s="858">
        <v>70</v>
      </c>
      <c r="Y274" s="859">
        <v>2932</v>
      </c>
      <c r="Z274" s="859"/>
      <c r="AA274" s="858"/>
      <c r="AB274" s="858"/>
      <c r="AC274" s="858"/>
      <c r="AD274" s="858"/>
      <c r="AE274" s="859">
        <v>769</v>
      </c>
      <c r="AF274" s="859"/>
      <c r="AG274" s="858"/>
      <c r="AH274" s="859">
        <v>53</v>
      </c>
    </row>
    <row r="275" spans="1:34">
      <c r="A275" s="883"/>
      <c r="B275" s="239" t="s">
        <v>55</v>
      </c>
      <c r="C275" s="806">
        <f t="shared" si="167"/>
        <v>0.21949180875961216</v>
      </c>
      <c r="D275" s="806">
        <f t="shared" si="165"/>
        <v>0.17297111416781294</v>
      </c>
      <c r="E275" s="806">
        <f t="shared" si="165"/>
        <v>0.22707423580786026</v>
      </c>
      <c r="F275" s="806">
        <f t="shared" si="165"/>
        <v>0</v>
      </c>
      <c r="G275" s="806">
        <f t="shared" si="165"/>
        <v>0</v>
      </c>
      <c r="H275" s="806">
        <f t="shared" si="165"/>
        <v>0.37551020408163266</v>
      </c>
      <c r="I275" s="624">
        <f t="shared" si="165"/>
        <v>0.21089494163424125</v>
      </c>
      <c r="J275" s="624">
        <f t="shared" si="165"/>
        <v>0</v>
      </c>
      <c r="K275" s="625">
        <f t="shared" si="165"/>
        <v>0</v>
      </c>
      <c r="L275" s="625">
        <f t="shared" si="165"/>
        <v>0</v>
      </c>
      <c r="M275" s="625">
        <f t="shared" si="165"/>
        <v>0</v>
      </c>
      <c r="N275" s="624">
        <f t="shared" si="168"/>
        <v>0.25381734370498416</v>
      </c>
      <c r="O275" s="624">
        <f t="shared" si="166"/>
        <v>0</v>
      </c>
      <c r="P275" s="626">
        <f t="shared" si="166"/>
        <v>0</v>
      </c>
      <c r="Q275" s="624">
        <f t="shared" si="166"/>
        <v>0.2484472049689441</v>
      </c>
      <c r="R275" s="357"/>
      <c r="S275" s="858">
        <v>1313</v>
      </c>
      <c r="T275" s="858">
        <v>503</v>
      </c>
      <c r="U275" s="858">
        <v>260</v>
      </c>
      <c r="V275" s="858"/>
      <c r="W275" s="858"/>
      <c r="X275" s="858">
        <v>92</v>
      </c>
      <c r="Y275" s="859">
        <v>2168</v>
      </c>
      <c r="Z275" s="859"/>
      <c r="AA275" s="858"/>
      <c r="AB275" s="858"/>
      <c r="AC275" s="858"/>
      <c r="AD275" s="858"/>
      <c r="AE275" s="859">
        <v>881</v>
      </c>
      <c r="AF275" s="859"/>
      <c r="AG275" s="858"/>
      <c r="AH275" s="859">
        <v>80</v>
      </c>
    </row>
    <row r="276" spans="1:34">
      <c r="A276" s="883"/>
      <c r="B276" s="239" t="s">
        <v>78</v>
      </c>
      <c r="C276" s="806">
        <f t="shared" si="167"/>
        <v>2.3737880307589436E-2</v>
      </c>
      <c r="D276" s="806">
        <f t="shared" si="165"/>
        <v>9.1127922971114161E-2</v>
      </c>
      <c r="E276" s="806">
        <f t="shared" si="165"/>
        <v>0.11266375545851529</v>
      </c>
      <c r="F276" s="806">
        <f t="shared" si="165"/>
        <v>0</v>
      </c>
      <c r="G276" s="806">
        <f t="shared" si="165"/>
        <v>0</v>
      </c>
      <c r="H276" s="806">
        <f t="shared" si="165"/>
        <v>8.5714285714285715E-2</v>
      </c>
      <c r="I276" s="624">
        <f t="shared" si="165"/>
        <v>5.4182879377431908E-2</v>
      </c>
      <c r="J276" s="624">
        <f t="shared" si="165"/>
        <v>0</v>
      </c>
      <c r="K276" s="625">
        <f t="shared" si="165"/>
        <v>0</v>
      </c>
      <c r="L276" s="625">
        <f t="shared" si="165"/>
        <v>0</v>
      </c>
      <c r="M276" s="625">
        <f t="shared" si="165"/>
        <v>0</v>
      </c>
      <c r="N276" s="624">
        <f t="shared" si="168"/>
        <v>0.12244309997118986</v>
      </c>
      <c r="O276" s="624">
        <f t="shared" si="166"/>
        <v>0</v>
      </c>
      <c r="P276" s="626">
        <f t="shared" si="166"/>
        <v>0</v>
      </c>
      <c r="Q276" s="624">
        <f t="shared" si="166"/>
        <v>0.14906832298136646</v>
      </c>
      <c r="R276" s="357"/>
      <c r="S276" s="858">
        <v>142</v>
      </c>
      <c r="T276" s="858">
        <v>265</v>
      </c>
      <c r="U276" s="858">
        <v>129</v>
      </c>
      <c r="V276" s="858"/>
      <c r="W276" s="858"/>
      <c r="X276" s="858">
        <v>21</v>
      </c>
      <c r="Y276" s="859">
        <v>557</v>
      </c>
      <c r="Z276" s="859"/>
      <c r="AA276" s="858"/>
      <c r="AB276" s="858"/>
      <c r="AC276" s="858"/>
      <c r="AD276" s="858"/>
      <c r="AE276" s="859">
        <v>425</v>
      </c>
      <c r="AF276" s="859"/>
      <c r="AG276" s="858"/>
      <c r="AH276" s="859">
        <v>48</v>
      </c>
    </row>
    <row r="277" spans="1:34">
      <c r="A277" s="884"/>
      <c r="B277" s="580" t="s">
        <v>131</v>
      </c>
      <c r="C277" s="806">
        <f t="shared" si="167"/>
        <v>0.2044466733533935</v>
      </c>
      <c r="D277" s="806">
        <f t="shared" si="165"/>
        <v>0.19566712517193949</v>
      </c>
      <c r="E277" s="806">
        <f t="shared" si="165"/>
        <v>0.11441048034934498</v>
      </c>
      <c r="F277" s="806">
        <f t="shared" si="165"/>
        <v>0</v>
      </c>
      <c r="G277" s="806">
        <f t="shared" si="165"/>
        <v>0</v>
      </c>
      <c r="H277" s="806">
        <f t="shared" si="165"/>
        <v>4.0816326530612242E-2</v>
      </c>
      <c r="I277" s="624">
        <f t="shared" si="165"/>
        <v>0.18803501945525292</v>
      </c>
      <c r="J277" s="624">
        <f t="shared" si="165"/>
        <v>0</v>
      </c>
      <c r="K277" s="625">
        <f t="shared" si="165"/>
        <v>0</v>
      </c>
      <c r="L277" s="625">
        <f t="shared" si="165"/>
        <v>0</v>
      </c>
      <c r="M277" s="625">
        <f t="shared" si="165"/>
        <v>0</v>
      </c>
      <c r="N277" s="624">
        <f t="shared" si="168"/>
        <v>0.22154998559492942</v>
      </c>
      <c r="O277" s="624">
        <f t="shared" si="166"/>
        <v>0</v>
      </c>
      <c r="P277" s="626">
        <f t="shared" si="166"/>
        <v>0</v>
      </c>
      <c r="Q277" s="624">
        <f t="shared" si="166"/>
        <v>0.14285714285714285</v>
      </c>
      <c r="R277" s="357"/>
      <c r="S277" s="858">
        <f>360+863</f>
        <v>1223</v>
      </c>
      <c r="T277" s="858">
        <f>422+147</f>
        <v>569</v>
      </c>
      <c r="U277" s="858">
        <f>91+40</f>
        <v>131</v>
      </c>
      <c r="V277" s="858"/>
      <c r="W277" s="858"/>
      <c r="X277" s="858">
        <f>0+10</f>
        <v>10</v>
      </c>
      <c r="Y277" s="859">
        <f>873+1060</f>
        <v>1933</v>
      </c>
      <c r="Z277" s="859"/>
      <c r="AA277" s="858"/>
      <c r="AB277" s="858"/>
      <c r="AC277" s="858"/>
      <c r="AD277" s="858"/>
      <c r="AE277" s="859">
        <f>204+565</f>
        <v>769</v>
      </c>
      <c r="AF277" s="859"/>
      <c r="AG277" s="858"/>
      <c r="AH277" s="859">
        <v>46</v>
      </c>
    </row>
    <row r="278" spans="1:34">
      <c r="A278" s="885"/>
      <c r="B278" s="436" t="s">
        <v>59</v>
      </c>
      <c r="C278" s="807">
        <f t="shared" si="167"/>
        <v>1</v>
      </c>
      <c r="D278" s="808">
        <f t="shared" si="165"/>
        <v>1</v>
      </c>
      <c r="E278" s="808">
        <f t="shared" si="165"/>
        <v>1</v>
      </c>
      <c r="F278" s="808">
        <f t="shared" si="165"/>
        <v>0</v>
      </c>
      <c r="G278" s="808">
        <f t="shared" si="165"/>
        <v>0</v>
      </c>
      <c r="H278" s="809">
        <f t="shared" si="165"/>
        <v>1</v>
      </c>
      <c r="I278" s="577">
        <f t="shared" si="165"/>
        <v>1</v>
      </c>
      <c r="J278" s="577">
        <f t="shared" si="165"/>
        <v>0</v>
      </c>
      <c r="K278" s="578">
        <f t="shared" si="165"/>
        <v>0</v>
      </c>
      <c r="L278" s="578">
        <f t="shared" si="165"/>
        <v>0</v>
      </c>
      <c r="M278" s="578">
        <f t="shared" si="165"/>
        <v>0</v>
      </c>
      <c r="N278" s="577">
        <f t="shared" si="168"/>
        <v>1</v>
      </c>
      <c r="O278" s="577">
        <f t="shared" si="166"/>
        <v>0</v>
      </c>
      <c r="P278" s="579">
        <f t="shared" si="166"/>
        <v>0</v>
      </c>
      <c r="Q278" s="577">
        <f t="shared" si="166"/>
        <v>1</v>
      </c>
      <c r="R278" s="357"/>
      <c r="S278" s="858">
        <v>5982</v>
      </c>
      <c r="T278" s="858">
        <v>2908</v>
      </c>
      <c r="U278" s="858">
        <v>1145</v>
      </c>
      <c r="V278" s="858"/>
      <c r="W278" s="858"/>
      <c r="X278" s="858">
        <v>245</v>
      </c>
      <c r="Y278" s="859">
        <v>10280</v>
      </c>
      <c r="Z278" s="859"/>
      <c r="AA278" s="858"/>
      <c r="AB278" s="858"/>
      <c r="AC278" s="858"/>
      <c r="AD278" s="858"/>
      <c r="AE278" s="859">
        <v>3471</v>
      </c>
      <c r="AF278" s="859"/>
      <c r="AG278" s="858"/>
      <c r="AH278" s="859">
        <v>322</v>
      </c>
    </row>
    <row r="279" spans="1:34">
      <c r="A279" s="882" t="s">
        <v>164</v>
      </c>
      <c r="B279" s="240" t="s">
        <v>53</v>
      </c>
      <c r="C279" s="806">
        <f>IF(S$284&gt;0,(S279/S$284),0)</f>
        <v>0</v>
      </c>
      <c r="D279" s="806">
        <f t="shared" ref="D279:M284" si="169">IF(T$284&gt;0,(T279/T$284),0)</f>
        <v>0.24330616996507567</v>
      </c>
      <c r="E279" s="806">
        <f t="shared" si="169"/>
        <v>0</v>
      </c>
      <c r="F279" s="806">
        <f t="shared" si="169"/>
        <v>0</v>
      </c>
      <c r="G279" s="806">
        <f t="shared" si="169"/>
        <v>0.25675675675675674</v>
      </c>
      <c r="H279" s="806">
        <f t="shared" si="169"/>
        <v>0</v>
      </c>
      <c r="I279" s="613">
        <f t="shared" si="169"/>
        <v>0.24675324675324675</v>
      </c>
      <c r="J279" s="613">
        <f t="shared" si="169"/>
        <v>0</v>
      </c>
      <c r="K279" s="614">
        <f t="shared" si="169"/>
        <v>0</v>
      </c>
      <c r="L279" s="614">
        <f t="shared" si="169"/>
        <v>0</v>
      </c>
      <c r="M279" s="614">
        <f t="shared" si="169"/>
        <v>0</v>
      </c>
      <c r="N279" s="613">
        <f>IF(AE$284&gt;0,(AE279/AE$284),0)</f>
        <v>0</v>
      </c>
      <c r="O279" s="613">
        <f t="shared" ref="O279:Q284" si="170">IF(AF$284&gt;0,(AF279/AF$284),0)</f>
        <v>0</v>
      </c>
      <c r="P279" s="615">
        <f t="shared" si="170"/>
        <v>0</v>
      </c>
      <c r="Q279" s="613">
        <f t="shared" si="170"/>
        <v>0</v>
      </c>
      <c r="R279" s="799"/>
      <c r="S279" s="856"/>
      <c r="T279" s="856">
        <v>209</v>
      </c>
      <c r="U279" s="856"/>
      <c r="V279" s="856"/>
      <c r="W279" s="856">
        <v>76</v>
      </c>
      <c r="X279" s="856"/>
      <c r="Y279" s="857">
        <v>285</v>
      </c>
      <c r="Z279" s="857"/>
      <c r="AA279" s="856"/>
      <c r="AB279" s="856"/>
      <c r="AC279" s="856"/>
      <c r="AD279" s="856"/>
      <c r="AE279" s="857"/>
      <c r="AF279" s="857"/>
      <c r="AG279" s="856"/>
      <c r="AH279" s="857"/>
    </row>
    <row r="280" spans="1:34">
      <c r="A280" s="883"/>
      <c r="B280" s="239" t="s">
        <v>93</v>
      </c>
      <c r="C280" s="806">
        <f t="shared" ref="C280:C284" si="171">IF(S$284&gt;0,(S280/S$284),0)</f>
        <v>0</v>
      </c>
      <c r="D280" s="806">
        <f t="shared" si="169"/>
        <v>0.20721769499417927</v>
      </c>
      <c r="E280" s="806">
        <f t="shared" si="169"/>
        <v>0</v>
      </c>
      <c r="F280" s="806">
        <f t="shared" si="169"/>
        <v>0</v>
      </c>
      <c r="G280" s="806">
        <f t="shared" si="169"/>
        <v>0.21283783783783783</v>
      </c>
      <c r="H280" s="806">
        <f t="shared" si="169"/>
        <v>0</v>
      </c>
      <c r="I280" s="624">
        <f t="shared" si="169"/>
        <v>0.20865800865800865</v>
      </c>
      <c r="J280" s="624">
        <f t="shared" si="169"/>
        <v>0</v>
      </c>
      <c r="K280" s="625">
        <f t="shared" si="169"/>
        <v>0</v>
      </c>
      <c r="L280" s="625">
        <f t="shared" si="169"/>
        <v>0</v>
      </c>
      <c r="M280" s="625">
        <f t="shared" si="169"/>
        <v>0</v>
      </c>
      <c r="N280" s="624">
        <f t="shared" ref="N280:N284" si="172">IF(AE$284&gt;0,(AE280/AE$284),0)</f>
        <v>0</v>
      </c>
      <c r="O280" s="624">
        <f t="shared" si="170"/>
        <v>0</v>
      </c>
      <c r="P280" s="626">
        <f t="shared" si="170"/>
        <v>0</v>
      </c>
      <c r="Q280" s="624">
        <f t="shared" si="170"/>
        <v>0</v>
      </c>
      <c r="R280" s="357"/>
      <c r="S280" s="858"/>
      <c r="T280" s="858">
        <v>178</v>
      </c>
      <c r="U280" s="858"/>
      <c r="V280" s="858"/>
      <c r="W280" s="858">
        <v>63</v>
      </c>
      <c r="X280" s="858"/>
      <c r="Y280" s="859">
        <v>241</v>
      </c>
      <c r="Z280" s="859"/>
      <c r="AA280" s="858"/>
      <c r="AB280" s="858"/>
      <c r="AC280" s="858"/>
      <c r="AD280" s="858"/>
      <c r="AE280" s="859"/>
      <c r="AF280" s="859"/>
      <c r="AG280" s="858"/>
      <c r="AH280" s="859"/>
    </row>
    <row r="281" spans="1:34">
      <c r="A281" s="883"/>
      <c r="B281" s="239" t="s">
        <v>55</v>
      </c>
      <c r="C281" s="806">
        <f t="shared" si="171"/>
        <v>0</v>
      </c>
      <c r="D281" s="806">
        <f t="shared" si="169"/>
        <v>0.2409778812572759</v>
      </c>
      <c r="E281" s="806">
        <f t="shared" si="169"/>
        <v>0</v>
      </c>
      <c r="F281" s="806">
        <f t="shared" si="169"/>
        <v>0</v>
      </c>
      <c r="G281" s="806">
        <f t="shared" si="169"/>
        <v>0.32432432432432434</v>
      </c>
      <c r="H281" s="806">
        <f t="shared" si="169"/>
        <v>0</v>
      </c>
      <c r="I281" s="624">
        <f t="shared" si="169"/>
        <v>0.26233766233766231</v>
      </c>
      <c r="J281" s="624">
        <f t="shared" si="169"/>
        <v>0</v>
      </c>
      <c r="K281" s="625">
        <f t="shared" si="169"/>
        <v>0</v>
      </c>
      <c r="L281" s="625">
        <f t="shared" si="169"/>
        <v>0</v>
      </c>
      <c r="M281" s="625">
        <f t="shared" si="169"/>
        <v>0</v>
      </c>
      <c r="N281" s="624">
        <f t="shared" si="172"/>
        <v>0</v>
      </c>
      <c r="O281" s="624">
        <f t="shared" si="170"/>
        <v>0</v>
      </c>
      <c r="P281" s="626">
        <f t="shared" si="170"/>
        <v>0</v>
      </c>
      <c r="Q281" s="624">
        <f t="shared" si="170"/>
        <v>0</v>
      </c>
      <c r="R281" s="357"/>
      <c r="S281" s="858"/>
      <c r="T281" s="858">
        <v>207</v>
      </c>
      <c r="U281" s="858"/>
      <c r="V281" s="858"/>
      <c r="W281" s="858">
        <v>96</v>
      </c>
      <c r="X281" s="858"/>
      <c r="Y281" s="859">
        <v>303</v>
      </c>
      <c r="Z281" s="859"/>
      <c r="AA281" s="858"/>
      <c r="AB281" s="858"/>
      <c r="AC281" s="858"/>
      <c r="AD281" s="858"/>
      <c r="AE281" s="859"/>
      <c r="AF281" s="859"/>
      <c r="AG281" s="858"/>
      <c r="AH281" s="859"/>
    </row>
    <row r="282" spans="1:34">
      <c r="A282" s="883"/>
      <c r="B282" s="239" t="s">
        <v>78</v>
      </c>
      <c r="C282" s="806">
        <f t="shared" si="171"/>
        <v>0</v>
      </c>
      <c r="D282" s="806">
        <f t="shared" si="169"/>
        <v>0.19324796274738068</v>
      </c>
      <c r="E282" s="806">
        <f t="shared" si="169"/>
        <v>0</v>
      </c>
      <c r="F282" s="806">
        <f t="shared" si="169"/>
        <v>0</v>
      </c>
      <c r="G282" s="806">
        <f t="shared" si="169"/>
        <v>0.18243243243243243</v>
      </c>
      <c r="H282" s="806">
        <f t="shared" si="169"/>
        <v>0</v>
      </c>
      <c r="I282" s="624">
        <f t="shared" si="169"/>
        <v>0.19047619047619047</v>
      </c>
      <c r="J282" s="624">
        <f t="shared" si="169"/>
        <v>0</v>
      </c>
      <c r="K282" s="625">
        <f t="shared" si="169"/>
        <v>0</v>
      </c>
      <c r="L282" s="625">
        <f t="shared" si="169"/>
        <v>0</v>
      </c>
      <c r="M282" s="625">
        <f t="shared" si="169"/>
        <v>0</v>
      </c>
      <c r="N282" s="624">
        <f t="shared" si="172"/>
        <v>0.95250000000000001</v>
      </c>
      <c r="O282" s="624">
        <f t="shared" si="170"/>
        <v>0</v>
      </c>
      <c r="P282" s="626">
        <f t="shared" si="170"/>
        <v>0</v>
      </c>
      <c r="Q282" s="624">
        <f t="shared" si="170"/>
        <v>0</v>
      </c>
      <c r="R282" s="357"/>
      <c r="S282" s="858"/>
      <c r="T282" s="858">
        <v>166</v>
      </c>
      <c r="U282" s="858"/>
      <c r="V282" s="858"/>
      <c r="W282" s="858">
        <v>54</v>
      </c>
      <c r="X282" s="858"/>
      <c r="Y282" s="859">
        <v>220</v>
      </c>
      <c r="Z282" s="859"/>
      <c r="AA282" s="858"/>
      <c r="AB282" s="858"/>
      <c r="AC282" s="858"/>
      <c r="AD282" s="858"/>
      <c r="AE282" s="859">
        <v>381</v>
      </c>
      <c r="AF282" s="859"/>
      <c r="AG282" s="858"/>
      <c r="AH282" s="859"/>
    </row>
    <row r="283" spans="1:34">
      <c r="A283" s="884"/>
      <c r="B283" s="580" t="s">
        <v>131</v>
      </c>
      <c r="C283" s="806">
        <f t="shared" si="171"/>
        <v>0</v>
      </c>
      <c r="D283" s="806">
        <f t="shared" si="169"/>
        <v>0.11525029103608847</v>
      </c>
      <c r="E283" s="806">
        <f t="shared" si="169"/>
        <v>0</v>
      </c>
      <c r="F283" s="806">
        <f t="shared" si="169"/>
        <v>0</v>
      </c>
      <c r="G283" s="806">
        <f t="shared" si="169"/>
        <v>2.364864864864865E-2</v>
      </c>
      <c r="H283" s="806">
        <f t="shared" si="169"/>
        <v>0</v>
      </c>
      <c r="I283" s="624">
        <f t="shared" si="169"/>
        <v>9.1774891774891773E-2</v>
      </c>
      <c r="J283" s="624">
        <f t="shared" si="169"/>
        <v>0</v>
      </c>
      <c r="K283" s="625">
        <f t="shared" si="169"/>
        <v>0</v>
      </c>
      <c r="L283" s="625">
        <f t="shared" si="169"/>
        <v>0</v>
      </c>
      <c r="M283" s="625">
        <f t="shared" si="169"/>
        <v>0</v>
      </c>
      <c r="N283" s="624">
        <f t="shared" si="172"/>
        <v>4.7500000000000001E-2</v>
      </c>
      <c r="O283" s="624">
        <f t="shared" si="170"/>
        <v>0</v>
      </c>
      <c r="P283" s="626">
        <f t="shared" si="170"/>
        <v>0</v>
      </c>
      <c r="Q283" s="624">
        <f t="shared" si="170"/>
        <v>0</v>
      </c>
      <c r="R283" s="357"/>
      <c r="S283" s="858"/>
      <c r="T283" s="858">
        <f>62+37</f>
        <v>99</v>
      </c>
      <c r="U283" s="858"/>
      <c r="V283" s="858"/>
      <c r="W283" s="858">
        <v>7</v>
      </c>
      <c r="X283" s="858"/>
      <c r="Y283" s="859">
        <f>69+37</f>
        <v>106</v>
      </c>
      <c r="Z283" s="859"/>
      <c r="AA283" s="858"/>
      <c r="AB283" s="858"/>
      <c r="AC283" s="858"/>
      <c r="AD283" s="858"/>
      <c r="AE283" s="859">
        <v>19</v>
      </c>
      <c r="AF283" s="859"/>
      <c r="AG283" s="858"/>
      <c r="AH283" s="859"/>
    </row>
    <row r="284" spans="1:34">
      <c r="A284" s="885"/>
      <c r="B284" s="436" t="s">
        <v>59</v>
      </c>
      <c r="C284" s="807">
        <f t="shared" si="171"/>
        <v>0</v>
      </c>
      <c r="D284" s="808">
        <f t="shared" si="169"/>
        <v>1</v>
      </c>
      <c r="E284" s="808">
        <f t="shared" si="169"/>
        <v>0</v>
      </c>
      <c r="F284" s="808">
        <f t="shared" si="169"/>
        <v>0</v>
      </c>
      <c r="G284" s="808">
        <f t="shared" si="169"/>
        <v>1</v>
      </c>
      <c r="H284" s="809">
        <f t="shared" si="169"/>
        <v>0</v>
      </c>
      <c r="I284" s="577">
        <f t="shared" si="169"/>
        <v>1</v>
      </c>
      <c r="J284" s="577">
        <f t="shared" si="169"/>
        <v>0</v>
      </c>
      <c r="K284" s="578">
        <f t="shared" si="169"/>
        <v>0</v>
      </c>
      <c r="L284" s="578">
        <f t="shared" si="169"/>
        <v>0</v>
      </c>
      <c r="M284" s="578">
        <f t="shared" si="169"/>
        <v>0</v>
      </c>
      <c r="N284" s="577">
        <f t="shared" si="172"/>
        <v>1</v>
      </c>
      <c r="O284" s="577">
        <f t="shared" si="170"/>
        <v>0</v>
      </c>
      <c r="P284" s="579">
        <f t="shared" si="170"/>
        <v>0</v>
      </c>
      <c r="Q284" s="577">
        <f t="shared" si="170"/>
        <v>0</v>
      </c>
      <c r="R284" s="357"/>
      <c r="S284" s="858"/>
      <c r="T284" s="858">
        <v>859</v>
      </c>
      <c r="U284" s="858"/>
      <c r="V284" s="858"/>
      <c r="W284" s="858">
        <v>296</v>
      </c>
      <c r="X284" s="858"/>
      <c r="Y284" s="859">
        <v>1155</v>
      </c>
      <c r="Z284" s="859"/>
      <c r="AA284" s="858"/>
      <c r="AB284" s="858"/>
      <c r="AC284" s="858"/>
      <c r="AD284" s="858"/>
      <c r="AE284" s="859">
        <v>400</v>
      </c>
      <c r="AF284" s="859"/>
      <c r="AG284" s="858"/>
      <c r="AH284" s="859"/>
    </row>
    <row r="285" spans="1:34">
      <c r="A285" s="882" t="s">
        <v>168</v>
      </c>
      <c r="B285" s="240" t="s">
        <v>53</v>
      </c>
      <c r="C285" s="806">
        <f>IF(S$290&gt;0,(S285/S$290),0)</f>
        <v>0.43601603453592352</v>
      </c>
      <c r="D285" s="806">
        <f t="shared" ref="D285:M290" si="173">IF(T$290&gt;0,(T285/T$290),0)</f>
        <v>0</v>
      </c>
      <c r="E285" s="806">
        <f t="shared" si="173"/>
        <v>0</v>
      </c>
      <c r="F285" s="806">
        <f t="shared" si="173"/>
        <v>0.27191166321601107</v>
      </c>
      <c r="G285" s="806">
        <f t="shared" si="173"/>
        <v>0.29420289855072462</v>
      </c>
      <c r="H285" s="806">
        <f t="shared" si="173"/>
        <v>0</v>
      </c>
      <c r="I285" s="613">
        <f t="shared" si="173"/>
        <v>0.35207143902796079</v>
      </c>
      <c r="J285" s="613">
        <f t="shared" si="173"/>
        <v>0</v>
      </c>
      <c r="K285" s="614">
        <f t="shared" si="173"/>
        <v>0</v>
      </c>
      <c r="L285" s="614">
        <f t="shared" si="173"/>
        <v>0</v>
      </c>
      <c r="M285" s="614">
        <f t="shared" si="173"/>
        <v>0</v>
      </c>
      <c r="N285" s="613">
        <f>IF(AE$290&gt;0,(AE285/AE$290),0)</f>
        <v>0</v>
      </c>
      <c r="O285" s="613">
        <f t="shared" ref="O285:Q290" si="174">IF(AF$290&gt;0,(AF285/AF$290),0)</f>
        <v>0</v>
      </c>
      <c r="P285" s="615">
        <f t="shared" si="174"/>
        <v>0</v>
      </c>
      <c r="Q285" s="613">
        <f t="shared" si="174"/>
        <v>0</v>
      </c>
      <c r="R285" s="799"/>
      <c r="S285" s="856">
        <v>1414</v>
      </c>
      <c r="T285" s="856"/>
      <c r="U285" s="856"/>
      <c r="V285" s="856">
        <v>788</v>
      </c>
      <c r="W285" s="856">
        <v>203</v>
      </c>
      <c r="X285" s="856"/>
      <c r="Y285" s="857">
        <v>2405</v>
      </c>
      <c r="Z285" s="857"/>
      <c r="AA285" s="856"/>
      <c r="AB285" s="856"/>
      <c r="AC285" s="856"/>
      <c r="AD285" s="856"/>
      <c r="AE285" s="857"/>
      <c r="AF285" s="857"/>
      <c r="AG285" s="856"/>
      <c r="AH285" s="857"/>
    </row>
    <row r="286" spans="1:34">
      <c r="A286" s="883"/>
      <c r="B286" s="239" t="s">
        <v>93</v>
      </c>
      <c r="C286" s="806">
        <f t="shared" ref="C286:C290" si="175">IF(S$290&gt;0,(S286/S$290),0)</f>
        <v>0.23250077089115018</v>
      </c>
      <c r="D286" s="806">
        <f t="shared" si="173"/>
        <v>0</v>
      </c>
      <c r="E286" s="806">
        <f t="shared" si="173"/>
        <v>0</v>
      </c>
      <c r="F286" s="806">
        <f t="shared" si="173"/>
        <v>0.23429951690821257</v>
      </c>
      <c r="G286" s="806">
        <f t="shared" si="173"/>
        <v>0.28260869565217389</v>
      </c>
      <c r="H286" s="806">
        <f t="shared" si="173"/>
        <v>0</v>
      </c>
      <c r="I286" s="624">
        <f t="shared" si="173"/>
        <v>0.23832528180354268</v>
      </c>
      <c r="J286" s="624">
        <f t="shared" si="173"/>
        <v>0</v>
      </c>
      <c r="K286" s="625">
        <f t="shared" si="173"/>
        <v>0</v>
      </c>
      <c r="L286" s="625">
        <f t="shared" si="173"/>
        <v>0</v>
      </c>
      <c r="M286" s="625">
        <f t="shared" si="173"/>
        <v>0</v>
      </c>
      <c r="N286" s="624">
        <f t="shared" ref="N286:N290" si="176">IF(AE$290&gt;0,(AE286/AE$290),0)</f>
        <v>0</v>
      </c>
      <c r="O286" s="624">
        <f t="shared" si="174"/>
        <v>0</v>
      </c>
      <c r="P286" s="626">
        <f t="shared" si="174"/>
        <v>0</v>
      </c>
      <c r="Q286" s="624">
        <f t="shared" si="174"/>
        <v>0</v>
      </c>
      <c r="R286" s="357"/>
      <c r="S286" s="858">
        <v>754</v>
      </c>
      <c r="T286" s="858"/>
      <c r="U286" s="858"/>
      <c r="V286" s="858">
        <v>679</v>
      </c>
      <c r="W286" s="858">
        <v>195</v>
      </c>
      <c r="X286" s="858"/>
      <c r="Y286" s="859">
        <v>1628</v>
      </c>
      <c r="Z286" s="859"/>
      <c r="AA286" s="858"/>
      <c r="AB286" s="858"/>
      <c r="AC286" s="858"/>
      <c r="AD286" s="858"/>
      <c r="AE286" s="859"/>
      <c r="AF286" s="859"/>
      <c r="AG286" s="858"/>
      <c r="AH286" s="859"/>
    </row>
    <row r="287" spans="1:34">
      <c r="A287" s="883"/>
      <c r="B287" s="239" t="s">
        <v>55</v>
      </c>
      <c r="C287" s="806">
        <f t="shared" si="175"/>
        <v>0.21492445266728338</v>
      </c>
      <c r="D287" s="806">
        <f t="shared" si="173"/>
        <v>0</v>
      </c>
      <c r="E287" s="806">
        <f t="shared" si="173"/>
        <v>0</v>
      </c>
      <c r="F287" s="806">
        <f t="shared" si="173"/>
        <v>0.27605244996549344</v>
      </c>
      <c r="G287" s="806">
        <f t="shared" si="173"/>
        <v>0.24492753623188407</v>
      </c>
      <c r="H287" s="806">
        <f t="shared" si="173"/>
        <v>0</v>
      </c>
      <c r="I287" s="624">
        <f t="shared" si="173"/>
        <v>0.24388815693163518</v>
      </c>
      <c r="J287" s="624">
        <f t="shared" si="173"/>
        <v>0</v>
      </c>
      <c r="K287" s="625">
        <f t="shared" si="173"/>
        <v>0</v>
      </c>
      <c r="L287" s="625">
        <f t="shared" si="173"/>
        <v>0</v>
      </c>
      <c r="M287" s="625">
        <f t="shared" si="173"/>
        <v>0</v>
      </c>
      <c r="N287" s="624">
        <f t="shared" si="176"/>
        <v>0</v>
      </c>
      <c r="O287" s="624">
        <f t="shared" si="174"/>
        <v>0</v>
      </c>
      <c r="P287" s="626">
        <f t="shared" si="174"/>
        <v>0</v>
      </c>
      <c r="Q287" s="624">
        <f t="shared" si="174"/>
        <v>0</v>
      </c>
      <c r="R287" s="357"/>
      <c r="S287" s="858">
        <v>697</v>
      </c>
      <c r="T287" s="858"/>
      <c r="U287" s="858"/>
      <c r="V287" s="858">
        <v>800</v>
      </c>
      <c r="W287" s="858">
        <v>169</v>
      </c>
      <c r="X287" s="858"/>
      <c r="Y287" s="859">
        <v>1666</v>
      </c>
      <c r="Z287" s="859"/>
      <c r="AA287" s="858"/>
      <c r="AB287" s="858"/>
      <c r="AC287" s="858"/>
      <c r="AD287" s="858"/>
      <c r="AE287" s="859"/>
      <c r="AF287" s="859"/>
      <c r="AG287" s="858"/>
      <c r="AH287" s="859"/>
    </row>
    <row r="288" spans="1:34">
      <c r="A288" s="883"/>
      <c r="B288" s="239" t="s">
        <v>78</v>
      </c>
      <c r="C288" s="806">
        <f t="shared" si="175"/>
        <v>1.4184397163120567E-2</v>
      </c>
      <c r="D288" s="806">
        <f t="shared" si="173"/>
        <v>0</v>
      </c>
      <c r="E288" s="806">
        <f t="shared" si="173"/>
        <v>0</v>
      </c>
      <c r="F288" s="806">
        <f t="shared" si="173"/>
        <v>5.521048999309869E-3</v>
      </c>
      <c r="G288" s="806">
        <f t="shared" si="173"/>
        <v>2.8985507246376812E-3</v>
      </c>
      <c r="H288" s="806">
        <f t="shared" si="173"/>
        <v>0</v>
      </c>
      <c r="I288" s="624">
        <f t="shared" si="173"/>
        <v>9.3690528473137167E-3</v>
      </c>
      <c r="J288" s="624">
        <f t="shared" si="173"/>
        <v>0</v>
      </c>
      <c r="K288" s="625">
        <f t="shared" si="173"/>
        <v>0</v>
      </c>
      <c r="L288" s="625">
        <f t="shared" si="173"/>
        <v>0</v>
      </c>
      <c r="M288" s="625">
        <f t="shared" si="173"/>
        <v>0</v>
      </c>
      <c r="N288" s="624">
        <f t="shared" si="176"/>
        <v>0</v>
      </c>
      <c r="O288" s="624">
        <f t="shared" si="174"/>
        <v>0</v>
      </c>
      <c r="P288" s="626">
        <f t="shared" si="174"/>
        <v>0</v>
      </c>
      <c r="Q288" s="624">
        <f t="shared" si="174"/>
        <v>0.8665694495078381</v>
      </c>
      <c r="R288" s="357"/>
      <c r="S288" s="858">
        <v>46</v>
      </c>
      <c r="T288" s="858"/>
      <c r="U288" s="858"/>
      <c r="V288" s="858">
        <v>16</v>
      </c>
      <c r="W288" s="858">
        <v>2</v>
      </c>
      <c r="X288" s="858"/>
      <c r="Y288" s="859">
        <v>64</v>
      </c>
      <c r="Z288" s="859"/>
      <c r="AA288" s="858"/>
      <c r="AB288" s="858"/>
      <c r="AC288" s="858"/>
      <c r="AD288" s="858"/>
      <c r="AE288" s="859"/>
      <c r="AF288" s="859"/>
      <c r="AG288" s="858"/>
      <c r="AH288" s="859">
        <v>2377</v>
      </c>
    </row>
    <row r="289" spans="1:34">
      <c r="A289" s="884"/>
      <c r="B289" s="580" t="s">
        <v>131</v>
      </c>
      <c r="C289" s="806">
        <f t="shared" si="175"/>
        <v>0.10237434474252236</v>
      </c>
      <c r="D289" s="806">
        <f t="shared" si="173"/>
        <v>0</v>
      </c>
      <c r="E289" s="806">
        <f t="shared" si="173"/>
        <v>0</v>
      </c>
      <c r="F289" s="806">
        <f t="shared" si="173"/>
        <v>0.21221532091097309</v>
      </c>
      <c r="G289" s="806">
        <f t="shared" si="173"/>
        <v>0.17536231884057971</v>
      </c>
      <c r="H289" s="806">
        <f t="shared" si="173"/>
        <v>0</v>
      </c>
      <c r="I289" s="624">
        <f t="shared" si="173"/>
        <v>0.15634606938954765</v>
      </c>
      <c r="J289" s="624">
        <f t="shared" si="173"/>
        <v>0</v>
      </c>
      <c r="K289" s="625">
        <f t="shared" si="173"/>
        <v>0</v>
      </c>
      <c r="L289" s="625">
        <f t="shared" si="173"/>
        <v>0</v>
      </c>
      <c r="M289" s="625">
        <f t="shared" si="173"/>
        <v>0</v>
      </c>
      <c r="N289" s="624">
        <f t="shared" si="176"/>
        <v>1</v>
      </c>
      <c r="O289" s="624">
        <f t="shared" si="174"/>
        <v>0</v>
      </c>
      <c r="P289" s="626">
        <f t="shared" si="174"/>
        <v>0</v>
      </c>
      <c r="Q289" s="624">
        <f t="shared" si="174"/>
        <v>0.13343055049216188</v>
      </c>
      <c r="R289" s="357"/>
      <c r="S289" s="858">
        <f>310+22</f>
        <v>332</v>
      </c>
      <c r="T289" s="858"/>
      <c r="U289" s="858"/>
      <c r="V289" s="858">
        <v>615</v>
      </c>
      <c r="W289" s="858">
        <f>120+1</f>
        <v>121</v>
      </c>
      <c r="X289" s="858"/>
      <c r="Y289" s="859">
        <f>1045+23</f>
        <v>1068</v>
      </c>
      <c r="Z289" s="859"/>
      <c r="AA289" s="858"/>
      <c r="AB289" s="858"/>
      <c r="AC289" s="858"/>
      <c r="AD289" s="858"/>
      <c r="AE289" s="859">
        <v>552</v>
      </c>
      <c r="AF289" s="859"/>
      <c r="AG289" s="858"/>
      <c r="AH289" s="859">
        <v>366</v>
      </c>
    </row>
    <row r="290" spans="1:34">
      <c r="A290" s="885"/>
      <c r="B290" s="436" t="s">
        <v>59</v>
      </c>
      <c r="C290" s="807">
        <f t="shared" si="175"/>
        <v>1</v>
      </c>
      <c r="D290" s="808">
        <f t="shared" si="173"/>
        <v>0</v>
      </c>
      <c r="E290" s="808">
        <f t="shared" si="173"/>
        <v>0</v>
      </c>
      <c r="F290" s="808">
        <f t="shared" si="173"/>
        <v>1</v>
      </c>
      <c r="G290" s="808">
        <f t="shared" si="173"/>
        <v>1</v>
      </c>
      <c r="H290" s="809">
        <f t="shared" si="173"/>
        <v>0</v>
      </c>
      <c r="I290" s="577">
        <f t="shared" si="173"/>
        <v>1</v>
      </c>
      <c r="J290" s="577">
        <f t="shared" si="173"/>
        <v>0</v>
      </c>
      <c r="K290" s="578">
        <f t="shared" si="173"/>
        <v>0</v>
      </c>
      <c r="L290" s="578">
        <f t="shared" si="173"/>
        <v>0</v>
      </c>
      <c r="M290" s="578">
        <f t="shared" si="173"/>
        <v>0</v>
      </c>
      <c r="N290" s="577">
        <f t="shared" si="176"/>
        <v>1</v>
      </c>
      <c r="O290" s="577">
        <f t="shared" si="174"/>
        <v>0</v>
      </c>
      <c r="P290" s="579">
        <f t="shared" si="174"/>
        <v>0</v>
      </c>
      <c r="Q290" s="577">
        <f t="shared" si="174"/>
        <v>1</v>
      </c>
      <c r="R290" s="357"/>
      <c r="S290" s="858">
        <v>3243</v>
      </c>
      <c r="T290" s="858"/>
      <c r="U290" s="858"/>
      <c r="V290" s="858">
        <v>2898</v>
      </c>
      <c r="W290" s="858">
        <v>690</v>
      </c>
      <c r="X290" s="858"/>
      <c r="Y290" s="859">
        <v>6831</v>
      </c>
      <c r="Z290" s="859"/>
      <c r="AA290" s="858"/>
      <c r="AB290" s="858"/>
      <c r="AC290" s="858"/>
      <c r="AD290" s="858"/>
      <c r="AE290" s="859">
        <v>552</v>
      </c>
      <c r="AF290" s="859"/>
      <c r="AG290" s="858"/>
      <c r="AH290" s="859">
        <v>2743</v>
      </c>
    </row>
    <row r="291" spans="1:34">
      <c r="A291" s="882" t="s">
        <v>173</v>
      </c>
      <c r="B291" s="240" t="s">
        <v>53</v>
      </c>
      <c r="C291" s="806">
        <f>IF(S$296&gt;0,(S291/S$296),0)</f>
        <v>0.31504702194357365</v>
      </c>
      <c r="D291" s="806">
        <f t="shared" ref="D291:M296" si="177">IF(T$296&gt;0,(T291/T$296),0)</f>
        <v>0.31352498552961605</v>
      </c>
      <c r="E291" s="806">
        <f t="shared" si="177"/>
        <v>0.317560553633218</v>
      </c>
      <c r="F291" s="806">
        <f t="shared" si="177"/>
        <v>0.31256047996903424</v>
      </c>
      <c r="G291" s="806">
        <f t="shared" si="177"/>
        <v>0.28541162227602906</v>
      </c>
      <c r="H291" s="806">
        <f t="shared" si="177"/>
        <v>0.18937846512985118</v>
      </c>
      <c r="I291" s="613">
        <f t="shared" si="177"/>
        <v>0.30303589980376311</v>
      </c>
      <c r="J291" s="613">
        <f t="shared" si="177"/>
        <v>0</v>
      </c>
      <c r="K291" s="614">
        <f t="shared" si="177"/>
        <v>0</v>
      </c>
      <c r="L291" s="614">
        <f t="shared" si="177"/>
        <v>0</v>
      </c>
      <c r="M291" s="614">
        <f t="shared" si="177"/>
        <v>0</v>
      </c>
      <c r="N291" s="613">
        <f>IF(AE$296&gt;0,(AE291/AE$296),0)</f>
        <v>0.32055821703811704</v>
      </c>
      <c r="O291" s="613">
        <f t="shared" ref="O291:Q296" si="178">IF(AF$296&gt;0,(AF291/AF$296),0)</f>
        <v>0</v>
      </c>
      <c r="P291" s="615">
        <f t="shared" si="178"/>
        <v>0</v>
      </c>
      <c r="Q291" s="613">
        <f t="shared" si="178"/>
        <v>0.17934782608695651</v>
      </c>
      <c r="R291" s="799"/>
      <c r="S291" s="860">
        <f>S297+S303+S309+S315+S321+S327+S333+S339+S345</f>
        <v>4623</v>
      </c>
      <c r="T291" s="860">
        <f t="shared" ref="T291:AE291" si="179">T297+T303+T309+T315+T321+T327+T333+T339+T345</f>
        <v>1625</v>
      </c>
      <c r="U291" s="860">
        <f t="shared" si="179"/>
        <v>3671</v>
      </c>
      <c r="V291" s="860">
        <f t="shared" si="179"/>
        <v>1615</v>
      </c>
      <c r="W291" s="860">
        <f t="shared" si="179"/>
        <v>943</v>
      </c>
      <c r="X291" s="860">
        <f t="shared" si="179"/>
        <v>649</v>
      </c>
      <c r="Y291" s="861">
        <f t="shared" si="179"/>
        <v>13126</v>
      </c>
      <c r="Z291" s="861">
        <f t="shared" si="179"/>
        <v>0</v>
      </c>
      <c r="AA291" s="860">
        <f t="shared" si="179"/>
        <v>0</v>
      </c>
      <c r="AB291" s="860">
        <f t="shared" si="179"/>
        <v>0</v>
      </c>
      <c r="AC291" s="860">
        <f t="shared" si="179"/>
        <v>0</v>
      </c>
      <c r="AD291" s="860">
        <f t="shared" si="179"/>
        <v>0</v>
      </c>
      <c r="AE291" s="861">
        <f t="shared" si="179"/>
        <v>4617</v>
      </c>
      <c r="AF291" s="861"/>
      <c r="AG291" s="860"/>
      <c r="AH291" s="861">
        <f t="shared" ref="AH291:AH296" si="180">AH297+AH303+AH309+AH315+AH321+AH327+AH333+AH339+AH345</f>
        <v>33</v>
      </c>
    </row>
    <row r="292" spans="1:34">
      <c r="A292" s="883"/>
      <c r="B292" s="239" t="s">
        <v>93</v>
      </c>
      <c r="C292" s="806">
        <f t="shared" ref="C292:C296" si="181">IF(S$296&gt;0,(S292/S$296),0)</f>
        <v>0.26161919040479759</v>
      </c>
      <c r="D292" s="806">
        <f t="shared" si="177"/>
        <v>0.29037237121358289</v>
      </c>
      <c r="E292" s="806">
        <f t="shared" si="177"/>
        <v>0.32205882352941179</v>
      </c>
      <c r="F292" s="806">
        <f t="shared" si="177"/>
        <v>0.30094832591445714</v>
      </c>
      <c r="G292" s="806">
        <f t="shared" si="177"/>
        <v>0.33050847457627119</v>
      </c>
      <c r="H292" s="806">
        <f t="shared" si="177"/>
        <v>0.27721038809454335</v>
      </c>
      <c r="I292" s="624">
        <f t="shared" si="177"/>
        <v>0.29236984878217709</v>
      </c>
      <c r="J292" s="624">
        <f t="shared" si="177"/>
        <v>0</v>
      </c>
      <c r="K292" s="625">
        <f t="shared" si="177"/>
        <v>0</v>
      </c>
      <c r="L292" s="625">
        <f t="shared" si="177"/>
        <v>0</v>
      </c>
      <c r="M292" s="625">
        <f t="shared" si="177"/>
        <v>0</v>
      </c>
      <c r="N292" s="624">
        <f t="shared" ref="N292:N296" si="182">IF(AE$296&gt;0,(AE292/AE$296),0)</f>
        <v>0.22106505589113379</v>
      </c>
      <c r="O292" s="624">
        <f t="shared" si="178"/>
        <v>0</v>
      </c>
      <c r="P292" s="626">
        <f t="shared" si="178"/>
        <v>0</v>
      </c>
      <c r="Q292" s="624">
        <f t="shared" si="178"/>
        <v>7.0652173913043473E-2</v>
      </c>
      <c r="R292" s="357"/>
      <c r="S292" s="862">
        <f t="shared" ref="S292:AE296" si="183">S298+S304+S310+S316+S322+S328+S334+S340+S346</f>
        <v>3839</v>
      </c>
      <c r="T292" s="862">
        <f t="shared" si="183"/>
        <v>1505</v>
      </c>
      <c r="U292" s="862">
        <f t="shared" si="183"/>
        <v>3723</v>
      </c>
      <c r="V292" s="862">
        <f t="shared" si="183"/>
        <v>1555</v>
      </c>
      <c r="W292" s="862">
        <f t="shared" si="183"/>
        <v>1092</v>
      </c>
      <c r="X292" s="862">
        <f t="shared" si="183"/>
        <v>950</v>
      </c>
      <c r="Y292" s="863">
        <f t="shared" si="183"/>
        <v>12664</v>
      </c>
      <c r="Z292" s="863">
        <f t="shared" si="183"/>
        <v>0</v>
      </c>
      <c r="AA292" s="862">
        <f t="shared" si="183"/>
        <v>0</v>
      </c>
      <c r="AB292" s="862">
        <f t="shared" si="183"/>
        <v>0</v>
      </c>
      <c r="AC292" s="862">
        <f t="shared" si="183"/>
        <v>0</v>
      </c>
      <c r="AD292" s="862">
        <f t="shared" si="183"/>
        <v>0</v>
      </c>
      <c r="AE292" s="863">
        <f t="shared" si="183"/>
        <v>3184</v>
      </c>
      <c r="AF292" s="859"/>
      <c r="AG292" s="858"/>
      <c r="AH292" s="863">
        <f t="shared" si="180"/>
        <v>13</v>
      </c>
    </row>
    <row r="293" spans="1:34">
      <c r="A293" s="883"/>
      <c r="B293" s="239" t="s">
        <v>55</v>
      </c>
      <c r="C293" s="806">
        <f t="shared" si="181"/>
        <v>0.27824724001635548</v>
      </c>
      <c r="D293" s="806">
        <f t="shared" si="177"/>
        <v>0.21416168242330696</v>
      </c>
      <c r="E293" s="806">
        <f t="shared" si="177"/>
        <v>0.25942906574394464</v>
      </c>
      <c r="F293" s="806">
        <f t="shared" si="177"/>
        <v>0.26998258176891815</v>
      </c>
      <c r="G293" s="806">
        <f t="shared" si="177"/>
        <v>0.29509685230024213</v>
      </c>
      <c r="H293" s="806">
        <f t="shared" si="177"/>
        <v>0.31310183834257366</v>
      </c>
      <c r="I293" s="624">
        <f t="shared" si="177"/>
        <v>0.26861364423409906</v>
      </c>
      <c r="J293" s="624">
        <f t="shared" si="177"/>
        <v>0</v>
      </c>
      <c r="K293" s="625">
        <f t="shared" si="177"/>
        <v>0</v>
      </c>
      <c r="L293" s="625">
        <f t="shared" si="177"/>
        <v>0</v>
      </c>
      <c r="M293" s="625">
        <f t="shared" si="177"/>
        <v>0</v>
      </c>
      <c r="N293" s="624">
        <f t="shared" si="182"/>
        <v>0.28514892730681107</v>
      </c>
      <c r="O293" s="624">
        <f t="shared" si="178"/>
        <v>0</v>
      </c>
      <c r="P293" s="626">
        <f t="shared" si="178"/>
        <v>0</v>
      </c>
      <c r="Q293" s="624">
        <f t="shared" si="178"/>
        <v>2.717391304347826E-2</v>
      </c>
      <c r="R293" s="357"/>
      <c r="S293" s="862">
        <f t="shared" si="183"/>
        <v>4083</v>
      </c>
      <c r="T293" s="862">
        <f t="shared" si="183"/>
        <v>1110</v>
      </c>
      <c r="U293" s="862">
        <f t="shared" si="183"/>
        <v>2999</v>
      </c>
      <c r="V293" s="862">
        <f t="shared" si="183"/>
        <v>1395</v>
      </c>
      <c r="W293" s="862">
        <f t="shared" si="183"/>
        <v>975</v>
      </c>
      <c r="X293" s="862">
        <f t="shared" si="183"/>
        <v>1073</v>
      </c>
      <c r="Y293" s="863">
        <f t="shared" si="183"/>
        <v>11635</v>
      </c>
      <c r="Z293" s="863">
        <f t="shared" si="183"/>
        <v>0</v>
      </c>
      <c r="AA293" s="862">
        <f t="shared" si="183"/>
        <v>0</v>
      </c>
      <c r="AB293" s="862">
        <f t="shared" si="183"/>
        <v>0</v>
      </c>
      <c r="AC293" s="862">
        <f t="shared" si="183"/>
        <v>0</v>
      </c>
      <c r="AD293" s="862">
        <f t="shared" si="183"/>
        <v>0</v>
      </c>
      <c r="AE293" s="863">
        <f t="shared" si="183"/>
        <v>4107</v>
      </c>
      <c r="AF293" s="859"/>
      <c r="AG293" s="858"/>
      <c r="AH293" s="863">
        <f t="shared" si="180"/>
        <v>5</v>
      </c>
    </row>
    <row r="294" spans="1:34">
      <c r="A294" s="883"/>
      <c r="B294" s="239" t="s">
        <v>78</v>
      </c>
      <c r="C294" s="806">
        <f t="shared" si="181"/>
        <v>5.2201172141202123E-2</v>
      </c>
      <c r="D294" s="806">
        <f t="shared" si="177"/>
        <v>2.4503183484468456E-2</v>
      </c>
      <c r="E294" s="806">
        <f t="shared" si="177"/>
        <v>3.4342560553633217E-2</v>
      </c>
      <c r="F294" s="806">
        <f t="shared" si="177"/>
        <v>6.2899167795626085E-2</v>
      </c>
      <c r="G294" s="806">
        <f t="shared" si="177"/>
        <v>1.8159806295399514E-2</v>
      </c>
      <c r="H294" s="806">
        <f t="shared" si="177"/>
        <v>0.14327400058360082</v>
      </c>
      <c r="I294" s="624">
        <f t="shared" si="177"/>
        <v>5.0005771672630726E-2</v>
      </c>
      <c r="J294" s="624">
        <f t="shared" si="177"/>
        <v>0</v>
      </c>
      <c r="K294" s="625">
        <f t="shared" si="177"/>
        <v>0</v>
      </c>
      <c r="L294" s="625">
        <f t="shared" si="177"/>
        <v>0</v>
      </c>
      <c r="M294" s="625">
        <f t="shared" si="177"/>
        <v>0</v>
      </c>
      <c r="N294" s="624">
        <f t="shared" si="182"/>
        <v>0.12393251405957093</v>
      </c>
      <c r="O294" s="624">
        <f t="shared" si="178"/>
        <v>0</v>
      </c>
      <c r="P294" s="626">
        <f t="shared" si="178"/>
        <v>0</v>
      </c>
      <c r="Q294" s="624">
        <f t="shared" si="178"/>
        <v>0.69565217391304346</v>
      </c>
      <c r="R294" s="357"/>
      <c r="S294" s="862">
        <f t="shared" si="183"/>
        <v>766</v>
      </c>
      <c r="T294" s="862">
        <f t="shared" si="183"/>
        <v>127</v>
      </c>
      <c r="U294" s="862">
        <f t="shared" si="183"/>
        <v>397</v>
      </c>
      <c r="V294" s="862">
        <f t="shared" si="183"/>
        <v>325</v>
      </c>
      <c r="W294" s="862">
        <f t="shared" si="183"/>
        <v>60</v>
      </c>
      <c r="X294" s="862">
        <f t="shared" si="183"/>
        <v>491</v>
      </c>
      <c r="Y294" s="863">
        <f t="shared" si="183"/>
        <v>2166</v>
      </c>
      <c r="Z294" s="863">
        <f t="shared" si="183"/>
        <v>0</v>
      </c>
      <c r="AA294" s="862">
        <f t="shared" si="183"/>
        <v>0</v>
      </c>
      <c r="AB294" s="862">
        <f t="shared" si="183"/>
        <v>0</v>
      </c>
      <c r="AC294" s="862">
        <f t="shared" si="183"/>
        <v>0</v>
      </c>
      <c r="AD294" s="862">
        <f t="shared" si="183"/>
        <v>0</v>
      </c>
      <c r="AE294" s="863">
        <f t="shared" si="183"/>
        <v>1785</v>
      </c>
      <c r="AF294" s="859"/>
      <c r="AG294" s="858"/>
      <c r="AH294" s="863">
        <f t="shared" si="180"/>
        <v>128</v>
      </c>
    </row>
    <row r="295" spans="1:34">
      <c r="A295" s="884"/>
      <c r="B295" s="580" t="s">
        <v>131</v>
      </c>
      <c r="C295" s="806">
        <f t="shared" si="181"/>
        <v>9.2885375494071151E-2</v>
      </c>
      <c r="D295" s="806">
        <f t="shared" si="177"/>
        <v>0.15743777734902567</v>
      </c>
      <c r="E295" s="806">
        <f t="shared" si="177"/>
        <v>6.6608996539792381E-2</v>
      </c>
      <c r="F295" s="806">
        <f t="shared" si="177"/>
        <v>5.360944455196439E-2</v>
      </c>
      <c r="G295" s="806">
        <f t="shared" si="177"/>
        <v>7.0823244552058115E-2</v>
      </c>
      <c r="H295" s="806">
        <f t="shared" si="177"/>
        <v>7.7035307849430995E-2</v>
      </c>
      <c r="I295" s="624">
        <f t="shared" si="177"/>
        <v>8.5974835507330025E-2</v>
      </c>
      <c r="J295" s="624">
        <f t="shared" si="177"/>
        <v>0</v>
      </c>
      <c r="K295" s="625">
        <f t="shared" si="177"/>
        <v>0</v>
      </c>
      <c r="L295" s="625">
        <f t="shared" si="177"/>
        <v>0</v>
      </c>
      <c r="M295" s="625">
        <f t="shared" si="177"/>
        <v>0</v>
      </c>
      <c r="N295" s="624">
        <f t="shared" si="182"/>
        <v>4.9295285704367149E-2</v>
      </c>
      <c r="O295" s="624">
        <f t="shared" si="178"/>
        <v>0</v>
      </c>
      <c r="P295" s="626">
        <f t="shared" si="178"/>
        <v>0</v>
      </c>
      <c r="Q295" s="624">
        <f t="shared" si="178"/>
        <v>2.717391304347826E-2</v>
      </c>
      <c r="R295" s="357"/>
      <c r="S295" s="862">
        <f t="shared" si="183"/>
        <v>1363</v>
      </c>
      <c r="T295" s="862">
        <f t="shared" si="183"/>
        <v>816</v>
      </c>
      <c r="U295" s="862">
        <f t="shared" si="183"/>
        <v>770</v>
      </c>
      <c r="V295" s="862">
        <f t="shared" si="183"/>
        <v>277</v>
      </c>
      <c r="W295" s="862">
        <f t="shared" si="183"/>
        <v>234</v>
      </c>
      <c r="X295" s="862">
        <f t="shared" si="183"/>
        <v>264</v>
      </c>
      <c r="Y295" s="863">
        <f t="shared" si="183"/>
        <v>3724</v>
      </c>
      <c r="Z295" s="863">
        <f t="shared" si="183"/>
        <v>0</v>
      </c>
      <c r="AA295" s="862">
        <f t="shared" si="183"/>
        <v>0</v>
      </c>
      <c r="AB295" s="862">
        <f t="shared" si="183"/>
        <v>0</v>
      </c>
      <c r="AC295" s="862">
        <f t="shared" si="183"/>
        <v>0</v>
      </c>
      <c r="AD295" s="862">
        <f t="shared" si="183"/>
        <v>0</v>
      </c>
      <c r="AE295" s="863">
        <f t="shared" si="183"/>
        <v>710</v>
      </c>
      <c r="AF295" s="859"/>
      <c r="AG295" s="858"/>
      <c r="AH295" s="863">
        <f t="shared" si="180"/>
        <v>5</v>
      </c>
    </row>
    <row r="296" spans="1:34">
      <c r="A296" s="885" t="s">
        <v>86</v>
      </c>
      <c r="B296" s="436" t="s">
        <v>59</v>
      </c>
      <c r="C296" s="807">
        <f t="shared" si="181"/>
        <v>1</v>
      </c>
      <c r="D296" s="808">
        <f t="shared" si="177"/>
        <v>1</v>
      </c>
      <c r="E296" s="808">
        <f t="shared" si="177"/>
        <v>1</v>
      </c>
      <c r="F296" s="808">
        <f t="shared" si="177"/>
        <v>1</v>
      </c>
      <c r="G296" s="808">
        <f t="shared" si="177"/>
        <v>1</v>
      </c>
      <c r="H296" s="809">
        <f t="shared" si="177"/>
        <v>1</v>
      </c>
      <c r="I296" s="577">
        <f t="shared" si="177"/>
        <v>1</v>
      </c>
      <c r="J296" s="577">
        <f t="shared" si="177"/>
        <v>0</v>
      </c>
      <c r="K296" s="578">
        <f t="shared" si="177"/>
        <v>0</v>
      </c>
      <c r="L296" s="578">
        <f t="shared" si="177"/>
        <v>0</v>
      </c>
      <c r="M296" s="578">
        <f t="shared" si="177"/>
        <v>0</v>
      </c>
      <c r="N296" s="577">
        <f t="shared" si="182"/>
        <v>1</v>
      </c>
      <c r="O296" s="577">
        <f t="shared" si="178"/>
        <v>0</v>
      </c>
      <c r="P296" s="579">
        <f t="shared" si="178"/>
        <v>0</v>
      </c>
      <c r="Q296" s="577">
        <f t="shared" si="178"/>
        <v>1</v>
      </c>
      <c r="R296" s="357"/>
      <c r="S296" s="862">
        <f t="shared" si="183"/>
        <v>14674</v>
      </c>
      <c r="T296" s="862">
        <f t="shared" si="183"/>
        <v>5183</v>
      </c>
      <c r="U296" s="862">
        <f t="shared" si="183"/>
        <v>11560</v>
      </c>
      <c r="V296" s="862">
        <f t="shared" si="183"/>
        <v>5167</v>
      </c>
      <c r="W296" s="862">
        <f t="shared" si="183"/>
        <v>3304</v>
      </c>
      <c r="X296" s="862">
        <f t="shared" si="183"/>
        <v>3427</v>
      </c>
      <c r="Y296" s="863">
        <f t="shared" si="183"/>
        <v>43315</v>
      </c>
      <c r="Z296" s="863">
        <f t="shared" si="183"/>
        <v>0</v>
      </c>
      <c r="AA296" s="862">
        <f t="shared" si="183"/>
        <v>0</v>
      </c>
      <c r="AB296" s="862">
        <f t="shared" si="183"/>
        <v>0</v>
      </c>
      <c r="AC296" s="862">
        <f t="shared" si="183"/>
        <v>0</v>
      </c>
      <c r="AD296" s="862">
        <f t="shared" si="183"/>
        <v>0</v>
      </c>
      <c r="AE296" s="863">
        <f t="shared" si="183"/>
        <v>14403</v>
      </c>
      <c r="AF296" s="859"/>
      <c r="AG296" s="858"/>
      <c r="AH296" s="863">
        <f t="shared" si="180"/>
        <v>184</v>
      </c>
    </row>
    <row r="297" spans="1:34">
      <c r="A297" s="882" t="s">
        <v>140</v>
      </c>
      <c r="B297" s="240" t="s">
        <v>53</v>
      </c>
      <c r="C297" s="806">
        <f>IF(S$302&gt;0,(S297/S$302),0)</f>
        <v>0.3301950235373235</v>
      </c>
      <c r="D297" s="806">
        <f t="shared" ref="D297:M302" si="184">IF(T$302&gt;0,(T297/T$302),0)</f>
        <v>0</v>
      </c>
      <c r="E297" s="806">
        <f t="shared" si="184"/>
        <v>0.42402183803457688</v>
      </c>
      <c r="F297" s="806">
        <f t="shared" si="184"/>
        <v>0</v>
      </c>
      <c r="G297" s="806">
        <f t="shared" si="184"/>
        <v>0.46969696969696972</v>
      </c>
      <c r="H297" s="806">
        <f t="shared" si="184"/>
        <v>0</v>
      </c>
      <c r="I297" s="613">
        <f t="shared" si="184"/>
        <v>0.37715517241379309</v>
      </c>
      <c r="J297" s="613">
        <f t="shared" si="184"/>
        <v>0</v>
      </c>
      <c r="K297" s="614">
        <f t="shared" si="184"/>
        <v>0</v>
      </c>
      <c r="L297" s="614">
        <f t="shared" si="184"/>
        <v>0</v>
      </c>
      <c r="M297" s="614">
        <f t="shared" si="184"/>
        <v>0</v>
      </c>
      <c r="N297" s="613">
        <f>IF(AE$302&gt;0,(AE297/AE$302),0)</f>
        <v>0.5592356687898089</v>
      </c>
      <c r="O297" s="613">
        <f t="shared" ref="O297:Q302" si="185">IF(AF$302&gt;0,(AF297/AF$302),0)</f>
        <v>0</v>
      </c>
      <c r="P297" s="615">
        <f t="shared" si="185"/>
        <v>0</v>
      </c>
      <c r="Q297" s="613">
        <f t="shared" si="185"/>
        <v>0.35483870967741937</v>
      </c>
      <c r="R297" s="799"/>
      <c r="S297" s="856">
        <v>491</v>
      </c>
      <c r="T297" s="856"/>
      <c r="U297" s="856">
        <v>466</v>
      </c>
      <c r="V297" s="856"/>
      <c r="W297" s="856">
        <v>93</v>
      </c>
      <c r="X297" s="856"/>
      <c r="Y297" s="857">
        <v>1050</v>
      </c>
      <c r="Z297" s="857"/>
      <c r="AA297" s="856"/>
      <c r="AB297" s="856"/>
      <c r="AC297" s="856"/>
      <c r="AD297" s="856"/>
      <c r="AE297" s="857">
        <v>439</v>
      </c>
      <c r="AF297" s="857"/>
      <c r="AG297" s="856"/>
      <c r="AH297" s="857">
        <v>11</v>
      </c>
    </row>
    <row r="298" spans="1:34">
      <c r="A298" s="883"/>
      <c r="B298" s="239" t="s">
        <v>93</v>
      </c>
      <c r="C298" s="806">
        <f t="shared" ref="C298:C302" si="186">IF(S$302&gt;0,(S298/S$302),0)</f>
        <v>0.30934767989240081</v>
      </c>
      <c r="D298" s="806">
        <f t="shared" si="184"/>
        <v>0</v>
      </c>
      <c r="E298" s="806">
        <f t="shared" si="184"/>
        <v>0.29663330300272978</v>
      </c>
      <c r="F298" s="806">
        <f t="shared" si="184"/>
        <v>0</v>
      </c>
      <c r="G298" s="806">
        <f t="shared" si="184"/>
        <v>0.20707070707070707</v>
      </c>
      <c r="H298" s="806">
        <f t="shared" si="184"/>
        <v>0</v>
      </c>
      <c r="I298" s="624">
        <f t="shared" si="184"/>
        <v>0.29705459770114945</v>
      </c>
      <c r="J298" s="624">
        <f t="shared" si="184"/>
        <v>0</v>
      </c>
      <c r="K298" s="625">
        <f t="shared" si="184"/>
        <v>0</v>
      </c>
      <c r="L298" s="625">
        <f t="shared" si="184"/>
        <v>0</v>
      </c>
      <c r="M298" s="625">
        <f t="shared" si="184"/>
        <v>0</v>
      </c>
      <c r="N298" s="624">
        <f t="shared" ref="N298:N302" si="187">IF(AE$302&gt;0,(AE298/AE$302),0)</f>
        <v>0.15159235668789808</v>
      </c>
      <c r="O298" s="624">
        <f t="shared" si="185"/>
        <v>0</v>
      </c>
      <c r="P298" s="626">
        <f t="shared" si="185"/>
        <v>0</v>
      </c>
      <c r="Q298" s="624">
        <f t="shared" si="185"/>
        <v>0.19354838709677419</v>
      </c>
      <c r="R298" s="357"/>
      <c r="S298" s="858">
        <v>460</v>
      </c>
      <c r="T298" s="858"/>
      <c r="U298" s="858">
        <v>326</v>
      </c>
      <c r="V298" s="858"/>
      <c r="W298" s="858">
        <v>41</v>
      </c>
      <c r="X298" s="858"/>
      <c r="Y298" s="859">
        <v>827</v>
      </c>
      <c r="Z298" s="859"/>
      <c r="AA298" s="858"/>
      <c r="AB298" s="858"/>
      <c r="AC298" s="858"/>
      <c r="AD298" s="858"/>
      <c r="AE298" s="859">
        <v>119</v>
      </c>
      <c r="AF298" s="859"/>
      <c r="AG298" s="858"/>
      <c r="AH298" s="859">
        <v>6</v>
      </c>
    </row>
    <row r="299" spans="1:34">
      <c r="A299" s="883"/>
      <c r="B299" s="239" t="s">
        <v>55</v>
      </c>
      <c r="C299" s="806">
        <f t="shared" si="186"/>
        <v>0.29858776059179554</v>
      </c>
      <c r="D299" s="806">
        <f t="shared" si="184"/>
        <v>0</v>
      </c>
      <c r="E299" s="806">
        <f t="shared" si="184"/>
        <v>0.26114649681528662</v>
      </c>
      <c r="F299" s="806">
        <f t="shared" si="184"/>
        <v>0</v>
      </c>
      <c r="G299" s="806">
        <f t="shared" si="184"/>
        <v>0.32323232323232326</v>
      </c>
      <c r="H299" s="806">
        <f t="shared" si="184"/>
        <v>0</v>
      </c>
      <c r="I299" s="624">
        <f t="shared" si="184"/>
        <v>0.28556034482758619</v>
      </c>
      <c r="J299" s="624">
        <f t="shared" si="184"/>
        <v>0</v>
      </c>
      <c r="K299" s="625">
        <f t="shared" si="184"/>
        <v>0</v>
      </c>
      <c r="L299" s="625">
        <f t="shared" si="184"/>
        <v>0</v>
      </c>
      <c r="M299" s="625">
        <f t="shared" si="184"/>
        <v>0</v>
      </c>
      <c r="N299" s="624">
        <f t="shared" si="187"/>
        <v>0.16942675159235668</v>
      </c>
      <c r="O299" s="624">
        <f t="shared" si="185"/>
        <v>0</v>
      </c>
      <c r="P299" s="626">
        <f t="shared" si="185"/>
        <v>0</v>
      </c>
      <c r="Q299" s="624">
        <f t="shared" si="185"/>
        <v>0.12903225806451613</v>
      </c>
      <c r="R299" s="357"/>
      <c r="S299" s="858">
        <v>444</v>
      </c>
      <c r="T299" s="858"/>
      <c r="U299" s="858">
        <v>287</v>
      </c>
      <c r="V299" s="858"/>
      <c r="W299" s="858">
        <v>64</v>
      </c>
      <c r="X299" s="858"/>
      <c r="Y299" s="859">
        <v>795</v>
      </c>
      <c r="Z299" s="859"/>
      <c r="AA299" s="858"/>
      <c r="AB299" s="858"/>
      <c r="AC299" s="858"/>
      <c r="AD299" s="858"/>
      <c r="AE299" s="859">
        <v>133</v>
      </c>
      <c r="AF299" s="859"/>
      <c r="AG299" s="858"/>
      <c r="AH299" s="859">
        <v>4</v>
      </c>
    </row>
    <row r="300" spans="1:34">
      <c r="A300" s="883"/>
      <c r="B300" s="239" t="s">
        <v>78</v>
      </c>
      <c r="C300" s="806">
        <f t="shared" si="186"/>
        <v>2.4209818426361801E-2</v>
      </c>
      <c r="D300" s="806">
        <f t="shared" si="184"/>
        <v>0</v>
      </c>
      <c r="E300" s="806">
        <f t="shared" si="184"/>
        <v>1.8198362147406732E-2</v>
      </c>
      <c r="F300" s="806">
        <f t="shared" si="184"/>
        <v>0</v>
      </c>
      <c r="G300" s="806">
        <f t="shared" si="184"/>
        <v>0</v>
      </c>
      <c r="H300" s="806">
        <f t="shared" si="184"/>
        <v>0</v>
      </c>
      <c r="I300" s="624">
        <f t="shared" si="184"/>
        <v>2.0114942528735632E-2</v>
      </c>
      <c r="J300" s="624">
        <f t="shared" si="184"/>
        <v>0</v>
      </c>
      <c r="K300" s="625">
        <f t="shared" si="184"/>
        <v>0</v>
      </c>
      <c r="L300" s="625">
        <f t="shared" si="184"/>
        <v>0</v>
      </c>
      <c r="M300" s="625">
        <f t="shared" si="184"/>
        <v>0</v>
      </c>
      <c r="N300" s="624">
        <f t="shared" si="187"/>
        <v>8.7898089171974517E-2</v>
      </c>
      <c r="O300" s="624">
        <f t="shared" si="185"/>
        <v>0</v>
      </c>
      <c r="P300" s="626">
        <f t="shared" si="185"/>
        <v>0</v>
      </c>
      <c r="Q300" s="624">
        <f t="shared" si="185"/>
        <v>0.16129032258064516</v>
      </c>
      <c r="R300" s="357"/>
      <c r="S300" s="858">
        <v>36</v>
      </c>
      <c r="T300" s="858"/>
      <c r="U300" s="858">
        <v>20</v>
      </c>
      <c r="V300" s="858"/>
      <c r="W300" s="858"/>
      <c r="X300" s="858"/>
      <c r="Y300" s="859">
        <v>56</v>
      </c>
      <c r="Z300" s="859"/>
      <c r="AA300" s="858"/>
      <c r="AB300" s="858"/>
      <c r="AC300" s="858"/>
      <c r="AD300" s="858"/>
      <c r="AE300" s="859">
        <v>69</v>
      </c>
      <c r="AF300" s="859"/>
      <c r="AG300" s="858"/>
      <c r="AH300" s="859">
        <v>5</v>
      </c>
    </row>
    <row r="301" spans="1:34">
      <c r="A301" s="884"/>
      <c r="B301" s="580" t="s">
        <v>131</v>
      </c>
      <c r="C301" s="806">
        <f t="shared" si="186"/>
        <v>3.765971755211836E-2</v>
      </c>
      <c r="D301" s="806">
        <f t="shared" si="184"/>
        <v>0</v>
      </c>
      <c r="E301" s="806">
        <f t="shared" si="184"/>
        <v>0</v>
      </c>
      <c r="F301" s="806">
        <f t="shared" si="184"/>
        <v>0</v>
      </c>
      <c r="G301" s="806">
        <f t="shared" si="184"/>
        <v>0</v>
      </c>
      <c r="H301" s="806">
        <f t="shared" si="184"/>
        <v>0</v>
      </c>
      <c r="I301" s="624">
        <f t="shared" si="184"/>
        <v>2.0114942528735632E-2</v>
      </c>
      <c r="J301" s="624">
        <f t="shared" si="184"/>
        <v>0</v>
      </c>
      <c r="K301" s="625">
        <f t="shared" si="184"/>
        <v>0</v>
      </c>
      <c r="L301" s="625">
        <f t="shared" si="184"/>
        <v>0</v>
      </c>
      <c r="M301" s="625">
        <f t="shared" si="184"/>
        <v>0</v>
      </c>
      <c r="N301" s="624">
        <f t="shared" si="187"/>
        <v>3.1847133757961783E-2</v>
      </c>
      <c r="O301" s="624">
        <f t="shared" si="185"/>
        <v>0</v>
      </c>
      <c r="P301" s="626">
        <f t="shared" si="185"/>
        <v>0</v>
      </c>
      <c r="Q301" s="624">
        <f t="shared" si="185"/>
        <v>0.16129032258064516</v>
      </c>
      <c r="R301" s="357"/>
      <c r="S301" s="858">
        <v>56</v>
      </c>
      <c r="T301" s="858"/>
      <c r="U301" s="858"/>
      <c r="V301" s="858"/>
      <c r="W301" s="858"/>
      <c r="X301" s="858"/>
      <c r="Y301" s="859">
        <v>56</v>
      </c>
      <c r="Z301" s="859"/>
      <c r="AA301" s="858"/>
      <c r="AB301" s="858"/>
      <c r="AC301" s="858"/>
      <c r="AD301" s="858"/>
      <c r="AE301" s="859">
        <v>25</v>
      </c>
      <c r="AF301" s="859"/>
      <c r="AG301" s="858"/>
      <c r="AH301" s="859">
        <f>1+4</f>
        <v>5</v>
      </c>
    </row>
    <row r="302" spans="1:34">
      <c r="A302" s="885"/>
      <c r="B302" s="436" t="s">
        <v>59</v>
      </c>
      <c r="C302" s="807">
        <f t="shared" si="186"/>
        <v>1</v>
      </c>
      <c r="D302" s="808">
        <f t="shared" si="184"/>
        <v>0</v>
      </c>
      <c r="E302" s="808">
        <f t="shared" si="184"/>
        <v>1</v>
      </c>
      <c r="F302" s="808">
        <f t="shared" si="184"/>
        <v>0</v>
      </c>
      <c r="G302" s="808">
        <f t="shared" si="184"/>
        <v>1</v>
      </c>
      <c r="H302" s="809">
        <f t="shared" si="184"/>
        <v>0</v>
      </c>
      <c r="I302" s="577">
        <f t="shared" si="184"/>
        <v>1</v>
      </c>
      <c r="J302" s="577">
        <f t="shared" si="184"/>
        <v>0</v>
      </c>
      <c r="K302" s="578">
        <f t="shared" si="184"/>
        <v>0</v>
      </c>
      <c r="L302" s="578">
        <f t="shared" si="184"/>
        <v>0</v>
      </c>
      <c r="M302" s="578">
        <f t="shared" si="184"/>
        <v>0</v>
      </c>
      <c r="N302" s="577">
        <f t="shared" si="187"/>
        <v>1</v>
      </c>
      <c r="O302" s="577">
        <f t="shared" si="185"/>
        <v>0</v>
      </c>
      <c r="P302" s="579">
        <f t="shared" si="185"/>
        <v>0</v>
      </c>
      <c r="Q302" s="577">
        <f t="shared" si="185"/>
        <v>1</v>
      </c>
      <c r="R302" s="357"/>
      <c r="S302" s="858">
        <v>1487</v>
      </c>
      <c r="T302" s="858"/>
      <c r="U302" s="858">
        <v>1099</v>
      </c>
      <c r="V302" s="858"/>
      <c r="W302" s="858">
        <v>198</v>
      </c>
      <c r="X302" s="858"/>
      <c r="Y302" s="859">
        <v>2784</v>
      </c>
      <c r="Z302" s="859"/>
      <c r="AA302" s="858"/>
      <c r="AB302" s="858"/>
      <c r="AC302" s="858"/>
      <c r="AD302" s="858"/>
      <c r="AE302" s="859">
        <v>785</v>
      </c>
      <c r="AF302" s="859"/>
      <c r="AG302" s="858"/>
      <c r="AH302" s="859">
        <v>31</v>
      </c>
    </row>
    <row r="303" spans="1:34">
      <c r="A303" s="882" t="s">
        <v>148</v>
      </c>
      <c r="B303" s="240" t="s">
        <v>53</v>
      </c>
      <c r="C303" s="806">
        <f>IF(S$308&gt;0,(S303/S$308),0)</f>
        <v>0</v>
      </c>
      <c r="D303" s="806">
        <f t="shared" ref="D303:M308" si="188">IF(T$308&gt;0,(T303/T$308),0)</f>
        <v>0.38958333333333334</v>
      </c>
      <c r="E303" s="806">
        <f t="shared" si="188"/>
        <v>0.34334763948497854</v>
      </c>
      <c r="F303" s="806">
        <f t="shared" si="188"/>
        <v>0</v>
      </c>
      <c r="G303" s="806">
        <f t="shared" si="188"/>
        <v>0</v>
      </c>
      <c r="H303" s="806">
        <f t="shared" si="188"/>
        <v>0.28735632183908044</v>
      </c>
      <c r="I303" s="613">
        <f t="shared" si="188"/>
        <v>0.34590009425070689</v>
      </c>
      <c r="J303" s="613">
        <f t="shared" si="188"/>
        <v>0</v>
      </c>
      <c r="K303" s="614">
        <f t="shared" si="188"/>
        <v>0</v>
      </c>
      <c r="L303" s="614">
        <f t="shared" si="188"/>
        <v>0</v>
      </c>
      <c r="M303" s="614">
        <f t="shared" si="188"/>
        <v>0</v>
      </c>
      <c r="N303" s="613">
        <f>IF(AE$308&gt;0,(AE303/AE$308),0)</f>
        <v>0.12054794520547946</v>
      </c>
      <c r="O303" s="613">
        <f t="shared" ref="O303:Q308" si="189">IF(AF$308&gt;0,(AF303/AF$308),0)</f>
        <v>0</v>
      </c>
      <c r="P303" s="615">
        <f t="shared" si="189"/>
        <v>0</v>
      </c>
      <c r="Q303" s="613">
        <f t="shared" si="189"/>
        <v>0</v>
      </c>
      <c r="R303" s="799"/>
      <c r="S303" s="856"/>
      <c r="T303" s="856">
        <v>187</v>
      </c>
      <c r="U303" s="856">
        <v>80</v>
      </c>
      <c r="V303" s="856"/>
      <c r="W303" s="856"/>
      <c r="X303" s="856">
        <v>100</v>
      </c>
      <c r="Y303" s="857">
        <v>367</v>
      </c>
      <c r="Z303" s="857"/>
      <c r="AA303" s="856"/>
      <c r="AB303" s="856"/>
      <c r="AC303" s="856"/>
      <c r="AD303" s="856"/>
      <c r="AE303" s="857">
        <v>44</v>
      </c>
      <c r="AF303" s="857"/>
      <c r="AG303" s="856"/>
      <c r="AH303" s="857"/>
    </row>
    <row r="304" spans="1:34">
      <c r="A304" s="883"/>
      <c r="B304" s="239" t="s">
        <v>93</v>
      </c>
      <c r="C304" s="806">
        <f t="shared" ref="C304:C308" si="190">IF(S$308&gt;0,(S304/S$308),0)</f>
        <v>0</v>
      </c>
      <c r="D304" s="806">
        <f t="shared" si="188"/>
        <v>0.26458333333333334</v>
      </c>
      <c r="E304" s="806">
        <f t="shared" si="188"/>
        <v>0.38197424892703863</v>
      </c>
      <c r="F304" s="806">
        <f t="shared" si="188"/>
        <v>0</v>
      </c>
      <c r="G304" s="806">
        <f t="shared" si="188"/>
        <v>0</v>
      </c>
      <c r="H304" s="806">
        <f t="shared" si="188"/>
        <v>0.29310344827586204</v>
      </c>
      <c r="I304" s="624">
        <f t="shared" si="188"/>
        <v>0.29971724787935911</v>
      </c>
      <c r="J304" s="624">
        <f t="shared" si="188"/>
        <v>0</v>
      </c>
      <c r="K304" s="625">
        <f t="shared" si="188"/>
        <v>0</v>
      </c>
      <c r="L304" s="625">
        <f t="shared" si="188"/>
        <v>0</v>
      </c>
      <c r="M304" s="625">
        <f t="shared" si="188"/>
        <v>0</v>
      </c>
      <c r="N304" s="624">
        <f t="shared" ref="N304:N308" si="191">IF(AE$308&gt;0,(AE304/AE$308),0)</f>
        <v>8.7671232876712329E-2</v>
      </c>
      <c r="O304" s="624">
        <f t="shared" si="189"/>
        <v>0</v>
      </c>
      <c r="P304" s="626">
        <f t="shared" si="189"/>
        <v>0</v>
      </c>
      <c r="Q304" s="624">
        <f t="shared" si="189"/>
        <v>0</v>
      </c>
      <c r="R304" s="357"/>
      <c r="S304" s="858"/>
      <c r="T304" s="858">
        <v>127</v>
      </c>
      <c r="U304" s="858">
        <v>89</v>
      </c>
      <c r="V304" s="858"/>
      <c r="W304" s="858"/>
      <c r="X304" s="858">
        <v>102</v>
      </c>
      <c r="Y304" s="859">
        <v>318</v>
      </c>
      <c r="Z304" s="859"/>
      <c r="AA304" s="858"/>
      <c r="AB304" s="858"/>
      <c r="AC304" s="858"/>
      <c r="AD304" s="858"/>
      <c r="AE304" s="859">
        <v>32</v>
      </c>
      <c r="AF304" s="859"/>
      <c r="AG304" s="858"/>
      <c r="AH304" s="859"/>
    </row>
    <row r="305" spans="1:34">
      <c r="A305" s="883"/>
      <c r="B305" s="239" t="s">
        <v>55</v>
      </c>
      <c r="C305" s="806">
        <f t="shared" si="190"/>
        <v>0</v>
      </c>
      <c r="D305" s="806">
        <f t="shared" si="188"/>
        <v>0.18333333333333332</v>
      </c>
      <c r="E305" s="806">
        <f t="shared" si="188"/>
        <v>9.012875536480687E-2</v>
      </c>
      <c r="F305" s="806">
        <f t="shared" si="188"/>
        <v>0</v>
      </c>
      <c r="G305" s="806">
        <f t="shared" si="188"/>
        <v>0</v>
      </c>
      <c r="H305" s="806">
        <f t="shared" si="188"/>
        <v>0.2614942528735632</v>
      </c>
      <c r="I305" s="624">
        <f t="shared" si="188"/>
        <v>0.1885014137606032</v>
      </c>
      <c r="J305" s="624">
        <f t="shared" si="188"/>
        <v>0</v>
      </c>
      <c r="K305" s="625">
        <f t="shared" si="188"/>
        <v>0</v>
      </c>
      <c r="L305" s="625">
        <f t="shared" si="188"/>
        <v>0</v>
      </c>
      <c r="M305" s="625">
        <f t="shared" si="188"/>
        <v>0</v>
      </c>
      <c r="N305" s="624">
        <f t="shared" si="191"/>
        <v>0.12328767123287671</v>
      </c>
      <c r="O305" s="624">
        <f t="shared" si="189"/>
        <v>0</v>
      </c>
      <c r="P305" s="626">
        <f t="shared" si="189"/>
        <v>0</v>
      </c>
      <c r="Q305" s="624">
        <f t="shared" si="189"/>
        <v>0</v>
      </c>
      <c r="R305" s="357"/>
      <c r="S305" s="858"/>
      <c r="T305" s="858">
        <v>88</v>
      </c>
      <c r="U305" s="858">
        <v>21</v>
      </c>
      <c r="V305" s="858"/>
      <c r="W305" s="858"/>
      <c r="X305" s="858">
        <v>91</v>
      </c>
      <c r="Y305" s="859">
        <v>200</v>
      </c>
      <c r="Z305" s="859"/>
      <c r="AA305" s="858"/>
      <c r="AB305" s="858"/>
      <c r="AC305" s="858"/>
      <c r="AD305" s="858"/>
      <c r="AE305" s="859">
        <v>45</v>
      </c>
      <c r="AF305" s="859"/>
      <c r="AG305" s="858"/>
      <c r="AH305" s="859"/>
    </row>
    <row r="306" spans="1:34">
      <c r="A306" s="883"/>
      <c r="B306" s="239" t="s">
        <v>78</v>
      </c>
      <c r="C306" s="806">
        <f t="shared" si="190"/>
        <v>0</v>
      </c>
      <c r="D306" s="806">
        <f t="shared" si="188"/>
        <v>1.8749999999999999E-2</v>
      </c>
      <c r="E306" s="806">
        <f t="shared" si="188"/>
        <v>1.2875536480686695E-2</v>
      </c>
      <c r="F306" s="806">
        <f t="shared" si="188"/>
        <v>0</v>
      </c>
      <c r="G306" s="806">
        <f t="shared" si="188"/>
        <v>0</v>
      </c>
      <c r="H306" s="806">
        <f t="shared" si="188"/>
        <v>4.5977011494252873E-2</v>
      </c>
      <c r="I306" s="624">
        <f t="shared" si="188"/>
        <v>2.6390197926484449E-2</v>
      </c>
      <c r="J306" s="624">
        <f t="shared" si="188"/>
        <v>0</v>
      </c>
      <c r="K306" s="625">
        <f t="shared" si="188"/>
        <v>0</v>
      </c>
      <c r="L306" s="625">
        <f t="shared" si="188"/>
        <v>0</v>
      </c>
      <c r="M306" s="625">
        <f t="shared" si="188"/>
        <v>0</v>
      </c>
      <c r="N306" s="624">
        <f t="shared" si="191"/>
        <v>0.66301369863013704</v>
      </c>
      <c r="O306" s="624">
        <f t="shared" si="189"/>
        <v>0</v>
      </c>
      <c r="P306" s="626">
        <f t="shared" si="189"/>
        <v>0</v>
      </c>
      <c r="Q306" s="624">
        <f t="shared" si="189"/>
        <v>1</v>
      </c>
      <c r="R306" s="357"/>
      <c r="S306" s="858"/>
      <c r="T306" s="858">
        <v>9</v>
      </c>
      <c r="U306" s="858">
        <v>3</v>
      </c>
      <c r="V306" s="858"/>
      <c r="W306" s="858"/>
      <c r="X306" s="858">
        <v>16</v>
      </c>
      <c r="Y306" s="859">
        <v>28</v>
      </c>
      <c r="Z306" s="859"/>
      <c r="AA306" s="858"/>
      <c r="AB306" s="858"/>
      <c r="AC306" s="858"/>
      <c r="AD306" s="858"/>
      <c r="AE306" s="859">
        <v>242</v>
      </c>
      <c r="AF306" s="859"/>
      <c r="AG306" s="858"/>
      <c r="AH306" s="859">
        <v>24</v>
      </c>
    </row>
    <row r="307" spans="1:34">
      <c r="A307" s="884"/>
      <c r="B307" s="580" t="s">
        <v>131</v>
      </c>
      <c r="C307" s="806">
        <f t="shared" si="190"/>
        <v>0</v>
      </c>
      <c r="D307" s="806">
        <f t="shared" si="188"/>
        <v>0.14374999999999999</v>
      </c>
      <c r="E307" s="806">
        <f t="shared" si="188"/>
        <v>0.17167381974248927</v>
      </c>
      <c r="F307" s="806">
        <f t="shared" si="188"/>
        <v>0</v>
      </c>
      <c r="G307" s="806">
        <f t="shared" si="188"/>
        <v>0</v>
      </c>
      <c r="H307" s="806">
        <f t="shared" si="188"/>
        <v>0.11206896551724138</v>
      </c>
      <c r="I307" s="624">
        <f t="shared" si="188"/>
        <v>0.13949104618284638</v>
      </c>
      <c r="J307" s="624">
        <f t="shared" si="188"/>
        <v>0</v>
      </c>
      <c r="K307" s="625">
        <f t="shared" si="188"/>
        <v>0</v>
      </c>
      <c r="L307" s="625">
        <f t="shared" si="188"/>
        <v>0</v>
      </c>
      <c r="M307" s="625">
        <f t="shared" si="188"/>
        <v>0</v>
      </c>
      <c r="N307" s="624">
        <f t="shared" si="191"/>
        <v>5.4794520547945206E-3</v>
      </c>
      <c r="O307" s="624">
        <f t="shared" si="189"/>
        <v>0</v>
      </c>
      <c r="P307" s="626">
        <f t="shared" si="189"/>
        <v>0</v>
      </c>
      <c r="Q307" s="624">
        <f t="shared" si="189"/>
        <v>0</v>
      </c>
      <c r="R307" s="357"/>
      <c r="S307" s="858"/>
      <c r="T307" s="858">
        <f>67+2</f>
        <v>69</v>
      </c>
      <c r="U307" s="858">
        <v>40</v>
      </c>
      <c r="V307" s="858"/>
      <c r="W307" s="858"/>
      <c r="X307" s="858">
        <f>32+7</f>
        <v>39</v>
      </c>
      <c r="Y307" s="859">
        <f>139+9</f>
        <v>148</v>
      </c>
      <c r="Z307" s="859"/>
      <c r="AA307" s="858"/>
      <c r="AB307" s="858"/>
      <c r="AC307" s="858"/>
      <c r="AD307" s="858"/>
      <c r="AE307" s="859">
        <v>2</v>
      </c>
      <c r="AF307" s="859"/>
      <c r="AG307" s="858"/>
      <c r="AH307" s="859"/>
    </row>
    <row r="308" spans="1:34">
      <c r="A308" s="885"/>
      <c r="B308" s="436" t="s">
        <v>59</v>
      </c>
      <c r="C308" s="807">
        <f t="shared" si="190"/>
        <v>0</v>
      </c>
      <c r="D308" s="808">
        <f t="shared" si="188"/>
        <v>1</v>
      </c>
      <c r="E308" s="808">
        <f t="shared" si="188"/>
        <v>1</v>
      </c>
      <c r="F308" s="808">
        <f t="shared" si="188"/>
        <v>0</v>
      </c>
      <c r="G308" s="808">
        <f t="shared" si="188"/>
        <v>0</v>
      </c>
      <c r="H308" s="809">
        <f t="shared" si="188"/>
        <v>1</v>
      </c>
      <c r="I308" s="577">
        <f t="shared" si="188"/>
        <v>1</v>
      </c>
      <c r="J308" s="577">
        <f t="shared" si="188"/>
        <v>0</v>
      </c>
      <c r="K308" s="578">
        <f t="shared" si="188"/>
        <v>0</v>
      </c>
      <c r="L308" s="578">
        <f t="shared" si="188"/>
        <v>0</v>
      </c>
      <c r="M308" s="578">
        <f t="shared" si="188"/>
        <v>0</v>
      </c>
      <c r="N308" s="577">
        <f t="shared" si="191"/>
        <v>1</v>
      </c>
      <c r="O308" s="577">
        <f t="shared" si="189"/>
        <v>0</v>
      </c>
      <c r="P308" s="579">
        <f t="shared" si="189"/>
        <v>0</v>
      </c>
      <c r="Q308" s="577">
        <f t="shared" si="189"/>
        <v>1</v>
      </c>
      <c r="R308" s="357"/>
      <c r="S308" s="858"/>
      <c r="T308" s="858">
        <v>480</v>
      </c>
      <c r="U308" s="858">
        <v>233</v>
      </c>
      <c r="V308" s="858"/>
      <c r="W308" s="858"/>
      <c r="X308" s="858">
        <v>348</v>
      </c>
      <c r="Y308" s="859">
        <v>1061</v>
      </c>
      <c r="Z308" s="859"/>
      <c r="AA308" s="858"/>
      <c r="AB308" s="858"/>
      <c r="AC308" s="858"/>
      <c r="AD308" s="858"/>
      <c r="AE308" s="859">
        <v>365</v>
      </c>
      <c r="AF308" s="859"/>
      <c r="AG308" s="858"/>
      <c r="AH308" s="859">
        <v>24</v>
      </c>
    </row>
    <row r="309" spans="1:34">
      <c r="A309" s="882" t="s">
        <v>147</v>
      </c>
      <c r="B309" s="240" t="s">
        <v>53</v>
      </c>
      <c r="C309" s="806">
        <f>IF(S$314&gt;0,(S309/S$314),0)</f>
        <v>0.34670704012112036</v>
      </c>
      <c r="D309" s="806">
        <f t="shared" ref="D309:M314" si="192">IF(T$314&gt;0,(T309/T$314),0)</f>
        <v>0.20632411067193676</v>
      </c>
      <c r="E309" s="806">
        <f t="shared" si="192"/>
        <v>0.33688699360341151</v>
      </c>
      <c r="F309" s="806">
        <f t="shared" si="192"/>
        <v>0.34575569358178054</v>
      </c>
      <c r="G309" s="806">
        <f t="shared" si="192"/>
        <v>0.42011834319526625</v>
      </c>
      <c r="H309" s="806">
        <f t="shared" si="192"/>
        <v>0</v>
      </c>
      <c r="I309" s="613">
        <f t="shared" si="192"/>
        <v>0.30907920154539603</v>
      </c>
      <c r="J309" s="613">
        <f t="shared" si="192"/>
        <v>0</v>
      </c>
      <c r="K309" s="614">
        <f t="shared" si="192"/>
        <v>0</v>
      </c>
      <c r="L309" s="614">
        <f t="shared" si="192"/>
        <v>0</v>
      </c>
      <c r="M309" s="614">
        <f t="shared" si="192"/>
        <v>0</v>
      </c>
      <c r="N309" s="613">
        <f>IF(AE$314&gt;0,(AE309/AE$314),0)</f>
        <v>0.53785103785103783</v>
      </c>
      <c r="O309" s="613">
        <f t="shared" ref="O309:Q314" si="193">IF(AF$314&gt;0,(AF309/AF$314),0)</f>
        <v>0</v>
      </c>
      <c r="P309" s="615">
        <f t="shared" si="193"/>
        <v>0</v>
      </c>
      <c r="Q309" s="613">
        <f t="shared" si="193"/>
        <v>0</v>
      </c>
      <c r="R309" s="799"/>
      <c r="S309" s="856">
        <v>458</v>
      </c>
      <c r="T309" s="856">
        <v>261</v>
      </c>
      <c r="U309" s="856">
        <v>316</v>
      </c>
      <c r="V309" s="856">
        <v>334</v>
      </c>
      <c r="W309" s="856">
        <v>71</v>
      </c>
      <c r="X309" s="856"/>
      <c r="Y309" s="857">
        <v>1440</v>
      </c>
      <c r="Z309" s="857"/>
      <c r="AA309" s="856"/>
      <c r="AB309" s="856"/>
      <c r="AC309" s="856"/>
      <c r="AD309" s="856"/>
      <c r="AE309" s="857">
        <v>881</v>
      </c>
      <c r="AF309" s="857"/>
      <c r="AG309" s="856"/>
      <c r="AH309" s="857"/>
    </row>
    <row r="310" spans="1:34">
      <c r="A310" s="883"/>
      <c r="B310" s="239" t="s">
        <v>93</v>
      </c>
      <c r="C310" s="806">
        <f t="shared" ref="C310:C314" si="194">IF(S$314&gt;0,(S310/S$314),0)</f>
        <v>0.23618470855412566</v>
      </c>
      <c r="D310" s="806">
        <f t="shared" si="192"/>
        <v>0.29723320158102767</v>
      </c>
      <c r="E310" s="806">
        <f t="shared" si="192"/>
        <v>0.29850746268656714</v>
      </c>
      <c r="F310" s="806">
        <f t="shared" si="192"/>
        <v>0.25465838509316768</v>
      </c>
      <c r="G310" s="806">
        <f t="shared" si="192"/>
        <v>0.23076923076923078</v>
      </c>
      <c r="H310" s="806">
        <f t="shared" si="192"/>
        <v>0</v>
      </c>
      <c r="I310" s="624">
        <f t="shared" si="192"/>
        <v>0.26894183301137581</v>
      </c>
      <c r="J310" s="624">
        <f t="shared" si="192"/>
        <v>0</v>
      </c>
      <c r="K310" s="625">
        <f t="shared" si="192"/>
        <v>0</v>
      </c>
      <c r="L310" s="625">
        <f t="shared" si="192"/>
        <v>0</v>
      </c>
      <c r="M310" s="625">
        <f t="shared" si="192"/>
        <v>0</v>
      </c>
      <c r="N310" s="624">
        <f t="shared" ref="N310:N314" si="195">IF(AE$314&gt;0,(AE310/AE$314),0)</f>
        <v>0.19108669108669107</v>
      </c>
      <c r="O310" s="624">
        <f t="shared" si="193"/>
        <v>0</v>
      </c>
      <c r="P310" s="626">
        <f t="shared" si="193"/>
        <v>0</v>
      </c>
      <c r="Q310" s="624">
        <f t="shared" si="193"/>
        <v>0</v>
      </c>
      <c r="R310" s="357"/>
      <c r="S310" s="858">
        <v>312</v>
      </c>
      <c r="T310" s="858">
        <v>376</v>
      </c>
      <c r="U310" s="858">
        <v>280</v>
      </c>
      <c r="V310" s="858">
        <v>246</v>
      </c>
      <c r="W310" s="858">
        <v>39</v>
      </c>
      <c r="X310" s="858"/>
      <c r="Y310" s="859">
        <v>1253</v>
      </c>
      <c r="Z310" s="859"/>
      <c r="AA310" s="858"/>
      <c r="AB310" s="858"/>
      <c r="AC310" s="858"/>
      <c r="AD310" s="858"/>
      <c r="AE310" s="859">
        <v>313</v>
      </c>
      <c r="AF310" s="859"/>
      <c r="AG310" s="858"/>
      <c r="AH310" s="859"/>
    </row>
    <row r="311" spans="1:34">
      <c r="A311" s="883"/>
      <c r="B311" s="239" t="s">
        <v>55</v>
      </c>
      <c r="C311" s="806">
        <f t="shared" si="194"/>
        <v>0.22937168811506434</v>
      </c>
      <c r="D311" s="806">
        <f t="shared" si="192"/>
        <v>0.22371541501976286</v>
      </c>
      <c r="E311" s="806">
        <f t="shared" si="192"/>
        <v>0.25906183368869934</v>
      </c>
      <c r="F311" s="806">
        <f t="shared" si="192"/>
        <v>0.34782608695652173</v>
      </c>
      <c r="G311" s="806">
        <f t="shared" si="192"/>
        <v>0.28994082840236685</v>
      </c>
      <c r="H311" s="806">
        <f t="shared" si="192"/>
        <v>0</v>
      </c>
      <c r="I311" s="624">
        <f t="shared" si="192"/>
        <v>0.26057093796952135</v>
      </c>
      <c r="J311" s="624">
        <f t="shared" si="192"/>
        <v>0</v>
      </c>
      <c r="K311" s="625">
        <f t="shared" si="192"/>
        <v>0</v>
      </c>
      <c r="L311" s="625">
        <f t="shared" si="192"/>
        <v>0</v>
      </c>
      <c r="M311" s="625">
        <f t="shared" si="192"/>
        <v>0</v>
      </c>
      <c r="N311" s="624">
        <f t="shared" si="195"/>
        <v>0.18437118437118438</v>
      </c>
      <c r="O311" s="624">
        <f t="shared" si="193"/>
        <v>0</v>
      </c>
      <c r="P311" s="626">
        <f t="shared" si="193"/>
        <v>0</v>
      </c>
      <c r="Q311" s="624">
        <f t="shared" si="193"/>
        <v>0</v>
      </c>
      <c r="R311" s="357"/>
      <c r="S311" s="858">
        <v>303</v>
      </c>
      <c r="T311" s="858">
        <v>283</v>
      </c>
      <c r="U311" s="858">
        <v>243</v>
      </c>
      <c r="V311" s="858">
        <v>336</v>
      </c>
      <c r="W311" s="858">
        <v>49</v>
      </c>
      <c r="X311" s="858"/>
      <c r="Y311" s="859">
        <v>1214</v>
      </c>
      <c r="Z311" s="859"/>
      <c r="AA311" s="858"/>
      <c r="AB311" s="858"/>
      <c r="AC311" s="858"/>
      <c r="AD311" s="858"/>
      <c r="AE311" s="859">
        <v>302</v>
      </c>
      <c r="AF311" s="859"/>
      <c r="AG311" s="858"/>
      <c r="AH311" s="859"/>
    </row>
    <row r="312" spans="1:34">
      <c r="A312" s="883"/>
      <c r="B312" s="239" t="s">
        <v>78</v>
      </c>
      <c r="C312" s="806">
        <f t="shared" si="194"/>
        <v>2.2710068130204391E-3</v>
      </c>
      <c r="D312" s="806">
        <f t="shared" si="192"/>
        <v>7.9051383399209485E-4</v>
      </c>
      <c r="E312" s="806">
        <f t="shared" si="192"/>
        <v>9.5948827292110881E-3</v>
      </c>
      <c r="F312" s="806">
        <f t="shared" si="192"/>
        <v>5.1759834368530024E-2</v>
      </c>
      <c r="G312" s="806">
        <f t="shared" si="192"/>
        <v>5.9171597633136092E-2</v>
      </c>
      <c r="H312" s="806">
        <f t="shared" si="192"/>
        <v>0</v>
      </c>
      <c r="I312" s="624">
        <f t="shared" si="192"/>
        <v>1.5668598411676324E-2</v>
      </c>
      <c r="J312" s="624">
        <f t="shared" si="192"/>
        <v>0</v>
      </c>
      <c r="K312" s="625">
        <f t="shared" si="192"/>
        <v>0</v>
      </c>
      <c r="L312" s="625">
        <f t="shared" si="192"/>
        <v>0</v>
      </c>
      <c r="M312" s="625">
        <f t="shared" si="192"/>
        <v>0</v>
      </c>
      <c r="N312" s="624">
        <f t="shared" si="195"/>
        <v>8.11965811965812E-2</v>
      </c>
      <c r="O312" s="624">
        <f t="shared" si="193"/>
        <v>0</v>
      </c>
      <c r="P312" s="626">
        <f t="shared" si="193"/>
        <v>0</v>
      </c>
      <c r="Q312" s="624">
        <f t="shared" si="193"/>
        <v>0</v>
      </c>
      <c r="R312" s="357"/>
      <c r="S312" s="858">
        <v>3</v>
      </c>
      <c r="T312" s="858">
        <v>1</v>
      </c>
      <c r="U312" s="858">
        <v>9</v>
      </c>
      <c r="V312" s="858">
        <v>50</v>
      </c>
      <c r="W312" s="858">
        <v>10</v>
      </c>
      <c r="X312" s="858"/>
      <c r="Y312" s="859">
        <v>73</v>
      </c>
      <c r="Z312" s="859"/>
      <c r="AA312" s="858"/>
      <c r="AB312" s="858"/>
      <c r="AC312" s="858"/>
      <c r="AD312" s="858"/>
      <c r="AE312" s="859">
        <v>133</v>
      </c>
      <c r="AF312" s="859"/>
      <c r="AG312" s="858"/>
      <c r="AH312" s="859"/>
    </row>
    <row r="313" spans="1:34">
      <c r="A313" s="884"/>
      <c r="B313" s="580" t="s">
        <v>131</v>
      </c>
      <c r="C313" s="806">
        <f t="shared" si="194"/>
        <v>0.1854655563966692</v>
      </c>
      <c r="D313" s="806">
        <f t="shared" si="192"/>
        <v>0.27193675889328062</v>
      </c>
      <c r="E313" s="806">
        <f t="shared" si="192"/>
        <v>9.5948827292110878E-2</v>
      </c>
      <c r="F313" s="806">
        <f t="shared" si="192"/>
        <v>0</v>
      </c>
      <c r="G313" s="806">
        <f t="shared" si="192"/>
        <v>0</v>
      </c>
      <c r="H313" s="806">
        <f t="shared" si="192"/>
        <v>0</v>
      </c>
      <c r="I313" s="624">
        <f t="shared" si="192"/>
        <v>0.14573942906203047</v>
      </c>
      <c r="J313" s="624">
        <f t="shared" si="192"/>
        <v>0</v>
      </c>
      <c r="K313" s="625">
        <f t="shared" si="192"/>
        <v>0</v>
      </c>
      <c r="L313" s="625">
        <f t="shared" si="192"/>
        <v>0</v>
      </c>
      <c r="M313" s="625">
        <f t="shared" si="192"/>
        <v>0</v>
      </c>
      <c r="N313" s="624">
        <f t="shared" si="195"/>
        <v>5.4945054945054949E-3</v>
      </c>
      <c r="O313" s="624">
        <f t="shared" si="193"/>
        <v>0</v>
      </c>
      <c r="P313" s="626">
        <f t="shared" si="193"/>
        <v>0</v>
      </c>
      <c r="Q313" s="624">
        <f t="shared" si="193"/>
        <v>0</v>
      </c>
      <c r="R313" s="357"/>
      <c r="S313" s="858">
        <v>245</v>
      </c>
      <c r="T313" s="858">
        <f>280+64</f>
        <v>344</v>
      </c>
      <c r="U313" s="858">
        <v>90</v>
      </c>
      <c r="V313" s="858"/>
      <c r="W313" s="858"/>
      <c r="X313" s="858"/>
      <c r="Y313" s="859">
        <f>615+64</f>
        <v>679</v>
      </c>
      <c r="Z313" s="859"/>
      <c r="AA313" s="858"/>
      <c r="AB313" s="858"/>
      <c r="AC313" s="858"/>
      <c r="AD313" s="858"/>
      <c r="AE313" s="859">
        <v>9</v>
      </c>
      <c r="AF313" s="859"/>
      <c r="AG313" s="858"/>
      <c r="AH313" s="859"/>
    </row>
    <row r="314" spans="1:34">
      <c r="A314" s="885"/>
      <c r="B314" s="436" t="s">
        <v>59</v>
      </c>
      <c r="C314" s="807">
        <f t="shared" si="194"/>
        <v>1</v>
      </c>
      <c r="D314" s="808">
        <f t="shared" si="192"/>
        <v>1</v>
      </c>
      <c r="E314" s="808">
        <f t="shared" si="192"/>
        <v>1</v>
      </c>
      <c r="F314" s="808">
        <f t="shared" si="192"/>
        <v>1</v>
      </c>
      <c r="G314" s="808">
        <f t="shared" si="192"/>
        <v>1</v>
      </c>
      <c r="H314" s="809">
        <f t="shared" si="192"/>
        <v>0</v>
      </c>
      <c r="I314" s="577">
        <f t="shared" si="192"/>
        <v>1</v>
      </c>
      <c r="J314" s="577">
        <f t="shared" si="192"/>
        <v>0</v>
      </c>
      <c r="K314" s="578">
        <f t="shared" si="192"/>
        <v>0</v>
      </c>
      <c r="L314" s="578">
        <f t="shared" si="192"/>
        <v>0</v>
      </c>
      <c r="M314" s="578">
        <f t="shared" si="192"/>
        <v>0</v>
      </c>
      <c r="N314" s="577">
        <f t="shared" si="195"/>
        <v>1</v>
      </c>
      <c r="O314" s="577">
        <f t="shared" si="193"/>
        <v>0</v>
      </c>
      <c r="P314" s="579">
        <f t="shared" si="193"/>
        <v>0</v>
      </c>
      <c r="Q314" s="577">
        <f t="shared" si="193"/>
        <v>0</v>
      </c>
      <c r="R314" s="357"/>
      <c r="S314" s="858">
        <v>1321</v>
      </c>
      <c r="T314" s="858">
        <v>1265</v>
      </c>
      <c r="U314" s="858">
        <v>938</v>
      </c>
      <c r="V314" s="858">
        <v>966</v>
      </c>
      <c r="W314" s="858">
        <v>169</v>
      </c>
      <c r="X314" s="858"/>
      <c r="Y314" s="859">
        <v>4659</v>
      </c>
      <c r="Z314" s="859"/>
      <c r="AA314" s="858"/>
      <c r="AB314" s="858"/>
      <c r="AC314" s="858"/>
      <c r="AD314" s="858"/>
      <c r="AE314" s="859">
        <v>1638</v>
      </c>
      <c r="AF314" s="859"/>
      <c r="AG314" s="858"/>
      <c r="AH314" s="859"/>
    </row>
    <row r="315" spans="1:34">
      <c r="A315" s="882" t="s">
        <v>155</v>
      </c>
      <c r="B315" s="240" t="s">
        <v>53</v>
      </c>
      <c r="C315" s="806">
        <f>IF(S$320&gt;0,(S315/S$320),0)</f>
        <v>0</v>
      </c>
      <c r="D315" s="806">
        <f t="shared" ref="D315:M320" si="196">IF(T$320&gt;0,(T315/T$320),0)</f>
        <v>0.35275080906148865</v>
      </c>
      <c r="E315" s="806">
        <f t="shared" si="196"/>
        <v>0</v>
      </c>
      <c r="F315" s="806">
        <f t="shared" si="196"/>
        <v>0.39361702127659576</v>
      </c>
      <c r="G315" s="806">
        <f t="shared" si="196"/>
        <v>0</v>
      </c>
      <c r="H315" s="806">
        <f t="shared" si="196"/>
        <v>0.37295081967213117</v>
      </c>
      <c r="I315" s="613">
        <f t="shared" si="196"/>
        <v>0.36303317535545021</v>
      </c>
      <c r="J315" s="613">
        <f t="shared" si="196"/>
        <v>0</v>
      </c>
      <c r="K315" s="614">
        <f t="shared" si="196"/>
        <v>0</v>
      </c>
      <c r="L315" s="614">
        <f t="shared" si="196"/>
        <v>0</v>
      </c>
      <c r="M315" s="614">
        <f t="shared" si="196"/>
        <v>0</v>
      </c>
      <c r="N315" s="613">
        <f>IF(AE$320&gt;0,(AE315/AE$320),0)</f>
        <v>0.74349442379182151</v>
      </c>
      <c r="O315" s="613">
        <f t="shared" ref="O315:Q320" si="197">IF(AF$320&gt;0,(AF315/AF$320),0)</f>
        <v>0</v>
      </c>
      <c r="P315" s="615">
        <f t="shared" si="197"/>
        <v>0</v>
      </c>
      <c r="Q315" s="613">
        <f t="shared" si="197"/>
        <v>0.73333333333333328</v>
      </c>
      <c r="R315" s="799"/>
      <c r="S315" s="856"/>
      <c r="T315" s="856">
        <v>218</v>
      </c>
      <c r="U315" s="856"/>
      <c r="V315" s="856">
        <v>74</v>
      </c>
      <c r="W315" s="856"/>
      <c r="X315" s="856">
        <v>91</v>
      </c>
      <c r="Y315" s="857">
        <v>383</v>
      </c>
      <c r="Z315" s="857"/>
      <c r="AA315" s="856"/>
      <c r="AB315" s="856"/>
      <c r="AC315" s="856"/>
      <c r="AD315" s="856"/>
      <c r="AE315" s="857">
        <v>200</v>
      </c>
      <c r="AF315" s="857"/>
      <c r="AG315" s="856"/>
      <c r="AH315" s="857">
        <v>22</v>
      </c>
    </row>
    <row r="316" spans="1:34">
      <c r="A316" s="883"/>
      <c r="B316" s="239" t="s">
        <v>93</v>
      </c>
      <c r="C316" s="806">
        <f t="shared" ref="C316:C320" si="198">IF(S$320&gt;0,(S316/S$320),0)</f>
        <v>0</v>
      </c>
      <c r="D316" s="806">
        <f t="shared" si="196"/>
        <v>0.38673139158576053</v>
      </c>
      <c r="E316" s="806">
        <f t="shared" si="196"/>
        <v>0</v>
      </c>
      <c r="F316" s="806">
        <f t="shared" si="196"/>
        <v>0.23936170212765959</v>
      </c>
      <c r="G316" s="806">
        <f t="shared" si="196"/>
        <v>0</v>
      </c>
      <c r="H316" s="806">
        <f t="shared" si="196"/>
        <v>0.36475409836065575</v>
      </c>
      <c r="I316" s="624">
        <f t="shared" si="196"/>
        <v>0.35355450236966823</v>
      </c>
      <c r="J316" s="624">
        <f t="shared" si="196"/>
        <v>0</v>
      </c>
      <c r="K316" s="625">
        <f t="shared" si="196"/>
        <v>0</v>
      </c>
      <c r="L316" s="625">
        <f t="shared" si="196"/>
        <v>0</v>
      </c>
      <c r="M316" s="625">
        <f t="shared" si="196"/>
        <v>0</v>
      </c>
      <c r="N316" s="624">
        <f t="shared" ref="N316:N320" si="199">IF(AE$320&gt;0,(AE316/AE$320),0)</f>
        <v>0.16728624535315986</v>
      </c>
      <c r="O316" s="624">
        <f t="shared" si="197"/>
        <v>0</v>
      </c>
      <c r="P316" s="626">
        <f t="shared" si="197"/>
        <v>0</v>
      </c>
      <c r="Q316" s="624">
        <f t="shared" si="197"/>
        <v>0.23333333333333334</v>
      </c>
      <c r="R316" s="357"/>
      <c r="S316" s="858"/>
      <c r="T316" s="858">
        <v>239</v>
      </c>
      <c r="U316" s="858"/>
      <c r="V316" s="858">
        <v>45</v>
      </c>
      <c r="W316" s="858"/>
      <c r="X316" s="858">
        <v>89</v>
      </c>
      <c r="Y316" s="859">
        <v>373</v>
      </c>
      <c r="Z316" s="859"/>
      <c r="AA316" s="858"/>
      <c r="AB316" s="858"/>
      <c r="AC316" s="858"/>
      <c r="AD316" s="858"/>
      <c r="AE316" s="859">
        <v>45</v>
      </c>
      <c r="AF316" s="859"/>
      <c r="AG316" s="858"/>
      <c r="AH316" s="859">
        <v>7</v>
      </c>
    </row>
    <row r="317" spans="1:34">
      <c r="A317" s="883"/>
      <c r="B317" s="239" t="s">
        <v>55</v>
      </c>
      <c r="C317" s="806">
        <f t="shared" si="198"/>
        <v>0</v>
      </c>
      <c r="D317" s="806">
        <f t="shared" si="196"/>
        <v>0.25728155339805825</v>
      </c>
      <c r="E317" s="806">
        <f t="shared" si="196"/>
        <v>0</v>
      </c>
      <c r="F317" s="806">
        <f t="shared" si="196"/>
        <v>0.25</v>
      </c>
      <c r="G317" s="806">
        <f t="shared" si="196"/>
        <v>0</v>
      </c>
      <c r="H317" s="806">
        <f t="shared" si="196"/>
        <v>0.20901639344262296</v>
      </c>
      <c r="I317" s="624">
        <f t="shared" si="196"/>
        <v>0.24360189573459715</v>
      </c>
      <c r="J317" s="624">
        <f t="shared" si="196"/>
        <v>0</v>
      </c>
      <c r="K317" s="625">
        <f t="shared" si="196"/>
        <v>0</v>
      </c>
      <c r="L317" s="625">
        <f t="shared" si="196"/>
        <v>0</v>
      </c>
      <c r="M317" s="625">
        <f t="shared" si="196"/>
        <v>0</v>
      </c>
      <c r="N317" s="624">
        <f t="shared" si="199"/>
        <v>6.6914498141263934E-2</v>
      </c>
      <c r="O317" s="624">
        <f t="shared" si="197"/>
        <v>0</v>
      </c>
      <c r="P317" s="626">
        <f t="shared" si="197"/>
        <v>0</v>
      </c>
      <c r="Q317" s="624">
        <f t="shared" si="197"/>
        <v>3.3333333333333333E-2</v>
      </c>
      <c r="R317" s="357"/>
      <c r="S317" s="858"/>
      <c r="T317" s="858">
        <v>159</v>
      </c>
      <c r="U317" s="858"/>
      <c r="V317" s="858">
        <v>47</v>
      </c>
      <c r="W317" s="858"/>
      <c r="X317" s="858">
        <v>51</v>
      </c>
      <c r="Y317" s="859">
        <v>257</v>
      </c>
      <c r="Z317" s="859"/>
      <c r="AA317" s="858"/>
      <c r="AB317" s="858"/>
      <c r="AC317" s="858"/>
      <c r="AD317" s="858"/>
      <c r="AE317" s="859">
        <v>18</v>
      </c>
      <c r="AF317" s="859"/>
      <c r="AG317" s="858"/>
      <c r="AH317" s="859">
        <v>1</v>
      </c>
    </row>
    <row r="318" spans="1:34">
      <c r="A318" s="883"/>
      <c r="B318" s="239" t="s">
        <v>78</v>
      </c>
      <c r="C318" s="806">
        <f t="shared" si="198"/>
        <v>0</v>
      </c>
      <c r="D318" s="806">
        <f t="shared" si="196"/>
        <v>0</v>
      </c>
      <c r="E318" s="806">
        <f t="shared" si="196"/>
        <v>0</v>
      </c>
      <c r="F318" s="806">
        <f t="shared" si="196"/>
        <v>0</v>
      </c>
      <c r="G318" s="806">
        <f t="shared" si="196"/>
        <v>0</v>
      </c>
      <c r="H318" s="806">
        <f t="shared" si="196"/>
        <v>1.6393442622950821E-2</v>
      </c>
      <c r="I318" s="624">
        <f t="shared" si="196"/>
        <v>3.7914691943127963E-3</v>
      </c>
      <c r="J318" s="624">
        <f t="shared" si="196"/>
        <v>0</v>
      </c>
      <c r="K318" s="625">
        <f t="shared" si="196"/>
        <v>0</v>
      </c>
      <c r="L318" s="625">
        <f t="shared" si="196"/>
        <v>0</v>
      </c>
      <c r="M318" s="625">
        <f t="shared" si="196"/>
        <v>0</v>
      </c>
      <c r="N318" s="624">
        <f t="shared" si="199"/>
        <v>2.2304832713754646E-2</v>
      </c>
      <c r="O318" s="624">
        <f t="shared" si="197"/>
        <v>0</v>
      </c>
      <c r="P318" s="626">
        <f t="shared" si="197"/>
        <v>0</v>
      </c>
      <c r="Q318" s="624">
        <f t="shared" si="197"/>
        <v>0</v>
      </c>
      <c r="R318" s="357"/>
      <c r="S318" s="858"/>
      <c r="T318" s="858"/>
      <c r="U318" s="858"/>
      <c r="V318" s="858"/>
      <c r="W318" s="858"/>
      <c r="X318" s="858">
        <v>4</v>
      </c>
      <c r="Y318" s="859">
        <v>4</v>
      </c>
      <c r="Z318" s="859"/>
      <c r="AA318" s="858"/>
      <c r="AB318" s="858"/>
      <c r="AC318" s="858"/>
      <c r="AD318" s="858"/>
      <c r="AE318" s="859">
        <v>6</v>
      </c>
      <c r="AF318" s="859"/>
      <c r="AG318" s="858"/>
      <c r="AH318" s="859"/>
    </row>
    <row r="319" spans="1:34">
      <c r="A319" s="884"/>
      <c r="B319" s="580" t="s">
        <v>131</v>
      </c>
      <c r="C319" s="806">
        <f t="shared" si="198"/>
        <v>0</v>
      </c>
      <c r="D319" s="806">
        <f t="shared" si="196"/>
        <v>3.2362459546925568E-3</v>
      </c>
      <c r="E319" s="806">
        <f t="shared" si="196"/>
        <v>0</v>
      </c>
      <c r="F319" s="806">
        <f t="shared" si="196"/>
        <v>0.11702127659574468</v>
      </c>
      <c r="G319" s="806">
        <f t="shared" si="196"/>
        <v>1</v>
      </c>
      <c r="H319" s="806">
        <f t="shared" si="196"/>
        <v>3.6885245901639344E-2</v>
      </c>
      <c r="I319" s="624">
        <f t="shared" si="196"/>
        <v>3.6018957345971561E-2</v>
      </c>
      <c r="J319" s="624">
        <f t="shared" si="196"/>
        <v>0</v>
      </c>
      <c r="K319" s="625">
        <f t="shared" si="196"/>
        <v>0</v>
      </c>
      <c r="L319" s="625">
        <f t="shared" si="196"/>
        <v>0</v>
      </c>
      <c r="M319" s="625">
        <f t="shared" si="196"/>
        <v>0</v>
      </c>
      <c r="N319" s="624">
        <f t="shared" si="199"/>
        <v>0</v>
      </c>
      <c r="O319" s="624">
        <f t="shared" si="197"/>
        <v>0</v>
      </c>
      <c r="P319" s="626">
        <f t="shared" si="197"/>
        <v>0</v>
      </c>
      <c r="Q319" s="624">
        <f t="shared" si="197"/>
        <v>0</v>
      </c>
      <c r="R319" s="357"/>
      <c r="S319" s="858"/>
      <c r="T319" s="858">
        <v>2</v>
      </c>
      <c r="U319" s="858"/>
      <c r="V319" s="858">
        <v>22</v>
      </c>
      <c r="W319" s="858">
        <v>5</v>
      </c>
      <c r="X319" s="858">
        <v>9</v>
      </c>
      <c r="Y319" s="859">
        <v>38</v>
      </c>
      <c r="Z319" s="859"/>
      <c r="AA319" s="858"/>
      <c r="AB319" s="858"/>
      <c r="AC319" s="858"/>
      <c r="AD319" s="858"/>
      <c r="AE319" s="859"/>
      <c r="AF319" s="859"/>
      <c r="AG319" s="858"/>
      <c r="AH319" s="859"/>
    </row>
    <row r="320" spans="1:34">
      <c r="A320" s="885"/>
      <c r="B320" s="436" t="s">
        <v>59</v>
      </c>
      <c r="C320" s="807">
        <f t="shared" si="198"/>
        <v>0</v>
      </c>
      <c r="D320" s="808">
        <f t="shared" si="196"/>
        <v>1</v>
      </c>
      <c r="E320" s="808">
        <f t="shared" si="196"/>
        <v>0</v>
      </c>
      <c r="F320" s="808">
        <f t="shared" si="196"/>
        <v>1</v>
      </c>
      <c r="G320" s="808">
        <f t="shared" si="196"/>
        <v>1</v>
      </c>
      <c r="H320" s="809">
        <f t="shared" si="196"/>
        <v>1</v>
      </c>
      <c r="I320" s="577">
        <f t="shared" si="196"/>
        <v>1</v>
      </c>
      <c r="J320" s="577">
        <f t="shared" si="196"/>
        <v>0</v>
      </c>
      <c r="K320" s="578">
        <f t="shared" si="196"/>
        <v>0</v>
      </c>
      <c r="L320" s="578">
        <f t="shared" si="196"/>
        <v>0</v>
      </c>
      <c r="M320" s="578">
        <f t="shared" si="196"/>
        <v>0</v>
      </c>
      <c r="N320" s="577">
        <f t="shared" si="199"/>
        <v>1</v>
      </c>
      <c r="O320" s="577">
        <f t="shared" si="197"/>
        <v>0</v>
      </c>
      <c r="P320" s="579">
        <f t="shared" si="197"/>
        <v>0</v>
      </c>
      <c r="Q320" s="577">
        <f t="shared" si="197"/>
        <v>1</v>
      </c>
      <c r="R320" s="357"/>
      <c r="S320" s="858"/>
      <c r="T320" s="858">
        <v>618</v>
      </c>
      <c r="U320" s="858"/>
      <c r="V320" s="858">
        <v>188</v>
      </c>
      <c r="W320" s="858">
        <v>5</v>
      </c>
      <c r="X320" s="858">
        <v>244</v>
      </c>
      <c r="Y320" s="859">
        <v>1055</v>
      </c>
      <c r="Z320" s="859"/>
      <c r="AA320" s="858"/>
      <c r="AB320" s="858"/>
      <c r="AC320" s="858"/>
      <c r="AD320" s="858"/>
      <c r="AE320" s="859">
        <v>269</v>
      </c>
      <c r="AF320" s="859"/>
      <c r="AG320" s="858"/>
      <c r="AH320" s="859">
        <v>30</v>
      </c>
    </row>
    <row r="321" spans="1:34">
      <c r="A321" s="882" t="s">
        <v>156</v>
      </c>
      <c r="B321" s="240" t="s">
        <v>53</v>
      </c>
      <c r="C321" s="806">
        <f>IF(S$326&gt;0,(S321/S$326),0)</f>
        <v>0.38511932615816563</v>
      </c>
      <c r="D321" s="806">
        <f t="shared" ref="D321:M326" si="200">IF(T$326&gt;0,(T321/T$326),0)</f>
        <v>0.33333333333333331</v>
      </c>
      <c r="E321" s="806">
        <f t="shared" si="200"/>
        <v>0.31769305962854349</v>
      </c>
      <c r="F321" s="806">
        <f t="shared" si="200"/>
        <v>0.27964601769911507</v>
      </c>
      <c r="G321" s="806">
        <f t="shared" si="200"/>
        <v>0.29473684210526313</v>
      </c>
      <c r="H321" s="806">
        <f t="shared" si="200"/>
        <v>0</v>
      </c>
      <c r="I321" s="613">
        <f t="shared" si="200"/>
        <v>0.33754599264117741</v>
      </c>
      <c r="J321" s="613">
        <f t="shared" si="200"/>
        <v>0</v>
      </c>
      <c r="K321" s="614">
        <f t="shared" si="200"/>
        <v>0</v>
      </c>
      <c r="L321" s="614">
        <f t="shared" si="200"/>
        <v>0</v>
      </c>
      <c r="M321" s="614">
        <f t="shared" si="200"/>
        <v>0</v>
      </c>
      <c r="N321" s="613">
        <f>IF(AE$326&gt;0,(AE321/AE$326),0)</f>
        <v>0.25660740028832291</v>
      </c>
      <c r="O321" s="613">
        <f t="shared" ref="O321:Q326" si="201">IF(AF$326&gt;0,(AF321/AF$326),0)</f>
        <v>0</v>
      </c>
      <c r="P321" s="615">
        <f t="shared" si="201"/>
        <v>0</v>
      </c>
      <c r="Q321" s="613">
        <f t="shared" si="201"/>
        <v>0</v>
      </c>
      <c r="R321" s="799"/>
      <c r="S321" s="856">
        <v>823</v>
      </c>
      <c r="T321" s="856">
        <v>311</v>
      </c>
      <c r="U321" s="856">
        <v>650</v>
      </c>
      <c r="V321" s="856">
        <v>158</v>
      </c>
      <c r="W321" s="856">
        <v>168</v>
      </c>
      <c r="X321" s="856"/>
      <c r="Y321" s="857">
        <v>2110</v>
      </c>
      <c r="Z321" s="857"/>
      <c r="AA321" s="856"/>
      <c r="AB321" s="856"/>
      <c r="AC321" s="856"/>
      <c r="AD321" s="856"/>
      <c r="AE321" s="857">
        <v>534</v>
      </c>
      <c r="AF321" s="857"/>
      <c r="AG321" s="856"/>
      <c r="AH321" s="857"/>
    </row>
    <row r="322" spans="1:34">
      <c r="A322" s="883"/>
      <c r="B322" s="239" t="s">
        <v>93</v>
      </c>
      <c r="C322" s="806">
        <f t="shared" ref="C322:C326" si="202">IF(S$326&gt;0,(S322/S$326),0)</f>
        <v>0.24754328497894243</v>
      </c>
      <c r="D322" s="806">
        <f t="shared" si="200"/>
        <v>0.24330117899249731</v>
      </c>
      <c r="E322" s="806">
        <f t="shared" si="200"/>
        <v>0.31964809384164222</v>
      </c>
      <c r="F322" s="806">
        <f t="shared" si="200"/>
        <v>0.36991150442477877</v>
      </c>
      <c r="G322" s="806">
        <f t="shared" si="200"/>
        <v>0.4087719298245614</v>
      </c>
      <c r="H322" s="806">
        <f t="shared" si="200"/>
        <v>0</v>
      </c>
      <c r="I322" s="624">
        <f t="shared" si="200"/>
        <v>0.29627259638457848</v>
      </c>
      <c r="J322" s="624">
        <f t="shared" si="200"/>
        <v>0</v>
      </c>
      <c r="K322" s="625">
        <f t="shared" si="200"/>
        <v>0</v>
      </c>
      <c r="L322" s="625">
        <f t="shared" si="200"/>
        <v>0</v>
      </c>
      <c r="M322" s="625">
        <f t="shared" si="200"/>
        <v>0</v>
      </c>
      <c r="N322" s="624">
        <f t="shared" ref="N322:N326" si="203">IF(AE$326&gt;0,(AE322/AE$326),0)</f>
        <v>0.25708793849111006</v>
      </c>
      <c r="O322" s="624">
        <f t="shared" si="201"/>
        <v>0</v>
      </c>
      <c r="P322" s="626">
        <f t="shared" si="201"/>
        <v>0</v>
      </c>
      <c r="Q322" s="624">
        <f t="shared" si="201"/>
        <v>0</v>
      </c>
      <c r="R322" s="357"/>
      <c r="S322" s="858">
        <v>529</v>
      </c>
      <c r="T322" s="858">
        <v>227</v>
      </c>
      <c r="U322" s="858">
        <v>654</v>
      </c>
      <c r="V322" s="858">
        <v>209</v>
      </c>
      <c r="W322" s="858">
        <v>233</v>
      </c>
      <c r="X322" s="858"/>
      <c r="Y322" s="859">
        <v>1852</v>
      </c>
      <c r="Z322" s="859"/>
      <c r="AA322" s="858"/>
      <c r="AB322" s="858"/>
      <c r="AC322" s="858"/>
      <c r="AD322" s="858"/>
      <c r="AE322" s="859">
        <v>535</v>
      </c>
      <c r="AF322" s="859"/>
      <c r="AG322" s="858"/>
      <c r="AH322" s="859"/>
    </row>
    <row r="323" spans="1:34">
      <c r="A323" s="883"/>
      <c r="B323" s="239" t="s">
        <v>55</v>
      </c>
      <c r="C323" s="806">
        <f t="shared" si="202"/>
        <v>0.24052409920449228</v>
      </c>
      <c r="D323" s="806">
        <f t="shared" si="200"/>
        <v>0.20578778135048231</v>
      </c>
      <c r="E323" s="806">
        <f t="shared" si="200"/>
        <v>0.25806451612903225</v>
      </c>
      <c r="F323" s="806">
        <f t="shared" si="200"/>
        <v>0.33628318584070799</v>
      </c>
      <c r="G323" s="806">
        <f t="shared" si="200"/>
        <v>0.28245614035087718</v>
      </c>
      <c r="H323" s="806">
        <f t="shared" si="200"/>
        <v>0</v>
      </c>
      <c r="I323" s="624">
        <f t="shared" si="200"/>
        <v>0.2535594304911214</v>
      </c>
      <c r="J323" s="624">
        <f t="shared" si="200"/>
        <v>0</v>
      </c>
      <c r="K323" s="625">
        <f t="shared" si="200"/>
        <v>0</v>
      </c>
      <c r="L323" s="625">
        <f t="shared" si="200"/>
        <v>0</v>
      </c>
      <c r="M323" s="625">
        <f t="shared" si="200"/>
        <v>0</v>
      </c>
      <c r="N323" s="624">
        <f t="shared" si="203"/>
        <v>0.2811148486304661</v>
      </c>
      <c r="O323" s="624">
        <f t="shared" si="201"/>
        <v>0</v>
      </c>
      <c r="P323" s="626">
        <f t="shared" si="201"/>
        <v>0</v>
      </c>
      <c r="Q323" s="624">
        <f t="shared" si="201"/>
        <v>0</v>
      </c>
      <c r="R323" s="357"/>
      <c r="S323" s="858">
        <v>514</v>
      </c>
      <c r="T323" s="858">
        <v>192</v>
      </c>
      <c r="U323" s="858">
        <v>528</v>
      </c>
      <c r="V323" s="858">
        <v>190</v>
      </c>
      <c r="W323" s="858">
        <v>161</v>
      </c>
      <c r="X323" s="858"/>
      <c r="Y323" s="859">
        <v>1585</v>
      </c>
      <c r="Z323" s="859"/>
      <c r="AA323" s="858"/>
      <c r="AB323" s="858"/>
      <c r="AC323" s="858"/>
      <c r="AD323" s="858"/>
      <c r="AE323" s="859">
        <v>585</v>
      </c>
      <c r="AF323" s="859"/>
      <c r="AG323" s="858"/>
      <c r="AH323" s="859"/>
    </row>
    <row r="324" spans="1:34">
      <c r="A324" s="883"/>
      <c r="B324" s="239" t="s">
        <v>78</v>
      </c>
      <c r="C324" s="806">
        <f t="shared" si="202"/>
        <v>0.10996724379971923</v>
      </c>
      <c r="D324" s="806">
        <f t="shared" si="200"/>
        <v>6.0021436227224008E-2</v>
      </c>
      <c r="E324" s="806">
        <f t="shared" si="200"/>
        <v>4.398826979472141E-2</v>
      </c>
      <c r="F324" s="806">
        <f t="shared" si="200"/>
        <v>1.415929203539823E-2</v>
      </c>
      <c r="G324" s="806">
        <f t="shared" si="200"/>
        <v>1.4035087719298246E-2</v>
      </c>
      <c r="H324" s="806">
        <f t="shared" si="200"/>
        <v>0</v>
      </c>
      <c r="I324" s="624">
        <f t="shared" si="200"/>
        <v>6.3509838425851867E-2</v>
      </c>
      <c r="J324" s="624">
        <f t="shared" si="200"/>
        <v>0</v>
      </c>
      <c r="K324" s="625">
        <f t="shared" si="200"/>
        <v>0</v>
      </c>
      <c r="L324" s="625">
        <f t="shared" si="200"/>
        <v>0</v>
      </c>
      <c r="M324" s="625">
        <f t="shared" si="200"/>
        <v>0</v>
      </c>
      <c r="N324" s="624">
        <f t="shared" si="203"/>
        <v>0.11965401249399327</v>
      </c>
      <c r="O324" s="624">
        <f t="shared" si="201"/>
        <v>0</v>
      </c>
      <c r="P324" s="626">
        <f t="shared" si="201"/>
        <v>0</v>
      </c>
      <c r="Q324" s="624">
        <f t="shared" si="201"/>
        <v>0</v>
      </c>
      <c r="R324" s="357"/>
      <c r="S324" s="858">
        <v>235</v>
      </c>
      <c r="T324" s="858">
        <v>56</v>
      </c>
      <c r="U324" s="858">
        <v>90</v>
      </c>
      <c r="V324" s="858">
        <v>8</v>
      </c>
      <c r="W324" s="858">
        <v>8</v>
      </c>
      <c r="X324" s="858"/>
      <c r="Y324" s="859">
        <v>397</v>
      </c>
      <c r="Z324" s="859"/>
      <c r="AA324" s="858"/>
      <c r="AB324" s="858"/>
      <c r="AC324" s="858"/>
      <c r="AD324" s="858"/>
      <c r="AE324" s="859">
        <v>249</v>
      </c>
      <c r="AF324" s="859"/>
      <c r="AG324" s="858"/>
      <c r="AH324" s="859"/>
    </row>
    <row r="325" spans="1:34">
      <c r="A325" s="884"/>
      <c r="B325" s="580" t="s">
        <v>131</v>
      </c>
      <c r="C325" s="806">
        <f t="shared" si="202"/>
        <v>1.6846045858680395E-2</v>
      </c>
      <c r="D325" s="806">
        <f t="shared" si="200"/>
        <v>0.15755627009646303</v>
      </c>
      <c r="E325" s="806">
        <f t="shared" si="200"/>
        <v>6.0606060606060608E-2</v>
      </c>
      <c r="F325" s="806">
        <f t="shared" si="200"/>
        <v>0</v>
      </c>
      <c r="G325" s="806">
        <f t="shared" si="200"/>
        <v>0</v>
      </c>
      <c r="H325" s="806">
        <f t="shared" si="200"/>
        <v>0</v>
      </c>
      <c r="I325" s="624">
        <f t="shared" si="200"/>
        <v>4.9112142057270838E-2</v>
      </c>
      <c r="J325" s="624">
        <f t="shared" si="200"/>
        <v>0</v>
      </c>
      <c r="K325" s="625">
        <f t="shared" si="200"/>
        <v>0</v>
      </c>
      <c r="L325" s="625">
        <f t="shared" si="200"/>
        <v>0</v>
      </c>
      <c r="M325" s="625">
        <f t="shared" si="200"/>
        <v>0</v>
      </c>
      <c r="N325" s="624">
        <f t="shared" si="203"/>
        <v>8.5535800096107645E-2</v>
      </c>
      <c r="O325" s="624">
        <f t="shared" si="201"/>
        <v>0</v>
      </c>
      <c r="P325" s="626">
        <f t="shared" si="201"/>
        <v>0</v>
      </c>
      <c r="Q325" s="624">
        <f t="shared" si="201"/>
        <v>0</v>
      </c>
      <c r="R325" s="357"/>
      <c r="S325" s="858">
        <v>36</v>
      </c>
      <c r="T325" s="858">
        <v>147</v>
      </c>
      <c r="U325" s="858">
        <v>124</v>
      </c>
      <c r="V325" s="858"/>
      <c r="W325" s="858"/>
      <c r="X325" s="858"/>
      <c r="Y325" s="859">
        <v>307</v>
      </c>
      <c r="Z325" s="859"/>
      <c r="AA325" s="858"/>
      <c r="AB325" s="858"/>
      <c r="AC325" s="858"/>
      <c r="AD325" s="858"/>
      <c r="AE325" s="859">
        <v>178</v>
      </c>
      <c r="AF325" s="859"/>
      <c r="AG325" s="858"/>
      <c r="AH325" s="859"/>
    </row>
    <row r="326" spans="1:34">
      <c r="A326" s="885"/>
      <c r="B326" s="436" t="s">
        <v>59</v>
      </c>
      <c r="C326" s="807">
        <f t="shared" si="202"/>
        <v>1</v>
      </c>
      <c r="D326" s="808">
        <f t="shared" si="200"/>
        <v>1</v>
      </c>
      <c r="E326" s="808">
        <f t="shared" si="200"/>
        <v>1</v>
      </c>
      <c r="F326" s="808">
        <f t="shared" si="200"/>
        <v>1</v>
      </c>
      <c r="G326" s="808">
        <f t="shared" si="200"/>
        <v>1</v>
      </c>
      <c r="H326" s="809">
        <f t="shared" si="200"/>
        <v>0</v>
      </c>
      <c r="I326" s="577">
        <f t="shared" si="200"/>
        <v>1</v>
      </c>
      <c r="J326" s="577">
        <f t="shared" si="200"/>
        <v>0</v>
      </c>
      <c r="K326" s="578">
        <f t="shared" si="200"/>
        <v>0</v>
      </c>
      <c r="L326" s="578">
        <f t="shared" si="200"/>
        <v>0</v>
      </c>
      <c r="M326" s="578">
        <f t="shared" si="200"/>
        <v>0</v>
      </c>
      <c r="N326" s="577">
        <f t="shared" si="203"/>
        <v>1</v>
      </c>
      <c r="O326" s="577">
        <f t="shared" si="201"/>
        <v>0</v>
      </c>
      <c r="P326" s="579">
        <f t="shared" si="201"/>
        <v>0</v>
      </c>
      <c r="Q326" s="577">
        <f t="shared" si="201"/>
        <v>0</v>
      </c>
      <c r="R326" s="357"/>
      <c r="S326" s="858">
        <v>2137</v>
      </c>
      <c r="T326" s="858">
        <v>933</v>
      </c>
      <c r="U326" s="858">
        <v>2046</v>
      </c>
      <c r="V326" s="858">
        <v>565</v>
      </c>
      <c r="W326" s="858">
        <v>570</v>
      </c>
      <c r="X326" s="858"/>
      <c r="Y326" s="859">
        <v>6251</v>
      </c>
      <c r="Z326" s="859"/>
      <c r="AA326" s="858"/>
      <c r="AB326" s="858"/>
      <c r="AC326" s="858"/>
      <c r="AD326" s="858"/>
      <c r="AE326" s="859">
        <v>2081</v>
      </c>
      <c r="AF326" s="859"/>
      <c r="AG326" s="858"/>
      <c r="AH326" s="859"/>
    </row>
    <row r="327" spans="1:34">
      <c r="A327" s="882" t="s">
        <v>159</v>
      </c>
      <c r="B327" s="240" t="s">
        <v>53</v>
      </c>
      <c r="C327" s="806">
        <f>IF(S$332&gt;0,(S327/S$332),0)</f>
        <v>0.32151556156968875</v>
      </c>
      <c r="D327" s="806">
        <f t="shared" ref="D327:M332" si="204">IF(T$332&gt;0,(T327/T$332),0)</f>
        <v>0</v>
      </c>
      <c r="E327" s="806">
        <f t="shared" si="204"/>
        <v>0.31062553556126821</v>
      </c>
      <c r="F327" s="806">
        <f t="shared" si="204"/>
        <v>0.30031948881789139</v>
      </c>
      <c r="G327" s="806">
        <f t="shared" si="204"/>
        <v>0.25090909090909091</v>
      </c>
      <c r="H327" s="806">
        <f t="shared" si="204"/>
        <v>0.20992907801418439</v>
      </c>
      <c r="I327" s="613">
        <f t="shared" si="204"/>
        <v>0.29411322456958122</v>
      </c>
      <c r="J327" s="613">
        <f t="shared" si="204"/>
        <v>0</v>
      </c>
      <c r="K327" s="614">
        <f t="shared" si="204"/>
        <v>0</v>
      </c>
      <c r="L327" s="614">
        <f t="shared" si="204"/>
        <v>0</v>
      </c>
      <c r="M327" s="614">
        <f t="shared" si="204"/>
        <v>0</v>
      </c>
      <c r="N327" s="613">
        <f>IF(AE$332&gt;0,(AE327/AE$332),0)</f>
        <v>0.27555486089402936</v>
      </c>
      <c r="O327" s="613">
        <f t="shared" ref="O327:Q332" si="205">IF(AF$332&gt;0,(AF327/AF$332),0)</f>
        <v>0</v>
      </c>
      <c r="P327" s="615">
        <f t="shared" si="205"/>
        <v>0</v>
      </c>
      <c r="Q327" s="613">
        <f t="shared" si="205"/>
        <v>0</v>
      </c>
      <c r="R327" s="799"/>
      <c r="S327" s="856">
        <v>1188</v>
      </c>
      <c r="T327" s="856"/>
      <c r="U327" s="856">
        <v>1450</v>
      </c>
      <c r="V327" s="856">
        <v>564</v>
      </c>
      <c r="W327" s="856">
        <v>414</v>
      </c>
      <c r="X327" s="856">
        <v>296</v>
      </c>
      <c r="Y327" s="857">
        <v>3912</v>
      </c>
      <c r="Z327" s="857"/>
      <c r="AA327" s="856"/>
      <c r="AB327" s="856"/>
      <c r="AC327" s="856"/>
      <c r="AD327" s="856"/>
      <c r="AE327" s="857">
        <v>1763</v>
      </c>
      <c r="AF327" s="857"/>
      <c r="AG327" s="856"/>
      <c r="AH327" s="857"/>
    </row>
    <row r="328" spans="1:34">
      <c r="A328" s="883"/>
      <c r="B328" s="239" t="s">
        <v>93</v>
      </c>
      <c r="C328" s="806">
        <f t="shared" ref="C328:C332" si="206">IF(S$332&gt;0,(S328/S$332),0)</f>
        <v>0.28795669824086606</v>
      </c>
      <c r="D328" s="806">
        <f t="shared" si="204"/>
        <v>0</v>
      </c>
      <c r="E328" s="806">
        <f t="shared" si="204"/>
        <v>0.32926306769494429</v>
      </c>
      <c r="F328" s="806">
        <f t="shared" si="204"/>
        <v>0.33386581469648563</v>
      </c>
      <c r="G328" s="806">
        <f t="shared" si="204"/>
        <v>0.35575757575757577</v>
      </c>
      <c r="H328" s="806">
        <f t="shared" si="204"/>
        <v>0.26453900709219857</v>
      </c>
      <c r="I328" s="624">
        <f t="shared" si="204"/>
        <v>0.31486354409442902</v>
      </c>
      <c r="J328" s="624">
        <f t="shared" si="204"/>
        <v>0</v>
      </c>
      <c r="K328" s="625">
        <f t="shared" si="204"/>
        <v>0</v>
      </c>
      <c r="L328" s="625">
        <f t="shared" si="204"/>
        <v>0</v>
      </c>
      <c r="M328" s="625">
        <f t="shared" si="204"/>
        <v>0</v>
      </c>
      <c r="N328" s="624">
        <f t="shared" ref="N328:N332" si="207">IF(AE$332&gt;0,(AE328/AE$332),0)</f>
        <v>0.22663332291341043</v>
      </c>
      <c r="O328" s="624">
        <f t="shared" si="205"/>
        <v>0</v>
      </c>
      <c r="P328" s="626">
        <f t="shared" si="205"/>
        <v>0</v>
      </c>
      <c r="Q328" s="624">
        <f t="shared" si="205"/>
        <v>0</v>
      </c>
      <c r="R328" s="357"/>
      <c r="S328" s="858">
        <v>1064</v>
      </c>
      <c r="T328" s="858"/>
      <c r="U328" s="858">
        <v>1537</v>
      </c>
      <c r="V328" s="858">
        <v>627</v>
      </c>
      <c r="W328" s="858">
        <v>587</v>
      </c>
      <c r="X328" s="858">
        <v>373</v>
      </c>
      <c r="Y328" s="859">
        <v>4188</v>
      </c>
      <c r="Z328" s="859"/>
      <c r="AA328" s="858"/>
      <c r="AB328" s="858"/>
      <c r="AC328" s="858"/>
      <c r="AD328" s="858"/>
      <c r="AE328" s="859">
        <v>1450</v>
      </c>
      <c r="AF328" s="859"/>
      <c r="AG328" s="858"/>
      <c r="AH328" s="859"/>
    </row>
    <row r="329" spans="1:34">
      <c r="A329" s="883"/>
      <c r="B329" s="239" t="s">
        <v>55</v>
      </c>
      <c r="C329" s="806">
        <f t="shared" si="206"/>
        <v>0.2993234100135318</v>
      </c>
      <c r="D329" s="806">
        <f t="shared" si="204"/>
        <v>0</v>
      </c>
      <c r="E329" s="806">
        <f t="shared" si="204"/>
        <v>0.25149957155098546</v>
      </c>
      <c r="F329" s="806">
        <f t="shared" si="204"/>
        <v>0.21831735889243875</v>
      </c>
      <c r="G329" s="806">
        <f t="shared" si="204"/>
        <v>0.31333333333333335</v>
      </c>
      <c r="H329" s="806">
        <f t="shared" si="204"/>
        <v>0.38723404255319149</v>
      </c>
      <c r="I329" s="624">
        <f t="shared" si="204"/>
        <v>0.28215923614765809</v>
      </c>
      <c r="J329" s="624">
        <f t="shared" si="204"/>
        <v>0</v>
      </c>
      <c r="K329" s="625">
        <f t="shared" si="204"/>
        <v>0</v>
      </c>
      <c r="L329" s="625">
        <f t="shared" si="204"/>
        <v>0</v>
      </c>
      <c r="M329" s="625">
        <f t="shared" si="204"/>
        <v>0</v>
      </c>
      <c r="N329" s="624">
        <f t="shared" si="207"/>
        <v>0.32478899656142546</v>
      </c>
      <c r="O329" s="624">
        <f t="shared" si="205"/>
        <v>0</v>
      </c>
      <c r="P329" s="626">
        <f t="shared" si="205"/>
        <v>0</v>
      </c>
      <c r="Q329" s="624">
        <f t="shared" si="205"/>
        <v>0</v>
      </c>
      <c r="R329" s="357"/>
      <c r="S329" s="858">
        <v>1106</v>
      </c>
      <c r="T329" s="858"/>
      <c r="U329" s="858">
        <v>1174</v>
      </c>
      <c r="V329" s="858">
        <v>410</v>
      </c>
      <c r="W329" s="858">
        <v>517</v>
      </c>
      <c r="X329" s="858">
        <v>546</v>
      </c>
      <c r="Y329" s="859">
        <v>3753</v>
      </c>
      <c r="Z329" s="859"/>
      <c r="AA329" s="858"/>
      <c r="AB329" s="858"/>
      <c r="AC329" s="858"/>
      <c r="AD329" s="858"/>
      <c r="AE329" s="859">
        <v>2078</v>
      </c>
      <c r="AF329" s="859"/>
      <c r="AG329" s="858"/>
      <c r="AH329" s="859"/>
    </row>
    <row r="330" spans="1:34">
      <c r="A330" s="883"/>
      <c r="B330" s="239" t="s">
        <v>78</v>
      </c>
      <c r="C330" s="806">
        <f t="shared" si="206"/>
        <v>8.6603518267929641E-3</v>
      </c>
      <c r="D330" s="806">
        <f t="shared" si="204"/>
        <v>0</v>
      </c>
      <c r="E330" s="806">
        <f t="shared" si="204"/>
        <v>7.7120822622107968E-3</v>
      </c>
      <c r="F330" s="806">
        <f t="shared" si="204"/>
        <v>1.1714589989350373E-2</v>
      </c>
      <c r="G330" s="806">
        <f t="shared" si="204"/>
        <v>1.5151515151515152E-2</v>
      </c>
      <c r="H330" s="806">
        <f t="shared" si="204"/>
        <v>5.2482269503546099E-2</v>
      </c>
      <c r="I330" s="624">
        <f t="shared" si="204"/>
        <v>1.4209457935493571E-2</v>
      </c>
      <c r="J330" s="624">
        <f t="shared" si="204"/>
        <v>0</v>
      </c>
      <c r="K330" s="625">
        <f t="shared" si="204"/>
        <v>0</v>
      </c>
      <c r="L330" s="625">
        <f t="shared" si="204"/>
        <v>0</v>
      </c>
      <c r="M330" s="625">
        <f t="shared" si="204"/>
        <v>0</v>
      </c>
      <c r="N330" s="624">
        <f t="shared" si="207"/>
        <v>9.8937167864957806E-2</v>
      </c>
      <c r="O330" s="624">
        <f t="shared" si="205"/>
        <v>0</v>
      </c>
      <c r="P330" s="626">
        <f t="shared" si="205"/>
        <v>0</v>
      </c>
      <c r="Q330" s="624">
        <f t="shared" si="205"/>
        <v>0</v>
      </c>
      <c r="R330" s="357"/>
      <c r="S330" s="858">
        <v>32</v>
      </c>
      <c r="T330" s="858"/>
      <c r="U330" s="858">
        <v>36</v>
      </c>
      <c r="V330" s="858">
        <v>22</v>
      </c>
      <c r="W330" s="858">
        <v>25</v>
      </c>
      <c r="X330" s="858">
        <v>74</v>
      </c>
      <c r="Y330" s="859">
        <v>189</v>
      </c>
      <c r="Z330" s="859"/>
      <c r="AA330" s="858"/>
      <c r="AB330" s="858"/>
      <c r="AC330" s="858"/>
      <c r="AD330" s="858"/>
      <c r="AE330" s="859">
        <v>633</v>
      </c>
      <c r="AF330" s="859"/>
      <c r="AG330" s="858"/>
      <c r="AH330" s="859"/>
    </row>
    <row r="331" spans="1:34">
      <c r="A331" s="884"/>
      <c r="B331" s="580" t="s">
        <v>131</v>
      </c>
      <c r="C331" s="806">
        <f t="shared" si="206"/>
        <v>8.2543978349120431E-2</v>
      </c>
      <c r="D331" s="806">
        <f t="shared" si="204"/>
        <v>0</v>
      </c>
      <c r="E331" s="806">
        <f t="shared" si="204"/>
        <v>0.10089974293059126</v>
      </c>
      <c r="F331" s="806">
        <f t="shared" si="204"/>
        <v>0.13578274760383385</v>
      </c>
      <c r="G331" s="806">
        <f t="shared" si="204"/>
        <v>6.484848484848485E-2</v>
      </c>
      <c r="H331" s="806">
        <f t="shared" si="204"/>
        <v>8.5815602836879432E-2</v>
      </c>
      <c r="I331" s="624">
        <f t="shared" si="204"/>
        <v>9.4654537252838136E-2</v>
      </c>
      <c r="J331" s="624">
        <f t="shared" si="204"/>
        <v>0</v>
      </c>
      <c r="K331" s="625">
        <f t="shared" si="204"/>
        <v>0</v>
      </c>
      <c r="L331" s="625">
        <f t="shared" si="204"/>
        <v>0</v>
      </c>
      <c r="M331" s="625">
        <f t="shared" si="204"/>
        <v>0</v>
      </c>
      <c r="N331" s="624">
        <f t="shared" si="207"/>
        <v>7.408565176617693E-2</v>
      </c>
      <c r="O331" s="624">
        <f t="shared" si="205"/>
        <v>0</v>
      </c>
      <c r="P331" s="626">
        <f t="shared" si="205"/>
        <v>0</v>
      </c>
      <c r="Q331" s="624">
        <f t="shared" si="205"/>
        <v>0</v>
      </c>
      <c r="R331" s="357"/>
      <c r="S331" s="858">
        <v>305</v>
      </c>
      <c r="T331" s="858"/>
      <c r="U331" s="858">
        <v>471</v>
      </c>
      <c r="V331" s="858">
        <v>255</v>
      </c>
      <c r="W331" s="858">
        <v>107</v>
      </c>
      <c r="X331" s="858">
        <v>121</v>
      </c>
      <c r="Y331" s="859">
        <v>1259</v>
      </c>
      <c r="Z331" s="859"/>
      <c r="AA331" s="858"/>
      <c r="AB331" s="858"/>
      <c r="AC331" s="858"/>
      <c r="AD331" s="858"/>
      <c r="AE331" s="859">
        <v>474</v>
      </c>
      <c r="AF331" s="859"/>
      <c r="AG331" s="858"/>
      <c r="AH331" s="859"/>
    </row>
    <row r="332" spans="1:34">
      <c r="A332" s="885"/>
      <c r="B332" s="436" t="s">
        <v>59</v>
      </c>
      <c r="C332" s="807">
        <f t="shared" si="206"/>
        <v>1</v>
      </c>
      <c r="D332" s="808">
        <f t="shared" si="204"/>
        <v>0</v>
      </c>
      <c r="E332" s="808">
        <f t="shared" si="204"/>
        <v>1</v>
      </c>
      <c r="F332" s="808">
        <f t="shared" si="204"/>
        <v>1</v>
      </c>
      <c r="G332" s="808">
        <f t="shared" si="204"/>
        <v>1</v>
      </c>
      <c r="H332" s="809">
        <f t="shared" si="204"/>
        <v>1</v>
      </c>
      <c r="I332" s="577">
        <f t="shared" si="204"/>
        <v>1</v>
      </c>
      <c r="J332" s="577">
        <f t="shared" si="204"/>
        <v>0</v>
      </c>
      <c r="K332" s="578">
        <f t="shared" si="204"/>
        <v>0</v>
      </c>
      <c r="L332" s="578">
        <f t="shared" si="204"/>
        <v>0</v>
      </c>
      <c r="M332" s="578">
        <f t="shared" si="204"/>
        <v>0</v>
      </c>
      <c r="N332" s="577">
        <f t="shared" si="207"/>
        <v>1</v>
      </c>
      <c r="O332" s="577">
        <f t="shared" si="205"/>
        <v>0</v>
      </c>
      <c r="P332" s="579">
        <f t="shared" si="205"/>
        <v>0</v>
      </c>
      <c r="Q332" s="577">
        <f t="shared" si="205"/>
        <v>0</v>
      </c>
      <c r="R332" s="357"/>
      <c r="S332" s="858">
        <v>3695</v>
      </c>
      <c r="T332" s="858"/>
      <c r="U332" s="858">
        <v>4668</v>
      </c>
      <c r="V332" s="858">
        <v>1878</v>
      </c>
      <c r="W332" s="858">
        <v>1650</v>
      </c>
      <c r="X332" s="858">
        <v>1410</v>
      </c>
      <c r="Y332" s="859">
        <v>13301</v>
      </c>
      <c r="Z332" s="859"/>
      <c r="AA332" s="858"/>
      <c r="AB332" s="858"/>
      <c r="AC332" s="858"/>
      <c r="AD332" s="858"/>
      <c r="AE332" s="859">
        <v>6398</v>
      </c>
      <c r="AF332" s="859"/>
      <c r="AG332" s="858"/>
      <c r="AH332" s="859"/>
    </row>
    <row r="333" spans="1:34">
      <c r="A333" s="882" t="s">
        <v>162</v>
      </c>
      <c r="B333" s="240" t="s">
        <v>53</v>
      </c>
      <c r="C333" s="806">
        <f>IF(S338&gt;0,(S333/S338),0)</f>
        <v>0.27560490553529998</v>
      </c>
      <c r="D333" s="806">
        <f t="shared" ref="D333:M333" si="208">IF(T338&gt;0,(T333/T338),0)</f>
        <v>0.33160621761658032</v>
      </c>
      <c r="E333" s="806">
        <f t="shared" si="208"/>
        <v>0.26452189454870417</v>
      </c>
      <c r="F333" s="806">
        <f t="shared" si="208"/>
        <v>0.30891719745222929</v>
      </c>
      <c r="G333" s="806">
        <f t="shared" si="208"/>
        <v>0.24521739130434783</v>
      </c>
      <c r="H333" s="806">
        <f t="shared" si="208"/>
        <v>0.1056081573197378</v>
      </c>
      <c r="I333" s="613">
        <f t="shared" si="208"/>
        <v>0.26016654539574741</v>
      </c>
      <c r="J333" s="613">
        <f t="shared" si="208"/>
        <v>0</v>
      </c>
      <c r="K333" s="614">
        <f t="shared" si="208"/>
        <v>0</v>
      </c>
      <c r="L333" s="614">
        <f t="shared" si="208"/>
        <v>0</v>
      </c>
      <c r="M333" s="614">
        <f t="shared" si="208"/>
        <v>0</v>
      </c>
      <c r="N333" s="613">
        <f>IF(AE338&gt;0,(AE333/AE338),0)</f>
        <v>0.24128142741281428</v>
      </c>
      <c r="O333" s="613">
        <f t="shared" ref="O333:Q333" si="209">IF(AF338&gt;0,(AF333/AF338),0)</f>
        <v>0</v>
      </c>
      <c r="P333" s="615">
        <f t="shared" si="209"/>
        <v>0</v>
      </c>
      <c r="Q333" s="613">
        <f t="shared" si="209"/>
        <v>0</v>
      </c>
      <c r="R333" s="799"/>
      <c r="S333" s="856">
        <v>1663</v>
      </c>
      <c r="T333" s="856">
        <v>192</v>
      </c>
      <c r="U333" s="856">
        <v>592</v>
      </c>
      <c r="V333" s="856">
        <v>485</v>
      </c>
      <c r="W333" s="856">
        <v>141</v>
      </c>
      <c r="X333" s="856">
        <v>145</v>
      </c>
      <c r="Y333" s="857">
        <v>3218</v>
      </c>
      <c r="Z333" s="857"/>
      <c r="AA333" s="856"/>
      <c r="AB333" s="856"/>
      <c r="AC333" s="856"/>
      <c r="AD333" s="856"/>
      <c r="AE333" s="857">
        <v>595</v>
      </c>
      <c r="AF333" s="857"/>
      <c r="AG333" s="856"/>
      <c r="AH333" s="857"/>
    </row>
    <row r="334" spans="1:34">
      <c r="A334" s="883"/>
      <c r="B334" s="239" t="s">
        <v>93</v>
      </c>
      <c r="C334" s="806">
        <f>IF(S338&gt;0,(S334/S338),0)</f>
        <v>0.24428239973483593</v>
      </c>
      <c r="D334" s="806">
        <f t="shared" ref="D334:M334" si="210">IF(T338&gt;0,(T334/T338),0)</f>
        <v>0.29015544041450775</v>
      </c>
      <c r="E334" s="806">
        <f t="shared" si="210"/>
        <v>0.31992850759606789</v>
      </c>
      <c r="F334" s="806">
        <f t="shared" si="210"/>
        <v>0.27261146496815286</v>
      </c>
      <c r="G334" s="806">
        <f t="shared" si="210"/>
        <v>0.27826086956521739</v>
      </c>
      <c r="H334" s="806">
        <f t="shared" si="210"/>
        <v>0.27166788055353241</v>
      </c>
      <c r="I334" s="624">
        <f t="shared" si="210"/>
        <v>0.26833212062414102</v>
      </c>
      <c r="J334" s="624">
        <f t="shared" si="210"/>
        <v>0</v>
      </c>
      <c r="K334" s="625">
        <f t="shared" si="210"/>
        <v>0</v>
      </c>
      <c r="L334" s="625">
        <f t="shared" si="210"/>
        <v>0</v>
      </c>
      <c r="M334" s="625">
        <f t="shared" si="210"/>
        <v>0</v>
      </c>
      <c r="N334" s="624">
        <f>IF(AE338&gt;0,(AE334/AE338),0)</f>
        <v>0.24006488240064883</v>
      </c>
      <c r="O334" s="624">
        <f t="shared" ref="O334:Q334" si="211">IF(AF338&gt;0,(AF334/AF338),0)</f>
        <v>0</v>
      </c>
      <c r="P334" s="626">
        <f t="shared" si="211"/>
        <v>0</v>
      </c>
      <c r="Q334" s="624">
        <f t="shared" si="211"/>
        <v>0</v>
      </c>
      <c r="R334" s="357"/>
      <c r="S334" s="858">
        <v>1474</v>
      </c>
      <c r="T334" s="858">
        <v>168</v>
      </c>
      <c r="U334" s="858">
        <v>716</v>
      </c>
      <c r="V334" s="858">
        <v>428</v>
      </c>
      <c r="W334" s="858">
        <v>160</v>
      </c>
      <c r="X334" s="858">
        <v>373</v>
      </c>
      <c r="Y334" s="859">
        <v>3319</v>
      </c>
      <c r="Z334" s="859"/>
      <c r="AA334" s="858"/>
      <c r="AB334" s="858"/>
      <c r="AC334" s="858"/>
      <c r="AD334" s="858"/>
      <c r="AE334" s="859">
        <v>592</v>
      </c>
      <c r="AF334" s="859"/>
      <c r="AG334" s="858"/>
      <c r="AH334" s="859"/>
    </row>
    <row r="335" spans="1:34">
      <c r="A335" s="883"/>
      <c r="B335" s="239" t="s">
        <v>55</v>
      </c>
      <c r="C335" s="806">
        <f>IF(S338&gt;0,(S335/S338),0)</f>
        <v>0.28438846536294332</v>
      </c>
      <c r="D335" s="806">
        <f t="shared" ref="D335:M335" si="212">IF(T338&gt;0,(T335/T338),0)</f>
        <v>0.28497409326424872</v>
      </c>
      <c r="E335" s="806">
        <f t="shared" si="212"/>
        <v>0.28865058087578194</v>
      </c>
      <c r="F335" s="806">
        <f t="shared" si="212"/>
        <v>0.26242038216560509</v>
      </c>
      <c r="G335" s="806">
        <f t="shared" si="212"/>
        <v>0.23478260869565218</v>
      </c>
      <c r="H335" s="806">
        <f t="shared" si="212"/>
        <v>0.26511289147851419</v>
      </c>
      <c r="I335" s="624">
        <f t="shared" si="212"/>
        <v>0.27795294688333738</v>
      </c>
      <c r="J335" s="624">
        <f t="shared" si="212"/>
        <v>0</v>
      </c>
      <c r="K335" s="625">
        <f t="shared" si="212"/>
        <v>0</v>
      </c>
      <c r="L335" s="625">
        <f t="shared" si="212"/>
        <v>0</v>
      </c>
      <c r="M335" s="625">
        <f t="shared" si="212"/>
        <v>0</v>
      </c>
      <c r="N335" s="624">
        <f>IF(AE338&gt;0,(AE335/AE338),0)</f>
        <v>0.32643957826439579</v>
      </c>
      <c r="O335" s="624">
        <f t="shared" ref="O335:Q335" si="213">IF(AF338&gt;0,(AF335/AF338),0)</f>
        <v>0</v>
      </c>
      <c r="P335" s="626">
        <f t="shared" si="213"/>
        <v>0</v>
      </c>
      <c r="Q335" s="624">
        <f t="shared" si="213"/>
        <v>0</v>
      </c>
      <c r="R335" s="357"/>
      <c r="S335" s="858">
        <v>1716</v>
      </c>
      <c r="T335" s="858">
        <v>165</v>
      </c>
      <c r="U335" s="858">
        <v>646</v>
      </c>
      <c r="V335" s="858">
        <v>412</v>
      </c>
      <c r="W335" s="858">
        <v>135</v>
      </c>
      <c r="X335" s="858">
        <v>364</v>
      </c>
      <c r="Y335" s="859">
        <v>3438</v>
      </c>
      <c r="Z335" s="859"/>
      <c r="AA335" s="858"/>
      <c r="AB335" s="858"/>
      <c r="AC335" s="858"/>
      <c r="AD335" s="858"/>
      <c r="AE335" s="859">
        <v>805</v>
      </c>
      <c r="AF335" s="859"/>
      <c r="AG335" s="858"/>
      <c r="AH335" s="859"/>
    </row>
    <row r="336" spans="1:34">
      <c r="A336" s="883"/>
      <c r="B336" s="239" t="s">
        <v>78</v>
      </c>
      <c r="C336" s="806">
        <f>IF(S338&gt;0,(S336/S338),0)</f>
        <v>7.6234670202187604E-2</v>
      </c>
      <c r="D336" s="806">
        <f t="shared" ref="D336:M336" si="214">IF(T338&gt;0,(T336/T338),0)</f>
        <v>9.3264248704663211E-2</v>
      </c>
      <c r="E336" s="806">
        <f t="shared" si="214"/>
        <v>0.10679177837354781</v>
      </c>
      <c r="F336" s="806">
        <f t="shared" si="214"/>
        <v>0.15605095541401273</v>
      </c>
      <c r="G336" s="806">
        <f t="shared" si="214"/>
        <v>2.9565217391304348E-2</v>
      </c>
      <c r="H336" s="806">
        <f t="shared" si="214"/>
        <v>0.28841951930080117</v>
      </c>
      <c r="I336" s="624">
        <f t="shared" si="214"/>
        <v>0.11407551135904277</v>
      </c>
      <c r="J336" s="624">
        <f t="shared" si="214"/>
        <v>0</v>
      </c>
      <c r="K336" s="625">
        <f t="shared" si="214"/>
        <v>0</v>
      </c>
      <c r="L336" s="625">
        <f t="shared" si="214"/>
        <v>0</v>
      </c>
      <c r="M336" s="625">
        <f t="shared" si="214"/>
        <v>0</v>
      </c>
      <c r="N336" s="624">
        <f>IF(AE338&gt;0,(AE336/AE338),0)</f>
        <v>0.18329278183292783</v>
      </c>
      <c r="O336" s="624">
        <f t="shared" ref="O336:Q336" si="215">IF(AF338&gt;0,(AF336/AF338),0)</f>
        <v>0</v>
      </c>
      <c r="P336" s="626">
        <f t="shared" si="215"/>
        <v>0</v>
      </c>
      <c r="Q336" s="624">
        <f t="shared" si="215"/>
        <v>1</v>
      </c>
      <c r="R336" s="357"/>
      <c r="S336" s="858">
        <v>460</v>
      </c>
      <c r="T336" s="858">
        <v>54</v>
      </c>
      <c r="U336" s="858">
        <v>239</v>
      </c>
      <c r="V336" s="858">
        <v>245</v>
      </c>
      <c r="W336" s="858">
        <v>17</v>
      </c>
      <c r="X336" s="858">
        <v>396</v>
      </c>
      <c r="Y336" s="859">
        <v>1411</v>
      </c>
      <c r="Z336" s="859"/>
      <c r="AA336" s="858"/>
      <c r="AB336" s="858"/>
      <c r="AC336" s="858"/>
      <c r="AD336" s="858"/>
      <c r="AE336" s="859">
        <v>452</v>
      </c>
      <c r="AF336" s="859"/>
      <c r="AG336" s="858"/>
      <c r="AH336" s="859">
        <v>99</v>
      </c>
    </row>
    <row r="337" spans="1:34">
      <c r="A337" s="884"/>
      <c r="B337" s="580" t="s">
        <v>131</v>
      </c>
      <c r="C337" s="806">
        <f>IF(S338&gt;0,(S337/S338),0)</f>
        <v>0.11948955916473318</v>
      </c>
      <c r="D337" s="806">
        <f t="shared" ref="D337:M337" si="216">IF(T338&gt;0,(T337/T338),0)</f>
        <v>0</v>
      </c>
      <c r="E337" s="806">
        <f t="shared" si="216"/>
        <v>2.0107238605898123E-2</v>
      </c>
      <c r="F337" s="806">
        <f t="shared" si="216"/>
        <v>0</v>
      </c>
      <c r="G337" s="806">
        <f t="shared" si="216"/>
        <v>0.21217391304347827</v>
      </c>
      <c r="H337" s="806">
        <f t="shared" si="216"/>
        <v>6.9191551347414421E-2</v>
      </c>
      <c r="I337" s="624">
        <f t="shared" si="216"/>
        <v>7.947287573773143E-2</v>
      </c>
      <c r="J337" s="624">
        <f t="shared" si="216"/>
        <v>0</v>
      </c>
      <c r="K337" s="625">
        <f t="shared" si="216"/>
        <v>0</v>
      </c>
      <c r="L337" s="625">
        <f t="shared" si="216"/>
        <v>0</v>
      </c>
      <c r="M337" s="625">
        <f t="shared" si="216"/>
        <v>0</v>
      </c>
      <c r="N337" s="624">
        <f>IF(AE338&gt;0,(AE337/AE338),0)</f>
        <v>8.9213300892133016E-3</v>
      </c>
      <c r="O337" s="624">
        <f t="shared" ref="O337:Q337" si="217">IF(AF338&gt;0,(AF337/AF338),0)</f>
        <v>0</v>
      </c>
      <c r="P337" s="626">
        <f t="shared" si="217"/>
        <v>0</v>
      </c>
      <c r="Q337" s="624">
        <f t="shared" si="217"/>
        <v>0</v>
      </c>
      <c r="R337" s="357"/>
      <c r="S337" s="858">
        <v>721</v>
      </c>
      <c r="T337" s="858"/>
      <c r="U337" s="858">
        <v>45</v>
      </c>
      <c r="V337" s="858"/>
      <c r="W337" s="858">
        <v>122</v>
      </c>
      <c r="X337" s="858">
        <v>95</v>
      </c>
      <c r="Y337" s="859">
        <v>983</v>
      </c>
      <c r="Z337" s="859"/>
      <c r="AA337" s="858"/>
      <c r="AB337" s="858"/>
      <c r="AC337" s="858"/>
      <c r="AD337" s="858"/>
      <c r="AE337" s="859">
        <v>22</v>
      </c>
      <c r="AF337" s="859"/>
      <c r="AG337" s="858"/>
      <c r="AH337" s="859"/>
    </row>
    <row r="338" spans="1:34">
      <c r="A338" s="885"/>
      <c r="B338" s="436" t="s">
        <v>59</v>
      </c>
      <c r="C338" s="807">
        <f>IF(S338&gt;0,(S338/S338),0)</f>
        <v>1</v>
      </c>
      <c r="D338" s="808">
        <f t="shared" ref="D338:M338" si="218">IF(T338&gt;0,(T338/T338),0)</f>
        <v>1</v>
      </c>
      <c r="E338" s="808">
        <f t="shared" si="218"/>
        <v>1</v>
      </c>
      <c r="F338" s="808">
        <f t="shared" si="218"/>
        <v>1</v>
      </c>
      <c r="G338" s="808">
        <f t="shared" si="218"/>
        <v>1</v>
      </c>
      <c r="H338" s="809">
        <f t="shared" si="218"/>
        <v>1</v>
      </c>
      <c r="I338" s="577">
        <f t="shared" si="218"/>
        <v>1</v>
      </c>
      <c r="J338" s="577">
        <f t="shared" si="218"/>
        <v>0</v>
      </c>
      <c r="K338" s="578">
        <f t="shared" si="218"/>
        <v>0</v>
      </c>
      <c r="L338" s="578">
        <f t="shared" si="218"/>
        <v>0</v>
      </c>
      <c r="M338" s="578">
        <f t="shared" si="218"/>
        <v>0</v>
      </c>
      <c r="N338" s="577">
        <f>IF(AE338&gt;0,(AE338/AE338),0)</f>
        <v>1</v>
      </c>
      <c r="O338" s="577">
        <f t="shared" ref="O338:Q338" si="219">IF(AF338&gt;0,(AF338/AF338),0)</f>
        <v>0</v>
      </c>
      <c r="P338" s="579">
        <f t="shared" si="219"/>
        <v>0</v>
      </c>
      <c r="Q338" s="577">
        <f t="shared" si="219"/>
        <v>1</v>
      </c>
      <c r="R338" s="357"/>
      <c r="S338" s="858">
        <v>6034</v>
      </c>
      <c r="T338" s="858">
        <v>579</v>
      </c>
      <c r="U338" s="858">
        <v>2238</v>
      </c>
      <c r="V338" s="858">
        <v>1570</v>
      </c>
      <c r="W338" s="858">
        <v>575</v>
      </c>
      <c r="X338" s="858">
        <v>1373</v>
      </c>
      <c r="Y338" s="859">
        <v>12369</v>
      </c>
      <c r="Z338" s="859"/>
      <c r="AA338" s="858"/>
      <c r="AB338" s="858"/>
      <c r="AC338" s="858"/>
      <c r="AD338" s="858"/>
      <c r="AE338" s="859">
        <v>2466</v>
      </c>
      <c r="AF338" s="859"/>
      <c r="AG338" s="858"/>
      <c r="AH338" s="859">
        <v>99</v>
      </c>
    </row>
    <row r="339" spans="1:34">
      <c r="A339" s="882" t="s">
        <v>163</v>
      </c>
      <c r="B339" s="240" t="s">
        <v>53</v>
      </c>
      <c r="C339" s="806">
        <f>IF(S344&gt;0,(S339/S344),0)</f>
        <v>0</v>
      </c>
      <c r="D339" s="806">
        <f t="shared" ref="D339:M339" si="220">IF(T344&gt;0,(T339/T344),0)</f>
        <v>0.41058655221745349</v>
      </c>
      <c r="E339" s="806">
        <f t="shared" si="220"/>
        <v>0.34615384615384615</v>
      </c>
      <c r="F339" s="806">
        <f t="shared" si="220"/>
        <v>0</v>
      </c>
      <c r="G339" s="806">
        <f t="shared" si="220"/>
        <v>0</v>
      </c>
      <c r="H339" s="806">
        <f t="shared" si="220"/>
        <v>0</v>
      </c>
      <c r="I339" s="613">
        <f t="shared" si="220"/>
        <v>0.38958534233365477</v>
      </c>
      <c r="J339" s="613">
        <f t="shared" si="220"/>
        <v>0</v>
      </c>
      <c r="K339" s="614">
        <f t="shared" si="220"/>
        <v>0</v>
      </c>
      <c r="L339" s="614">
        <f t="shared" si="220"/>
        <v>0</v>
      </c>
      <c r="M339" s="614">
        <f t="shared" si="220"/>
        <v>0</v>
      </c>
      <c r="N339" s="613">
        <f>IF(AE344&gt;0,(AE339/AE344),0)</f>
        <v>0.40123456790123457</v>
      </c>
      <c r="O339" s="613">
        <f t="shared" ref="O339:Q339" si="221">IF(AF344&gt;0,(AF339/AF344),0)</f>
        <v>0</v>
      </c>
      <c r="P339" s="615">
        <f t="shared" si="221"/>
        <v>0</v>
      </c>
      <c r="Q339" s="613">
        <f t="shared" si="221"/>
        <v>0</v>
      </c>
      <c r="R339" s="799"/>
      <c r="S339" s="856"/>
      <c r="T339" s="856">
        <v>287</v>
      </c>
      <c r="U339" s="856">
        <v>117</v>
      </c>
      <c r="V339" s="856"/>
      <c r="W339" s="856"/>
      <c r="X339" s="856"/>
      <c r="Y339" s="857">
        <v>404</v>
      </c>
      <c r="Z339" s="857"/>
      <c r="AA339" s="856"/>
      <c r="AB339" s="856"/>
      <c r="AC339" s="856"/>
      <c r="AD339" s="856"/>
      <c r="AE339" s="857">
        <v>130</v>
      </c>
      <c r="AF339" s="857"/>
      <c r="AG339" s="856"/>
      <c r="AH339" s="857"/>
    </row>
    <row r="340" spans="1:34">
      <c r="A340" s="883"/>
      <c r="B340" s="239" t="s">
        <v>93</v>
      </c>
      <c r="C340" s="806">
        <f>IF(S344&gt;0,(S340/S344),0)</f>
        <v>0</v>
      </c>
      <c r="D340" s="806">
        <f t="shared" ref="D340:M340" si="222">IF(T344&gt;0,(T340/T344),0)</f>
        <v>0.23319027181688126</v>
      </c>
      <c r="E340" s="806">
        <f t="shared" si="222"/>
        <v>0.35798816568047337</v>
      </c>
      <c r="F340" s="806">
        <f t="shared" si="222"/>
        <v>0</v>
      </c>
      <c r="G340" s="806">
        <f t="shared" si="222"/>
        <v>0</v>
      </c>
      <c r="H340" s="806">
        <f t="shared" si="222"/>
        <v>0</v>
      </c>
      <c r="I340" s="624">
        <f t="shared" si="222"/>
        <v>0.27386692381870781</v>
      </c>
      <c r="J340" s="624">
        <f t="shared" si="222"/>
        <v>0</v>
      </c>
      <c r="K340" s="625">
        <f t="shared" si="222"/>
        <v>0</v>
      </c>
      <c r="L340" s="625">
        <f t="shared" si="222"/>
        <v>0</v>
      </c>
      <c r="M340" s="625">
        <f t="shared" si="222"/>
        <v>0</v>
      </c>
      <c r="N340" s="624">
        <f>IF(AE344&gt;0,(AE340/AE344),0)</f>
        <v>0.23456790123456789</v>
      </c>
      <c r="O340" s="624">
        <f t="shared" ref="O340:Q340" si="223">IF(AF344&gt;0,(AF340/AF344),0)</f>
        <v>0</v>
      </c>
      <c r="P340" s="626">
        <f t="shared" si="223"/>
        <v>0</v>
      </c>
      <c r="Q340" s="624">
        <f t="shared" si="223"/>
        <v>0</v>
      </c>
      <c r="R340" s="357"/>
      <c r="S340" s="858"/>
      <c r="T340" s="858">
        <v>163</v>
      </c>
      <c r="U340" s="858">
        <v>121</v>
      </c>
      <c r="V340" s="858"/>
      <c r="W340" s="858"/>
      <c r="X340" s="858"/>
      <c r="Y340" s="859">
        <v>284</v>
      </c>
      <c r="Z340" s="859"/>
      <c r="AA340" s="858"/>
      <c r="AB340" s="858"/>
      <c r="AC340" s="858"/>
      <c r="AD340" s="858"/>
      <c r="AE340" s="859">
        <v>76</v>
      </c>
      <c r="AF340" s="859"/>
      <c r="AG340" s="858"/>
      <c r="AH340" s="859"/>
    </row>
    <row r="341" spans="1:34">
      <c r="A341" s="883"/>
      <c r="B341" s="239" t="s">
        <v>55</v>
      </c>
      <c r="C341" s="806">
        <f>IF(S344&gt;0,(S341/S344),0)</f>
        <v>0</v>
      </c>
      <c r="D341" s="806">
        <f t="shared" ref="D341:M341" si="224">IF(T344&gt;0,(T341/T344),0)</f>
        <v>0.18168812589413447</v>
      </c>
      <c r="E341" s="806">
        <f t="shared" si="224"/>
        <v>0.29585798816568049</v>
      </c>
      <c r="F341" s="806">
        <f t="shared" si="224"/>
        <v>0</v>
      </c>
      <c r="G341" s="806">
        <f t="shared" si="224"/>
        <v>0</v>
      </c>
      <c r="H341" s="806">
        <f t="shared" si="224"/>
        <v>0</v>
      </c>
      <c r="I341" s="624">
        <f t="shared" si="224"/>
        <v>0.21890067502410801</v>
      </c>
      <c r="J341" s="624">
        <f t="shared" si="224"/>
        <v>0</v>
      </c>
      <c r="K341" s="625">
        <f t="shared" si="224"/>
        <v>0</v>
      </c>
      <c r="L341" s="625">
        <f t="shared" si="224"/>
        <v>0</v>
      </c>
      <c r="M341" s="625">
        <f t="shared" si="224"/>
        <v>0</v>
      </c>
      <c r="N341" s="624">
        <f>IF(AE344&gt;0,(AE341/AE344),0)</f>
        <v>0.3611111111111111</v>
      </c>
      <c r="O341" s="624">
        <f t="shared" ref="O341:Q341" si="225">IF(AF344&gt;0,(AF341/AF344),0)</f>
        <v>0</v>
      </c>
      <c r="P341" s="626">
        <f t="shared" si="225"/>
        <v>0</v>
      </c>
      <c r="Q341" s="624">
        <f t="shared" si="225"/>
        <v>0</v>
      </c>
      <c r="R341" s="357"/>
      <c r="S341" s="858"/>
      <c r="T341" s="858">
        <v>127</v>
      </c>
      <c r="U341" s="858">
        <v>100</v>
      </c>
      <c r="V341" s="858"/>
      <c r="W341" s="858"/>
      <c r="X341" s="858"/>
      <c r="Y341" s="859">
        <v>227</v>
      </c>
      <c r="Z341" s="859"/>
      <c r="AA341" s="858"/>
      <c r="AB341" s="858"/>
      <c r="AC341" s="858"/>
      <c r="AD341" s="858"/>
      <c r="AE341" s="859">
        <v>117</v>
      </c>
      <c r="AF341" s="859"/>
      <c r="AG341" s="858"/>
      <c r="AH341" s="859"/>
    </row>
    <row r="342" spans="1:34">
      <c r="A342" s="883"/>
      <c r="B342" s="239" t="s">
        <v>78</v>
      </c>
      <c r="C342" s="806">
        <f>IF(S344&gt;0,(S342/S344),0)</f>
        <v>0</v>
      </c>
      <c r="D342" s="806">
        <f t="shared" ref="D342:M342" si="226">IF(T344&gt;0,(T342/T344),0)</f>
        <v>2.8612303290414878E-3</v>
      </c>
      <c r="E342" s="806">
        <f t="shared" si="226"/>
        <v>0</v>
      </c>
      <c r="F342" s="806">
        <f t="shared" si="226"/>
        <v>0</v>
      </c>
      <c r="G342" s="806">
        <f t="shared" si="226"/>
        <v>0</v>
      </c>
      <c r="H342" s="806">
        <f t="shared" si="226"/>
        <v>0</v>
      </c>
      <c r="I342" s="624">
        <f t="shared" si="226"/>
        <v>1.9286403085824494E-3</v>
      </c>
      <c r="J342" s="624">
        <f t="shared" si="226"/>
        <v>0</v>
      </c>
      <c r="K342" s="625">
        <f t="shared" si="226"/>
        <v>0</v>
      </c>
      <c r="L342" s="625">
        <f t="shared" si="226"/>
        <v>0</v>
      </c>
      <c r="M342" s="625">
        <f t="shared" si="226"/>
        <v>0</v>
      </c>
      <c r="N342" s="624">
        <f>IF(AE344&gt;0,(AE342/AE344),0)</f>
        <v>3.0864197530864196E-3</v>
      </c>
      <c r="O342" s="624">
        <f t="shared" ref="O342:Q342" si="227">IF(AF344&gt;0,(AF342/AF344),0)</f>
        <v>0</v>
      </c>
      <c r="P342" s="626">
        <f t="shared" si="227"/>
        <v>0</v>
      </c>
      <c r="Q342" s="624">
        <f t="shared" si="227"/>
        <v>0</v>
      </c>
      <c r="R342" s="357"/>
      <c r="S342" s="858"/>
      <c r="T342" s="858">
        <v>2</v>
      </c>
      <c r="U342" s="858"/>
      <c r="V342" s="858"/>
      <c r="W342" s="858"/>
      <c r="X342" s="858"/>
      <c r="Y342" s="859">
        <v>2</v>
      </c>
      <c r="Z342" s="859"/>
      <c r="AA342" s="858"/>
      <c r="AB342" s="858"/>
      <c r="AC342" s="858"/>
      <c r="AD342" s="858"/>
      <c r="AE342" s="859">
        <v>1</v>
      </c>
      <c r="AF342" s="859"/>
      <c r="AG342" s="858"/>
      <c r="AH342" s="859"/>
    </row>
    <row r="343" spans="1:34">
      <c r="A343" s="884"/>
      <c r="B343" s="580" t="s">
        <v>131</v>
      </c>
      <c r="C343" s="806">
        <f>IF(S344&gt;0,(S343/S344),0)</f>
        <v>0</v>
      </c>
      <c r="D343" s="806">
        <f t="shared" ref="D343:M343" si="228">IF(T344&gt;0,(T343/T344),0)</f>
        <v>0.17167381974248927</v>
      </c>
      <c r="E343" s="806">
        <f t="shared" si="228"/>
        <v>0</v>
      </c>
      <c r="F343" s="806">
        <f t="shared" si="228"/>
        <v>0</v>
      </c>
      <c r="G343" s="806">
        <f t="shared" si="228"/>
        <v>0</v>
      </c>
      <c r="H343" s="806">
        <f t="shared" si="228"/>
        <v>0</v>
      </c>
      <c r="I343" s="624">
        <f t="shared" si="228"/>
        <v>0.11571841851494696</v>
      </c>
      <c r="J343" s="624">
        <f t="shared" si="228"/>
        <v>0</v>
      </c>
      <c r="K343" s="625">
        <f t="shared" si="228"/>
        <v>0</v>
      </c>
      <c r="L343" s="625">
        <f t="shared" si="228"/>
        <v>0</v>
      </c>
      <c r="M343" s="625">
        <f t="shared" si="228"/>
        <v>0</v>
      </c>
      <c r="N343" s="624">
        <f>IF(AE344&gt;0,(AE343/AE344),0)</f>
        <v>0</v>
      </c>
      <c r="O343" s="624">
        <f t="shared" ref="O343:Q343" si="229">IF(AF344&gt;0,(AF343/AF344),0)</f>
        <v>0</v>
      </c>
      <c r="P343" s="626">
        <f t="shared" si="229"/>
        <v>0</v>
      </c>
      <c r="Q343" s="624">
        <f t="shared" si="229"/>
        <v>0</v>
      </c>
      <c r="R343" s="357"/>
      <c r="S343" s="858"/>
      <c r="T343" s="858">
        <v>120</v>
      </c>
      <c r="U343" s="858"/>
      <c r="V343" s="858"/>
      <c r="W343" s="858"/>
      <c r="X343" s="858"/>
      <c r="Y343" s="859">
        <v>120</v>
      </c>
      <c r="Z343" s="859"/>
      <c r="AA343" s="858"/>
      <c r="AB343" s="858"/>
      <c r="AC343" s="858"/>
      <c r="AD343" s="858"/>
      <c r="AE343" s="859"/>
      <c r="AF343" s="859"/>
      <c r="AG343" s="858"/>
      <c r="AH343" s="859"/>
    </row>
    <row r="344" spans="1:34">
      <c r="A344" s="885"/>
      <c r="B344" s="436" t="s">
        <v>59</v>
      </c>
      <c r="C344" s="807">
        <f>IF(S344&gt;0,(S344/S344),0)</f>
        <v>0</v>
      </c>
      <c r="D344" s="808">
        <f t="shared" ref="D344:M344" si="230">IF(T344&gt;0,(T344/T344),0)</f>
        <v>1</v>
      </c>
      <c r="E344" s="808">
        <f t="shared" si="230"/>
        <v>1</v>
      </c>
      <c r="F344" s="808">
        <f t="shared" si="230"/>
        <v>0</v>
      </c>
      <c r="G344" s="808">
        <f t="shared" si="230"/>
        <v>0</v>
      </c>
      <c r="H344" s="809">
        <f t="shared" si="230"/>
        <v>0</v>
      </c>
      <c r="I344" s="577">
        <f t="shared" si="230"/>
        <v>1</v>
      </c>
      <c r="J344" s="577">
        <f t="shared" si="230"/>
        <v>0</v>
      </c>
      <c r="K344" s="578">
        <f t="shared" si="230"/>
        <v>0</v>
      </c>
      <c r="L344" s="578">
        <f t="shared" si="230"/>
        <v>0</v>
      </c>
      <c r="M344" s="578">
        <f t="shared" si="230"/>
        <v>0</v>
      </c>
      <c r="N344" s="577">
        <f>IF(AE344&gt;0,(AE344/AE344),0)</f>
        <v>1</v>
      </c>
      <c r="O344" s="577">
        <f t="shared" ref="O344:Q344" si="231">IF(AF344&gt;0,(AF344/AF344),0)</f>
        <v>0</v>
      </c>
      <c r="P344" s="579">
        <f t="shared" si="231"/>
        <v>0</v>
      </c>
      <c r="Q344" s="577">
        <f t="shared" si="231"/>
        <v>0</v>
      </c>
      <c r="R344" s="357"/>
      <c r="S344" s="858"/>
      <c r="T344" s="858">
        <v>699</v>
      </c>
      <c r="U344" s="858">
        <v>338</v>
      </c>
      <c r="V344" s="858"/>
      <c r="W344" s="858"/>
      <c r="X344" s="858"/>
      <c r="Y344" s="859">
        <v>1037</v>
      </c>
      <c r="Z344" s="859"/>
      <c r="AA344" s="858"/>
      <c r="AB344" s="858"/>
      <c r="AC344" s="858"/>
      <c r="AD344" s="858"/>
      <c r="AE344" s="859">
        <v>324</v>
      </c>
      <c r="AF344" s="859"/>
      <c r="AG344" s="858"/>
      <c r="AH344" s="859"/>
    </row>
    <row r="345" spans="1:34">
      <c r="A345" s="882" t="s">
        <v>166</v>
      </c>
      <c r="B345" s="240" t="s">
        <v>53</v>
      </c>
      <c r="C345" s="806">
        <f>IF(S350&gt;0,(S345/S350),0)</f>
        <v>0</v>
      </c>
      <c r="D345" s="806">
        <f t="shared" ref="D345:M345" si="232">IF(T350&gt;0,(T345/T350),0)</f>
        <v>0.27750410509031198</v>
      </c>
      <c r="E345" s="806">
        <f t="shared" si="232"/>
        <v>0</v>
      </c>
      <c r="F345" s="806">
        <f t="shared" si="232"/>
        <v>0</v>
      </c>
      <c r="G345" s="806">
        <f t="shared" si="232"/>
        <v>0.40875912408759124</v>
      </c>
      <c r="H345" s="806">
        <f t="shared" si="232"/>
        <v>0.32692307692307693</v>
      </c>
      <c r="I345" s="613">
        <f t="shared" si="232"/>
        <v>0.3032581453634085</v>
      </c>
      <c r="J345" s="613">
        <f t="shared" si="232"/>
        <v>0</v>
      </c>
      <c r="K345" s="614">
        <f t="shared" si="232"/>
        <v>0</v>
      </c>
      <c r="L345" s="614">
        <f t="shared" si="232"/>
        <v>0</v>
      </c>
      <c r="M345" s="614">
        <f t="shared" si="232"/>
        <v>0</v>
      </c>
      <c r="N345" s="613">
        <f>IF(AE350&gt;0,(AE345/AE350),0)</f>
        <v>0.40259740259740262</v>
      </c>
      <c r="O345" s="613">
        <f t="shared" ref="O345:Q345" si="233">IF(AF350&gt;0,(AF345/AF350),0)</f>
        <v>0</v>
      </c>
      <c r="P345" s="615">
        <f t="shared" si="233"/>
        <v>0</v>
      </c>
      <c r="Q345" s="613">
        <f t="shared" si="233"/>
        <v>0</v>
      </c>
      <c r="R345" s="799"/>
      <c r="S345" s="856"/>
      <c r="T345" s="856">
        <v>169</v>
      </c>
      <c r="U345" s="856"/>
      <c r="V345" s="856"/>
      <c r="W345" s="856">
        <v>56</v>
      </c>
      <c r="X345" s="856">
        <v>17</v>
      </c>
      <c r="Y345" s="857">
        <v>242</v>
      </c>
      <c r="Z345" s="857"/>
      <c r="AA345" s="856"/>
      <c r="AB345" s="856"/>
      <c r="AC345" s="856"/>
      <c r="AD345" s="856"/>
      <c r="AE345" s="857">
        <v>31</v>
      </c>
      <c r="AF345" s="857"/>
      <c r="AG345" s="856"/>
      <c r="AH345" s="857"/>
    </row>
    <row r="346" spans="1:34">
      <c r="A346" s="883"/>
      <c r="B346" s="239" t="s">
        <v>93</v>
      </c>
      <c r="C346" s="806">
        <f>IF(S350&gt;0,(S346/S350),0)</f>
        <v>0</v>
      </c>
      <c r="D346" s="806">
        <f t="shared" ref="D346:M346" si="234">IF(T350&gt;0,(T346/T350),0)</f>
        <v>0.3366174055829228</v>
      </c>
      <c r="E346" s="806">
        <f t="shared" si="234"/>
        <v>0</v>
      </c>
      <c r="F346" s="806">
        <f t="shared" si="234"/>
        <v>0</v>
      </c>
      <c r="G346" s="806">
        <f t="shared" si="234"/>
        <v>0.23357664233576642</v>
      </c>
      <c r="H346" s="806">
        <f t="shared" si="234"/>
        <v>0.25</v>
      </c>
      <c r="I346" s="624">
        <f t="shared" si="234"/>
        <v>0.31328320802005011</v>
      </c>
      <c r="J346" s="624">
        <f t="shared" si="234"/>
        <v>0</v>
      </c>
      <c r="K346" s="625">
        <f t="shared" si="234"/>
        <v>0</v>
      </c>
      <c r="L346" s="625">
        <f t="shared" si="234"/>
        <v>0</v>
      </c>
      <c r="M346" s="625">
        <f t="shared" si="234"/>
        <v>0</v>
      </c>
      <c r="N346" s="624">
        <f>IF(AE350&gt;0,(AE346/AE350),0)</f>
        <v>0.2857142857142857</v>
      </c>
      <c r="O346" s="624">
        <f t="shared" ref="O346:Q346" si="235">IF(AF350&gt;0,(AF346/AF350),0)</f>
        <v>0</v>
      </c>
      <c r="P346" s="626">
        <f t="shared" si="235"/>
        <v>0</v>
      </c>
      <c r="Q346" s="624">
        <f t="shared" si="235"/>
        <v>0</v>
      </c>
      <c r="R346" s="357"/>
      <c r="S346" s="858"/>
      <c r="T346" s="858">
        <v>205</v>
      </c>
      <c r="U346" s="858"/>
      <c r="V346" s="858"/>
      <c r="W346" s="858">
        <v>32</v>
      </c>
      <c r="X346" s="858">
        <v>13</v>
      </c>
      <c r="Y346" s="859">
        <v>250</v>
      </c>
      <c r="Z346" s="859"/>
      <c r="AA346" s="858"/>
      <c r="AB346" s="858"/>
      <c r="AC346" s="858"/>
      <c r="AD346" s="858"/>
      <c r="AE346" s="859">
        <v>22</v>
      </c>
      <c r="AF346" s="859"/>
      <c r="AG346" s="858"/>
      <c r="AH346" s="859"/>
    </row>
    <row r="347" spans="1:34">
      <c r="A347" s="883"/>
      <c r="B347" s="239" t="s">
        <v>55</v>
      </c>
      <c r="C347" s="806">
        <f>IF(S350&gt;0,(S347/S350),0)</f>
        <v>0</v>
      </c>
      <c r="D347" s="806">
        <f t="shared" ref="D347:M347" si="236">IF(T350&gt;0,(T347/T350),0)</f>
        <v>0.15763546798029557</v>
      </c>
      <c r="E347" s="806">
        <f t="shared" si="236"/>
        <v>0</v>
      </c>
      <c r="F347" s="806">
        <f t="shared" si="236"/>
        <v>0</v>
      </c>
      <c r="G347" s="806">
        <f t="shared" si="236"/>
        <v>0.35766423357664234</v>
      </c>
      <c r="H347" s="806">
        <f t="shared" si="236"/>
        <v>0.40384615384615385</v>
      </c>
      <c r="I347" s="624">
        <f t="shared" si="236"/>
        <v>0.20802005012531327</v>
      </c>
      <c r="J347" s="624">
        <f t="shared" si="236"/>
        <v>0</v>
      </c>
      <c r="K347" s="625">
        <f t="shared" si="236"/>
        <v>0</v>
      </c>
      <c r="L347" s="625">
        <f t="shared" si="236"/>
        <v>0</v>
      </c>
      <c r="M347" s="625">
        <f t="shared" si="236"/>
        <v>0</v>
      </c>
      <c r="N347" s="624">
        <f>IF(AE350&gt;0,(AE347/AE350),0)</f>
        <v>0.31168831168831168</v>
      </c>
      <c r="O347" s="624">
        <f t="shared" ref="O347:Q347" si="237">IF(AF350&gt;0,(AF347/AF350),0)</f>
        <v>0</v>
      </c>
      <c r="P347" s="626">
        <f t="shared" si="237"/>
        <v>0</v>
      </c>
      <c r="Q347" s="624">
        <f t="shared" si="237"/>
        <v>0</v>
      </c>
      <c r="R347" s="357"/>
      <c r="S347" s="858"/>
      <c r="T347" s="858">
        <v>96</v>
      </c>
      <c r="U347" s="858"/>
      <c r="V347" s="858"/>
      <c r="W347" s="858">
        <v>49</v>
      </c>
      <c r="X347" s="858">
        <v>21</v>
      </c>
      <c r="Y347" s="859">
        <v>166</v>
      </c>
      <c r="Z347" s="859"/>
      <c r="AA347" s="858"/>
      <c r="AB347" s="858"/>
      <c r="AC347" s="858"/>
      <c r="AD347" s="858"/>
      <c r="AE347" s="859">
        <v>24</v>
      </c>
      <c r="AF347" s="859"/>
      <c r="AG347" s="858"/>
      <c r="AH347" s="859"/>
    </row>
    <row r="348" spans="1:34">
      <c r="A348" s="883"/>
      <c r="B348" s="239" t="s">
        <v>78</v>
      </c>
      <c r="C348" s="806">
        <f>IF(S350&gt;0,(S348/S350),0)</f>
        <v>0</v>
      </c>
      <c r="D348" s="806">
        <f t="shared" ref="D348:M348" si="238">IF(T350&gt;0,(T348/T350),0)</f>
        <v>8.2101806239737278E-3</v>
      </c>
      <c r="E348" s="806">
        <f t="shared" si="238"/>
        <v>0</v>
      </c>
      <c r="F348" s="806">
        <f t="shared" si="238"/>
        <v>0</v>
      </c>
      <c r="G348" s="806">
        <f t="shared" si="238"/>
        <v>0</v>
      </c>
      <c r="H348" s="806">
        <f t="shared" si="238"/>
        <v>1.9230769230769232E-2</v>
      </c>
      <c r="I348" s="624">
        <f t="shared" si="238"/>
        <v>7.5187969924812026E-3</v>
      </c>
      <c r="J348" s="624">
        <f t="shared" si="238"/>
        <v>0</v>
      </c>
      <c r="K348" s="625">
        <f t="shared" si="238"/>
        <v>0</v>
      </c>
      <c r="L348" s="625">
        <f t="shared" si="238"/>
        <v>0</v>
      </c>
      <c r="M348" s="625">
        <f t="shared" si="238"/>
        <v>0</v>
      </c>
      <c r="N348" s="624">
        <f>IF(AE350&gt;0,(AE348/AE350),0)</f>
        <v>0</v>
      </c>
      <c r="O348" s="624">
        <f t="shared" ref="O348:Q348" si="239">IF(AF350&gt;0,(AF348/AF350),0)</f>
        <v>0</v>
      </c>
      <c r="P348" s="626">
        <f t="shared" si="239"/>
        <v>0</v>
      </c>
      <c r="Q348" s="624">
        <f t="shared" si="239"/>
        <v>0</v>
      </c>
      <c r="R348" s="357"/>
      <c r="S348" s="858"/>
      <c r="T348" s="858">
        <v>5</v>
      </c>
      <c r="U348" s="858"/>
      <c r="V348" s="858"/>
      <c r="W348" s="858"/>
      <c r="X348" s="858">
        <v>1</v>
      </c>
      <c r="Y348" s="859">
        <v>6</v>
      </c>
      <c r="Z348" s="859"/>
      <c r="AA348" s="858"/>
      <c r="AB348" s="858"/>
      <c r="AC348" s="858"/>
      <c r="AD348" s="858"/>
      <c r="AE348" s="859"/>
      <c r="AF348" s="859"/>
      <c r="AG348" s="858"/>
      <c r="AH348" s="859"/>
    </row>
    <row r="349" spans="1:34">
      <c r="A349" s="884"/>
      <c r="B349" s="580" t="s">
        <v>131</v>
      </c>
      <c r="C349" s="806">
        <f>IF(S350&gt;0,(S349/S350),0)</f>
        <v>0</v>
      </c>
      <c r="D349" s="806">
        <f t="shared" ref="D349:M349" si="240">IF(T350&gt;0,(T349/T350),0)</f>
        <v>0.2200328407224959</v>
      </c>
      <c r="E349" s="806">
        <f t="shared" si="240"/>
        <v>0</v>
      </c>
      <c r="F349" s="806">
        <f t="shared" si="240"/>
        <v>0</v>
      </c>
      <c r="G349" s="806">
        <f t="shared" si="240"/>
        <v>0</v>
      </c>
      <c r="H349" s="806">
        <f t="shared" si="240"/>
        <v>0</v>
      </c>
      <c r="I349" s="624">
        <f t="shared" si="240"/>
        <v>0.16791979949874686</v>
      </c>
      <c r="J349" s="624">
        <f t="shared" si="240"/>
        <v>0</v>
      </c>
      <c r="K349" s="625">
        <f t="shared" si="240"/>
        <v>0</v>
      </c>
      <c r="L349" s="625">
        <f t="shared" si="240"/>
        <v>0</v>
      </c>
      <c r="M349" s="625">
        <f t="shared" si="240"/>
        <v>0</v>
      </c>
      <c r="N349" s="624">
        <f>IF(AE350&gt;0,(AE349/AE350),0)</f>
        <v>0</v>
      </c>
      <c r="O349" s="624">
        <f t="shared" ref="O349:Q349" si="241">IF(AF350&gt;0,(AF349/AF350),0)</f>
        <v>0</v>
      </c>
      <c r="P349" s="626">
        <f t="shared" si="241"/>
        <v>0</v>
      </c>
      <c r="Q349" s="624">
        <f t="shared" si="241"/>
        <v>0</v>
      </c>
      <c r="R349" s="357"/>
      <c r="S349" s="858"/>
      <c r="T349" s="858">
        <v>134</v>
      </c>
      <c r="U349" s="858"/>
      <c r="V349" s="858"/>
      <c r="W349" s="858"/>
      <c r="X349" s="858"/>
      <c r="Y349" s="859">
        <v>134</v>
      </c>
      <c r="Z349" s="859"/>
      <c r="AA349" s="858"/>
      <c r="AB349" s="858"/>
      <c r="AC349" s="858"/>
      <c r="AD349" s="858"/>
      <c r="AE349" s="859"/>
      <c r="AF349" s="859"/>
      <c r="AG349" s="858"/>
      <c r="AH349" s="859"/>
    </row>
    <row r="350" spans="1:34">
      <c r="A350" s="885"/>
      <c r="B350" s="436" t="s">
        <v>59</v>
      </c>
      <c r="C350" s="807">
        <f>IF(S350&gt;0,(S350/S350),0)</f>
        <v>0</v>
      </c>
      <c r="D350" s="808">
        <f t="shared" ref="D350:M350" si="242">IF(T350&gt;0,(T350/T350),0)</f>
        <v>1</v>
      </c>
      <c r="E350" s="808">
        <f t="shared" si="242"/>
        <v>0</v>
      </c>
      <c r="F350" s="808">
        <f t="shared" si="242"/>
        <v>0</v>
      </c>
      <c r="G350" s="808">
        <f t="shared" si="242"/>
        <v>1</v>
      </c>
      <c r="H350" s="809">
        <f t="shared" si="242"/>
        <v>1</v>
      </c>
      <c r="I350" s="577">
        <f t="shared" si="242"/>
        <v>1</v>
      </c>
      <c r="J350" s="577">
        <f t="shared" si="242"/>
        <v>0</v>
      </c>
      <c r="K350" s="578">
        <f t="shared" si="242"/>
        <v>0</v>
      </c>
      <c r="L350" s="578">
        <f t="shared" si="242"/>
        <v>0</v>
      </c>
      <c r="M350" s="578">
        <f t="shared" si="242"/>
        <v>0</v>
      </c>
      <c r="N350" s="577">
        <f>IF(AE350&gt;0,(AE350/AE350),0)</f>
        <v>1</v>
      </c>
      <c r="O350" s="577">
        <f t="shared" ref="O350:Q350" si="243">IF(AF350&gt;0,(AF350/AF350),0)</f>
        <v>0</v>
      </c>
      <c r="P350" s="579">
        <f t="shared" si="243"/>
        <v>0</v>
      </c>
      <c r="Q350" s="577">
        <f t="shared" si="243"/>
        <v>0</v>
      </c>
      <c r="R350" s="357"/>
      <c r="S350" s="858"/>
      <c r="T350" s="858">
        <v>609</v>
      </c>
      <c r="U350" s="858"/>
      <c r="V350" s="858"/>
      <c r="W350" s="858">
        <v>137</v>
      </c>
      <c r="X350" s="858">
        <v>52</v>
      </c>
      <c r="Y350" s="859">
        <v>798</v>
      </c>
      <c r="Z350" s="859"/>
      <c r="AA350" s="858"/>
      <c r="AB350" s="858"/>
      <c r="AC350" s="858"/>
      <c r="AD350" s="858"/>
      <c r="AE350" s="859">
        <v>77</v>
      </c>
      <c r="AF350" s="859"/>
      <c r="AG350" s="858"/>
      <c r="AH350" s="859"/>
    </row>
    <row r="351" spans="1:34">
      <c r="A351" s="882" t="s">
        <v>170</v>
      </c>
      <c r="B351" s="240" t="s">
        <v>53</v>
      </c>
      <c r="C351" s="806">
        <f>IF(S356&gt;0,(S351/S356),0)</f>
        <v>0</v>
      </c>
      <c r="D351" s="806">
        <f t="shared" ref="D351:M351" si="244">IF(T356&gt;0,(T351/T356),0)</f>
        <v>0</v>
      </c>
      <c r="E351" s="806">
        <f t="shared" si="244"/>
        <v>0</v>
      </c>
      <c r="F351" s="806">
        <f t="shared" si="244"/>
        <v>0.23696682464454977</v>
      </c>
      <c r="G351" s="806">
        <f t="shared" si="244"/>
        <v>0</v>
      </c>
      <c r="H351" s="806">
        <f t="shared" si="244"/>
        <v>0</v>
      </c>
      <c r="I351" s="613">
        <f t="shared" si="244"/>
        <v>0.23696682464454977</v>
      </c>
      <c r="J351" s="613">
        <f t="shared" si="244"/>
        <v>0</v>
      </c>
      <c r="K351" s="614">
        <f t="shared" si="244"/>
        <v>0</v>
      </c>
      <c r="L351" s="614">
        <f t="shared" si="244"/>
        <v>0</v>
      </c>
      <c r="M351" s="614">
        <f t="shared" si="244"/>
        <v>0</v>
      </c>
      <c r="N351" s="613">
        <f>IF(AE356&gt;0,(AE351/AE356),0)</f>
        <v>0</v>
      </c>
      <c r="O351" s="613">
        <f t="shared" ref="O351:Q351" si="245">IF(AF356&gt;0,(AF351/AF356),0)</f>
        <v>0</v>
      </c>
      <c r="P351" s="615">
        <f t="shared" si="245"/>
        <v>0</v>
      </c>
      <c r="Q351" s="613">
        <f t="shared" si="245"/>
        <v>0</v>
      </c>
      <c r="R351" s="799"/>
      <c r="S351" s="856"/>
      <c r="T351" s="856"/>
      <c r="U351" s="856"/>
      <c r="V351" s="856">
        <v>50</v>
      </c>
      <c r="W351" s="856"/>
      <c r="X351" s="856"/>
      <c r="Y351" s="857">
        <v>50</v>
      </c>
      <c r="Z351" s="857"/>
      <c r="AA351" s="856"/>
      <c r="AB351" s="856"/>
      <c r="AC351" s="856"/>
      <c r="AD351" s="856"/>
      <c r="AE351" s="857"/>
      <c r="AF351" s="857"/>
      <c r="AG351" s="856"/>
      <c r="AH351" s="857"/>
    </row>
    <row r="352" spans="1:34">
      <c r="A352" s="883"/>
      <c r="B352" s="239" t="s">
        <v>93</v>
      </c>
      <c r="C352" s="806">
        <f>IF(S356&gt;0,(S352/S356),0)</f>
        <v>0</v>
      </c>
      <c r="D352" s="806">
        <f t="shared" ref="D352:M352" si="246">IF(T356&gt;0,(T352/T356),0)</f>
        <v>0</v>
      </c>
      <c r="E352" s="806">
        <f t="shared" si="246"/>
        <v>0</v>
      </c>
      <c r="F352" s="806">
        <f t="shared" si="246"/>
        <v>0.31753554502369669</v>
      </c>
      <c r="G352" s="806">
        <f t="shared" si="246"/>
        <v>0</v>
      </c>
      <c r="H352" s="806">
        <f t="shared" si="246"/>
        <v>0</v>
      </c>
      <c r="I352" s="624">
        <f t="shared" si="246"/>
        <v>0.31753554502369669</v>
      </c>
      <c r="J352" s="624">
        <f t="shared" si="246"/>
        <v>0</v>
      </c>
      <c r="K352" s="625">
        <f t="shared" si="246"/>
        <v>0</v>
      </c>
      <c r="L352" s="625">
        <f t="shared" si="246"/>
        <v>0</v>
      </c>
      <c r="M352" s="625">
        <f t="shared" si="246"/>
        <v>0</v>
      </c>
      <c r="N352" s="624">
        <f>IF(AE356&gt;0,(AE352/AE356),0)</f>
        <v>0</v>
      </c>
      <c r="O352" s="624">
        <f t="shared" ref="O352:Q352" si="247">IF(AF356&gt;0,(AF352/AF356),0)</f>
        <v>0</v>
      </c>
      <c r="P352" s="626">
        <f t="shared" si="247"/>
        <v>0</v>
      </c>
      <c r="Q352" s="624">
        <f t="shared" si="247"/>
        <v>0</v>
      </c>
      <c r="R352" s="357"/>
      <c r="S352" s="858"/>
      <c r="T352" s="858"/>
      <c r="U352" s="858"/>
      <c r="V352" s="858">
        <v>67</v>
      </c>
      <c r="W352" s="858"/>
      <c r="X352" s="858"/>
      <c r="Y352" s="859">
        <v>67</v>
      </c>
      <c r="Z352" s="859"/>
      <c r="AA352" s="858"/>
      <c r="AB352" s="858"/>
      <c r="AC352" s="858"/>
      <c r="AD352" s="858"/>
      <c r="AE352" s="859"/>
      <c r="AF352" s="859"/>
      <c r="AG352" s="858"/>
      <c r="AH352" s="859"/>
    </row>
    <row r="353" spans="1:34">
      <c r="A353" s="883"/>
      <c r="B353" s="239" t="s">
        <v>55</v>
      </c>
      <c r="C353" s="806">
        <f>IF(S356&gt;0,(S353/S356),0)</f>
        <v>0</v>
      </c>
      <c r="D353" s="806">
        <f t="shared" ref="D353:M353" si="248">IF(T356&gt;0,(T353/T356),0)</f>
        <v>0</v>
      </c>
      <c r="E353" s="806">
        <f t="shared" si="248"/>
        <v>0</v>
      </c>
      <c r="F353" s="806">
        <f t="shared" si="248"/>
        <v>0.35071090047393366</v>
      </c>
      <c r="G353" s="806">
        <f t="shared" si="248"/>
        <v>0</v>
      </c>
      <c r="H353" s="806">
        <f t="shared" si="248"/>
        <v>0</v>
      </c>
      <c r="I353" s="624">
        <f t="shared" si="248"/>
        <v>0.35071090047393366</v>
      </c>
      <c r="J353" s="624">
        <f t="shared" si="248"/>
        <v>0</v>
      </c>
      <c r="K353" s="625">
        <f t="shared" si="248"/>
        <v>0</v>
      </c>
      <c r="L353" s="625">
        <f t="shared" si="248"/>
        <v>0</v>
      </c>
      <c r="M353" s="625">
        <f t="shared" si="248"/>
        <v>0</v>
      </c>
      <c r="N353" s="624">
        <f>IF(AE356&gt;0,(AE353/AE356),0)</f>
        <v>0</v>
      </c>
      <c r="O353" s="624">
        <f t="shared" ref="O353:Q353" si="249">IF(AF356&gt;0,(AF353/AF356),0)</f>
        <v>0</v>
      </c>
      <c r="P353" s="626">
        <f t="shared" si="249"/>
        <v>0</v>
      </c>
      <c r="Q353" s="624">
        <f t="shared" si="249"/>
        <v>0</v>
      </c>
      <c r="R353" s="357"/>
      <c r="S353" s="858"/>
      <c r="T353" s="858"/>
      <c r="U353" s="858"/>
      <c r="V353" s="858">
        <v>74</v>
      </c>
      <c r="W353" s="858"/>
      <c r="X353" s="858"/>
      <c r="Y353" s="859">
        <v>74</v>
      </c>
      <c r="Z353" s="859"/>
      <c r="AA353" s="858"/>
      <c r="AB353" s="858"/>
      <c r="AC353" s="858"/>
      <c r="AD353" s="858"/>
      <c r="AE353" s="859"/>
      <c r="AF353" s="859"/>
      <c r="AG353" s="858"/>
      <c r="AH353" s="859"/>
    </row>
    <row r="354" spans="1:34">
      <c r="A354" s="883"/>
      <c r="B354" s="239" t="s">
        <v>78</v>
      </c>
      <c r="C354" s="806">
        <f>IF(S356&gt;0,(S354/S356),0)</f>
        <v>0</v>
      </c>
      <c r="D354" s="806">
        <f t="shared" ref="D354:M354" si="250">IF(T356&gt;0,(T354/T356),0)</f>
        <v>0</v>
      </c>
      <c r="E354" s="806">
        <f t="shared" si="250"/>
        <v>0</v>
      </c>
      <c r="F354" s="806">
        <f t="shared" si="250"/>
        <v>8.0568720379146919E-2</v>
      </c>
      <c r="G354" s="806">
        <f t="shared" si="250"/>
        <v>0</v>
      </c>
      <c r="H354" s="806">
        <f t="shared" si="250"/>
        <v>0</v>
      </c>
      <c r="I354" s="624">
        <f t="shared" si="250"/>
        <v>8.0568720379146919E-2</v>
      </c>
      <c r="J354" s="624">
        <f t="shared" si="250"/>
        <v>0</v>
      </c>
      <c r="K354" s="625">
        <f t="shared" si="250"/>
        <v>0</v>
      </c>
      <c r="L354" s="625">
        <f t="shared" si="250"/>
        <v>0</v>
      </c>
      <c r="M354" s="625">
        <f t="shared" si="250"/>
        <v>0</v>
      </c>
      <c r="N354" s="624">
        <f>IF(AE356&gt;0,(AE354/AE356),0)</f>
        <v>0</v>
      </c>
      <c r="O354" s="624">
        <f t="shared" ref="O354:Q354" si="251">IF(AF356&gt;0,(AF354/AF356),0)</f>
        <v>0</v>
      </c>
      <c r="P354" s="626">
        <f t="shared" si="251"/>
        <v>0</v>
      </c>
      <c r="Q354" s="624">
        <f t="shared" si="251"/>
        <v>0</v>
      </c>
      <c r="R354" s="357"/>
      <c r="S354" s="858"/>
      <c r="T354" s="858"/>
      <c r="U354" s="858"/>
      <c r="V354" s="858">
        <v>17</v>
      </c>
      <c r="W354" s="858"/>
      <c r="X354" s="858"/>
      <c r="Y354" s="859">
        <v>17</v>
      </c>
      <c r="Z354" s="859"/>
      <c r="AA354" s="858"/>
      <c r="AB354" s="858"/>
      <c r="AC354" s="858"/>
      <c r="AD354" s="858"/>
      <c r="AE354" s="859"/>
      <c r="AF354" s="859"/>
      <c r="AG354" s="858"/>
      <c r="AH354" s="859"/>
    </row>
    <row r="355" spans="1:34">
      <c r="A355" s="884"/>
      <c r="B355" s="580" t="s">
        <v>131</v>
      </c>
      <c r="C355" s="806">
        <f>IF(S356&gt;0,(S355/S356),0)</f>
        <v>0</v>
      </c>
      <c r="D355" s="806">
        <f t="shared" ref="D355:M355" si="252">IF(T356&gt;0,(T355/T356),0)</f>
        <v>0</v>
      </c>
      <c r="E355" s="806">
        <f t="shared" si="252"/>
        <v>0</v>
      </c>
      <c r="F355" s="806">
        <f t="shared" si="252"/>
        <v>1.4218009478672985E-2</v>
      </c>
      <c r="G355" s="806">
        <f t="shared" si="252"/>
        <v>0</v>
      </c>
      <c r="H355" s="806">
        <f t="shared" si="252"/>
        <v>0</v>
      </c>
      <c r="I355" s="624">
        <f t="shared" si="252"/>
        <v>1.4218009478672985E-2</v>
      </c>
      <c r="J355" s="624">
        <f t="shared" si="252"/>
        <v>0</v>
      </c>
      <c r="K355" s="625">
        <f t="shared" si="252"/>
        <v>0</v>
      </c>
      <c r="L355" s="625">
        <f t="shared" si="252"/>
        <v>0</v>
      </c>
      <c r="M355" s="625">
        <f t="shared" si="252"/>
        <v>0</v>
      </c>
      <c r="N355" s="624">
        <f>IF(AE356&gt;0,(AE355/AE356),0)</f>
        <v>0</v>
      </c>
      <c r="O355" s="624">
        <f t="shared" ref="O355:Q355" si="253">IF(AF356&gt;0,(AF355/AF356),0)</f>
        <v>0</v>
      </c>
      <c r="P355" s="626">
        <f t="shared" si="253"/>
        <v>0</v>
      </c>
      <c r="Q355" s="624">
        <f t="shared" si="253"/>
        <v>0</v>
      </c>
      <c r="R355" s="357"/>
      <c r="S355" s="858"/>
      <c r="T355" s="858"/>
      <c r="U355" s="858"/>
      <c r="V355" s="858">
        <v>3</v>
      </c>
      <c r="W355" s="858"/>
      <c r="X355" s="858"/>
      <c r="Y355" s="859">
        <v>3</v>
      </c>
      <c r="Z355" s="859"/>
      <c r="AA355" s="858"/>
      <c r="AB355" s="858"/>
      <c r="AC355" s="858"/>
      <c r="AD355" s="858"/>
      <c r="AE355" s="859"/>
      <c r="AF355" s="859"/>
      <c r="AG355" s="858"/>
      <c r="AH355" s="859"/>
    </row>
    <row r="356" spans="1:34">
      <c r="A356" s="885"/>
      <c r="B356" s="436" t="s">
        <v>59</v>
      </c>
      <c r="C356" s="806">
        <f>IF(S356&gt;0,(S356/S356),0)</f>
        <v>0</v>
      </c>
      <c r="D356" s="806">
        <f t="shared" ref="D356:M356" si="254">IF(T356&gt;0,(T356/T356),0)</f>
        <v>0</v>
      </c>
      <c r="E356" s="806">
        <f t="shared" si="254"/>
        <v>0</v>
      </c>
      <c r="F356" s="806">
        <f t="shared" si="254"/>
        <v>1</v>
      </c>
      <c r="G356" s="806">
        <f t="shared" si="254"/>
        <v>0</v>
      </c>
      <c r="H356" s="806">
        <f t="shared" si="254"/>
        <v>0</v>
      </c>
      <c r="I356" s="577">
        <f t="shared" si="254"/>
        <v>1</v>
      </c>
      <c r="J356" s="577">
        <f t="shared" si="254"/>
        <v>0</v>
      </c>
      <c r="K356" s="578">
        <f t="shared" si="254"/>
        <v>0</v>
      </c>
      <c r="L356" s="578">
        <f t="shared" si="254"/>
        <v>0</v>
      </c>
      <c r="M356" s="578">
        <f t="shared" si="254"/>
        <v>0</v>
      </c>
      <c r="N356" s="577">
        <f>IF(AE356&gt;0,(AE356/AE356),0)</f>
        <v>0</v>
      </c>
      <c r="O356" s="577">
        <f t="shared" ref="O356:Q356" si="255">IF(AF356&gt;0,(AF356/AF356),0)</f>
        <v>0</v>
      </c>
      <c r="P356" s="579">
        <f t="shared" si="255"/>
        <v>0</v>
      </c>
      <c r="Q356" s="577">
        <f t="shared" si="255"/>
        <v>0</v>
      </c>
      <c r="R356" s="357"/>
      <c r="S356" s="858"/>
      <c r="T356" s="858"/>
      <c r="U356" s="858"/>
      <c r="V356" s="858">
        <v>211</v>
      </c>
      <c r="W356" s="858"/>
      <c r="X356" s="858"/>
      <c r="Y356" s="864">
        <v>211</v>
      </c>
      <c r="Z356" s="864"/>
      <c r="AA356" s="858"/>
      <c r="AB356" s="858"/>
      <c r="AC356" s="858"/>
      <c r="AD356" s="858"/>
      <c r="AE356" s="864"/>
      <c r="AF356" s="864"/>
      <c r="AG356" s="858"/>
      <c r="AH356" s="864"/>
    </row>
    <row r="358" spans="1:34">
      <c r="A358" s="890" t="s">
        <v>229</v>
      </c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358"/>
  <sheetViews>
    <sheetView zoomScale="90" zoomScaleNormal="90" workbookViewId="0">
      <pane xSplit="2" ySplit="3" topLeftCell="N4" activePane="bottomRight" state="frozen"/>
      <selection pane="topRight" activeCell="C1" sqref="C1"/>
      <selection pane="bottomLeft" activeCell="A4" sqref="A4"/>
      <selection pane="bottomRight" activeCell="S35" sqref="S35"/>
    </sheetView>
  </sheetViews>
  <sheetFormatPr defaultRowHeight="15"/>
  <cols>
    <col min="1" max="1" width="8.88671875" style="888"/>
    <col min="2" max="2" width="14.77734375" customWidth="1"/>
    <col min="3" max="17" width="8.88671875" customWidth="1"/>
  </cols>
  <sheetData>
    <row r="1" spans="1:36">
      <c r="A1" s="879"/>
      <c r="B1" s="360"/>
      <c r="C1" s="361" t="s">
        <v>95</v>
      </c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3"/>
      <c r="S1" s="361" t="s">
        <v>52</v>
      </c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</row>
    <row r="2" spans="1:36">
      <c r="A2" s="880"/>
      <c r="B2" s="366"/>
      <c r="C2" s="367" t="s">
        <v>96</v>
      </c>
      <c r="D2" s="368"/>
      <c r="E2" s="368"/>
      <c r="F2" s="368"/>
      <c r="G2" s="368"/>
      <c r="H2" s="368"/>
      <c r="I2" s="368"/>
      <c r="J2" s="369" t="s">
        <v>97</v>
      </c>
      <c r="K2" s="370"/>
      <c r="L2" s="370"/>
      <c r="M2" s="370"/>
      <c r="N2" s="372"/>
      <c r="O2" s="369" t="s">
        <v>110</v>
      </c>
      <c r="P2" s="370"/>
      <c r="Q2" s="368"/>
      <c r="R2" s="357"/>
      <c r="S2" s="367" t="s">
        <v>96</v>
      </c>
      <c r="T2" s="373"/>
      <c r="U2" s="373"/>
      <c r="V2" s="889"/>
      <c r="W2" s="373"/>
      <c r="X2" s="373"/>
      <c r="Y2" s="373"/>
      <c r="Z2" s="374" t="s">
        <v>97</v>
      </c>
      <c r="AA2" s="375"/>
      <c r="AB2" s="375"/>
      <c r="AC2" s="375"/>
      <c r="AD2" s="375"/>
      <c r="AE2" s="377"/>
      <c r="AF2" s="374" t="s">
        <v>110</v>
      </c>
      <c r="AG2" s="375"/>
      <c r="AH2" s="373"/>
    </row>
    <row r="3" spans="1:36" ht="25.5">
      <c r="A3" s="881"/>
      <c r="B3" s="379"/>
      <c r="C3" s="380">
        <v>1</v>
      </c>
      <c r="D3" s="381">
        <v>2</v>
      </c>
      <c r="E3" s="381">
        <v>3</v>
      </c>
      <c r="F3" s="381">
        <v>4</v>
      </c>
      <c r="G3" s="381">
        <v>5</v>
      </c>
      <c r="H3" s="381">
        <v>6</v>
      </c>
      <c r="I3" s="382" t="s">
        <v>119</v>
      </c>
      <c r="J3" s="383" t="s">
        <v>111</v>
      </c>
      <c r="K3" s="381">
        <v>1</v>
      </c>
      <c r="L3" s="381">
        <v>2</v>
      </c>
      <c r="M3" s="381">
        <v>3</v>
      </c>
      <c r="N3" s="382" t="s">
        <v>121</v>
      </c>
      <c r="O3" s="383">
        <v>1</v>
      </c>
      <c r="P3" s="383">
        <v>2</v>
      </c>
      <c r="Q3" s="384" t="s">
        <v>113</v>
      </c>
      <c r="R3" s="385"/>
      <c r="S3" s="386">
        <v>1</v>
      </c>
      <c r="T3" s="387">
        <v>2</v>
      </c>
      <c r="U3" s="387">
        <v>3</v>
      </c>
      <c r="V3" s="387">
        <v>4</v>
      </c>
      <c r="W3" s="387">
        <v>5</v>
      </c>
      <c r="X3" s="387">
        <v>6</v>
      </c>
      <c r="Y3" s="388" t="s">
        <v>98</v>
      </c>
      <c r="Z3" s="389" t="s">
        <v>111</v>
      </c>
      <c r="AA3" s="387">
        <v>1</v>
      </c>
      <c r="AB3" s="387">
        <v>2</v>
      </c>
      <c r="AC3" s="387">
        <v>3</v>
      </c>
      <c r="AD3" s="389" t="s">
        <v>216</v>
      </c>
      <c r="AE3" s="388" t="s">
        <v>113</v>
      </c>
      <c r="AF3" s="389">
        <v>1</v>
      </c>
      <c r="AG3" s="389">
        <v>2</v>
      </c>
      <c r="AH3" s="390" t="s">
        <v>113</v>
      </c>
    </row>
    <row r="4" spans="1:36">
      <c r="A4" s="882" t="s">
        <v>128</v>
      </c>
      <c r="B4" s="240" t="s">
        <v>53</v>
      </c>
      <c r="C4" s="613">
        <f>IF(S9&gt;0,(S4/S9),0)</f>
        <v>0.34446151535804637</v>
      </c>
      <c r="D4" s="614">
        <f t="shared" ref="D4:M4" si="0">IF(T9&gt;0,(T4/T9),0)</f>
        <v>0.27891896089775947</v>
      </c>
      <c r="E4" s="614">
        <f t="shared" si="0"/>
        <v>0.27514766521787587</v>
      </c>
      <c r="F4" s="614">
        <f t="shared" si="0"/>
        <v>0.27111051003330344</v>
      </c>
      <c r="G4" s="614">
        <f t="shared" si="0"/>
        <v>0.24364092328164186</v>
      </c>
      <c r="H4" s="615">
        <f t="shared" si="0"/>
        <v>0.25856905158069882</v>
      </c>
      <c r="I4" s="613">
        <f t="shared" si="0"/>
        <v>0.29745874163651903</v>
      </c>
      <c r="J4" s="613">
        <f t="shared" si="0"/>
        <v>0</v>
      </c>
      <c r="K4" s="614">
        <f t="shared" si="0"/>
        <v>0</v>
      </c>
      <c r="L4" s="614">
        <f t="shared" si="0"/>
        <v>0</v>
      </c>
      <c r="M4" s="614">
        <f t="shared" si="0"/>
        <v>0</v>
      </c>
      <c r="N4" s="613">
        <f>IF(AE9&gt;0,(AE4/AE9),0)</f>
        <v>0.15001142961642208</v>
      </c>
      <c r="O4" s="613">
        <f t="shared" ref="O4:Q4" si="1">IF(AF9&gt;0,(AF4/AF9),0)</f>
        <v>0</v>
      </c>
      <c r="P4" s="615">
        <f t="shared" si="1"/>
        <v>0</v>
      </c>
      <c r="Q4" s="613">
        <f t="shared" si="1"/>
        <v>5.4750482219694349E-2</v>
      </c>
      <c r="R4" s="391"/>
      <c r="S4" s="797">
        <f>S10+S129+S213+S291+S351</f>
        <v>59638</v>
      </c>
      <c r="T4" s="797">
        <f t="shared" ref="T4:AH4" si="2">T10+T129+T213+T291+T351</f>
        <v>14366</v>
      </c>
      <c r="U4" s="797">
        <f t="shared" si="2"/>
        <v>24689</v>
      </c>
      <c r="V4" s="797">
        <f t="shared" si="2"/>
        <v>16037</v>
      </c>
      <c r="W4" s="797">
        <f t="shared" si="2"/>
        <v>9521</v>
      </c>
      <c r="X4" s="797">
        <f t="shared" si="2"/>
        <v>10101</v>
      </c>
      <c r="Y4" s="797">
        <f t="shared" si="2"/>
        <v>134352</v>
      </c>
      <c r="Z4" s="797">
        <f t="shared" si="2"/>
        <v>0</v>
      </c>
      <c r="AA4" s="797">
        <f t="shared" si="2"/>
        <v>0</v>
      </c>
      <c r="AB4" s="797">
        <f t="shared" si="2"/>
        <v>0</v>
      </c>
      <c r="AC4" s="797">
        <f t="shared" si="2"/>
        <v>0</v>
      </c>
      <c r="AD4" s="797">
        <f t="shared" si="2"/>
        <v>0</v>
      </c>
      <c r="AE4" s="797">
        <f t="shared" si="2"/>
        <v>16406</v>
      </c>
      <c r="AF4" s="797">
        <f t="shared" si="2"/>
        <v>0</v>
      </c>
      <c r="AG4" s="797">
        <f t="shared" si="2"/>
        <v>0</v>
      </c>
      <c r="AH4" s="797">
        <f t="shared" si="2"/>
        <v>1107</v>
      </c>
    </row>
    <row r="5" spans="1:36">
      <c r="A5" s="883"/>
      <c r="B5" s="239" t="s">
        <v>93</v>
      </c>
      <c r="C5" s="624">
        <f>IF(S9&gt;0,(S5/S9),0)</f>
        <v>0.25010107777790613</v>
      </c>
      <c r="D5" s="625">
        <f t="shared" ref="D5:M5" si="3">IF(T9&gt;0,(T5/T9),0)</f>
        <v>0.28029744107482624</v>
      </c>
      <c r="E5" s="625">
        <f t="shared" si="3"/>
        <v>0.27826813774657305</v>
      </c>
      <c r="F5" s="625">
        <f t="shared" si="3"/>
        <v>0.27450847801464001</v>
      </c>
      <c r="G5" s="625">
        <f t="shared" si="3"/>
        <v>0.26848866369824453</v>
      </c>
      <c r="H5" s="626">
        <f t="shared" si="3"/>
        <v>0.26601817483681045</v>
      </c>
      <c r="I5" s="624">
        <f t="shared" si="3"/>
        <v>0.26530445063387548</v>
      </c>
      <c r="J5" s="624">
        <f t="shared" si="3"/>
        <v>0</v>
      </c>
      <c r="K5" s="625">
        <f t="shared" si="3"/>
        <v>0</v>
      </c>
      <c r="L5" s="625">
        <f t="shared" si="3"/>
        <v>0</v>
      </c>
      <c r="M5" s="625">
        <f t="shared" si="3"/>
        <v>0</v>
      </c>
      <c r="N5" s="624">
        <f>IF(AE9&gt;0,(AE5/AE9),0)</f>
        <v>0.11226626434416861</v>
      </c>
      <c r="O5" s="624">
        <f t="shared" ref="O5:Q5" si="4">IF(AF9&gt;0,(AF5/AF9),0)</f>
        <v>0</v>
      </c>
      <c r="P5" s="626">
        <f t="shared" si="4"/>
        <v>0</v>
      </c>
      <c r="Q5" s="624">
        <f t="shared" si="4"/>
        <v>1.9832830505959742E-2</v>
      </c>
      <c r="R5" s="391"/>
      <c r="S5" s="797">
        <f t="shared" ref="S5:AH7" si="5">S11+S130+S214+S292+S352</f>
        <v>43301</v>
      </c>
      <c r="T5" s="797">
        <f t="shared" si="5"/>
        <v>14437</v>
      </c>
      <c r="U5" s="797">
        <f t="shared" si="5"/>
        <v>24969</v>
      </c>
      <c r="V5" s="797">
        <f t="shared" si="5"/>
        <v>16238</v>
      </c>
      <c r="W5" s="797">
        <f t="shared" si="5"/>
        <v>10492</v>
      </c>
      <c r="X5" s="797">
        <f t="shared" si="5"/>
        <v>10392</v>
      </c>
      <c r="Y5" s="797">
        <f t="shared" si="5"/>
        <v>119829</v>
      </c>
      <c r="Z5" s="797">
        <f t="shared" si="5"/>
        <v>0</v>
      </c>
      <c r="AA5" s="797">
        <f t="shared" si="5"/>
        <v>0</v>
      </c>
      <c r="AB5" s="797">
        <f t="shared" si="5"/>
        <v>0</v>
      </c>
      <c r="AC5" s="797">
        <f t="shared" si="5"/>
        <v>0</v>
      </c>
      <c r="AD5" s="797">
        <f t="shared" si="5"/>
        <v>0</v>
      </c>
      <c r="AE5" s="797">
        <f t="shared" si="5"/>
        <v>12278</v>
      </c>
      <c r="AF5" s="797">
        <f t="shared" si="5"/>
        <v>0</v>
      </c>
      <c r="AG5" s="797">
        <f t="shared" si="5"/>
        <v>0</v>
      </c>
      <c r="AH5" s="797">
        <f t="shared" si="5"/>
        <v>401</v>
      </c>
    </row>
    <row r="6" spans="1:36">
      <c r="A6" s="883"/>
      <c r="B6" s="239" t="s">
        <v>55</v>
      </c>
      <c r="C6" s="624">
        <f>IF(S9&gt;0,(S6/S9),0)</f>
        <v>0.20874005105871751</v>
      </c>
      <c r="D6" s="625">
        <f t="shared" ref="D6:M6" si="6">IF(T9&gt;0,(T6/T9),0)</f>
        <v>0.24010794858851395</v>
      </c>
      <c r="E6" s="625">
        <f t="shared" si="6"/>
        <v>0.26016939708012926</v>
      </c>
      <c r="F6" s="625">
        <f t="shared" si="6"/>
        <v>0.30246986627897149</v>
      </c>
      <c r="G6" s="625">
        <f t="shared" si="6"/>
        <v>0.30226726035109269</v>
      </c>
      <c r="H6" s="626">
        <f t="shared" si="6"/>
        <v>0.30344297964930245</v>
      </c>
      <c r="I6" s="624">
        <f t="shared" si="6"/>
        <v>0.25109262153892475</v>
      </c>
      <c r="J6" s="624">
        <f t="shared" si="6"/>
        <v>0</v>
      </c>
      <c r="K6" s="625">
        <f t="shared" si="6"/>
        <v>0</v>
      </c>
      <c r="L6" s="625">
        <f t="shared" si="6"/>
        <v>0</v>
      </c>
      <c r="M6" s="625">
        <f t="shared" si="6"/>
        <v>0</v>
      </c>
      <c r="N6" s="624">
        <f>IF(AE9&gt;0,(AE6/AE9),0)</f>
        <v>0.12981301147533489</v>
      </c>
      <c r="O6" s="624">
        <f t="shared" ref="O6:Q6" si="7">IF(AF9&gt;0,(AF6/AF9),0)</f>
        <v>0</v>
      </c>
      <c r="P6" s="626">
        <f t="shared" si="7"/>
        <v>0</v>
      </c>
      <c r="Q6" s="624">
        <f t="shared" si="7"/>
        <v>2.7993471487214996E-2</v>
      </c>
      <c r="R6" s="391"/>
      <c r="S6" s="797">
        <f t="shared" si="5"/>
        <v>36140</v>
      </c>
      <c r="T6" s="797">
        <f t="shared" si="5"/>
        <v>12367</v>
      </c>
      <c r="U6" s="797">
        <f t="shared" si="5"/>
        <v>23345</v>
      </c>
      <c r="V6" s="797">
        <f t="shared" si="5"/>
        <v>17892</v>
      </c>
      <c r="W6" s="797">
        <f t="shared" si="5"/>
        <v>11812</v>
      </c>
      <c r="X6" s="797">
        <f t="shared" si="5"/>
        <v>11854</v>
      </c>
      <c r="Y6" s="797">
        <f t="shared" si="5"/>
        <v>113410</v>
      </c>
      <c r="Z6" s="797">
        <f t="shared" si="5"/>
        <v>0</v>
      </c>
      <c r="AA6" s="797">
        <f t="shared" si="5"/>
        <v>0</v>
      </c>
      <c r="AB6" s="797">
        <f t="shared" si="5"/>
        <v>0</v>
      </c>
      <c r="AC6" s="797">
        <f t="shared" si="5"/>
        <v>0</v>
      </c>
      <c r="AD6" s="797">
        <f t="shared" si="5"/>
        <v>0</v>
      </c>
      <c r="AE6" s="797">
        <f t="shared" si="5"/>
        <v>14197</v>
      </c>
      <c r="AF6" s="797">
        <f t="shared" si="5"/>
        <v>0</v>
      </c>
      <c r="AG6" s="797">
        <f t="shared" si="5"/>
        <v>0</v>
      </c>
      <c r="AH6" s="797">
        <f t="shared" si="5"/>
        <v>566</v>
      </c>
    </row>
    <row r="7" spans="1:36">
      <c r="A7" s="883"/>
      <c r="B7" s="239" t="s">
        <v>78</v>
      </c>
      <c r="C7" s="624">
        <f>IF(S9&gt;0,(S7/S9),0)</f>
        <v>5.1526563240033733E-2</v>
      </c>
      <c r="D7" s="625">
        <f t="shared" ref="D7:M7" si="8">IF(T9&gt;0,(T7/T9),0)</f>
        <v>7.8456878810235706E-2</v>
      </c>
      <c r="E7" s="625">
        <f t="shared" si="8"/>
        <v>7.7253984174746465E-2</v>
      </c>
      <c r="F7" s="625">
        <f t="shared" si="8"/>
        <v>6.9159636873869459E-2</v>
      </c>
      <c r="G7" s="625">
        <f t="shared" si="8"/>
        <v>0.10420185270484672</v>
      </c>
      <c r="H7" s="626">
        <f t="shared" si="8"/>
        <v>8.1761167285293743E-2</v>
      </c>
      <c r="I7" s="624">
        <f t="shared" si="8"/>
        <v>6.9190508030270159E-2</v>
      </c>
      <c r="J7" s="624">
        <f t="shared" si="8"/>
        <v>0</v>
      </c>
      <c r="K7" s="625">
        <f t="shared" si="8"/>
        <v>0</v>
      </c>
      <c r="L7" s="625">
        <f t="shared" si="8"/>
        <v>0</v>
      </c>
      <c r="M7" s="625">
        <f t="shared" si="8"/>
        <v>0</v>
      </c>
      <c r="N7" s="624">
        <f>IF(AE9&gt;0,(AE7/AE9),0)</f>
        <v>0.37119736661637637</v>
      </c>
      <c r="O7" s="624">
        <f t="shared" ref="O7:Q7" si="9">IF(AF9&gt;0,(AF7/AF9),0)</f>
        <v>0</v>
      </c>
      <c r="P7" s="626">
        <f t="shared" si="9"/>
        <v>0</v>
      </c>
      <c r="Q7" s="624">
        <f t="shared" si="9"/>
        <v>0.62119788317918789</v>
      </c>
      <c r="R7" s="391"/>
      <c r="S7" s="797">
        <f t="shared" si="5"/>
        <v>8921</v>
      </c>
      <c r="T7" s="797">
        <f t="shared" si="5"/>
        <v>4041</v>
      </c>
      <c r="U7" s="797">
        <f t="shared" si="5"/>
        <v>6932</v>
      </c>
      <c r="V7" s="797">
        <f t="shared" si="5"/>
        <v>4091</v>
      </c>
      <c r="W7" s="797">
        <f t="shared" si="5"/>
        <v>4072</v>
      </c>
      <c r="X7" s="797">
        <f t="shared" si="5"/>
        <v>3194</v>
      </c>
      <c r="Y7" s="797">
        <f t="shared" si="5"/>
        <v>31251</v>
      </c>
      <c r="Z7" s="797">
        <f t="shared" si="5"/>
        <v>0</v>
      </c>
      <c r="AA7" s="797">
        <f t="shared" si="5"/>
        <v>0</v>
      </c>
      <c r="AB7" s="797">
        <f t="shared" si="5"/>
        <v>0</v>
      </c>
      <c r="AC7" s="797">
        <f t="shared" si="5"/>
        <v>0</v>
      </c>
      <c r="AD7" s="797">
        <f t="shared" si="5"/>
        <v>0</v>
      </c>
      <c r="AE7" s="797">
        <f t="shared" si="5"/>
        <v>40596</v>
      </c>
      <c r="AF7" s="797">
        <f t="shared" si="5"/>
        <v>0</v>
      </c>
      <c r="AG7" s="797">
        <f t="shared" si="5"/>
        <v>0</v>
      </c>
      <c r="AH7" s="797">
        <f t="shared" si="5"/>
        <v>12560</v>
      </c>
    </row>
    <row r="8" spans="1:36">
      <c r="A8" s="884"/>
      <c r="B8" s="580" t="s">
        <v>131</v>
      </c>
      <c r="C8" s="624">
        <f>IF(S9&gt;0,(S8/S9),0)</f>
        <v>0.14517079256529625</v>
      </c>
      <c r="D8" s="625">
        <f t="shared" ref="D8:M8" si="10">IF(T9&gt;0,(T8/T9),0)</f>
        <v>0.12221877062866462</v>
      </c>
      <c r="E8" s="625">
        <f t="shared" si="10"/>
        <v>0.10916081578067537</v>
      </c>
      <c r="F8" s="625">
        <f t="shared" si="10"/>
        <v>8.2751508799215598E-2</v>
      </c>
      <c r="G8" s="625">
        <f t="shared" si="10"/>
        <v>8.1401299964174209E-2</v>
      </c>
      <c r="H8" s="626">
        <f t="shared" si="10"/>
        <v>9.020862664789453E-2</v>
      </c>
      <c r="I8" s="624">
        <f t="shared" si="10"/>
        <v>0.11695367816041057</v>
      </c>
      <c r="J8" s="624">
        <f t="shared" si="10"/>
        <v>0</v>
      </c>
      <c r="K8" s="625">
        <f t="shared" si="10"/>
        <v>0</v>
      </c>
      <c r="L8" s="625">
        <f t="shared" si="10"/>
        <v>0</v>
      </c>
      <c r="M8" s="625">
        <f t="shared" si="10"/>
        <v>0</v>
      </c>
      <c r="N8" s="624">
        <f>IF(AE9&gt;0,(AE8/AE9),0)</f>
        <v>0.2367302153339734</v>
      </c>
      <c r="O8" s="624">
        <f t="shared" ref="O8:Q8" si="11">IF(AF9&gt;0,(AF8/AF9),0)</f>
        <v>0</v>
      </c>
      <c r="P8" s="626">
        <f t="shared" si="11"/>
        <v>0</v>
      </c>
      <c r="Q8" s="624">
        <f t="shared" si="11"/>
        <v>0.27622533260794302</v>
      </c>
      <c r="R8" s="391"/>
      <c r="S8" s="797">
        <f>S14+S15+S133+S217+S295+S355</f>
        <v>25134</v>
      </c>
      <c r="T8" s="797">
        <f t="shared" ref="T8:AH8" si="12">T14+T15+T133+T217+T295+T355</f>
        <v>6295</v>
      </c>
      <c r="U8" s="797">
        <f t="shared" si="12"/>
        <v>9795</v>
      </c>
      <c r="V8" s="797">
        <f>V14+V15+V133+V217+V295+V355</f>
        <v>4895</v>
      </c>
      <c r="W8" s="797">
        <f t="shared" si="12"/>
        <v>3181</v>
      </c>
      <c r="X8" s="797">
        <f t="shared" si="12"/>
        <v>3524</v>
      </c>
      <c r="Y8" s="797">
        <f t="shared" si="12"/>
        <v>52824</v>
      </c>
      <c r="Z8" s="797">
        <f t="shared" si="12"/>
        <v>0</v>
      </c>
      <c r="AA8" s="797">
        <f t="shared" si="12"/>
        <v>0</v>
      </c>
      <c r="AB8" s="797">
        <f t="shared" si="12"/>
        <v>0</v>
      </c>
      <c r="AC8" s="797">
        <f t="shared" si="12"/>
        <v>0</v>
      </c>
      <c r="AD8" s="797">
        <f t="shared" si="12"/>
        <v>0</v>
      </c>
      <c r="AE8" s="797">
        <f t="shared" si="12"/>
        <v>25890</v>
      </c>
      <c r="AF8" s="797">
        <f t="shared" si="12"/>
        <v>0</v>
      </c>
      <c r="AG8" s="797">
        <f t="shared" si="12"/>
        <v>0</v>
      </c>
      <c r="AH8" s="797">
        <f t="shared" si="12"/>
        <v>5585</v>
      </c>
    </row>
    <row r="9" spans="1:36">
      <c r="A9" s="885" t="s">
        <v>86</v>
      </c>
      <c r="B9" s="436" t="s">
        <v>59</v>
      </c>
      <c r="C9" s="577">
        <f>IF(S9&gt;0,(S9/S9),0)</f>
        <v>1</v>
      </c>
      <c r="D9" s="578">
        <f t="shared" ref="D9:M9" si="13">IF(T9&gt;0,(T9/T9),0)</f>
        <v>1</v>
      </c>
      <c r="E9" s="578">
        <f t="shared" si="13"/>
        <v>1</v>
      </c>
      <c r="F9" s="578">
        <f t="shared" si="13"/>
        <v>1</v>
      </c>
      <c r="G9" s="578">
        <f t="shared" si="13"/>
        <v>1</v>
      </c>
      <c r="H9" s="579">
        <f t="shared" si="13"/>
        <v>1</v>
      </c>
      <c r="I9" s="577">
        <f t="shared" si="13"/>
        <v>1</v>
      </c>
      <c r="J9" s="577">
        <f t="shared" si="13"/>
        <v>0</v>
      </c>
      <c r="K9" s="578">
        <f t="shared" si="13"/>
        <v>0</v>
      </c>
      <c r="L9" s="578">
        <f t="shared" si="13"/>
        <v>0</v>
      </c>
      <c r="M9" s="578">
        <f t="shared" si="13"/>
        <v>0</v>
      </c>
      <c r="N9" s="577">
        <f>IF(AE9&gt;0,(AE9/AE9),0)</f>
        <v>1</v>
      </c>
      <c r="O9" s="577">
        <f t="shared" ref="O9:Q9" si="14">IF(AF9&gt;0,(AF9/AF9),0)</f>
        <v>0</v>
      </c>
      <c r="P9" s="579">
        <f t="shared" si="14"/>
        <v>0</v>
      </c>
      <c r="Q9" s="577">
        <f t="shared" si="14"/>
        <v>1</v>
      </c>
      <c r="R9" s="391"/>
      <c r="S9" s="797">
        <f>S16+S134+S218+S296+S356</f>
        <v>173134</v>
      </c>
      <c r="T9" s="797">
        <f t="shared" ref="T9:AH9" si="15">T16+T134+T218+T296+T356</f>
        <v>51506</v>
      </c>
      <c r="U9" s="797">
        <f t="shared" si="15"/>
        <v>89730</v>
      </c>
      <c r="V9" s="797">
        <f t="shared" si="15"/>
        <v>59153</v>
      </c>
      <c r="W9" s="797">
        <f t="shared" si="15"/>
        <v>39078</v>
      </c>
      <c r="X9" s="797">
        <f t="shared" si="15"/>
        <v>39065</v>
      </c>
      <c r="Y9" s="797">
        <f t="shared" si="15"/>
        <v>451666</v>
      </c>
      <c r="Z9" s="797">
        <f t="shared" si="15"/>
        <v>0</v>
      </c>
      <c r="AA9" s="797">
        <f t="shared" si="15"/>
        <v>0</v>
      </c>
      <c r="AB9" s="797">
        <f t="shared" si="15"/>
        <v>0</v>
      </c>
      <c r="AC9" s="797">
        <f t="shared" si="15"/>
        <v>0</v>
      </c>
      <c r="AD9" s="797">
        <f t="shared" si="15"/>
        <v>0</v>
      </c>
      <c r="AE9" s="797">
        <f t="shared" si="15"/>
        <v>109365</v>
      </c>
      <c r="AF9" s="797">
        <f t="shared" si="15"/>
        <v>0</v>
      </c>
      <c r="AG9" s="797">
        <f t="shared" si="15"/>
        <v>0</v>
      </c>
      <c r="AH9" s="797">
        <f t="shared" si="15"/>
        <v>20219</v>
      </c>
    </row>
    <row r="10" spans="1:36">
      <c r="A10" s="883" t="s">
        <v>3</v>
      </c>
      <c r="B10" s="240" t="s">
        <v>53</v>
      </c>
      <c r="C10" s="613">
        <f t="shared" ref="C10:M16" si="16">IF(S$16&gt;0,(S10/S$16),0)</f>
        <v>0.31270207086366125</v>
      </c>
      <c r="D10" s="614">
        <f t="shared" si="16"/>
        <v>0.24957829631712117</v>
      </c>
      <c r="E10" s="614">
        <f t="shared" si="16"/>
        <v>0.23115802407081623</v>
      </c>
      <c r="F10" s="614">
        <f t="shared" si="16"/>
        <v>0.27289781505186494</v>
      </c>
      <c r="G10" s="614">
        <f t="shared" si="16"/>
        <v>0.2276663146779303</v>
      </c>
      <c r="H10" s="615">
        <f t="shared" si="16"/>
        <v>0.21633249452065914</v>
      </c>
      <c r="I10" s="613">
        <f t="shared" si="16"/>
        <v>0.26796129032258065</v>
      </c>
      <c r="J10" s="613">
        <f t="shared" si="16"/>
        <v>0</v>
      </c>
      <c r="K10" s="614">
        <f t="shared" si="16"/>
        <v>0</v>
      </c>
      <c r="L10" s="614">
        <f t="shared" si="16"/>
        <v>0</v>
      </c>
      <c r="M10" s="614">
        <f t="shared" si="16"/>
        <v>0</v>
      </c>
      <c r="N10" s="613">
        <f t="shared" ref="N10:Q16" si="17">IF(AE$16&gt;0,(AE10/AE$16),0)</f>
        <v>0.13742089779677877</v>
      </c>
      <c r="O10" s="788">
        <f t="shared" si="17"/>
        <v>0</v>
      </c>
      <c r="P10" s="789">
        <f t="shared" si="17"/>
        <v>0</v>
      </c>
      <c r="Q10" s="788">
        <f t="shared" si="17"/>
        <v>9.4175960346964058E-3</v>
      </c>
      <c r="R10" s="244"/>
      <c r="S10" s="590">
        <f>S17+S24+S31+S38+S45+S52+S59+S66+S73+S80+S87+S94+S101+S108+S115+S122</f>
        <v>18860</v>
      </c>
      <c r="T10" s="591">
        <f t="shared" ref="T10:AH16" si="18">T17+T24+T31+T38+T45+T52+T59+T66+T73+T80+T87+T94+T101+T108+T115+T122</f>
        <v>3551</v>
      </c>
      <c r="U10" s="591">
        <f t="shared" si="18"/>
        <v>8278</v>
      </c>
      <c r="V10" s="591">
        <f t="shared" si="18"/>
        <v>4946</v>
      </c>
      <c r="W10" s="591">
        <f t="shared" si="18"/>
        <v>3234</v>
      </c>
      <c r="X10" s="591">
        <f t="shared" si="18"/>
        <v>2665</v>
      </c>
      <c r="Y10" s="592">
        <f t="shared" si="18"/>
        <v>41534</v>
      </c>
      <c r="Z10" s="590">
        <f t="shared" si="18"/>
        <v>0</v>
      </c>
      <c r="AA10" s="591">
        <f t="shared" si="18"/>
        <v>0</v>
      </c>
      <c r="AB10" s="591">
        <f t="shared" si="18"/>
        <v>0</v>
      </c>
      <c r="AC10" s="591">
        <f t="shared" si="18"/>
        <v>0</v>
      </c>
      <c r="AD10" s="593">
        <f t="shared" si="18"/>
        <v>0</v>
      </c>
      <c r="AE10" s="592">
        <f t="shared" si="18"/>
        <v>6493</v>
      </c>
      <c r="AF10" s="590">
        <f t="shared" si="18"/>
        <v>0</v>
      </c>
      <c r="AG10" s="593">
        <f t="shared" si="18"/>
        <v>0</v>
      </c>
      <c r="AH10" s="591">
        <f t="shared" si="18"/>
        <v>38</v>
      </c>
      <c r="AJ10" s="80" t="s">
        <v>229</v>
      </c>
    </row>
    <row r="11" spans="1:36">
      <c r="A11" s="886"/>
      <c r="B11" s="239" t="s">
        <v>93</v>
      </c>
      <c r="C11" s="624">
        <f t="shared" si="16"/>
        <v>0.26052426508381277</v>
      </c>
      <c r="D11" s="625">
        <f t="shared" si="16"/>
        <v>0.28837503514197355</v>
      </c>
      <c r="E11" s="625">
        <f t="shared" si="16"/>
        <v>0.25911032922844934</v>
      </c>
      <c r="F11" s="625">
        <f t="shared" si="16"/>
        <v>0.26131096888104172</v>
      </c>
      <c r="G11" s="625">
        <f t="shared" si="16"/>
        <v>0.24005631819781767</v>
      </c>
      <c r="H11" s="626">
        <f t="shared" si="16"/>
        <v>0.26308953648835132</v>
      </c>
      <c r="I11" s="624">
        <f t="shared" si="16"/>
        <v>0.26117419354838711</v>
      </c>
      <c r="J11" s="624">
        <f t="shared" si="16"/>
        <v>0</v>
      </c>
      <c r="K11" s="625">
        <f t="shared" si="16"/>
        <v>0</v>
      </c>
      <c r="L11" s="625">
        <f t="shared" si="16"/>
        <v>0</v>
      </c>
      <c r="M11" s="625">
        <f t="shared" si="16"/>
        <v>0</v>
      </c>
      <c r="N11" s="624">
        <f t="shared" si="17"/>
        <v>0.11672204702745032</v>
      </c>
      <c r="O11" s="624">
        <f t="shared" si="17"/>
        <v>0</v>
      </c>
      <c r="P11" s="625">
        <f t="shared" si="17"/>
        <v>0</v>
      </c>
      <c r="Q11" s="624">
        <f t="shared" si="17"/>
        <v>1.1648079306071871E-2</v>
      </c>
      <c r="R11" s="253"/>
      <c r="S11" s="594">
        <f t="shared" ref="S11:Y16" si="19">S18+S25+S32+S39+S46+S53+S60+S67+S74+S81+S88+S95+S102+S109+S116+S123</f>
        <v>15713</v>
      </c>
      <c r="T11" s="595">
        <f t="shared" si="19"/>
        <v>4103</v>
      </c>
      <c r="U11" s="595">
        <f t="shared" si="19"/>
        <v>9279</v>
      </c>
      <c r="V11" s="595">
        <f t="shared" si="19"/>
        <v>4736</v>
      </c>
      <c r="W11" s="595">
        <f t="shared" si="19"/>
        <v>3410</v>
      </c>
      <c r="X11" s="595">
        <f t="shared" si="19"/>
        <v>3241</v>
      </c>
      <c r="Y11" s="596">
        <f t="shared" si="19"/>
        <v>40482</v>
      </c>
      <c r="Z11" s="594">
        <f t="shared" si="18"/>
        <v>0</v>
      </c>
      <c r="AA11" s="595">
        <f t="shared" si="18"/>
        <v>0</v>
      </c>
      <c r="AB11" s="595">
        <f t="shared" si="18"/>
        <v>0</v>
      </c>
      <c r="AC11" s="595">
        <f t="shared" si="18"/>
        <v>0</v>
      </c>
      <c r="AD11" s="597">
        <f t="shared" si="18"/>
        <v>0</v>
      </c>
      <c r="AE11" s="596">
        <f t="shared" si="18"/>
        <v>5515</v>
      </c>
      <c r="AF11" s="594">
        <f t="shared" si="18"/>
        <v>0</v>
      </c>
      <c r="AG11" s="597">
        <f t="shared" si="18"/>
        <v>0</v>
      </c>
      <c r="AH11" s="595">
        <f t="shared" si="18"/>
        <v>47</v>
      </c>
    </row>
    <row r="12" spans="1:36">
      <c r="A12" s="886"/>
      <c r="B12" s="239" t="s">
        <v>55</v>
      </c>
      <c r="C12" s="624">
        <f t="shared" si="16"/>
        <v>0.20451643924195448</v>
      </c>
      <c r="D12" s="625">
        <f t="shared" si="16"/>
        <v>0.25372504919876299</v>
      </c>
      <c r="E12" s="625">
        <f t="shared" si="16"/>
        <v>0.28251096031945494</v>
      </c>
      <c r="F12" s="625">
        <f t="shared" si="16"/>
        <v>0.31582432134186716</v>
      </c>
      <c r="G12" s="625">
        <f t="shared" si="16"/>
        <v>0.2852516719464977</v>
      </c>
      <c r="H12" s="626">
        <f t="shared" si="16"/>
        <v>0.32664989041318288</v>
      </c>
      <c r="I12" s="624">
        <f t="shared" si="16"/>
        <v>0.25717419354838711</v>
      </c>
      <c r="J12" s="624">
        <f t="shared" si="16"/>
        <v>0</v>
      </c>
      <c r="K12" s="625">
        <f t="shared" si="16"/>
        <v>0</v>
      </c>
      <c r="L12" s="625">
        <f t="shared" si="16"/>
        <v>0</v>
      </c>
      <c r="M12" s="625">
        <f t="shared" si="16"/>
        <v>0</v>
      </c>
      <c r="N12" s="624">
        <f t="shared" si="17"/>
        <v>0.12313488116150606</v>
      </c>
      <c r="O12" s="624">
        <f t="shared" si="17"/>
        <v>0</v>
      </c>
      <c r="P12" s="625">
        <f t="shared" si="17"/>
        <v>0</v>
      </c>
      <c r="Q12" s="624">
        <f t="shared" si="17"/>
        <v>1.6109045848822799E-2</v>
      </c>
      <c r="R12" s="253"/>
      <c r="S12" s="594">
        <f t="shared" si="19"/>
        <v>12335</v>
      </c>
      <c r="T12" s="595">
        <f t="shared" si="19"/>
        <v>3610</v>
      </c>
      <c r="U12" s="595">
        <f t="shared" si="19"/>
        <v>10117</v>
      </c>
      <c r="V12" s="595">
        <f t="shared" si="19"/>
        <v>5724</v>
      </c>
      <c r="W12" s="595">
        <f t="shared" si="19"/>
        <v>4052</v>
      </c>
      <c r="X12" s="595">
        <f t="shared" si="19"/>
        <v>4024</v>
      </c>
      <c r="Y12" s="596">
        <f t="shared" si="19"/>
        <v>39862</v>
      </c>
      <c r="Z12" s="594">
        <f t="shared" si="18"/>
        <v>0</v>
      </c>
      <c r="AA12" s="595">
        <f t="shared" si="18"/>
        <v>0</v>
      </c>
      <c r="AB12" s="595">
        <f t="shared" si="18"/>
        <v>0</v>
      </c>
      <c r="AC12" s="595">
        <f t="shared" si="18"/>
        <v>0</v>
      </c>
      <c r="AD12" s="597">
        <f t="shared" si="18"/>
        <v>0</v>
      </c>
      <c r="AE12" s="596">
        <f t="shared" si="18"/>
        <v>5818</v>
      </c>
      <c r="AF12" s="594">
        <f t="shared" si="18"/>
        <v>0</v>
      </c>
      <c r="AG12" s="597">
        <f t="shared" si="18"/>
        <v>0</v>
      </c>
      <c r="AH12" s="595">
        <f t="shared" si="18"/>
        <v>65</v>
      </c>
    </row>
    <row r="13" spans="1:36">
      <c r="A13" s="886"/>
      <c r="B13" s="239" t="s">
        <v>78</v>
      </c>
      <c r="C13" s="624">
        <f t="shared" si="16"/>
        <v>6.3319682323877108E-2</v>
      </c>
      <c r="D13" s="625">
        <f t="shared" si="16"/>
        <v>8.5394995782963168E-2</v>
      </c>
      <c r="E13" s="625">
        <f t="shared" si="16"/>
        <v>0.10803942922565692</v>
      </c>
      <c r="F13" s="625">
        <f t="shared" si="16"/>
        <v>8.3866696093577581E-2</v>
      </c>
      <c r="G13" s="625">
        <f t="shared" si="16"/>
        <v>0.16149243224216825</v>
      </c>
      <c r="H13" s="626">
        <f t="shared" si="16"/>
        <v>0.14043347674324214</v>
      </c>
      <c r="I13" s="624">
        <f t="shared" si="16"/>
        <v>9.3206451612903224E-2</v>
      </c>
      <c r="J13" s="624">
        <f t="shared" si="16"/>
        <v>0</v>
      </c>
      <c r="K13" s="625">
        <f t="shared" si="16"/>
        <v>0</v>
      </c>
      <c r="L13" s="625">
        <f t="shared" si="16"/>
        <v>0</v>
      </c>
      <c r="M13" s="625">
        <f t="shared" si="16"/>
        <v>0</v>
      </c>
      <c r="N13" s="624">
        <f t="shared" si="17"/>
        <v>0.2887045228470444</v>
      </c>
      <c r="O13" s="624">
        <f t="shared" si="17"/>
        <v>0</v>
      </c>
      <c r="P13" s="625">
        <f t="shared" si="17"/>
        <v>0</v>
      </c>
      <c r="Q13" s="624">
        <f t="shared" si="17"/>
        <v>0.44560099132589837</v>
      </c>
      <c r="R13" s="253"/>
      <c r="S13" s="594">
        <f t="shared" si="19"/>
        <v>3819</v>
      </c>
      <c r="T13" s="595">
        <f t="shared" si="19"/>
        <v>1215</v>
      </c>
      <c r="U13" s="595">
        <f t="shared" si="19"/>
        <v>3869</v>
      </c>
      <c r="V13" s="595">
        <f t="shared" si="19"/>
        <v>1520</v>
      </c>
      <c r="W13" s="595">
        <f t="shared" si="19"/>
        <v>2294</v>
      </c>
      <c r="X13" s="595">
        <f t="shared" si="19"/>
        <v>1730</v>
      </c>
      <c r="Y13" s="596">
        <f t="shared" si="19"/>
        <v>14447</v>
      </c>
      <c r="Z13" s="594">
        <f t="shared" si="18"/>
        <v>0</v>
      </c>
      <c r="AA13" s="595">
        <f t="shared" si="18"/>
        <v>0</v>
      </c>
      <c r="AB13" s="595">
        <f t="shared" si="18"/>
        <v>0</v>
      </c>
      <c r="AC13" s="595">
        <f t="shared" si="18"/>
        <v>0</v>
      </c>
      <c r="AD13" s="597">
        <f t="shared" si="18"/>
        <v>0</v>
      </c>
      <c r="AE13" s="596">
        <f t="shared" si="18"/>
        <v>13641</v>
      </c>
      <c r="AF13" s="594">
        <f t="shared" si="18"/>
        <v>0</v>
      </c>
      <c r="AG13" s="597">
        <f t="shared" si="18"/>
        <v>0</v>
      </c>
      <c r="AH13" s="595">
        <f t="shared" si="18"/>
        <v>1798</v>
      </c>
    </row>
    <row r="14" spans="1:36">
      <c r="A14" s="886"/>
      <c r="B14" s="239" t="s">
        <v>32</v>
      </c>
      <c r="C14" s="624">
        <f t="shared" si="16"/>
        <v>0.11163430769485849</v>
      </c>
      <c r="D14" s="625">
        <f t="shared" si="16"/>
        <v>8.7222378408771437E-2</v>
      </c>
      <c r="E14" s="625">
        <f t="shared" si="16"/>
        <v>9.1228951997989444E-2</v>
      </c>
      <c r="F14" s="625">
        <f t="shared" si="16"/>
        <v>4.888545574928272E-2</v>
      </c>
      <c r="G14" s="625">
        <f t="shared" si="16"/>
        <v>3.7944385779655053E-2</v>
      </c>
      <c r="H14" s="626">
        <f t="shared" si="16"/>
        <v>2.1511486321941716E-2</v>
      </c>
      <c r="I14" s="624">
        <f t="shared" si="16"/>
        <v>8.3425806451612905E-2</v>
      </c>
      <c r="J14" s="624">
        <f t="shared" si="16"/>
        <v>0</v>
      </c>
      <c r="K14" s="625">
        <f t="shared" si="16"/>
        <v>0</v>
      </c>
      <c r="L14" s="625">
        <f t="shared" si="16"/>
        <v>0</v>
      </c>
      <c r="M14" s="625">
        <f t="shared" si="16"/>
        <v>0</v>
      </c>
      <c r="N14" s="624">
        <f t="shared" si="17"/>
        <v>5.904886875912718E-3</v>
      </c>
      <c r="O14" s="624">
        <f t="shared" si="17"/>
        <v>0</v>
      </c>
      <c r="P14" s="790">
        <f t="shared" si="17"/>
        <v>0</v>
      </c>
      <c r="Q14" s="791">
        <f t="shared" si="17"/>
        <v>7.4349442379182155E-4</v>
      </c>
      <c r="R14" s="253"/>
      <c r="S14" s="594">
        <f t="shared" si="19"/>
        <v>6733</v>
      </c>
      <c r="T14" s="595">
        <f t="shared" si="19"/>
        <v>1241</v>
      </c>
      <c r="U14" s="595">
        <f t="shared" si="19"/>
        <v>3267</v>
      </c>
      <c r="V14" s="595">
        <f t="shared" si="19"/>
        <v>886</v>
      </c>
      <c r="W14" s="595">
        <f t="shared" si="19"/>
        <v>539</v>
      </c>
      <c r="X14" s="595">
        <f t="shared" si="19"/>
        <v>265</v>
      </c>
      <c r="Y14" s="596">
        <f t="shared" si="19"/>
        <v>12931</v>
      </c>
      <c r="Z14" s="594">
        <f t="shared" si="18"/>
        <v>0</v>
      </c>
      <c r="AA14" s="595">
        <f t="shared" si="18"/>
        <v>0</v>
      </c>
      <c r="AB14" s="595">
        <f t="shared" si="18"/>
        <v>0</v>
      </c>
      <c r="AC14" s="595">
        <f t="shared" si="18"/>
        <v>0</v>
      </c>
      <c r="AD14" s="597">
        <f t="shared" si="18"/>
        <v>0</v>
      </c>
      <c r="AE14" s="596">
        <f t="shared" si="18"/>
        <v>279</v>
      </c>
      <c r="AF14" s="594">
        <f t="shared" si="18"/>
        <v>0</v>
      </c>
      <c r="AG14" s="597">
        <f t="shared" si="18"/>
        <v>0</v>
      </c>
      <c r="AH14" s="595">
        <f t="shared" si="18"/>
        <v>3</v>
      </c>
    </row>
    <row r="15" spans="1:36">
      <c r="A15" s="886"/>
      <c r="B15" s="239" t="s">
        <v>58</v>
      </c>
      <c r="C15" s="624">
        <f t="shared" si="16"/>
        <v>4.7303234791835923E-2</v>
      </c>
      <c r="D15" s="790">
        <f t="shared" si="16"/>
        <v>3.5704245150407647E-2</v>
      </c>
      <c r="E15" s="625">
        <f t="shared" si="16"/>
        <v>2.7952305157633129E-2</v>
      </c>
      <c r="F15" s="790">
        <f t="shared" si="16"/>
        <v>1.7214742882365925E-2</v>
      </c>
      <c r="G15" s="790">
        <f t="shared" si="16"/>
        <v>4.7588877155931013E-2</v>
      </c>
      <c r="H15" s="626">
        <f t="shared" si="16"/>
        <v>3.1983115512622777E-2</v>
      </c>
      <c r="I15" s="624">
        <f t="shared" si="16"/>
        <v>3.705806451612903E-2</v>
      </c>
      <c r="J15" s="624">
        <f t="shared" si="16"/>
        <v>0</v>
      </c>
      <c r="K15" s="625">
        <f t="shared" si="16"/>
        <v>0</v>
      </c>
      <c r="L15" s="625">
        <f t="shared" si="16"/>
        <v>0</v>
      </c>
      <c r="M15" s="625">
        <f t="shared" si="16"/>
        <v>0</v>
      </c>
      <c r="N15" s="624">
        <f t="shared" si="17"/>
        <v>0.32811276429130776</v>
      </c>
      <c r="O15" s="624">
        <f t="shared" si="17"/>
        <v>0</v>
      </c>
      <c r="P15" s="625">
        <f t="shared" si="17"/>
        <v>0</v>
      </c>
      <c r="Q15" s="624">
        <f t="shared" si="17"/>
        <v>0.5164807930607187</v>
      </c>
      <c r="R15" s="253"/>
      <c r="S15" s="594">
        <f t="shared" si="19"/>
        <v>2853</v>
      </c>
      <c r="T15" s="595">
        <f t="shared" si="19"/>
        <v>508</v>
      </c>
      <c r="U15" s="595">
        <f t="shared" si="19"/>
        <v>1001</v>
      </c>
      <c r="V15" s="595">
        <f t="shared" si="19"/>
        <v>312</v>
      </c>
      <c r="W15" s="595">
        <f t="shared" si="19"/>
        <v>676</v>
      </c>
      <c r="X15" s="595">
        <f t="shared" si="19"/>
        <v>394</v>
      </c>
      <c r="Y15" s="596">
        <f t="shared" si="19"/>
        <v>5744</v>
      </c>
      <c r="Z15" s="594">
        <f t="shared" si="18"/>
        <v>0</v>
      </c>
      <c r="AA15" s="595">
        <f t="shared" si="18"/>
        <v>0</v>
      </c>
      <c r="AB15" s="595">
        <f t="shared" si="18"/>
        <v>0</v>
      </c>
      <c r="AC15" s="595">
        <f t="shared" si="18"/>
        <v>0</v>
      </c>
      <c r="AD15" s="597">
        <f t="shared" si="18"/>
        <v>0</v>
      </c>
      <c r="AE15" s="596">
        <f t="shared" si="18"/>
        <v>15503</v>
      </c>
      <c r="AF15" s="594">
        <f t="shared" si="18"/>
        <v>0</v>
      </c>
      <c r="AG15" s="597">
        <f t="shared" si="18"/>
        <v>0</v>
      </c>
      <c r="AH15" s="595">
        <f t="shared" si="18"/>
        <v>2084</v>
      </c>
    </row>
    <row r="16" spans="1:36">
      <c r="A16" s="887" t="s">
        <v>86</v>
      </c>
      <c r="B16" s="436" t="s">
        <v>59</v>
      </c>
      <c r="C16" s="577">
        <f>IF(S$16&gt;0,(S16/S$16),0)</f>
        <v>1</v>
      </c>
      <c r="D16" s="578">
        <f t="shared" si="16"/>
        <v>1</v>
      </c>
      <c r="E16" s="578">
        <f t="shared" si="16"/>
        <v>1</v>
      </c>
      <c r="F16" s="578">
        <f t="shared" si="16"/>
        <v>1</v>
      </c>
      <c r="G16" s="578">
        <f t="shared" si="16"/>
        <v>1</v>
      </c>
      <c r="H16" s="579">
        <f t="shared" si="16"/>
        <v>1</v>
      </c>
      <c r="I16" s="577">
        <f t="shared" si="16"/>
        <v>1</v>
      </c>
      <c r="J16" s="577">
        <f t="shared" si="16"/>
        <v>0</v>
      </c>
      <c r="K16" s="578">
        <f t="shared" si="16"/>
        <v>0</v>
      </c>
      <c r="L16" s="578">
        <f t="shared" si="16"/>
        <v>0</v>
      </c>
      <c r="M16" s="578">
        <f t="shared" si="16"/>
        <v>0</v>
      </c>
      <c r="N16" s="577">
        <f t="shared" si="17"/>
        <v>1</v>
      </c>
      <c r="O16" s="577">
        <f t="shared" si="17"/>
        <v>0</v>
      </c>
      <c r="P16" s="578">
        <f t="shared" si="17"/>
        <v>0</v>
      </c>
      <c r="Q16" s="577">
        <f t="shared" si="17"/>
        <v>1</v>
      </c>
      <c r="R16" s="264"/>
      <c r="S16" s="598">
        <f t="shared" si="19"/>
        <v>60313</v>
      </c>
      <c r="T16" s="599">
        <f t="shared" si="19"/>
        <v>14228</v>
      </c>
      <c r="U16" s="599">
        <f t="shared" si="19"/>
        <v>35811</v>
      </c>
      <c r="V16" s="599">
        <f t="shared" si="19"/>
        <v>18124</v>
      </c>
      <c r="W16" s="599">
        <f>W23+W30+W37+W44+W51+W58+W65+W72+W79+W86+W93+W100+W107+W114+W121+W128</f>
        <v>14205</v>
      </c>
      <c r="X16" s="599">
        <f t="shared" si="19"/>
        <v>12319</v>
      </c>
      <c r="Y16" s="600">
        <f t="shared" si="19"/>
        <v>155000</v>
      </c>
      <c r="Z16" s="598">
        <f t="shared" si="18"/>
        <v>0</v>
      </c>
      <c r="AA16" s="599">
        <f t="shared" si="18"/>
        <v>0</v>
      </c>
      <c r="AB16" s="599">
        <f t="shared" si="18"/>
        <v>0</v>
      </c>
      <c r="AC16" s="599">
        <f t="shared" si="18"/>
        <v>0</v>
      </c>
      <c r="AD16" s="601">
        <f t="shared" si="18"/>
        <v>0</v>
      </c>
      <c r="AE16" s="600">
        <f t="shared" si="18"/>
        <v>47249</v>
      </c>
      <c r="AF16" s="598">
        <f t="shared" si="18"/>
        <v>0</v>
      </c>
      <c r="AG16" s="601">
        <f t="shared" si="18"/>
        <v>0</v>
      </c>
      <c r="AH16" s="599">
        <f t="shared" si="18"/>
        <v>4035</v>
      </c>
    </row>
    <row r="17" spans="1:34">
      <c r="A17" s="883" t="s">
        <v>4</v>
      </c>
      <c r="B17" s="240" t="s">
        <v>53</v>
      </c>
      <c r="C17" s="613">
        <f t="shared" ref="C17:M23" si="20">IF(S$23&gt;0,(S17/S$23),0)</f>
        <v>0.30088141025641024</v>
      </c>
      <c r="D17" s="614">
        <f t="shared" si="20"/>
        <v>0.23387790197764402</v>
      </c>
      <c r="E17" s="614">
        <f t="shared" si="20"/>
        <v>0.20060240963855422</v>
      </c>
      <c r="F17" s="614">
        <f t="shared" si="20"/>
        <v>0.27359131025118805</v>
      </c>
      <c r="G17" s="614">
        <f t="shared" si="20"/>
        <v>0.13761467889908258</v>
      </c>
      <c r="H17" s="615">
        <f t="shared" si="20"/>
        <v>0.20281124497991967</v>
      </c>
      <c r="I17" s="613">
        <f t="shared" si="20"/>
        <v>0.24696873005743458</v>
      </c>
      <c r="J17" s="613">
        <f t="shared" si="20"/>
        <v>0</v>
      </c>
      <c r="K17" s="614">
        <f t="shared" si="20"/>
        <v>0</v>
      </c>
      <c r="L17" s="614">
        <f t="shared" si="20"/>
        <v>0</v>
      </c>
      <c r="M17" s="614">
        <f t="shared" si="20"/>
        <v>0</v>
      </c>
      <c r="N17" s="613">
        <f t="shared" ref="N17:Q23" si="21">IF(AE$23&gt;0,(AE17/AE$23),0)</f>
        <v>1.6501650165016502E-3</v>
      </c>
      <c r="O17" s="788">
        <f t="shared" si="21"/>
        <v>0</v>
      </c>
      <c r="P17" s="614">
        <f t="shared" si="21"/>
        <v>0</v>
      </c>
      <c r="Q17" s="788">
        <f t="shared" si="21"/>
        <v>0</v>
      </c>
      <c r="R17" s="244"/>
      <c r="S17" s="847">
        <v>751</v>
      </c>
      <c r="T17" s="848">
        <v>272</v>
      </c>
      <c r="U17" s="848">
        <v>333</v>
      </c>
      <c r="V17" s="848">
        <v>403</v>
      </c>
      <c r="W17" s="848">
        <v>75</v>
      </c>
      <c r="X17" s="848">
        <v>101</v>
      </c>
      <c r="Y17" s="849">
        <v>1935</v>
      </c>
      <c r="Z17" s="847"/>
      <c r="AA17" s="848"/>
      <c r="AB17" s="848"/>
      <c r="AC17" s="848"/>
      <c r="AD17" s="848"/>
      <c r="AE17" s="849">
        <v>3</v>
      </c>
      <c r="AF17" s="847"/>
      <c r="AG17" s="848"/>
      <c r="AH17" s="847"/>
    </row>
    <row r="18" spans="1:34">
      <c r="A18" s="886"/>
      <c r="B18" s="239" t="s">
        <v>93</v>
      </c>
      <c r="C18" s="624">
        <f t="shared" si="20"/>
        <v>0.29447115384615385</v>
      </c>
      <c r="D18" s="625">
        <f t="shared" si="20"/>
        <v>0.3000859845227859</v>
      </c>
      <c r="E18" s="625">
        <f t="shared" si="20"/>
        <v>0.2427710843373494</v>
      </c>
      <c r="F18" s="625">
        <f t="shared" si="20"/>
        <v>0.24711473183978275</v>
      </c>
      <c r="G18" s="625">
        <f t="shared" si="20"/>
        <v>0.15045871559633028</v>
      </c>
      <c r="H18" s="626">
        <f t="shared" si="20"/>
        <v>0.26305220883534136</v>
      </c>
      <c r="I18" s="624">
        <f t="shared" si="20"/>
        <v>0.26343331206126358</v>
      </c>
      <c r="J18" s="624">
        <f t="shared" si="20"/>
        <v>0</v>
      </c>
      <c r="K18" s="625">
        <f t="shared" si="20"/>
        <v>0</v>
      </c>
      <c r="L18" s="625">
        <f t="shared" si="20"/>
        <v>0</v>
      </c>
      <c r="M18" s="625">
        <f t="shared" si="20"/>
        <v>0</v>
      </c>
      <c r="N18" s="624">
        <f t="shared" si="21"/>
        <v>7.7007700770077006E-3</v>
      </c>
      <c r="O18" s="624">
        <f t="shared" si="21"/>
        <v>0</v>
      </c>
      <c r="P18" s="625">
        <f t="shared" si="21"/>
        <v>0</v>
      </c>
      <c r="Q18" s="624">
        <f t="shared" si="21"/>
        <v>0</v>
      </c>
      <c r="R18" s="253"/>
      <c r="S18" s="850">
        <v>735</v>
      </c>
      <c r="T18" s="851">
        <v>349</v>
      </c>
      <c r="U18" s="851">
        <v>403</v>
      </c>
      <c r="V18" s="851">
        <v>364</v>
      </c>
      <c r="W18" s="851">
        <v>82</v>
      </c>
      <c r="X18" s="851">
        <v>131</v>
      </c>
      <c r="Y18" s="852">
        <v>2064</v>
      </c>
      <c r="Z18" s="850"/>
      <c r="AA18" s="851"/>
      <c r="AB18" s="851"/>
      <c r="AC18" s="851"/>
      <c r="AD18" s="851"/>
      <c r="AE18" s="852">
        <v>14</v>
      </c>
      <c r="AF18" s="850"/>
      <c r="AG18" s="851"/>
      <c r="AH18" s="850"/>
    </row>
    <row r="19" spans="1:34">
      <c r="A19" s="886"/>
      <c r="B19" s="239" t="s">
        <v>55</v>
      </c>
      <c r="C19" s="624">
        <f t="shared" si="20"/>
        <v>0.23878205128205129</v>
      </c>
      <c r="D19" s="625">
        <f t="shared" si="20"/>
        <v>0.33361994840928633</v>
      </c>
      <c r="E19" s="625">
        <f t="shared" si="20"/>
        <v>0.32409638554216869</v>
      </c>
      <c r="F19" s="625">
        <f t="shared" si="20"/>
        <v>0.33265444670739985</v>
      </c>
      <c r="G19" s="625">
        <f t="shared" si="20"/>
        <v>0.27339449541284405</v>
      </c>
      <c r="H19" s="626">
        <f t="shared" si="20"/>
        <v>0.37550200803212852</v>
      </c>
      <c r="I19" s="624">
        <f t="shared" si="20"/>
        <v>0.29968091895341414</v>
      </c>
      <c r="J19" s="624">
        <f t="shared" si="20"/>
        <v>0</v>
      </c>
      <c r="K19" s="625">
        <f t="shared" si="20"/>
        <v>0</v>
      </c>
      <c r="L19" s="625">
        <f t="shared" si="20"/>
        <v>0</v>
      </c>
      <c r="M19" s="625">
        <f t="shared" si="20"/>
        <v>0</v>
      </c>
      <c r="N19" s="624">
        <f t="shared" si="21"/>
        <v>8.8008800880088004E-3</v>
      </c>
      <c r="O19" s="624">
        <f t="shared" si="21"/>
        <v>0</v>
      </c>
      <c r="P19" s="625">
        <f t="shared" si="21"/>
        <v>0</v>
      </c>
      <c r="Q19" s="624">
        <f t="shared" si="21"/>
        <v>0</v>
      </c>
      <c r="R19" s="253"/>
      <c r="S19" s="850">
        <v>596</v>
      </c>
      <c r="T19" s="851">
        <v>388</v>
      </c>
      <c r="U19" s="851">
        <v>538</v>
      </c>
      <c r="V19" s="851">
        <v>490</v>
      </c>
      <c r="W19" s="851">
        <v>149</v>
      </c>
      <c r="X19" s="851">
        <v>187</v>
      </c>
      <c r="Y19" s="852">
        <v>2348</v>
      </c>
      <c r="Z19" s="850"/>
      <c r="AA19" s="851"/>
      <c r="AB19" s="851"/>
      <c r="AC19" s="851"/>
      <c r="AD19" s="851"/>
      <c r="AE19" s="852">
        <v>16</v>
      </c>
      <c r="AF19" s="850"/>
      <c r="AG19" s="851"/>
      <c r="AH19" s="850"/>
    </row>
    <row r="20" spans="1:34">
      <c r="A20" s="886"/>
      <c r="B20" s="239" t="s">
        <v>78</v>
      </c>
      <c r="C20" s="624">
        <f t="shared" si="20"/>
        <v>0.13141025641025642</v>
      </c>
      <c r="D20" s="625">
        <f t="shared" si="20"/>
        <v>9.9742046431642306E-2</v>
      </c>
      <c r="E20" s="625">
        <f t="shared" si="20"/>
        <v>0.14819277108433734</v>
      </c>
      <c r="F20" s="625">
        <f t="shared" si="20"/>
        <v>0.10522742701968771</v>
      </c>
      <c r="G20" s="625">
        <f t="shared" si="20"/>
        <v>6.4220183486238536E-2</v>
      </c>
      <c r="H20" s="626">
        <f t="shared" si="20"/>
        <v>0.14457831325301204</v>
      </c>
      <c r="I20" s="624">
        <f t="shared" si="20"/>
        <v>0.12150606253988513</v>
      </c>
      <c r="J20" s="624">
        <f t="shared" si="20"/>
        <v>0</v>
      </c>
      <c r="K20" s="625">
        <f t="shared" si="20"/>
        <v>0</v>
      </c>
      <c r="L20" s="625">
        <f t="shared" si="20"/>
        <v>0</v>
      </c>
      <c r="M20" s="625">
        <f t="shared" si="20"/>
        <v>0</v>
      </c>
      <c r="N20" s="624">
        <f t="shared" si="21"/>
        <v>1.7601760176017601E-2</v>
      </c>
      <c r="O20" s="624">
        <f t="shared" si="21"/>
        <v>0</v>
      </c>
      <c r="P20" s="625">
        <f t="shared" si="21"/>
        <v>0</v>
      </c>
      <c r="Q20" s="624">
        <f t="shared" si="21"/>
        <v>0</v>
      </c>
      <c r="R20" s="253"/>
      <c r="S20" s="850">
        <v>328</v>
      </c>
      <c r="T20" s="851">
        <v>116</v>
      </c>
      <c r="U20" s="851">
        <v>246</v>
      </c>
      <c r="V20" s="851">
        <v>155</v>
      </c>
      <c r="W20" s="851">
        <v>35</v>
      </c>
      <c r="X20" s="851">
        <v>72</v>
      </c>
      <c r="Y20" s="852">
        <v>952</v>
      </c>
      <c r="Z20" s="850"/>
      <c r="AA20" s="851"/>
      <c r="AB20" s="851"/>
      <c r="AC20" s="851"/>
      <c r="AD20" s="851"/>
      <c r="AE20" s="852">
        <v>32</v>
      </c>
      <c r="AF20" s="850"/>
      <c r="AG20" s="851"/>
      <c r="AH20" s="850"/>
    </row>
    <row r="21" spans="1:34">
      <c r="A21" s="886"/>
      <c r="B21" s="239" t="s">
        <v>32</v>
      </c>
      <c r="C21" s="624">
        <f t="shared" si="20"/>
        <v>3.4054487179487176E-2</v>
      </c>
      <c r="D21" s="625">
        <f t="shared" si="20"/>
        <v>3.2674118658641442E-2</v>
      </c>
      <c r="E21" s="625">
        <f t="shared" si="20"/>
        <v>7.8915662650602403E-2</v>
      </c>
      <c r="F21" s="790">
        <f t="shared" si="20"/>
        <v>2.3761031907671419E-2</v>
      </c>
      <c r="G21" s="625">
        <f t="shared" si="20"/>
        <v>9.1743119266055051E-3</v>
      </c>
      <c r="H21" s="626">
        <f t="shared" si="20"/>
        <v>6.024096385542169E-3</v>
      </c>
      <c r="I21" s="624">
        <f t="shared" si="20"/>
        <v>3.7906828334396937E-2</v>
      </c>
      <c r="J21" s="624">
        <f t="shared" si="20"/>
        <v>0</v>
      </c>
      <c r="K21" s="625">
        <f t="shared" si="20"/>
        <v>0</v>
      </c>
      <c r="L21" s="625">
        <f t="shared" si="20"/>
        <v>0</v>
      </c>
      <c r="M21" s="625">
        <f t="shared" si="20"/>
        <v>0</v>
      </c>
      <c r="N21" s="624">
        <f t="shared" si="21"/>
        <v>0</v>
      </c>
      <c r="O21" s="624">
        <f t="shared" si="21"/>
        <v>0</v>
      </c>
      <c r="P21" s="625">
        <f t="shared" si="21"/>
        <v>0</v>
      </c>
      <c r="Q21" s="624">
        <f t="shared" si="21"/>
        <v>0</v>
      </c>
      <c r="R21" s="253"/>
      <c r="S21" s="850">
        <v>85</v>
      </c>
      <c r="T21" s="851">
        <v>38</v>
      </c>
      <c r="U21" s="851">
        <v>131</v>
      </c>
      <c r="V21" s="851">
        <v>35</v>
      </c>
      <c r="W21" s="851">
        <v>5</v>
      </c>
      <c r="X21" s="851">
        <v>3</v>
      </c>
      <c r="Y21" s="852">
        <v>297</v>
      </c>
      <c r="Z21" s="850"/>
      <c r="AA21" s="851"/>
      <c r="AB21" s="851"/>
      <c r="AC21" s="851"/>
      <c r="AD21" s="851"/>
      <c r="AE21" s="852"/>
      <c r="AF21" s="850"/>
      <c r="AG21" s="851"/>
      <c r="AH21" s="850"/>
    </row>
    <row r="22" spans="1:34">
      <c r="A22" s="886"/>
      <c r="B22" s="239" t="s">
        <v>58</v>
      </c>
      <c r="C22" s="624">
        <f t="shared" si="20"/>
        <v>4.0064102564102563E-4</v>
      </c>
      <c r="D22" s="625">
        <f t="shared" si="20"/>
        <v>0</v>
      </c>
      <c r="E22" s="792">
        <f t="shared" si="20"/>
        <v>5.4216867469879517E-3</v>
      </c>
      <c r="F22" s="625">
        <f t="shared" si="20"/>
        <v>1.7651052274270197E-2</v>
      </c>
      <c r="G22" s="790">
        <f t="shared" si="20"/>
        <v>0.3651376146788991</v>
      </c>
      <c r="H22" s="626">
        <f t="shared" si="20"/>
        <v>8.0321285140562242E-3</v>
      </c>
      <c r="I22" s="793">
        <f t="shared" si="20"/>
        <v>3.0504148053605615E-2</v>
      </c>
      <c r="J22" s="624">
        <f t="shared" si="20"/>
        <v>0</v>
      </c>
      <c r="K22" s="625">
        <f t="shared" si="20"/>
        <v>0</v>
      </c>
      <c r="L22" s="625">
        <f t="shared" si="20"/>
        <v>0</v>
      </c>
      <c r="M22" s="625">
        <f t="shared" si="20"/>
        <v>0</v>
      </c>
      <c r="N22" s="624">
        <f t="shared" si="21"/>
        <v>0.96424642464246424</v>
      </c>
      <c r="O22" s="624">
        <f t="shared" si="21"/>
        <v>0</v>
      </c>
      <c r="P22" s="625">
        <f t="shared" si="21"/>
        <v>0</v>
      </c>
      <c r="Q22" s="624">
        <f t="shared" si="21"/>
        <v>1</v>
      </c>
      <c r="R22" s="253"/>
      <c r="S22" s="850">
        <v>1</v>
      </c>
      <c r="T22" s="851"/>
      <c r="U22" s="851">
        <v>9</v>
      </c>
      <c r="V22" s="851">
        <v>26</v>
      </c>
      <c r="W22" s="851">
        <v>199</v>
      </c>
      <c r="X22" s="851">
        <v>4</v>
      </c>
      <c r="Y22" s="852">
        <v>239</v>
      </c>
      <c r="Z22" s="850"/>
      <c r="AA22" s="851"/>
      <c r="AB22" s="851"/>
      <c r="AC22" s="851"/>
      <c r="AD22" s="851"/>
      <c r="AE22" s="852">
        <v>1753</v>
      </c>
      <c r="AF22" s="850"/>
      <c r="AG22" s="851"/>
      <c r="AH22" s="850">
        <v>128</v>
      </c>
    </row>
    <row r="23" spans="1:34">
      <c r="A23" s="887"/>
      <c r="B23" s="436" t="s">
        <v>59</v>
      </c>
      <c r="C23" s="577">
        <f t="shared" si="20"/>
        <v>1</v>
      </c>
      <c r="D23" s="578">
        <f t="shared" si="20"/>
        <v>1</v>
      </c>
      <c r="E23" s="578">
        <f t="shared" si="20"/>
        <v>1</v>
      </c>
      <c r="F23" s="578">
        <f t="shared" si="20"/>
        <v>1</v>
      </c>
      <c r="G23" s="578">
        <f t="shared" si="20"/>
        <v>1</v>
      </c>
      <c r="H23" s="579">
        <f t="shared" si="20"/>
        <v>1</v>
      </c>
      <c r="I23" s="577">
        <f t="shared" si="20"/>
        <v>1</v>
      </c>
      <c r="J23" s="577">
        <f t="shared" si="20"/>
        <v>0</v>
      </c>
      <c r="K23" s="578">
        <f t="shared" si="20"/>
        <v>0</v>
      </c>
      <c r="L23" s="578">
        <f t="shared" si="20"/>
        <v>0</v>
      </c>
      <c r="M23" s="578">
        <f t="shared" si="20"/>
        <v>0</v>
      </c>
      <c r="N23" s="577">
        <f t="shared" si="21"/>
        <v>1</v>
      </c>
      <c r="O23" s="577">
        <f t="shared" si="21"/>
        <v>0</v>
      </c>
      <c r="P23" s="578">
        <f t="shared" si="21"/>
        <v>0</v>
      </c>
      <c r="Q23" s="577">
        <f t="shared" si="21"/>
        <v>1</v>
      </c>
      <c r="R23" s="264"/>
      <c r="S23" s="853">
        <v>2496</v>
      </c>
      <c r="T23" s="854">
        <v>1163</v>
      </c>
      <c r="U23" s="854">
        <v>1660</v>
      </c>
      <c r="V23" s="854">
        <v>1473</v>
      </c>
      <c r="W23" s="854">
        <v>545</v>
      </c>
      <c r="X23" s="854">
        <v>498</v>
      </c>
      <c r="Y23" s="855">
        <v>7835</v>
      </c>
      <c r="Z23" s="853"/>
      <c r="AA23" s="854"/>
      <c r="AB23" s="854"/>
      <c r="AC23" s="854"/>
      <c r="AD23" s="854"/>
      <c r="AE23" s="855">
        <v>1818</v>
      </c>
      <c r="AF23" s="853"/>
      <c r="AG23" s="854"/>
      <c r="AH23" s="853">
        <v>128</v>
      </c>
    </row>
    <row r="24" spans="1:34">
      <c r="A24" s="883" t="s">
        <v>5</v>
      </c>
      <c r="B24" s="240" t="s">
        <v>53</v>
      </c>
      <c r="C24" s="613">
        <f t="shared" ref="C24:M30" si="22">IF(S$30&gt;0,(S24/S$30),0)</f>
        <v>0.31083481349911191</v>
      </c>
      <c r="D24" s="614">
        <f t="shared" si="22"/>
        <v>0.33707865168539325</v>
      </c>
      <c r="E24" s="614">
        <f t="shared" si="22"/>
        <v>0.1781895937277263</v>
      </c>
      <c r="F24" s="614">
        <f t="shared" si="22"/>
        <v>0.23259493670886075</v>
      </c>
      <c r="G24" s="614">
        <f t="shared" si="22"/>
        <v>0.18103448275862069</v>
      </c>
      <c r="H24" s="615">
        <f t="shared" si="22"/>
        <v>0.22540473225404734</v>
      </c>
      <c r="I24" s="613">
        <f t="shared" si="22"/>
        <v>0.24132730015082957</v>
      </c>
      <c r="J24" s="613">
        <f t="shared" si="22"/>
        <v>0</v>
      </c>
      <c r="K24" s="614">
        <f t="shared" si="22"/>
        <v>0</v>
      </c>
      <c r="L24" s="614">
        <f t="shared" si="22"/>
        <v>0</v>
      </c>
      <c r="M24" s="614">
        <f t="shared" si="22"/>
        <v>0</v>
      </c>
      <c r="N24" s="788">
        <f t="shared" ref="N24:Q30" si="23">IF(AE$30&gt;0,(AE24/AE$30),0)</f>
        <v>2.5369978858350951E-2</v>
      </c>
      <c r="O24" s="788">
        <f t="shared" si="23"/>
        <v>0</v>
      </c>
      <c r="P24" s="614">
        <f t="shared" si="23"/>
        <v>0</v>
      </c>
      <c r="Q24" s="788">
        <f t="shared" si="23"/>
        <v>0</v>
      </c>
      <c r="R24" s="244"/>
      <c r="S24" s="245">
        <v>350</v>
      </c>
      <c r="T24" s="246">
        <v>150</v>
      </c>
      <c r="U24" s="246">
        <v>250</v>
      </c>
      <c r="V24" s="246">
        <v>147</v>
      </c>
      <c r="W24" s="246">
        <v>42</v>
      </c>
      <c r="X24" s="246">
        <v>181</v>
      </c>
      <c r="Y24" s="247">
        <v>1120</v>
      </c>
      <c r="Z24" s="245"/>
      <c r="AA24" s="246"/>
      <c r="AB24" s="246"/>
      <c r="AC24" s="246"/>
      <c r="AD24" s="246"/>
      <c r="AE24" s="247">
        <v>36</v>
      </c>
      <c r="AF24" s="245"/>
      <c r="AG24" s="246"/>
      <c r="AH24" s="245"/>
    </row>
    <row r="25" spans="1:34">
      <c r="A25" s="886"/>
      <c r="B25" s="239" t="s">
        <v>93</v>
      </c>
      <c r="C25" s="624">
        <f t="shared" si="22"/>
        <v>0.2024866785079929</v>
      </c>
      <c r="D25" s="625">
        <f t="shared" si="22"/>
        <v>0.26067415730337079</v>
      </c>
      <c r="E25" s="625">
        <f t="shared" si="22"/>
        <v>0.24803991446899501</v>
      </c>
      <c r="F25" s="625">
        <f t="shared" si="22"/>
        <v>0.23734177215189872</v>
      </c>
      <c r="G25" s="625">
        <f t="shared" si="22"/>
        <v>0.29741379310344829</v>
      </c>
      <c r="H25" s="626">
        <f t="shared" si="22"/>
        <v>0.23287671232876711</v>
      </c>
      <c r="I25" s="624">
        <f t="shared" si="22"/>
        <v>0.2365869424692954</v>
      </c>
      <c r="J25" s="624">
        <f t="shared" si="22"/>
        <v>0</v>
      </c>
      <c r="K25" s="625">
        <f t="shared" si="22"/>
        <v>0</v>
      </c>
      <c r="L25" s="625">
        <f t="shared" si="22"/>
        <v>0</v>
      </c>
      <c r="M25" s="625">
        <f t="shared" si="22"/>
        <v>0</v>
      </c>
      <c r="N25" s="624">
        <f t="shared" si="23"/>
        <v>2.1846370683579985E-2</v>
      </c>
      <c r="O25" s="624">
        <f t="shared" si="23"/>
        <v>0</v>
      </c>
      <c r="P25" s="625">
        <f t="shared" si="23"/>
        <v>0</v>
      </c>
      <c r="Q25" s="624">
        <f t="shared" si="23"/>
        <v>0</v>
      </c>
      <c r="R25" s="253"/>
      <c r="S25" s="254">
        <v>228</v>
      </c>
      <c r="T25" s="255">
        <v>116</v>
      </c>
      <c r="U25" s="255">
        <v>348</v>
      </c>
      <c r="V25" s="255">
        <v>150</v>
      </c>
      <c r="W25" s="255">
        <v>69</v>
      </c>
      <c r="X25" s="255">
        <v>187</v>
      </c>
      <c r="Y25" s="256">
        <v>1098</v>
      </c>
      <c r="Z25" s="254"/>
      <c r="AA25" s="255"/>
      <c r="AB25" s="255"/>
      <c r="AC25" s="255"/>
      <c r="AD25" s="255"/>
      <c r="AE25" s="256">
        <v>31</v>
      </c>
      <c r="AF25" s="254"/>
      <c r="AG25" s="255"/>
      <c r="AH25" s="254"/>
    </row>
    <row r="26" spans="1:34">
      <c r="A26" s="886"/>
      <c r="B26" s="239" t="s">
        <v>55</v>
      </c>
      <c r="C26" s="624">
        <f t="shared" si="22"/>
        <v>0.18650088809946713</v>
      </c>
      <c r="D26" s="625">
        <f t="shared" si="22"/>
        <v>0.24494382022471911</v>
      </c>
      <c r="E26" s="625">
        <f t="shared" si="22"/>
        <v>0.27512473271560939</v>
      </c>
      <c r="F26" s="625">
        <f t="shared" si="22"/>
        <v>0.37658227848101267</v>
      </c>
      <c r="G26" s="625">
        <f t="shared" si="22"/>
        <v>0.22844827586206898</v>
      </c>
      <c r="H26" s="626">
        <f t="shared" si="22"/>
        <v>0.33997509339975096</v>
      </c>
      <c r="I26" s="624">
        <f t="shared" si="22"/>
        <v>0.27343244990303811</v>
      </c>
      <c r="J26" s="624">
        <f t="shared" si="22"/>
        <v>0</v>
      </c>
      <c r="K26" s="625">
        <f t="shared" si="22"/>
        <v>0</v>
      </c>
      <c r="L26" s="625">
        <f t="shared" si="22"/>
        <v>0</v>
      </c>
      <c r="M26" s="625">
        <f t="shared" si="22"/>
        <v>0</v>
      </c>
      <c r="N26" s="624">
        <f t="shared" si="23"/>
        <v>7.1176885130373499E-2</v>
      </c>
      <c r="O26" s="624">
        <f t="shared" si="23"/>
        <v>0</v>
      </c>
      <c r="P26" s="625">
        <f t="shared" si="23"/>
        <v>0</v>
      </c>
      <c r="Q26" s="624">
        <f t="shared" si="23"/>
        <v>0</v>
      </c>
      <c r="R26" s="253"/>
      <c r="S26" s="254">
        <v>210</v>
      </c>
      <c r="T26" s="255">
        <v>109</v>
      </c>
      <c r="U26" s="255">
        <v>386</v>
      </c>
      <c r="V26" s="255">
        <v>238</v>
      </c>
      <c r="W26" s="255">
        <v>53</v>
      </c>
      <c r="X26" s="255">
        <v>273</v>
      </c>
      <c r="Y26" s="256">
        <v>1269</v>
      </c>
      <c r="Z26" s="254"/>
      <c r="AA26" s="255"/>
      <c r="AB26" s="255"/>
      <c r="AC26" s="255"/>
      <c r="AD26" s="255"/>
      <c r="AE26" s="256">
        <v>101</v>
      </c>
      <c r="AF26" s="254"/>
      <c r="AG26" s="255"/>
      <c r="AH26" s="254"/>
    </row>
    <row r="27" spans="1:34">
      <c r="A27" s="886"/>
      <c r="B27" s="239" t="s">
        <v>78</v>
      </c>
      <c r="C27" s="624">
        <f t="shared" si="22"/>
        <v>0.2211367673179396</v>
      </c>
      <c r="D27" s="625">
        <f t="shared" si="22"/>
        <v>0.15730337078651685</v>
      </c>
      <c r="E27" s="625">
        <f t="shared" si="22"/>
        <v>0.15751960085531005</v>
      </c>
      <c r="F27" s="625">
        <f t="shared" si="22"/>
        <v>0.13607594936708861</v>
      </c>
      <c r="G27" s="625">
        <f t="shared" si="22"/>
        <v>0.29310344827586204</v>
      </c>
      <c r="H27" s="626">
        <f t="shared" si="22"/>
        <v>0.16936488169364883</v>
      </c>
      <c r="I27" s="624">
        <f t="shared" si="22"/>
        <v>0.1788407670760612</v>
      </c>
      <c r="J27" s="624">
        <f t="shared" si="22"/>
        <v>0</v>
      </c>
      <c r="K27" s="625">
        <f t="shared" si="22"/>
        <v>0</v>
      </c>
      <c r="L27" s="625">
        <f t="shared" si="22"/>
        <v>0</v>
      </c>
      <c r="M27" s="625">
        <f t="shared" si="22"/>
        <v>0</v>
      </c>
      <c r="N27" s="624">
        <f t="shared" si="23"/>
        <v>0.51937984496124034</v>
      </c>
      <c r="O27" s="624">
        <f t="shared" si="23"/>
        <v>0</v>
      </c>
      <c r="P27" s="625">
        <f t="shared" si="23"/>
        <v>0</v>
      </c>
      <c r="Q27" s="624">
        <f t="shared" si="23"/>
        <v>0</v>
      </c>
      <c r="R27" s="253"/>
      <c r="S27" s="254">
        <v>249</v>
      </c>
      <c r="T27" s="255">
        <v>70</v>
      </c>
      <c r="U27" s="255">
        <v>221</v>
      </c>
      <c r="V27" s="255">
        <v>86</v>
      </c>
      <c r="W27" s="255">
        <v>68</v>
      </c>
      <c r="X27" s="255">
        <v>136</v>
      </c>
      <c r="Y27" s="256">
        <v>830</v>
      </c>
      <c r="Z27" s="254"/>
      <c r="AA27" s="255"/>
      <c r="AB27" s="255"/>
      <c r="AC27" s="255"/>
      <c r="AD27" s="255"/>
      <c r="AE27" s="256">
        <v>737</v>
      </c>
      <c r="AF27" s="254"/>
      <c r="AG27" s="255"/>
      <c r="AH27" s="254"/>
    </row>
    <row r="28" spans="1:34">
      <c r="A28" s="886"/>
      <c r="B28" s="239" t="s">
        <v>32</v>
      </c>
      <c r="C28" s="624">
        <f t="shared" si="22"/>
        <v>7.3712255772646534E-2</v>
      </c>
      <c r="D28" s="625">
        <f t="shared" si="22"/>
        <v>0</v>
      </c>
      <c r="E28" s="625">
        <f t="shared" si="22"/>
        <v>5.9158945117605131E-2</v>
      </c>
      <c r="F28" s="625">
        <f t="shared" si="22"/>
        <v>1.5822784810126583E-2</v>
      </c>
      <c r="G28" s="625">
        <f t="shared" si="22"/>
        <v>0</v>
      </c>
      <c r="H28" s="626">
        <f t="shared" si="22"/>
        <v>1.2453300124533001E-3</v>
      </c>
      <c r="I28" s="624">
        <f t="shared" si="22"/>
        <v>3.8138332255979318E-2</v>
      </c>
      <c r="J28" s="624">
        <f t="shared" si="22"/>
        <v>0</v>
      </c>
      <c r="K28" s="625">
        <f t="shared" si="22"/>
        <v>0</v>
      </c>
      <c r="L28" s="625">
        <f t="shared" si="22"/>
        <v>0</v>
      </c>
      <c r="M28" s="625">
        <f t="shared" si="22"/>
        <v>0</v>
      </c>
      <c r="N28" s="624">
        <f t="shared" si="23"/>
        <v>0</v>
      </c>
      <c r="O28" s="624">
        <f t="shared" si="23"/>
        <v>0</v>
      </c>
      <c r="P28" s="625">
        <f t="shared" si="23"/>
        <v>0</v>
      </c>
      <c r="Q28" s="624">
        <f t="shared" si="23"/>
        <v>0</v>
      </c>
      <c r="R28" s="253"/>
      <c r="S28" s="254">
        <v>83</v>
      </c>
      <c r="T28" s="255"/>
      <c r="U28" s="255">
        <v>83</v>
      </c>
      <c r="V28" s="255">
        <v>10</v>
      </c>
      <c r="W28" s="255"/>
      <c r="X28" s="255">
        <v>1</v>
      </c>
      <c r="Y28" s="256">
        <v>177</v>
      </c>
      <c r="Z28" s="254"/>
      <c r="AA28" s="255"/>
      <c r="AB28" s="255"/>
      <c r="AC28" s="255"/>
      <c r="AD28" s="255"/>
      <c r="AE28" s="256"/>
      <c r="AF28" s="254"/>
      <c r="AG28" s="255"/>
      <c r="AH28" s="254"/>
    </row>
    <row r="29" spans="1:34">
      <c r="A29" s="886"/>
      <c r="B29" s="239" t="s">
        <v>58</v>
      </c>
      <c r="C29" s="624">
        <f t="shared" si="22"/>
        <v>5.3285968028419185E-3</v>
      </c>
      <c r="D29" s="625">
        <f t="shared" si="22"/>
        <v>0</v>
      </c>
      <c r="E29" s="792">
        <f t="shared" si="22"/>
        <v>8.1967213114754092E-2</v>
      </c>
      <c r="F29" s="625">
        <f t="shared" si="22"/>
        <v>1.5822784810126582E-3</v>
      </c>
      <c r="G29" s="792">
        <f t="shared" si="22"/>
        <v>0</v>
      </c>
      <c r="H29" s="626">
        <f t="shared" si="22"/>
        <v>3.1133250311332503E-2</v>
      </c>
      <c r="I29" s="793">
        <f t="shared" si="22"/>
        <v>3.1674208144796379E-2</v>
      </c>
      <c r="J29" s="624">
        <f t="shared" si="22"/>
        <v>0</v>
      </c>
      <c r="K29" s="625">
        <f t="shared" si="22"/>
        <v>0</v>
      </c>
      <c r="L29" s="625">
        <f t="shared" si="22"/>
        <v>0</v>
      </c>
      <c r="M29" s="625">
        <f t="shared" si="22"/>
        <v>0</v>
      </c>
      <c r="N29" s="624">
        <f t="shared" si="23"/>
        <v>0.36222692036645526</v>
      </c>
      <c r="O29" s="624">
        <f t="shared" si="23"/>
        <v>0</v>
      </c>
      <c r="P29" s="625">
        <f t="shared" si="23"/>
        <v>0</v>
      </c>
      <c r="Q29" s="624">
        <f t="shared" si="23"/>
        <v>0</v>
      </c>
      <c r="R29" s="253"/>
      <c r="S29" s="254">
        <v>6</v>
      </c>
      <c r="T29" s="255"/>
      <c r="U29" s="255">
        <v>115</v>
      </c>
      <c r="V29" s="255">
        <v>1</v>
      </c>
      <c r="W29" s="255"/>
      <c r="X29" s="255">
        <v>25</v>
      </c>
      <c r="Y29" s="256">
        <v>147</v>
      </c>
      <c r="Z29" s="254"/>
      <c r="AA29" s="255"/>
      <c r="AB29" s="255"/>
      <c r="AC29" s="255"/>
      <c r="AD29" s="255"/>
      <c r="AE29" s="256">
        <v>514</v>
      </c>
      <c r="AF29" s="254"/>
      <c r="AG29" s="255"/>
      <c r="AH29" s="254"/>
    </row>
    <row r="30" spans="1:34">
      <c r="A30" s="887"/>
      <c r="B30" s="436" t="s">
        <v>59</v>
      </c>
      <c r="C30" s="577">
        <f t="shared" si="22"/>
        <v>1</v>
      </c>
      <c r="D30" s="578">
        <f t="shared" si="22"/>
        <v>1</v>
      </c>
      <c r="E30" s="578">
        <f t="shared" si="22"/>
        <v>1</v>
      </c>
      <c r="F30" s="578">
        <f t="shared" si="22"/>
        <v>1</v>
      </c>
      <c r="G30" s="578">
        <f t="shared" si="22"/>
        <v>1</v>
      </c>
      <c r="H30" s="579">
        <f t="shared" si="22"/>
        <v>1</v>
      </c>
      <c r="I30" s="577">
        <f t="shared" si="22"/>
        <v>1</v>
      </c>
      <c r="J30" s="577">
        <f t="shared" si="22"/>
        <v>0</v>
      </c>
      <c r="K30" s="578">
        <f t="shared" si="22"/>
        <v>0</v>
      </c>
      <c r="L30" s="578">
        <f t="shared" si="22"/>
        <v>0</v>
      </c>
      <c r="M30" s="578">
        <f t="shared" si="22"/>
        <v>0</v>
      </c>
      <c r="N30" s="577">
        <f t="shared" si="23"/>
        <v>1</v>
      </c>
      <c r="O30" s="577">
        <f t="shared" si="23"/>
        <v>0</v>
      </c>
      <c r="P30" s="578">
        <f t="shared" si="23"/>
        <v>0</v>
      </c>
      <c r="Q30" s="577">
        <f t="shared" si="23"/>
        <v>0</v>
      </c>
      <c r="R30" s="264"/>
      <c r="S30" s="265">
        <v>1126</v>
      </c>
      <c r="T30" s="266">
        <v>445</v>
      </c>
      <c r="U30" s="266">
        <v>1403</v>
      </c>
      <c r="V30" s="266">
        <v>632</v>
      </c>
      <c r="W30" s="266">
        <v>232</v>
      </c>
      <c r="X30" s="266">
        <v>803</v>
      </c>
      <c r="Y30" s="267">
        <v>4641</v>
      </c>
      <c r="Z30" s="265"/>
      <c r="AA30" s="266"/>
      <c r="AB30" s="266"/>
      <c r="AC30" s="266"/>
      <c r="AD30" s="266"/>
      <c r="AE30" s="267">
        <v>1419</v>
      </c>
      <c r="AF30" s="265"/>
      <c r="AG30" s="266"/>
      <c r="AH30" s="265"/>
    </row>
    <row r="31" spans="1:34">
      <c r="A31" s="883" t="s">
        <v>82</v>
      </c>
      <c r="B31" s="240" t="s">
        <v>53</v>
      </c>
      <c r="C31" s="613">
        <f t="shared" ref="C31:M37" si="24">IF(S$37&gt;0,(S31/S$37),0)</f>
        <v>0.3516187050359712</v>
      </c>
      <c r="D31" s="614">
        <f t="shared" si="24"/>
        <v>0</v>
      </c>
      <c r="E31" s="614">
        <f t="shared" si="24"/>
        <v>0.1703056768558952</v>
      </c>
      <c r="F31" s="614">
        <f t="shared" si="24"/>
        <v>9.0909090909090912E-2</v>
      </c>
      <c r="G31" s="614">
        <f t="shared" si="24"/>
        <v>0.32558139534883723</v>
      </c>
      <c r="H31" s="615">
        <f t="shared" si="24"/>
        <v>0</v>
      </c>
      <c r="I31" s="613">
        <f t="shared" si="24"/>
        <v>0.30602883355176935</v>
      </c>
      <c r="J31" s="613">
        <f t="shared" si="24"/>
        <v>0</v>
      </c>
      <c r="K31" s="614">
        <f t="shared" si="24"/>
        <v>0</v>
      </c>
      <c r="L31" s="614">
        <f t="shared" si="24"/>
        <v>0</v>
      </c>
      <c r="M31" s="614">
        <f t="shared" si="24"/>
        <v>0</v>
      </c>
      <c r="N31" s="613">
        <f t="shared" ref="N31:Q37" si="25">IF(AE$37&gt;0,(AE31/AE$37),0)</f>
        <v>0</v>
      </c>
      <c r="O31" s="788">
        <f t="shared" si="25"/>
        <v>0</v>
      </c>
      <c r="P31" s="614">
        <f t="shared" si="25"/>
        <v>0</v>
      </c>
      <c r="Q31" s="788">
        <f t="shared" si="25"/>
        <v>0</v>
      </c>
      <c r="R31" s="244"/>
      <c r="S31" s="245">
        <v>391</v>
      </c>
      <c r="T31" s="246"/>
      <c r="U31" s="246">
        <v>39</v>
      </c>
      <c r="V31" s="246">
        <v>9</v>
      </c>
      <c r="W31" s="246">
        <v>28</v>
      </c>
      <c r="X31" s="246"/>
      <c r="Y31" s="247">
        <v>467</v>
      </c>
      <c r="Z31" s="245"/>
      <c r="AA31" s="246"/>
      <c r="AB31" s="246"/>
      <c r="AC31" s="246"/>
      <c r="AD31" s="246"/>
      <c r="AE31" s="247"/>
      <c r="AF31" s="245"/>
      <c r="AG31" s="246"/>
      <c r="AH31" s="245"/>
    </row>
    <row r="32" spans="1:34">
      <c r="A32" s="886"/>
      <c r="B32" s="239" t="s">
        <v>93</v>
      </c>
      <c r="C32" s="624">
        <f t="shared" si="24"/>
        <v>0.30305755395683454</v>
      </c>
      <c r="D32" s="625">
        <f t="shared" si="24"/>
        <v>0</v>
      </c>
      <c r="E32" s="625">
        <f t="shared" si="24"/>
        <v>0.44541484716157204</v>
      </c>
      <c r="F32" s="625">
        <f t="shared" si="24"/>
        <v>0.30303030303030304</v>
      </c>
      <c r="G32" s="625">
        <f t="shared" si="24"/>
        <v>0.33720930232558138</v>
      </c>
      <c r="H32" s="626">
        <f t="shared" si="24"/>
        <v>0</v>
      </c>
      <c r="I32" s="624">
        <f t="shared" si="24"/>
        <v>0.32634338138925295</v>
      </c>
      <c r="J32" s="624">
        <f t="shared" si="24"/>
        <v>0</v>
      </c>
      <c r="K32" s="625">
        <f t="shared" si="24"/>
        <v>0</v>
      </c>
      <c r="L32" s="625">
        <f t="shared" si="24"/>
        <v>0</v>
      </c>
      <c r="M32" s="625">
        <f t="shared" si="24"/>
        <v>0</v>
      </c>
      <c r="N32" s="624">
        <f t="shared" si="25"/>
        <v>0</v>
      </c>
      <c r="O32" s="624">
        <f t="shared" si="25"/>
        <v>0</v>
      </c>
      <c r="P32" s="625">
        <f t="shared" si="25"/>
        <v>0</v>
      </c>
      <c r="Q32" s="624">
        <f t="shared" si="25"/>
        <v>0</v>
      </c>
      <c r="R32" s="253"/>
      <c r="S32" s="254">
        <v>337</v>
      </c>
      <c r="T32" s="255"/>
      <c r="U32" s="255">
        <v>102</v>
      </c>
      <c r="V32" s="255">
        <v>30</v>
      </c>
      <c r="W32" s="255">
        <v>29</v>
      </c>
      <c r="X32" s="255"/>
      <c r="Y32" s="256">
        <v>498</v>
      </c>
      <c r="Z32" s="254"/>
      <c r="AA32" s="255"/>
      <c r="AB32" s="255"/>
      <c r="AC32" s="255"/>
      <c r="AD32" s="255"/>
      <c r="AE32" s="256"/>
      <c r="AF32" s="254"/>
      <c r="AG32" s="255"/>
      <c r="AH32" s="254"/>
    </row>
    <row r="33" spans="1:34">
      <c r="A33" s="886"/>
      <c r="B33" s="239" t="s">
        <v>55</v>
      </c>
      <c r="C33" s="624">
        <f t="shared" si="24"/>
        <v>0.26079136690647481</v>
      </c>
      <c r="D33" s="625">
        <f t="shared" si="24"/>
        <v>0</v>
      </c>
      <c r="E33" s="625">
        <f t="shared" si="24"/>
        <v>0.2576419213973799</v>
      </c>
      <c r="F33" s="625">
        <f t="shared" si="24"/>
        <v>0.59595959595959591</v>
      </c>
      <c r="G33" s="625">
        <f t="shared" si="24"/>
        <v>0.2558139534883721</v>
      </c>
      <c r="H33" s="626">
        <f t="shared" si="24"/>
        <v>0</v>
      </c>
      <c r="I33" s="624">
        <f t="shared" si="24"/>
        <v>0.28178243774574052</v>
      </c>
      <c r="J33" s="624">
        <f t="shared" si="24"/>
        <v>0</v>
      </c>
      <c r="K33" s="625">
        <f t="shared" si="24"/>
        <v>0</v>
      </c>
      <c r="L33" s="625">
        <f t="shared" si="24"/>
        <v>0</v>
      </c>
      <c r="M33" s="625">
        <f t="shared" si="24"/>
        <v>0</v>
      </c>
      <c r="N33" s="624">
        <f t="shared" si="25"/>
        <v>0</v>
      </c>
      <c r="O33" s="624">
        <f t="shared" si="25"/>
        <v>0</v>
      </c>
      <c r="P33" s="625">
        <f t="shared" si="25"/>
        <v>0</v>
      </c>
      <c r="Q33" s="624">
        <f t="shared" si="25"/>
        <v>0</v>
      </c>
      <c r="R33" s="253"/>
      <c r="S33" s="254">
        <v>290</v>
      </c>
      <c r="T33" s="255"/>
      <c r="U33" s="255">
        <v>59</v>
      </c>
      <c r="V33" s="255">
        <v>59</v>
      </c>
      <c r="W33" s="255">
        <v>22</v>
      </c>
      <c r="X33" s="255"/>
      <c r="Y33" s="256">
        <v>430</v>
      </c>
      <c r="Z33" s="254"/>
      <c r="AA33" s="255"/>
      <c r="AB33" s="255"/>
      <c r="AC33" s="255"/>
      <c r="AD33" s="255"/>
      <c r="AE33" s="256"/>
      <c r="AF33" s="254"/>
      <c r="AG33" s="255"/>
      <c r="AH33" s="254"/>
    </row>
    <row r="34" spans="1:34">
      <c r="A34" s="886"/>
      <c r="B34" s="239" t="s">
        <v>78</v>
      </c>
      <c r="C34" s="624">
        <f t="shared" si="24"/>
        <v>8.4532374100719426E-2</v>
      </c>
      <c r="D34" s="625">
        <f t="shared" si="24"/>
        <v>0</v>
      </c>
      <c r="E34" s="625">
        <f t="shared" si="24"/>
        <v>6.5502183406113537E-2</v>
      </c>
      <c r="F34" s="625">
        <f t="shared" si="24"/>
        <v>1.0101010101010102E-2</v>
      </c>
      <c r="G34" s="625">
        <f t="shared" si="24"/>
        <v>8.1395348837209308E-2</v>
      </c>
      <c r="H34" s="626">
        <f t="shared" si="24"/>
        <v>0</v>
      </c>
      <c r="I34" s="624">
        <f t="shared" si="24"/>
        <v>7.6671035386631711E-2</v>
      </c>
      <c r="J34" s="624">
        <f t="shared" si="24"/>
        <v>0</v>
      </c>
      <c r="K34" s="625">
        <f t="shared" si="24"/>
        <v>0</v>
      </c>
      <c r="L34" s="625">
        <f t="shared" si="24"/>
        <v>0</v>
      </c>
      <c r="M34" s="625">
        <f t="shared" si="24"/>
        <v>0</v>
      </c>
      <c r="N34" s="624">
        <f t="shared" si="25"/>
        <v>0</v>
      </c>
      <c r="O34" s="624">
        <f t="shared" si="25"/>
        <v>0</v>
      </c>
      <c r="P34" s="625">
        <f t="shared" si="25"/>
        <v>0</v>
      </c>
      <c r="Q34" s="624">
        <f t="shared" si="25"/>
        <v>0</v>
      </c>
      <c r="R34" s="253"/>
      <c r="S34" s="254">
        <v>94</v>
      </c>
      <c r="T34" s="255"/>
      <c r="U34" s="255">
        <v>15</v>
      </c>
      <c r="V34" s="255">
        <v>1</v>
      </c>
      <c r="W34" s="255">
        <v>7</v>
      </c>
      <c r="X34" s="255"/>
      <c r="Y34" s="256">
        <v>117</v>
      </c>
      <c r="Z34" s="254"/>
      <c r="AA34" s="255"/>
      <c r="AB34" s="255"/>
      <c r="AC34" s="255"/>
      <c r="AD34" s="255"/>
      <c r="AE34" s="256"/>
      <c r="AF34" s="254"/>
      <c r="AG34" s="255"/>
      <c r="AH34" s="254"/>
    </row>
    <row r="35" spans="1:34">
      <c r="A35" s="886"/>
      <c r="B35" s="239" t="s">
        <v>32</v>
      </c>
      <c r="C35" s="791">
        <f t="shared" si="24"/>
        <v>0</v>
      </c>
      <c r="D35" s="625">
        <f t="shared" si="24"/>
        <v>0</v>
      </c>
      <c r="E35" s="625">
        <f t="shared" si="24"/>
        <v>2.1834061135371178E-2</v>
      </c>
      <c r="F35" s="625">
        <f t="shared" si="24"/>
        <v>0</v>
      </c>
      <c r="G35" s="625">
        <f t="shared" si="24"/>
        <v>0</v>
      </c>
      <c r="H35" s="626">
        <f t="shared" si="24"/>
        <v>0</v>
      </c>
      <c r="I35" s="791">
        <f t="shared" si="24"/>
        <v>3.27653997378768E-3</v>
      </c>
      <c r="J35" s="624">
        <f t="shared" si="24"/>
        <v>0</v>
      </c>
      <c r="K35" s="625">
        <f t="shared" si="24"/>
        <v>0</v>
      </c>
      <c r="L35" s="625">
        <f t="shared" si="24"/>
        <v>0</v>
      </c>
      <c r="M35" s="625">
        <f t="shared" si="24"/>
        <v>0</v>
      </c>
      <c r="N35" s="624">
        <f t="shared" si="25"/>
        <v>0</v>
      </c>
      <c r="O35" s="624">
        <f t="shared" si="25"/>
        <v>0</v>
      </c>
      <c r="P35" s="625">
        <f t="shared" si="25"/>
        <v>0</v>
      </c>
      <c r="Q35" s="624">
        <f t="shared" si="25"/>
        <v>0</v>
      </c>
      <c r="R35" s="253"/>
      <c r="S35" s="254"/>
      <c r="T35" s="255"/>
      <c r="U35" s="255">
        <v>5</v>
      </c>
      <c r="V35" s="255"/>
      <c r="W35" s="255"/>
      <c r="X35" s="255"/>
      <c r="Y35" s="256">
        <v>5</v>
      </c>
      <c r="Z35" s="254"/>
      <c r="AA35" s="255"/>
      <c r="AB35" s="255"/>
      <c r="AC35" s="255"/>
      <c r="AD35" s="255"/>
      <c r="AE35" s="256"/>
      <c r="AF35" s="254"/>
      <c r="AG35" s="255"/>
      <c r="AH35" s="254"/>
    </row>
    <row r="36" spans="1:34">
      <c r="A36" s="886"/>
      <c r="B36" s="239" t="s">
        <v>58</v>
      </c>
      <c r="C36" s="624">
        <f t="shared" si="24"/>
        <v>0</v>
      </c>
      <c r="D36" s="625">
        <f t="shared" si="24"/>
        <v>0</v>
      </c>
      <c r="E36" s="792">
        <f t="shared" si="24"/>
        <v>3.9301310043668124E-2</v>
      </c>
      <c r="F36" s="625">
        <f t="shared" si="24"/>
        <v>0</v>
      </c>
      <c r="G36" s="792">
        <f t="shared" si="24"/>
        <v>0</v>
      </c>
      <c r="H36" s="626">
        <f t="shared" si="24"/>
        <v>0</v>
      </c>
      <c r="I36" s="793">
        <f t="shared" si="24"/>
        <v>5.8977719528178242E-3</v>
      </c>
      <c r="J36" s="624">
        <f t="shared" si="24"/>
        <v>0</v>
      </c>
      <c r="K36" s="625">
        <f t="shared" si="24"/>
        <v>0</v>
      </c>
      <c r="L36" s="625">
        <f t="shared" si="24"/>
        <v>0</v>
      </c>
      <c r="M36" s="625">
        <f t="shared" si="24"/>
        <v>0</v>
      </c>
      <c r="N36" s="624">
        <f t="shared" si="25"/>
        <v>1</v>
      </c>
      <c r="O36" s="624">
        <f t="shared" si="25"/>
        <v>0</v>
      </c>
      <c r="P36" s="625">
        <f t="shared" si="25"/>
        <v>0</v>
      </c>
      <c r="Q36" s="624">
        <f t="shared" si="25"/>
        <v>0</v>
      </c>
      <c r="R36" s="253"/>
      <c r="S36" s="254"/>
      <c r="T36" s="255"/>
      <c r="U36" s="255">
        <v>9</v>
      </c>
      <c r="V36" s="255"/>
      <c r="W36" s="255"/>
      <c r="X36" s="255"/>
      <c r="Y36" s="256">
        <v>9</v>
      </c>
      <c r="Z36" s="254"/>
      <c r="AA36" s="255"/>
      <c r="AB36" s="255"/>
      <c r="AC36" s="255"/>
      <c r="AD36" s="255"/>
      <c r="AE36" s="256">
        <v>395</v>
      </c>
      <c r="AF36" s="254"/>
      <c r="AG36" s="255"/>
      <c r="AH36" s="254"/>
    </row>
    <row r="37" spans="1:34">
      <c r="A37" s="887"/>
      <c r="B37" s="436" t="s">
        <v>59</v>
      </c>
      <c r="C37" s="577">
        <f t="shared" si="24"/>
        <v>1</v>
      </c>
      <c r="D37" s="578">
        <f t="shared" si="24"/>
        <v>0</v>
      </c>
      <c r="E37" s="578">
        <f t="shared" si="24"/>
        <v>1</v>
      </c>
      <c r="F37" s="578">
        <f t="shared" si="24"/>
        <v>1</v>
      </c>
      <c r="G37" s="578">
        <f t="shared" si="24"/>
        <v>1</v>
      </c>
      <c r="H37" s="579">
        <f t="shared" si="24"/>
        <v>0</v>
      </c>
      <c r="I37" s="577">
        <f t="shared" si="24"/>
        <v>1</v>
      </c>
      <c r="J37" s="577">
        <f t="shared" si="24"/>
        <v>0</v>
      </c>
      <c r="K37" s="578">
        <f t="shared" si="24"/>
        <v>0</v>
      </c>
      <c r="L37" s="578">
        <f t="shared" si="24"/>
        <v>0</v>
      </c>
      <c r="M37" s="578">
        <f t="shared" si="24"/>
        <v>0</v>
      </c>
      <c r="N37" s="577">
        <f t="shared" si="25"/>
        <v>1</v>
      </c>
      <c r="O37" s="577">
        <f t="shared" si="25"/>
        <v>0</v>
      </c>
      <c r="P37" s="578">
        <f t="shared" si="25"/>
        <v>0</v>
      </c>
      <c r="Q37" s="577">
        <f t="shared" si="25"/>
        <v>0</v>
      </c>
      <c r="R37" s="264"/>
      <c r="S37" s="265">
        <v>1112</v>
      </c>
      <c r="T37" s="266"/>
      <c r="U37" s="266">
        <v>229</v>
      </c>
      <c r="V37" s="266">
        <v>99</v>
      </c>
      <c r="W37" s="266">
        <v>86</v>
      </c>
      <c r="X37" s="266"/>
      <c r="Y37" s="267">
        <v>1526</v>
      </c>
      <c r="Z37" s="265"/>
      <c r="AA37" s="266"/>
      <c r="AB37" s="266"/>
      <c r="AC37" s="266"/>
      <c r="AD37" s="266"/>
      <c r="AE37" s="267">
        <v>395</v>
      </c>
      <c r="AF37" s="265"/>
      <c r="AG37" s="266"/>
      <c r="AH37" s="265"/>
    </row>
    <row r="38" spans="1:34">
      <c r="A38" s="883" t="s">
        <v>6</v>
      </c>
      <c r="B38" s="240" t="s">
        <v>53</v>
      </c>
      <c r="C38" s="613">
        <f t="shared" ref="C38:M44" si="26">IF(S$44&gt;0,(S38/S$44),0)</f>
        <v>0.29793103448275859</v>
      </c>
      <c r="D38" s="614">
        <f t="shared" si="26"/>
        <v>0.22440944881889763</v>
      </c>
      <c r="E38" s="614">
        <f t="shared" si="26"/>
        <v>0.23222222222222222</v>
      </c>
      <c r="F38" s="614">
        <f t="shared" si="26"/>
        <v>0.28119062697910069</v>
      </c>
      <c r="G38" s="614">
        <f t="shared" si="26"/>
        <v>0.21706533380935381</v>
      </c>
      <c r="H38" s="615">
        <f t="shared" si="26"/>
        <v>0.17604790419161676</v>
      </c>
      <c r="I38" s="613">
        <f t="shared" si="26"/>
        <v>0.26582508951872308</v>
      </c>
      <c r="J38" s="613">
        <f t="shared" si="26"/>
        <v>0</v>
      </c>
      <c r="K38" s="614">
        <f t="shared" si="26"/>
        <v>0</v>
      </c>
      <c r="L38" s="614">
        <f t="shared" si="26"/>
        <v>0</v>
      </c>
      <c r="M38" s="614">
        <f t="shared" si="26"/>
        <v>0</v>
      </c>
      <c r="N38" s="613">
        <f t="shared" ref="N38:Q44" si="27">IF(AE$44&gt;0,(AE38/AE$44),0)</f>
        <v>0.16926751592356687</v>
      </c>
      <c r="O38" s="788">
        <f t="shared" si="27"/>
        <v>0</v>
      </c>
      <c r="P38" s="614">
        <f t="shared" si="27"/>
        <v>0</v>
      </c>
      <c r="Q38" s="788">
        <f t="shared" si="27"/>
        <v>8.0971659919028341E-3</v>
      </c>
      <c r="R38" s="244"/>
      <c r="S38" s="245">
        <v>2592</v>
      </c>
      <c r="T38" s="246">
        <v>171</v>
      </c>
      <c r="U38" s="246">
        <v>418</v>
      </c>
      <c r="V38" s="246">
        <v>444</v>
      </c>
      <c r="W38" s="246">
        <v>608</v>
      </c>
      <c r="X38" s="246">
        <v>147</v>
      </c>
      <c r="Y38" s="247">
        <v>4380</v>
      </c>
      <c r="Z38" s="245"/>
      <c r="AA38" s="246"/>
      <c r="AB38" s="246"/>
      <c r="AC38" s="246"/>
      <c r="AD38" s="246"/>
      <c r="AE38" s="247">
        <v>1063</v>
      </c>
      <c r="AF38" s="245"/>
      <c r="AG38" s="246"/>
      <c r="AH38" s="245">
        <v>2</v>
      </c>
    </row>
    <row r="39" spans="1:34">
      <c r="A39" s="886"/>
      <c r="B39" s="239" t="s">
        <v>93</v>
      </c>
      <c r="C39" s="624">
        <f t="shared" si="26"/>
        <v>0.26298850574712646</v>
      </c>
      <c r="D39" s="625">
        <f t="shared" si="26"/>
        <v>0.3110236220472441</v>
      </c>
      <c r="E39" s="625">
        <f t="shared" si="26"/>
        <v>0.29944444444444446</v>
      </c>
      <c r="F39" s="625">
        <f t="shared" si="26"/>
        <v>0.27042431918936033</v>
      </c>
      <c r="G39" s="625">
        <f t="shared" si="26"/>
        <v>0.15780078543377365</v>
      </c>
      <c r="H39" s="626">
        <f t="shared" si="26"/>
        <v>0.25748502994011974</v>
      </c>
      <c r="I39" s="624">
        <f t="shared" si="26"/>
        <v>0.25174485646658978</v>
      </c>
      <c r="J39" s="624">
        <f t="shared" si="26"/>
        <v>0</v>
      </c>
      <c r="K39" s="625">
        <f t="shared" si="26"/>
        <v>0</v>
      </c>
      <c r="L39" s="625">
        <f t="shared" si="26"/>
        <v>0</v>
      </c>
      <c r="M39" s="625">
        <f t="shared" si="26"/>
        <v>0</v>
      </c>
      <c r="N39" s="624">
        <f t="shared" si="27"/>
        <v>0.11592356687898089</v>
      </c>
      <c r="O39" s="624">
        <f t="shared" si="27"/>
        <v>0</v>
      </c>
      <c r="P39" s="625">
        <f t="shared" si="27"/>
        <v>0</v>
      </c>
      <c r="Q39" s="624">
        <f t="shared" si="27"/>
        <v>0</v>
      </c>
      <c r="R39" s="253"/>
      <c r="S39" s="254">
        <v>2288</v>
      </c>
      <c r="T39" s="255">
        <v>237</v>
      </c>
      <c r="U39" s="255">
        <v>539</v>
      </c>
      <c r="V39" s="255">
        <v>427</v>
      </c>
      <c r="W39" s="255">
        <v>442</v>
      </c>
      <c r="X39" s="255">
        <v>215</v>
      </c>
      <c r="Y39" s="256">
        <v>4148</v>
      </c>
      <c r="Z39" s="254"/>
      <c r="AA39" s="255"/>
      <c r="AB39" s="255"/>
      <c r="AC39" s="255"/>
      <c r="AD39" s="255"/>
      <c r="AE39" s="256">
        <v>728</v>
      </c>
      <c r="AF39" s="254"/>
      <c r="AG39" s="255"/>
      <c r="AH39" s="254"/>
    </row>
    <row r="40" spans="1:34">
      <c r="A40" s="886"/>
      <c r="B40" s="239" t="s">
        <v>55</v>
      </c>
      <c r="C40" s="624">
        <f t="shared" si="26"/>
        <v>0.19149425287356323</v>
      </c>
      <c r="D40" s="625">
        <f t="shared" si="26"/>
        <v>0.29658792650918636</v>
      </c>
      <c r="E40" s="625">
        <f t="shared" si="26"/>
        <v>0.30499999999999999</v>
      </c>
      <c r="F40" s="625">
        <f t="shared" si="26"/>
        <v>0.29005699810006336</v>
      </c>
      <c r="G40" s="625">
        <f t="shared" si="26"/>
        <v>0.11888611210282042</v>
      </c>
      <c r="H40" s="626">
        <f t="shared" si="26"/>
        <v>0.34970059880239523</v>
      </c>
      <c r="I40" s="624">
        <f t="shared" si="26"/>
        <v>0.21387388480912786</v>
      </c>
      <c r="J40" s="624">
        <f t="shared" si="26"/>
        <v>0</v>
      </c>
      <c r="K40" s="625">
        <f t="shared" si="26"/>
        <v>0</v>
      </c>
      <c r="L40" s="625">
        <f t="shared" si="26"/>
        <v>0</v>
      </c>
      <c r="M40" s="625">
        <f t="shared" si="26"/>
        <v>0</v>
      </c>
      <c r="N40" s="624">
        <f t="shared" si="27"/>
        <v>0.17245222929936305</v>
      </c>
      <c r="O40" s="624">
        <f t="shared" si="27"/>
        <v>0</v>
      </c>
      <c r="P40" s="625">
        <f t="shared" si="27"/>
        <v>0</v>
      </c>
      <c r="Q40" s="624">
        <f t="shared" si="27"/>
        <v>0</v>
      </c>
      <c r="R40" s="253"/>
      <c r="S40" s="254">
        <v>1666</v>
      </c>
      <c r="T40" s="255">
        <v>226</v>
      </c>
      <c r="U40" s="255">
        <v>549</v>
      </c>
      <c r="V40" s="255">
        <v>458</v>
      </c>
      <c r="W40" s="255">
        <v>333</v>
      </c>
      <c r="X40" s="255">
        <v>292</v>
      </c>
      <c r="Y40" s="256">
        <v>3524</v>
      </c>
      <c r="Z40" s="254"/>
      <c r="AA40" s="255"/>
      <c r="AB40" s="255"/>
      <c r="AC40" s="255"/>
      <c r="AD40" s="255"/>
      <c r="AE40" s="256">
        <v>1083</v>
      </c>
      <c r="AF40" s="254"/>
      <c r="AG40" s="255"/>
      <c r="AH40" s="254"/>
    </row>
    <row r="41" spans="1:34">
      <c r="A41" s="886"/>
      <c r="B41" s="239" t="s">
        <v>78</v>
      </c>
      <c r="C41" s="624">
        <f t="shared" si="26"/>
        <v>0.10252873563218391</v>
      </c>
      <c r="D41" s="625">
        <f t="shared" si="26"/>
        <v>5.2493438320209973E-2</v>
      </c>
      <c r="E41" s="625">
        <f t="shared" si="26"/>
        <v>0.13388888888888889</v>
      </c>
      <c r="F41" s="625">
        <f t="shared" si="26"/>
        <v>0.10956301456618113</v>
      </c>
      <c r="G41" s="625">
        <f t="shared" si="26"/>
        <v>0.40199928596929668</v>
      </c>
      <c r="H41" s="626">
        <f t="shared" si="26"/>
        <v>0.1437125748502994</v>
      </c>
      <c r="I41" s="624">
        <f t="shared" si="26"/>
        <v>0.15731018996176488</v>
      </c>
      <c r="J41" s="624">
        <f t="shared" si="26"/>
        <v>0</v>
      </c>
      <c r="K41" s="625">
        <f t="shared" si="26"/>
        <v>0</v>
      </c>
      <c r="L41" s="625">
        <f t="shared" si="26"/>
        <v>0</v>
      </c>
      <c r="M41" s="625">
        <f t="shared" si="26"/>
        <v>0</v>
      </c>
      <c r="N41" s="624">
        <f t="shared" si="27"/>
        <v>0.19363057324840766</v>
      </c>
      <c r="O41" s="624">
        <f t="shared" si="27"/>
        <v>0</v>
      </c>
      <c r="P41" s="625">
        <f t="shared" si="27"/>
        <v>0</v>
      </c>
      <c r="Q41" s="624">
        <f t="shared" si="27"/>
        <v>0.96356275303643724</v>
      </c>
      <c r="R41" s="253"/>
      <c r="S41" s="254">
        <v>892</v>
      </c>
      <c r="T41" s="255">
        <v>40</v>
      </c>
      <c r="U41" s="255">
        <v>241</v>
      </c>
      <c r="V41" s="255">
        <v>173</v>
      </c>
      <c r="W41" s="255">
        <v>1126</v>
      </c>
      <c r="X41" s="255">
        <v>120</v>
      </c>
      <c r="Y41" s="256">
        <v>2592</v>
      </c>
      <c r="Z41" s="254"/>
      <c r="AA41" s="255"/>
      <c r="AB41" s="255"/>
      <c r="AC41" s="255"/>
      <c r="AD41" s="255"/>
      <c r="AE41" s="256">
        <v>1216</v>
      </c>
      <c r="AF41" s="254"/>
      <c r="AG41" s="255"/>
      <c r="AH41" s="254">
        <v>238</v>
      </c>
    </row>
    <row r="42" spans="1:34">
      <c r="A42" s="886"/>
      <c r="B42" s="239" t="s">
        <v>32</v>
      </c>
      <c r="C42" s="624">
        <f t="shared" si="26"/>
        <v>9.5172413793103441E-2</v>
      </c>
      <c r="D42" s="625">
        <f t="shared" si="26"/>
        <v>6.5616797900262466E-3</v>
      </c>
      <c r="E42" s="625">
        <f t="shared" si="26"/>
        <v>2.8333333333333332E-2</v>
      </c>
      <c r="F42" s="625">
        <f t="shared" si="26"/>
        <v>2.089930335655478E-2</v>
      </c>
      <c r="G42" s="790">
        <f t="shared" si="26"/>
        <v>0</v>
      </c>
      <c r="H42" s="626">
        <f t="shared" si="26"/>
        <v>2.3952095808383233E-3</v>
      </c>
      <c r="I42" s="624">
        <f t="shared" si="26"/>
        <v>5.5774716271165869E-2</v>
      </c>
      <c r="J42" s="624">
        <f t="shared" si="26"/>
        <v>0</v>
      </c>
      <c r="K42" s="625">
        <f t="shared" si="26"/>
        <v>0</v>
      </c>
      <c r="L42" s="625">
        <f t="shared" si="26"/>
        <v>0</v>
      </c>
      <c r="M42" s="625">
        <f t="shared" si="26"/>
        <v>0</v>
      </c>
      <c r="N42" s="624">
        <f t="shared" si="27"/>
        <v>6.3694267515923564E-4</v>
      </c>
      <c r="O42" s="624">
        <f t="shared" si="27"/>
        <v>0</v>
      </c>
      <c r="P42" s="625">
        <f t="shared" si="27"/>
        <v>0</v>
      </c>
      <c r="Q42" s="624">
        <f t="shared" si="27"/>
        <v>0</v>
      </c>
      <c r="R42" s="253"/>
      <c r="S42" s="254">
        <v>828</v>
      </c>
      <c r="T42" s="255">
        <v>5</v>
      </c>
      <c r="U42" s="255">
        <v>51</v>
      </c>
      <c r="V42" s="255">
        <v>33</v>
      </c>
      <c r="W42" s="255"/>
      <c r="X42" s="255">
        <v>2</v>
      </c>
      <c r="Y42" s="256">
        <v>919</v>
      </c>
      <c r="Z42" s="254"/>
      <c r="AA42" s="255"/>
      <c r="AB42" s="255"/>
      <c r="AC42" s="255"/>
      <c r="AD42" s="255"/>
      <c r="AE42" s="256">
        <v>4</v>
      </c>
      <c r="AF42" s="254"/>
      <c r="AG42" s="255"/>
      <c r="AH42" s="254"/>
    </row>
    <row r="43" spans="1:34">
      <c r="A43" s="886"/>
      <c r="B43" s="239" t="s">
        <v>58</v>
      </c>
      <c r="C43" s="624">
        <f t="shared" si="26"/>
        <v>4.9885057471264371E-2</v>
      </c>
      <c r="D43" s="625">
        <f t="shared" si="26"/>
        <v>0.1089238845144357</v>
      </c>
      <c r="E43" s="792">
        <f t="shared" si="26"/>
        <v>1.1111111111111111E-3</v>
      </c>
      <c r="F43" s="625">
        <f t="shared" si="26"/>
        <v>2.7865737808739709E-2</v>
      </c>
      <c r="G43" s="792">
        <f t="shared" si="26"/>
        <v>0.10424848268475545</v>
      </c>
      <c r="H43" s="626">
        <f t="shared" si="26"/>
        <v>7.0658682634730532E-2</v>
      </c>
      <c r="I43" s="793">
        <f t="shared" si="26"/>
        <v>5.5471262972628513E-2</v>
      </c>
      <c r="J43" s="624">
        <f t="shared" si="26"/>
        <v>0</v>
      </c>
      <c r="K43" s="625">
        <f t="shared" si="26"/>
        <v>0</v>
      </c>
      <c r="L43" s="625">
        <f t="shared" si="26"/>
        <v>0</v>
      </c>
      <c r="M43" s="625">
        <f t="shared" si="26"/>
        <v>0</v>
      </c>
      <c r="N43" s="624">
        <f t="shared" si="27"/>
        <v>0.34808917197452227</v>
      </c>
      <c r="O43" s="624">
        <f t="shared" si="27"/>
        <v>0</v>
      </c>
      <c r="P43" s="625">
        <f t="shared" si="27"/>
        <v>0</v>
      </c>
      <c r="Q43" s="624">
        <f t="shared" si="27"/>
        <v>2.8340080971659919E-2</v>
      </c>
      <c r="R43" s="253"/>
      <c r="S43" s="254">
        <v>434</v>
      </c>
      <c r="T43" s="255">
        <v>83</v>
      </c>
      <c r="U43" s="255">
        <v>2</v>
      </c>
      <c r="V43" s="255">
        <v>44</v>
      </c>
      <c r="W43" s="255">
        <v>292</v>
      </c>
      <c r="X43" s="255">
        <v>59</v>
      </c>
      <c r="Y43" s="256">
        <v>914</v>
      </c>
      <c r="Z43" s="254"/>
      <c r="AA43" s="255"/>
      <c r="AB43" s="255"/>
      <c r="AC43" s="255"/>
      <c r="AD43" s="255"/>
      <c r="AE43" s="256">
        <v>2186</v>
      </c>
      <c r="AF43" s="254"/>
      <c r="AG43" s="255"/>
      <c r="AH43" s="254">
        <v>7</v>
      </c>
    </row>
    <row r="44" spans="1:34">
      <c r="A44" s="887"/>
      <c r="B44" s="436" t="s">
        <v>59</v>
      </c>
      <c r="C44" s="577">
        <f t="shared" si="26"/>
        <v>1</v>
      </c>
      <c r="D44" s="578">
        <f t="shared" si="26"/>
        <v>1</v>
      </c>
      <c r="E44" s="578">
        <f t="shared" si="26"/>
        <v>1</v>
      </c>
      <c r="F44" s="578">
        <f t="shared" si="26"/>
        <v>1</v>
      </c>
      <c r="G44" s="578">
        <f t="shared" si="26"/>
        <v>1</v>
      </c>
      <c r="H44" s="579">
        <f t="shared" si="26"/>
        <v>1</v>
      </c>
      <c r="I44" s="577">
        <f t="shared" si="26"/>
        <v>1</v>
      </c>
      <c r="J44" s="577">
        <f t="shared" si="26"/>
        <v>0</v>
      </c>
      <c r="K44" s="578">
        <f t="shared" si="26"/>
        <v>0</v>
      </c>
      <c r="L44" s="578">
        <f t="shared" si="26"/>
        <v>0</v>
      </c>
      <c r="M44" s="578">
        <f t="shared" si="26"/>
        <v>0</v>
      </c>
      <c r="N44" s="577">
        <f t="shared" si="27"/>
        <v>1</v>
      </c>
      <c r="O44" s="577">
        <f t="shared" si="27"/>
        <v>0</v>
      </c>
      <c r="P44" s="578">
        <f t="shared" si="27"/>
        <v>0</v>
      </c>
      <c r="Q44" s="577">
        <f t="shared" si="27"/>
        <v>1</v>
      </c>
      <c r="R44" s="264"/>
      <c r="S44" s="265">
        <v>8700</v>
      </c>
      <c r="T44" s="266">
        <v>762</v>
      </c>
      <c r="U44" s="266">
        <v>1800</v>
      </c>
      <c r="V44" s="266">
        <v>1579</v>
      </c>
      <c r="W44" s="266">
        <v>2801</v>
      </c>
      <c r="X44" s="266">
        <v>835</v>
      </c>
      <c r="Y44" s="267">
        <v>16477</v>
      </c>
      <c r="Z44" s="265"/>
      <c r="AA44" s="266"/>
      <c r="AB44" s="266"/>
      <c r="AC44" s="266"/>
      <c r="AD44" s="266"/>
      <c r="AE44" s="267">
        <v>6280</v>
      </c>
      <c r="AF44" s="265"/>
      <c r="AG44" s="266"/>
      <c r="AH44" s="265">
        <v>247</v>
      </c>
    </row>
    <row r="45" spans="1:34">
      <c r="A45" s="883" t="s">
        <v>7</v>
      </c>
      <c r="B45" s="240" t="s">
        <v>53</v>
      </c>
      <c r="C45" s="613">
        <f t="shared" ref="C45:M51" si="28">IF(S$51&gt;0,(S45/S$51),0)</f>
        <v>0.34070121951219512</v>
      </c>
      <c r="D45" s="614">
        <f t="shared" si="28"/>
        <v>0.38313253012048193</v>
      </c>
      <c r="E45" s="614">
        <f t="shared" si="28"/>
        <v>0.20666666666666667</v>
      </c>
      <c r="F45" s="614">
        <f t="shared" si="28"/>
        <v>0.35277582572030919</v>
      </c>
      <c r="G45" s="614">
        <f t="shared" si="28"/>
        <v>0.24377682403433476</v>
      </c>
      <c r="H45" s="615">
        <f t="shared" si="28"/>
        <v>0.17214584578601316</v>
      </c>
      <c r="I45" s="613">
        <f t="shared" si="28"/>
        <v>0.29041195771053591</v>
      </c>
      <c r="J45" s="613">
        <f t="shared" si="28"/>
        <v>0</v>
      </c>
      <c r="K45" s="614">
        <f t="shared" si="28"/>
        <v>0</v>
      </c>
      <c r="L45" s="614">
        <f t="shared" si="28"/>
        <v>0</v>
      </c>
      <c r="M45" s="614">
        <f t="shared" si="28"/>
        <v>0</v>
      </c>
      <c r="N45" s="613">
        <f t="shared" ref="N45:Q51" si="29">IF(AE$51&gt;0,(AE45/AE$51),0)</f>
        <v>0.13195747342088807</v>
      </c>
      <c r="O45" s="788">
        <f t="shared" si="29"/>
        <v>0</v>
      </c>
      <c r="P45" s="614">
        <f t="shared" si="29"/>
        <v>0</v>
      </c>
      <c r="Q45" s="788">
        <f t="shared" si="29"/>
        <v>0</v>
      </c>
      <c r="R45" s="244"/>
      <c r="S45" s="245">
        <v>1341</v>
      </c>
      <c r="T45" s="246">
        <v>477</v>
      </c>
      <c r="U45" s="246">
        <v>589</v>
      </c>
      <c r="V45" s="246">
        <v>1004</v>
      </c>
      <c r="W45" s="246">
        <v>284</v>
      </c>
      <c r="X45" s="246">
        <v>288</v>
      </c>
      <c r="Y45" s="247">
        <v>3983</v>
      </c>
      <c r="Z45" s="245"/>
      <c r="AA45" s="246"/>
      <c r="AB45" s="246"/>
      <c r="AC45" s="246"/>
      <c r="AD45" s="246"/>
      <c r="AE45" s="247">
        <v>211</v>
      </c>
      <c r="AF45" s="245"/>
      <c r="AG45" s="246"/>
      <c r="AH45" s="245"/>
    </row>
    <row r="46" spans="1:34">
      <c r="A46" s="886"/>
      <c r="B46" s="239" t="s">
        <v>93</v>
      </c>
      <c r="C46" s="624">
        <f t="shared" si="28"/>
        <v>0.28328252032520324</v>
      </c>
      <c r="D46" s="625">
        <f t="shared" si="28"/>
        <v>0.27951807228915665</v>
      </c>
      <c r="E46" s="625">
        <f t="shared" si="28"/>
        <v>0.26245614035087722</v>
      </c>
      <c r="F46" s="625">
        <f t="shared" si="28"/>
        <v>0.20906535488404779</v>
      </c>
      <c r="G46" s="625">
        <f t="shared" si="28"/>
        <v>0.24463519313304721</v>
      </c>
      <c r="H46" s="626">
        <f t="shared" si="28"/>
        <v>0.27375971309025704</v>
      </c>
      <c r="I46" s="624">
        <f t="shared" si="28"/>
        <v>0.25876777251184835</v>
      </c>
      <c r="J46" s="624">
        <f t="shared" si="28"/>
        <v>0</v>
      </c>
      <c r="K46" s="625">
        <f t="shared" si="28"/>
        <v>0</v>
      </c>
      <c r="L46" s="625">
        <f t="shared" si="28"/>
        <v>0</v>
      </c>
      <c r="M46" s="625">
        <f t="shared" si="28"/>
        <v>0</v>
      </c>
      <c r="N46" s="624">
        <f t="shared" si="29"/>
        <v>0.22263914946841776</v>
      </c>
      <c r="O46" s="624">
        <f t="shared" si="29"/>
        <v>0</v>
      </c>
      <c r="P46" s="625">
        <f t="shared" si="29"/>
        <v>0</v>
      </c>
      <c r="Q46" s="624">
        <f t="shared" si="29"/>
        <v>0</v>
      </c>
      <c r="R46" s="253"/>
      <c r="S46" s="254">
        <v>1115</v>
      </c>
      <c r="T46" s="255">
        <v>348</v>
      </c>
      <c r="U46" s="255">
        <v>748</v>
      </c>
      <c r="V46" s="255">
        <v>595</v>
      </c>
      <c r="W46" s="255">
        <v>285</v>
      </c>
      <c r="X46" s="255">
        <v>458</v>
      </c>
      <c r="Y46" s="256">
        <v>3549</v>
      </c>
      <c r="Z46" s="254"/>
      <c r="AA46" s="255"/>
      <c r="AB46" s="255"/>
      <c r="AC46" s="255"/>
      <c r="AD46" s="255"/>
      <c r="AE46" s="256">
        <v>356</v>
      </c>
      <c r="AF46" s="254"/>
      <c r="AG46" s="255"/>
      <c r="AH46" s="254"/>
    </row>
    <row r="47" spans="1:34">
      <c r="A47" s="886"/>
      <c r="B47" s="239" t="s">
        <v>55</v>
      </c>
      <c r="C47" s="624">
        <f t="shared" si="28"/>
        <v>0.22052845528455284</v>
      </c>
      <c r="D47" s="625">
        <f t="shared" si="28"/>
        <v>0.21365461847389558</v>
      </c>
      <c r="E47" s="625">
        <f t="shared" si="28"/>
        <v>0.31789473684210529</v>
      </c>
      <c r="F47" s="625">
        <f t="shared" si="28"/>
        <v>0.28039353478566409</v>
      </c>
      <c r="G47" s="625">
        <f t="shared" si="28"/>
        <v>0.34334763948497854</v>
      </c>
      <c r="H47" s="626">
        <f t="shared" si="28"/>
        <v>0.4028690974297669</v>
      </c>
      <c r="I47" s="624">
        <f t="shared" si="28"/>
        <v>0.2852351440029165</v>
      </c>
      <c r="J47" s="624">
        <f t="shared" si="28"/>
        <v>0</v>
      </c>
      <c r="K47" s="625">
        <f t="shared" si="28"/>
        <v>0</v>
      </c>
      <c r="L47" s="625">
        <f t="shared" si="28"/>
        <v>0</v>
      </c>
      <c r="M47" s="625">
        <f t="shared" si="28"/>
        <v>0</v>
      </c>
      <c r="N47" s="624">
        <f t="shared" si="29"/>
        <v>0.37898686679174481</v>
      </c>
      <c r="O47" s="624">
        <f t="shared" si="29"/>
        <v>0</v>
      </c>
      <c r="P47" s="625">
        <f t="shared" si="29"/>
        <v>0</v>
      </c>
      <c r="Q47" s="624">
        <f t="shared" si="29"/>
        <v>0</v>
      </c>
      <c r="R47" s="253"/>
      <c r="S47" s="254">
        <v>868</v>
      </c>
      <c r="T47" s="255">
        <v>266</v>
      </c>
      <c r="U47" s="255">
        <v>906</v>
      </c>
      <c r="V47" s="255">
        <v>798</v>
      </c>
      <c r="W47" s="255">
        <v>400</v>
      </c>
      <c r="X47" s="255">
        <v>674</v>
      </c>
      <c r="Y47" s="256">
        <v>3912</v>
      </c>
      <c r="Z47" s="254"/>
      <c r="AA47" s="255"/>
      <c r="AB47" s="255"/>
      <c r="AC47" s="255"/>
      <c r="AD47" s="255"/>
      <c r="AE47" s="256">
        <v>606</v>
      </c>
      <c r="AF47" s="254"/>
      <c r="AG47" s="255"/>
      <c r="AH47" s="254"/>
    </row>
    <row r="48" spans="1:34">
      <c r="A48" s="886"/>
      <c r="B48" s="239" t="s">
        <v>78</v>
      </c>
      <c r="C48" s="624">
        <f t="shared" si="28"/>
        <v>4.0142276422764231E-2</v>
      </c>
      <c r="D48" s="625">
        <f t="shared" si="28"/>
        <v>4.4979919678714862E-2</v>
      </c>
      <c r="E48" s="625">
        <f t="shared" si="28"/>
        <v>0.10736842105263159</v>
      </c>
      <c r="F48" s="625">
        <f t="shared" si="28"/>
        <v>4.7434996486296559E-2</v>
      </c>
      <c r="G48" s="625">
        <f t="shared" si="28"/>
        <v>9.1845493562231761E-2</v>
      </c>
      <c r="H48" s="626">
        <f t="shared" si="28"/>
        <v>7.9497907949790794E-2</v>
      </c>
      <c r="I48" s="624">
        <f t="shared" si="28"/>
        <v>6.5257017863652941E-2</v>
      </c>
      <c r="J48" s="624">
        <f t="shared" si="28"/>
        <v>0</v>
      </c>
      <c r="K48" s="625">
        <f t="shared" si="28"/>
        <v>0</v>
      </c>
      <c r="L48" s="625">
        <f t="shared" si="28"/>
        <v>0</v>
      </c>
      <c r="M48" s="625">
        <f t="shared" si="28"/>
        <v>0</v>
      </c>
      <c r="N48" s="624">
        <f t="shared" si="29"/>
        <v>0.21263289555972484</v>
      </c>
      <c r="O48" s="624">
        <f t="shared" si="29"/>
        <v>0</v>
      </c>
      <c r="P48" s="625">
        <f t="shared" si="29"/>
        <v>0</v>
      </c>
      <c r="Q48" s="624">
        <f t="shared" si="29"/>
        <v>0.32282084975908892</v>
      </c>
      <c r="R48" s="253"/>
      <c r="S48" s="254">
        <v>158</v>
      </c>
      <c r="T48" s="255">
        <v>56</v>
      </c>
      <c r="U48" s="255">
        <v>306</v>
      </c>
      <c r="V48" s="255">
        <v>135</v>
      </c>
      <c r="W48" s="255">
        <v>107</v>
      </c>
      <c r="X48" s="255">
        <v>133</v>
      </c>
      <c r="Y48" s="256">
        <v>895</v>
      </c>
      <c r="Z48" s="254"/>
      <c r="AA48" s="255"/>
      <c r="AB48" s="255"/>
      <c r="AC48" s="255"/>
      <c r="AD48" s="255"/>
      <c r="AE48" s="256">
        <v>340</v>
      </c>
      <c r="AF48" s="254"/>
      <c r="AG48" s="255"/>
      <c r="AH48" s="254">
        <v>737</v>
      </c>
    </row>
    <row r="49" spans="1:34">
      <c r="A49" s="886"/>
      <c r="B49" s="239" t="s">
        <v>32</v>
      </c>
      <c r="C49" s="624">
        <f t="shared" si="28"/>
        <v>0.11356707317073171</v>
      </c>
      <c r="D49" s="625">
        <f t="shared" si="28"/>
        <v>6.1847389558232935E-2</v>
      </c>
      <c r="E49" s="790">
        <f t="shared" si="28"/>
        <v>0.10526315789473684</v>
      </c>
      <c r="F49" s="625">
        <f t="shared" si="28"/>
        <v>9.0653548840477868E-2</v>
      </c>
      <c r="G49" s="625">
        <f t="shared" si="28"/>
        <v>5.6652360515021462E-2</v>
      </c>
      <c r="H49" s="794">
        <f t="shared" si="28"/>
        <v>4.7818290496114767E-2</v>
      </c>
      <c r="I49" s="624">
        <f t="shared" si="28"/>
        <v>8.9537003281079108E-2</v>
      </c>
      <c r="J49" s="624">
        <f t="shared" si="28"/>
        <v>0</v>
      </c>
      <c r="K49" s="625">
        <f t="shared" si="28"/>
        <v>0</v>
      </c>
      <c r="L49" s="625">
        <f t="shared" si="28"/>
        <v>0</v>
      </c>
      <c r="M49" s="625">
        <f t="shared" si="28"/>
        <v>0</v>
      </c>
      <c r="N49" s="624">
        <f t="shared" si="29"/>
        <v>4.878048780487805E-2</v>
      </c>
      <c r="O49" s="624">
        <f t="shared" si="29"/>
        <v>0</v>
      </c>
      <c r="P49" s="625">
        <f t="shared" si="29"/>
        <v>0</v>
      </c>
      <c r="Q49" s="624">
        <f t="shared" si="29"/>
        <v>0</v>
      </c>
      <c r="R49" s="253"/>
      <c r="S49" s="254">
        <v>447</v>
      </c>
      <c r="T49" s="255">
        <v>77</v>
      </c>
      <c r="U49" s="255">
        <v>300</v>
      </c>
      <c r="V49" s="255">
        <v>258</v>
      </c>
      <c r="W49" s="255">
        <v>66</v>
      </c>
      <c r="X49" s="255">
        <v>80</v>
      </c>
      <c r="Y49" s="256">
        <v>1228</v>
      </c>
      <c r="Z49" s="254"/>
      <c r="AA49" s="255"/>
      <c r="AB49" s="255"/>
      <c r="AC49" s="255"/>
      <c r="AD49" s="255"/>
      <c r="AE49" s="256">
        <v>78</v>
      </c>
      <c r="AF49" s="254"/>
      <c r="AG49" s="255"/>
      <c r="AH49" s="254"/>
    </row>
    <row r="50" spans="1:34">
      <c r="A50" s="886"/>
      <c r="B50" s="239" t="s">
        <v>58</v>
      </c>
      <c r="C50" s="624">
        <f t="shared" si="28"/>
        <v>1.7784552845528454E-3</v>
      </c>
      <c r="D50" s="625">
        <f t="shared" si="28"/>
        <v>1.6867469879518072E-2</v>
      </c>
      <c r="E50" s="792">
        <f t="shared" si="28"/>
        <v>3.5087719298245611E-4</v>
      </c>
      <c r="F50" s="625">
        <f t="shared" si="28"/>
        <v>1.9676739283204497E-2</v>
      </c>
      <c r="G50" s="792">
        <f t="shared" si="28"/>
        <v>1.9742489270386267E-2</v>
      </c>
      <c r="H50" s="626">
        <f t="shared" si="28"/>
        <v>2.3909145248057383E-2</v>
      </c>
      <c r="I50" s="793">
        <f t="shared" si="28"/>
        <v>1.0791104629967189E-2</v>
      </c>
      <c r="J50" s="624">
        <f t="shared" si="28"/>
        <v>0</v>
      </c>
      <c r="K50" s="625">
        <f t="shared" si="28"/>
        <v>0</v>
      </c>
      <c r="L50" s="625">
        <f t="shared" si="28"/>
        <v>0</v>
      </c>
      <c r="M50" s="625">
        <f t="shared" si="28"/>
        <v>0</v>
      </c>
      <c r="N50" s="624">
        <f t="shared" si="29"/>
        <v>5.0031269543464665E-3</v>
      </c>
      <c r="O50" s="624">
        <f t="shared" si="29"/>
        <v>0</v>
      </c>
      <c r="P50" s="625">
        <f t="shared" si="29"/>
        <v>0</v>
      </c>
      <c r="Q50" s="624">
        <f t="shared" si="29"/>
        <v>0.67717915024091113</v>
      </c>
      <c r="R50" s="253"/>
      <c r="S50" s="254">
        <v>7</v>
      </c>
      <c r="T50" s="255">
        <v>21</v>
      </c>
      <c r="U50" s="255">
        <v>1</v>
      </c>
      <c r="V50" s="255">
        <v>56</v>
      </c>
      <c r="W50" s="255">
        <v>23</v>
      </c>
      <c r="X50" s="255">
        <v>40</v>
      </c>
      <c r="Y50" s="256">
        <v>148</v>
      </c>
      <c r="Z50" s="254"/>
      <c r="AA50" s="255"/>
      <c r="AB50" s="255"/>
      <c r="AC50" s="255"/>
      <c r="AD50" s="255"/>
      <c r="AE50" s="256">
        <v>8</v>
      </c>
      <c r="AF50" s="254"/>
      <c r="AG50" s="255"/>
      <c r="AH50" s="254">
        <v>1546</v>
      </c>
    </row>
    <row r="51" spans="1:34">
      <c r="A51" s="887"/>
      <c r="B51" s="436" t="s">
        <v>59</v>
      </c>
      <c r="C51" s="577">
        <f t="shared" si="28"/>
        <v>1</v>
      </c>
      <c r="D51" s="578">
        <f t="shared" si="28"/>
        <v>1</v>
      </c>
      <c r="E51" s="578">
        <f t="shared" si="28"/>
        <v>1</v>
      </c>
      <c r="F51" s="578">
        <f t="shared" si="28"/>
        <v>1</v>
      </c>
      <c r="G51" s="578">
        <f t="shared" si="28"/>
        <v>1</v>
      </c>
      <c r="H51" s="579">
        <f t="shared" si="28"/>
        <v>1</v>
      </c>
      <c r="I51" s="577">
        <f t="shared" si="28"/>
        <v>1</v>
      </c>
      <c r="J51" s="577">
        <f t="shared" si="28"/>
        <v>0</v>
      </c>
      <c r="K51" s="578">
        <f t="shared" si="28"/>
        <v>0</v>
      </c>
      <c r="L51" s="578">
        <f t="shared" si="28"/>
        <v>0</v>
      </c>
      <c r="M51" s="578">
        <f t="shared" si="28"/>
        <v>0</v>
      </c>
      <c r="N51" s="577">
        <f t="shared" si="29"/>
        <v>1</v>
      </c>
      <c r="O51" s="577">
        <f t="shared" si="29"/>
        <v>0</v>
      </c>
      <c r="P51" s="578">
        <f t="shared" si="29"/>
        <v>0</v>
      </c>
      <c r="Q51" s="577">
        <f t="shared" si="29"/>
        <v>1</v>
      </c>
      <c r="R51" s="264"/>
      <c r="S51" s="265">
        <v>3936</v>
      </c>
      <c r="T51" s="266">
        <v>1245</v>
      </c>
      <c r="U51" s="266">
        <v>2850</v>
      </c>
      <c r="V51" s="266">
        <v>2846</v>
      </c>
      <c r="W51" s="266">
        <v>1165</v>
      </c>
      <c r="X51" s="266">
        <v>1673</v>
      </c>
      <c r="Y51" s="267">
        <v>13715</v>
      </c>
      <c r="Z51" s="265"/>
      <c r="AA51" s="266"/>
      <c r="AB51" s="266"/>
      <c r="AC51" s="266"/>
      <c r="AD51" s="266"/>
      <c r="AE51" s="267">
        <v>1599</v>
      </c>
      <c r="AF51" s="265"/>
      <c r="AG51" s="266"/>
      <c r="AH51" s="265">
        <v>2283</v>
      </c>
    </row>
    <row r="52" spans="1:34">
      <c r="A52" s="883" t="s">
        <v>8</v>
      </c>
      <c r="B52" s="240" t="s">
        <v>53</v>
      </c>
      <c r="C52" s="613">
        <f t="shared" ref="C52:M58" si="30">IF(S$58&gt;0,(S52/S$58),0)</f>
        <v>0.32601054481546571</v>
      </c>
      <c r="D52" s="614">
        <f t="shared" si="30"/>
        <v>0</v>
      </c>
      <c r="E52" s="614">
        <f t="shared" si="30"/>
        <v>0.2093107181522916</v>
      </c>
      <c r="F52" s="614">
        <f t="shared" si="30"/>
        <v>0.26988265971316816</v>
      </c>
      <c r="G52" s="614">
        <f t="shared" si="30"/>
        <v>0.2134387351778656</v>
      </c>
      <c r="H52" s="615">
        <f t="shared" si="30"/>
        <v>0.28896672504378285</v>
      </c>
      <c r="I52" s="613">
        <f t="shared" si="30"/>
        <v>0.26150050790886664</v>
      </c>
      <c r="J52" s="613">
        <f t="shared" si="30"/>
        <v>0</v>
      </c>
      <c r="K52" s="614">
        <f t="shared" si="30"/>
        <v>0</v>
      </c>
      <c r="L52" s="614">
        <f t="shared" si="30"/>
        <v>0</v>
      </c>
      <c r="M52" s="614">
        <f t="shared" si="30"/>
        <v>0</v>
      </c>
      <c r="N52" s="613">
        <f t="shared" ref="N52:Q58" si="31">IF(AE$58&gt;0,(AE52/AE$58),0)</f>
        <v>0.33333333333333331</v>
      </c>
      <c r="O52" s="613">
        <f t="shared" si="31"/>
        <v>0</v>
      </c>
      <c r="P52" s="614">
        <f t="shared" si="31"/>
        <v>0</v>
      </c>
      <c r="Q52" s="613">
        <f t="shared" si="31"/>
        <v>7.9069767441860464E-2</v>
      </c>
      <c r="R52" s="244"/>
      <c r="S52" s="245">
        <v>742</v>
      </c>
      <c r="T52" s="246"/>
      <c r="U52" s="246">
        <v>580</v>
      </c>
      <c r="V52" s="246">
        <v>207</v>
      </c>
      <c r="W52" s="246">
        <v>108</v>
      </c>
      <c r="X52" s="246">
        <v>165</v>
      </c>
      <c r="Y52" s="247">
        <v>1802</v>
      </c>
      <c r="Z52" s="245"/>
      <c r="AA52" s="246"/>
      <c r="AB52" s="246"/>
      <c r="AC52" s="246"/>
      <c r="AD52" s="246"/>
      <c r="AE52" s="247">
        <v>632</v>
      </c>
      <c r="AF52" s="245"/>
      <c r="AG52" s="246"/>
      <c r="AH52" s="245">
        <v>17</v>
      </c>
    </row>
    <row r="53" spans="1:34">
      <c r="A53" s="886"/>
      <c r="B53" s="239" t="s">
        <v>93</v>
      </c>
      <c r="C53" s="624">
        <f t="shared" si="30"/>
        <v>0.29393673110720564</v>
      </c>
      <c r="D53" s="625">
        <f t="shared" si="30"/>
        <v>0</v>
      </c>
      <c r="E53" s="625">
        <f t="shared" si="30"/>
        <v>0.29953085528690004</v>
      </c>
      <c r="F53" s="625">
        <f t="shared" si="30"/>
        <v>0.27900912646675358</v>
      </c>
      <c r="G53" s="625">
        <f t="shared" si="30"/>
        <v>0.31422924901185773</v>
      </c>
      <c r="H53" s="626">
        <f t="shared" si="30"/>
        <v>0.28021015761821366</v>
      </c>
      <c r="I53" s="624">
        <f t="shared" si="30"/>
        <v>0.29487737628791177</v>
      </c>
      <c r="J53" s="624">
        <f t="shared" si="30"/>
        <v>0</v>
      </c>
      <c r="K53" s="625">
        <f t="shared" si="30"/>
        <v>0</v>
      </c>
      <c r="L53" s="625">
        <f t="shared" si="30"/>
        <v>0</v>
      </c>
      <c r="M53" s="625">
        <f t="shared" si="30"/>
        <v>0</v>
      </c>
      <c r="N53" s="624">
        <f t="shared" si="31"/>
        <v>0.27584388185654007</v>
      </c>
      <c r="O53" s="624">
        <f t="shared" si="31"/>
        <v>0</v>
      </c>
      <c r="P53" s="625">
        <f t="shared" si="31"/>
        <v>0</v>
      </c>
      <c r="Q53" s="624">
        <f t="shared" si="31"/>
        <v>0.19069767441860466</v>
      </c>
      <c r="R53" s="253"/>
      <c r="S53" s="254">
        <v>669</v>
      </c>
      <c r="T53" s="255"/>
      <c r="U53" s="255">
        <v>830</v>
      </c>
      <c r="V53" s="255">
        <v>214</v>
      </c>
      <c r="W53" s="255">
        <v>159</v>
      </c>
      <c r="X53" s="255">
        <v>160</v>
      </c>
      <c r="Y53" s="256">
        <v>2032</v>
      </c>
      <c r="Z53" s="254"/>
      <c r="AA53" s="255"/>
      <c r="AB53" s="255"/>
      <c r="AC53" s="255"/>
      <c r="AD53" s="255"/>
      <c r="AE53" s="256">
        <v>523</v>
      </c>
      <c r="AF53" s="254"/>
      <c r="AG53" s="255"/>
      <c r="AH53" s="254">
        <v>41</v>
      </c>
    </row>
    <row r="54" spans="1:34">
      <c r="A54" s="886"/>
      <c r="B54" s="239" t="s">
        <v>55</v>
      </c>
      <c r="C54" s="624">
        <f t="shared" si="30"/>
        <v>0.26537785588752194</v>
      </c>
      <c r="D54" s="625">
        <f t="shared" si="30"/>
        <v>0</v>
      </c>
      <c r="E54" s="625">
        <f t="shared" si="30"/>
        <v>0.25478166726813423</v>
      </c>
      <c r="F54" s="625">
        <f t="shared" si="30"/>
        <v>0.33246414602346808</v>
      </c>
      <c r="G54" s="625">
        <f t="shared" si="30"/>
        <v>0.30039525691699603</v>
      </c>
      <c r="H54" s="626">
        <f t="shared" si="30"/>
        <v>0.36952714535901926</v>
      </c>
      <c r="I54" s="624">
        <f t="shared" si="30"/>
        <v>0.27978522710782178</v>
      </c>
      <c r="J54" s="624">
        <f t="shared" si="30"/>
        <v>0</v>
      </c>
      <c r="K54" s="625">
        <f t="shared" si="30"/>
        <v>0</v>
      </c>
      <c r="L54" s="625">
        <f t="shared" si="30"/>
        <v>0</v>
      </c>
      <c r="M54" s="625">
        <f t="shared" si="30"/>
        <v>0</v>
      </c>
      <c r="N54" s="624">
        <f t="shared" si="31"/>
        <v>0.17457805907172996</v>
      </c>
      <c r="O54" s="624">
        <f t="shared" si="31"/>
        <v>0</v>
      </c>
      <c r="P54" s="625">
        <f t="shared" si="31"/>
        <v>0</v>
      </c>
      <c r="Q54" s="624">
        <f t="shared" si="31"/>
        <v>0.25116279069767444</v>
      </c>
      <c r="R54" s="253"/>
      <c r="S54" s="254">
        <v>604</v>
      </c>
      <c r="T54" s="255"/>
      <c r="U54" s="255">
        <v>706</v>
      </c>
      <c r="V54" s="255">
        <v>255</v>
      </c>
      <c r="W54" s="255">
        <v>152</v>
      </c>
      <c r="X54" s="255">
        <v>211</v>
      </c>
      <c r="Y54" s="256">
        <v>1928</v>
      </c>
      <c r="Z54" s="254"/>
      <c r="AA54" s="255"/>
      <c r="AB54" s="255"/>
      <c r="AC54" s="255"/>
      <c r="AD54" s="255"/>
      <c r="AE54" s="256">
        <v>331</v>
      </c>
      <c r="AF54" s="254"/>
      <c r="AG54" s="255"/>
      <c r="AH54" s="254">
        <v>54</v>
      </c>
    </row>
    <row r="55" spans="1:34">
      <c r="A55" s="886"/>
      <c r="B55" s="239" t="s">
        <v>78</v>
      </c>
      <c r="C55" s="791">
        <f t="shared" si="30"/>
        <v>3.5588752196836555E-2</v>
      </c>
      <c r="D55" s="625">
        <f t="shared" si="30"/>
        <v>0</v>
      </c>
      <c r="E55" s="625">
        <f t="shared" si="30"/>
        <v>9.1663659328762179E-2</v>
      </c>
      <c r="F55" s="625">
        <f t="shared" si="30"/>
        <v>0.10169491525423729</v>
      </c>
      <c r="G55" s="625">
        <f t="shared" si="30"/>
        <v>0.16996047430830039</v>
      </c>
      <c r="H55" s="626">
        <f t="shared" si="30"/>
        <v>6.1295971978984239E-2</v>
      </c>
      <c r="I55" s="624">
        <f t="shared" si="30"/>
        <v>7.7492381367000429E-2</v>
      </c>
      <c r="J55" s="624">
        <f t="shared" si="30"/>
        <v>0</v>
      </c>
      <c r="K55" s="625">
        <f t="shared" si="30"/>
        <v>0</v>
      </c>
      <c r="L55" s="625">
        <f t="shared" si="30"/>
        <v>0</v>
      </c>
      <c r="M55" s="625">
        <f t="shared" si="30"/>
        <v>0</v>
      </c>
      <c r="N55" s="624">
        <f t="shared" si="31"/>
        <v>0.19251054852320676</v>
      </c>
      <c r="O55" s="624">
        <f t="shared" si="31"/>
        <v>0</v>
      </c>
      <c r="P55" s="625">
        <f t="shared" si="31"/>
        <v>0</v>
      </c>
      <c r="Q55" s="624">
        <f t="shared" si="31"/>
        <v>0.43720930232558142</v>
      </c>
      <c r="R55" s="253"/>
      <c r="S55" s="254">
        <v>81</v>
      </c>
      <c r="T55" s="255"/>
      <c r="U55" s="255">
        <v>254</v>
      </c>
      <c r="V55" s="255">
        <v>78</v>
      </c>
      <c r="W55" s="255">
        <v>86</v>
      </c>
      <c r="X55" s="255">
        <v>35</v>
      </c>
      <c r="Y55" s="256">
        <v>534</v>
      </c>
      <c r="Z55" s="254"/>
      <c r="AA55" s="255"/>
      <c r="AB55" s="255"/>
      <c r="AC55" s="255"/>
      <c r="AD55" s="255"/>
      <c r="AE55" s="256">
        <v>365</v>
      </c>
      <c r="AF55" s="254"/>
      <c r="AG55" s="255"/>
      <c r="AH55" s="254">
        <v>94</v>
      </c>
    </row>
    <row r="56" spans="1:34">
      <c r="A56" s="886"/>
      <c r="B56" s="239" t="s">
        <v>32</v>
      </c>
      <c r="C56" s="624">
        <f t="shared" si="30"/>
        <v>7.5571177504393669E-2</v>
      </c>
      <c r="D56" s="790">
        <f t="shared" si="30"/>
        <v>0</v>
      </c>
      <c r="E56" s="625">
        <f t="shared" si="30"/>
        <v>0.12342114760014435</v>
      </c>
      <c r="F56" s="625">
        <f t="shared" si="30"/>
        <v>1.6949152542372881E-2</v>
      </c>
      <c r="G56" s="625">
        <f t="shared" si="30"/>
        <v>0</v>
      </c>
      <c r="H56" s="626">
        <f t="shared" si="30"/>
        <v>0</v>
      </c>
      <c r="I56" s="624">
        <f t="shared" si="30"/>
        <v>7.6476563633725153E-2</v>
      </c>
      <c r="J56" s="624">
        <f t="shared" si="30"/>
        <v>0</v>
      </c>
      <c r="K56" s="625">
        <f t="shared" si="30"/>
        <v>0</v>
      </c>
      <c r="L56" s="625">
        <f t="shared" si="30"/>
        <v>0</v>
      </c>
      <c r="M56" s="625">
        <f t="shared" si="30"/>
        <v>0</v>
      </c>
      <c r="N56" s="624">
        <f t="shared" si="31"/>
        <v>0</v>
      </c>
      <c r="O56" s="624">
        <f t="shared" si="31"/>
        <v>0</v>
      </c>
      <c r="P56" s="625">
        <f t="shared" si="31"/>
        <v>0</v>
      </c>
      <c r="Q56" s="624">
        <f t="shared" si="31"/>
        <v>0</v>
      </c>
      <c r="R56" s="253"/>
      <c r="S56" s="254">
        <v>172</v>
      </c>
      <c r="T56" s="255"/>
      <c r="U56" s="255">
        <v>342</v>
      </c>
      <c r="V56" s="255">
        <v>13</v>
      </c>
      <c r="W56" s="255"/>
      <c r="X56" s="255"/>
      <c r="Y56" s="256">
        <v>527</v>
      </c>
      <c r="Z56" s="254"/>
      <c r="AA56" s="255"/>
      <c r="AB56" s="255"/>
      <c r="AC56" s="255"/>
      <c r="AD56" s="255"/>
      <c r="AE56" s="256"/>
      <c r="AF56" s="254"/>
      <c r="AG56" s="255"/>
      <c r="AH56" s="254"/>
    </row>
    <row r="57" spans="1:34">
      <c r="A57" s="886"/>
      <c r="B57" s="239" t="s">
        <v>58</v>
      </c>
      <c r="C57" s="624">
        <f t="shared" si="30"/>
        <v>3.5149384885764497E-3</v>
      </c>
      <c r="D57" s="625">
        <f t="shared" si="30"/>
        <v>0</v>
      </c>
      <c r="E57" s="792">
        <f t="shared" si="30"/>
        <v>2.1291952363767592E-2</v>
      </c>
      <c r="F57" s="625">
        <f t="shared" si="30"/>
        <v>0</v>
      </c>
      <c r="G57" s="792">
        <f t="shared" si="30"/>
        <v>1.976284584980237E-3</v>
      </c>
      <c r="H57" s="626">
        <f t="shared" si="30"/>
        <v>0</v>
      </c>
      <c r="I57" s="793">
        <f t="shared" si="30"/>
        <v>9.8679436946742128E-3</v>
      </c>
      <c r="J57" s="624">
        <f t="shared" si="30"/>
        <v>0</v>
      </c>
      <c r="K57" s="625">
        <f t="shared" si="30"/>
        <v>0</v>
      </c>
      <c r="L57" s="625">
        <f t="shared" si="30"/>
        <v>0</v>
      </c>
      <c r="M57" s="625">
        <f t="shared" si="30"/>
        <v>0</v>
      </c>
      <c r="N57" s="624">
        <f t="shared" si="31"/>
        <v>2.3734177215189875E-2</v>
      </c>
      <c r="O57" s="624">
        <f t="shared" si="31"/>
        <v>0</v>
      </c>
      <c r="P57" s="625">
        <f t="shared" si="31"/>
        <v>0</v>
      </c>
      <c r="Q57" s="624">
        <f t="shared" si="31"/>
        <v>4.1860465116279069E-2</v>
      </c>
      <c r="R57" s="253"/>
      <c r="S57" s="254">
        <v>8</v>
      </c>
      <c r="T57" s="255"/>
      <c r="U57" s="255">
        <v>59</v>
      </c>
      <c r="V57" s="255"/>
      <c r="W57" s="255">
        <v>1</v>
      </c>
      <c r="X57" s="255"/>
      <c r="Y57" s="256">
        <v>68</v>
      </c>
      <c r="Z57" s="254"/>
      <c r="AA57" s="255"/>
      <c r="AB57" s="255"/>
      <c r="AC57" s="255"/>
      <c r="AD57" s="255"/>
      <c r="AE57" s="256">
        <v>45</v>
      </c>
      <c r="AF57" s="254"/>
      <c r="AG57" s="255"/>
      <c r="AH57" s="254">
        <v>9</v>
      </c>
    </row>
    <row r="58" spans="1:34">
      <c r="A58" s="887"/>
      <c r="B58" s="436" t="s">
        <v>59</v>
      </c>
      <c r="C58" s="577">
        <f t="shared" si="30"/>
        <v>1</v>
      </c>
      <c r="D58" s="578">
        <f t="shared" si="30"/>
        <v>0</v>
      </c>
      <c r="E58" s="578">
        <f t="shared" si="30"/>
        <v>1</v>
      </c>
      <c r="F58" s="578">
        <f t="shared" si="30"/>
        <v>1</v>
      </c>
      <c r="G58" s="578">
        <f t="shared" si="30"/>
        <v>1</v>
      </c>
      <c r="H58" s="579">
        <f t="shared" si="30"/>
        <v>1</v>
      </c>
      <c r="I58" s="577">
        <f t="shared" si="30"/>
        <v>1</v>
      </c>
      <c r="J58" s="577">
        <f t="shared" si="30"/>
        <v>0</v>
      </c>
      <c r="K58" s="578">
        <f t="shared" si="30"/>
        <v>0</v>
      </c>
      <c r="L58" s="578">
        <f t="shared" si="30"/>
        <v>0</v>
      </c>
      <c r="M58" s="578">
        <f t="shared" si="30"/>
        <v>0</v>
      </c>
      <c r="N58" s="577">
        <f t="shared" si="31"/>
        <v>1</v>
      </c>
      <c r="O58" s="577">
        <f t="shared" si="31"/>
        <v>0</v>
      </c>
      <c r="P58" s="578">
        <f t="shared" si="31"/>
        <v>0</v>
      </c>
      <c r="Q58" s="577">
        <f t="shared" si="31"/>
        <v>1</v>
      </c>
      <c r="R58" s="264"/>
      <c r="S58" s="265">
        <v>2276</v>
      </c>
      <c r="T58" s="266"/>
      <c r="U58" s="266">
        <v>2771</v>
      </c>
      <c r="V58" s="266">
        <v>767</v>
      </c>
      <c r="W58" s="266">
        <v>506</v>
      </c>
      <c r="X58" s="266">
        <v>571</v>
      </c>
      <c r="Y58" s="267">
        <v>6891</v>
      </c>
      <c r="Z58" s="265"/>
      <c r="AA58" s="266"/>
      <c r="AB58" s="266"/>
      <c r="AC58" s="266"/>
      <c r="AD58" s="266"/>
      <c r="AE58" s="267">
        <v>1896</v>
      </c>
      <c r="AF58" s="265"/>
      <c r="AG58" s="266"/>
      <c r="AH58" s="265">
        <v>215</v>
      </c>
    </row>
    <row r="59" spans="1:34">
      <c r="A59" s="883" t="s">
        <v>9</v>
      </c>
      <c r="B59" s="240" t="s">
        <v>53</v>
      </c>
      <c r="C59" s="613">
        <f t="shared" ref="C59:M65" si="32">IF(S$65&gt;0,(S59/S$65),0)</f>
        <v>0.31380539989811512</v>
      </c>
      <c r="D59" s="614">
        <f t="shared" si="32"/>
        <v>0.24374495560936238</v>
      </c>
      <c r="E59" s="614">
        <f t="shared" si="32"/>
        <v>0.22731439046746105</v>
      </c>
      <c r="F59" s="614">
        <f t="shared" si="32"/>
        <v>0.22786647314949202</v>
      </c>
      <c r="G59" s="614">
        <f t="shared" si="32"/>
        <v>0.18806509945750452</v>
      </c>
      <c r="H59" s="615">
        <f t="shared" si="32"/>
        <v>0.15723270440251572</v>
      </c>
      <c r="I59" s="613">
        <f t="shared" si="32"/>
        <v>0.25207582641391196</v>
      </c>
      <c r="J59" s="613">
        <f t="shared" si="32"/>
        <v>0</v>
      </c>
      <c r="K59" s="614">
        <f t="shared" si="32"/>
        <v>0</v>
      </c>
      <c r="L59" s="614">
        <f t="shared" si="32"/>
        <v>0</v>
      </c>
      <c r="M59" s="614">
        <f t="shared" si="32"/>
        <v>0</v>
      </c>
      <c r="N59" s="613">
        <f t="shared" ref="N59:Q65" si="33">IF(AE$65&gt;0,(AE59/AE$65),0)</f>
        <v>0.1111111111111111</v>
      </c>
      <c r="O59" s="788">
        <f t="shared" si="33"/>
        <v>0</v>
      </c>
      <c r="P59" s="614">
        <f t="shared" si="33"/>
        <v>0</v>
      </c>
      <c r="Q59" s="788">
        <f t="shared" si="33"/>
        <v>4.1463414634146344E-2</v>
      </c>
      <c r="R59" s="244"/>
      <c r="S59" s="245">
        <v>616</v>
      </c>
      <c r="T59" s="246">
        <v>302</v>
      </c>
      <c r="U59" s="246">
        <v>248</v>
      </c>
      <c r="V59" s="246">
        <v>314</v>
      </c>
      <c r="W59" s="246">
        <v>104</v>
      </c>
      <c r="X59" s="246">
        <v>25</v>
      </c>
      <c r="Y59" s="247">
        <v>1609</v>
      </c>
      <c r="Z59" s="245"/>
      <c r="AA59" s="246"/>
      <c r="AB59" s="246"/>
      <c r="AC59" s="246"/>
      <c r="AD59" s="246"/>
      <c r="AE59" s="247">
        <v>138</v>
      </c>
      <c r="AF59" s="245"/>
      <c r="AG59" s="246"/>
      <c r="AH59" s="245">
        <v>17</v>
      </c>
    </row>
    <row r="60" spans="1:34">
      <c r="A60" s="886"/>
      <c r="B60" s="239" t="s">
        <v>93</v>
      </c>
      <c r="C60" s="624">
        <f t="shared" si="32"/>
        <v>0.25827814569536423</v>
      </c>
      <c r="D60" s="625">
        <f t="shared" si="32"/>
        <v>0.28410008071025022</v>
      </c>
      <c r="E60" s="625">
        <f t="shared" si="32"/>
        <v>0.24931255728689275</v>
      </c>
      <c r="F60" s="625">
        <f t="shared" si="32"/>
        <v>0.25036284470246734</v>
      </c>
      <c r="G60" s="625">
        <f t="shared" si="32"/>
        <v>0.24050632911392406</v>
      </c>
      <c r="H60" s="626">
        <f t="shared" si="32"/>
        <v>0.27044025157232704</v>
      </c>
      <c r="I60" s="624">
        <f t="shared" si="32"/>
        <v>0.25881247062509793</v>
      </c>
      <c r="J60" s="624">
        <f t="shared" si="32"/>
        <v>0</v>
      </c>
      <c r="K60" s="625">
        <f t="shared" si="32"/>
        <v>0</v>
      </c>
      <c r="L60" s="625">
        <f t="shared" si="32"/>
        <v>0</v>
      </c>
      <c r="M60" s="625">
        <f t="shared" si="32"/>
        <v>0</v>
      </c>
      <c r="N60" s="624">
        <f t="shared" si="33"/>
        <v>0.14975845410628019</v>
      </c>
      <c r="O60" s="624">
        <f t="shared" si="33"/>
        <v>0</v>
      </c>
      <c r="P60" s="625">
        <f t="shared" si="33"/>
        <v>0</v>
      </c>
      <c r="Q60" s="624">
        <f t="shared" si="33"/>
        <v>1.4634146341463415E-2</v>
      </c>
      <c r="R60" s="253"/>
      <c r="S60" s="254">
        <v>507</v>
      </c>
      <c r="T60" s="255">
        <v>352</v>
      </c>
      <c r="U60" s="255">
        <v>272</v>
      </c>
      <c r="V60" s="255">
        <v>345</v>
      </c>
      <c r="W60" s="255">
        <v>133</v>
      </c>
      <c r="X60" s="255">
        <v>43</v>
      </c>
      <c r="Y60" s="256">
        <v>1652</v>
      </c>
      <c r="Z60" s="254"/>
      <c r="AA60" s="255"/>
      <c r="AB60" s="255"/>
      <c r="AC60" s="255"/>
      <c r="AD60" s="255"/>
      <c r="AE60" s="256">
        <v>186</v>
      </c>
      <c r="AF60" s="254"/>
      <c r="AG60" s="255"/>
      <c r="AH60" s="254">
        <v>6</v>
      </c>
    </row>
    <row r="61" spans="1:34">
      <c r="A61" s="886"/>
      <c r="B61" s="239" t="s">
        <v>55</v>
      </c>
      <c r="C61" s="624">
        <f t="shared" si="32"/>
        <v>0.22669383596535914</v>
      </c>
      <c r="D61" s="625">
        <f t="shared" si="32"/>
        <v>0.21711057304277642</v>
      </c>
      <c r="E61" s="625">
        <f t="shared" si="32"/>
        <v>0.20073327222731438</v>
      </c>
      <c r="F61" s="625">
        <f t="shared" si="32"/>
        <v>0.30769230769230771</v>
      </c>
      <c r="G61" s="625">
        <f t="shared" si="32"/>
        <v>0.48643761301989152</v>
      </c>
      <c r="H61" s="626">
        <f t="shared" si="32"/>
        <v>0.33333333333333331</v>
      </c>
      <c r="I61" s="624">
        <f t="shared" si="32"/>
        <v>0.26304245652514491</v>
      </c>
      <c r="J61" s="624">
        <f t="shared" si="32"/>
        <v>0</v>
      </c>
      <c r="K61" s="625">
        <f t="shared" si="32"/>
        <v>0</v>
      </c>
      <c r="L61" s="625">
        <f t="shared" si="32"/>
        <v>0</v>
      </c>
      <c r="M61" s="625">
        <f t="shared" si="32"/>
        <v>0</v>
      </c>
      <c r="N61" s="624">
        <f t="shared" si="33"/>
        <v>0.19082125603864733</v>
      </c>
      <c r="O61" s="624">
        <f t="shared" si="33"/>
        <v>0</v>
      </c>
      <c r="P61" s="625">
        <f t="shared" si="33"/>
        <v>0</v>
      </c>
      <c r="Q61" s="624">
        <f t="shared" si="33"/>
        <v>2.6829268292682926E-2</v>
      </c>
      <c r="R61" s="253"/>
      <c r="S61" s="254">
        <v>445</v>
      </c>
      <c r="T61" s="255">
        <v>269</v>
      </c>
      <c r="U61" s="255">
        <v>219</v>
      </c>
      <c r="V61" s="255">
        <v>424</v>
      </c>
      <c r="W61" s="255">
        <v>269</v>
      </c>
      <c r="X61" s="255">
        <v>53</v>
      </c>
      <c r="Y61" s="256">
        <v>1679</v>
      </c>
      <c r="Z61" s="254"/>
      <c r="AA61" s="255"/>
      <c r="AB61" s="255"/>
      <c r="AC61" s="255"/>
      <c r="AD61" s="255"/>
      <c r="AE61" s="256">
        <v>237</v>
      </c>
      <c r="AF61" s="254"/>
      <c r="AG61" s="255"/>
      <c r="AH61" s="254">
        <v>11</v>
      </c>
    </row>
    <row r="62" spans="1:34">
      <c r="A62" s="886"/>
      <c r="B62" s="239" t="s">
        <v>78</v>
      </c>
      <c r="C62" s="624">
        <f t="shared" si="32"/>
        <v>0.12226184411614875</v>
      </c>
      <c r="D62" s="625">
        <f t="shared" si="32"/>
        <v>0.23405972558514931</v>
      </c>
      <c r="E62" s="625">
        <f t="shared" si="32"/>
        <v>0.30980751604032997</v>
      </c>
      <c r="F62" s="625">
        <f t="shared" si="32"/>
        <v>0.15239477503628446</v>
      </c>
      <c r="G62" s="625">
        <f t="shared" si="32"/>
        <v>7.0524412296564198E-2</v>
      </c>
      <c r="H62" s="626">
        <f t="shared" si="32"/>
        <v>0.15723270440251572</v>
      </c>
      <c r="I62" s="624">
        <f t="shared" si="32"/>
        <v>0.17891273695754348</v>
      </c>
      <c r="J62" s="624">
        <f t="shared" si="32"/>
        <v>0</v>
      </c>
      <c r="K62" s="625">
        <f t="shared" si="32"/>
        <v>0</v>
      </c>
      <c r="L62" s="625">
        <f t="shared" si="32"/>
        <v>0</v>
      </c>
      <c r="M62" s="625">
        <f t="shared" si="32"/>
        <v>0</v>
      </c>
      <c r="N62" s="624">
        <f t="shared" si="33"/>
        <v>0.53623188405797106</v>
      </c>
      <c r="O62" s="624">
        <f t="shared" si="33"/>
        <v>0</v>
      </c>
      <c r="P62" s="625">
        <f t="shared" si="33"/>
        <v>0</v>
      </c>
      <c r="Q62" s="624">
        <f t="shared" si="33"/>
        <v>0.62926829268292683</v>
      </c>
      <c r="R62" s="253"/>
      <c r="S62" s="254">
        <v>240</v>
      </c>
      <c r="T62" s="255">
        <v>290</v>
      </c>
      <c r="U62" s="255">
        <v>338</v>
      </c>
      <c r="V62" s="255">
        <v>210</v>
      </c>
      <c r="W62" s="255">
        <v>39</v>
      </c>
      <c r="X62" s="255">
        <v>25</v>
      </c>
      <c r="Y62" s="256">
        <v>1142</v>
      </c>
      <c r="Z62" s="254"/>
      <c r="AA62" s="255"/>
      <c r="AB62" s="255"/>
      <c r="AC62" s="255"/>
      <c r="AD62" s="255"/>
      <c r="AE62" s="256">
        <v>666</v>
      </c>
      <c r="AF62" s="254"/>
      <c r="AG62" s="255"/>
      <c r="AH62" s="254">
        <v>258</v>
      </c>
    </row>
    <row r="63" spans="1:34">
      <c r="A63" s="886"/>
      <c r="B63" s="239" t="s">
        <v>32</v>
      </c>
      <c r="C63" s="624">
        <f t="shared" si="32"/>
        <v>1.9867549668874173E-2</v>
      </c>
      <c r="D63" s="625">
        <f t="shared" si="32"/>
        <v>1.9370460048426151E-2</v>
      </c>
      <c r="E63" s="625">
        <f t="shared" si="32"/>
        <v>1.2832263978001834E-2</v>
      </c>
      <c r="F63" s="790">
        <f t="shared" si="32"/>
        <v>5.9506531204644414E-2</v>
      </c>
      <c r="G63" s="625">
        <f t="shared" si="32"/>
        <v>9.0415913200723331E-3</v>
      </c>
      <c r="H63" s="626">
        <f t="shared" si="32"/>
        <v>0</v>
      </c>
      <c r="I63" s="624">
        <f t="shared" si="32"/>
        <v>2.5693247689174369E-2</v>
      </c>
      <c r="J63" s="624">
        <f t="shared" si="32"/>
        <v>0</v>
      </c>
      <c r="K63" s="625">
        <f t="shared" si="32"/>
        <v>0</v>
      </c>
      <c r="L63" s="625">
        <f t="shared" si="32"/>
        <v>0</v>
      </c>
      <c r="M63" s="625">
        <f t="shared" si="32"/>
        <v>0</v>
      </c>
      <c r="N63" s="624">
        <f t="shared" si="33"/>
        <v>0</v>
      </c>
      <c r="O63" s="624">
        <f t="shared" si="33"/>
        <v>0</v>
      </c>
      <c r="P63" s="625">
        <f t="shared" si="33"/>
        <v>0</v>
      </c>
      <c r="Q63" s="791">
        <f t="shared" si="33"/>
        <v>7.3170731707317077E-3</v>
      </c>
      <c r="R63" s="253"/>
      <c r="S63" s="254">
        <v>39</v>
      </c>
      <c r="T63" s="255">
        <v>24</v>
      </c>
      <c r="U63" s="255">
        <v>14</v>
      </c>
      <c r="V63" s="255">
        <v>82</v>
      </c>
      <c r="W63" s="255">
        <v>5</v>
      </c>
      <c r="X63" s="255"/>
      <c r="Y63" s="256">
        <v>164</v>
      </c>
      <c r="Z63" s="254"/>
      <c r="AA63" s="255"/>
      <c r="AB63" s="255"/>
      <c r="AC63" s="255"/>
      <c r="AD63" s="255"/>
      <c r="AE63" s="256"/>
      <c r="AF63" s="254"/>
      <c r="AG63" s="255"/>
      <c r="AH63" s="254">
        <v>3</v>
      </c>
    </row>
    <row r="64" spans="1:34">
      <c r="A64" s="886"/>
      <c r="B64" s="239" t="s">
        <v>58</v>
      </c>
      <c r="C64" s="624">
        <f t="shared" si="32"/>
        <v>5.9093224656138567E-2</v>
      </c>
      <c r="D64" s="625">
        <f t="shared" si="32"/>
        <v>1.6142050040355124E-3</v>
      </c>
      <c r="E64" s="625">
        <f t="shared" si="32"/>
        <v>0</v>
      </c>
      <c r="F64" s="790">
        <f t="shared" si="32"/>
        <v>2.1770682148040637E-3</v>
      </c>
      <c r="G64" s="792">
        <f t="shared" si="32"/>
        <v>5.4249547920433997E-3</v>
      </c>
      <c r="H64" s="626">
        <f t="shared" si="32"/>
        <v>8.1761006289308172E-2</v>
      </c>
      <c r="I64" s="624">
        <f t="shared" si="32"/>
        <v>2.1463261789127368E-2</v>
      </c>
      <c r="J64" s="624">
        <f t="shared" si="32"/>
        <v>0</v>
      </c>
      <c r="K64" s="625">
        <f t="shared" si="32"/>
        <v>0</v>
      </c>
      <c r="L64" s="625">
        <f t="shared" si="32"/>
        <v>0</v>
      </c>
      <c r="M64" s="625">
        <f t="shared" si="32"/>
        <v>0</v>
      </c>
      <c r="N64" s="624">
        <f t="shared" si="33"/>
        <v>1.2077294685990338E-2</v>
      </c>
      <c r="O64" s="624">
        <f t="shared" si="33"/>
        <v>0</v>
      </c>
      <c r="P64" s="625">
        <f t="shared" si="33"/>
        <v>0</v>
      </c>
      <c r="Q64" s="624">
        <f t="shared" si="33"/>
        <v>0.28048780487804881</v>
      </c>
      <c r="R64" s="253"/>
      <c r="S64" s="254">
        <v>116</v>
      </c>
      <c r="T64" s="255">
        <v>2</v>
      </c>
      <c r="U64" s="255"/>
      <c r="V64" s="255">
        <v>3</v>
      </c>
      <c r="W64" s="255">
        <v>3</v>
      </c>
      <c r="X64" s="255">
        <v>13</v>
      </c>
      <c r="Y64" s="256">
        <v>137</v>
      </c>
      <c r="Z64" s="254"/>
      <c r="AA64" s="255"/>
      <c r="AB64" s="255"/>
      <c r="AC64" s="255"/>
      <c r="AD64" s="255"/>
      <c r="AE64" s="256">
        <v>15</v>
      </c>
      <c r="AF64" s="254"/>
      <c r="AG64" s="255"/>
      <c r="AH64" s="254">
        <v>115</v>
      </c>
    </row>
    <row r="65" spans="1:34">
      <c r="A65" s="887"/>
      <c r="B65" s="436" t="s">
        <v>59</v>
      </c>
      <c r="C65" s="577">
        <f t="shared" si="32"/>
        <v>1</v>
      </c>
      <c r="D65" s="578">
        <f t="shared" si="32"/>
        <v>1</v>
      </c>
      <c r="E65" s="578">
        <f t="shared" si="32"/>
        <v>1</v>
      </c>
      <c r="F65" s="578">
        <f t="shared" si="32"/>
        <v>1</v>
      </c>
      <c r="G65" s="578">
        <f t="shared" si="32"/>
        <v>1</v>
      </c>
      <c r="H65" s="579">
        <f t="shared" si="32"/>
        <v>1</v>
      </c>
      <c r="I65" s="577">
        <f t="shared" si="32"/>
        <v>1</v>
      </c>
      <c r="J65" s="577">
        <f t="shared" si="32"/>
        <v>0</v>
      </c>
      <c r="K65" s="578">
        <f t="shared" si="32"/>
        <v>0</v>
      </c>
      <c r="L65" s="578">
        <f t="shared" si="32"/>
        <v>0</v>
      </c>
      <c r="M65" s="578">
        <f t="shared" si="32"/>
        <v>0</v>
      </c>
      <c r="N65" s="577">
        <f t="shared" si="33"/>
        <v>1</v>
      </c>
      <c r="O65" s="577">
        <f t="shared" si="33"/>
        <v>0</v>
      </c>
      <c r="P65" s="578">
        <f t="shared" si="33"/>
        <v>0</v>
      </c>
      <c r="Q65" s="577">
        <f t="shared" si="33"/>
        <v>1</v>
      </c>
      <c r="R65" s="264"/>
      <c r="S65" s="265">
        <v>1963</v>
      </c>
      <c r="T65" s="266">
        <v>1239</v>
      </c>
      <c r="U65" s="266">
        <v>1091</v>
      </c>
      <c r="V65" s="266">
        <v>1378</v>
      </c>
      <c r="W65" s="266">
        <v>553</v>
      </c>
      <c r="X65" s="266">
        <v>159</v>
      </c>
      <c r="Y65" s="267">
        <v>6383</v>
      </c>
      <c r="Z65" s="265"/>
      <c r="AA65" s="266"/>
      <c r="AB65" s="266"/>
      <c r="AC65" s="266"/>
      <c r="AD65" s="266"/>
      <c r="AE65" s="267">
        <v>1242</v>
      </c>
      <c r="AF65" s="265"/>
      <c r="AG65" s="266"/>
      <c r="AH65" s="265">
        <v>410</v>
      </c>
    </row>
    <row r="66" spans="1:34">
      <c r="A66" s="883" t="s">
        <v>10</v>
      </c>
      <c r="B66" s="240" t="s">
        <v>53</v>
      </c>
      <c r="C66" s="613">
        <f t="shared" ref="C66:M72" si="34">IF(S$72&gt;0,(S66/S$72),0)</f>
        <v>0.30692779888921368</v>
      </c>
      <c r="D66" s="614">
        <f t="shared" si="34"/>
        <v>0.23029045643153526</v>
      </c>
      <c r="E66" s="614">
        <f t="shared" si="34"/>
        <v>0.23394495412844038</v>
      </c>
      <c r="F66" s="614">
        <f t="shared" si="34"/>
        <v>0.23922231614539308</v>
      </c>
      <c r="G66" s="614">
        <f t="shared" si="34"/>
        <v>0.2179930795847751</v>
      </c>
      <c r="H66" s="615">
        <f t="shared" si="34"/>
        <v>0.18237082066869301</v>
      </c>
      <c r="I66" s="613">
        <f t="shared" si="34"/>
        <v>0.26271083606358453</v>
      </c>
      <c r="J66" s="613">
        <f t="shared" si="34"/>
        <v>0</v>
      </c>
      <c r="K66" s="614">
        <f t="shared" si="34"/>
        <v>0</v>
      </c>
      <c r="L66" s="614">
        <f t="shared" si="34"/>
        <v>0</v>
      </c>
      <c r="M66" s="614">
        <f t="shared" si="34"/>
        <v>0</v>
      </c>
      <c r="N66" s="613">
        <f t="shared" ref="N66:Q72" si="35">IF(AE$72&gt;0,(AE66/AE$72),0)</f>
        <v>0.31578947368421051</v>
      </c>
      <c r="O66" s="788">
        <f t="shared" si="35"/>
        <v>0</v>
      </c>
      <c r="P66" s="614">
        <f t="shared" si="35"/>
        <v>0</v>
      </c>
      <c r="Q66" s="788">
        <f t="shared" si="35"/>
        <v>0</v>
      </c>
      <c r="R66" s="244"/>
      <c r="S66" s="245">
        <v>1050</v>
      </c>
      <c r="T66" s="246">
        <v>222</v>
      </c>
      <c r="U66" s="246">
        <v>204</v>
      </c>
      <c r="V66" s="246">
        <v>566</v>
      </c>
      <c r="W66" s="246">
        <v>63</v>
      </c>
      <c r="X66" s="246">
        <v>60</v>
      </c>
      <c r="Y66" s="247">
        <v>2165</v>
      </c>
      <c r="Z66" s="245"/>
      <c r="AA66" s="246"/>
      <c r="AB66" s="246"/>
      <c r="AC66" s="246"/>
      <c r="AD66" s="246"/>
      <c r="AE66" s="247">
        <v>798</v>
      </c>
      <c r="AF66" s="245"/>
      <c r="AG66" s="246"/>
      <c r="AH66" s="245"/>
    </row>
    <row r="67" spans="1:34">
      <c r="A67" s="886"/>
      <c r="B67" s="239" t="s">
        <v>93</v>
      </c>
      <c r="C67" s="624">
        <f t="shared" si="34"/>
        <v>0.17831043554516224</v>
      </c>
      <c r="D67" s="625">
        <f t="shared" si="34"/>
        <v>0.3091286307053942</v>
      </c>
      <c r="E67" s="625">
        <f t="shared" si="34"/>
        <v>0.24197247706422018</v>
      </c>
      <c r="F67" s="625">
        <f t="shared" si="34"/>
        <v>0.28275570583262893</v>
      </c>
      <c r="G67" s="625">
        <f t="shared" si="34"/>
        <v>0.26643598615916952</v>
      </c>
      <c r="H67" s="626">
        <f t="shared" si="34"/>
        <v>0.3161094224924012</v>
      </c>
      <c r="I67" s="624">
        <f t="shared" si="34"/>
        <v>0.23892731464628078</v>
      </c>
      <c r="J67" s="624">
        <f t="shared" si="34"/>
        <v>0</v>
      </c>
      <c r="K67" s="625">
        <f t="shared" si="34"/>
        <v>0</v>
      </c>
      <c r="L67" s="625">
        <f t="shared" si="34"/>
        <v>0</v>
      </c>
      <c r="M67" s="625">
        <f t="shared" si="34"/>
        <v>0</v>
      </c>
      <c r="N67" s="624">
        <f t="shared" si="35"/>
        <v>0.2817570241392956</v>
      </c>
      <c r="O67" s="624">
        <f t="shared" si="35"/>
        <v>0</v>
      </c>
      <c r="P67" s="625">
        <f t="shared" si="35"/>
        <v>0</v>
      </c>
      <c r="Q67" s="624">
        <f t="shared" si="35"/>
        <v>0</v>
      </c>
      <c r="R67" s="253"/>
      <c r="S67" s="254">
        <v>610</v>
      </c>
      <c r="T67" s="255">
        <v>298</v>
      </c>
      <c r="U67" s="255">
        <v>211</v>
      </c>
      <c r="V67" s="255">
        <v>669</v>
      </c>
      <c r="W67" s="255">
        <v>77</v>
      </c>
      <c r="X67" s="255">
        <v>104</v>
      </c>
      <c r="Y67" s="256">
        <v>1969</v>
      </c>
      <c r="Z67" s="254"/>
      <c r="AA67" s="255"/>
      <c r="AB67" s="255"/>
      <c r="AC67" s="255"/>
      <c r="AD67" s="255"/>
      <c r="AE67" s="256">
        <v>712</v>
      </c>
      <c r="AF67" s="254"/>
      <c r="AG67" s="255"/>
      <c r="AH67" s="254"/>
    </row>
    <row r="68" spans="1:34">
      <c r="A68" s="886"/>
      <c r="B68" s="239" t="s">
        <v>55</v>
      </c>
      <c r="C68" s="624">
        <f t="shared" si="34"/>
        <v>0.16691026015784857</v>
      </c>
      <c r="D68" s="625">
        <f t="shared" si="34"/>
        <v>0.21887966804979253</v>
      </c>
      <c r="E68" s="625">
        <f t="shared" si="34"/>
        <v>0.27064220183486237</v>
      </c>
      <c r="F68" s="625">
        <f t="shared" si="34"/>
        <v>0.30219780219780218</v>
      </c>
      <c r="G68" s="625">
        <f t="shared" si="34"/>
        <v>0.44636678200692043</v>
      </c>
      <c r="H68" s="626">
        <f t="shared" si="34"/>
        <v>0.22796352583586627</v>
      </c>
      <c r="I68" s="624">
        <f t="shared" si="34"/>
        <v>0.23504429074141486</v>
      </c>
      <c r="J68" s="624">
        <f t="shared" si="34"/>
        <v>0</v>
      </c>
      <c r="K68" s="625">
        <f t="shared" si="34"/>
        <v>0</v>
      </c>
      <c r="L68" s="625">
        <f t="shared" si="34"/>
        <v>0</v>
      </c>
      <c r="M68" s="625">
        <f t="shared" si="34"/>
        <v>0</v>
      </c>
      <c r="N68" s="624">
        <f t="shared" si="35"/>
        <v>0.30747922437673131</v>
      </c>
      <c r="O68" s="624">
        <f t="shared" si="35"/>
        <v>0</v>
      </c>
      <c r="P68" s="625">
        <f t="shared" si="35"/>
        <v>0</v>
      </c>
      <c r="Q68" s="624">
        <f t="shared" si="35"/>
        <v>0</v>
      </c>
      <c r="R68" s="253"/>
      <c r="S68" s="254">
        <v>571</v>
      </c>
      <c r="T68" s="255">
        <v>211</v>
      </c>
      <c r="U68" s="255">
        <v>236</v>
      </c>
      <c r="V68" s="255">
        <v>715</v>
      </c>
      <c r="W68" s="255">
        <v>129</v>
      </c>
      <c r="X68" s="255">
        <v>75</v>
      </c>
      <c r="Y68" s="256">
        <v>1937</v>
      </c>
      <c r="Z68" s="254"/>
      <c r="AA68" s="255"/>
      <c r="AB68" s="255"/>
      <c r="AC68" s="255"/>
      <c r="AD68" s="255"/>
      <c r="AE68" s="256">
        <v>777</v>
      </c>
      <c r="AF68" s="254"/>
      <c r="AG68" s="255"/>
      <c r="AH68" s="254"/>
    </row>
    <row r="69" spans="1:34">
      <c r="A69" s="886"/>
      <c r="B69" s="239" t="s">
        <v>78</v>
      </c>
      <c r="C69" s="624">
        <f t="shared" si="34"/>
        <v>1.2861736334405145E-2</v>
      </c>
      <c r="D69" s="625">
        <f t="shared" si="34"/>
        <v>1.5560165975103735E-2</v>
      </c>
      <c r="E69" s="625">
        <f t="shared" si="34"/>
        <v>2.6376146788990827E-2</v>
      </c>
      <c r="F69" s="625">
        <f t="shared" si="34"/>
        <v>4.2688081149619611E-2</v>
      </c>
      <c r="G69" s="625">
        <f t="shared" si="34"/>
        <v>6.9204152249134954E-2</v>
      </c>
      <c r="H69" s="626">
        <f t="shared" si="34"/>
        <v>0.27051671732522797</v>
      </c>
      <c r="I69" s="624">
        <f t="shared" si="34"/>
        <v>3.5432593131901467E-2</v>
      </c>
      <c r="J69" s="624">
        <f t="shared" si="34"/>
        <v>0</v>
      </c>
      <c r="K69" s="625">
        <f t="shared" si="34"/>
        <v>0</v>
      </c>
      <c r="L69" s="625">
        <f t="shared" si="34"/>
        <v>0</v>
      </c>
      <c r="M69" s="625">
        <f t="shared" si="34"/>
        <v>0</v>
      </c>
      <c r="N69" s="624">
        <f t="shared" si="35"/>
        <v>7.8749505342303128E-2</v>
      </c>
      <c r="O69" s="624">
        <f t="shared" si="35"/>
        <v>0</v>
      </c>
      <c r="P69" s="625">
        <f t="shared" si="35"/>
        <v>0</v>
      </c>
      <c r="Q69" s="624">
        <f t="shared" si="35"/>
        <v>1</v>
      </c>
      <c r="R69" s="253"/>
      <c r="S69" s="254">
        <v>44</v>
      </c>
      <c r="T69" s="255">
        <v>15</v>
      </c>
      <c r="U69" s="255">
        <v>23</v>
      </c>
      <c r="V69" s="255">
        <v>101</v>
      </c>
      <c r="W69" s="255">
        <v>20</v>
      </c>
      <c r="X69" s="255">
        <v>89</v>
      </c>
      <c r="Y69" s="256">
        <v>292</v>
      </c>
      <c r="Z69" s="254"/>
      <c r="AA69" s="255"/>
      <c r="AB69" s="255"/>
      <c r="AC69" s="255"/>
      <c r="AD69" s="255"/>
      <c r="AE69" s="256">
        <v>199</v>
      </c>
      <c r="AF69" s="254"/>
      <c r="AG69" s="255"/>
      <c r="AH69" s="254">
        <v>27</v>
      </c>
    </row>
    <row r="70" spans="1:34">
      <c r="A70" s="886"/>
      <c r="B70" s="239" t="s">
        <v>32</v>
      </c>
      <c r="C70" s="624">
        <f t="shared" si="34"/>
        <v>0.21426483484361297</v>
      </c>
      <c r="D70" s="625">
        <f t="shared" si="34"/>
        <v>0.22614107883817428</v>
      </c>
      <c r="E70" s="625">
        <f t="shared" si="34"/>
        <v>0.22706422018348624</v>
      </c>
      <c r="F70" s="625">
        <f t="shared" si="34"/>
        <v>0.1242603550295858</v>
      </c>
      <c r="G70" s="625">
        <f t="shared" si="34"/>
        <v>0</v>
      </c>
      <c r="H70" s="626">
        <f t="shared" si="34"/>
        <v>3.0395136778115501E-3</v>
      </c>
      <c r="I70" s="624">
        <f t="shared" si="34"/>
        <v>0.17522145370707437</v>
      </c>
      <c r="J70" s="624">
        <f t="shared" si="34"/>
        <v>0</v>
      </c>
      <c r="K70" s="625">
        <f t="shared" si="34"/>
        <v>0</v>
      </c>
      <c r="L70" s="625">
        <f t="shared" si="34"/>
        <v>0</v>
      </c>
      <c r="M70" s="790">
        <f t="shared" si="34"/>
        <v>0</v>
      </c>
      <c r="N70" s="791">
        <f t="shared" si="35"/>
        <v>3.9572615749901069E-4</v>
      </c>
      <c r="O70" s="624">
        <f t="shared" si="35"/>
        <v>0</v>
      </c>
      <c r="P70" s="625">
        <f t="shared" si="35"/>
        <v>0</v>
      </c>
      <c r="Q70" s="624">
        <f t="shared" si="35"/>
        <v>0</v>
      </c>
      <c r="R70" s="253"/>
      <c r="S70" s="254">
        <v>733</v>
      </c>
      <c r="T70" s="255">
        <v>218</v>
      </c>
      <c r="U70" s="255">
        <v>198</v>
      </c>
      <c r="V70" s="255">
        <v>294</v>
      </c>
      <c r="W70" s="255"/>
      <c r="X70" s="255">
        <v>1</v>
      </c>
      <c r="Y70" s="256">
        <v>1444</v>
      </c>
      <c r="Z70" s="254"/>
      <c r="AA70" s="255"/>
      <c r="AB70" s="255"/>
      <c r="AC70" s="255"/>
      <c r="AD70" s="255"/>
      <c r="AE70" s="256">
        <v>1</v>
      </c>
      <c r="AF70" s="254"/>
      <c r="AG70" s="255"/>
      <c r="AH70" s="254"/>
    </row>
    <row r="71" spans="1:34">
      <c r="A71" s="886"/>
      <c r="B71" s="239" t="s">
        <v>58</v>
      </c>
      <c r="C71" s="624">
        <f t="shared" si="34"/>
        <v>0.12072493422975739</v>
      </c>
      <c r="D71" s="625">
        <f t="shared" si="34"/>
        <v>0</v>
      </c>
      <c r="E71" s="792">
        <f t="shared" si="34"/>
        <v>0</v>
      </c>
      <c r="F71" s="625">
        <f t="shared" si="34"/>
        <v>8.8757396449704144E-3</v>
      </c>
      <c r="G71" s="792">
        <f t="shared" si="34"/>
        <v>0</v>
      </c>
      <c r="H71" s="626">
        <f t="shared" si="34"/>
        <v>0</v>
      </c>
      <c r="I71" s="793">
        <f t="shared" si="34"/>
        <v>5.2663511709743961E-2</v>
      </c>
      <c r="J71" s="624">
        <f t="shared" si="34"/>
        <v>0</v>
      </c>
      <c r="K71" s="625">
        <f t="shared" si="34"/>
        <v>0</v>
      </c>
      <c r="L71" s="625">
        <f t="shared" si="34"/>
        <v>0</v>
      </c>
      <c r="M71" s="625">
        <f t="shared" si="34"/>
        <v>0</v>
      </c>
      <c r="N71" s="624">
        <f t="shared" si="35"/>
        <v>1.5829046299960427E-2</v>
      </c>
      <c r="O71" s="624">
        <f t="shared" si="35"/>
        <v>0</v>
      </c>
      <c r="P71" s="625">
        <f t="shared" si="35"/>
        <v>0</v>
      </c>
      <c r="Q71" s="624">
        <f t="shared" si="35"/>
        <v>0</v>
      </c>
      <c r="R71" s="253"/>
      <c r="S71" s="254">
        <v>413</v>
      </c>
      <c r="T71" s="255"/>
      <c r="U71" s="255"/>
      <c r="V71" s="255">
        <v>21</v>
      </c>
      <c r="W71" s="255"/>
      <c r="X71" s="255"/>
      <c r="Y71" s="256">
        <v>434</v>
      </c>
      <c r="Z71" s="254"/>
      <c r="AA71" s="255"/>
      <c r="AB71" s="255"/>
      <c r="AC71" s="255"/>
      <c r="AD71" s="255"/>
      <c r="AE71" s="256">
        <v>40</v>
      </c>
      <c r="AF71" s="254"/>
      <c r="AG71" s="255"/>
      <c r="AH71" s="254"/>
    </row>
    <row r="72" spans="1:34">
      <c r="A72" s="887"/>
      <c r="B72" s="436" t="s">
        <v>59</v>
      </c>
      <c r="C72" s="577">
        <f t="shared" si="34"/>
        <v>1</v>
      </c>
      <c r="D72" s="578">
        <f t="shared" si="34"/>
        <v>1</v>
      </c>
      <c r="E72" s="578">
        <f t="shared" si="34"/>
        <v>1</v>
      </c>
      <c r="F72" s="578">
        <f t="shared" si="34"/>
        <v>1</v>
      </c>
      <c r="G72" s="578">
        <f t="shared" si="34"/>
        <v>1</v>
      </c>
      <c r="H72" s="579">
        <f t="shared" si="34"/>
        <v>1</v>
      </c>
      <c r="I72" s="577">
        <f t="shared" si="34"/>
        <v>1</v>
      </c>
      <c r="J72" s="577">
        <f t="shared" si="34"/>
        <v>0</v>
      </c>
      <c r="K72" s="578">
        <f t="shared" si="34"/>
        <v>0</v>
      </c>
      <c r="L72" s="578">
        <f t="shared" si="34"/>
        <v>0</v>
      </c>
      <c r="M72" s="578">
        <f t="shared" si="34"/>
        <v>0</v>
      </c>
      <c r="N72" s="577">
        <f t="shared" si="35"/>
        <v>1</v>
      </c>
      <c r="O72" s="577">
        <f t="shared" si="35"/>
        <v>0</v>
      </c>
      <c r="P72" s="578">
        <f t="shared" si="35"/>
        <v>0</v>
      </c>
      <c r="Q72" s="577">
        <f t="shared" si="35"/>
        <v>1</v>
      </c>
      <c r="R72" s="264"/>
      <c r="S72" s="265">
        <v>3421</v>
      </c>
      <c r="T72" s="266">
        <v>964</v>
      </c>
      <c r="U72" s="266">
        <v>872</v>
      </c>
      <c r="V72" s="266">
        <v>2366</v>
      </c>
      <c r="W72" s="266">
        <v>289</v>
      </c>
      <c r="X72" s="266">
        <v>329</v>
      </c>
      <c r="Y72" s="267">
        <v>8241</v>
      </c>
      <c r="Z72" s="265"/>
      <c r="AA72" s="266"/>
      <c r="AB72" s="266"/>
      <c r="AC72" s="266"/>
      <c r="AD72" s="266"/>
      <c r="AE72" s="267">
        <v>2527</v>
      </c>
      <c r="AF72" s="265"/>
      <c r="AG72" s="266"/>
      <c r="AH72" s="265">
        <v>27</v>
      </c>
    </row>
    <row r="73" spans="1:34">
      <c r="A73" s="883" t="s">
        <v>11</v>
      </c>
      <c r="B73" s="240" t="s">
        <v>53</v>
      </c>
      <c r="C73" s="613">
        <f t="shared" ref="C73:M79" si="36">IF(S$79&gt;0,(S73/S$79),0)</f>
        <v>0.22033898305084745</v>
      </c>
      <c r="D73" s="614">
        <f t="shared" si="36"/>
        <v>0.19867549668874171</v>
      </c>
      <c r="E73" s="614">
        <f t="shared" si="36"/>
        <v>0.30373831775700932</v>
      </c>
      <c r="F73" s="614">
        <f t="shared" si="36"/>
        <v>0.18594436310395315</v>
      </c>
      <c r="G73" s="614">
        <f t="shared" si="36"/>
        <v>0.25892857142857145</v>
      </c>
      <c r="H73" s="615">
        <f t="shared" si="36"/>
        <v>0.15032679738562091</v>
      </c>
      <c r="I73" s="613">
        <f t="shared" si="36"/>
        <v>0.21166861143523921</v>
      </c>
      <c r="J73" s="613">
        <f t="shared" si="36"/>
        <v>0</v>
      </c>
      <c r="K73" s="614">
        <f t="shared" si="36"/>
        <v>0</v>
      </c>
      <c r="L73" s="614">
        <f t="shared" si="36"/>
        <v>0</v>
      </c>
      <c r="M73" s="614">
        <f t="shared" si="36"/>
        <v>0</v>
      </c>
      <c r="N73" s="613">
        <f t="shared" ref="N73:Q79" si="37">IF(AE$79&gt;0,(AE73/AE$79),0)</f>
        <v>0</v>
      </c>
      <c r="O73" s="788">
        <f t="shared" si="37"/>
        <v>0</v>
      </c>
      <c r="P73" s="614">
        <f t="shared" si="37"/>
        <v>0</v>
      </c>
      <c r="Q73" s="788">
        <f t="shared" si="37"/>
        <v>0</v>
      </c>
      <c r="R73" s="244"/>
      <c r="S73" s="245">
        <v>364</v>
      </c>
      <c r="T73" s="246">
        <v>270</v>
      </c>
      <c r="U73" s="246">
        <v>65</v>
      </c>
      <c r="V73" s="246">
        <v>127</v>
      </c>
      <c r="W73" s="246">
        <v>58</v>
      </c>
      <c r="X73" s="246">
        <v>23</v>
      </c>
      <c r="Y73" s="247">
        <v>907</v>
      </c>
      <c r="Z73" s="245"/>
      <c r="AA73" s="246"/>
      <c r="AB73" s="246"/>
      <c r="AC73" s="246"/>
      <c r="AD73" s="246"/>
      <c r="AE73" s="247"/>
      <c r="AF73" s="245"/>
      <c r="AG73" s="246"/>
      <c r="AH73" s="245"/>
    </row>
    <row r="74" spans="1:34">
      <c r="A74" s="886"/>
      <c r="B74" s="239" t="s">
        <v>93</v>
      </c>
      <c r="C74" s="624">
        <f t="shared" si="36"/>
        <v>0.27481840193704599</v>
      </c>
      <c r="D74" s="625">
        <f t="shared" si="36"/>
        <v>0.26342899190581309</v>
      </c>
      <c r="E74" s="625">
        <f t="shared" si="36"/>
        <v>0.1822429906542056</v>
      </c>
      <c r="F74" s="625">
        <f t="shared" si="36"/>
        <v>0.21669106881405564</v>
      </c>
      <c r="G74" s="625">
        <f t="shared" si="36"/>
        <v>0.24553571428571427</v>
      </c>
      <c r="H74" s="626">
        <f t="shared" si="36"/>
        <v>0.31372549019607843</v>
      </c>
      <c r="I74" s="624">
        <f t="shared" si="36"/>
        <v>0.25717619603267211</v>
      </c>
      <c r="J74" s="624">
        <f t="shared" si="36"/>
        <v>0</v>
      </c>
      <c r="K74" s="625">
        <f t="shared" si="36"/>
        <v>0</v>
      </c>
      <c r="L74" s="625">
        <f t="shared" si="36"/>
        <v>0</v>
      </c>
      <c r="M74" s="625">
        <f t="shared" si="36"/>
        <v>0</v>
      </c>
      <c r="N74" s="624">
        <f t="shared" si="37"/>
        <v>0</v>
      </c>
      <c r="O74" s="624">
        <f t="shared" si="37"/>
        <v>0</v>
      </c>
      <c r="P74" s="625">
        <f t="shared" si="37"/>
        <v>0</v>
      </c>
      <c r="Q74" s="624">
        <f t="shared" si="37"/>
        <v>0</v>
      </c>
      <c r="R74" s="253"/>
      <c r="S74" s="254">
        <v>454</v>
      </c>
      <c r="T74" s="255">
        <v>358</v>
      </c>
      <c r="U74" s="255">
        <v>39</v>
      </c>
      <c r="V74" s="255">
        <v>148</v>
      </c>
      <c r="W74" s="255">
        <v>55</v>
      </c>
      <c r="X74" s="255">
        <v>48</v>
      </c>
      <c r="Y74" s="256">
        <v>1102</v>
      </c>
      <c r="Z74" s="254"/>
      <c r="AA74" s="255"/>
      <c r="AB74" s="255"/>
      <c r="AC74" s="255"/>
      <c r="AD74" s="255"/>
      <c r="AE74" s="256"/>
      <c r="AF74" s="254"/>
      <c r="AG74" s="255"/>
      <c r="AH74" s="254"/>
    </row>
    <row r="75" spans="1:34">
      <c r="A75" s="886"/>
      <c r="B75" s="239" t="s">
        <v>55</v>
      </c>
      <c r="C75" s="624">
        <f t="shared" si="36"/>
        <v>0.29539951573849876</v>
      </c>
      <c r="D75" s="625">
        <f t="shared" si="36"/>
        <v>0.32303164091243564</v>
      </c>
      <c r="E75" s="625">
        <f t="shared" si="36"/>
        <v>0.31775700934579437</v>
      </c>
      <c r="F75" s="625">
        <f t="shared" si="36"/>
        <v>0.36163982430453878</v>
      </c>
      <c r="G75" s="625">
        <f t="shared" si="36"/>
        <v>0.27232142857142855</v>
      </c>
      <c r="H75" s="626">
        <f t="shared" si="36"/>
        <v>0.33333333333333331</v>
      </c>
      <c r="I75" s="624">
        <f t="shared" si="36"/>
        <v>0.31598599766627772</v>
      </c>
      <c r="J75" s="624">
        <f t="shared" si="36"/>
        <v>0</v>
      </c>
      <c r="K75" s="625">
        <f t="shared" si="36"/>
        <v>0</v>
      </c>
      <c r="L75" s="625">
        <f t="shared" si="36"/>
        <v>0</v>
      </c>
      <c r="M75" s="625">
        <f t="shared" si="36"/>
        <v>0</v>
      </c>
      <c r="N75" s="624">
        <f t="shared" si="37"/>
        <v>0</v>
      </c>
      <c r="O75" s="624">
        <f t="shared" si="37"/>
        <v>0</v>
      </c>
      <c r="P75" s="625">
        <f t="shared" si="37"/>
        <v>0</v>
      </c>
      <c r="Q75" s="624">
        <f t="shared" si="37"/>
        <v>0</v>
      </c>
      <c r="R75" s="253"/>
      <c r="S75" s="254">
        <v>488</v>
      </c>
      <c r="T75" s="255">
        <v>439</v>
      </c>
      <c r="U75" s="255">
        <v>68</v>
      </c>
      <c r="V75" s="255">
        <v>247</v>
      </c>
      <c r="W75" s="255">
        <v>61</v>
      </c>
      <c r="X75" s="255">
        <v>51</v>
      </c>
      <c r="Y75" s="256">
        <v>1354</v>
      </c>
      <c r="Z75" s="254"/>
      <c r="AA75" s="255"/>
      <c r="AB75" s="255"/>
      <c r="AC75" s="255"/>
      <c r="AD75" s="255"/>
      <c r="AE75" s="256"/>
      <c r="AF75" s="254"/>
      <c r="AG75" s="255"/>
      <c r="AH75" s="254"/>
    </row>
    <row r="76" spans="1:34">
      <c r="A76" s="886"/>
      <c r="B76" s="239" t="s">
        <v>78</v>
      </c>
      <c r="C76" s="624">
        <f t="shared" si="36"/>
        <v>0.17554479418886199</v>
      </c>
      <c r="D76" s="625">
        <f t="shared" si="36"/>
        <v>0.17365710080941868</v>
      </c>
      <c r="E76" s="625">
        <f t="shared" si="36"/>
        <v>0.19626168224299065</v>
      </c>
      <c r="F76" s="625">
        <f t="shared" si="36"/>
        <v>0.22401171303074671</v>
      </c>
      <c r="G76" s="625">
        <f t="shared" si="36"/>
        <v>0.20982142857142858</v>
      </c>
      <c r="H76" s="626">
        <f t="shared" si="36"/>
        <v>0.15686274509803921</v>
      </c>
      <c r="I76" s="624">
        <f t="shared" si="36"/>
        <v>0.18483080513418904</v>
      </c>
      <c r="J76" s="624">
        <f t="shared" si="36"/>
        <v>0</v>
      </c>
      <c r="K76" s="625">
        <f t="shared" si="36"/>
        <v>0</v>
      </c>
      <c r="L76" s="625">
        <f t="shared" si="36"/>
        <v>0</v>
      </c>
      <c r="M76" s="625">
        <f t="shared" si="36"/>
        <v>0</v>
      </c>
      <c r="N76" s="624">
        <f t="shared" si="37"/>
        <v>0.86460032626427408</v>
      </c>
      <c r="O76" s="624">
        <f t="shared" si="37"/>
        <v>0</v>
      </c>
      <c r="P76" s="625">
        <f t="shared" si="37"/>
        <v>0</v>
      </c>
      <c r="Q76" s="624">
        <f t="shared" si="37"/>
        <v>0</v>
      </c>
      <c r="R76" s="253"/>
      <c r="S76" s="254">
        <v>290</v>
      </c>
      <c r="T76" s="255">
        <v>236</v>
      </c>
      <c r="U76" s="255">
        <v>42</v>
      </c>
      <c r="V76" s="255">
        <v>153</v>
      </c>
      <c r="W76" s="255">
        <v>47</v>
      </c>
      <c r="X76" s="255">
        <v>24</v>
      </c>
      <c r="Y76" s="256">
        <v>792</v>
      </c>
      <c r="Z76" s="254"/>
      <c r="AA76" s="255"/>
      <c r="AB76" s="255"/>
      <c r="AC76" s="255"/>
      <c r="AD76" s="255"/>
      <c r="AE76" s="256">
        <v>2120</v>
      </c>
      <c r="AF76" s="254"/>
      <c r="AG76" s="255"/>
      <c r="AH76" s="254"/>
    </row>
    <row r="77" spans="1:34">
      <c r="A77" s="886"/>
      <c r="B77" s="239" t="s">
        <v>32</v>
      </c>
      <c r="C77" s="624">
        <f t="shared" si="36"/>
        <v>3.3292978208232446E-2</v>
      </c>
      <c r="D77" s="625">
        <f t="shared" si="36"/>
        <v>4.1206769683590876E-2</v>
      </c>
      <c r="E77" s="625">
        <f t="shared" si="36"/>
        <v>0</v>
      </c>
      <c r="F77" s="625">
        <f t="shared" si="36"/>
        <v>8.7847730600292828E-3</v>
      </c>
      <c r="G77" s="625">
        <f t="shared" si="36"/>
        <v>0</v>
      </c>
      <c r="H77" s="626">
        <f t="shared" si="36"/>
        <v>4.5751633986928102E-2</v>
      </c>
      <c r="I77" s="624">
        <f t="shared" si="36"/>
        <v>2.8938156359393234E-2</v>
      </c>
      <c r="J77" s="624">
        <f t="shared" si="36"/>
        <v>0</v>
      </c>
      <c r="K77" s="625">
        <f t="shared" si="36"/>
        <v>0</v>
      </c>
      <c r="L77" s="625">
        <f t="shared" si="36"/>
        <v>0</v>
      </c>
      <c r="M77" s="625">
        <f t="shared" si="36"/>
        <v>0</v>
      </c>
      <c r="N77" s="624">
        <f t="shared" si="37"/>
        <v>0</v>
      </c>
      <c r="O77" s="624">
        <f t="shared" si="37"/>
        <v>0</v>
      </c>
      <c r="P77" s="625">
        <f t="shared" si="37"/>
        <v>0</v>
      </c>
      <c r="Q77" s="624">
        <f t="shared" si="37"/>
        <v>0</v>
      </c>
      <c r="R77" s="253"/>
      <c r="S77" s="254">
        <v>55</v>
      </c>
      <c r="T77" s="255">
        <v>56</v>
      </c>
      <c r="U77" s="255"/>
      <c r="V77" s="255">
        <v>6</v>
      </c>
      <c r="W77" s="255"/>
      <c r="X77" s="255">
        <v>7</v>
      </c>
      <c r="Y77" s="256">
        <v>124</v>
      </c>
      <c r="Z77" s="254"/>
      <c r="AA77" s="255"/>
      <c r="AB77" s="255"/>
      <c r="AC77" s="255"/>
      <c r="AD77" s="255"/>
      <c r="AE77" s="256"/>
      <c r="AF77" s="254"/>
      <c r="AG77" s="255"/>
      <c r="AH77" s="254"/>
    </row>
    <row r="78" spans="1:34">
      <c r="A78" s="886"/>
      <c r="B78" s="239" t="s">
        <v>58</v>
      </c>
      <c r="C78" s="624">
        <f t="shared" si="36"/>
        <v>6.0532687651331722E-4</v>
      </c>
      <c r="D78" s="625">
        <f t="shared" si="36"/>
        <v>0</v>
      </c>
      <c r="E78" s="792">
        <f t="shared" si="36"/>
        <v>0</v>
      </c>
      <c r="F78" s="625">
        <f t="shared" si="36"/>
        <v>2.9282576866764276E-3</v>
      </c>
      <c r="G78" s="792">
        <f t="shared" si="36"/>
        <v>1.3392857142857142E-2</v>
      </c>
      <c r="H78" s="626">
        <f t="shared" si="36"/>
        <v>0</v>
      </c>
      <c r="I78" s="793">
        <f t="shared" si="36"/>
        <v>1.4002333722287048E-3</v>
      </c>
      <c r="J78" s="624">
        <f t="shared" si="36"/>
        <v>0</v>
      </c>
      <c r="K78" s="625">
        <f t="shared" si="36"/>
        <v>0</v>
      </c>
      <c r="L78" s="625">
        <f t="shared" si="36"/>
        <v>0</v>
      </c>
      <c r="M78" s="625">
        <f t="shared" si="36"/>
        <v>0</v>
      </c>
      <c r="N78" s="624">
        <f t="shared" si="37"/>
        <v>0.13539967373572595</v>
      </c>
      <c r="O78" s="624">
        <f t="shared" si="37"/>
        <v>0</v>
      </c>
      <c r="P78" s="625">
        <f t="shared" si="37"/>
        <v>0</v>
      </c>
      <c r="Q78" s="624">
        <f t="shared" si="37"/>
        <v>1</v>
      </c>
      <c r="R78" s="253"/>
      <c r="S78" s="254">
        <v>1</v>
      </c>
      <c r="T78" s="255"/>
      <c r="U78" s="255"/>
      <c r="V78" s="255">
        <v>2</v>
      </c>
      <c r="W78" s="255">
        <v>3</v>
      </c>
      <c r="X78" s="255"/>
      <c r="Y78" s="256">
        <v>6</v>
      </c>
      <c r="Z78" s="254"/>
      <c r="AA78" s="255"/>
      <c r="AB78" s="255"/>
      <c r="AC78" s="255"/>
      <c r="AD78" s="255"/>
      <c r="AE78" s="256">
        <v>332</v>
      </c>
      <c r="AF78" s="254"/>
      <c r="AG78" s="255"/>
      <c r="AH78" s="254">
        <v>39</v>
      </c>
    </row>
    <row r="79" spans="1:34">
      <c r="A79" s="887"/>
      <c r="B79" s="436" t="s">
        <v>59</v>
      </c>
      <c r="C79" s="577">
        <f t="shared" si="36"/>
        <v>1</v>
      </c>
      <c r="D79" s="578">
        <f t="shared" si="36"/>
        <v>1</v>
      </c>
      <c r="E79" s="578">
        <f t="shared" si="36"/>
        <v>1</v>
      </c>
      <c r="F79" s="578">
        <f t="shared" si="36"/>
        <v>1</v>
      </c>
      <c r="G79" s="578">
        <f t="shared" si="36"/>
        <v>1</v>
      </c>
      <c r="H79" s="579">
        <f t="shared" si="36"/>
        <v>1</v>
      </c>
      <c r="I79" s="577">
        <f t="shared" si="36"/>
        <v>1</v>
      </c>
      <c r="J79" s="577">
        <f t="shared" si="36"/>
        <v>0</v>
      </c>
      <c r="K79" s="578">
        <f t="shared" si="36"/>
        <v>0</v>
      </c>
      <c r="L79" s="578">
        <f t="shared" si="36"/>
        <v>0</v>
      </c>
      <c r="M79" s="578">
        <f t="shared" si="36"/>
        <v>0</v>
      </c>
      <c r="N79" s="577">
        <f t="shared" si="37"/>
        <v>1</v>
      </c>
      <c r="O79" s="577">
        <f t="shared" si="37"/>
        <v>0</v>
      </c>
      <c r="P79" s="578">
        <f t="shared" si="37"/>
        <v>0</v>
      </c>
      <c r="Q79" s="577">
        <f t="shared" si="37"/>
        <v>1</v>
      </c>
      <c r="R79" s="264"/>
      <c r="S79" s="265">
        <v>1652</v>
      </c>
      <c r="T79" s="266">
        <v>1359</v>
      </c>
      <c r="U79" s="266">
        <v>214</v>
      </c>
      <c r="V79" s="266">
        <v>683</v>
      </c>
      <c r="W79" s="266">
        <v>224</v>
      </c>
      <c r="X79" s="266">
        <v>153</v>
      </c>
      <c r="Y79" s="267">
        <v>4285</v>
      </c>
      <c r="Z79" s="265"/>
      <c r="AA79" s="266"/>
      <c r="AB79" s="266"/>
      <c r="AC79" s="266"/>
      <c r="AD79" s="266"/>
      <c r="AE79" s="267">
        <v>2452</v>
      </c>
      <c r="AF79" s="265"/>
      <c r="AG79" s="266"/>
      <c r="AH79" s="265">
        <v>39</v>
      </c>
    </row>
    <row r="80" spans="1:34">
      <c r="A80" s="883" t="s">
        <v>12</v>
      </c>
      <c r="B80" s="240" t="s">
        <v>53</v>
      </c>
      <c r="C80" s="613">
        <f t="shared" ref="C80:M86" si="38">IF(S$86&gt;0,(S80/S$86),0)</f>
        <v>0.30648535564853557</v>
      </c>
      <c r="D80" s="614">
        <f t="shared" si="38"/>
        <v>0.18421052631578946</v>
      </c>
      <c r="E80" s="614">
        <f t="shared" si="38"/>
        <v>0.25675675675675674</v>
      </c>
      <c r="F80" s="614">
        <f t="shared" si="38"/>
        <v>0.27095292766934559</v>
      </c>
      <c r="G80" s="614">
        <f t="shared" si="38"/>
        <v>0.1830628803245436</v>
      </c>
      <c r="H80" s="615">
        <f t="shared" si="38"/>
        <v>0.23847467273762094</v>
      </c>
      <c r="I80" s="613">
        <f t="shared" si="38"/>
        <v>0.26193775985888873</v>
      </c>
      <c r="J80" s="613">
        <f t="shared" si="38"/>
        <v>0</v>
      </c>
      <c r="K80" s="614">
        <f t="shared" si="38"/>
        <v>0</v>
      </c>
      <c r="L80" s="614">
        <f t="shared" si="38"/>
        <v>0</v>
      </c>
      <c r="M80" s="614">
        <f t="shared" si="38"/>
        <v>0</v>
      </c>
      <c r="N80" s="613">
        <f t="shared" ref="N80:Q86" si="39">IF(AE$86&gt;0,(AE80/AE$86),0)</f>
        <v>1.3650841801911117E-3</v>
      </c>
      <c r="O80" s="788">
        <f t="shared" si="39"/>
        <v>0</v>
      </c>
      <c r="P80" s="614">
        <f t="shared" si="39"/>
        <v>0</v>
      </c>
      <c r="Q80" s="788">
        <f t="shared" si="39"/>
        <v>0</v>
      </c>
      <c r="R80" s="244"/>
      <c r="S80" s="245">
        <v>2051</v>
      </c>
      <c r="T80" s="246">
        <v>217</v>
      </c>
      <c r="U80" s="246">
        <v>874</v>
      </c>
      <c r="V80" s="246">
        <v>236</v>
      </c>
      <c r="W80" s="246">
        <v>361</v>
      </c>
      <c r="X80" s="246">
        <v>419</v>
      </c>
      <c r="Y80" s="247">
        <v>4158</v>
      </c>
      <c r="Z80" s="245"/>
      <c r="AA80" s="246"/>
      <c r="AB80" s="246"/>
      <c r="AC80" s="246"/>
      <c r="AD80" s="246"/>
      <c r="AE80" s="247">
        <v>9</v>
      </c>
      <c r="AF80" s="245"/>
      <c r="AG80" s="246"/>
      <c r="AH80" s="245"/>
    </row>
    <row r="81" spans="1:34">
      <c r="A81" s="886"/>
      <c r="B81" s="239" t="s">
        <v>93</v>
      </c>
      <c r="C81" s="624">
        <f t="shared" si="38"/>
        <v>0.23998804542737598</v>
      </c>
      <c r="D81" s="625">
        <f t="shared" si="38"/>
        <v>0.35823429541595925</v>
      </c>
      <c r="E81" s="625">
        <f t="shared" si="38"/>
        <v>0.28466509988249117</v>
      </c>
      <c r="F81" s="625">
        <f t="shared" si="38"/>
        <v>0.32146957520091851</v>
      </c>
      <c r="G81" s="625">
        <f t="shared" si="38"/>
        <v>0.29614604462474647</v>
      </c>
      <c r="H81" s="626">
        <f t="shared" si="38"/>
        <v>0.27319294251565168</v>
      </c>
      <c r="I81" s="624">
        <f t="shared" si="38"/>
        <v>0.2734660451052035</v>
      </c>
      <c r="J81" s="624">
        <f t="shared" si="38"/>
        <v>0</v>
      </c>
      <c r="K81" s="625">
        <f t="shared" si="38"/>
        <v>0</v>
      </c>
      <c r="L81" s="625">
        <f t="shared" si="38"/>
        <v>0</v>
      </c>
      <c r="M81" s="625">
        <f t="shared" si="38"/>
        <v>0</v>
      </c>
      <c r="N81" s="624">
        <f t="shared" si="39"/>
        <v>7.5838010010617326E-4</v>
      </c>
      <c r="O81" s="624">
        <f t="shared" si="39"/>
        <v>0</v>
      </c>
      <c r="P81" s="625">
        <f t="shared" si="39"/>
        <v>0</v>
      </c>
      <c r="Q81" s="624">
        <f t="shared" si="39"/>
        <v>0</v>
      </c>
      <c r="R81" s="253"/>
      <c r="S81" s="254">
        <v>1606</v>
      </c>
      <c r="T81" s="255">
        <v>422</v>
      </c>
      <c r="U81" s="255">
        <v>969</v>
      </c>
      <c r="V81" s="255">
        <v>280</v>
      </c>
      <c r="W81" s="255">
        <v>584</v>
      </c>
      <c r="X81" s="255">
        <v>480</v>
      </c>
      <c r="Y81" s="256">
        <v>4341</v>
      </c>
      <c r="Z81" s="254"/>
      <c r="AA81" s="255"/>
      <c r="AB81" s="255"/>
      <c r="AC81" s="255"/>
      <c r="AD81" s="255"/>
      <c r="AE81" s="256">
        <v>5</v>
      </c>
      <c r="AF81" s="254"/>
      <c r="AG81" s="255"/>
      <c r="AH81" s="254"/>
    </row>
    <row r="82" spans="1:34">
      <c r="A82" s="886"/>
      <c r="B82" s="239" t="s">
        <v>55</v>
      </c>
      <c r="C82" s="624">
        <f t="shared" si="38"/>
        <v>0.16586969515839808</v>
      </c>
      <c r="D82" s="625">
        <f t="shared" si="38"/>
        <v>0.20628183361629882</v>
      </c>
      <c r="E82" s="625">
        <f t="shared" si="38"/>
        <v>0.23296122209165687</v>
      </c>
      <c r="F82" s="625">
        <f t="shared" si="38"/>
        <v>0.31458094144661308</v>
      </c>
      <c r="G82" s="625">
        <f t="shared" si="38"/>
        <v>0.33215010141987827</v>
      </c>
      <c r="H82" s="626">
        <f t="shared" si="38"/>
        <v>0.35628912919749572</v>
      </c>
      <c r="I82" s="624">
        <f t="shared" si="38"/>
        <v>0.23314854479022301</v>
      </c>
      <c r="J82" s="624">
        <f t="shared" si="38"/>
        <v>0</v>
      </c>
      <c r="K82" s="625">
        <f t="shared" si="38"/>
        <v>0</v>
      </c>
      <c r="L82" s="625">
        <f t="shared" si="38"/>
        <v>0</v>
      </c>
      <c r="M82" s="625">
        <f t="shared" si="38"/>
        <v>0</v>
      </c>
      <c r="N82" s="624">
        <f t="shared" si="39"/>
        <v>2.2751403003185198E-3</v>
      </c>
      <c r="O82" s="624">
        <f t="shared" si="39"/>
        <v>0</v>
      </c>
      <c r="P82" s="625">
        <f t="shared" si="39"/>
        <v>0</v>
      </c>
      <c r="Q82" s="624">
        <f t="shared" si="39"/>
        <v>0</v>
      </c>
      <c r="R82" s="253"/>
      <c r="S82" s="254">
        <v>1110</v>
      </c>
      <c r="T82" s="255">
        <v>243</v>
      </c>
      <c r="U82" s="255">
        <v>793</v>
      </c>
      <c r="V82" s="255">
        <v>274</v>
      </c>
      <c r="W82" s="255">
        <v>655</v>
      </c>
      <c r="X82" s="255">
        <v>626</v>
      </c>
      <c r="Y82" s="256">
        <v>3701</v>
      </c>
      <c r="Z82" s="254"/>
      <c r="AA82" s="255"/>
      <c r="AB82" s="255"/>
      <c r="AC82" s="255"/>
      <c r="AD82" s="255"/>
      <c r="AE82" s="256">
        <v>15</v>
      </c>
      <c r="AF82" s="254"/>
      <c r="AG82" s="255"/>
      <c r="AH82" s="254"/>
    </row>
    <row r="83" spans="1:34">
      <c r="A83" s="886"/>
      <c r="B83" s="239" t="s">
        <v>78</v>
      </c>
      <c r="C83" s="624">
        <f t="shared" si="38"/>
        <v>1.2851165570830842E-2</v>
      </c>
      <c r="D83" s="790">
        <f t="shared" si="38"/>
        <v>3.3955857385398981E-3</v>
      </c>
      <c r="E83" s="625">
        <f t="shared" si="38"/>
        <v>1.0575793184488837E-2</v>
      </c>
      <c r="F83" s="625">
        <f t="shared" si="38"/>
        <v>6.0849598163030996E-2</v>
      </c>
      <c r="G83" s="625">
        <f t="shared" si="38"/>
        <v>8.4178498985801223E-2</v>
      </c>
      <c r="H83" s="626">
        <f t="shared" si="38"/>
        <v>7.2851451337507117E-2</v>
      </c>
      <c r="I83" s="624">
        <f t="shared" si="38"/>
        <v>2.9797152576540253E-2</v>
      </c>
      <c r="J83" s="624">
        <f t="shared" si="38"/>
        <v>0</v>
      </c>
      <c r="K83" s="625">
        <f t="shared" si="38"/>
        <v>0</v>
      </c>
      <c r="L83" s="625">
        <f t="shared" si="38"/>
        <v>0</v>
      </c>
      <c r="M83" s="625">
        <f t="shared" si="38"/>
        <v>0</v>
      </c>
      <c r="N83" s="624">
        <f t="shared" si="39"/>
        <v>0.15910814500227513</v>
      </c>
      <c r="O83" s="624">
        <f t="shared" si="39"/>
        <v>0</v>
      </c>
      <c r="P83" s="625">
        <f t="shared" si="39"/>
        <v>0</v>
      </c>
      <c r="Q83" s="624">
        <f t="shared" si="39"/>
        <v>1</v>
      </c>
      <c r="R83" s="253"/>
      <c r="S83" s="254">
        <v>86</v>
      </c>
      <c r="T83" s="255">
        <v>4</v>
      </c>
      <c r="U83" s="255">
        <v>36</v>
      </c>
      <c r="V83" s="255">
        <v>53</v>
      </c>
      <c r="W83" s="255">
        <v>166</v>
      </c>
      <c r="X83" s="255">
        <v>128</v>
      </c>
      <c r="Y83" s="256">
        <v>473</v>
      </c>
      <c r="Z83" s="254"/>
      <c r="AA83" s="255"/>
      <c r="AB83" s="255"/>
      <c r="AC83" s="255"/>
      <c r="AD83" s="255"/>
      <c r="AE83" s="256">
        <v>1049</v>
      </c>
      <c r="AF83" s="254"/>
      <c r="AG83" s="255"/>
      <c r="AH83" s="254">
        <v>25</v>
      </c>
    </row>
    <row r="84" spans="1:34">
      <c r="A84" s="886"/>
      <c r="B84" s="239" t="s">
        <v>32</v>
      </c>
      <c r="C84" s="624">
        <f t="shared" si="38"/>
        <v>0.12881052002390914</v>
      </c>
      <c r="D84" s="625">
        <f t="shared" si="38"/>
        <v>0</v>
      </c>
      <c r="E84" s="625">
        <f t="shared" si="38"/>
        <v>0.11515863689776733</v>
      </c>
      <c r="F84" s="625">
        <f t="shared" si="38"/>
        <v>2.2962112514351322E-2</v>
      </c>
      <c r="G84" s="625">
        <f t="shared" si="38"/>
        <v>6.5415821501014201E-2</v>
      </c>
      <c r="H84" s="626">
        <f t="shared" si="38"/>
        <v>4.3824701195219126E-2</v>
      </c>
      <c r="I84" s="624">
        <f t="shared" si="38"/>
        <v>9.3234219478392333E-2</v>
      </c>
      <c r="J84" s="624">
        <f t="shared" si="38"/>
        <v>0</v>
      </c>
      <c r="K84" s="625">
        <f t="shared" si="38"/>
        <v>0</v>
      </c>
      <c r="L84" s="625">
        <f t="shared" si="38"/>
        <v>0</v>
      </c>
      <c r="M84" s="625">
        <f t="shared" si="38"/>
        <v>0</v>
      </c>
      <c r="N84" s="624">
        <f t="shared" si="39"/>
        <v>0</v>
      </c>
      <c r="O84" s="624">
        <f t="shared" si="39"/>
        <v>0</v>
      </c>
      <c r="P84" s="625">
        <f t="shared" si="39"/>
        <v>0</v>
      </c>
      <c r="Q84" s="624">
        <f t="shared" si="39"/>
        <v>0</v>
      </c>
      <c r="R84" s="253"/>
      <c r="S84" s="254">
        <v>862</v>
      </c>
      <c r="T84" s="255"/>
      <c r="U84" s="255">
        <v>392</v>
      </c>
      <c r="V84" s="255">
        <v>20</v>
      </c>
      <c r="W84" s="255">
        <v>129</v>
      </c>
      <c r="X84" s="255">
        <v>77</v>
      </c>
      <c r="Y84" s="256">
        <v>1480</v>
      </c>
      <c r="Z84" s="254"/>
      <c r="AA84" s="255"/>
      <c r="AB84" s="255"/>
      <c r="AC84" s="255"/>
      <c r="AD84" s="255"/>
      <c r="AE84" s="256"/>
      <c r="AF84" s="254"/>
      <c r="AG84" s="255"/>
      <c r="AH84" s="254"/>
    </row>
    <row r="85" spans="1:34">
      <c r="A85" s="886"/>
      <c r="B85" s="239" t="s">
        <v>58</v>
      </c>
      <c r="C85" s="624">
        <f t="shared" si="38"/>
        <v>0.14599521817095037</v>
      </c>
      <c r="D85" s="625">
        <f t="shared" si="38"/>
        <v>0.24787775891341257</v>
      </c>
      <c r="E85" s="792">
        <f t="shared" si="38"/>
        <v>9.9882491186839006E-2</v>
      </c>
      <c r="F85" s="625">
        <f t="shared" si="38"/>
        <v>9.1848450057405284E-3</v>
      </c>
      <c r="G85" s="792">
        <f t="shared" si="38"/>
        <v>3.904665314401623E-2</v>
      </c>
      <c r="H85" s="626">
        <f t="shared" si="38"/>
        <v>1.5367103016505406E-2</v>
      </c>
      <c r="I85" s="793">
        <f t="shared" si="38"/>
        <v>0.10841627819075217</v>
      </c>
      <c r="J85" s="624">
        <f t="shared" si="38"/>
        <v>0</v>
      </c>
      <c r="K85" s="625">
        <f t="shared" si="38"/>
        <v>0</v>
      </c>
      <c r="L85" s="625">
        <f t="shared" si="38"/>
        <v>0</v>
      </c>
      <c r="M85" s="625">
        <f t="shared" si="38"/>
        <v>0</v>
      </c>
      <c r="N85" s="624">
        <f t="shared" si="39"/>
        <v>0.83649325041710909</v>
      </c>
      <c r="O85" s="624">
        <f t="shared" si="39"/>
        <v>0</v>
      </c>
      <c r="P85" s="625">
        <f t="shared" si="39"/>
        <v>0</v>
      </c>
      <c r="Q85" s="624">
        <f t="shared" si="39"/>
        <v>0</v>
      </c>
      <c r="R85" s="253"/>
      <c r="S85" s="254">
        <v>977</v>
      </c>
      <c r="T85" s="255">
        <v>292</v>
      </c>
      <c r="U85" s="255">
        <v>340</v>
      </c>
      <c r="V85" s="255">
        <v>8</v>
      </c>
      <c r="W85" s="255">
        <v>77</v>
      </c>
      <c r="X85" s="255">
        <v>27</v>
      </c>
      <c r="Y85" s="256">
        <v>1721</v>
      </c>
      <c r="Z85" s="254"/>
      <c r="AA85" s="255"/>
      <c r="AB85" s="255"/>
      <c r="AC85" s="255"/>
      <c r="AD85" s="255"/>
      <c r="AE85" s="256">
        <v>5515</v>
      </c>
      <c r="AF85" s="254"/>
      <c r="AG85" s="255"/>
      <c r="AH85" s="254"/>
    </row>
    <row r="86" spans="1:34">
      <c r="A86" s="887"/>
      <c r="B86" s="436" t="s">
        <v>59</v>
      </c>
      <c r="C86" s="577">
        <f t="shared" si="38"/>
        <v>1</v>
      </c>
      <c r="D86" s="578">
        <f t="shared" si="38"/>
        <v>1</v>
      </c>
      <c r="E86" s="578">
        <f t="shared" si="38"/>
        <v>1</v>
      </c>
      <c r="F86" s="578">
        <f t="shared" si="38"/>
        <v>1</v>
      </c>
      <c r="G86" s="578">
        <f t="shared" si="38"/>
        <v>1</v>
      </c>
      <c r="H86" s="579">
        <f t="shared" si="38"/>
        <v>1</v>
      </c>
      <c r="I86" s="577">
        <f t="shared" si="38"/>
        <v>1</v>
      </c>
      <c r="J86" s="577">
        <f t="shared" si="38"/>
        <v>0</v>
      </c>
      <c r="K86" s="578">
        <f t="shared" si="38"/>
        <v>0</v>
      </c>
      <c r="L86" s="578">
        <f t="shared" si="38"/>
        <v>0</v>
      </c>
      <c r="M86" s="578">
        <f t="shared" si="38"/>
        <v>0</v>
      </c>
      <c r="N86" s="577">
        <f t="shared" si="39"/>
        <v>1</v>
      </c>
      <c r="O86" s="577">
        <f t="shared" si="39"/>
        <v>0</v>
      </c>
      <c r="P86" s="578">
        <f t="shared" si="39"/>
        <v>0</v>
      </c>
      <c r="Q86" s="577">
        <f t="shared" si="39"/>
        <v>1</v>
      </c>
      <c r="R86" s="264"/>
      <c r="S86" s="265">
        <v>6692</v>
      </c>
      <c r="T86" s="266">
        <v>1178</v>
      </c>
      <c r="U86" s="266">
        <v>3404</v>
      </c>
      <c r="V86" s="266">
        <v>871</v>
      </c>
      <c r="W86" s="266">
        <v>1972</v>
      </c>
      <c r="X86" s="266">
        <v>1757</v>
      </c>
      <c r="Y86" s="267">
        <v>15874</v>
      </c>
      <c r="Z86" s="265"/>
      <c r="AA86" s="266"/>
      <c r="AB86" s="266"/>
      <c r="AC86" s="266"/>
      <c r="AD86" s="266"/>
      <c r="AE86" s="267">
        <v>6593</v>
      </c>
      <c r="AF86" s="265"/>
      <c r="AG86" s="266"/>
      <c r="AH86" s="265">
        <v>25</v>
      </c>
    </row>
    <row r="87" spans="1:34">
      <c r="A87" s="883" t="s">
        <v>13</v>
      </c>
      <c r="B87" s="240" t="s">
        <v>53</v>
      </c>
      <c r="C87" s="613">
        <f t="shared" ref="C87:M93" si="40">IF(S$93&gt;0,(S87/S$93),0)</f>
        <v>0.30759162303664922</v>
      </c>
      <c r="D87" s="614">
        <f t="shared" si="40"/>
        <v>0</v>
      </c>
      <c r="E87" s="614">
        <f t="shared" si="40"/>
        <v>0.32602339181286549</v>
      </c>
      <c r="F87" s="614">
        <f t="shared" si="40"/>
        <v>0.38043478260869568</v>
      </c>
      <c r="G87" s="614">
        <f t="shared" si="40"/>
        <v>0.19681908548707752</v>
      </c>
      <c r="H87" s="615">
        <f t="shared" si="40"/>
        <v>0.18823529411764706</v>
      </c>
      <c r="I87" s="613">
        <f t="shared" si="40"/>
        <v>0.29213900761940159</v>
      </c>
      <c r="J87" s="613">
        <f t="shared" si="40"/>
        <v>0</v>
      </c>
      <c r="K87" s="614">
        <f t="shared" si="40"/>
        <v>0</v>
      </c>
      <c r="L87" s="614">
        <f t="shared" si="40"/>
        <v>0</v>
      </c>
      <c r="M87" s="614">
        <f t="shared" si="40"/>
        <v>0</v>
      </c>
      <c r="N87" s="613">
        <f t="shared" ref="N87:Q93" si="41">IF(AE$93&gt;0,(AE87/AE$93),0)</f>
        <v>0.12306558585114223</v>
      </c>
      <c r="O87" s="788">
        <f t="shared" si="41"/>
        <v>0</v>
      </c>
      <c r="P87" s="614">
        <f t="shared" si="41"/>
        <v>0</v>
      </c>
      <c r="Q87" s="788">
        <f t="shared" si="41"/>
        <v>0</v>
      </c>
      <c r="R87" s="244"/>
      <c r="S87" s="245">
        <v>705</v>
      </c>
      <c r="T87" s="246"/>
      <c r="U87" s="246">
        <v>446</v>
      </c>
      <c r="V87" s="246">
        <v>175</v>
      </c>
      <c r="W87" s="246">
        <v>198</v>
      </c>
      <c r="X87" s="246">
        <v>48</v>
      </c>
      <c r="Y87" s="247">
        <v>1572</v>
      </c>
      <c r="Z87" s="245"/>
      <c r="AA87" s="246"/>
      <c r="AB87" s="246"/>
      <c r="AC87" s="246"/>
      <c r="AD87" s="246"/>
      <c r="AE87" s="247">
        <v>167</v>
      </c>
      <c r="AF87" s="245"/>
      <c r="AG87" s="246"/>
      <c r="AH87" s="245"/>
    </row>
    <row r="88" spans="1:34">
      <c r="A88" s="886"/>
      <c r="B88" s="239" t="s">
        <v>93</v>
      </c>
      <c r="C88" s="624">
        <f t="shared" si="40"/>
        <v>0.27399650959860383</v>
      </c>
      <c r="D88" s="625">
        <f t="shared" si="40"/>
        <v>0</v>
      </c>
      <c r="E88" s="625">
        <f t="shared" si="40"/>
        <v>0.22514619883040934</v>
      </c>
      <c r="F88" s="625">
        <f t="shared" si="40"/>
        <v>0.2391304347826087</v>
      </c>
      <c r="G88" s="625">
        <f t="shared" si="40"/>
        <v>0.17693836978131214</v>
      </c>
      <c r="H88" s="626">
        <f t="shared" si="40"/>
        <v>0.22352941176470589</v>
      </c>
      <c r="I88" s="624">
        <f t="shared" si="40"/>
        <v>0.23805984017840551</v>
      </c>
      <c r="J88" s="624">
        <f t="shared" si="40"/>
        <v>0</v>
      </c>
      <c r="K88" s="625">
        <f t="shared" si="40"/>
        <v>0</v>
      </c>
      <c r="L88" s="625">
        <f t="shared" si="40"/>
        <v>0</v>
      </c>
      <c r="M88" s="625">
        <f t="shared" si="40"/>
        <v>0</v>
      </c>
      <c r="N88" s="791">
        <f t="shared" si="41"/>
        <v>0.10169491525423729</v>
      </c>
      <c r="O88" s="624">
        <f t="shared" si="41"/>
        <v>0</v>
      </c>
      <c r="P88" s="625">
        <f t="shared" si="41"/>
        <v>0</v>
      </c>
      <c r="Q88" s="624">
        <f t="shared" si="41"/>
        <v>0</v>
      </c>
      <c r="R88" s="253"/>
      <c r="S88" s="254">
        <v>628</v>
      </c>
      <c r="T88" s="255"/>
      <c r="U88" s="255">
        <v>308</v>
      </c>
      <c r="V88" s="255">
        <v>110</v>
      </c>
      <c r="W88" s="255">
        <v>178</v>
      </c>
      <c r="X88" s="255">
        <v>57</v>
      </c>
      <c r="Y88" s="256">
        <v>1281</v>
      </c>
      <c r="Z88" s="254"/>
      <c r="AA88" s="255"/>
      <c r="AB88" s="255"/>
      <c r="AC88" s="255"/>
      <c r="AD88" s="255"/>
      <c r="AE88" s="256">
        <v>138</v>
      </c>
      <c r="AF88" s="254"/>
      <c r="AG88" s="255"/>
      <c r="AH88" s="254"/>
    </row>
    <row r="89" spans="1:34">
      <c r="A89" s="886"/>
      <c r="B89" s="239" t="s">
        <v>55</v>
      </c>
      <c r="C89" s="624">
        <f t="shared" si="40"/>
        <v>0.2338568935427574</v>
      </c>
      <c r="D89" s="625">
        <f t="shared" si="40"/>
        <v>0</v>
      </c>
      <c r="E89" s="625">
        <f t="shared" si="40"/>
        <v>0.26608187134502925</v>
      </c>
      <c r="F89" s="625">
        <f t="shared" si="40"/>
        <v>0.26956521739130435</v>
      </c>
      <c r="G89" s="625">
        <f t="shared" si="40"/>
        <v>0.32405566600397612</v>
      </c>
      <c r="H89" s="626">
        <f t="shared" si="40"/>
        <v>0.32156862745098042</v>
      </c>
      <c r="I89" s="624">
        <f t="shared" si="40"/>
        <v>0.26612153874744471</v>
      </c>
      <c r="J89" s="624">
        <f t="shared" si="40"/>
        <v>0</v>
      </c>
      <c r="K89" s="625">
        <f t="shared" si="40"/>
        <v>0</v>
      </c>
      <c r="L89" s="625">
        <f t="shared" si="40"/>
        <v>0</v>
      </c>
      <c r="M89" s="625">
        <f t="shared" si="40"/>
        <v>0</v>
      </c>
      <c r="N89" s="624">
        <f t="shared" si="41"/>
        <v>0.20117907148120856</v>
      </c>
      <c r="O89" s="624">
        <f t="shared" si="41"/>
        <v>0</v>
      </c>
      <c r="P89" s="625">
        <f t="shared" si="41"/>
        <v>0</v>
      </c>
      <c r="Q89" s="624">
        <f t="shared" si="41"/>
        <v>0</v>
      </c>
      <c r="R89" s="253"/>
      <c r="S89" s="254">
        <v>536</v>
      </c>
      <c r="T89" s="255"/>
      <c r="U89" s="255">
        <v>364</v>
      </c>
      <c r="V89" s="255">
        <v>124</v>
      </c>
      <c r="W89" s="255">
        <v>326</v>
      </c>
      <c r="X89" s="255">
        <v>82</v>
      </c>
      <c r="Y89" s="256">
        <v>1432</v>
      </c>
      <c r="Z89" s="254"/>
      <c r="AA89" s="255"/>
      <c r="AB89" s="255"/>
      <c r="AC89" s="255"/>
      <c r="AD89" s="255"/>
      <c r="AE89" s="256">
        <v>273</v>
      </c>
      <c r="AF89" s="254"/>
      <c r="AG89" s="255"/>
      <c r="AH89" s="254"/>
    </row>
    <row r="90" spans="1:34">
      <c r="A90" s="886"/>
      <c r="B90" s="239" t="s">
        <v>78</v>
      </c>
      <c r="C90" s="624">
        <f t="shared" si="40"/>
        <v>4.1012216404886559E-2</v>
      </c>
      <c r="D90" s="625">
        <f t="shared" si="40"/>
        <v>0</v>
      </c>
      <c r="E90" s="625">
        <f t="shared" si="40"/>
        <v>0.13450292397660818</v>
      </c>
      <c r="F90" s="625">
        <f t="shared" si="40"/>
        <v>0.10434782608695652</v>
      </c>
      <c r="G90" s="625">
        <f t="shared" si="40"/>
        <v>0.26441351888667991</v>
      </c>
      <c r="H90" s="626">
        <f t="shared" si="40"/>
        <v>0.2196078431372549</v>
      </c>
      <c r="I90" s="624">
        <f t="shared" si="40"/>
        <v>0.12042371306448615</v>
      </c>
      <c r="J90" s="624">
        <f t="shared" si="40"/>
        <v>0</v>
      </c>
      <c r="K90" s="625">
        <f t="shared" si="40"/>
        <v>0</v>
      </c>
      <c r="L90" s="625">
        <f t="shared" si="40"/>
        <v>0</v>
      </c>
      <c r="M90" s="625">
        <f t="shared" si="40"/>
        <v>0</v>
      </c>
      <c r="N90" s="624">
        <f t="shared" si="41"/>
        <v>0.44509948415622697</v>
      </c>
      <c r="O90" s="624">
        <f t="shared" si="41"/>
        <v>0</v>
      </c>
      <c r="P90" s="625">
        <f t="shared" si="41"/>
        <v>0</v>
      </c>
      <c r="Q90" s="624">
        <f t="shared" si="41"/>
        <v>0.88235294117647056</v>
      </c>
      <c r="R90" s="253"/>
      <c r="S90" s="254">
        <v>94</v>
      </c>
      <c r="T90" s="255"/>
      <c r="U90" s="255">
        <v>184</v>
      </c>
      <c r="V90" s="255">
        <v>48</v>
      </c>
      <c r="W90" s="255">
        <v>266</v>
      </c>
      <c r="X90" s="255">
        <v>56</v>
      </c>
      <c r="Y90" s="256">
        <v>648</v>
      </c>
      <c r="Z90" s="254"/>
      <c r="AA90" s="255"/>
      <c r="AB90" s="255"/>
      <c r="AC90" s="255"/>
      <c r="AD90" s="255"/>
      <c r="AE90" s="256">
        <v>604</v>
      </c>
      <c r="AF90" s="254"/>
      <c r="AG90" s="255"/>
      <c r="AH90" s="254">
        <v>90</v>
      </c>
    </row>
    <row r="91" spans="1:34">
      <c r="A91" s="886"/>
      <c r="B91" s="239" t="s">
        <v>32</v>
      </c>
      <c r="C91" s="624">
        <f t="shared" si="40"/>
        <v>9.991273996509599E-2</v>
      </c>
      <c r="D91" s="625">
        <f t="shared" si="40"/>
        <v>0</v>
      </c>
      <c r="E91" s="625">
        <f t="shared" si="40"/>
        <v>4.8245614035087717E-2</v>
      </c>
      <c r="F91" s="625">
        <f t="shared" si="40"/>
        <v>0</v>
      </c>
      <c r="G91" s="625">
        <f t="shared" si="40"/>
        <v>1.9880715705765406E-3</v>
      </c>
      <c r="H91" s="626">
        <f t="shared" si="40"/>
        <v>3.9215686274509803E-3</v>
      </c>
      <c r="I91" s="624">
        <f t="shared" si="40"/>
        <v>5.5380040884593938E-2</v>
      </c>
      <c r="J91" s="624">
        <f t="shared" si="40"/>
        <v>0</v>
      </c>
      <c r="K91" s="625">
        <f t="shared" si="40"/>
        <v>0</v>
      </c>
      <c r="L91" s="625">
        <f t="shared" si="40"/>
        <v>0</v>
      </c>
      <c r="M91" s="625">
        <f t="shared" si="40"/>
        <v>0</v>
      </c>
      <c r="N91" s="624">
        <f t="shared" si="41"/>
        <v>0</v>
      </c>
      <c r="O91" s="624">
        <f t="shared" si="41"/>
        <v>0</v>
      </c>
      <c r="P91" s="625">
        <f t="shared" si="41"/>
        <v>0</v>
      </c>
      <c r="Q91" s="624">
        <f t="shared" si="41"/>
        <v>0</v>
      </c>
      <c r="R91" s="253"/>
      <c r="S91" s="254">
        <v>229</v>
      </c>
      <c r="T91" s="255"/>
      <c r="U91" s="255">
        <v>66</v>
      </c>
      <c r="V91" s="255"/>
      <c r="W91" s="255">
        <v>2</v>
      </c>
      <c r="X91" s="255">
        <v>1</v>
      </c>
      <c r="Y91" s="256">
        <v>298</v>
      </c>
      <c r="Z91" s="254"/>
      <c r="AA91" s="255"/>
      <c r="AB91" s="255"/>
      <c r="AC91" s="255"/>
      <c r="AD91" s="255"/>
      <c r="AE91" s="256"/>
      <c r="AF91" s="254"/>
      <c r="AG91" s="255"/>
      <c r="AH91" s="254"/>
    </row>
    <row r="92" spans="1:34">
      <c r="A92" s="886"/>
      <c r="B92" s="239" t="s">
        <v>58</v>
      </c>
      <c r="C92" s="624">
        <f t="shared" si="40"/>
        <v>4.3630017452006981E-2</v>
      </c>
      <c r="D92" s="625">
        <f t="shared" si="40"/>
        <v>0</v>
      </c>
      <c r="E92" s="792">
        <f t="shared" si="40"/>
        <v>0</v>
      </c>
      <c r="F92" s="625">
        <f t="shared" si="40"/>
        <v>6.5217391304347823E-3</v>
      </c>
      <c r="G92" s="792">
        <f t="shared" si="40"/>
        <v>3.5785288270377733E-2</v>
      </c>
      <c r="H92" s="626">
        <f t="shared" si="40"/>
        <v>4.3137254901960784E-2</v>
      </c>
      <c r="I92" s="793">
        <f t="shared" si="40"/>
        <v>2.787585950566809E-2</v>
      </c>
      <c r="J92" s="624">
        <f t="shared" si="40"/>
        <v>0</v>
      </c>
      <c r="K92" s="625">
        <f t="shared" si="40"/>
        <v>0</v>
      </c>
      <c r="L92" s="625">
        <f t="shared" si="40"/>
        <v>0</v>
      </c>
      <c r="M92" s="625">
        <f t="shared" si="40"/>
        <v>0</v>
      </c>
      <c r="N92" s="624">
        <f t="shared" si="41"/>
        <v>0.12896094325718496</v>
      </c>
      <c r="O92" s="624">
        <f t="shared" si="41"/>
        <v>0</v>
      </c>
      <c r="P92" s="625">
        <f t="shared" si="41"/>
        <v>0</v>
      </c>
      <c r="Q92" s="624">
        <f t="shared" si="41"/>
        <v>0.11764705882352941</v>
      </c>
      <c r="R92" s="253"/>
      <c r="S92" s="254">
        <v>100</v>
      </c>
      <c r="T92" s="255"/>
      <c r="U92" s="255"/>
      <c r="V92" s="255">
        <v>3</v>
      </c>
      <c r="W92" s="255">
        <v>36</v>
      </c>
      <c r="X92" s="255">
        <v>11</v>
      </c>
      <c r="Y92" s="256">
        <v>150</v>
      </c>
      <c r="Z92" s="254"/>
      <c r="AA92" s="255"/>
      <c r="AB92" s="255"/>
      <c r="AC92" s="255"/>
      <c r="AD92" s="255"/>
      <c r="AE92" s="256">
        <v>175</v>
      </c>
      <c r="AF92" s="254"/>
      <c r="AG92" s="255"/>
      <c r="AH92" s="254">
        <v>12</v>
      </c>
    </row>
    <row r="93" spans="1:34">
      <c r="A93" s="887"/>
      <c r="B93" s="436" t="s">
        <v>59</v>
      </c>
      <c r="C93" s="577">
        <f t="shared" si="40"/>
        <v>1</v>
      </c>
      <c r="D93" s="578">
        <f t="shared" si="40"/>
        <v>0</v>
      </c>
      <c r="E93" s="578">
        <f t="shared" si="40"/>
        <v>1</v>
      </c>
      <c r="F93" s="578">
        <f t="shared" si="40"/>
        <v>1</v>
      </c>
      <c r="G93" s="578">
        <f t="shared" si="40"/>
        <v>1</v>
      </c>
      <c r="H93" s="579">
        <f t="shared" si="40"/>
        <v>1</v>
      </c>
      <c r="I93" s="577">
        <f t="shared" si="40"/>
        <v>1</v>
      </c>
      <c r="J93" s="577">
        <f t="shared" si="40"/>
        <v>0</v>
      </c>
      <c r="K93" s="578">
        <f t="shared" si="40"/>
        <v>0</v>
      </c>
      <c r="L93" s="578">
        <f t="shared" si="40"/>
        <v>0</v>
      </c>
      <c r="M93" s="578">
        <f t="shared" si="40"/>
        <v>0</v>
      </c>
      <c r="N93" s="577">
        <f t="shared" si="41"/>
        <v>1</v>
      </c>
      <c r="O93" s="577">
        <f t="shared" si="41"/>
        <v>0</v>
      </c>
      <c r="P93" s="578">
        <f t="shared" si="41"/>
        <v>0</v>
      </c>
      <c r="Q93" s="577">
        <f t="shared" si="41"/>
        <v>1</v>
      </c>
      <c r="R93" s="264"/>
      <c r="S93" s="265">
        <v>2292</v>
      </c>
      <c r="T93" s="266"/>
      <c r="U93" s="266">
        <v>1368</v>
      </c>
      <c r="V93" s="266">
        <v>460</v>
      </c>
      <c r="W93" s="266">
        <v>1006</v>
      </c>
      <c r="X93" s="266">
        <v>255</v>
      </c>
      <c r="Y93" s="267">
        <v>5381</v>
      </c>
      <c r="Z93" s="265"/>
      <c r="AA93" s="266"/>
      <c r="AB93" s="266"/>
      <c r="AC93" s="266"/>
      <c r="AD93" s="266"/>
      <c r="AE93" s="267">
        <v>1357</v>
      </c>
      <c r="AF93" s="265"/>
      <c r="AG93" s="266"/>
      <c r="AH93" s="265">
        <v>102</v>
      </c>
    </row>
    <row r="94" spans="1:34">
      <c r="A94" s="883" t="s">
        <v>14</v>
      </c>
      <c r="B94" s="240" t="s">
        <v>53</v>
      </c>
      <c r="C94" s="613">
        <f t="shared" ref="C94:M100" si="42">IF(S$100&gt;0,(S94/S$100),0)</f>
        <v>0.27188940092165897</v>
      </c>
      <c r="D94" s="614">
        <f t="shared" si="42"/>
        <v>0</v>
      </c>
      <c r="E94" s="614">
        <f t="shared" si="42"/>
        <v>0.28149606299212598</v>
      </c>
      <c r="F94" s="614">
        <f t="shared" si="42"/>
        <v>0.28305400372439476</v>
      </c>
      <c r="G94" s="614">
        <f t="shared" si="42"/>
        <v>0.29282160625444209</v>
      </c>
      <c r="H94" s="615">
        <f t="shared" si="42"/>
        <v>0.1981981981981982</v>
      </c>
      <c r="I94" s="613">
        <f t="shared" si="42"/>
        <v>0.26288659793814434</v>
      </c>
      <c r="J94" s="613">
        <f t="shared" si="42"/>
        <v>0</v>
      </c>
      <c r="K94" s="614">
        <f t="shared" si="42"/>
        <v>0</v>
      </c>
      <c r="L94" s="614">
        <f t="shared" si="42"/>
        <v>0</v>
      </c>
      <c r="M94" s="614">
        <f t="shared" si="42"/>
        <v>0</v>
      </c>
      <c r="N94" s="613">
        <f t="shared" ref="N94:Q100" si="43">IF(AE$100&gt;0,(AE94/AE$100),0)</f>
        <v>4.11522633744856E-3</v>
      </c>
      <c r="O94" s="788">
        <f t="shared" si="43"/>
        <v>0</v>
      </c>
      <c r="P94" s="614">
        <f t="shared" si="43"/>
        <v>0</v>
      </c>
      <c r="Q94" s="788">
        <f t="shared" si="43"/>
        <v>0</v>
      </c>
      <c r="R94" s="244"/>
      <c r="S94" s="245">
        <v>649</v>
      </c>
      <c r="T94" s="246"/>
      <c r="U94" s="246">
        <v>286</v>
      </c>
      <c r="V94" s="246">
        <v>152</v>
      </c>
      <c r="W94" s="246">
        <v>412</v>
      </c>
      <c r="X94" s="246">
        <v>286</v>
      </c>
      <c r="Y94" s="247">
        <v>1785</v>
      </c>
      <c r="Z94" s="245"/>
      <c r="AA94" s="246"/>
      <c r="AB94" s="246"/>
      <c r="AC94" s="246"/>
      <c r="AD94" s="246"/>
      <c r="AE94" s="247">
        <v>9</v>
      </c>
      <c r="AF94" s="245"/>
      <c r="AG94" s="246"/>
      <c r="AH94" s="245"/>
    </row>
    <row r="95" spans="1:34">
      <c r="A95" s="886"/>
      <c r="B95" s="239" t="s">
        <v>93</v>
      </c>
      <c r="C95" s="624">
        <f t="shared" si="42"/>
        <v>0.30079597821533305</v>
      </c>
      <c r="D95" s="625">
        <f t="shared" si="42"/>
        <v>0</v>
      </c>
      <c r="E95" s="625">
        <f t="shared" si="42"/>
        <v>0.32972440944881892</v>
      </c>
      <c r="F95" s="625">
        <f t="shared" si="42"/>
        <v>0.3016759776536313</v>
      </c>
      <c r="G95" s="625">
        <f t="shared" si="42"/>
        <v>0.26439232409381663</v>
      </c>
      <c r="H95" s="626">
        <f t="shared" si="42"/>
        <v>0.26126126126126126</v>
      </c>
      <c r="I95" s="624">
        <f t="shared" si="42"/>
        <v>0.28924889543446247</v>
      </c>
      <c r="J95" s="624">
        <f t="shared" si="42"/>
        <v>0</v>
      </c>
      <c r="K95" s="625">
        <f t="shared" si="42"/>
        <v>0</v>
      </c>
      <c r="L95" s="625">
        <f t="shared" si="42"/>
        <v>0</v>
      </c>
      <c r="M95" s="625">
        <f t="shared" si="42"/>
        <v>0</v>
      </c>
      <c r="N95" s="624">
        <f t="shared" si="43"/>
        <v>1.4631915866483767E-2</v>
      </c>
      <c r="O95" s="624">
        <f t="shared" si="43"/>
        <v>0</v>
      </c>
      <c r="P95" s="625">
        <f t="shared" si="43"/>
        <v>0</v>
      </c>
      <c r="Q95" s="624">
        <f t="shared" si="43"/>
        <v>0</v>
      </c>
      <c r="R95" s="253"/>
      <c r="S95" s="254">
        <v>718</v>
      </c>
      <c r="T95" s="255"/>
      <c r="U95" s="255">
        <v>335</v>
      </c>
      <c r="V95" s="255">
        <v>162</v>
      </c>
      <c r="W95" s="255">
        <v>372</v>
      </c>
      <c r="X95" s="255">
        <v>377</v>
      </c>
      <c r="Y95" s="256">
        <v>1964</v>
      </c>
      <c r="Z95" s="254"/>
      <c r="AA95" s="255"/>
      <c r="AB95" s="255"/>
      <c r="AC95" s="255"/>
      <c r="AD95" s="255"/>
      <c r="AE95" s="256">
        <v>32</v>
      </c>
      <c r="AF95" s="254"/>
      <c r="AG95" s="255"/>
      <c r="AH95" s="254"/>
    </row>
    <row r="96" spans="1:34">
      <c r="A96" s="886"/>
      <c r="B96" s="239" t="s">
        <v>55</v>
      </c>
      <c r="C96" s="624">
        <f t="shared" si="42"/>
        <v>0.23669878508588185</v>
      </c>
      <c r="D96" s="625">
        <f t="shared" si="42"/>
        <v>0</v>
      </c>
      <c r="E96" s="625">
        <f t="shared" si="42"/>
        <v>0.2903543307086614</v>
      </c>
      <c r="F96" s="625">
        <f t="shared" si="42"/>
        <v>0.31098696461824954</v>
      </c>
      <c r="G96" s="625">
        <f t="shared" si="42"/>
        <v>0.28002842928216065</v>
      </c>
      <c r="H96" s="626">
        <f t="shared" si="42"/>
        <v>0.31115731115731116</v>
      </c>
      <c r="I96" s="624">
        <f t="shared" si="42"/>
        <v>0.27540500736377027</v>
      </c>
      <c r="J96" s="624">
        <f t="shared" si="42"/>
        <v>0</v>
      </c>
      <c r="K96" s="625">
        <f t="shared" si="42"/>
        <v>0</v>
      </c>
      <c r="L96" s="625">
        <f t="shared" si="42"/>
        <v>0</v>
      </c>
      <c r="M96" s="625">
        <f t="shared" si="42"/>
        <v>0</v>
      </c>
      <c r="N96" s="624">
        <f t="shared" si="43"/>
        <v>1.0059442158207591E-2</v>
      </c>
      <c r="O96" s="624">
        <f t="shared" si="43"/>
        <v>0</v>
      </c>
      <c r="P96" s="625">
        <f t="shared" si="43"/>
        <v>0</v>
      </c>
      <c r="Q96" s="624">
        <f t="shared" si="43"/>
        <v>0</v>
      </c>
      <c r="R96" s="253"/>
      <c r="S96" s="254">
        <v>565</v>
      </c>
      <c r="T96" s="255"/>
      <c r="U96" s="255">
        <v>295</v>
      </c>
      <c r="V96" s="255">
        <v>167</v>
      </c>
      <c r="W96" s="255">
        <v>394</v>
      </c>
      <c r="X96" s="255">
        <v>449</v>
      </c>
      <c r="Y96" s="256">
        <v>1870</v>
      </c>
      <c r="Z96" s="254"/>
      <c r="AA96" s="255"/>
      <c r="AB96" s="255"/>
      <c r="AC96" s="255"/>
      <c r="AD96" s="255"/>
      <c r="AE96" s="256">
        <v>22</v>
      </c>
      <c r="AF96" s="254"/>
      <c r="AG96" s="255"/>
      <c r="AH96" s="254"/>
    </row>
    <row r="97" spans="1:34">
      <c r="A97" s="886"/>
      <c r="B97" s="239" t="s">
        <v>78</v>
      </c>
      <c r="C97" s="624">
        <f t="shared" si="42"/>
        <v>7.1219103477167992E-2</v>
      </c>
      <c r="D97" s="625">
        <f t="shared" si="42"/>
        <v>0</v>
      </c>
      <c r="E97" s="625">
        <f t="shared" si="42"/>
        <v>9.7440944881889757E-2</v>
      </c>
      <c r="F97" s="625">
        <f t="shared" si="42"/>
        <v>0.1042830540037244</v>
      </c>
      <c r="G97" s="625">
        <f t="shared" si="42"/>
        <v>6.8941009239516696E-2</v>
      </c>
      <c r="H97" s="626">
        <f t="shared" si="42"/>
        <v>0.15523215523215522</v>
      </c>
      <c r="I97" s="624">
        <f t="shared" si="42"/>
        <v>9.5139911634756991E-2</v>
      </c>
      <c r="J97" s="624">
        <f t="shared" si="42"/>
        <v>0</v>
      </c>
      <c r="K97" s="625">
        <f t="shared" si="42"/>
        <v>0</v>
      </c>
      <c r="L97" s="625">
        <f t="shared" si="42"/>
        <v>0</v>
      </c>
      <c r="M97" s="625">
        <f t="shared" si="42"/>
        <v>0</v>
      </c>
      <c r="N97" s="624">
        <f t="shared" si="43"/>
        <v>0.19890260631001372</v>
      </c>
      <c r="O97" s="624">
        <f t="shared" si="43"/>
        <v>0</v>
      </c>
      <c r="P97" s="625">
        <f t="shared" si="43"/>
        <v>0</v>
      </c>
      <c r="Q97" s="624">
        <f t="shared" si="43"/>
        <v>0</v>
      </c>
      <c r="R97" s="253"/>
      <c r="S97" s="254">
        <v>170</v>
      </c>
      <c r="T97" s="255"/>
      <c r="U97" s="255">
        <v>99</v>
      </c>
      <c r="V97" s="255">
        <v>56</v>
      </c>
      <c r="W97" s="255">
        <v>97</v>
      </c>
      <c r="X97" s="255">
        <v>224</v>
      </c>
      <c r="Y97" s="256">
        <v>646</v>
      </c>
      <c r="Z97" s="254"/>
      <c r="AA97" s="255"/>
      <c r="AB97" s="255"/>
      <c r="AC97" s="255"/>
      <c r="AD97" s="255"/>
      <c r="AE97" s="256">
        <v>435</v>
      </c>
      <c r="AF97" s="254"/>
      <c r="AG97" s="255"/>
      <c r="AH97" s="254"/>
    </row>
    <row r="98" spans="1:34">
      <c r="A98" s="886"/>
      <c r="B98" s="239" t="s">
        <v>32</v>
      </c>
      <c r="C98" s="624">
        <f t="shared" si="42"/>
        <v>0.11311269375785504</v>
      </c>
      <c r="D98" s="625">
        <f t="shared" si="42"/>
        <v>0</v>
      </c>
      <c r="E98" s="625">
        <f t="shared" si="42"/>
        <v>9.8425196850393699E-4</v>
      </c>
      <c r="F98" s="625">
        <f t="shared" si="42"/>
        <v>0</v>
      </c>
      <c r="G98" s="625">
        <f t="shared" si="42"/>
        <v>9.1684434968017064E-2</v>
      </c>
      <c r="H98" s="626">
        <f t="shared" si="42"/>
        <v>2.0097020097020097E-2</v>
      </c>
      <c r="I98" s="624">
        <f t="shared" si="42"/>
        <v>6.3181148748159055E-2</v>
      </c>
      <c r="J98" s="624">
        <f t="shared" si="42"/>
        <v>0</v>
      </c>
      <c r="K98" s="625">
        <f t="shared" si="42"/>
        <v>0</v>
      </c>
      <c r="L98" s="625">
        <f t="shared" si="42"/>
        <v>0</v>
      </c>
      <c r="M98" s="625">
        <f t="shared" si="42"/>
        <v>0</v>
      </c>
      <c r="N98" s="624">
        <f t="shared" si="43"/>
        <v>0</v>
      </c>
      <c r="O98" s="624">
        <f t="shared" si="43"/>
        <v>0</v>
      </c>
      <c r="P98" s="625">
        <f t="shared" si="43"/>
        <v>0</v>
      </c>
      <c r="Q98" s="624">
        <f t="shared" si="43"/>
        <v>0</v>
      </c>
      <c r="R98" s="253"/>
      <c r="S98" s="254">
        <v>270</v>
      </c>
      <c r="T98" s="255"/>
      <c r="U98" s="255">
        <v>1</v>
      </c>
      <c r="V98" s="255"/>
      <c r="W98" s="255">
        <v>129</v>
      </c>
      <c r="X98" s="255">
        <v>29</v>
      </c>
      <c r="Y98" s="256">
        <v>429</v>
      </c>
      <c r="Z98" s="254"/>
      <c r="AA98" s="255"/>
      <c r="AB98" s="255"/>
      <c r="AC98" s="255"/>
      <c r="AD98" s="255"/>
      <c r="AE98" s="256"/>
      <c r="AF98" s="254"/>
      <c r="AG98" s="255"/>
      <c r="AH98" s="254"/>
    </row>
    <row r="99" spans="1:34">
      <c r="A99" s="886"/>
      <c r="B99" s="239" t="s">
        <v>58</v>
      </c>
      <c r="C99" s="624">
        <f t="shared" si="42"/>
        <v>6.2840385421030582E-3</v>
      </c>
      <c r="D99" s="625">
        <f t="shared" si="42"/>
        <v>0</v>
      </c>
      <c r="E99" s="792">
        <f t="shared" si="42"/>
        <v>0</v>
      </c>
      <c r="F99" s="625">
        <f t="shared" si="42"/>
        <v>0</v>
      </c>
      <c r="G99" s="792">
        <f t="shared" si="42"/>
        <v>2.1321961620469083E-3</v>
      </c>
      <c r="H99" s="626">
        <f t="shared" si="42"/>
        <v>5.4054054054054057E-2</v>
      </c>
      <c r="I99" s="793">
        <f t="shared" si="42"/>
        <v>1.4138438880706922E-2</v>
      </c>
      <c r="J99" s="624">
        <f t="shared" si="42"/>
        <v>0</v>
      </c>
      <c r="K99" s="625">
        <f t="shared" si="42"/>
        <v>0</v>
      </c>
      <c r="L99" s="625">
        <f t="shared" si="42"/>
        <v>0</v>
      </c>
      <c r="M99" s="625">
        <f t="shared" si="42"/>
        <v>0</v>
      </c>
      <c r="N99" s="624">
        <f t="shared" si="43"/>
        <v>0.77229080932784633</v>
      </c>
      <c r="O99" s="624">
        <f t="shared" si="43"/>
        <v>0</v>
      </c>
      <c r="P99" s="625">
        <f t="shared" si="43"/>
        <v>0</v>
      </c>
      <c r="Q99" s="624">
        <f t="shared" si="43"/>
        <v>1</v>
      </c>
      <c r="R99" s="253"/>
      <c r="S99" s="254">
        <v>15</v>
      </c>
      <c r="T99" s="255"/>
      <c r="U99" s="255"/>
      <c r="V99" s="255"/>
      <c r="W99" s="255">
        <v>3</v>
      </c>
      <c r="X99" s="255">
        <v>78</v>
      </c>
      <c r="Y99" s="256">
        <v>96</v>
      </c>
      <c r="Z99" s="254"/>
      <c r="AA99" s="255"/>
      <c r="AB99" s="255"/>
      <c r="AC99" s="255"/>
      <c r="AD99" s="255"/>
      <c r="AE99" s="256">
        <v>1689</v>
      </c>
      <c r="AF99" s="254"/>
      <c r="AG99" s="255"/>
      <c r="AH99" s="254">
        <v>34</v>
      </c>
    </row>
    <row r="100" spans="1:34">
      <c r="A100" s="887"/>
      <c r="B100" s="436" t="s">
        <v>59</v>
      </c>
      <c r="C100" s="577">
        <f t="shared" si="42"/>
        <v>1</v>
      </c>
      <c r="D100" s="578">
        <f t="shared" si="42"/>
        <v>0</v>
      </c>
      <c r="E100" s="578">
        <f t="shared" si="42"/>
        <v>1</v>
      </c>
      <c r="F100" s="578">
        <f t="shared" si="42"/>
        <v>1</v>
      </c>
      <c r="G100" s="578">
        <f t="shared" si="42"/>
        <v>1</v>
      </c>
      <c r="H100" s="579">
        <f t="shared" si="42"/>
        <v>1</v>
      </c>
      <c r="I100" s="577">
        <f t="shared" si="42"/>
        <v>1</v>
      </c>
      <c r="J100" s="577">
        <f t="shared" si="42"/>
        <v>0</v>
      </c>
      <c r="K100" s="578">
        <f t="shared" si="42"/>
        <v>0</v>
      </c>
      <c r="L100" s="578">
        <f t="shared" si="42"/>
        <v>0</v>
      </c>
      <c r="M100" s="578">
        <f t="shared" si="42"/>
        <v>0</v>
      </c>
      <c r="N100" s="577">
        <f t="shared" si="43"/>
        <v>1</v>
      </c>
      <c r="O100" s="577">
        <f t="shared" si="43"/>
        <v>0</v>
      </c>
      <c r="P100" s="578">
        <f t="shared" si="43"/>
        <v>0</v>
      </c>
      <c r="Q100" s="577">
        <f t="shared" si="43"/>
        <v>1</v>
      </c>
      <c r="R100" s="264"/>
      <c r="S100" s="265">
        <v>2387</v>
      </c>
      <c r="T100" s="266"/>
      <c r="U100" s="266">
        <v>1016</v>
      </c>
      <c r="V100" s="266">
        <v>537</v>
      </c>
      <c r="W100" s="266">
        <v>1407</v>
      </c>
      <c r="X100" s="266">
        <v>1443</v>
      </c>
      <c r="Y100" s="267">
        <v>6790</v>
      </c>
      <c r="Z100" s="265"/>
      <c r="AA100" s="266"/>
      <c r="AB100" s="266"/>
      <c r="AC100" s="266"/>
      <c r="AD100" s="266"/>
      <c r="AE100" s="267">
        <v>2187</v>
      </c>
      <c r="AF100" s="265"/>
      <c r="AG100" s="266"/>
      <c r="AH100" s="265">
        <v>34</v>
      </c>
    </row>
    <row r="101" spans="1:34">
      <c r="A101" s="883" t="s">
        <v>15</v>
      </c>
      <c r="B101" s="240" t="s">
        <v>53</v>
      </c>
      <c r="C101" s="613">
        <f t="shared" ref="C101:M107" si="44">IF(S$107&gt;0,(S101/S$107),0)</f>
        <v>0.32201986754966888</v>
      </c>
      <c r="D101" s="614">
        <f t="shared" si="44"/>
        <v>0.31231231231231232</v>
      </c>
      <c r="E101" s="614">
        <f t="shared" si="44"/>
        <v>0.33860294117647061</v>
      </c>
      <c r="F101" s="614">
        <f t="shared" si="44"/>
        <v>0.31365313653136534</v>
      </c>
      <c r="G101" s="614">
        <f t="shared" si="44"/>
        <v>0.23545706371191136</v>
      </c>
      <c r="H101" s="615">
        <f t="shared" si="44"/>
        <v>0.184</v>
      </c>
      <c r="I101" s="613">
        <f t="shared" si="44"/>
        <v>0.3068624513035661</v>
      </c>
      <c r="J101" s="613">
        <f t="shared" si="44"/>
        <v>0</v>
      </c>
      <c r="K101" s="614">
        <f t="shared" si="44"/>
        <v>0</v>
      </c>
      <c r="L101" s="614">
        <f t="shared" si="44"/>
        <v>0</v>
      </c>
      <c r="M101" s="614">
        <f t="shared" si="44"/>
        <v>0</v>
      </c>
      <c r="N101" s="613">
        <f t="shared" ref="N101:Q107" si="45">IF(AE$107&gt;0,(AE101/AE$107),0)</f>
        <v>0.10903260288615714</v>
      </c>
      <c r="O101" s="788">
        <f t="shared" si="45"/>
        <v>0</v>
      </c>
      <c r="P101" s="614">
        <f t="shared" si="45"/>
        <v>0</v>
      </c>
      <c r="Q101" s="788">
        <f t="shared" si="45"/>
        <v>0</v>
      </c>
      <c r="R101" s="244"/>
      <c r="S101" s="245">
        <v>1167</v>
      </c>
      <c r="T101" s="246">
        <v>104</v>
      </c>
      <c r="U101" s="246">
        <v>921</v>
      </c>
      <c r="V101" s="246">
        <v>510</v>
      </c>
      <c r="W101" s="246">
        <v>255</v>
      </c>
      <c r="X101" s="246">
        <v>115</v>
      </c>
      <c r="Y101" s="247">
        <v>3072</v>
      </c>
      <c r="Z101" s="245"/>
      <c r="AA101" s="246"/>
      <c r="AB101" s="246"/>
      <c r="AC101" s="246"/>
      <c r="AD101" s="246"/>
      <c r="AE101" s="247">
        <v>204</v>
      </c>
      <c r="AF101" s="245"/>
      <c r="AG101" s="246"/>
      <c r="AH101" s="245"/>
    </row>
    <row r="102" spans="1:34">
      <c r="A102" s="886"/>
      <c r="B102" s="239" t="s">
        <v>93</v>
      </c>
      <c r="C102" s="624">
        <f t="shared" si="44"/>
        <v>0.26048565121412803</v>
      </c>
      <c r="D102" s="625">
        <f t="shared" si="44"/>
        <v>0.32732732732732733</v>
      </c>
      <c r="E102" s="625">
        <f t="shared" si="44"/>
        <v>0.23749999999999999</v>
      </c>
      <c r="F102" s="625">
        <f t="shared" si="44"/>
        <v>0.27982779827798276</v>
      </c>
      <c r="G102" s="625">
        <f t="shared" si="44"/>
        <v>0.26315789473684209</v>
      </c>
      <c r="H102" s="626">
        <f t="shared" si="44"/>
        <v>0.2944</v>
      </c>
      <c r="I102" s="624">
        <f t="shared" si="44"/>
        <v>0.26201178703426231</v>
      </c>
      <c r="J102" s="624">
        <f t="shared" si="44"/>
        <v>0</v>
      </c>
      <c r="K102" s="625">
        <f t="shared" si="44"/>
        <v>0</v>
      </c>
      <c r="L102" s="625">
        <f t="shared" si="44"/>
        <v>0</v>
      </c>
      <c r="M102" s="625">
        <f t="shared" si="44"/>
        <v>0</v>
      </c>
      <c r="N102" s="624">
        <f t="shared" si="45"/>
        <v>0.41047568145376806</v>
      </c>
      <c r="O102" s="624">
        <f t="shared" si="45"/>
        <v>0</v>
      </c>
      <c r="P102" s="625">
        <f t="shared" si="45"/>
        <v>0</v>
      </c>
      <c r="Q102" s="624">
        <f t="shared" si="45"/>
        <v>0</v>
      </c>
      <c r="R102" s="253"/>
      <c r="S102" s="254">
        <v>944</v>
      </c>
      <c r="T102" s="255">
        <v>109</v>
      </c>
      <c r="U102" s="255">
        <v>646</v>
      </c>
      <c r="V102" s="255">
        <v>455</v>
      </c>
      <c r="W102" s="255">
        <v>285</v>
      </c>
      <c r="X102" s="255">
        <v>184</v>
      </c>
      <c r="Y102" s="256">
        <v>2623</v>
      </c>
      <c r="Z102" s="254"/>
      <c r="AA102" s="255"/>
      <c r="AB102" s="255"/>
      <c r="AC102" s="255"/>
      <c r="AD102" s="255"/>
      <c r="AE102" s="256">
        <v>768</v>
      </c>
      <c r="AF102" s="254"/>
      <c r="AG102" s="255"/>
      <c r="AH102" s="254"/>
    </row>
    <row r="103" spans="1:34">
      <c r="A103" s="886"/>
      <c r="B103" s="239" t="s">
        <v>55</v>
      </c>
      <c r="C103" s="624">
        <f t="shared" si="44"/>
        <v>0.23592715231788081</v>
      </c>
      <c r="D103" s="625">
        <f t="shared" si="44"/>
        <v>0.27627627627627627</v>
      </c>
      <c r="E103" s="625">
        <f t="shared" si="44"/>
        <v>0.23345588235294118</v>
      </c>
      <c r="F103" s="625">
        <f t="shared" si="44"/>
        <v>0.2945879458794588</v>
      </c>
      <c r="G103" s="625">
        <f t="shared" si="44"/>
        <v>0.37580794090489383</v>
      </c>
      <c r="H103" s="626">
        <f t="shared" si="44"/>
        <v>0.34399999999999997</v>
      </c>
      <c r="I103" s="624">
        <f t="shared" si="44"/>
        <v>0.26800519428628511</v>
      </c>
      <c r="J103" s="624">
        <f t="shared" si="44"/>
        <v>0</v>
      </c>
      <c r="K103" s="625">
        <f t="shared" si="44"/>
        <v>0</v>
      </c>
      <c r="L103" s="625">
        <f t="shared" si="44"/>
        <v>0</v>
      </c>
      <c r="M103" s="625">
        <f t="shared" si="44"/>
        <v>0</v>
      </c>
      <c r="N103" s="624">
        <f t="shared" si="45"/>
        <v>0.21432389096739712</v>
      </c>
      <c r="O103" s="624">
        <f t="shared" si="45"/>
        <v>0</v>
      </c>
      <c r="P103" s="625">
        <f t="shared" si="45"/>
        <v>0</v>
      </c>
      <c r="Q103" s="624">
        <f t="shared" si="45"/>
        <v>0</v>
      </c>
      <c r="R103" s="253"/>
      <c r="S103" s="254">
        <v>855</v>
      </c>
      <c r="T103" s="255">
        <v>92</v>
      </c>
      <c r="U103" s="255">
        <v>635</v>
      </c>
      <c r="V103" s="255">
        <v>479</v>
      </c>
      <c r="W103" s="255">
        <v>407</v>
      </c>
      <c r="X103" s="255">
        <v>215</v>
      </c>
      <c r="Y103" s="256">
        <v>2683</v>
      </c>
      <c r="Z103" s="254"/>
      <c r="AA103" s="255"/>
      <c r="AB103" s="255"/>
      <c r="AC103" s="255"/>
      <c r="AD103" s="255"/>
      <c r="AE103" s="256">
        <v>401</v>
      </c>
      <c r="AF103" s="254"/>
      <c r="AG103" s="255"/>
      <c r="AH103" s="254"/>
    </row>
    <row r="104" spans="1:34">
      <c r="A104" s="886"/>
      <c r="B104" s="239" t="s">
        <v>78</v>
      </c>
      <c r="C104" s="624">
        <f t="shared" si="44"/>
        <v>5.2428256070640174E-2</v>
      </c>
      <c r="D104" s="625">
        <f t="shared" si="44"/>
        <v>9.0090090090090089E-3</v>
      </c>
      <c r="E104" s="625">
        <f t="shared" si="44"/>
        <v>6.7279411764705879E-2</v>
      </c>
      <c r="F104" s="625">
        <f t="shared" si="44"/>
        <v>5.2275522755227552E-2</v>
      </c>
      <c r="G104" s="625">
        <f t="shared" si="44"/>
        <v>7.3868882733148664E-2</v>
      </c>
      <c r="H104" s="626">
        <f t="shared" si="44"/>
        <v>0.1152</v>
      </c>
      <c r="I104" s="624">
        <f t="shared" si="44"/>
        <v>6.1232644091499353E-2</v>
      </c>
      <c r="J104" s="624">
        <f t="shared" si="44"/>
        <v>0</v>
      </c>
      <c r="K104" s="625">
        <f t="shared" si="44"/>
        <v>0</v>
      </c>
      <c r="L104" s="625">
        <f t="shared" si="44"/>
        <v>0</v>
      </c>
      <c r="M104" s="625">
        <f t="shared" si="44"/>
        <v>0</v>
      </c>
      <c r="N104" s="624">
        <f t="shared" si="45"/>
        <v>0.26082308925708175</v>
      </c>
      <c r="O104" s="624">
        <f t="shared" si="45"/>
        <v>0</v>
      </c>
      <c r="P104" s="625">
        <f t="shared" si="45"/>
        <v>0</v>
      </c>
      <c r="Q104" s="624">
        <f t="shared" si="45"/>
        <v>0.4606741573033708</v>
      </c>
      <c r="R104" s="253"/>
      <c r="S104" s="254">
        <v>190</v>
      </c>
      <c r="T104" s="255">
        <v>3</v>
      </c>
      <c r="U104" s="255">
        <v>183</v>
      </c>
      <c r="V104" s="255">
        <v>85</v>
      </c>
      <c r="W104" s="255">
        <v>80</v>
      </c>
      <c r="X104" s="255">
        <v>72</v>
      </c>
      <c r="Y104" s="256">
        <v>613</v>
      </c>
      <c r="Z104" s="254"/>
      <c r="AA104" s="255"/>
      <c r="AB104" s="255"/>
      <c r="AC104" s="255"/>
      <c r="AD104" s="255"/>
      <c r="AE104" s="256">
        <v>488</v>
      </c>
      <c r="AF104" s="254"/>
      <c r="AG104" s="255"/>
      <c r="AH104" s="254">
        <v>41</v>
      </c>
    </row>
    <row r="105" spans="1:34">
      <c r="A105" s="886"/>
      <c r="B105" s="239" t="s">
        <v>32</v>
      </c>
      <c r="C105" s="624">
        <f t="shared" si="44"/>
        <v>0.12775938189845473</v>
      </c>
      <c r="D105" s="625">
        <f t="shared" si="44"/>
        <v>0</v>
      </c>
      <c r="E105" s="625">
        <f t="shared" si="44"/>
        <v>0.12132352941176471</v>
      </c>
      <c r="F105" s="625">
        <f t="shared" si="44"/>
        <v>5.5350553505535055E-2</v>
      </c>
      <c r="G105" s="625">
        <f t="shared" si="44"/>
        <v>4.1551246537396121E-2</v>
      </c>
      <c r="H105" s="626">
        <f t="shared" si="44"/>
        <v>1.6000000000000001E-3</v>
      </c>
      <c r="I105" s="624">
        <f t="shared" si="44"/>
        <v>9.2797922285485959E-2</v>
      </c>
      <c r="J105" s="624">
        <f t="shared" si="44"/>
        <v>0</v>
      </c>
      <c r="K105" s="790">
        <f t="shared" si="44"/>
        <v>0</v>
      </c>
      <c r="L105" s="625">
        <f t="shared" si="44"/>
        <v>0</v>
      </c>
      <c r="M105" s="625">
        <f t="shared" si="44"/>
        <v>0</v>
      </c>
      <c r="N105" s="791">
        <f t="shared" si="45"/>
        <v>0</v>
      </c>
      <c r="O105" s="624">
        <f t="shared" si="45"/>
        <v>0</v>
      </c>
      <c r="P105" s="625">
        <f t="shared" si="45"/>
        <v>0</v>
      </c>
      <c r="Q105" s="624">
        <f t="shared" si="45"/>
        <v>0</v>
      </c>
      <c r="R105" s="253"/>
      <c r="S105" s="254">
        <v>463</v>
      </c>
      <c r="T105" s="255"/>
      <c r="U105" s="255">
        <v>330</v>
      </c>
      <c r="V105" s="255">
        <v>90</v>
      </c>
      <c r="W105" s="255">
        <v>45</v>
      </c>
      <c r="X105" s="255">
        <v>1</v>
      </c>
      <c r="Y105" s="256">
        <v>929</v>
      </c>
      <c r="Z105" s="254"/>
      <c r="AA105" s="255"/>
      <c r="AB105" s="255"/>
      <c r="AC105" s="255"/>
      <c r="AD105" s="255"/>
      <c r="AE105" s="256"/>
      <c r="AF105" s="254"/>
      <c r="AG105" s="255"/>
      <c r="AH105" s="254"/>
    </row>
    <row r="106" spans="1:34">
      <c r="A106" s="886"/>
      <c r="B106" s="239" t="s">
        <v>58</v>
      </c>
      <c r="C106" s="624">
        <f t="shared" si="44"/>
        <v>1.3796909492273732E-3</v>
      </c>
      <c r="D106" s="625">
        <f t="shared" si="44"/>
        <v>7.5075075075075076E-2</v>
      </c>
      <c r="E106" s="792">
        <f t="shared" si="44"/>
        <v>1.838235294117647E-3</v>
      </c>
      <c r="F106" s="625">
        <f t="shared" si="44"/>
        <v>4.3050430504305041E-3</v>
      </c>
      <c r="G106" s="792">
        <f t="shared" si="44"/>
        <v>1.0156971375807941E-2</v>
      </c>
      <c r="H106" s="626">
        <f t="shared" si="44"/>
        <v>6.08E-2</v>
      </c>
      <c r="I106" s="793">
        <f t="shared" si="44"/>
        <v>9.0900009989012091E-3</v>
      </c>
      <c r="J106" s="624">
        <f t="shared" si="44"/>
        <v>0</v>
      </c>
      <c r="K106" s="625">
        <f t="shared" si="44"/>
        <v>0</v>
      </c>
      <c r="L106" s="625">
        <f t="shared" si="44"/>
        <v>0</v>
      </c>
      <c r="M106" s="625">
        <f t="shared" si="44"/>
        <v>0</v>
      </c>
      <c r="N106" s="624">
        <f t="shared" si="45"/>
        <v>5.3447354355959384E-3</v>
      </c>
      <c r="O106" s="624">
        <f t="shared" si="45"/>
        <v>0</v>
      </c>
      <c r="P106" s="625">
        <f t="shared" si="45"/>
        <v>0</v>
      </c>
      <c r="Q106" s="624">
        <f t="shared" si="45"/>
        <v>0.5393258426966292</v>
      </c>
      <c r="R106" s="253"/>
      <c r="S106" s="254">
        <v>5</v>
      </c>
      <c r="T106" s="255">
        <v>25</v>
      </c>
      <c r="U106" s="255">
        <v>5</v>
      </c>
      <c r="V106" s="255">
        <v>7</v>
      </c>
      <c r="W106" s="255">
        <v>11</v>
      </c>
      <c r="X106" s="255">
        <v>38</v>
      </c>
      <c r="Y106" s="256">
        <v>91</v>
      </c>
      <c r="Z106" s="254"/>
      <c r="AA106" s="255"/>
      <c r="AB106" s="255"/>
      <c r="AC106" s="255"/>
      <c r="AD106" s="255"/>
      <c r="AE106" s="256">
        <v>10</v>
      </c>
      <c r="AF106" s="254"/>
      <c r="AG106" s="255"/>
      <c r="AH106" s="254">
        <v>48</v>
      </c>
    </row>
    <row r="107" spans="1:34">
      <c r="A107" s="887"/>
      <c r="B107" s="436" t="s">
        <v>59</v>
      </c>
      <c r="C107" s="577">
        <f t="shared" si="44"/>
        <v>1</v>
      </c>
      <c r="D107" s="578">
        <f t="shared" si="44"/>
        <v>1</v>
      </c>
      <c r="E107" s="578">
        <f t="shared" si="44"/>
        <v>1</v>
      </c>
      <c r="F107" s="578">
        <f t="shared" si="44"/>
        <v>1</v>
      </c>
      <c r="G107" s="578">
        <f t="shared" si="44"/>
        <v>1</v>
      </c>
      <c r="H107" s="579">
        <f t="shared" si="44"/>
        <v>1</v>
      </c>
      <c r="I107" s="577">
        <f t="shared" si="44"/>
        <v>1</v>
      </c>
      <c r="J107" s="577">
        <f t="shared" si="44"/>
        <v>0</v>
      </c>
      <c r="K107" s="578">
        <f t="shared" si="44"/>
        <v>0</v>
      </c>
      <c r="L107" s="578">
        <f t="shared" si="44"/>
        <v>0</v>
      </c>
      <c r="M107" s="578">
        <f t="shared" si="44"/>
        <v>0</v>
      </c>
      <c r="N107" s="577">
        <f t="shared" si="45"/>
        <v>1</v>
      </c>
      <c r="O107" s="577">
        <f t="shared" si="45"/>
        <v>0</v>
      </c>
      <c r="P107" s="578">
        <f t="shared" si="45"/>
        <v>0</v>
      </c>
      <c r="Q107" s="577">
        <f t="shared" si="45"/>
        <v>1</v>
      </c>
      <c r="R107" s="264"/>
      <c r="S107" s="265">
        <v>3624</v>
      </c>
      <c r="T107" s="266">
        <v>333</v>
      </c>
      <c r="U107" s="266">
        <v>2720</v>
      </c>
      <c r="V107" s="266">
        <v>1626</v>
      </c>
      <c r="W107" s="266">
        <v>1083</v>
      </c>
      <c r="X107" s="266">
        <v>625</v>
      </c>
      <c r="Y107" s="267">
        <v>10011</v>
      </c>
      <c r="Z107" s="265"/>
      <c r="AA107" s="266"/>
      <c r="AB107" s="266"/>
      <c r="AC107" s="266"/>
      <c r="AD107" s="266"/>
      <c r="AE107" s="267">
        <v>1871</v>
      </c>
      <c r="AF107" s="265"/>
      <c r="AG107" s="266"/>
      <c r="AH107" s="265">
        <v>89</v>
      </c>
    </row>
    <row r="108" spans="1:34">
      <c r="A108" s="883" t="s">
        <v>16</v>
      </c>
      <c r="B108" s="240" t="s">
        <v>53</v>
      </c>
      <c r="C108" s="613">
        <f t="shared" ref="C108:M114" si="46">IF(S$114&gt;0,(S108/S$114),0)</f>
        <v>0.32581168831168833</v>
      </c>
      <c r="D108" s="614">
        <f t="shared" si="46"/>
        <v>0.25261020881670532</v>
      </c>
      <c r="E108" s="614">
        <f t="shared" si="46"/>
        <v>0.21471194531843332</v>
      </c>
      <c r="F108" s="614">
        <f t="shared" si="46"/>
        <v>0.21727515583259127</v>
      </c>
      <c r="G108" s="614">
        <f t="shared" si="46"/>
        <v>0.28003120124804992</v>
      </c>
      <c r="H108" s="615">
        <f t="shared" si="46"/>
        <v>0.2583547557840617</v>
      </c>
      <c r="I108" s="613">
        <f t="shared" si="46"/>
        <v>0.27222380005680202</v>
      </c>
      <c r="J108" s="613">
        <f t="shared" si="46"/>
        <v>0</v>
      </c>
      <c r="K108" s="614">
        <f t="shared" si="46"/>
        <v>0</v>
      </c>
      <c r="L108" s="614">
        <f t="shared" si="46"/>
        <v>0</v>
      </c>
      <c r="M108" s="614">
        <f t="shared" si="46"/>
        <v>0</v>
      </c>
      <c r="N108" s="613">
        <f t="shared" ref="N108:Q114" si="47">IF(AE$114&gt;0,(AE108/AE$114),0)</f>
        <v>0.21464605370219692</v>
      </c>
      <c r="O108" s="788">
        <f t="shared" si="47"/>
        <v>0</v>
      </c>
      <c r="P108" s="614">
        <f t="shared" si="47"/>
        <v>0</v>
      </c>
      <c r="Q108" s="788">
        <f t="shared" si="47"/>
        <v>0</v>
      </c>
      <c r="R108" s="244"/>
      <c r="S108" s="245">
        <v>4014</v>
      </c>
      <c r="T108" s="246">
        <v>871</v>
      </c>
      <c r="U108" s="246">
        <v>1979</v>
      </c>
      <c r="V108" s="246">
        <v>244</v>
      </c>
      <c r="W108" s="246">
        <v>359</v>
      </c>
      <c r="X108" s="246">
        <v>201</v>
      </c>
      <c r="Y108" s="247">
        <v>7668</v>
      </c>
      <c r="Z108" s="245"/>
      <c r="AA108" s="246"/>
      <c r="AB108" s="246"/>
      <c r="AC108" s="246"/>
      <c r="AD108" s="246"/>
      <c r="AE108" s="247">
        <v>2638</v>
      </c>
      <c r="AF108" s="245"/>
      <c r="AG108" s="246"/>
      <c r="AH108" s="245"/>
    </row>
    <row r="109" spans="1:34">
      <c r="A109" s="886"/>
      <c r="B109" s="239" t="s">
        <v>93</v>
      </c>
      <c r="C109" s="624">
        <f t="shared" si="46"/>
        <v>0.24147727272727273</v>
      </c>
      <c r="D109" s="625">
        <f t="shared" si="46"/>
        <v>0.26798143851508122</v>
      </c>
      <c r="E109" s="625">
        <f t="shared" si="46"/>
        <v>0.25257676033416515</v>
      </c>
      <c r="F109" s="625">
        <f t="shared" si="46"/>
        <v>0.28673196794300981</v>
      </c>
      <c r="G109" s="625">
        <f t="shared" si="46"/>
        <v>0.2714508580343214</v>
      </c>
      <c r="H109" s="626">
        <f t="shared" si="46"/>
        <v>0.27377892030848328</v>
      </c>
      <c r="I109" s="624">
        <f t="shared" si="46"/>
        <v>0.25241408690712863</v>
      </c>
      <c r="J109" s="624">
        <f t="shared" si="46"/>
        <v>0</v>
      </c>
      <c r="K109" s="625">
        <f t="shared" si="46"/>
        <v>0</v>
      </c>
      <c r="L109" s="625">
        <f t="shared" si="46"/>
        <v>0</v>
      </c>
      <c r="M109" s="625">
        <f t="shared" si="46"/>
        <v>0</v>
      </c>
      <c r="N109" s="624">
        <f t="shared" si="47"/>
        <v>9.8860862489829129E-2</v>
      </c>
      <c r="O109" s="624">
        <f t="shared" si="47"/>
        <v>0</v>
      </c>
      <c r="P109" s="625">
        <f t="shared" si="47"/>
        <v>0</v>
      </c>
      <c r="Q109" s="624">
        <f t="shared" si="47"/>
        <v>0</v>
      </c>
      <c r="R109" s="253"/>
      <c r="S109" s="254">
        <v>2975</v>
      </c>
      <c r="T109" s="255">
        <v>924</v>
      </c>
      <c r="U109" s="255">
        <v>2328</v>
      </c>
      <c r="V109" s="255">
        <v>322</v>
      </c>
      <c r="W109" s="255">
        <v>348</v>
      </c>
      <c r="X109" s="255">
        <v>213</v>
      </c>
      <c r="Y109" s="256">
        <v>7110</v>
      </c>
      <c r="Z109" s="254"/>
      <c r="AA109" s="255"/>
      <c r="AB109" s="255"/>
      <c r="AC109" s="255"/>
      <c r="AD109" s="255"/>
      <c r="AE109" s="256">
        <v>1215</v>
      </c>
      <c r="AF109" s="254"/>
      <c r="AG109" s="255"/>
      <c r="AH109" s="254"/>
    </row>
    <row r="110" spans="1:34">
      <c r="A110" s="886"/>
      <c r="B110" s="239" t="s">
        <v>55</v>
      </c>
      <c r="C110" s="624">
        <f t="shared" si="46"/>
        <v>0.16079545454545455</v>
      </c>
      <c r="D110" s="625">
        <f t="shared" si="46"/>
        <v>0.20620649651972159</v>
      </c>
      <c r="E110" s="625">
        <f t="shared" si="46"/>
        <v>0.27839861126179882</v>
      </c>
      <c r="F110" s="625">
        <f t="shared" si="46"/>
        <v>0.37043633125556547</v>
      </c>
      <c r="G110" s="625">
        <f t="shared" si="46"/>
        <v>0.31045241809672386</v>
      </c>
      <c r="H110" s="626">
        <f t="shared" si="46"/>
        <v>0.29305912596401029</v>
      </c>
      <c r="I110" s="624">
        <f t="shared" si="46"/>
        <v>0.22365805168986083</v>
      </c>
      <c r="J110" s="624">
        <f t="shared" si="46"/>
        <v>0</v>
      </c>
      <c r="K110" s="625">
        <f t="shared" si="46"/>
        <v>0</v>
      </c>
      <c r="L110" s="625">
        <f t="shared" si="46"/>
        <v>0</v>
      </c>
      <c r="M110" s="625">
        <f t="shared" si="46"/>
        <v>0</v>
      </c>
      <c r="N110" s="624">
        <f t="shared" si="47"/>
        <v>8.4458909682668837E-2</v>
      </c>
      <c r="O110" s="624">
        <f t="shared" si="47"/>
        <v>0</v>
      </c>
      <c r="P110" s="625">
        <f t="shared" si="47"/>
        <v>0</v>
      </c>
      <c r="Q110" s="624">
        <f t="shared" si="47"/>
        <v>0</v>
      </c>
      <c r="R110" s="253"/>
      <c r="S110" s="254">
        <v>1981</v>
      </c>
      <c r="T110" s="255">
        <v>711</v>
      </c>
      <c r="U110" s="255">
        <v>2566</v>
      </c>
      <c r="V110" s="255">
        <v>416</v>
      </c>
      <c r="W110" s="255">
        <v>398</v>
      </c>
      <c r="X110" s="255">
        <v>228</v>
      </c>
      <c r="Y110" s="256">
        <v>6300</v>
      </c>
      <c r="Z110" s="254"/>
      <c r="AA110" s="255"/>
      <c r="AB110" s="255"/>
      <c r="AC110" s="255"/>
      <c r="AD110" s="255"/>
      <c r="AE110" s="256">
        <v>1038</v>
      </c>
      <c r="AF110" s="254"/>
      <c r="AG110" s="255"/>
      <c r="AH110" s="254"/>
    </row>
    <row r="111" spans="1:34">
      <c r="A111" s="886"/>
      <c r="B111" s="239" t="s">
        <v>78</v>
      </c>
      <c r="C111" s="624">
        <f t="shared" si="46"/>
        <v>4.1071428571428571E-2</v>
      </c>
      <c r="D111" s="625">
        <f t="shared" si="46"/>
        <v>2.4361948955916472E-2</v>
      </c>
      <c r="E111" s="625">
        <f t="shared" si="46"/>
        <v>7.1823803840729089E-2</v>
      </c>
      <c r="F111" s="625">
        <f t="shared" si="46"/>
        <v>8.9047195013357075E-2</v>
      </c>
      <c r="G111" s="625">
        <f t="shared" si="46"/>
        <v>4.8361934477379097E-2</v>
      </c>
      <c r="H111" s="626">
        <f t="shared" si="46"/>
        <v>0.10154241645244216</v>
      </c>
      <c r="I111" s="624">
        <f t="shared" si="46"/>
        <v>5.3003408122692414E-2</v>
      </c>
      <c r="J111" s="624">
        <f t="shared" si="46"/>
        <v>0</v>
      </c>
      <c r="K111" s="625">
        <f t="shared" si="46"/>
        <v>0</v>
      </c>
      <c r="L111" s="625">
        <f t="shared" si="46"/>
        <v>0</v>
      </c>
      <c r="M111" s="625">
        <f t="shared" si="46"/>
        <v>0</v>
      </c>
      <c r="N111" s="624">
        <f t="shared" si="47"/>
        <v>0.37477624084621641</v>
      </c>
      <c r="O111" s="624">
        <f t="shared" si="47"/>
        <v>0</v>
      </c>
      <c r="P111" s="625">
        <f t="shared" si="47"/>
        <v>0</v>
      </c>
      <c r="Q111" s="624">
        <f t="shared" si="47"/>
        <v>0.61170212765957444</v>
      </c>
      <c r="R111" s="253"/>
      <c r="S111" s="254">
        <v>506</v>
      </c>
      <c r="T111" s="255">
        <v>84</v>
      </c>
      <c r="U111" s="255">
        <v>662</v>
      </c>
      <c r="V111" s="255">
        <v>100</v>
      </c>
      <c r="W111" s="255">
        <v>62</v>
      </c>
      <c r="X111" s="255">
        <v>79</v>
      </c>
      <c r="Y111" s="256">
        <v>1493</v>
      </c>
      <c r="Z111" s="254"/>
      <c r="AA111" s="255"/>
      <c r="AB111" s="255"/>
      <c r="AC111" s="255"/>
      <c r="AD111" s="255"/>
      <c r="AE111" s="256">
        <v>4606</v>
      </c>
      <c r="AF111" s="254"/>
      <c r="AG111" s="255"/>
      <c r="AH111" s="254">
        <v>230</v>
      </c>
    </row>
    <row r="112" spans="1:34">
      <c r="A112" s="886"/>
      <c r="B112" s="239" t="s">
        <v>32</v>
      </c>
      <c r="C112" s="624">
        <f t="shared" si="46"/>
        <v>0.16858766233766234</v>
      </c>
      <c r="D112" s="625">
        <f t="shared" si="46"/>
        <v>0.22418793503480278</v>
      </c>
      <c r="E112" s="625">
        <f t="shared" si="46"/>
        <v>0.13366605186069219</v>
      </c>
      <c r="F112" s="625">
        <f t="shared" si="46"/>
        <v>1.5138023152270703E-2</v>
      </c>
      <c r="G112" s="625">
        <f t="shared" si="46"/>
        <v>7.1762870514820595E-2</v>
      </c>
      <c r="H112" s="626">
        <f t="shared" si="46"/>
        <v>2.9562982005141389E-2</v>
      </c>
      <c r="I112" s="624">
        <f t="shared" si="46"/>
        <v>0.14960238568588469</v>
      </c>
      <c r="J112" s="624">
        <f t="shared" si="46"/>
        <v>0</v>
      </c>
      <c r="K112" s="625">
        <f t="shared" si="46"/>
        <v>0</v>
      </c>
      <c r="L112" s="790">
        <f t="shared" si="46"/>
        <v>0</v>
      </c>
      <c r="M112" s="790">
        <f t="shared" si="46"/>
        <v>0</v>
      </c>
      <c r="N112" s="624">
        <f t="shared" si="47"/>
        <v>7.8925956061838901E-3</v>
      </c>
      <c r="O112" s="624">
        <f t="shared" si="47"/>
        <v>0</v>
      </c>
      <c r="P112" s="625">
        <f t="shared" si="47"/>
        <v>0</v>
      </c>
      <c r="Q112" s="624">
        <f t="shared" si="47"/>
        <v>0</v>
      </c>
      <c r="R112" s="253"/>
      <c r="S112" s="254">
        <v>2077</v>
      </c>
      <c r="T112" s="255">
        <v>773</v>
      </c>
      <c r="U112" s="255">
        <v>1232</v>
      </c>
      <c r="V112" s="255">
        <v>17</v>
      </c>
      <c r="W112" s="255">
        <v>92</v>
      </c>
      <c r="X112" s="255">
        <v>23</v>
      </c>
      <c r="Y112" s="256">
        <v>4214</v>
      </c>
      <c r="Z112" s="254"/>
      <c r="AA112" s="255"/>
      <c r="AB112" s="255"/>
      <c r="AC112" s="255"/>
      <c r="AD112" s="255"/>
      <c r="AE112" s="256">
        <v>97</v>
      </c>
      <c r="AF112" s="254"/>
      <c r="AG112" s="255"/>
      <c r="AH112" s="254"/>
    </row>
    <row r="113" spans="1:34">
      <c r="A113" s="886"/>
      <c r="B113" s="239" t="s">
        <v>58</v>
      </c>
      <c r="C113" s="624">
        <f t="shared" si="46"/>
        <v>6.225649350649351E-2</v>
      </c>
      <c r="D113" s="625">
        <f t="shared" si="46"/>
        <v>2.4651972157772623E-2</v>
      </c>
      <c r="E113" s="625">
        <f t="shared" si="46"/>
        <v>4.8822827384181401E-2</v>
      </c>
      <c r="F113" s="625">
        <f t="shared" si="46"/>
        <v>2.1371326803205699E-2</v>
      </c>
      <c r="G113" s="625">
        <f t="shared" si="46"/>
        <v>1.7940717628705149E-2</v>
      </c>
      <c r="H113" s="626">
        <f t="shared" si="46"/>
        <v>4.3701799485861184E-2</v>
      </c>
      <c r="I113" s="624">
        <f t="shared" si="46"/>
        <v>4.9098267537631357E-2</v>
      </c>
      <c r="J113" s="624">
        <f t="shared" si="46"/>
        <v>0</v>
      </c>
      <c r="K113" s="625">
        <f t="shared" si="46"/>
        <v>0</v>
      </c>
      <c r="L113" s="625">
        <f t="shared" si="46"/>
        <v>0</v>
      </c>
      <c r="M113" s="625">
        <f t="shared" si="46"/>
        <v>0</v>
      </c>
      <c r="N113" s="624">
        <f t="shared" si="47"/>
        <v>0.21936533767290481</v>
      </c>
      <c r="O113" s="624">
        <f t="shared" si="47"/>
        <v>0</v>
      </c>
      <c r="P113" s="625">
        <f t="shared" si="47"/>
        <v>0</v>
      </c>
      <c r="Q113" s="624">
        <f t="shared" si="47"/>
        <v>0.38829787234042551</v>
      </c>
      <c r="R113" s="253"/>
      <c r="S113" s="254">
        <v>767</v>
      </c>
      <c r="T113" s="255">
        <v>85</v>
      </c>
      <c r="U113" s="255">
        <v>450</v>
      </c>
      <c r="V113" s="255">
        <v>24</v>
      </c>
      <c r="W113" s="255">
        <v>23</v>
      </c>
      <c r="X113" s="255">
        <v>34</v>
      </c>
      <c r="Y113" s="256">
        <v>1383</v>
      </c>
      <c r="Z113" s="254"/>
      <c r="AA113" s="255"/>
      <c r="AB113" s="255"/>
      <c r="AC113" s="255"/>
      <c r="AD113" s="255"/>
      <c r="AE113" s="256">
        <v>2696</v>
      </c>
      <c r="AF113" s="254"/>
      <c r="AG113" s="255"/>
      <c r="AH113" s="254">
        <v>146</v>
      </c>
    </row>
    <row r="114" spans="1:34">
      <c r="A114" s="887"/>
      <c r="B114" s="436" t="s">
        <v>59</v>
      </c>
      <c r="C114" s="577">
        <f t="shared" si="46"/>
        <v>1</v>
      </c>
      <c r="D114" s="578">
        <f t="shared" si="46"/>
        <v>1</v>
      </c>
      <c r="E114" s="578">
        <f t="shared" si="46"/>
        <v>1</v>
      </c>
      <c r="F114" s="578">
        <f t="shared" si="46"/>
        <v>1</v>
      </c>
      <c r="G114" s="578">
        <f t="shared" si="46"/>
        <v>1</v>
      </c>
      <c r="H114" s="579">
        <f t="shared" si="46"/>
        <v>1</v>
      </c>
      <c r="I114" s="577">
        <f t="shared" si="46"/>
        <v>1</v>
      </c>
      <c r="J114" s="577">
        <f t="shared" si="46"/>
        <v>0</v>
      </c>
      <c r="K114" s="578">
        <f t="shared" si="46"/>
        <v>0</v>
      </c>
      <c r="L114" s="578">
        <f t="shared" si="46"/>
        <v>0</v>
      </c>
      <c r="M114" s="578">
        <f t="shared" si="46"/>
        <v>0</v>
      </c>
      <c r="N114" s="577">
        <f t="shared" si="47"/>
        <v>1</v>
      </c>
      <c r="O114" s="577">
        <f t="shared" si="47"/>
        <v>0</v>
      </c>
      <c r="P114" s="578">
        <f t="shared" si="47"/>
        <v>0</v>
      </c>
      <c r="Q114" s="577">
        <f t="shared" si="47"/>
        <v>1</v>
      </c>
      <c r="R114" s="264"/>
      <c r="S114" s="265">
        <v>12320</v>
      </c>
      <c r="T114" s="266">
        <v>3448</v>
      </c>
      <c r="U114" s="266">
        <v>9217</v>
      </c>
      <c r="V114" s="266">
        <v>1123</v>
      </c>
      <c r="W114" s="266">
        <v>1282</v>
      </c>
      <c r="X114" s="266">
        <v>778</v>
      </c>
      <c r="Y114" s="267">
        <v>28168</v>
      </c>
      <c r="Z114" s="265"/>
      <c r="AA114" s="266"/>
      <c r="AB114" s="266"/>
      <c r="AC114" s="266"/>
      <c r="AD114" s="266"/>
      <c r="AE114" s="267">
        <v>12290</v>
      </c>
      <c r="AF114" s="265"/>
      <c r="AG114" s="266"/>
      <c r="AH114" s="265">
        <v>376</v>
      </c>
    </row>
    <row r="115" spans="1:34">
      <c r="A115" s="883" t="s">
        <v>17</v>
      </c>
      <c r="B115" s="240" t="s">
        <v>53</v>
      </c>
      <c r="C115" s="613">
        <f t="shared" ref="C115:M121" si="48">IF(S$121&gt;0,(S115/S$121),0)</f>
        <v>0.33596761757902854</v>
      </c>
      <c r="D115" s="614">
        <f t="shared" si="48"/>
        <v>0.23661567877629064</v>
      </c>
      <c r="E115" s="614">
        <f t="shared" si="48"/>
        <v>0.19289940828402366</v>
      </c>
      <c r="F115" s="614">
        <f t="shared" si="48"/>
        <v>0.25299684542586753</v>
      </c>
      <c r="G115" s="614">
        <f t="shared" si="48"/>
        <v>0.30122591943957966</v>
      </c>
      <c r="H115" s="615">
        <f t="shared" si="48"/>
        <v>0.25314285714285717</v>
      </c>
      <c r="I115" s="613">
        <f t="shared" si="48"/>
        <v>0.26403218480306273</v>
      </c>
      <c r="J115" s="613">
        <f t="shared" si="48"/>
        <v>0</v>
      </c>
      <c r="K115" s="614">
        <f t="shared" si="48"/>
        <v>0</v>
      </c>
      <c r="L115" s="614">
        <f t="shared" si="48"/>
        <v>0</v>
      </c>
      <c r="M115" s="614">
        <f t="shared" si="48"/>
        <v>0</v>
      </c>
      <c r="N115" s="613">
        <f t="shared" ref="N115:Q121" si="49">IF(AE$121&gt;0,(AE115/AE$121),0)</f>
        <v>0.18259518259518259</v>
      </c>
      <c r="O115" s="788">
        <f t="shared" si="49"/>
        <v>0</v>
      </c>
      <c r="P115" s="614">
        <f t="shared" si="49"/>
        <v>0</v>
      </c>
      <c r="Q115" s="788">
        <f t="shared" si="49"/>
        <v>6.25E-2</v>
      </c>
      <c r="R115" s="244"/>
      <c r="S115" s="245">
        <v>1743</v>
      </c>
      <c r="T115" s="246">
        <v>495</v>
      </c>
      <c r="U115" s="246">
        <v>815</v>
      </c>
      <c r="V115" s="246">
        <v>401</v>
      </c>
      <c r="W115" s="246">
        <v>172</v>
      </c>
      <c r="X115" s="246">
        <v>443</v>
      </c>
      <c r="Y115" s="247">
        <v>4069</v>
      </c>
      <c r="Z115" s="245"/>
      <c r="AA115" s="246"/>
      <c r="AB115" s="246"/>
      <c r="AC115" s="246"/>
      <c r="AD115" s="246"/>
      <c r="AE115" s="247">
        <v>470</v>
      </c>
      <c r="AF115" s="245"/>
      <c r="AG115" s="246"/>
      <c r="AH115" s="245">
        <v>2</v>
      </c>
    </row>
    <row r="116" spans="1:34">
      <c r="A116" s="886"/>
      <c r="B116" s="239" t="s">
        <v>93</v>
      </c>
      <c r="C116" s="624">
        <f t="shared" si="48"/>
        <v>0.30088666152659982</v>
      </c>
      <c r="D116" s="625">
        <f t="shared" si="48"/>
        <v>0.28202676864244741</v>
      </c>
      <c r="E116" s="625">
        <f t="shared" si="48"/>
        <v>0.21562130177514793</v>
      </c>
      <c r="F116" s="625">
        <f t="shared" si="48"/>
        <v>0.27886435331230286</v>
      </c>
      <c r="G116" s="625">
        <f t="shared" si="48"/>
        <v>0.29597197898423816</v>
      </c>
      <c r="H116" s="626">
        <f t="shared" si="48"/>
        <v>0.22285714285714286</v>
      </c>
      <c r="I116" s="624">
        <f t="shared" si="48"/>
        <v>0.26364285250794889</v>
      </c>
      <c r="J116" s="624">
        <f t="shared" si="48"/>
        <v>0</v>
      </c>
      <c r="K116" s="625">
        <f t="shared" si="48"/>
        <v>0</v>
      </c>
      <c r="L116" s="625">
        <f t="shared" si="48"/>
        <v>0</v>
      </c>
      <c r="M116" s="625">
        <f t="shared" si="48"/>
        <v>0</v>
      </c>
      <c r="N116" s="624">
        <f t="shared" si="49"/>
        <v>0.2703962703962704</v>
      </c>
      <c r="O116" s="624">
        <f t="shared" si="49"/>
        <v>0</v>
      </c>
      <c r="P116" s="625">
        <f t="shared" si="49"/>
        <v>0</v>
      </c>
      <c r="Q116" s="624">
        <f t="shared" si="49"/>
        <v>0</v>
      </c>
      <c r="R116" s="253"/>
      <c r="S116" s="254">
        <v>1561</v>
      </c>
      <c r="T116" s="255">
        <v>590</v>
      </c>
      <c r="U116" s="255">
        <v>911</v>
      </c>
      <c r="V116" s="255">
        <v>442</v>
      </c>
      <c r="W116" s="255">
        <v>169</v>
      </c>
      <c r="X116" s="255">
        <v>390</v>
      </c>
      <c r="Y116" s="256">
        <v>4063</v>
      </c>
      <c r="Z116" s="254"/>
      <c r="AA116" s="255"/>
      <c r="AB116" s="255"/>
      <c r="AC116" s="255"/>
      <c r="AD116" s="255"/>
      <c r="AE116" s="256">
        <v>696</v>
      </c>
      <c r="AF116" s="254"/>
      <c r="AG116" s="255"/>
      <c r="AH116" s="254"/>
    </row>
    <row r="117" spans="1:34">
      <c r="A117" s="886"/>
      <c r="B117" s="239" t="s">
        <v>55</v>
      </c>
      <c r="C117" s="624">
        <f t="shared" si="48"/>
        <v>0.22686969930609097</v>
      </c>
      <c r="D117" s="625">
        <f t="shared" si="48"/>
        <v>0.31357552581261949</v>
      </c>
      <c r="E117" s="625">
        <f t="shared" si="48"/>
        <v>0.37727810650887572</v>
      </c>
      <c r="F117" s="625">
        <f t="shared" si="48"/>
        <v>0.33249211356466879</v>
      </c>
      <c r="G117" s="625">
        <f t="shared" si="48"/>
        <v>0.2084063047285464</v>
      </c>
      <c r="H117" s="626">
        <f t="shared" si="48"/>
        <v>0.21371428571428572</v>
      </c>
      <c r="I117" s="624">
        <f t="shared" si="48"/>
        <v>0.28856011939523718</v>
      </c>
      <c r="J117" s="624">
        <f t="shared" si="48"/>
        <v>0</v>
      </c>
      <c r="K117" s="625">
        <f t="shared" si="48"/>
        <v>0</v>
      </c>
      <c r="L117" s="625">
        <f t="shared" si="48"/>
        <v>0</v>
      </c>
      <c r="M117" s="625">
        <f t="shared" si="48"/>
        <v>0</v>
      </c>
      <c r="N117" s="624">
        <f t="shared" si="49"/>
        <v>0.27583527583527584</v>
      </c>
      <c r="O117" s="624">
        <f t="shared" si="49"/>
        <v>0</v>
      </c>
      <c r="P117" s="625">
        <f t="shared" si="49"/>
        <v>0</v>
      </c>
      <c r="Q117" s="624">
        <f t="shared" si="49"/>
        <v>0</v>
      </c>
      <c r="R117" s="253"/>
      <c r="S117" s="254">
        <v>1177</v>
      </c>
      <c r="T117" s="255">
        <v>656</v>
      </c>
      <c r="U117" s="255">
        <v>1594</v>
      </c>
      <c r="V117" s="255">
        <v>527</v>
      </c>
      <c r="W117" s="255">
        <v>119</v>
      </c>
      <c r="X117" s="255">
        <v>374</v>
      </c>
      <c r="Y117" s="256">
        <v>4447</v>
      </c>
      <c r="Z117" s="254"/>
      <c r="AA117" s="255"/>
      <c r="AB117" s="255"/>
      <c r="AC117" s="255"/>
      <c r="AD117" s="255"/>
      <c r="AE117" s="256">
        <v>710</v>
      </c>
      <c r="AF117" s="254"/>
      <c r="AG117" s="255"/>
      <c r="AH117" s="254"/>
    </row>
    <row r="118" spans="1:34">
      <c r="A118" s="886"/>
      <c r="B118" s="239" t="s">
        <v>78</v>
      </c>
      <c r="C118" s="624">
        <f t="shared" si="48"/>
        <v>6.5343099460292986E-2</v>
      </c>
      <c r="D118" s="625">
        <f t="shared" si="48"/>
        <v>0.14388145315487572</v>
      </c>
      <c r="E118" s="625">
        <f t="shared" si="48"/>
        <v>0.18272189349112425</v>
      </c>
      <c r="F118" s="625">
        <f t="shared" si="48"/>
        <v>4.4164037854889593E-2</v>
      </c>
      <c r="G118" s="625">
        <f t="shared" si="48"/>
        <v>9.8073555166374782E-2</v>
      </c>
      <c r="H118" s="626">
        <f t="shared" si="48"/>
        <v>0.26228571428571429</v>
      </c>
      <c r="I118" s="624">
        <f t="shared" si="48"/>
        <v>0.12958276555706963</v>
      </c>
      <c r="J118" s="624">
        <f t="shared" si="48"/>
        <v>0</v>
      </c>
      <c r="K118" s="625">
        <f t="shared" si="48"/>
        <v>0</v>
      </c>
      <c r="L118" s="625">
        <f t="shared" si="48"/>
        <v>0</v>
      </c>
      <c r="M118" s="625">
        <f t="shared" si="48"/>
        <v>0</v>
      </c>
      <c r="N118" s="624">
        <f t="shared" si="49"/>
        <v>0.21445221445221446</v>
      </c>
      <c r="O118" s="624">
        <f t="shared" si="49"/>
        <v>0</v>
      </c>
      <c r="P118" s="625">
        <f t="shared" si="49"/>
        <v>0</v>
      </c>
      <c r="Q118" s="624">
        <f t="shared" si="49"/>
        <v>0.9375</v>
      </c>
      <c r="R118" s="253"/>
      <c r="S118" s="254">
        <v>339</v>
      </c>
      <c r="T118" s="255">
        <v>301</v>
      </c>
      <c r="U118" s="255">
        <v>772</v>
      </c>
      <c r="V118" s="255">
        <v>70</v>
      </c>
      <c r="W118" s="255">
        <v>56</v>
      </c>
      <c r="X118" s="255">
        <v>459</v>
      </c>
      <c r="Y118" s="256">
        <v>1997</v>
      </c>
      <c r="Z118" s="254"/>
      <c r="AA118" s="255"/>
      <c r="AB118" s="255"/>
      <c r="AC118" s="255"/>
      <c r="AD118" s="255"/>
      <c r="AE118" s="256">
        <v>552</v>
      </c>
      <c r="AF118" s="254"/>
      <c r="AG118" s="255"/>
      <c r="AH118" s="254">
        <v>30</v>
      </c>
    </row>
    <row r="119" spans="1:34">
      <c r="A119" s="886"/>
      <c r="B119" s="239" t="s">
        <v>32</v>
      </c>
      <c r="C119" s="624">
        <f t="shared" si="48"/>
        <v>7.0932922127987658E-2</v>
      </c>
      <c r="D119" s="625">
        <f t="shared" si="48"/>
        <v>2.390057361376673E-2</v>
      </c>
      <c r="E119" s="625">
        <f t="shared" si="48"/>
        <v>2.8875739644970415E-2</v>
      </c>
      <c r="F119" s="625">
        <f t="shared" si="48"/>
        <v>1.7665615141955835E-2</v>
      </c>
      <c r="G119" s="625">
        <f t="shared" si="48"/>
        <v>9.6322241681260939E-2</v>
      </c>
      <c r="H119" s="626">
        <f t="shared" si="48"/>
        <v>1.4285714285714285E-2</v>
      </c>
      <c r="I119" s="624">
        <f t="shared" si="48"/>
        <v>4.204788787229901E-2</v>
      </c>
      <c r="J119" s="624">
        <f t="shared" si="48"/>
        <v>0</v>
      </c>
      <c r="K119" s="625">
        <f t="shared" si="48"/>
        <v>0</v>
      </c>
      <c r="L119" s="625">
        <f t="shared" si="48"/>
        <v>0</v>
      </c>
      <c r="M119" s="625">
        <f t="shared" si="48"/>
        <v>0</v>
      </c>
      <c r="N119" s="793">
        <f t="shared" si="49"/>
        <v>2.6806526806526808E-2</v>
      </c>
      <c r="O119" s="624">
        <f t="shared" si="49"/>
        <v>0</v>
      </c>
      <c r="P119" s="625">
        <f t="shared" si="49"/>
        <v>0</v>
      </c>
      <c r="Q119" s="624">
        <f t="shared" si="49"/>
        <v>0</v>
      </c>
      <c r="R119" s="253"/>
      <c r="S119" s="254">
        <v>368</v>
      </c>
      <c r="T119" s="255">
        <v>50</v>
      </c>
      <c r="U119" s="255">
        <v>122</v>
      </c>
      <c r="V119" s="255">
        <v>28</v>
      </c>
      <c r="W119" s="255">
        <v>55</v>
      </c>
      <c r="X119" s="255">
        <v>25</v>
      </c>
      <c r="Y119" s="256">
        <v>648</v>
      </c>
      <c r="Z119" s="254"/>
      <c r="AA119" s="255"/>
      <c r="AB119" s="255"/>
      <c r="AC119" s="255"/>
      <c r="AD119" s="255"/>
      <c r="AE119" s="256">
        <v>69</v>
      </c>
      <c r="AF119" s="254"/>
      <c r="AG119" s="255"/>
      <c r="AH119" s="254"/>
    </row>
    <row r="120" spans="1:34">
      <c r="A120" s="886"/>
      <c r="B120" s="239" t="s">
        <v>58</v>
      </c>
      <c r="C120" s="624">
        <f t="shared" si="48"/>
        <v>0</v>
      </c>
      <c r="D120" s="625">
        <f t="shared" si="48"/>
        <v>0</v>
      </c>
      <c r="E120" s="792">
        <f t="shared" si="48"/>
        <v>2.6035502958579883E-3</v>
      </c>
      <c r="F120" s="625">
        <f t="shared" si="48"/>
        <v>7.3817034700315462E-2</v>
      </c>
      <c r="G120" s="792">
        <f t="shared" si="48"/>
        <v>0</v>
      </c>
      <c r="H120" s="626">
        <f t="shared" si="48"/>
        <v>3.3714285714285717E-2</v>
      </c>
      <c r="I120" s="793">
        <f t="shared" si="48"/>
        <v>1.2134189864382585E-2</v>
      </c>
      <c r="J120" s="624">
        <f t="shared" si="48"/>
        <v>0</v>
      </c>
      <c r="K120" s="625">
        <f t="shared" si="48"/>
        <v>0</v>
      </c>
      <c r="L120" s="625">
        <f t="shared" si="48"/>
        <v>0</v>
      </c>
      <c r="M120" s="625">
        <f t="shared" si="48"/>
        <v>0</v>
      </c>
      <c r="N120" s="624">
        <f t="shared" si="49"/>
        <v>2.9914529914529916E-2</v>
      </c>
      <c r="O120" s="624">
        <f t="shared" si="49"/>
        <v>0</v>
      </c>
      <c r="P120" s="625">
        <f t="shared" si="49"/>
        <v>0</v>
      </c>
      <c r="Q120" s="624">
        <f t="shared" si="49"/>
        <v>0</v>
      </c>
      <c r="R120" s="253"/>
      <c r="S120" s="254"/>
      <c r="T120" s="255"/>
      <c r="U120" s="255">
        <v>11</v>
      </c>
      <c r="V120" s="255">
        <v>117</v>
      </c>
      <c r="W120" s="255"/>
      <c r="X120" s="255">
        <v>59</v>
      </c>
      <c r="Y120" s="256">
        <v>187</v>
      </c>
      <c r="Z120" s="254"/>
      <c r="AA120" s="255"/>
      <c r="AB120" s="255"/>
      <c r="AC120" s="255"/>
      <c r="AD120" s="255"/>
      <c r="AE120" s="256">
        <v>77</v>
      </c>
      <c r="AF120" s="254"/>
      <c r="AG120" s="255"/>
      <c r="AH120" s="254"/>
    </row>
    <row r="121" spans="1:34">
      <c r="A121" s="887"/>
      <c r="B121" s="436" t="s">
        <v>59</v>
      </c>
      <c r="C121" s="577">
        <f t="shared" si="48"/>
        <v>1</v>
      </c>
      <c r="D121" s="578">
        <f t="shared" si="48"/>
        <v>1</v>
      </c>
      <c r="E121" s="578">
        <f t="shared" si="48"/>
        <v>1</v>
      </c>
      <c r="F121" s="578">
        <f t="shared" si="48"/>
        <v>1</v>
      </c>
      <c r="G121" s="578">
        <f t="shared" si="48"/>
        <v>1</v>
      </c>
      <c r="H121" s="579">
        <f t="shared" si="48"/>
        <v>1</v>
      </c>
      <c r="I121" s="577">
        <f t="shared" si="48"/>
        <v>1</v>
      </c>
      <c r="J121" s="577">
        <f t="shared" si="48"/>
        <v>0</v>
      </c>
      <c r="K121" s="578">
        <f t="shared" si="48"/>
        <v>0</v>
      </c>
      <c r="L121" s="578">
        <f t="shared" si="48"/>
        <v>0</v>
      </c>
      <c r="M121" s="578">
        <f t="shared" si="48"/>
        <v>0</v>
      </c>
      <c r="N121" s="577">
        <f t="shared" si="49"/>
        <v>1</v>
      </c>
      <c r="O121" s="577">
        <f t="shared" si="49"/>
        <v>0</v>
      </c>
      <c r="P121" s="578">
        <f t="shared" si="49"/>
        <v>0</v>
      </c>
      <c r="Q121" s="577">
        <f t="shared" si="49"/>
        <v>1</v>
      </c>
      <c r="R121" s="264"/>
      <c r="S121" s="265">
        <v>5188</v>
      </c>
      <c r="T121" s="266">
        <v>2092</v>
      </c>
      <c r="U121" s="266">
        <v>4225</v>
      </c>
      <c r="V121" s="266">
        <v>1585</v>
      </c>
      <c r="W121" s="266">
        <v>571</v>
      </c>
      <c r="X121" s="266">
        <v>1750</v>
      </c>
      <c r="Y121" s="267">
        <v>15411</v>
      </c>
      <c r="Z121" s="265"/>
      <c r="AA121" s="266"/>
      <c r="AB121" s="266"/>
      <c r="AC121" s="266"/>
      <c r="AD121" s="266"/>
      <c r="AE121" s="267">
        <v>2574</v>
      </c>
      <c r="AF121" s="265"/>
      <c r="AG121" s="266"/>
      <c r="AH121" s="265">
        <v>32</v>
      </c>
    </row>
    <row r="122" spans="1:34">
      <c r="A122" s="883" t="s">
        <v>18</v>
      </c>
      <c r="B122" s="240" t="s">
        <v>53</v>
      </c>
      <c r="C122" s="613">
        <f t="shared" ref="C122:M128" si="50">IF(S$128&gt;0,(S122/S$128),0)</f>
        <v>0.29609929078014185</v>
      </c>
      <c r="D122" s="614">
        <f t="shared" si="50"/>
        <v>0</v>
      </c>
      <c r="E122" s="614">
        <f t="shared" si="50"/>
        <v>0.23789907312049433</v>
      </c>
      <c r="F122" s="614">
        <f t="shared" si="50"/>
        <v>7.0707070707070704E-2</v>
      </c>
      <c r="G122" s="614">
        <f t="shared" si="50"/>
        <v>0.22153209109730848</v>
      </c>
      <c r="H122" s="615">
        <f t="shared" si="50"/>
        <v>0.23623188405797102</v>
      </c>
      <c r="I122" s="613">
        <f t="shared" si="50"/>
        <v>0.24977751409077426</v>
      </c>
      <c r="J122" s="613">
        <f t="shared" si="50"/>
        <v>0</v>
      </c>
      <c r="K122" s="614">
        <f t="shared" si="50"/>
        <v>0</v>
      </c>
      <c r="L122" s="614">
        <f t="shared" si="50"/>
        <v>0</v>
      </c>
      <c r="M122" s="614">
        <f t="shared" si="50"/>
        <v>0</v>
      </c>
      <c r="N122" s="613">
        <f t="shared" ref="N122:Q128" si="51">IF(AE$128&gt;0,(AE122/AE$128),0)</f>
        <v>0.15353805073431243</v>
      </c>
      <c r="O122" s="788">
        <f t="shared" si="51"/>
        <v>0</v>
      </c>
      <c r="P122" s="614">
        <f t="shared" si="51"/>
        <v>0</v>
      </c>
      <c r="Q122" s="788">
        <f t="shared" si="51"/>
        <v>0</v>
      </c>
      <c r="R122" s="244"/>
      <c r="S122" s="245">
        <v>334</v>
      </c>
      <c r="T122" s="246"/>
      <c r="U122" s="246">
        <v>231</v>
      </c>
      <c r="V122" s="246">
        <v>7</v>
      </c>
      <c r="W122" s="246">
        <v>107</v>
      </c>
      <c r="X122" s="246">
        <v>163</v>
      </c>
      <c r="Y122" s="247">
        <v>842</v>
      </c>
      <c r="Z122" s="245"/>
      <c r="AA122" s="246"/>
      <c r="AB122" s="246"/>
      <c r="AC122" s="246"/>
      <c r="AD122" s="246"/>
      <c r="AE122" s="247">
        <v>115</v>
      </c>
      <c r="AF122" s="245"/>
      <c r="AG122" s="246"/>
      <c r="AH122" s="245"/>
    </row>
    <row r="123" spans="1:34">
      <c r="A123" s="886"/>
      <c r="B123" s="239" t="s">
        <v>93</v>
      </c>
      <c r="C123" s="624">
        <f t="shared" si="50"/>
        <v>0.299645390070922</v>
      </c>
      <c r="D123" s="625">
        <f t="shared" si="50"/>
        <v>0</v>
      </c>
      <c r="E123" s="625">
        <f t="shared" si="50"/>
        <v>0.29866117404737386</v>
      </c>
      <c r="F123" s="625">
        <f t="shared" si="50"/>
        <v>0.23232323232323232</v>
      </c>
      <c r="G123" s="625">
        <f t="shared" si="50"/>
        <v>0.29606625258799174</v>
      </c>
      <c r="H123" s="626">
        <f t="shared" si="50"/>
        <v>0.28115942028985508</v>
      </c>
      <c r="I123" s="624">
        <f t="shared" si="50"/>
        <v>0.2930881044200534</v>
      </c>
      <c r="J123" s="624">
        <f t="shared" si="50"/>
        <v>0</v>
      </c>
      <c r="K123" s="625">
        <f t="shared" si="50"/>
        <v>0</v>
      </c>
      <c r="L123" s="625">
        <f t="shared" si="50"/>
        <v>0</v>
      </c>
      <c r="M123" s="625">
        <f t="shared" si="50"/>
        <v>0</v>
      </c>
      <c r="N123" s="624">
        <f t="shared" si="51"/>
        <v>0.14819759679572764</v>
      </c>
      <c r="O123" s="624">
        <f t="shared" si="51"/>
        <v>0</v>
      </c>
      <c r="P123" s="625">
        <f t="shared" si="51"/>
        <v>0</v>
      </c>
      <c r="Q123" s="624">
        <f t="shared" si="51"/>
        <v>0</v>
      </c>
      <c r="R123" s="253"/>
      <c r="S123" s="254">
        <v>338</v>
      </c>
      <c r="T123" s="255"/>
      <c r="U123" s="255">
        <v>290</v>
      </c>
      <c r="V123" s="255">
        <v>23</v>
      </c>
      <c r="W123" s="255">
        <v>143</v>
      </c>
      <c r="X123" s="255">
        <v>194</v>
      </c>
      <c r="Y123" s="256">
        <v>988</v>
      </c>
      <c r="Z123" s="254"/>
      <c r="AA123" s="255"/>
      <c r="AB123" s="255"/>
      <c r="AC123" s="255"/>
      <c r="AD123" s="255"/>
      <c r="AE123" s="256">
        <v>111</v>
      </c>
      <c r="AF123" s="254"/>
      <c r="AG123" s="255"/>
      <c r="AH123" s="254"/>
    </row>
    <row r="124" spans="1:34">
      <c r="A124" s="886"/>
      <c r="B124" s="239" t="s">
        <v>55</v>
      </c>
      <c r="C124" s="624">
        <f t="shared" si="50"/>
        <v>0.33067375886524825</v>
      </c>
      <c r="D124" s="625">
        <f t="shared" si="50"/>
        <v>0</v>
      </c>
      <c r="E124" s="625">
        <f t="shared" si="50"/>
        <v>0.20906282183316169</v>
      </c>
      <c r="F124" s="625">
        <f t="shared" si="50"/>
        <v>0.53535353535353536</v>
      </c>
      <c r="G124" s="625">
        <f t="shared" si="50"/>
        <v>0.38302277432712217</v>
      </c>
      <c r="H124" s="626">
        <f t="shared" si="50"/>
        <v>0.33913043478260868</v>
      </c>
      <c r="I124" s="624">
        <f t="shared" si="50"/>
        <v>0.31088697715811331</v>
      </c>
      <c r="J124" s="624">
        <f t="shared" si="50"/>
        <v>0</v>
      </c>
      <c r="K124" s="625">
        <f t="shared" si="50"/>
        <v>0</v>
      </c>
      <c r="L124" s="625">
        <f t="shared" si="50"/>
        <v>0</v>
      </c>
      <c r="M124" s="625">
        <f t="shared" si="50"/>
        <v>0</v>
      </c>
      <c r="N124" s="624">
        <f t="shared" si="51"/>
        <v>0.27770360480640854</v>
      </c>
      <c r="O124" s="624">
        <f t="shared" si="51"/>
        <v>0</v>
      </c>
      <c r="P124" s="625">
        <f t="shared" si="51"/>
        <v>0</v>
      </c>
      <c r="Q124" s="624">
        <f t="shared" si="51"/>
        <v>0</v>
      </c>
      <c r="R124" s="253"/>
      <c r="S124" s="254">
        <v>373</v>
      </c>
      <c r="T124" s="255"/>
      <c r="U124" s="255">
        <v>203</v>
      </c>
      <c r="V124" s="255">
        <v>53</v>
      </c>
      <c r="W124" s="255">
        <v>185</v>
      </c>
      <c r="X124" s="255">
        <v>234</v>
      </c>
      <c r="Y124" s="256">
        <v>1048</v>
      </c>
      <c r="Z124" s="254"/>
      <c r="AA124" s="255"/>
      <c r="AB124" s="255"/>
      <c r="AC124" s="255"/>
      <c r="AD124" s="255"/>
      <c r="AE124" s="256">
        <v>208</v>
      </c>
      <c r="AF124" s="254"/>
      <c r="AG124" s="255"/>
      <c r="AH124" s="254"/>
    </row>
    <row r="125" spans="1:34">
      <c r="A125" s="886"/>
      <c r="B125" s="239" t="s">
        <v>78</v>
      </c>
      <c r="C125" s="624">
        <f t="shared" si="50"/>
        <v>5.1418439716312055E-2</v>
      </c>
      <c r="D125" s="625">
        <f t="shared" si="50"/>
        <v>0</v>
      </c>
      <c r="E125" s="625">
        <f t="shared" si="50"/>
        <v>0.25437693099897013</v>
      </c>
      <c r="F125" s="625">
        <f t="shared" si="50"/>
        <v>0.16161616161616163</v>
      </c>
      <c r="G125" s="625">
        <f t="shared" si="50"/>
        <v>6.6252587991718431E-2</v>
      </c>
      <c r="H125" s="626">
        <f t="shared" si="50"/>
        <v>0.11304347826086956</v>
      </c>
      <c r="I125" s="624">
        <f t="shared" si="50"/>
        <v>0.12785523583506378</v>
      </c>
      <c r="J125" s="624">
        <f t="shared" si="50"/>
        <v>0</v>
      </c>
      <c r="K125" s="625">
        <f t="shared" si="50"/>
        <v>0</v>
      </c>
      <c r="L125" s="625">
        <f t="shared" si="50"/>
        <v>0</v>
      </c>
      <c r="M125" s="625">
        <f t="shared" si="50"/>
        <v>0</v>
      </c>
      <c r="N125" s="624">
        <f t="shared" si="51"/>
        <v>0.30974632843791722</v>
      </c>
      <c r="O125" s="624">
        <f t="shared" si="51"/>
        <v>0</v>
      </c>
      <c r="P125" s="625">
        <f t="shared" si="51"/>
        <v>0</v>
      </c>
      <c r="Q125" s="624">
        <f t="shared" si="51"/>
        <v>1</v>
      </c>
      <c r="R125" s="253"/>
      <c r="S125" s="254">
        <v>58</v>
      </c>
      <c r="T125" s="255"/>
      <c r="U125" s="255">
        <v>247</v>
      </c>
      <c r="V125" s="255">
        <v>16</v>
      </c>
      <c r="W125" s="255">
        <v>32</v>
      </c>
      <c r="X125" s="255">
        <v>78</v>
      </c>
      <c r="Y125" s="256">
        <v>431</v>
      </c>
      <c r="Z125" s="254"/>
      <c r="AA125" s="255"/>
      <c r="AB125" s="255"/>
      <c r="AC125" s="255"/>
      <c r="AD125" s="255"/>
      <c r="AE125" s="256">
        <v>232</v>
      </c>
      <c r="AF125" s="254"/>
      <c r="AG125" s="255"/>
      <c r="AH125" s="254">
        <v>28</v>
      </c>
    </row>
    <row r="126" spans="1:34">
      <c r="A126" s="886"/>
      <c r="B126" s="239" t="s">
        <v>32</v>
      </c>
      <c r="C126" s="624">
        <f t="shared" si="50"/>
        <v>1.9503546099290781E-2</v>
      </c>
      <c r="D126" s="625">
        <f t="shared" si="50"/>
        <v>0</v>
      </c>
      <c r="E126" s="625">
        <f t="shared" si="50"/>
        <v>0</v>
      </c>
      <c r="F126" s="625">
        <f t="shared" si="50"/>
        <v>0</v>
      </c>
      <c r="G126" s="625">
        <f t="shared" si="50"/>
        <v>2.2774327122153208E-2</v>
      </c>
      <c r="H126" s="626">
        <f t="shared" si="50"/>
        <v>2.1739130434782608E-2</v>
      </c>
      <c r="I126" s="624">
        <f t="shared" si="50"/>
        <v>1.4239098190447939E-2</v>
      </c>
      <c r="J126" s="624">
        <f t="shared" si="50"/>
        <v>0</v>
      </c>
      <c r="K126" s="625">
        <f t="shared" si="50"/>
        <v>0</v>
      </c>
      <c r="L126" s="625">
        <f t="shared" si="50"/>
        <v>0</v>
      </c>
      <c r="M126" s="625">
        <f t="shared" si="50"/>
        <v>0</v>
      </c>
      <c r="N126" s="624">
        <f t="shared" si="51"/>
        <v>4.0053404539385849E-2</v>
      </c>
      <c r="O126" s="624">
        <f t="shared" si="51"/>
        <v>0</v>
      </c>
      <c r="P126" s="625">
        <f t="shared" si="51"/>
        <v>0</v>
      </c>
      <c r="Q126" s="624">
        <f t="shared" si="51"/>
        <v>0</v>
      </c>
      <c r="R126" s="253"/>
      <c r="S126" s="254">
        <v>22</v>
      </c>
      <c r="T126" s="255"/>
      <c r="U126" s="255"/>
      <c r="V126" s="255"/>
      <c r="W126" s="255">
        <v>11</v>
      </c>
      <c r="X126" s="255">
        <v>15</v>
      </c>
      <c r="Y126" s="256">
        <v>48</v>
      </c>
      <c r="Z126" s="254"/>
      <c r="AA126" s="255"/>
      <c r="AB126" s="255"/>
      <c r="AC126" s="255"/>
      <c r="AD126" s="255"/>
      <c r="AE126" s="256">
        <v>30</v>
      </c>
      <c r="AF126" s="254"/>
      <c r="AG126" s="255"/>
      <c r="AH126" s="254"/>
    </row>
    <row r="127" spans="1:34">
      <c r="A127" s="886"/>
      <c r="B127" s="239" t="s">
        <v>58</v>
      </c>
      <c r="C127" s="624">
        <f t="shared" si="50"/>
        <v>2.6595744680851063E-3</v>
      </c>
      <c r="D127" s="625">
        <f t="shared" si="50"/>
        <v>0</v>
      </c>
      <c r="E127" s="792">
        <f t="shared" si="50"/>
        <v>0</v>
      </c>
      <c r="F127" s="625">
        <f t="shared" si="50"/>
        <v>0</v>
      </c>
      <c r="G127" s="792">
        <f t="shared" si="50"/>
        <v>1.0351966873706004E-2</v>
      </c>
      <c r="H127" s="626">
        <f t="shared" si="50"/>
        <v>8.6956521739130436E-3</v>
      </c>
      <c r="I127" s="793">
        <f t="shared" si="50"/>
        <v>4.1530703055473149E-3</v>
      </c>
      <c r="J127" s="624">
        <f t="shared" si="50"/>
        <v>0</v>
      </c>
      <c r="K127" s="625">
        <f t="shared" si="50"/>
        <v>0</v>
      </c>
      <c r="L127" s="625">
        <f t="shared" si="50"/>
        <v>0</v>
      </c>
      <c r="M127" s="625">
        <f t="shared" si="50"/>
        <v>0</v>
      </c>
      <c r="N127" s="624">
        <f t="shared" si="51"/>
        <v>7.0761014686248333E-2</v>
      </c>
      <c r="O127" s="624">
        <f t="shared" si="51"/>
        <v>0</v>
      </c>
      <c r="P127" s="625">
        <f t="shared" si="51"/>
        <v>0</v>
      </c>
      <c r="Q127" s="624">
        <f t="shared" si="51"/>
        <v>0</v>
      </c>
      <c r="R127" s="253"/>
      <c r="S127" s="254">
        <v>3</v>
      </c>
      <c r="T127" s="255"/>
      <c r="U127" s="255"/>
      <c r="V127" s="255"/>
      <c r="W127" s="255">
        <v>5</v>
      </c>
      <c r="X127" s="255">
        <v>6</v>
      </c>
      <c r="Y127" s="256">
        <v>14</v>
      </c>
      <c r="Z127" s="254"/>
      <c r="AA127" s="255"/>
      <c r="AB127" s="255"/>
      <c r="AC127" s="255"/>
      <c r="AD127" s="255"/>
      <c r="AE127" s="256">
        <v>53</v>
      </c>
      <c r="AF127" s="254"/>
      <c r="AG127" s="255"/>
      <c r="AH127" s="254"/>
    </row>
    <row r="128" spans="1:34">
      <c r="A128" s="887"/>
      <c r="B128" s="436" t="s">
        <v>59</v>
      </c>
      <c r="C128" s="577">
        <f t="shared" si="50"/>
        <v>1</v>
      </c>
      <c r="D128" s="578">
        <f t="shared" si="50"/>
        <v>0</v>
      </c>
      <c r="E128" s="578">
        <f t="shared" si="50"/>
        <v>1</v>
      </c>
      <c r="F128" s="578">
        <f t="shared" si="50"/>
        <v>1</v>
      </c>
      <c r="G128" s="578">
        <f t="shared" si="50"/>
        <v>1</v>
      </c>
      <c r="H128" s="579">
        <f t="shared" si="50"/>
        <v>1</v>
      </c>
      <c r="I128" s="577">
        <f t="shared" si="50"/>
        <v>1</v>
      </c>
      <c r="J128" s="577">
        <f t="shared" si="50"/>
        <v>0</v>
      </c>
      <c r="K128" s="578">
        <f t="shared" si="50"/>
        <v>0</v>
      </c>
      <c r="L128" s="578">
        <f t="shared" si="50"/>
        <v>0</v>
      </c>
      <c r="M128" s="578">
        <f t="shared" si="50"/>
        <v>0</v>
      </c>
      <c r="N128" s="577">
        <f t="shared" si="51"/>
        <v>1</v>
      </c>
      <c r="O128" s="577">
        <f t="shared" si="51"/>
        <v>0</v>
      </c>
      <c r="P128" s="578">
        <f t="shared" si="51"/>
        <v>0</v>
      </c>
      <c r="Q128" s="577">
        <f t="shared" si="51"/>
        <v>1</v>
      </c>
      <c r="R128" s="264"/>
      <c r="S128" s="265">
        <v>1128</v>
      </c>
      <c r="T128" s="266"/>
      <c r="U128" s="266">
        <v>971</v>
      </c>
      <c r="V128" s="266">
        <v>99</v>
      </c>
      <c r="W128" s="266">
        <v>483</v>
      </c>
      <c r="X128" s="266">
        <v>690</v>
      </c>
      <c r="Y128" s="267">
        <v>3371</v>
      </c>
      <c r="Z128" s="265"/>
      <c r="AA128" s="266"/>
      <c r="AB128" s="266"/>
      <c r="AC128" s="266"/>
      <c r="AD128" s="266"/>
      <c r="AE128" s="267">
        <v>749</v>
      </c>
      <c r="AF128" s="265"/>
      <c r="AG128" s="266"/>
      <c r="AH128" s="265">
        <v>28</v>
      </c>
    </row>
    <row r="129" spans="1:34">
      <c r="A129" s="882" t="s">
        <v>171</v>
      </c>
      <c r="B129" s="240" t="s">
        <v>53</v>
      </c>
      <c r="C129" s="613">
        <f>IF(S$134&gt;0,(S129/S$134),0)</f>
        <v>0.38884117538801299</v>
      </c>
      <c r="D129" s="614">
        <f t="shared" ref="D129:M134" si="52">IF(T$134&gt;0,(T129/T$134),0)</f>
        <v>0.30030452096509719</v>
      </c>
      <c r="E129" s="614">
        <f t="shared" si="52"/>
        <v>0.35167708925525865</v>
      </c>
      <c r="F129" s="614">
        <f t="shared" si="52"/>
        <v>0.26657606057664307</v>
      </c>
      <c r="G129" s="614">
        <f t="shared" si="52"/>
        <v>0.23357503845308725</v>
      </c>
      <c r="H129" s="615">
        <f t="shared" si="52"/>
        <v>0.22872718653709409</v>
      </c>
      <c r="I129" s="613">
        <f t="shared" si="52"/>
        <v>0.33676945026413541</v>
      </c>
      <c r="J129" s="613">
        <f t="shared" si="52"/>
        <v>0</v>
      </c>
      <c r="K129" s="614">
        <f t="shared" si="52"/>
        <v>0</v>
      </c>
      <c r="L129" s="614">
        <f t="shared" si="52"/>
        <v>0</v>
      </c>
      <c r="M129" s="614">
        <f t="shared" si="52"/>
        <v>0</v>
      </c>
      <c r="N129" s="613">
        <f>IF(AE$134&gt;0,(AE129/AE$134),0)</f>
        <v>7.4925155756938269E-2</v>
      </c>
      <c r="O129" s="613">
        <f t="shared" ref="O129:Q134" si="53">IF(AF$134&gt;0,(AF129/AF$134),0)</f>
        <v>0</v>
      </c>
      <c r="P129" s="615">
        <f t="shared" si="53"/>
        <v>0</v>
      </c>
      <c r="Q129" s="613">
        <f t="shared" si="53"/>
        <v>4.5965823058619945E-2</v>
      </c>
      <c r="R129" s="357"/>
      <c r="S129" s="796">
        <f>S135+S141+S147+S153+S159+S165+S171+S177+S183+S189+S195+S201+S207</f>
        <v>12677</v>
      </c>
      <c r="T129" s="796">
        <f t="shared" ref="T129:AE129" si="54">T135+T141+T147+T153+T159+T165+T171+T177+T183+T189+T195+T201+T207</f>
        <v>2564</v>
      </c>
      <c r="U129" s="796">
        <f t="shared" si="54"/>
        <v>6186</v>
      </c>
      <c r="V129" s="796">
        <f t="shared" si="54"/>
        <v>2746</v>
      </c>
      <c r="W129" s="796">
        <f t="shared" si="54"/>
        <v>1063</v>
      </c>
      <c r="X129" s="796">
        <f t="shared" si="54"/>
        <v>965</v>
      </c>
      <c r="Y129" s="801">
        <f t="shared" si="54"/>
        <v>26201</v>
      </c>
      <c r="Z129" s="801">
        <f t="shared" si="54"/>
        <v>0</v>
      </c>
      <c r="AA129" s="796">
        <f t="shared" si="54"/>
        <v>0</v>
      </c>
      <c r="AB129" s="796">
        <f t="shared" si="54"/>
        <v>0</v>
      </c>
      <c r="AC129" s="796">
        <f t="shared" si="54"/>
        <v>0</v>
      </c>
      <c r="AD129" s="796">
        <f t="shared" si="54"/>
        <v>0</v>
      </c>
      <c r="AE129" s="801">
        <f t="shared" si="54"/>
        <v>1852</v>
      </c>
      <c r="AF129" s="803"/>
      <c r="AG129" s="349"/>
      <c r="AH129" s="801">
        <f t="shared" ref="AH129:AH134" si="55">AH135+AH141+AH147+AH153+AH159+AH165+AH171+AH177+AH183+AH189+AH195+AH201+AH207</f>
        <v>425</v>
      </c>
    </row>
    <row r="130" spans="1:34">
      <c r="A130" s="883"/>
      <c r="B130" s="239" t="s">
        <v>93</v>
      </c>
      <c r="C130" s="624">
        <f t="shared" ref="C130:C134" si="56">IF(S$134&gt;0,(S130/S$134),0)</f>
        <v>0.24418747316115574</v>
      </c>
      <c r="D130" s="625">
        <f t="shared" si="52"/>
        <v>0.24185992035605527</v>
      </c>
      <c r="E130" s="625">
        <f t="shared" si="52"/>
        <v>0.24707220011370096</v>
      </c>
      <c r="F130" s="625">
        <f t="shared" si="52"/>
        <v>0.25900398019609744</v>
      </c>
      <c r="G130" s="625">
        <f t="shared" si="52"/>
        <v>0.25994286969896724</v>
      </c>
      <c r="H130" s="626">
        <f t="shared" si="52"/>
        <v>0.17350082958046931</v>
      </c>
      <c r="I130" s="624">
        <f t="shared" si="52"/>
        <v>0.24363440058611072</v>
      </c>
      <c r="J130" s="624">
        <f t="shared" si="52"/>
        <v>0</v>
      </c>
      <c r="K130" s="625">
        <f t="shared" si="52"/>
        <v>0</v>
      </c>
      <c r="L130" s="625">
        <f t="shared" si="52"/>
        <v>0</v>
      </c>
      <c r="M130" s="625">
        <f t="shared" si="52"/>
        <v>0</v>
      </c>
      <c r="N130" s="624">
        <f t="shared" ref="N130:N134" si="57">IF(AE$134&gt;0,(AE130/AE$134),0)</f>
        <v>3.3902419289586538E-2</v>
      </c>
      <c r="O130" s="624">
        <f t="shared" si="53"/>
        <v>0</v>
      </c>
      <c r="P130" s="626">
        <f t="shared" si="53"/>
        <v>0</v>
      </c>
      <c r="Q130" s="624">
        <f t="shared" si="53"/>
        <v>1.4060134112048454E-3</v>
      </c>
      <c r="R130" s="357"/>
      <c r="S130" s="796">
        <f t="shared" ref="S130:AE134" si="58">S136+S142+S148+S154+S160+S166+S172+S178+S184+S190+S196+S202+S208</f>
        <v>7961</v>
      </c>
      <c r="T130" s="796">
        <f t="shared" si="58"/>
        <v>2065</v>
      </c>
      <c r="U130" s="796">
        <f t="shared" si="58"/>
        <v>4346</v>
      </c>
      <c r="V130" s="796">
        <f t="shared" si="58"/>
        <v>2668</v>
      </c>
      <c r="W130" s="796">
        <f t="shared" si="58"/>
        <v>1183</v>
      </c>
      <c r="X130" s="796">
        <f t="shared" si="58"/>
        <v>732</v>
      </c>
      <c r="Y130" s="802">
        <f t="shared" si="58"/>
        <v>18955</v>
      </c>
      <c r="Z130" s="802">
        <f t="shared" si="58"/>
        <v>0</v>
      </c>
      <c r="AA130" s="796">
        <f t="shared" si="58"/>
        <v>0</v>
      </c>
      <c r="AB130" s="796">
        <f t="shared" si="58"/>
        <v>0</v>
      </c>
      <c r="AC130" s="796">
        <f t="shared" si="58"/>
        <v>0</v>
      </c>
      <c r="AD130" s="796">
        <f t="shared" si="58"/>
        <v>0</v>
      </c>
      <c r="AE130" s="802">
        <f t="shared" si="58"/>
        <v>838</v>
      </c>
      <c r="AF130" s="804"/>
      <c r="AG130" s="349"/>
      <c r="AH130" s="802">
        <f t="shared" si="55"/>
        <v>13</v>
      </c>
    </row>
    <row r="131" spans="1:34">
      <c r="A131" s="883"/>
      <c r="B131" s="239" t="s">
        <v>55</v>
      </c>
      <c r="C131" s="624">
        <f t="shared" si="56"/>
        <v>0.19915956076314337</v>
      </c>
      <c r="D131" s="625">
        <f t="shared" si="52"/>
        <v>0.24736472241742796</v>
      </c>
      <c r="E131" s="625">
        <f t="shared" si="52"/>
        <v>0.20966458214894826</v>
      </c>
      <c r="F131" s="625">
        <f t="shared" si="52"/>
        <v>0.27531307640034947</v>
      </c>
      <c r="G131" s="625">
        <f t="shared" si="52"/>
        <v>0.28455284552845528</v>
      </c>
      <c r="H131" s="626">
        <f t="shared" si="52"/>
        <v>0.21118748518606306</v>
      </c>
      <c r="I131" s="624">
        <f t="shared" si="52"/>
        <v>0.22255498001311036</v>
      </c>
      <c r="J131" s="624">
        <f t="shared" si="52"/>
        <v>0</v>
      </c>
      <c r="K131" s="625">
        <f t="shared" si="52"/>
        <v>0</v>
      </c>
      <c r="L131" s="625">
        <f t="shared" si="52"/>
        <v>0</v>
      </c>
      <c r="M131" s="625">
        <f t="shared" si="52"/>
        <v>0</v>
      </c>
      <c r="N131" s="624">
        <f t="shared" si="57"/>
        <v>4.4178331580224939E-2</v>
      </c>
      <c r="O131" s="624">
        <f t="shared" si="53"/>
        <v>0</v>
      </c>
      <c r="P131" s="626">
        <f t="shared" si="53"/>
        <v>0</v>
      </c>
      <c r="Q131" s="624">
        <f t="shared" si="53"/>
        <v>7.138221933809215E-3</v>
      </c>
      <c r="R131" s="357"/>
      <c r="S131" s="796">
        <f t="shared" si="58"/>
        <v>6493</v>
      </c>
      <c r="T131" s="796">
        <f t="shared" si="58"/>
        <v>2112</v>
      </c>
      <c r="U131" s="796">
        <f t="shared" si="58"/>
        <v>3688</v>
      </c>
      <c r="V131" s="796">
        <f t="shared" si="58"/>
        <v>2836</v>
      </c>
      <c r="W131" s="796">
        <f t="shared" si="58"/>
        <v>1295</v>
      </c>
      <c r="X131" s="796">
        <f t="shared" si="58"/>
        <v>891</v>
      </c>
      <c r="Y131" s="802">
        <f t="shared" si="58"/>
        <v>17315</v>
      </c>
      <c r="Z131" s="802">
        <f t="shared" si="58"/>
        <v>0</v>
      </c>
      <c r="AA131" s="796">
        <f t="shared" si="58"/>
        <v>0</v>
      </c>
      <c r="AB131" s="796">
        <f t="shared" si="58"/>
        <v>0</v>
      </c>
      <c r="AC131" s="796">
        <f t="shared" si="58"/>
        <v>0</v>
      </c>
      <c r="AD131" s="796">
        <f t="shared" si="58"/>
        <v>0</v>
      </c>
      <c r="AE131" s="802">
        <f t="shared" si="58"/>
        <v>1092</v>
      </c>
      <c r="AF131" s="804"/>
      <c r="AG131" s="349"/>
      <c r="AH131" s="802">
        <f t="shared" si="55"/>
        <v>66</v>
      </c>
    </row>
    <row r="132" spans="1:34">
      <c r="A132" s="883"/>
      <c r="B132" s="239" t="s">
        <v>78</v>
      </c>
      <c r="C132" s="624">
        <f t="shared" si="56"/>
        <v>6.1253910803018223E-2</v>
      </c>
      <c r="D132" s="625">
        <f t="shared" si="52"/>
        <v>0.10119465917076599</v>
      </c>
      <c r="E132" s="625">
        <f t="shared" si="52"/>
        <v>3.6952814098919838E-2</v>
      </c>
      <c r="F132" s="625">
        <f t="shared" si="52"/>
        <v>7.8924376274148139E-2</v>
      </c>
      <c r="G132" s="625">
        <f t="shared" si="52"/>
        <v>7.361019556141507E-2</v>
      </c>
      <c r="H132" s="626">
        <f t="shared" si="52"/>
        <v>5.2145058070632855E-2</v>
      </c>
      <c r="I132" s="624">
        <f t="shared" si="52"/>
        <v>6.2711276204676036E-2</v>
      </c>
      <c r="J132" s="624">
        <f t="shared" si="52"/>
        <v>0</v>
      </c>
      <c r="K132" s="625">
        <f t="shared" si="52"/>
        <v>0</v>
      </c>
      <c r="L132" s="625">
        <f t="shared" si="52"/>
        <v>0</v>
      </c>
      <c r="M132" s="625">
        <f t="shared" si="52"/>
        <v>0</v>
      </c>
      <c r="N132" s="624">
        <f t="shared" si="57"/>
        <v>0.66809612428189979</v>
      </c>
      <c r="O132" s="624">
        <f t="shared" si="53"/>
        <v>0</v>
      </c>
      <c r="P132" s="626">
        <f t="shared" si="53"/>
        <v>0</v>
      </c>
      <c r="Q132" s="624">
        <f t="shared" si="53"/>
        <v>0.66699113130002163</v>
      </c>
      <c r="R132" s="357"/>
      <c r="S132" s="796">
        <f t="shared" si="58"/>
        <v>1997</v>
      </c>
      <c r="T132" s="796">
        <f t="shared" si="58"/>
        <v>864</v>
      </c>
      <c r="U132" s="796">
        <f t="shared" si="58"/>
        <v>650</v>
      </c>
      <c r="V132" s="796">
        <f t="shared" si="58"/>
        <v>813</v>
      </c>
      <c r="W132" s="796">
        <f t="shared" si="58"/>
        <v>335</v>
      </c>
      <c r="X132" s="796">
        <f t="shared" si="58"/>
        <v>220</v>
      </c>
      <c r="Y132" s="802">
        <f t="shared" si="58"/>
        <v>4879</v>
      </c>
      <c r="Z132" s="802">
        <f t="shared" si="58"/>
        <v>0</v>
      </c>
      <c r="AA132" s="796">
        <f t="shared" si="58"/>
        <v>0</v>
      </c>
      <c r="AB132" s="796">
        <f t="shared" si="58"/>
        <v>0</v>
      </c>
      <c r="AC132" s="796">
        <f t="shared" si="58"/>
        <v>0</v>
      </c>
      <c r="AD132" s="796">
        <f t="shared" si="58"/>
        <v>0</v>
      </c>
      <c r="AE132" s="802">
        <f t="shared" si="58"/>
        <v>16514</v>
      </c>
      <c r="AF132" s="804"/>
      <c r="AG132" s="349"/>
      <c r="AH132" s="802">
        <f t="shared" si="55"/>
        <v>6167</v>
      </c>
    </row>
    <row r="133" spans="1:34">
      <c r="A133" s="884"/>
      <c r="B133" s="580" t="s">
        <v>131</v>
      </c>
      <c r="C133" s="624">
        <f t="shared" si="56"/>
        <v>0.10655787988466965</v>
      </c>
      <c r="D133" s="625">
        <f t="shared" si="52"/>
        <v>0.10927617709065354</v>
      </c>
      <c r="E133" s="625">
        <f t="shared" si="52"/>
        <v>0.15463331438317227</v>
      </c>
      <c r="F133" s="625">
        <f t="shared" si="52"/>
        <v>0.12018250655276187</v>
      </c>
      <c r="G133" s="625">
        <f t="shared" si="52"/>
        <v>0.14831905075807514</v>
      </c>
      <c r="H133" s="626">
        <f t="shared" si="52"/>
        <v>0.33443944062574071</v>
      </c>
      <c r="I133" s="624">
        <f t="shared" si="52"/>
        <v>0.13432989293196745</v>
      </c>
      <c r="J133" s="624">
        <f t="shared" si="52"/>
        <v>0</v>
      </c>
      <c r="K133" s="625">
        <f t="shared" si="52"/>
        <v>0</v>
      </c>
      <c r="L133" s="625">
        <f t="shared" si="52"/>
        <v>0</v>
      </c>
      <c r="M133" s="625">
        <f t="shared" si="52"/>
        <v>0</v>
      </c>
      <c r="N133" s="624">
        <f t="shared" si="57"/>
        <v>0.17889796909135045</v>
      </c>
      <c r="O133" s="624">
        <f t="shared" si="53"/>
        <v>0</v>
      </c>
      <c r="P133" s="626">
        <f t="shared" si="53"/>
        <v>0</v>
      </c>
      <c r="Q133" s="624">
        <f t="shared" si="53"/>
        <v>0.27849881029634438</v>
      </c>
      <c r="R133" s="357"/>
      <c r="S133" s="796">
        <f t="shared" si="58"/>
        <v>3474</v>
      </c>
      <c r="T133" s="796">
        <f t="shared" si="58"/>
        <v>933</v>
      </c>
      <c r="U133" s="796">
        <f t="shared" si="58"/>
        <v>2720</v>
      </c>
      <c r="V133" s="796">
        <f t="shared" si="58"/>
        <v>1238</v>
      </c>
      <c r="W133" s="796">
        <f t="shared" si="58"/>
        <v>675</v>
      </c>
      <c r="X133" s="796">
        <f t="shared" si="58"/>
        <v>1411</v>
      </c>
      <c r="Y133" s="802">
        <f t="shared" si="58"/>
        <v>10451</v>
      </c>
      <c r="Z133" s="802">
        <f t="shared" si="58"/>
        <v>0</v>
      </c>
      <c r="AA133" s="796">
        <f t="shared" si="58"/>
        <v>0</v>
      </c>
      <c r="AB133" s="796">
        <f t="shared" si="58"/>
        <v>0</v>
      </c>
      <c r="AC133" s="796">
        <f t="shared" si="58"/>
        <v>0</v>
      </c>
      <c r="AD133" s="796">
        <f t="shared" si="58"/>
        <v>0</v>
      </c>
      <c r="AE133" s="802">
        <f t="shared" si="58"/>
        <v>4422</v>
      </c>
      <c r="AF133" s="804"/>
      <c r="AG133" s="349"/>
      <c r="AH133" s="802">
        <f t="shared" si="55"/>
        <v>2575</v>
      </c>
    </row>
    <row r="134" spans="1:34">
      <c r="A134" s="885" t="s">
        <v>86</v>
      </c>
      <c r="B134" s="436" t="s">
        <v>59</v>
      </c>
      <c r="C134" s="577">
        <f t="shared" si="56"/>
        <v>1</v>
      </c>
      <c r="D134" s="578">
        <f t="shared" si="52"/>
        <v>1</v>
      </c>
      <c r="E134" s="578">
        <f t="shared" si="52"/>
        <v>1</v>
      </c>
      <c r="F134" s="578">
        <f t="shared" si="52"/>
        <v>1</v>
      </c>
      <c r="G134" s="578">
        <f t="shared" si="52"/>
        <v>1</v>
      </c>
      <c r="H134" s="579">
        <f t="shared" si="52"/>
        <v>1</v>
      </c>
      <c r="I134" s="577">
        <f t="shared" si="52"/>
        <v>1</v>
      </c>
      <c r="J134" s="577">
        <f t="shared" si="52"/>
        <v>0</v>
      </c>
      <c r="K134" s="578">
        <f t="shared" si="52"/>
        <v>0</v>
      </c>
      <c r="L134" s="578">
        <f t="shared" si="52"/>
        <v>0</v>
      </c>
      <c r="M134" s="578">
        <f t="shared" si="52"/>
        <v>0</v>
      </c>
      <c r="N134" s="577">
        <f t="shared" si="57"/>
        <v>1</v>
      </c>
      <c r="O134" s="577">
        <f t="shared" si="53"/>
        <v>0</v>
      </c>
      <c r="P134" s="579">
        <f t="shared" si="53"/>
        <v>0</v>
      </c>
      <c r="Q134" s="577">
        <f t="shared" si="53"/>
        <v>1</v>
      </c>
      <c r="R134" s="357"/>
      <c r="S134" s="796">
        <f t="shared" si="58"/>
        <v>32602</v>
      </c>
      <c r="T134" s="796">
        <f t="shared" si="58"/>
        <v>8538</v>
      </c>
      <c r="U134" s="796">
        <f t="shared" si="58"/>
        <v>17590</v>
      </c>
      <c r="V134" s="796">
        <f t="shared" si="58"/>
        <v>10301</v>
      </c>
      <c r="W134" s="796">
        <f t="shared" si="58"/>
        <v>4551</v>
      </c>
      <c r="X134" s="796">
        <f t="shared" si="58"/>
        <v>4219</v>
      </c>
      <c r="Y134" s="802">
        <f t="shared" si="58"/>
        <v>77801</v>
      </c>
      <c r="Z134" s="802">
        <f t="shared" si="58"/>
        <v>0</v>
      </c>
      <c r="AA134" s="796">
        <f t="shared" si="58"/>
        <v>0</v>
      </c>
      <c r="AB134" s="796">
        <f t="shared" si="58"/>
        <v>0</v>
      </c>
      <c r="AC134" s="796">
        <f t="shared" si="58"/>
        <v>0</v>
      </c>
      <c r="AD134" s="796">
        <f t="shared" si="58"/>
        <v>0</v>
      </c>
      <c r="AE134" s="802">
        <f t="shared" si="58"/>
        <v>24718</v>
      </c>
      <c r="AF134" s="804"/>
      <c r="AG134" s="349"/>
      <c r="AH134" s="802">
        <f t="shared" si="55"/>
        <v>9246</v>
      </c>
    </row>
    <row r="135" spans="1:34">
      <c r="A135" s="882" t="s">
        <v>136</v>
      </c>
      <c r="B135" s="240" t="s">
        <v>53</v>
      </c>
      <c r="C135" s="613">
        <f>IF(S$140&gt;0,(S135/S$140),0)</f>
        <v>0</v>
      </c>
      <c r="D135" s="614">
        <f t="shared" ref="D135:M140" si="59">IF(T$140&gt;0,(T135/T$140),0)</f>
        <v>0.23950617283950618</v>
      </c>
      <c r="E135" s="614">
        <f t="shared" si="59"/>
        <v>0.20810313075506445</v>
      </c>
      <c r="F135" s="614">
        <f t="shared" si="59"/>
        <v>0.29268292682926828</v>
      </c>
      <c r="G135" s="614">
        <f t="shared" si="59"/>
        <v>6.4516129032258063E-2</v>
      </c>
      <c r="H135" s="615">
        <f t="shared" si="59"/>
        <v>0</v>
      </c>
      <c r="I135" s="613">
        <f t="shared" si="59"/>
        <v>0.21072088724584104</v>
      </c>
      <c r="J135" s="613">
        <f t="shared" si="59"/>
        <v>0</v>
      </c>
      <c r="K135" s="614">
        <f t="shared" si="59"/>
        <v>0</v>
      </c>
      <c r="L135" s="614">
        <f t="shared" si="59"/>
        <v>0</v>
      </c>
      <c r="M135" s="614">
        <f t="shared" si="59"/>
        <v>0</v>
      </c>
      <c r="N135" s="613">
        <f>IF(AE$140&gt;0,(AE135/AE$140),0)</f>
        <v>0</v>
      </c>
      <c r="O135" s="613">
        <f t="shared" ref="O135:Q140" si="60">IF(AF$140&gt;0,(AF135/AF$140),0)</f>
        <v>0</v>
      </c>
      <c r="P135" s="615">
        <f t="shared" si="60"/>
        <v>0</v>
      </c>
      <c r="Q135" s="613">
        <f t="shared" si="60"/>
        <v>0</v>
      </c>
      <c r="R135" s="357"/>
      <c r="S135" s="856"/>
      <c r="T135" s="856">
        <v>97</v>
      </c>
      <c r="U135" s="856">
        <v>113</v>
      </c>
      <c r="V135" s="856">
        <v>12</v>
      </c>
      <c r="W135" s="856">
        <v>6</v>
      </c>
      <c r="X135" s="856"/>
      <c r="Y135" s="857">
        <v>228</v>
      </c>
      <c r="Z135" s="857"/>
      <c r="AA135" s="856"/>
      <c r="AB135" s="856"/>
      <c r="AC135" s="856"/>
      <c r="AD135" s="856"/>
      <c r="AE135" s="857"/>
      <c r="AF135" s="857"/>
      <c r="AG135" s="856"/>
      <c r="AH135" s="857"/>
    </row>
    <row r="136" spans="1:34">
      <c r="A136" s="883"/>
      <c r="B136" s="239" t="s">
        <v>93</v>
      </c>
      <c r="C136" s="624">
        <f t="shared" ref="C136:C140" si="61">IF(S$140&gt;0,(S136/S$140),0)</f>
        <v>0</v>
      </c>
      <c r="D136" s="625">
        <f t="shared" si="59"/>
        <v>0.3037037037037037</v>
      </c>
      <c r="E136" s="625">
        <f t="shared" si="59"/>
        <v>0.25966850828729282</v>
      </c>
      <c r="F136" s="625">
        <f t="shared" si="59"/>
        <v>0.31707317073170732</v>
      </c>
      <c r="G136" s="625">
        <f t="shared" si="59"/>
        <v>0.30107526881720431</v>
      </c>
      <c r="H136" s="626">
        <f t="shared" si="59"/>
        <v>0</v>
      </c>
      <c r="I136" s="624">
        <f t="shared" si="59"/>
        <v>0.28188539741219965</v>
      </c>
      <c r="J136" s="624">
        <f t="shared" si="59"/>
        <v>0</v>
      </c>
      <c r="K136" s="625">
        <f t="shared" si="59"/>
        <v>0</v>
      </c>
      <c r="L136" s="625">
        <f t="shared" si="59"/>
        <v>0</v>
      </c>
      <c r="M136" s="625">
        <f t="shared" si="59"/>
        <v>0</v>
      </c>
      <c r="N136" s="624">
        <f t="shared" ref="N136:N140" si="62">IF(AE$140&gt;0,(AE136/AE$140),0)</f>
        <v>0</v>
      </c>
      <c r="O136" s="624">
        <f t="shared" si="60"/>
        <v>0</v>
      </c>
      <c r="P136" s="626">
        <f t="shared" si="60"/>
        <v>0</v>
      </c>
      <c r="Q136" s="624">
        <f t="shared" si="60"/>
        <v>1.4705882352941176E-2</v>
      </c>
      <c r="R136" s="357"/>
      <c r="S136" s="858"/>
      <c r="T136" s="858">
        <v>123</v>
      </c>
      <c r="U136" s="858">
        <v>141</v>
      </c>
      <c r="V136" s="858">
        <v>13</v>
      </c>
      <c r="W136" s="858">
        <v>28</v>
      </c>
      <c r="X136" s="858"/>
      <c r="Y136" s="859">
        <v>305</v>
      </c>
      <c r="Z136" s="859"/>
      <c r="AA136" s="858"/>
      <c r="AB136" s="858"/>
      <c r="AC136" s="858"/>
      <c r="AD136" s="858"/>
      <c r="AE136" s="859"/>
      <c r="AF136" s="859"/>
      <c r="AG136" s="858"/>
      <c r="AH136" s="859">
        <v>1</v>
      </c>
    </row>
    <row r="137" spans="1:34">
      <c r="A137" s="883"/>
      <c r="B137" s="239" t="s">
        <v>55</v>
      </c>
      <c r="C137" s="624">
        <f t="shared" si="61"/>
        <v>0</v>
      </c>
      <c r="D137" s="625">
        <f t="shared" si="59"/>
        <v>0.37530864197530867</v>
      </c>
      <c r="E137" s="625">
        <f t="shared" si="59"/>
        <v>0.41988950276243092</v>
      </c>
      <c r="F137" s="625">
        <f t="shared" si="59"/>
        <v>0.31707317073170732</v>
      </c>
      <c r="G137" s="625">
        <f t="shared" si="59"/>
        <v>0.62365591397849462</v>
      </c>
      <c r="H137" s="626">
        <f t="shared" si="59"/>
        <v>0</v>
      </c>
      <c r="I137" s="624">
        <f t="shared" si="59"/>
        <v>0.41682070240295749</v>
      </c>
      <c r="J137" s="624">
        <f t="shared" si="59"/>
        <v>0</v>
      </c>
      <c r="K137" s="625">
        <f t="shared" si="59"/>
        <v>0</v>
      </c>
      <c r="L137" s="625">
        <f t="shared" si="59"/>
        <v>0</v>
      </c>
      <c r="M137" s="625">
        <f t="shared" si="59"/>
        <v>0</v>
      </c>
      <c r="N137" s="624">
        <f t="shared" si="62"/>
        <v>0</v>
      </c>
      <c r="O137" s="624">
        <f t="shared" si="60"/>
        <v>0</v>
      </c>
      <c r="P137" s="626">
        <f t="shared" si="60"/>
        <v>0</v>
      </c>
      <c r="Q137" s="624">
        <f t="shared" si="60"/>
        <v>0.10294117647058823</v>
      </c>
      <c r="R137" s="357"/>
      <c r="S137" s="858"/>
      <c r="T137" s="858">
        <v>152</v>
      </c>
      <c r="U137" s="858">
        <v>228</v>
      </c>
      <c r="V137" s="858">
        <v>13</v>
      </c>
      <c r="W137" s="858">
        <v>58</v>
      </c>
      <c r="X137" s="858"/>
      <c r="Y137" s="859">
        <v>451</v>
      </c>
      <c r="Z137" s="859"/>
      <c r="AA137" s="858"/>
      <c r="AB137" s="858"/>
      <c r="AC137" s="858"/>
      <c r="AD137" s="858"/>
      <c r="AE137" s="859"/>
      <c r="AF137" s="859"/>
      <c r="AG137" s="858"/>
      <c r="AH137" s="859">
        <v>7</v>
      </c>
    </row>
    <row r="138" spans="1:34">
      <c r="A138" s="883"/>
      <c r="B138" s="239" t="s">
        <v>78</v>
      </c>
      <c r="C138" s="624">
        <f t="shared" si="61"/>
        <v>0</v>
      </c>
      <c r="D138" s="625">
        <f t="shared" si="59"/>
        <v>8.1481481481481488E-2</v>
      </c>
      <c r="E138" s="625">
        <f t="shared" si="59"/>
        <v>0.11233885819521179</v>
      </c>
      <c r="F138" s="625">
        <f t="shared" si="59"/>
        <v>7.3170731707317069E-2</v>
      </c>
      <c r="G138" s="625">
        <f t="shared" si="59"/>
        <v>0</v>
      </c>
      <c r="H138" s="626">
        <f t="shared" si="59"/>
        <v>0</v>
      </c>
      <c r="I138" s="624">
        <f t="shared" si="59"/>
        <v>8.9648798521256928E-2</v>
      </c>
      <c r="J138" s="624">
        <f t="shared" si="59"/>
        <v>0</v>
      </c>
      <c r="K138" s="625">
        <f t="shared" si="59"/>
        <v>0</v>
      </c>
      <c r="L138" s="625">
        <f t="shared" si="59"/>
        <v>0</v>
      </c>
      <c r="M138" s="625">
        <f t="shared" si="59"/>
        <v>0</v>
      </c>
      <c r="N138" s="624">
        <f t="shared" si="62"/>
        <v>1</v>
      </c>
      <c r="O138" s="624">
        <f t="shared" si="60"/>
        <v>0</v>
      </c>
      <c r="P138" s="626">
        <f t="shared" si="60"/>
        <v>0</v>
      </c>
      <c r="Q138" s="624">
        <f t="shared" si="60"/>
        <v>0.76470588235294112</v>
      </c>
      <c r="R138" s="357"/>
      <c r="S138" s="858"/>
      <c r="T138" s="858">
        <v>33</v>
      </c>
      <c r="U138" s="858">
        <v>61</v>
      </c>
      <c r="V138" s="858">
        <v>3</v>
      </c>
      <c r="W138" s="858"/>
      <c r="X138" s="858"/>
      <c r="Y138" s="859">
        <v>97</v>
      </c>
      <c r="Z138" s="859"/>
      <c r="AA138" s="858"/>
      <c r="AB138" s="858"/>
      <c r="AC138" s="858"/>
      <c r="AD138" s="858"/>
      <c r="AE138" s="859">
        <v>52</v>
      </c>
      <c r="AF138" s="859"/>
      <c r="AG138" s="858"/>
      <c r="AH138" s="859">
        <v>52</v>
      </c>
    </row>
    <row r="139" spans="1:34">
      <c r="A139" s="884"/>
      <c r="B139" s="580" t="s">
        <v>131</v>
      </c>
      <c r="C139" s="624">
        <f t="shared" si="61"/>
        <v>0</v>
      </c>
      <c r="D139" s="625">
        <f t="shared" si="59"/>
        <v>0</v>
      </c>
      <c r="E139" s="625">
        <f t="shared" si="59"/>
        <v>0</v>
      </c>
      <c r="F139" s="625">
        <f t="shared" si="59"/>
        <v>0</v>
      </c>
      <c r="G139" s="625">
        <f t="shared" si="59"/>
        <v>1.0752688172043012E-2</v>
      </c>
      <c r="H139" s="626">
        <f t="shared" si="59"/>
        <v>0</v>
      </c>
      <c r="I139" s="624">
        <f t="shared" si="59"/>
        <v>9.2421441774491681E-4</v>
      </c>
      <c r="J139" s="624">
        <f t="shared" si="59"/>
        <v>0</v>
      </c>
      <c r="K139" s="625">
        <f t="shared" si="59"/>
        <v>0</v>
      </c>
      <c r="L139" s="625">
        <f t="shared" si="59"/>
        <v>0</v>
      </c>
      <c r="M139" s="625">
        <f t="shared" si="59"/>
        <v>0</v>
      </c>
      <c r="N139" s="624">
        <f t="shared" si="62"/>
        <v>0</v>
      </c>
      <c r="O139" s="624">
        <f t="shared" si="60"/>
        <v>0</v>
      </c>
      <c r="P139" s="626">
        <f t="shared" si="60"/>
        <v>0</v>
      </c>
      <c r="Q139" s="624">
        <f t="shared" si="60"/>
        <v>0.11764705882352941</v>
      </c>
      <c r="R139" s="357"/>
      <c r="S139" s="858"/>
      <c r="T139" s="858"/>
      <c r="U139" s="858"/>
      <c r="V139" s="858"/>
      <c r="W139" s="858">
        <f>0+1</f>
        <v>1</v>
      </c>
      <c r="X139" s="858"/>
      <c r="Y139" s="859">
        <f>0+1</f>
        <v>1</v>
      </c>
      <c r="Z139" s="859"/>
      <c r="AA139" s="858"/>
      <c r="AB139" s="858"/>
      <c r="AC139" s="858"/>
      <c r="AD139" s="858"/>
      <c r="AE139" s="859"/>
      <c r="AF139" s="859"/>
      <c r="AG139" s="858"/>
      <c r="AH139" s="859">
        <f>4+4</f>
        <v>8</v>
      </c>
    </row>
    <row r="140" spans="1:34">
      <c r="A140" s="885"/>
      <c r="B140" s="436" t="s">
        <v>59</v>
      </c>
      <c r="C140" s="577">
        <f t="shared" si="61"/>
        <v>0</v>
      </c>
      <c r="D140" s="578">
        <f t="shared" si="59"/>
        <v>1</v>
      </c>
      <c r="E140" s="578">
        <f t="shared" si="59"/>
        <v>1</v>
      </c>
      <c r="F140" s="578">
        <f t="shared" si="59"/>
        <v>1</v>
      </c>
      <c r="G140" s="578">
        <f t="shared" si="59"/>
        <v>1</v>
      </c>
      <c r="H140" s="579">
        <f t="shared" si="59"/>
        <v>0</v>
      </c>
      <c r="I140" s="577">
        <f t="shared" si="59"/>
        <v>1</v>
      </c>
      <c r="J140" s="577">
        <f t="shared" si="59"/>
        <v>0</v>
      </c>
      <c r="K140" s="578">
        <f t="shared" si="59"/>
        <v>0</v>
      </c>
      <c r="L140" s="578">
        <f t="shared" si="59"/>
        <v>0</v>
      </c>
      <c r="M140" s="578">
        <f t="shared" si="59"/>
        <v>0</v>
      </c>
      <c r="N140" s="577">
        <f t="shared" si="62"/>
        <v>1</v>
      </c>
      <c r="O140" s="577">
        <f t="shared" si="60"/>
        <v>0</v>
      </c>
      <c r="P140" s="579">
        <f t="shared" si="60"/>
        <v>0</v>
      </c>
      <c r="Q140" s="577">
        <f t="shared" si="60"/>
        <v>1</v>
      </c>
      <c r="R140" s="357"/>
      <c r="S140" s="858"/>
      <c r="T140" s="858">
        <v>405</v>
      </c>
      <c r="U140" s="858">
        <v>543</v>
      </c>
      <c r="V140" s="858">
        <v>41</v>
      </c>
      <c r="W140" s="858">
        <v>93</v>
      </c>
      <c r="X140" s="858"/>
      <c r="Y140" s="859">
        <v>1082</v>
      </c>
      <c r="Z140" s="859"/>
      <c r="AA140" s="858"/>
      <c r="AB140" s="858"/>
      <c r="AC140" s="858"/>
      <c r="AD140" s="858"/>
      <c r="AE140" s="859">
        <v>52</v>
      </c>
      <c r="AF140" s="859"/>
      <c r="AG140" s="858"/>
      <c r="AH140" s="859">
        <v>68</v>
      </c>
    </row>
    <row r="141" spans="1:34">
      <c r="A141" s="882" t="s">
        <v>137</v>
      </c>
      <c r="B141" s="240" t="s">
        <v>53</v>
      </c>
      <c r="C141" s="806">
        <f>IF(S$146&gt;0,(S141/S$146),0)</f>
        <v>0.35164520743919886</v>
      </c>
      <c r="D141" s="806">
        <f t="shared" ref="D141:M146" si="63">IF(T$146&gt;0,(T141/T$146),0)</f>
        <v>0.25124910778015702</v>
      </c>
      <c r="E141" s="806">
        <f t="shared" si="63"/>
        <v>0</v>
      </c>
      <c r="F141" s="806">
        <f t="shared" si="63"/>
        <v>0.10723514211886305</v>
      </c>
      <c r="G141" s="806">
        <f t="shared" si="63"/>
        <v>0.15838509316770186</v>
      </c>
      <c r="H141" s="806">
        <f t="shared" si="63"/>
        <v>0</v>
      </c>
      <c r="I141" s="613">
        <f t="shared" si="63"/>
        <v>0.26675999377819254</v>
      </c>
      <c r="J141" s="613">
        <f t="shared" si="63"/>
        <v>0</v>
      </c>
      <c r="K141" s="614">
        <f t="shared" si="63"/>
        <v>0</v>
      </c>
      <c r="L141" s="614">
        <f t="shared" si="63"/>
        <v>0</v>
      </c>
      <c r="M141" s="614">
        <f t="shared" si="63"/>
        <v>0</v>
      </c>
      <c r="N141" s="613">
        <f>IF(AE$146&gt;0,(AE141/AE$146),0)</f>
        <v>0.14461538461538462</v>
      </c>
      <c r="O141" s="613">
        <f t="shared" ref="O141:Q146" si="64">IF(AF$146&gt;0,(AF141/AF$146),0)</f>
        <v>0</v>
      </c>
      <c r="P141" s="615">
        <f t="shared" si="64"/>
        <v>0</v>
      </c>
      <c r="Q141" s="613">
        <f t="shared" si="64"/>
        <v>0</v>
      </c>
      <c r="R141" s="357"/>
      <c r="S141" s="856">
        <v>1229</v>
      </c>
      <c r="T141" s="856">
        <v>352</v>
      </c>
      <c r="U141" s="856"/>
      <c r="V141" s="856">
        <v>83</v>
      </c>
      <c r="W141" s="856">
        <v>51</v>
      </c>
      <c r="X141" s="856"/>
      <c r="Y141" s="857">
        <v>1715</v>
      </c>
      <c r="Z141" s="857"/>
      <c r="AA141" s="856"/>
      <c r="AB141" s="856"/>
      <c r="AC141" s="856"/>
      <c r="AD141" s="856"/>
      <c r="AE141" s="857">
        <v>94</v>
      </c>
      <c r="AF141" s="857"/>
      <c r="AG141" s="856"/>
      <c r="AH141" s="857"/>
    </row>
    <row r="142" spans="1:34">
      <c r="A142" s="883"/>
      <c r="B142" s="239" t="s">
        <v>93</v>
      </c>
      <c r="C142" s="806">
        <f t="shared" ref="C142:C146" si="65">IF(S$146&gt;0,(S142/S$146),0)</f>
        <v>0.26008583690987125</v>
      </c>
      <c r="D142" s="806">
        <f t="shared" si="63"/>
        <v>0.22840827980014275</v>
      </c>
      <c r="E142" s="806">
        <f t="shared" si="63"/>
        <v>0</v>
      </c>
      <c r="F142" s="806">
        <f t="shared" si="63"/>
        <v>0.20155038759689922</v>
      </c>
      <c r="G142" s="806">
        <f t="shared" si="63"/>
        <v>0.18944099378881987</v>
      </c>
      <c r="H142" s="806">
        <f t="shared" si="63"/>
        <v>0</v>
      </c>
      <c r="I142" s="624">
        <f t="shared" si="63"/>
        <v>0.22491833877741485</v>
      </c>
      <c r="J142" s="624">
        <f t="shared" si="63"/>
        <v>0</v>
      </c>
      <c r="K142" s="625">
        <f t="shared" si="63"/>
        <v>0</v>
      </c>
      <c r="L142" s="625">
        <f t="shared" si="63"/>
        <v>0</v>
      </c>
      <c r="M142" s="625">
        <f t="shared" si="63"/>
        <v>0</v>
      </c>
      <c r="N142" s="624">
        <f t="shared" ref="N142:N146" si="66">IF(AE$146&gt;0,(AE142/AE$146),0)</f>
        <v>0</v>
      </c>
      <c r="O142" s="624">
        <f t="shared" si="64"/>
        <v>0</v>
      </c>
      <c r="P142" s="626">
        <f t="shared" si="64"/>
        <v>0</v>
      </c>
      <c r="Q142" s="624">
        <f t="shared" si="64"/>
        <v>0</v>
      </c>
      <c r="R142" s="357"/>
      <c r="S142" s="858">
        <v>909</v>
      </c>
      <c r="T142" s="858">
        <v>320</v>
      </c>
      <c r="U142" s="858"/>
      <c r="V142" s="858">
        <v>156</v>
      </c>
      <c r="W142" s="858">
        <v>61</v>
      </c>
      <c r="X142" s="858"/>
      <c r="Y142" s="859">
        <v>1446</v>
      </c>
      <c r="Z142" s="859"/>
      <c r="AA142" s="858"/>
      <c r="AB142" s="858"/>
      <c r="AC142" s="858"/>
      <c r="AD142" s="858"/>
      <c r="AE142" s="859"/>
      <c r="AF142" s="859"/>
      <c r="AG142" s="858"/>
      <c r="AH142" s="859"/>
    </row>
    <row r="143" spans="1:34">
      <c r="A143" s="883"/>
      <c r="B143" s="239" t="s">
        <v>55</v>
      </c>
      <c r="C143" s="806">
        <f t="shared" si="65"/>
        <v>0.19628040057224608</v>
      </c>
      <c r="D143" s="806">
        <f t="shared" si="63"/>
        <v>0.20770877944325483</v>
      </c>
      <c r="E143" s="806">
        <f t="shared" si="63"/>
        <v>0</v>
      </c>
      <c r="F143" s="806">
        <f t="shared" si="63"/>
        <v>0.2157622739018088</v>
      </c>
      <c r="G143" s="806">
        <f t="shared" si="63"/>
        <v>0.11180124223602485</v>
      </c>
      <c r="H143" s="806">
        <f t="shared" si="63"/>
        <v>2.2883295194508009E-3</v>
      </c>
      <c r="I143" s="624">
        <f t="shared" si="63"/>
        <v>0.18369886452014311</v>
      </c>
      <c r="J143" s="624">
        <f t="shared" si="63"/>
        <v>0</v>
      </c>
      <c r="K143" s="625">
        <f t="shared" si="63"/>
        <v>0</v>
      </c>
      <c r="L143" s="625">
        <f t="shared" si="63"/>
        <v>0</v>
      </c>
      <c r="M143" s="625">
        <f t="shared" si="63"/>
        <v>0</v>
      </c>
      <c r="N143" s="624">
        <f t="shared" si="66"/>
        <v>0</v>
      </c>
      <c r="O143" s="624">
        <f t="shared" si="64"/>
        <v>0</v>
      </c>
      <c r="P143" s="626">
        <f t="shared" si="64"/>
        <v>0</v>
      </c>
      <c r="Q143" s="624">
        <f t="shared" si="64"/>
        <v>0</v>
      </c>
      <c r="R143" s="357"/>
      <c r="S143" s="858">
        <v>686</v>
      </c>
      <c r="T143" s="858">
        <v>291</v>
      </c>
      <c r="U143" s="858"/>
      <c r="V143" s="858">
        <v>167</v>
      </c>
      <c r="W143" s="858">
        <v>36</v>
      </c>
      <c r="X143" s="858">
        <v>1</v>
      </c>
      <c r="Y143" s="859">
        <v>1181</v>
      </c>
      <c r="Z143" s="859"/>
      <c r="AA143" s="858"/>
      <c r="AB143" s="858"/>
      <c r="AC143" s="858"/>
      <c r="AD143" s="858"/>
      <c r="AE143" s="859"/>
      <c r="AF143" s="859"/>
      <c r="AG143" s="858"/>
      <c r="AH143" s="859"/>
    </row>
    <row r="144" spans="1:34">
      <c r="A144" s="883"/>
      <c r="B144" s="239" t="s">
        <v>78</v>
      </c>
      <c r="C144" s="806">
        <f t="shared" si="65"/>
        <v>8.0972818311874112E-2</v>
      </c>
      <c r="D144" s="806">
        <f t="shared" si="63"/>
        <v>9.9928622412562451E-2</v>
      </c>
      <c r="E144" s="806">
        <f t="shared" si="63"/>
        <v>0</v>
      </c>
      <c r="F144" s="806">
        <f t="shared" si="63"/>
        <v>0.35012919896640826</v>
      </c>
      <c r="G144" s="806">
        <f t="shared" si="63"/>
        <v>0.21118012422360249</v>
      </c>
      <c r="H144" s="806">
        <f t="shared" si="63"/>
        <v>0</v>
      </c>
      <c r="I144" s="624">
        <f t="shared" si="63"/>
        <v>0.11852543163789081</v>
      </c>
      <c r="J144" s="624">
        <f t="shared" si="63"/>
        <v>0</v>
      </c>
      <c r="K144" s="625">
        <f t="shared" si="63"/>
        <v>0</v>
      </c>
      <c r="L144" s="625">
        <f t="shared" si="63"/>
        <v>0</v>
      </c>
      <c r="M144" s="625">
        <f t="shared" si="63"/>
        <v>0</v>
      </c>
      <c r="N144" s="624">
        <f t="shared" si="66"/>
        <v>0.17692307692307693</v>
      </c>
      <c r="O144" s="624">
        <f t="shared" si="64"/>
        <v>0</v>
      </c>
      <c r="P144" s="626">
        <f t="shared" si="64"/>
        <v>0</v>
      </c>
      <c r="Q144" s="624">
        <f t="shared" si="64"/>
        <v>0.20345879959308241</v>
      </c>
      <c r="R144" s="357"/>
      <c r="S144" s="858">
        <v>283</v>
      </c>
      <c r="T144" s="858">
        <v>140</v>
      </c>
      <c r="U144" s="858"/>
      <c r="V144" s="858">
        <v>271</v>
      </c>
      <c r="W144" s="858">
        <v>68</v>
      </c>
      <c r="X144" s="858"/>
      <c r="Y144" s="859">
        <v>762</v>
      </c>
      <c r="Z144" s="859"/>
      <c r="AA144" s="858"/>
      <c r="AB144" s="858"/>
      <c r="AC144" s="858"/>
      <c r="AD144" s="858"/>
      <c r="AE144" s="859">
        <v>115</v>
      </c>
      <c r="AF144" s="859"/>
      <c r="AG144" s="858"/>
      <c r="AH144" s="859">
        <v>400</v>
      </c>
    </row>
    <row r="145" spans="1:34">
      <c r="A145" s="884"/>
      <c r="B145" s="580" t="s">
        <v>131</v>
      </c>
      <c r="C145" s="806">
        <f t="shared" si="65"/>
        <v>0.11101573676680973</v>
      </c>
      <c r="D145" s="806">
        <f t="shared" si="63"/>
        <v>0.21270521056388295</v>
      </c>
      <c r="E145" s="806">
        <f t="shared" si="63"/>
        <v>0</v>
      </c>
      <c r="F145" s="806">
        <f t="shared" si="63"/>
        <v>0.12532299741602068</v>
      </c>
      <c r="G145" s="806">
        <f t="shared" si="63"/>
        <v>0.32919254658385094</v>
      </c>
      <c r="H145" s="806">
        <f t="shared" si="63"/>
        <v>0.99771167048054921</v>
      </c>
      <c r="I145" s="624">
        <f t="shared" si="63"/>
        <v>0.20609737128635869</v>
      </c>
      <c r="J145" s="624">
        <f t="shared" si="63"/>
        <v>0</v>
      </c>
      <c r="K145" s="625">
        <f t="shared" si="63"/>
        <v>0</v>
      </c>
      <c r="L145" s="625">
        <f t="shared" si="63"/>
        <v>0</v>
      </c>
      <c r="M145" s="625">
        <f t="shared" si="63"/>
        <v>0</v>
      </c>
      <c r="N145" s="624">
        <f t="shared" si="66"/>
        <v>0.67846153846153845</v>
      </c>
      <c r="O145" s="624">
        <f t="shared" si="64"/>
        <v>0</v>
      </c>
      <c r="P145" s="626">
        <f t="shared" si="64"/>
        <v>0</v>
      </c>
      <c r="Q145" s="624">
        <f t="shared" si="64"/>
        <v>0.79654120040691756</v>
      </c>
      <c r="R145" s="357"/>
      <c r="S145" s="858">
        <f>376+12</f>
        <v>388</v>
      </c>
      <c r="T145" s="858">
        <v>298</v>
      </c>
      <c r="U145" s="858"/>
      <c r="V145" s="858">
        <f>96+1</f>
        <v>97</v>
      </c>
      <c r="W145" s="858">
        <f>102+4</f>
        <v>106</v>
      </c>
      <c r="X145" s="858">
        <f>0+436</f>
        <v>436</v>
      </c>
      <c r="Y145" s="859">
        <f>872+453</f>
        <v>1325</v>
      </c>
      <c r="Z145" s="859"/>
      <c r="AA145" s="858"/>
      <c r="AB145" s="858"/>
      <c r="AC145" s="858"/>
      <c r="AD145" s="858"/>
      <c r="AE145" s="859">
        <f>0+441</f>
        <v>441</v>
      </c>
      <c r="AF145" s="859"/>
      <c r="AG145" s="858"/>
      <c r="AH145" s="859">
        <v>1566</v>
      </c>
    </row>
    <row r="146" spans="1:34">
      <c r="A146" s="885"/>
      <c r="B146" s="436" t="s">
        <v>59</v>
      </c>
      <c r="C146" s="807">
        <f t="shared" si="65"/>
        <v>1</v>
      </c>
      <c r="D146" s="808">
        <f t="shared" si="63"/>
        <v>1</v>
      </c>
      <c r="E146" s="808">
        <f t="shared" si="63"/>
        <v>0</v>
      </c>
      <c r="F146" s="808">
        <f t="shared" si="63"/>
        <v>1</v>
      </c>
      <c r="G146" s="808">
        <f t="shared" si="63"/>
        <v>1</v>
      </c>
      <c r="H146" s="809">
        <f t="shared" si="63"/>
        <v>1</v>
      </c>
      <c r="I146" s="577">
        <f t="shared" si="63"/>
        <v>1</v>
      </c>
      <c r="J146" s="577">
        <f t="shared" si="63"/>
        <v>0</v>
      </c>
      <c r="K146" s="578">
        <f t="shared" si="63"/>
        <v>0</v>
      </c>
      <c r="L146" s="578">
        <f t="shared" si="63"/>
        <v>0</v>
      </c>
      <c r="M146" s="578">
        <f t="shared" si="63"/>
        <v>0</v>
      </c>
      <c r="N146" s="577">
        <f t="shared" si="66"/>
        <v>1</v>
      </c>
      <c r="O146" s="577">
        <f t="shared" si="64"/>
        <v>0</v>
      </c>
      <c r="P146" s="579">
        <f t="shared" si="64"/>
        <v>0</v>
      </c>
      <c r="Q146" s="577">
        <f t="shared" si="64"/>
        <v>1</v>
      </c>
      <c r="R146" s="357"/>
      <c r="S146" s="858">
        <v>3495</v>
      </c>
      <c r="T146" s="858">
        <v>1401</v>
      </c>
      <c r="U146" s="858"/>
      <c r="V146" s="858">
        <v>774</v>
      </c>
      <c r="W146" s="858">
        <v>322</v>
      </c>
      <c r="X146" s="858">
        <v>437</v>
      </c>
      <c r="Y146" s="859">
        <v>6429</v>
      </c>
      <c r="Z146" s="859"/>
      <c r="AA146" s="858"/>
      <c r="AB146" s="858"/>
      <c r="AC146" s="858"/>
      <c r="AD146" s="858"/>
      <c r="AE146" s="859">
        <v>650</v>
      </c>
      <c r="AF146" s="859"/>
      <c r="AG146" s="858"/>
      <c r="AH146" s="859">
        <v>1966</v>
      </c>
    </row>
    <row r="147" spans="1:34">
      <c r="A147" s="882" t="s">
        <v>138</v>
      </c>
      <c r="B147" s="240" t="s">
        <v>53</v>
      </c>
      <c r="C147" s="806">
        <f>IF(S$152&gt;0,(S147/S$152),0)</f>
        <v>0.51677907550583979</v>
      </c>
      <c r="D147" s="806">
        <f t="shared" ref="D147:M152" si="67">IF(T$152&gt;0,(T147/T$152),0)</f>
        <v>0.40755208333333331</v>
      </c>
      <c r="E147" s="806">
        <f t="shared" si="67"/>
        <v>0.38340422356540554</v>
      </c>
      <c r="F147" s="806">
        <f t="shared" si="67"/>
        <v>0.31037547211730726</v>
      </c>
      <c r="G147" s="806">
        <f t="shared" si="67"/>
        <v>0.25215889464594127</v>
      </c>
      <c r="H147" s="806">
        <f t="shared" si="67"/>
        <v>0.31526271893244373</v>
      </c>
      <c r="I147" s="613">
        <f t="shared" si="67"/>
        <v>0.41569228050540452</v>
      </c>
      <c r="J147" s="613">
        <f t="shared" si="67"/>
        <v>0</v>
      </c>
      <c r="K147" s="614">
        <f t="shared" si="67"/>
        <v>0</v>
      </c>
      <c r="L147" s="614">
        <f t="shared" si="67"/>
        <v>0</v>
      </c>
      <c r="M147" s="614">
        <f t="shared" si="67"/>
        <v>0</v>
      </c>
      <c r="N147" s="613">
        <f>IF(AE$152&gt;0,(AE147/AE$152),0)</f>
        <v>4.1539009618810116E-2</v>
      </c>
      <c r="O147" s="613">
        <f t="shared" ref="O147:Q152" si="68">IF(AF$152&gt;0,(AF147/AF$152),0)</f>
        <v>0</v>
      </c>
      <c r="P147" s="615">
        <f t="shared" si="68"/>
        <v>0</v>
      </c>
      <c r="Q147" s="613">
        <f t="shared" si="68"/>
        <v>0</v>
      </c>
      <c r="R147" s="799"/>
      <c r="S147" s="856">
        <v>6283</v>
      </c>
      <c r="T147" s="856">
        <v>626</v>
      </c>
      <c r="U147" s="856">
        <v>5138</v>
      </c>
      <c r="V147" s="856">
        <v>1397</v>
      </c>
      <c r="W147" s="856">
        <v>292</v>
      </c>
      <c r="X147" s="856">
        <v>378</v>
      </c>
      <c r="Y147" s="857">
        <v>14114</v>
      </c>
      <c r="Z147" s="857"/>
      <c r="AA147" s="856"/>
      <c r="AB147" s="856"/>
      <c r="AC147" s="856"/>
      <c r="AD147" s="856"/>
      <c r="AE147" s="857">
        <v>583</v>
      </c>
      <c r="AF147" s="857"/>
      <c r="AG147" s="856"/>
      <c r="AH147" s="857"/>
    </row>
    <row r="148" spans="1:34">
      <c r="A148" s="883"/>
      <c r="B148" s="239" t="s">
        <v>93</v>
      </c>
      <c r="C148" s="806">
        <f t="shared" ref="C148:C152" si="69">IF(S$152&gt;0,(S148/S$152),0)</f>
        <v>0.20052640236881067</v>
      </c>
      <c r="D148" s="806">
        <f t="shared" si="67"/>
        <v>0.201171875</v>
      </c>
      <c r="E148" s="806">
        <f t="shared" si="67"/>
        <v>0.24266845757779271</v>
      </c>
      <c r="F148" s="806">
        <f t="shared" si="67"/>
        <v>0.24772272828260386</v>
      </c>
      <c r="G148" s="806">
        <f t="shared" si="67"/>
        <v>0.22970639032815199</v>
      </c>
      <c r="H148" s="806">
        <f t="shared" si="67"/>
        <v>0.20350291909924936</v>
      </c>
      <c r="I148" s="624">
        <f t="shared" si="67"/>
        <v>0.22454569552027803</v>
      </c>
      <c r="J148" s="624">
        <f t="shared" si="67"/>
        <v>0</v>
      </c>
      <c r="K148" s="625">
        <f t="shared" si="67"/>
        <v>0</v>
      </c>
      <c r="L148" s="625">
        <f t="shared" si="67"/>
        <v>0</v>
      </c>
      <c r="M148" s="625">
        <f t="shared" si="67"/>
        <v>0</v>
      </c>
      <c r="N148" s="624">
        <f t="shared" ref="N148:N152" si="70">IF(AE$152&gt;0,(AE148/AE$152),0)</f>
        <v>9.6188101175632354E-3</v>
      </c>
      <c r="O148" s="624">
        <f t="shared" si="68"/>
        <v>0</v>
      </c>
      <c r="P148" s="626">
        <f t="shared" si="68"/>
        <v>0</v>
      </c>
      <c r="Q148" s="624">
        <f t="shared" si="68"/>
        <v>0</v>
      </c>
      <c r="R148" s="357"/>
      <c r="S148" s="858">
        <v>2438</v>
      </c>
      <c r="T148" s="858">
        <v>309</v>
      </c>
      <c r="U148" s="858">
        <v>3252</v>
      </c>
      <c r="V148" s="858">
        <v>1115</v>
      </c>
      <c r="W148" s="858">
        <v>266</v>
      </c>
      <c r="X148" s="858">
        <v>244</v>
      </c>
      <c r="Y148" s="859">
        <v>7624</v>
      </c>
      <c r="Z148" s="859"/>
      <c r="AA148" s="858"/>
      <c r="AB148" s="858"/>
      <c r="AC148" s="858"/>
      <c r="AD148" s="858"/>
      <c r="AE148" s="859">
        <v>135</v>
      </c>
      <c r="AF148" s="859"/>
      <c r="AG148" s="858"/>
      <c r="AH148" s="859"/>
    </row>
    <row r="149" spans="1:34">
      <c r="A149" s="883"/>
      <c r="B149" s="239" t="s">
        <v>55</v>
      </c>
      <c r="C149" s="806">
        <f t="shared" si="69"/>
        <v>0.1696002632011844</v>
      </c>
      <c r="D149" s="806">
        <f t="shared" si="67"/>
        <v>0.23307291666666666</v>
      </c>
      <c r="E149" s="806">
        <f t="shared" si="67"/>
        <v>0.20050742481904335</v>
      </c>
      <c r="F149" s="806">
        <f t="shared" si="67"/>
        <v>0.2528327038435903</v>
      </c>
      <c r="G149" s="806">
        <f t="shared" si="67"/>
        <v>0.35578583765112265</v>
      </c>
      <c r="H149" s="806">
        <f t="shared" si="67"/>
        <v>0.19766472060050042</v>
      </c>
      <c r="I149" s="624">
        <f t="shared" si="67"/>
        <v>0.20304538626925456</v>
      </c>
      <c r="J149" s="624">
        <f t="shared" si="67"/>
        <v>0</v>
      </c>
      <c r="K149" s="625">
        <f t="shared" si="67"/>
        <v>0</v>
      </c>
      <c r="L149" s="625">
        <f t="shared" si="67"/>
        <v>0</v>
      </c>
      <c r="M149" s="625">
        <f t="shared" si="67"/>
        <v>0</v>
      </c>
      <c r="N149" s="624">
        <f t="shared" si="70"/>
        <v>1.0260064125400785E-2</v>
      </c>
      <c r="O149" s="624">
        <f t="shared" si="68"/>
        <v>0</v>
      </c>
      <c r="P149" s="626">
        <f t="shared" si="68"/>
        <v>0</v>
      </c>
      <c r="Q149" s="624">
        <f t="shared" si="68"/>
        <v>0</v>
      </c>
      <c r="R149" s="357"/>
      <c r="S149" s="858">
        <v>2062</v>
      </c>
      <c r="T149" s="858">
        <v>358</v>
      </c>
      <c r="U149" s="858">
        <v>2687</v>
      </c>
      <c r="V149" s="858">
        <v>1138</v>
      </c>
      <c r="W149" s="858">
        <v>412</v>
      </c>
      <c r="X149" s="858">
        <v>237</v>
      </c>
      <c r="Y149" s="859">
        <v>6894</v>
      </c>
      <c r="Z149" s="859"/>
      <c r="AA149" s="858"/>
      <c r="AB149" s="858"/>
      <c r="AC149" s="858"/>
      <c r="AD149" s="858"/>
      <c r="AE149" s="859">
        <v>144</v>
      </c>
      <c r="AF149" s="859"/>
      <c r="AG149" s="858"/>
      <c r="AH149" s="859"/>
    </row>
    <row r="150" spans="1:34">
      <c r="A150" s="883"/>
      <c r="B150" s="239" t="s">
        <v>78</v>
      </c>
      <c r="C150" s="806">
        <f t="shared" si="69"/>
        <v>9.870044415199869E-4</v>
      </c>
      <c r="D150" s="806">
        <f t="shared" si="67"/>
        <v>3.515625E-2</v>
      </c>
      <c r="E150" s="806">
        <f t="shared" si="67"/>
        <v>7.9844787702410269E-3</v>
      </c>
      <c r="F150" s="806">
        <f t="shared" si="67"/>
        <v>2.0217729393468119E-2</v>
      </c>
      <c r="G150" s="806">
        <f t="shared" si="67"/>
        <v>0.13385146804835923</v>
      </c>
      <c r="H150" s="806">
        <f t="shared" si="67"/>
        <v>2.1684737281067557E-2</v>
      </c>
      <c r="I150" s="624">
        <f t="shared" si="67"/>
        <v>1.3106352899596501E-2</v>
      </c>
      <c r="J150" s="624">
        <f t="shared" si="67"/>
        <v>0</v>
      </c>
      <c r="K150" s="625">
        <f t="shared" si="67"/>
        <v>0</v>
      </c>
      <c r="L150" s="625">
        <f t="shared" si="67"/>
        <v>0</v>
      </c>
      <c r="M150" s="625">
        <f t="shared" si="67"/>
        <v>0</v>
      </c>
      <c r="N150" s="624">
        <f t="shared" si="70"/>
        <v>0.91563947274670465</v>
      </c>
      <c r="O150" s="624">
        <f t="shared" si="68"/>
        <v>0</v>
      </c>
      <c r="P150" s="626">
        <f t="shared" si="68"/>
        <v>0</v>
      </c>
      <c r="Q150" s="624">
        <f t="shared" si="68"/>
        <v>0.98128980891719741</v>
      </c>
      <c r="R150" s="357"/>
      <c r="S150" s="858">
        <v>12</v>
      </c>
      <c r="T150" s="858">
        <v>54</v>
      </c>
      <c r="U150" s="858">
        <v>107</v>
      </c>
      <c r="V150" s="858">
        <v>91</v>
      </c>
      <c r="W150" s="858">
        <v>155</v>
      </c>
      <c r="X150" s="858">
        <v>26</v>
      </c>
      <c r="Y150" s="859">
        <v>445</v>
      </c>
      <c r="Z150" s="859"/>
      <c r="AA150" s="858"/>
      <c r="AB150" s="858"/>
      <c r="AC150" s="858"/>
      <c r="AD150" s="858"/>
      <c r="AE150" s="859">
        <v>12851</v>
      </c>
      <c r="AF150" s="859"/>
      <c r="AG150" s="858"/>
      <c r="AH150" s="859">
        <v>4930</v>
      </c>
    </row>
    <row r="151" spans="1:34">
      <c r="A151" s="884"/>
      <c r="B151" s="580" t="s">
        <v>131</v>
      </c>
      <c r="C151" s="806">
        <f t="shared" si="69"/>
        <v>0.11210725448264518</v>
      </c>
      <c r="D151" s="806">
        <f t="shared" si="67"/>
        <v>0.123046875</v>
      </c>
      <c r="E151" s="806">
        <f t="shared" si="67"/>
        <v>0.16543541526751734</v>
      </c>
      <c r="F151" s="806">
        <f t="shared" si="67"/>
        <v>0.16885136636303044</v>
      </c>
      <c r="G151" s="806">
        <f t="shared" si="67"/>
        <v>2.8497409326424871E-2</v>
      </c>
      <c r="H151" s="806">
        <f t="shared" si="67"/>
        <v>0.26188490408673892</v>
      </c>
      <c r="I151" s="624">
        <f t="shared" si="67"/>
        <v>0.14361028480546639</v>
      </c>
      <c r="J151" s="624">
        <f t="shared" si="67"/>
        <v>0</v>
      </c>
      <c r="K151" s="625">
        <f t="shared" si="67"/>
        <v>0</v>
      </c>
      <c r="L151" s="625">
        <f t="shared" si="67"/>
        <v>0</v>
      </c>
      <c r="M151" s="625">
        <f t="shared" si="67"/>
        <v>0</v>
      </c>
      <c r="N151" s="624">
        <f t="shared" si="70"/>
        <v>2.2942643391521196E-2</v>
      </c>
      <c r="O151" s="624">
        <f t="shared" si="68"/>
        <v>0</v>
      </c>
      <c r="P151" s="626">
        <f t="shared" si="68"/>
        <v>0</v>
      </c>
      <c r="Q151" s="624">
        <f t="shared" si="68"/>
        <v>1.8710191082802547E-2</v>
      </c>
      <c r="R151" s="357"/>
      <c r="S151" s="858">
        <f>1311+52</f>
        <v>1363</v>
      </c>
      <c r="T151" s="858">
        <f>173+16</f>
        <v>189</v>
      </c>
      <c r="U151" s="858">
        <f>2151+66</f>
        <v>2217</v>
      </c>
      <c r="V151" s="858">
        <f>441+319</f>
        <v>760</v>
      </c>
      <c r="W151" s="858">
        <f>8+25</f>
        <v>33</v>
      </c>
      <c r="X151" s="858">
        <f>15+299</f>
        <v>314</v>
      </c>
      <c r="Y151" s="859">
        <f>4099+777</f>
        <v>4876</v>
      </c>
      <c r="Z151" s="859"/>
      <c r="AA151" s="858"/>
      <c r="AB151" s="858"/>
      <c r="AC151" s="858"/>
      <c r="AD151" s="858"/>
      <c r="AE151" s="859">
        <f>1+321</f>
        <v>322</v>
      </c>
      <c r="AF151" s="859"/>
      <c r="AG151" s="858"/>
      <c r="AH151" s="859">
        <v>94</v>
      </c>
    </row>
    <row r="152" spans="1:34">
      <c r="A152" s="885"/>
      <c r="B152" s="436" t="s">
        <v>59</v>
      </c>
      <c r="C152" s="807">
        <f t="shared" si="69"/>
        <v>1</v>
      </c>
      <c r="D152" s="808">
        <f t="shared" si="67"/>
        <v>1</v>
      </c>
      <c r="E152" s="808">
        <f t="shared" si="67"/>
        <v>1</v>
      </c>
      <c r="F152" s="808">
        <f t="shared" si="67"/>
        <v>1</v>
      </c>
      <c r="G152" s="808">
        <f t="shared" si="67"/>
        <v>1</v>
      </c>
      <c r="H152" s="809">
        <f t="shared" si="67"/>
        <v>1</v>
      </c>
      <c r="I152" s="577">
        <f t="shared" si="67"/>
        <v>1</v>
      </c>
      <c r="J152" s="577">
        <f t="shared" si="67"/>
        <v>0</v>
      </c>
      <c r="K152" s="578">
        <f t="shared" si="67"/>
        <v>0</v>
      </c>
      <c r="L152" s="578">
        <f t="shared" si="67"/>
        <v>0</v>
      </c>
      <c r="M152" s="578">
        <f t="shared" si="67"/>
        <v>0</v>
      </c>
      <c r="N152" s="577">
        <f t="shared" si="70"/>
        <v>1</v>
      </c>
      <c r="O152" s="577">
        <f t="shared" si="68"/>
        <v>0</v>
      </c>
      <c r="P152" s="579">
        <f t="shared" si="68"/>
        <v>0</v>
      </c>
      <c r="Q152" s="577">
        <f t="shared" si="68"/>
        <v>1</v>
      </c>
      <c r="R152" s="357"/>
      <c r="S152" s="858">
        <v>12158</v>
      </c>
      <c r="T152" s="858">
        <v>1536</v>
      </c>
      <c r="U152" s="858">
        <v>13401</v>
      </c>
      <c r="V152" s="858">
        <v>4501</v>
      </c>
      <c r="W152" s="858">
        <v>1158</v>
      </c>
      <c r="X152" s="858">
        <v>1199</v>
      </c>
      <c r="Y152" s="859">
        <v>33953</v>
      </c>
      <c r="Z152" s="859"/>
      <c r="AA152" s="858"/>
      <c r="AB152" s="858"/>
      <c r="AC152" s="858"/>
      <c r="AD152" s="858"/>
      <c r="AE152" s="859">
        <v>14035</v>
      </c>
      <c r="AF152" s="859"/>
      <c r="AG152" s="858"/>
      <c r="AH152" s="859">
        <v>5024</v>
      </c>
    </row>
    <row r="153" spans="1:34">
      <c r="A153" s="882" t="s">
        <v>139</v>
      </c>
      <c r="B153" s="240" t="s">
        <v>53</v>
      </c>
      <c r="C153" s="806">
        <f>IF(S$158&gt;0,(S153/S$158),0)</f>
        <v>0.29466292134831462</v>
      </c>
      <c r="D153" s="806">
        <f t="shared" ref="D153:M158" si="71">IF(T$158&gt;0,(T153/T$158),0)</f>
        <v>0.24186390532544377</v>
      </c>
      <c r="E153" s="806">
        <f t="shared" si="71"/>
        <v>0.17857142857142858</v>
      </c>
      <c r="F153" s="806">
        <f t="shared" si="71"/>
        <v>0.24172185430463577</v>
      </c>
      <c r="G153" s="806">
        <f t="shared" si="71"/>
        <v>0.24878640776699029</v>
      </c>
      <c r="H153" s="806">
        <f t="shared" si="71"/>
        <v>0.26093514328808448</v>
      </c>
      <c r="I153" s="613">
        <f t="shared" si="71"/>
        <v>0.26573614279962421</v>
      </c>
      <c r="J153" s="613">
        <f t="shared" si="71"/>
        <v>0</v>
      </c>
      <c r="K153" s="614">
        <f t="shared" si="71"/>
        <v>0</v>
      </c>
      <c r="L153" s="614">
        <f t="shared" si="71"/>
        <v>0</v>
      </c>
      <c r="M153" s="614">
        <f t="shared" si="71"/>
        <v>0</v>
      </c>
      <c r="N153" s="613">
        <f>IF(AE$158&gt;0,(AE153/AE$158),0)</f>
        <v>0.11282843894899536</v>
      </c>
      <c r="O153" s="613">
        <f t="shared" ref="O153:Q158" si="72">IF(AF$158&gt;0,(AF153/AF$158),0)</f>
        <v>0</v>
      </c>
      <c r="P153" s="615">
        <f t="shared" si="72"/>
        <v>0</v>
      </c>
      <c r="Q153" s="613">
        <f t="shared" si="72"/>
        <v>0.51344743276283622</v>
      </c>
      <c r="R153" s="799"/>
      <c r="S153" s="856">
        <v>1049</v>
      </c>
      <c r="T153" s="856">
        <v>327</v>
      </c>
      <c r="U153" s="856">
        <v>80</v>
      </c>
      <c r="V153" s="856">
        <v>146</v>
      </c>
      <c r="W153" s="856">
        <v>205</v>
      </c>
      <c r="X153" s="856">
        <v>173</v>
      </c>
      <c r="Y153" s="857">
        <v>1980</v>
      </c>
      <c r="Z153" s="857"/>
      <c r="AA153" s="856"/>
      <c r="AB153" s="856"/>
      <c r="AC153" s="856"/>
      <c r="AD153" s="856"/>
      <c r="AE153" s="857">
        <v>73</v>
      </c>
      <c r="AF153" s="857"/>
      <c r="AG153" s="856"/>
      <c r="AH153" s="857">
        <v>420</v>
      </c>
    </row>
    <row r="154" spans="1:34">
      <c r="A154" s="883"/>
      <c r="B154" s="239" t="s">
        <v>93</v>
      </c>
      <c r="C154" s="806">
        <f t="shared" ref="C154:C158" si="73">IF(S$158&gt;0,(S154/S$158),0)</f>
        <v>0.26460674157303371</v>
      </c>
      <c r="D154" s="806">
        <f t="shared" si="71"/>
        <v>0.27440828402366862</v>
      </c>
      <c r="E154" s="806">
        <f t="shared" si="71"/>
        <v>0.16964285714285715</v>
      </c>
      <c r="F154" s="806">
        <f t="shared" si="71"/>
        <v>0.29635761589403975</v>
      </c>
      <c r="G154" s="806">
        <f t="shared" si="71"/>
        <v>0.23786407766990292</v>
      </c>
      <c r="H154" s="806">
        <f t="shared" si="71"/>
        <v>0.23831070889894421</v>
      </c>
      <c r="I154" s="624">
        <f t="shared" si="71"/>
        <v>0.25795195275801908</v>
      </c>
      <c r="J154" s="624">
        <f t="shared" si="71"/>
        <v>0</v>
      </c>
      <c r="K154" s="625">
        <f t="shared" si="71"/>
        <v>0</v>
      </c>
      <c r="L154" s="625">
        <f t="shared" si="71"/>
        <v>0</v>
      </c>
      <c r="M154" s="625">
        <f t="shared" si="71"/>
        <v>0</v>
      </c>
      <c r="N154" s="624">
        <f t="shared" ref="N154:N158" si="74">IF(AE$158&gt;0,(AE154/AE$158),0)</f>
        <v>0.14837712519319937</v>
      </c>
      <c r="O154" s="624">
        <f t="shared" si="72"/>
        <v>0</v>
      </c>
      <c r="P154" s="626">
        <f t="shared" si="72"/>
        <v>0</v>
      </c>
      <c r="Q154" s="624">
        <f t="shared" si="72"/>
        <v>4.8899755501222494E-3</v>
      </c>
      <c r="R154" s="357"/>
      <c r="S154" s="858">
        <v>942</v>
      </c>
      <c r="T154" s="858">
        <v>371</v>
      </c>
      <c r="U154" s="858">
        <v>76</v>
      </c>
      <c r="V154" s="858">
        <v>179</v>
      </c>
      <c r="W154" s="858">
        <v>196</v>
      </c>
      <c r="X154" s="858">
        <v>158</v>
      </c>
      <c r="Y154" s="859">
        <v>1922</v>
      </c>
      <c r="Z154" s="859"/>
      <c r="AA154" s="858"/>
      <c r="AB154" s="858"/>
      <c r="AC154" s="858"/>
      <c r="AD154" s="858"/>
      <c r="AE154" s="859">
        <v>96</v>
      </c>
      <c r="AF154" s="859"/>
      <c r="AG154" s="858"/>
      <c r="AH154" s="859">
        <v>4</v>
      </c>
    </row>
    <row r="155" spans="1:34">
      <c r="A155" s="883"/>
      <c r="B155" s="239" t="s">
        <v>55</v>
      </c>
      <c r="C155" s="806">
        <f t="shared" si="73"/>
        <v>0.19297752808988763</v>
      </c>
      <c r="D155" s="806">
        <f t="shared" si="71"/>
        <v>0.25591715976331358</v>
      </c>
      <c r="E155" s="806">
        <f t="shared" si="71"/>
        <v>0.18303571428571427</v>
      </c>
      <c r="F155" s="806">
        <f t="shared" si="71"/>
        <v>0.31125827814569534</v>
      </c>
      <c r="G155" s="806">
        <f t="shared" si="71"/>
        <v>0.27063106796116504</v>
      </c>
      <c r="H155" s="806">
        <f t="shared" si="71"/>
        <v>0.26998491704374056</v>
      </c>
      <c r="I155" s="624">
        <f t="shared" si="71"/>
        <v>0.22882834518856529</v>
      </c>
      <c r="J155" s="624">
        <f t="shared" si="71"/>
        <v>0</v>
      </c>
      <c r="K155" s="625">
        <f t="shared" si="71"/>
        <v>0</v>
      </c>
      <c r="L155" s="625">
        <f t="shared" si="71"/>
        <v>0</v>
      </c>
      <c r="M155" s="625">
        <f t="shared" si="71"/>
        <v>0</v>
      </c>
      <c r="N155" s="624">
        <f t="shared" si="74"/>
        <v>8.1916537867078823E-2</v>
      </c>
      <c r="O155" s="624">
        <f t="shared" si="72"/>
        <v>0</v>
      </c>
      <c r="P155" s="626">
        <f t="shared" si="72"/>
        <v>0</v>
      </c>
      <c r="Q155" s="624">
        <f t="shared" si="72"/>
        <v>1.2224938875305623E-3</v>
      </c>
      <c r="R155" s="357"/>
      <c r="S155" s="858">
        <v>687</v>
      </c>
      <c r="T155" s="858">
        <v>346</v>
      </c>
      <c r="U155" s="858">
        <v>82</v>
      </c>
      <c r="V155" s="858">
        <v>188</v>
      </c>
      <c r="W155" s="858">
        <v>223</v>
      </c>
      <c r="X155" s="858">
        <v>179</v>
      </c>
      <c r="Y155" s="859">
        <v>1705</v>
      </c>
      <c r="Z155" s="859"/>
      <c r="AA155" s="858"/>
      <c r="AB155" s="858"/>
      <c r="AC155" s="858"/>
      <c r="AD155" s="858"/>
      <c r="AE155" s="859">
        <v>53</v>
      </c>
      <c r="AF155" s="859"/>
      <c r="AG155" s="858"/>
      <c r="AH155" s="859">
        <v>1</v>
      </c>
    </row>
    <row r="156" spans="1:34">
      <c r="A156" s="883"/>
      <c r="B156" s="239" t="s">
        <v>78</v>
      </c>
      <c r="C156" s="806">
        <f t="shared" si="73"/>
        <v>0.14943820224719101</v>
      </c>
      <c r="D156" s="806">
        <f t="shared" si="71"/>
        <v>0.1856508875739645</v>
      </c>
      <c r="E156" s="806">
        <f t="shared" si="71"/>
        <v>0.4107142857142857</v>
      </c>
      <c r="F156" s="806">
        <f t="shared" si="71"/>
        <v>5.6291390728476824E-2</v>
      </c>
      <c r="G156" s="806">
        <f t="shared" si="71"/>
        <v>1.5776699029126214E-2</v>
      </c>
      <c r="H156" s="806">
        <f t="shared" si="71"/>
        <v>0.14328808446455504</v>
      </c>
      <c r="I156" s="624">
        <f t="shared" si="71"/>
        <v>0.14883908200241577</v>
      </c>
      <c r="J156" s="624">
        <f t="shared" si="71"/>
        <v>0</v>
      </c>
      <c r="K156" s="625">
        <f t="shared" si="71"/>
        <v>0</v>
      </c>
      <c r="L156" s="625">
        <f t="shared" si="71"/>
        <v>0</v>
      </c>
      <c r="M156" s="625">
        <f t="shared" si="71"/>
        <v>0</v>
      </c>
      <c r="N156" s="624">
        <f t="shared" si="74"/>
        <v>0.12519319938176199</v>
      </c>
      <c r="O156" s="624">
        <f t="shared" si="72"/>
        <v>0</v>
      </c>
      <c r="P156" s="626">
        <f t="shared" si="72"/>
        <v>0</v>
      </c>
      <c r="Q156" s="624">
        <f t="shared" si="72"/>
        <v>0.21882640586797067</v>
      </c>
      <c r="R156" s="357"/>
      <c r="S156" s="858">
        <v>532</v>
      </c>
      <c r="T156" s="858">
        <v>251</v>
      </c>
      <c r="U156" s="858">
        <v>184</v>
      </c>
      <c r="V156" s="858">
        <v>34</v>
      </c>
      <c r="W156" s="858">
        <v>13</v>
      </c>
      <c r="X156" s="858">
        <v>95</v>
      </c>
      <c r="Y156" s="859">
        <v>1109</v>
      </c>
      <c r="Z156" s="859"/>
      <c r="AA156" s="858"/>
      <c r="AB156" s="858"/>
      <c r="AC156" s="858"/>
      <c r="AD156" s="858"/>
      <c r="AE156" s="859">
        <v>81</v>
      </c>
      <c r="AF156" s="859"/>
      <c r="AG156" s="858"/>
      <c r="AH156" s="859">
        <v>179</v>
      </c>
    </row>
    <row r="157" spans="1:34">
      <c r="A157" s="884"/>
      <c r="B157" s="580" t="s">
        <v>131</v>
      </c>
      <c r="C157" s="806">
        <f t="shared" si="73"/>
        <v>9.8314606741573038E-2</v>
      </c>
      <c r="D157" s="806">
        <f t="shared" si="71"/>
        <v>4.2159763313609468E-2</v>
      </c>
      <c r="E157" s="806">
        <f t="shared" si="71"/>
        <v>5.8035714285714288E-2</v>
      </c>
      <c r="F157" s="806">
        <f t="shared" si="71"/>
        <v>9.4370860927152314E-2</v>
      </c>
      <c r="G157" s="806">
        <f t="shared" si="71"/>
        <v>0.22694174757281554</v>
      </c>
      <c r="H157" s="806">
        <f t="shared" si="71"/>
        <v>8.7481146304675711E-2</v>
      </c>
      <c r="I157" s="624">
        <f t="shared" si="71"/>
        <v>9.8644477251375651E-2</v>
      </c>
      <c r="J157" s="624">
        <f t="shared" si="71"/>
        <v>0</v>
      </c>
      <c r="K157" s="625">
        <f t="shared" si="71"/>
        <v>0</v>
      </c>
      <c r="L157" s="625">
        <f t="shared" si="71"/>
        <v>0</v>
      </c>
      <c r="M157" s="625">
        <f t="shared" si="71"/>
        <v>0</v>
      </c>
      <c r="N157" s="624">
        <f t="shared" si="74"/>
        <v>0.5316846986089645</v>
      </c>
      <c r="O157" s="624">
        <f t="shared" si="72"/>
        <v>0</v>
      </c>
      <c r="P157" s="626">
        <f t="shared" si="72"/>
        <v>0</v>
      </c>
      <c r="Q157" s="624">
        <f t="shared" si="72"/>
        <v>0.26161369193154033</v>
      </c>
      <c r="R157" s="357"/>
      <c r="S157" s="858">
        <f>184+166</f>
        <v>350</v>
      </c>
      <c r="T157" s="858">
        <v>57</v>
      </c>
      <c r="U157" s="858">
        <v>26</v>
      </c>
      <c r="V157" s="858">
        <f>28+29</f>
        <v>57</v>
      </c>
      <c r="W157" s="858">
        <f>122+65</f>
        <v>187</v>
      </c>
      <c r="X157" s="858">
        <f>31+27</f>
        <v>58</v>
      </c>
      <c r="Y157" s="859">
        <f>448+287</f>
        <v>735</v>
      </c>
      <c r="Z157" s="859"/>
      <c r="AA157" s="858"/>
      <c r="AB157" s="858"/>
      <c r="AC157" s="858"/>
      <c r="AD157" s="858"/>
      <c r="AE157" s="859">
        <v>344</v>
      </c>
      <c r="AF157" s="859"/>
      <c r="AG157" s="858"/>
      <c r="AH157" s="859">
        <v>214</v>
      </c>
    </row>
    <row r="158" spans="1:34">
      <c r="A158" s="885"/>
      <c r="B158" s="436" t="s">
        <v>59</v>
      </c>
      <c r="C158" s="807">
        <f t="shared" si="73"/>
        <v>1</v>
      </c>
      <c r="D158" s="808">
        <f t="shared" si="71"/>
        <v>1</v>
      </c>
      <c r="E158" s="808">
        <f t="shared" si="71"/>
        <v>1</v>
      </c>
      <c r="F158" s="808">
        <f t="shared" si="71"/>
        <v>1</v>
      </c>
      <c r="G158" s="808">
        <f t="shared" si="71"/>
        <v>1</v>
      </c>
      <c r="H158" s="809">
        <f t="shared" si="71"/>
        <v>1</v>
      </c>
      <c r="I158" s="577">
        <f t="shared" si="71"/>
        <v>1</v>
      </c>
      <c r="J158" s="577">
        <f t="shared" si="71"/>
        <v>0</v>
      </c>
      <c r="K158" s="578">
        <f t="shared" si="71"/>
        <v>0</v>
      </c>
      <c r="L158" s="578">
        <f t="shared" si="71"/>
        <v>0</v>
      </c>
      <c r="M158" s="578">
        <f t="shared" si="71"/>
        <v>0</v>
      </c>
      <c r="N158" s="577">
        <f t="shared" si="74"/>
        <v>1</v>
      </c>
      <c r="O158" s="577">
        <f t="shared" si="72"/>
        <v>0</v>
      </c>
      <c r="P158" s="579">
        <f t="shared" si="72"/>
        <v>0</v>
      </c>
      <c r="Q158" s="577">
        <f t="shared" si="72"/>
        <v>1</v>
      </c>
      <c r="R158" s="357"/>
      <c r="S158" s="858">
        <v>3560</v>
      </c>
      <c r="T158" s="858">
        <v>1352</v>
      </c>
      <c r="U158" s="858">
        <v>448</v>
      </c>
      <c r="V158" s="858">
        <v>604</v>
      </c>
      <c r="W158" s="858">
        <v>824</v>
      </c>
      <c r="X158" s="858">
        <v>663</v>
      </c>
      <c r="Y158" s="859">
        <v>7451</v>
      </c>
      <c r="Z158" s="859"/>
      <c r="AA158" s="858"/>
      <c r="AB158" s="858"/>
      <c r="AC158" s="858"/>
      <c r="AD158" s="858"/>
      <c r="AE158" s="859">
        <v>647</v>
      </c>
      <c r="AF158" s="859"/>
      <c r="AG158" s="858"/>
      <c r="AH158" s="859">
        <v>818</v>
      </c>
    </row>
    <row r="159" spans="1:34">
      <c r="A159" s="882" t="s">
        <v>141</v>
      </c>
      <c r="B159" s="240" t="s">
        <v>53</v>
      </c>
      <c r="C159" s="806">
        <f>IF(S$164&gt;0,(S159/S$164),0)</f>
        <v>0.36818588025022342</v>
      </c>
      <c r="D159" s="806">
        <f t="shared" ref="D159:M164" si="75">IF(T$164&gt;0,(T159/T$164),0)</f>
        <v>0</v>
      </c>
      <c r="E159" s="806">
        <f t="shared" si="75"/>
        <v>0.16111111111111112</v>
      </c>
      <c r="F159" s="806">
        <f t="shared" si="75"/>
        <v>0.25165562913907286</v>
      </c>
      <c r="G159" s="806">
        <f t="shared" si="75"/>
        <v>0</v>
      </c>
      <c r="H159" s="806">
        <f t="shared" si="75"/>
        <v>0.25531914893617019</v>
      </c>
      <c r="I159" s="613">
        <f t="shared" si="75"/>
        <v>0.31319290465631927</v>
      </c>
      <c r="J159" s="613">
        <f t="shared" si="75"/>
        <v>0</v>
      </c>
      <c r="K159" s="614">
        <f t="shared" si="75"/>
        <v>0</v>
      </c>
      <c r="L159" s="614">
        <f t="shared" si="75"/>
        <v>0</v>
      </c>
      <c r="M159" s="614">
        <f t="shared" si="75"/>
        <v>0</v>
      </c>
      <c r="N159" s="613">
        <f>IF(AE$164&gt;0,(AE159/AE$164),0)</f>
        <v>0.22493573264781491</v>
      </c>
      <c r="O159" s="613">
        <f t="shared" ref="O159:Q164" si="76">IF(AF$164&gt;0,(AF159/AF$164),0)</f>
        <v>0</v>
      </c>
      <c r="P159" s="615">
        <f t="shared" si="76"/>
        <v>0</v>
      </c>
      <c r="Q159" s="613">
        <f t="shared" si="76"/>
        <v>0</v>
      </c>
      <c r="R159" s="799"/>
      <c r="S159" s="856">
        <v>412</v>
      </c>
      <c r="T159" s="856"/>
      <c r="U159" s="856">
        <v>29</v>
      </c>
      <c r="V159" s="856">
        <v>76</v>
      </c>
      <c r="W159" s="856"/>
      <c r="X159" s="856">
        <v>48</v>
      </c>
      <c r="Y159" s="857">
        <v>565</v>
      </c>
      <c r="Z159" s="857"/>
      <c r="AA159" s="856"/>
      <c r="AB159" s="856"/>
      <c r="AC159" s="856"/>
      <c r="AD159" s="856"/>
      <c r="AE159" s="857">
        <v>175</v>
      </c>
      <c r="AF159" s="857"/>
      <c r="AG159" s="856"/>
      <c r="AH159" s="857"/>
    </row>
    <row r="160" spans="1:34">
      <c r="A160" s="883"/>
      <c r="B160" s="239" t="s">
        <v>93</v>
      </c>
      <c r="C160" s="806">
        <f t="shared" ref="C160:C164" si="77">IF(S$164&gt;0,(S160/S$164),0)</f>
        <v>0.28865058087578194</v>
      </c>
      <c r="D160" s="806">
        <f t="shared" si="75"/>
        <v>0</v>
      </c>
      <c r="E160" s="806">
        <f t="shared" si="75"/>
        <v>0.31111111111111112</v>
      </c>
      <c r="F160" s="806">
        <f t="shared" si="75"/>
        <v>0.38410596026490068</v>
      </c>
      <c r="G160" s="806">
        <f t="shared" si="75"/>
        <v>0</v>
      </c>
      <c r="H160" s="806">
        <f t="shared" si="75"/>
        <v>0.30319148936170215</v>
      </c>
      <c r="I160" s="624">
        <f t="shared" si="75"/>
        <v>0.30598669623059865</v>
      </c>
      <c r="J160" s="624">
        <f t="shared" si="75"/>
        <v>0</v>
      </c>
      <c r="K160" s="625">
        <f t="shared" si="75"/>
        <v>0</v>
      </c>
      <c r="L160" s="625">
        <f t="shared" si="75"/>
        <v>0</v>
      </c>
      <c r="M160" s="625">
        <f t="shared" si="75"/>
        <v>0</v>
      </c>
      <c r="N160" s="624">
        <f t="shared" ref="N160:N164" si="78">IF(AE$164&gt;0,(AE160/AE$164),0)</f>
        <v>0.13881748071979436</v>
      </c>
      <c r="O160" s="624">
        <f t="shared" si="76"/>
        <v>0</v>
      </c>
      <c r="P160" s="626">
        <f t="shared" si="76"/>
        <v>0</v>
      </c>
      <c r="Q160" s="624">
        <f t="shared" si="76"/>
        <v>0</v>
      </c>
      <c r="R160" s="357"/>
      <c r="S160" s="858">
        <v>323</v>
      </c>
      <c r="T160" s="858"/>
      <c r="U160" s="858">
        <v>56</v>
      </c>
      <c r="V160" s="858">
        <v>116</v>
      </c>
      <c r="W160" s="858"/>
      <c r="X160" s="858">
        <v>57</v>
      </c>
      <c r="Y160" s="859">
        <v>552</v>
      </c>
      <c r="Z160" s="859"/>
      <c r="AA160" s="858"/>
      <c r="AB160" s="858"/>
      <c r="AC160" s="858"/>
      <c r="AD160" s="858"/>
      <c r="AE160" s="859">
        <v>108</v>
      </c>
      <c r="AF160" s="859"/>
      <c r="AG160" s="858"/>
      <c r="AH160" s="859"/>
    </row>
    <row r="161" spans="1:34">
      <c r="A161" s="883"/>
      <c r="B161" s="239" t="s">
        <v>55</v>
      </c>
      <c r="C161" s="806">
        <f t="shared" si="77"/>
        <v>0.22966934763181412</v>
      </c>
      <c r="D161" s="806">
        <f t="shared" si="75"/>
        <v>0</v>
      </c>
      <c r="E161" s="806">
        <f t="shared" si="75"/>
        <v>0.3</v>
      </c>
      <c r="F161" s="806">
        <f t="shared" si="75"/>
        <v>0.2119205298013245</v>
      </c>
      <c r="G161" s="806">
        <f t="shared" si="75"/>
        <v>0</v>
      </c>
      <c r="H161" s="806">
        <f t="shared" si="75"/>
        <v>0.36170212765957449</v>
      </c>
      <c r="I161" s="624">
        <f t="shared" si="75"/>
        <v>0.24556541019955655</v>
      </c>
      <c r="J161" s="624">
        <f t="shared" si="75"/>
        <v>0</v>
      </c>
      <c r="K161" s="625">
        <f t="shared" si="75"/>
        <v>0</v>
      </c>
      <c r="L161" s="625">
        <f t="shared" si="75"/>
        <v>0</v>
      </c>
      <c r="M161" s="625">
        <f t="shared" si="75"/>
        <v>0</v>
      </c>
      <c r="N161" s="624">
        <f t="shared" si="78"/>
        <v>0.2647814910025707</v>
      </c>
      <c r="O161" s="624">
        <f t="shared" si="76"/>
        <v>0</v>
      </c>
      <c r="P161" s="626">
        <f t="shared" si="76"/>
        <v>0</v>
      </c>
      <c r="Q161" s="624">
        <f t="shared" si="76"/>
        <v>0</v>
      </c>
      <c r="R161" s="357"/>
      <c r="S161" s="858">
        <v>257</v>
      </c>
      <c r="T161" s="858"/>
      <c r="U161" s="858">
        <v>54</v>
      </c>
      <c r="V161" s="858">
        <v>64</v>
      </c>
      <c r="W161" s="858"/>
      <c r="X161" s="858">
        <v>68</v>
      </c>
      <c r="Y161" s="859">
        <v>443</v>
      </c>
      <c r="Z161" s="859"/>
      <c r="AA161" s="858"/>
      <c r="AB161" s="858"/>
      <c r="AC161" s="858"/>
      <c r="AD161" s="858"/>
      <c r="AE161" s="859">
        <v>206</v>
      </c>
      <c r="AF161" s="859"/>
      <c r="AG161" s="858"/>
      <c r="AH161" s="859"/>
    </row>
    <row r="162" spans="1:34">
      <c r="A162" s="883"/>
      <c r="B162" s="239" t="s">
        <v>78</v>
      </c>
      <c r="C162" s="806">
        <f t="shared" si="77"/>
        <v>0.11349419124218052</v>
      </c>
      <c r="D162" s="806">
        <f t="shared" si="75"/>
        <v>0</v>
      </c>
      <c r="E162" s="806">
        <f t="shared" si="75"/>
        <v>0.1388888888888889</v>
      </c>
      <c r="F162" s="806">
        <f t="shared" si="75"/>
        <v>9.9337748344370855E-2</v>
      </c>
      <c r="G162" s="806">
        <f t="shared" si="75"/>
        <v>0</v>
      </c>
      <c r="H162" s="806">
        <f t="shared" si="75"/>
        <v>5.3191489361702128E-2</v>
      </c>
      <c r="I162" s="624">
        <f t="shared" si="75"/>
        <v>0.10643015521064302</v>
      </c>
      <c r="J162" s="624">
        <f t="shared" si="75"/>
        <v>0</v>
      </c>
      <c r="K162" s="625">
        <f t="shared" si="75"/>
        <v>0</v>
      </c>
      <c r="L162" s="625">
        <f t="shared" si="75"/>
        <v>0</v>
      </c>
      <c r="M162" s="625">
        <f t="shared" si="75"/>
        <v>0</v>
      </c>
      <c r="N162" s="624">
        <f t="shared" si="78"/>
        <v>0.31362467866323906</v>
      </c>
      <c r="O162" s="624">
        <f t="shared" si="76"/>
        <v>0</v>
      </c>
      <c r="P162" s="626">
        <f t="shared" si="76"/>
        <v>0</v>
      </c>
      <c r="Q162" s="624">
        <f t="shared" si="76"/>
        <v>0</v>
      </c>
      <c r="R162" s="357"/>
      <c r="S162" s="858">
        <v>127</v>
      </c>
      <c r="T162" s="858"/>
      <c r="U162" s="858">
        <v>25</v>
      </c>
      <c r="V162" s="858">
        <v>30</v>
      </c>
      <c r="W162" s="858"/>
      <c r="X162" s="858">
        <v>10</v>
      </c>
      <c r="Y162" s="859">
        <v>192</v>
      </c>
      <c r="Z162" s="859"/>
      <c r="AA162" s="858"/>
      <c r="AB162" s="858"/>
      <c r="AC162" s="858"/>
      <c r="AD162" s="858"/>
      <c r="AE162" s="859">
        <v>244</v>
      </c>
      <c r="AF162" s="859"/>
      <c r="AG162" s="858"/>
      <c r="AH162" s="859"/>
    </row>
    <row r="163" spans="1:34">
      <c r="A163" s="884"/>
      <c r="B163" s="580" t="s">
        <v>131</v>
      </c>
      <c r="C163" s="806">
        <f t="shared" si="77"/>
        <v>0</v>
      </c>
      <c r="D163" s="806">
        <f t="shared" si="75"/>
        <v>0</v>
      </c>
      <c r="E163" s="806">
        <f t="shared" si="75"/>
        <v>8.8888888888888892E-2</v>
      </c>
      <c r="F163" s="806">
        <f t="shared" si="75"/>
        <v>5.2980132450331126E-2</v>
      </c>
      <c r="G163" s="806">
        <f t="shared" si="75"/>
        <v>1</v>
      </c>
      <c r="H163" s="806">
        <f t="shared" si="75"/>
        <v>2.6595744680851064E-2</v>
      </c>
      <c r="I163" s="624">
        <f t="shared" si="75"/>
        <v>2.8824833702882482E-2</v>
      </c>
      <c r="J163" s="624">
        <f t="shared" si="75"/>
        <v>0</v>
      </c>
      <c r="K163" s="625">
        <f t="shared" si="75"/>
        <v>0</v>
      </c>
      <c r="L163" s="625">
        <f t="shared" si="75"/>
        <v>0</v>
      </c>
      <c r="M163" s="625">
        <f t="shared" si="75"/>
        <v>0</v>
      </c>
      <c r="N163" s="624">
        <f t="shared" si="78"/>
        <v>5.7840616966580979E-2</v>
      </c>
      <c r="O163" s="624">
        <f t="shared" si="76"/>
        <v>0</v>
      </c>
      <c r="P163" s="626">
        <f t="shared" si="76"/>
        <v>0</v>
      </c>
      <c r="Q163" s="624">
        <f t="shared" si="76"/>
        <v>0</v>
      </c>
      <c r="R163" s="357"/>
      <c r="S163" s="858"/>
      <c r="T163" s="858"/>
      <c r="U163" s="858">
        <v>16</v>
      </c>
      <c r="V163" s="858">
        <v>16</v>
      </c>
      <c r="W163" s="858">
        <f>0+15</f>
        <v>15</v>
      </c>
      <c r="X163" s="858">
        <f>0+5</f>
        <v>5</v>
      </c>
      <c r="Y163" s="859">
        <f>32+20</f>
        <v>52</v>
      </c>
      <c r="Z163" s="859"/>
      <c r="AA163" s="858"/>
      <c r="AB163" s="858"/>
      <c r="AC163" s="858"/>
      <c r="AD163" s="858"/>
      <c r="AE163" s="859">
        <v>45</v>
      </c>
      <c r="AF163" s="859"/>
      <c r="AG163" s="858"/>
      <c r="AH163" s="859"/>
    </row>
    <row r="164" spans="1:34">
      <c r="A164" s="885"/>
      <c r="B164" s="436" t="s">
        <v>59</v>
      </c>
      <c r="C164" s="807">
        <f t="shared" si="77"/>
        <v>1</v>
      </c>
      <c r="D164" s="808">
        <f t="shared" si="75"/>
        <v>0</v>
      </c>
      <c r="E164" s="808">
        <f t="shared" si="75"/>
        <v>1</v>
      </c>
      <c r="F164" s="808">
        <f t="shared" si="75"/>
        <v>1</v>
      </c>
      <c r="G164" s="808">
        <f t="shared" si="75"/>
        <v>1</v>
      </c>
      <c r="H164" s="809">
        <f t="shared" si="75"/>
        <v>1</v>
      </c>
      <c r="I164" s="577">
        <f t="shared" si="75"/>
        <v>1</v>
      </c>
      <c r="J164" s="577">
        <f t="shared" si="75"/>
        <v>0</v>
      </c>
      <c r="K164" s="578">
        <f t="shared" si="75"/>
        <v>0</v>
      </c>
      <c r="L164" s="578">
        <f t="shared" si="75"/>
        <v>0</v>
      </c>
      <c r="M164" s="578">
        <f t="shared" si="75"/>
        <v>0</v>
      </c>
      <c r="N164" s="577">
        <f t="shared" si="78"/>
        <v>1</v>
      </c>
      <c r="O164" s="577">
        <f t="shared" si="76"/>
        <v>0</v>
      </c>
      <c r="P164" s="579">
        <f t="shared" si="76"/>
        <v>0</v>
      </c>
      <c r="Q164" s="577">
        <f t="shared" si="76"/>
        <v>0</v>
      </c>
      <c r="R164" s="357"/>
      <c r="S164" s="858">
        <v>1119</v>
      </c>
      <c r="T164" s="858"/>
      <c r="U164" s="858">
        <v>180</v>
      </c>
      <c r="V164" s="858">
        <v>302</v>
      </c>
      <c r="W164" s="858">
        <v>15</v>
      </c>
      <c r="X164" s="858">
        <v>188</v>
      </c>
      <c r="Y164" s="859">
        <v>1804</v>
      </c>
      <c r="Z164" s="859"/>
      <c r="AA164" s="858"/>
      <c r="AB164" s="858"/>
      <c r="AC164" s="858"/>
      <c r="AD164" s="858"/>
      <c r="AE164" s="859">
        <v>778</v>
      </c>
      <c r="AF164" s="859"/>
      <c r="AG164" s="858"/>
      <c r="AH164" s="859"/>
    </row>
    <row r="165" spans="1:34">
      <c r="A165" s="882" t="s">
        <v>143</v>
      </c>
      <c r="B165" s="240" t="s">
        <v>53</v>
      </c>
      <c r="C165" s="806">
        <f>IF(S$170&gt;0,(S165/S$170),0)</f>
        <v>0</v>
      </c>
      <c r="D165" s="806">
        <f t="shared" ref="D165:M170" si="79">IF(T$170&gt;0,(T165/T$170),0)</f>
        <v>0.28021486123545208</v>
      </c>
      <c r="E165" s="806">
        <f t="shared" si="79"/>
        <v>0.2378138847858198</v>
      </c>
      <c r="F165" s="806">
        <f t="shared" si="79"/>
        <v>0.25471698113207547</v>
      </c>
      <c r="G165" s="806">
        <f t="shared" si="79"/>
        <v>0</v>
      </c>
      <c r="H165" s="806">
        <f t="shared" si="79"/>
        <v>0.11573472041612484</v>
      </c>
      <c r="I165" s="613">
        <f t="shared" si="79"/>
        <v>0.22105657549644062</v>
      </c>
      <c r="J165" s="613">
        <f t="shared" si="79"/>
        <v>0</v>
      </c>
      <c r="K165" s="614">
        <f t="shared" si="79"/>
        <v>0</v>
      </c>
      <c r="L165" s="614">
        <f t="shared" si="79"/>
        <v>0</v>
      </c>
      <c r="M165" s="614">
        <f t="shared" si="79"/>
        <v>0</v>
      </c>
      <c r="N165" s="613">
        <f>IF(AE$170&gt;0,(AE165/AE$170),0)</f>
        <v>0.11702127659574468</v>
      </c>
      <c r="O165" s="613">
        <f t="shared" ref="O165:Q170" si="80">IF(AF$170&gt;0,(AF165/AF$170),0)</f>
        <v>0</v>
      </c>
      <c r="P165" s="615">
        <f t="shared" si="80"/>
        <v>0</v>
      </c>
      <c r="Q165" s="613">
        <f t="shared" si="80"/>
        <v>0</v>
      </c>
      <c r="R165" s="799"/>
      <c r="S165" s="856"/>
      <c r="T165" s="856">
        <v>313</v>
      </c>
      <c r="U165" s="856">
        <v>161</v>
      </c>
      <c r="V165" s="856">
        <v>27</v>
      </c>
      <c r="W165" s="856"/>
      <c r="X165" s="856">
        <v>89</v>
      </c>
      <c r="Y165" s="857">
        <v>590</v>
      </c>
      <c r="Z165" s="857"/>
      <c r="AA165" s="856"/>
      <c r="AB165" s="856"/>
      <c r="AC165" s="856"/>
      <c r="AD165" s="856"/>
      <c r="AE165" s="857">
        <v>55</v>
      </c>
      <c r="AF165" s="857"/>
      <c r="AG165" s="856"/>
      <c r="AH165" s="857"/>
    </row>
    <row r="166" spans="1:34">
      <c r="A166" s="883"/>
      <c r="B166" s="239" t="s">
        <v>93</v>
      </c>
      <c r="C166" s="806">
        <f t="shared" ref="C166:C170" si="81">IF(S$170&gt;0,(S166/S$170),0)</f>
        <v>0</v>
      </c>
      <c r="D166" s="806">
        <f t="shared" si="79"/>
        <v>0.21217547000895254</v>
      </c>
      <c r="E166" s="806">
        <f t="shared" si="79"/>
        <v>0.30723781388478583</v>
      </c>
      <c r="F166" s="806">
        <f t="shared" si="79"/>
        <v>0.3867924528301887</v>
      </c>
      <c r="G166" s="806">
        <f t="shared" si="79"/>
        <v>0</v>
      </c>
      <c r="H166" s="806">
        <f t="shared" si="79"/>
        <v>5.4616384915474644E-2</v>
      </c>
      <c r="I166" s="624">
        <f t="shared" si="79"/>
        <v>0.19782690146122142</v>
      </c>
      <c r="J166" s="624">
        <f t="shared" si="79"/>
        <v>0</v>
      </c>
      <c r="K166" s="625">
        <f t="shared" si="79"/>
        <v>0</v>
      </c>
      <c r="L166" s="625">
        <f t="shared" si="79"/>
        <v>0</v>
      </c>
      <c r="M166" s="625">
        <f t="shared" si="79"/>
        <v>0</v>
      </c>
      <c r="N166" s="624">
        <f t="shared" ref="N166:N170" si="82">IF(AE$170&gt;0,(AE166/AE$170),0)</f>
        <v>5.3191489361702128E-2</v>
      </c>
      <c r="O166" s="624">
        <f t="shared" si="80"/>
        <v>0</v>
      </c>
      <c r="P166" s="626">
        <f t="shared" si="80"/>
        <v>0</v>
      </c>
      <c r="Q166" s="624">
        <f t="shared" si="80"/>
        <v>0</v>
      </c>
      <c r="R166" s="357"/>
      <c r="S166" s="858"/>
      <c r="T166" s="858">
        <v>237</v>
      </c>
      <c r="U166" s="858">
        <v>208</v>
      </c>
      <c r="V166" s="858">
        <v>41</v>
      </c>
      <c r="W166" s="858"/>
      <c r="X166" s="858">
        <v>42</v>
      </c>
      <c r="Y166" s="859">
        <v>528</v>
      </c>
      <c r="Z166" s="859"/>
      <c r="AA166" s="858"/>
      <c r="AB166" s="858"/>
      <c r="AC166" s="858"/>
      <c r="AD166" s="858"/>
      <c r="AE166" s="859">
        <v>25</v>
      </c>
      <c r="AF166" s="859"/>
      <c r="AG166" s="858"/>
      <c r="AH166" s="859"/>
    </row>
    <row r="167" spans="1:34">
      <c r="A167" s="883"/>
      <c r="B167" s="239" t="s">
        <v>55</v>
      </c>
      <c r="C167" s="806">
        <f t="shared" si="81"/>
        <v>0</v>
      </c>
      <c r="D167" s="806">
        <f t="shared" si="79"/>
        <v>0.28111011638316918</v>
      </c>
      <c r="E167" s="806">
        <f t="shared" si="79"/>
        <v>0.2274741506646972</v>
      </c>
      <c r="F167" s="806">
        <f t="shared" si="79"/>
        <v>0.30188679245283018</v>
      </c>
      <c r="G167" s="806">
        <f t="shared" si="79"/>
        <v>0</v>
      </c>
      <c r="H167" s="806">
        <f t="shared" si="79"/>
        <v>0.10013003901170352</v>
      </c>
      <c r="I167" s="624">
        <f t="shared" si="79"/>
        <v>0.21618583739228175</v>
      </c>
      <c r="J167" s="624">
        <f t="shared" si="79"/>
        <v>0</v>
      </c>
      <c r="K167" s="625">
        <f t="shared" si="79"/>
        <v>0</v>
      </c>
      <c r="L167" s="625">
        <f t="shared" si="79"/>
        <v>0</v>
      </c>
      <c r="M167" s="625">
        <f t="shared" si="79"/>
        <v>0</v>
      </c>
      <c r="N167" s="624">
        <f t="shared" si="82"/>
        <v>0.2148936170212766</v>
      </c>
      <c r="O167" s="624">
        <f t="shared" si="80"/>
        <v>0</v>
      </c>
      <c r="P167" s="626">
        <f t="shared" si="80"/>
        <v>0</v>
      </c>
      <c r="Q167" s="624">
        <f t="shared" si="80"/>
        <v>0</v>
      </c>
      <c r="R167" s="357"/>
      <c r="S167" s="858"/>
      <c r="T167" s="858">
        <v>314</v>
      </c>
      <c r="U167" s="858">
        <v>154</v>
      </c>
      <c r="V167" s="858">
        <v>32</v>
      </c>
      <c r="W167" s="858"/>
      <c r="X167" s="858">
        <v>77</v>
      </c>
      <c r="Y167" s="859">
        <v>577</v>
      </c>
      <c r="Z167" s="859"/>
      <c r="AA167" s="858"/>
      <c r="AB167" s="858"/>
      <c r="AC167" s="858"/>
      <c r="AD167" s="858"/>
      <c r="AE167" s="859">
        <v>101</v>
      </c>
      <c r="AF167" s="859"/>
      <c r="AG167" s="858"/>
      <c r="AH167" s="859"/>
    </row>
    <row r="168" spans="1:34">
      <c r="A168" s="883"/>
      <c r="B168" s="239" t="s">
        <v>78</v>
      </c>
      <c r="C168" s="806">
        <f t="shared" si="81"/>
        <v>0</v>
      </c>
      <c r="D168" s="806">
        <f t="shared" si="79"/>
        <v>0.10295434198746643</v>
      </c>
      <c r="E168" s="806">
        <f t="shared" si="79"/>
        <v>1.03397341211226E-2</v>
      </c>
      <c r="F168" s="806">
        <f t="shared" si="79"/>
        <v>5.6603773584905662E-2</v>
      </c>
      <c r="G168" s="806">
        <f t="shared" si="79"/>
        <v>0</v>
      </c>
      <c r="H168" s="806">
        <f t="shared" si="79"/>
        <v>5.071521456436931E-2</v>
      </c>
      <c r="I168" s="624">
        <f t="shared" si="79"/>
        <v>6.2570251030348439E-2</v>
      </c>
      <c r="J168" s="624">
        <f t="shared" si="79"/>
        <v>0</v>
      </c>
      <c r="K168" s="625">
        <f t="shared" si="79"/>
        <v>0</v>
      </c>
      <c r="L168" s="625">
        <f t="shared" si="79"/>
        <v>0</v>
      </c>
      <c r="M168" s="625">
        <f t="shared" si="79"/>
        <v>0</v>
      </c>
      <c r="N168" s="624">
        <f t="shared" si="82"/>
        <v>0.60425531914893615</v>
      </c>
      <c r="O168" s="624">
        <f t="shared" si="80"/>
        <v>0</v>
      </c>
      <c r="P168" s="626">
        <f t="shared" si="80"/>
        <v>0</v>
      </c>
      <c r="Q168" s="624">
        <f t="shared" si="80"/>
        <v>1</v>
      </c>
      <c r="R168" s="357"/>
      <c r="S168" s="858"/>
      <c r="T168" s="858">
        <v>115</v>
      </c>
      <c r="U168" s="858">
        <v>7</v>
      </c>
      <c r="V168" s="858">
        <v>6</v>
      </c>
      <c r="W168" s="858"/>
      <c r="X168" s="858">
        <v>39</v>
      </c>
      <c r="Y168" s="859">
        <v>167</v>
      </c>
      <c r="Z168" s="859"/>
      <c r="AA168" s="858"/>
      <c r="AB168" s="858"/>
      <c r="AC168" s="858"/>
      <c r="AD168" s="858"/>
      <c r="AE168" s="859">
        <v>284</v>
      </c>
      <c r="AF168" s="859"/>
      <c r="AG168" s="858"/>
      <c r="AH168" s="859">
        <v>34</v>
      </c>
    </row>
    <row r="169" spans="1:34">
      <c r="A169" s="884"/>
      <c r="B169" s="580" t="s">
        <v>131</v>
      </c>
      <c r="C169" s="806">
        <f t="shared" si="81"/>
        <v>0</v>
      </c>
      <c r="D169" s="806">
        <f t="shared" si="79"/>
        <v>0.12354521038495972</v>
      </c>
      <c r="E169" s="806">
        <f t="shared" si="79"/>
        <v>0.2171344165435746</v>
      </c>
      <c r="F169" s="806">
        <f t="shared" si="79"/>
        <v>0</v>
      </c>
      <c r="G169" s="806">
        <f t="shared" si="79"/>
        <v>0</v>
      </c>
      <c r="H169" s="806">
        <f t="shared" si="79"/>
        <v>0.67880364109232771</v>
      </c>
      <c r="I169" s="624">
        <f t="shared" si="79"/>
        <v>0.30236043461970774</v>
      </c>
      <c r="J169" s="624">
        <f t="shared" si="79"/>
        <v>0</v>
      </c>
      <c r="K169" s="625">
        <f t="shared" si="79"/>
        <v>0</v>
      </c>
      <c r="L169" s="625">
        <f t="shared" si="79"/>
        <v>0</v>
      </c>
      <c r="M169" s="625">
        <f t="shared" si="79"/>
        <v>0</v>
      </c>
      <c r="N169" s="624">
        <f t="shared" si="82"/>
        <v>1.0638297872340425E-2</v>
      </c>
      <c r="O169" s="624">
        <f t="shared" si="80"/>
        <v>0</v>
      </c>
      <c r="P169" s="626">
        <f t="shared" si="80"/>
        <v>0</v>
      </c>
      <c r="Q169" s="624">
        <f t="shared" si="80"/>
        <v>0</v>
      </c>
      <c r="R169" s="357"/>
      <c r="S169" s="858"/>
      <c r="T169" s="858">
        <f>85+53</f>
        <v>138</v>
      </c>
      <c r="U169" s="858">
        <f>133+14</f>
        <v>147</v>
      </c>
      <c r="V169" s="858"/>
      <c r="W169" s="858"/>
      <c r="X169" s="858">
        <f>0+522</f>
        <v>522</v>
      </c>
      <c r="Y169" s="859">
        <f>218+589</f>
        <v>807</v>
      </c>
      <c r="Z169" s="859"/>
      <c r="AA169" s="858"/>
      <c r="AB169" s="858"/>
      <c r="AC169" s="858"/>
      <c r="AD169" s="858"/>
      <c r="AE169" s="859">
        <v>5</v>
      </c>
      <c r="AF169" s="859"/>
      <c r="AG169" s="858"/>
      <c r="AH169" s="859"/>
    </row>
    <row r="170" spans="1:34">
      <c r="A170" s="885"/>
      <c r="B170" s="436" t="s">
        <v>59</v>
      </c>
      <c r="C170" s="807">
        <f t="shared" si="81"/>
        <v>0</v>
      </c>
      <c r="D170" s="808">
        <f t="shared" si="79"/>
        <v>1</v>
      </c>
      <c r="E170" s="808">
        <f t="shared" si="79"/>
        <v>1</v>
      </c>
      <c r="F170" s="808">
        <f t="shared" si="79"/>
        <v>1</v>
      </c>
      <c r="G170" s="808">
        <f t="shared" si="79"/>
        <v>0</v>
      </c>
      <c r="H170" s="809">
        <f t="shared" si="79"/>
        <v>1</v>
      </c>
      <c r="I170" s="577">
        <f t="shared" si="79"/>
        <v>1</v>
      </c>
      <c r="J170" s="577">
        <f t="shared" si="79"/>
        <v>0</v>
      </c>
      <c r="K170" s="578">
        <f t="shared" si="79"/>
        <v>0</v>
      </c>
      <c r="L170" s="578">
        <f t="shared" si="79"/>
        <v>0</v>
      </c>
      <c r="M170" s="578">
        <f t="shared" si="79"/>
        <v>0</v>
      </c>
      <c r="N170" s="577">
        <f t="shared" si="82"/>
        <v>1</v>
      </c>
      <c r="O170" s="577">
        <f t="shared" si="80"/>
        <v>0</v>
      </c>
      <c r="P170" s="579">
        <f t="shared" si="80"/>
        <v>0</v>
      </c>
      <c r="Q170" s="577">
        <f t="shared" si="80"/>
        <v>1</v>
      </c>
      <c r="R170" s="357"/>
      <c r="S170" s="858"/>
      <c r="T170" s="858">
        <v>1117</v>
      </c>
      <c r="U170" s="858">
        <v>677</v>
      </c>
      <c r="V170" s="858">
        <v>106</v>
      </c>
      <c r="W170" s="858"/>
      <c r="X170" s="858">
        <v>769</v>
      </c>
      <c r="Y170" s="859">
        <v>2669</v>
      </c>
      <c r="Z170" s="859"/>
      <c r="AA170" s="858"/>
      <c r="AB170" s="858"/>
      <c r="AC170" s="858"/>
      <c r="AD170" s="858"/>
      <c r="AE170" s="859">
        <v>470</v>
      </c>
      <c r="AF170" s="859"/>
      <c r="AG170" s="858"/>
      <c r="AH170" s="859">
        <v>34</v>
      </c>
    </row>
    <row r="171" spans="1:34">
      <c r="A171" s="882" t="s">
        <v>152</v>
      </c>
      <c r="B171" s="240" t="s">
        <v>53</v>
      </c>
      <c r="C171" s="806">
        <f>IF(S$176&gt;0,(S171/S$176),0)</f>
        <v>0</v>
      </c>
      <c r="D171" s="806">
        <f t="shared" ref="D171:M176" si="83">IF(T$176&gt;0,(T171/T$176),0)</f>
        <v>0.3544415127528584</v>
      </c>
      <c r="E171" s="806">
        <f t="shared" si="83"/>
        <v>0</v>
      </c>
      <c r="F171" s="806">
        <f t="shared" si="83"/>
        <v>0.2360248447204969</v>
      </c>
      <c r="G171" s="806">
        <f t="shared" si="83"/>
        <v>0.33333333333333331</v>
      </c>
      <c r="H171" s="806">
        <f t="shared" si="83"/>
        <v>0.31274131274131273</v>
      </c>
      <c r="I171" s="613">
        <f t="shared" si="83"/>
        <v>0.32623318385650224</v>
      </c>
      <c r="J171" s="613">
        <f t="shared" si="83"/>
        <v>0</v>
      </c>
      <c r="K171" s="614">
        <f t="shared" si="83"/>
        <v>0</v>
      </c>
      <c r="L171" s="614">
        <f t="shared" si="83"/>
        <v>0</v>
      </c>
      <c r="M171" s="614">
        <f t="shared" si="83"/>
        <v>0</v>
      </c>
      <c r="N171" s="613">
        <f>IF(AE$176&gt;0,(AE171/AE$176),0)</f>
        <v>0</v>
      </c>
      <c r="O171" s="613">
        <f t="shared" ref="O171:Q176" si="84">IF(AF$176&gt;0,(AF171/AF$176),0)</f>
        <v>0</v>
      </c>
      <c r="P171" s="615">
        <f t="shared" si="84"/>
        <v>0</v>
      </c>
      <c r="Q171" s="613">
        <f t="shared" si="84"/>
        <v>0</v>
      </c>
      <c r="R171" s="799"/>
      <c r="S171" s="856"/>
      <c r="T171" s="856">
        <v>403</v>
      </c>
      <c r="U171" s="856"/>
      <c r="V171" s="856">
        <v>76</v>
      </c>
      <c r="W171" s="856">
        <v>22</v>
      </c>
      <c r="X171" s="856">
        <v>81</v>
      </c>
      <c r="Y171" s="857">
        <v>582</v>
      </c>
      <c r="Z171" s="857"/>
      <c r="AA171" s="856"/>
      <c r="AB171" s="856"/>
      <c r="AC171" s="856"/>
      <c r="AD171" s="856"/>
      <c r="AE171" s="857"/>
      <c r="AF171" s="857"/>
      <c r="AG171" s="856"/>
      <c r="AH171" s="857"/>
    </row>
    <row r="172" spans="1:34">
      <c r="A172" s="883"/>
      <c r="B172" s="239" t="s">
        <v>93</v>
      </c>
      <c r="C172" s="806">
        <f t="shared" ref="C172:C176" si="85">IF(S$176&gt;0,(S172/S$176),0)</f>
        <v>0</v>
      </c>
      <c r="D172" s="806">
        <f t="shared" si="83"/>
        <v>0.26033421284080915</v>
      </c>
      <c r="E172" s="806">
        <f t="shared" si="83"/>
        <v>0</v>
      </c>
      <c r="F172" s="806">
        <f t="shared" si="83"/>
        <v>0.16149068322981366</v>
      </c>
      <c r="G172" s="806">
        <f t="shared" si="83"/>
        <v>0.25757575757575757</v>
      </c>
      <c r="H172" s="806">
        <f t="shared" si="83"/>
        <v>0.24710424710424711</v>
      </c>
      <c r="I172" s="624">
        <f t="shared" si="83"/>
        <v>0.24047085201793722</v>
      </c>
      <c r="J172" s="624">
        <f t="shared" si="83"/>
        <v>0</v>
      </c>
      <c r="K172" s="625">
        <f t="shared" si="83"/>
        <v>0</v>
      </c>
      <c r="L172" s="625">
        <f t="shared" si="83"/>
        <v>0</v>
      </c>
      <c r="M172" s="625">
        <f t="shared" si="83"/>
        <v>0</v>
      </c>
      <c r="N172" s="624">
        <f t="shared" ref="N172:N176" si="86">IF(AE$176&gt;0,(AE172/AE$176),0)</f>
        <v>0</v>
      </c>
      <c r="O172" s="624">
        <f t="shared" si="84"/>
        <v>0</v>
      </c>
      <c r="P172" s="626">
        <f t="shared" si="84"/>
        <v>0</v>
      </c>
      <c r="Q172" s="624">
        <f t="shared" si="84"/>
        <v>0</v>
      </c>
      <c r="R172" s="357"/>
      <c r="S172" s="858"/>
      <c r="T172" s="858">
        <v>296</v>
      </c>
      <c r="U172" s="858"/>
      <c r="V172" s="858">
        <v>52</v>
      </c>
      <c r="W172" s="858">
        <v>17</v>
      </c>
      <c r="X172" s="858">
        <v>64</v>
      </c>
      <c r="Y172" s="859">
        <v>429</v>
      </c>
      <c r="Z172" s="859"/>
      <c r="AA172" s="858"/>
      <c r="AB172" s="858"/>
      <c r="AC172" s="858"/>
      <c r="AD172" s="858"/>
      <c r="AE172" s="859"/>
      <c r="AF172" s="859"/>
      <c r="AG172" s="858"/>
      <c r="AH172" s="859"/>
    </row>
    <row r="173" spans="1:34">
      <c r="A173" s="883"/>
      <c r="B173" s="239" t="s">
        <v>55</v>
      </c>
      <c r="C173" s="806">
        <f t="shared" si="85"/>
        <v>0</v>
      </c>
      <c r="D173" s="806">
        <f t="shared" si="83"/>
        <v>0.2119613016710642</v>
      </c>
      <c r="E173" s="806">
        <f t="shared" si="83"/>
        <v>0</v>
      </c>
      <c r="F173" s="806">
        <f t="shared" si="83"/>
        <v>0.29813664596273293</v>
      </c>
      <c r="G173" s="806">
        <f t="shared" si="83"/>
        <v>0.40909090909090912</v>
      </c>
      <c r="H173" s="806">
        <f t="shared" si="83"/>
        <v>0.30501930501930502</v>
      </c>
      <c r="I173" s="624">
        <f t="shared" si="83"/>
        <v>0.24831838565022421</v>
      </c>
      <c r="J173" s="624">
        <f t="shared" si="83"/>
        <v>0</v>
      </c>
      <c r="K173" s="625">
        <f t="shared" si="83"/>
        <v>0</v>
      </c>
      <c r="L173" s="625">
        <f t="shared" si="83"/>
        <v>0</v>
      </c>
      <c r="M173" s="625">
        <f t="shared" si="83"/>
        <v>0</v>
      </c>
      <c r="N173" s="624">
        <f t="shared" si="86"/>
        <v>0</v>
      </c>
      <c r="O173" s="624">
        <f t="shared" si="84"/>
        <v>0</v>
      </c>
      <c r="P173" s="626">
        <f t="shared" si="84"/>
        <v>0</v>
      </c>
      <c r="Q173" s="624">
        <f t="shared" si="84"/>
        <v>0</v>
      </c>
      <c r="R173" s="357"/>
      <c r="S173" s="858"/>
      <c r="T173" s="858">
        <v>241</v>
      </c>
      <c r="U173" s="858"/>
      <c r="V173" s="858">
        <v>96</v>
      </c>
      <c r="W173" s="858">
        <v>27</v>
      </c>
      <c r="X173" s="858">
        <v>79</v>
      </c>
      <c r="Y173" s="859">
        <v>443</v>
      </c>
      <c r="Z173" s="859"/>
      <c r="AA173" s="858"/>
      <c r="AB173" s="858"/>
      <c r="AC173" s="858"/>
      <c r="AD173" s="858"/>
      <c r="AE173" s="859"/>
      <c r="AF173" s="859"/>
      <c r="AG173" s="858"/>
      <c r="AH173" s="859"/>
    </row>
    <row r="174" spans="1:34">
      <c r="A174" s="883"/>
      <c r="B174" s="239" t="s">
        <v>78</v>
      </c>
      <c r="C174" s="806">
        <f t="shared" si="85"/>
        <v>0</v>
      </c>
      <c r="D174" s="806">
        <f t="shared" si="83"/>
        <v>9.3227792436235704E-2</v>
      </c>
      <c r="E174" s="806">
        <f t="shared" si="83"/>
        <v>0</v>
      </c>
      <c r="F174" s="806">
        <f t="shared" si="83"/>
        <v>0.27018633540372672</v>
      </c>
      <c r="G174" s="806">
        <f t="shared" si="83"/>
        <v>0</v>
      </c>
      <c r="H174" s="806">
        <f t="shared" si="83"/>
        <v>0.13127413127413126</v>
      </c>
      <c r="I174" s="624">
        <f t="shared" si="83"/>
        <v>0.12724215246636772</v>
      </c>
      <c r="J174" s="624">
        <f t="shared" si="83"/>
        <v>0</v>
      </c>
      <c r="K174" s="625">
        <f t="shared" si="83"/>
        <v>0</v>
      </c>
      <c r="L174" s="625">
        <f t="shared" si="83"/>
        <v>0</v>
      </c>
      <c r="M174" s="625">
        <f t="shared" si="83"/>
        <v>0</v>
      </c>
      <c r="N174" s="624">
        <f t="shared" si="86"/>
        <v>0.77889447236180909</v>
      </c>
      <c r="O174" s="624">
        <f t="shared" si="84"/>
        <v>0</v>
      </c>
      <c r="P174" s="626">
        <f t="shared" si="84"/>
        <v>0</v>
      </c>
      <c r="Q174" s="624">
        <f t="shared" si="84"/>
        <v>0</v>
      </c>
      <c r="R174" s="357"/>
      <c r="S174" s="858"/>
      <c r="T174" s="858">
        <v>106</v>
      </c>
      <c r="U174" s="858"/>
      <c r="V174" s="858">
        <v>87</v>
      </c>
      <c r="W174" s="858"/>
      <c r="X174" s="858">
        <v>34</v>
      </c>
      <c r="Y174" s="859">
        <v>227</v>
      </c>
      <c r="Z174" s="859"/>
      <c r="AA174" s="858"/>
      <c r="AB174" s="858"/>
      <c r="AC174" s="858"/>
      <c r="AD174" s="858"/>
      <c r="AE174" s="859">
        <v>310</v>
      </c>
      <c r="AF174" s="859"/>
      <c r="AG174" s="858"/>
      <c r="AH174" s="859"/>
    </row>
    <row r="175" spans="1:34">
      <c r="A175" s="884"/>
      <c r="B175" s="580" t="s">
        <v>131</v>
      </c>
      <c r="C175" s="806">
        <f t="shared" si="85"/>
        <v>0</v>
      </c>
      <c r="D175" s="806">
        <f t="shared" si="83"/>
        <v>8.0035180299032546E-2</v>
      </c>
      <c r="E175" s="806">
        <f t="shared" si="83"/>
        <v>0</v>
      </c>
      <c r="F175" s="806">
        <f t="shared" si="83"/>
        <v>3.4161490683229816E-2</v>
      </c>
      <c r="G175" s="806">
        <f t="shared" si="83"/>
        <v>0</v>
      </c>
      <c r="H175" s="806">
        <f t="shared" si="83"/>
        <v>3.8610038610038611E-3</v>
      </c>
      <c r="I175" s="624">
        <f t="shared" si="83"/>
        <v>5.773542600896861E-2</v>
      </c>
      <c r="J175" s="624">
        <f t="shared" si="83"/>
        <v>0</v>
      </c>
      <c r="K175" s="625">
        <f t="shared" si="83"/>
        <v>0</v>
      </c>
      <c r="L175" s="625">
        <f t="shared" si="83"/>
        <v>0</v>
      </c>
      <c r="M175" s="625">
        <f t="shared" si="83"/>
        <v>0</v>
      </c>
      <c r="N175" s="624">
        <f t="shared" si="86"/>
        <v>0.22110552763819097</v>
      </c>
      <c r="O175" s="624">
        <f t="shared" si="84"/>
        <v>0</v>
      </c>
      <c r="P175" s="626">
        <f t="shared" si="84"/>
        <v>0</v>
      </c>
      <c r="Q175" s="624">
        <f t="shared" si="84"/>
        <v>0</v>
      </c>
      <c r="R175" s="357"/>
      <c r="S175" s="858"/>
      <c r="T175" s="858">
        <f>30+61</f>
        <v>91</v>
      </c>
      <c r="U175" s="858"/>
      <c r="V175" s="858">
        <v>11</v>
      </c>
      <c r="W175" s="858"/>
      <c r="X175" s="858">
        <f>0+1</f>
        <v>1</v>
      </c>
      <c r="Y175" s="859">
        <f>41+62</f>
        <v>103</v>
      </c>
      <c r="Z175" s="859"/>
      <c r="AA175" s="858"/>
      <c r="AB175" s="858"/>
      <c r="AC175" s="858"/>
      <c r="AD175" s="858"/>
      <c r="AE175" s="859">
        <v>88</v>
      </c>
      <c r="AF175" s="859"/>
      <c r="AG175" s="858"/>
      <c r="AH175" s="859"/>
    </row>
    <row r="176" spans="1:34">
      <c r="A176" s="885"/>
      <c r="B176" s="436" t="s">
        <v>59</v>
      </c>
      <c r="C176" s="807">
        <f t="shared" si="85"/>
        <v>0</v>
      </c>
      <c r="D176" s="808">
        <f t="shared" si="83"/>
        <v>1</v>
      </c>
      <c r="E176" s="808">
        <f t="shared" si="83"/>
        <v>0</v>
      </c>
      <c r="F176" s="808">
        <f t="shared" si="83"/>
        <v>1</v>
      </c>
      <c r="G176" s="808">
        <f t="shared" si="83"/>
        <v>1</v>
      </c>
      <c r="H176" s="809">
        <f t="shared" si="83"/>
        <v>1</v>
      </c>
      <c r="I176" s="577">
        <f t="shared" si="83"/>
        <v>1</v>
      </c>
      <c r="J176" s="577">
        <f t="shared" si="83"/>
        <v>0</v>
      </c>
      <c r="K176" s="578">
        <f t="shared" si="83"/>
        <v>0</v>
      </c>
      <c r="L176" s="578">
        <f t="shared" si="83"/>
        <v>0</v>
      </c>
      <c r="M176" s="578">
        <f t="shared" si="83"/>
        <v>0</v>
      </c>
      <c r="N176" s="577">
        <f t="shared" si="86"/>
        <v>1</v>
      </c>
      <c r="O176" s="577">
        <f t="shared" si="84"/>
        <v>0</v>
      </c>
      <c r="P176" s="579">
        <f t="shared" si="84"/>
        <v>0</v>
      </c>
      <c r="Q176" s="577">
        <f t="shared" si="84"/>
        <v>0</v>
      </c>
      <c r="R176" s="357"/>
      <c r="S176" s="858"/>
      <c r="T176" s="858">
        <v>1137</v>
      </c>
      <c r="U176" s="858"/>
      <c r="V176" s="858">
        <v>322</v>
      </c>
      <c r="W176" s="858">
        <v>66</v>
      </c>
      <c r="X176" s="858">
        <v>259</v>
      </c>
      <c r="Y176" s="859">
        <v>1784</v>
      </c>
      <c r="Z176" s="859"/>
      <c r="AA176" s="858"/>
      <c r="AB176" s="858"/>
      <c r="AC176" s="858"/>
      <c r="AD176" s="858"/>
      <c r="AE176" s="859">
        <v>398</v>
      </c>
      <c r="AF176" s="859"/>
      <c r="AG176" s="858"/>
      <c r="AH176" s="859"/>
    </row>
    <row r="177" spans="1:34">
      <c r="A177" s="882" t="s">
        <v>158</v>
      </c>
      <c r="B177" s="240" t="s">
        <v>53</v>
      </c>
      <c r="C177" s="806">
        <f>IF(S$182&gt;0,(S177/S$182),0)</f>
        <v>0.30434782608695654</v>
      </c>
      <c r="D177" s="806">
        <f t="shared" ref="D177:M182" si="87">IF(T$182&gt;0,(T177/T$182),0)</f>
        <v>0</v>
      </c>
      <c r="E177" s="806">
        <f t="shared" si="87"/>
        <v>0</v>
      </c>
      <c r="F177" s="806">
        <f t="shared" si="87"/>
        <v>0</v>
      </c>
      <c r="G177" s="806">
        <f t="shared" si="87"/>
        <v>0.28205128205128205</v>
      </c>
      <c r="H177" s="806">
        <f t="shared" si="87"/>
        <v>2.6666666666666668E-2</v>
      </c>
      <c r="I177" s="613">
        <f t="shared" si="87"/>
        <v>0.29105392156862747</v>
      </c>
      <c r="J177" s="613">
        <f t="shared" si="87"/>
        <v>0</v>
      </c>
      <c r="K177" s="614">
        <f t="shared" si="87"/>
        <v>0</v>
      </c>
      <c r="L177" s="614">
        <f t="shared" si="87"/>
        <v>0</v>
      </c>
      <c r="M177" s="614">
        <f t="shared" si="87"/>
        <v>0</v>
      </c>
      <c r="N177" s="613">
        <f>IF(AE$182&gt;0,(AE177/AE$182),0)</f>
        <v>0.62875000000000003</v>
      </c>
      <c r="O177" s="613">
        <f t="shared" ref="O177:Q182" si="88">IF(AF$182&gt;0,(AF177/AF$182),0)</f>
        <v>0</v>
      </c>
      <c r="P177" s="615">
        <f t="shared" si="88"/>
        <v>0</v>
      </c>
      <c r="Q177" s="613">
        <f t="shared" si="88"/>
        <v>0</v>
      </c>
      <c r="R177" s="799"/>
      <c r="S177" s="856">
        <v>462</v>
      </c>
      <c r="T177" s="856"/>
      <c r="U177" s="856"/>
      <c r="V177" s="856"/>
      <c r="W177" s="856">
        <v>11</v>
      </c>
      <c r="X177" s="856">
        <v>2</v>
      </c>
      <c r="Y177" s="857">
        <v>475</v>
      </c>
      <c r="Z177" s="857"/>
      <c r="AA177" s="856"/>
      <c r="AB177" s="856"/>
      <c r="AC177" s="856"/>
      <c r="AD177" s="856"/>
      <c r="AE177" s="857">
        <v>503</v>
      </c>
      <c r="AF177" s="857"/>
      <c r="AG177" s="856"/>
      <c r="AH177" s="857"/>
    </row>
    <row r="178" spans="1:34">
      <c r="A178" s="883"/>
      <c r="B178" s="239" t="s">
        <v>93</v>
      </c>
      <c r="C178" s="806">
        <f t="shared" ref="C178:C182" si="89">IF(S$182&gt;0,(S178/S$182),0)</f>
        <v>0.30632411067193677</v>
      </c>
      <c r="D178" s="806">
        <f t="shared" si="87"/>
        <v>0</v>
      </c>
      <c r="E178" s="806">
        <f t="shared" si="87"/>
        <v>0</v>
      </c>
      <c r="F178" s="806">
        <f t="shared" si="87"/>
        <v>0</v>
      </c>
      <c r="G178" s="806">
        <f t="shared" si="87"/>
        <v>0.30769230769230771</v>
      </c>
      <c r="H178" s="806">
        <f t="shared" si="87"/>
        <v>0.13333333333333333</v>
      </c>
      <c r="I178" s="624">
        <f t="shared" si="87"/>
        <v>0.29840686274509803</v>
      </c>
      <c r="J178" s="624">
        <f t="shared" si="87"/>
        <v>0</v>
      </c>
      <c r="K178" s="625">
        <f t="shared" si="87"/>
        <v>0</v>
      </c>
      <c r="L178" s="625">
        <f t="shared" si="87"/>
        <v>0</v>
      </c>
      <c r="M178" s="625">
        <f t="shared" si="87"/>
        <v>0</v>
      </c>
      <c r="N178" s="624">
        <f t="shared" ref="N178:N182" si="90">IF(AE$182&gt;0,(AE178/AE$182),0)</f>
        <v>0</v>
      </c>
      <c r="O178" s="624">
        <f t="shared" si="88"/>
        <v>0</v>
      </c>
      <c r="P178" s="626">
        <f t="shared" si="88"/>
        <v>0</v>
      </c>
      <c r="Q178" s="624">
        <f t="shared" si="88"/>
        <v>0</v>
      </c>
      <c r="R178" s="357"/>
      <c r="S178" s="858">
        <v>465</v>
      </c>
      <c r="T178" s="858"/>
      <c r="U178" s="858"/>
      <c r="V178" s="858"/>
      <c r="W178" s="858">
        <v>12</v>
      </c>
      <c r="X178" s="858">
        <v>10</v>
      </c>
      <c r="Y178" s="859">
        <v>487</v>
      </c>
      <c r="Z178" s="859"/>
      <c r="AA178" s="858"/>
      <c r="AB178" s="858"/>
      <c r="AC178" s="858"/>
      <c r="AD178" s="858"/>
      <c r="AE178" s="859"/>
      <c r="AF178" s="859"/>
      <c r="AG178" s="858"/>
      <c r="AH178" s="859"/>
    </row>
    <row r="179" spans="1:34">
      <c r="A179" s="883"/>
      <c r="B179" s="239" t="s">
        <v>55</v>
      </c>
      <c r="C179" s="806">
        <f t="shared" si="89"/>
        <v>0.27206851119894598</v>
      </c>
      <c r="D179" s="806">
        <f t="shared" si="87"/>
        <v>0</v>
      </c>
      <c r="E179" s="806">
        <f t="shared" si="87"/>
        <v>0</v>
      </c>
      <c r="F179" s="806">
        <f t="shared" si="87"/>
        <v>0</v>
      </c>
      <c r="G179" s="806">
        <f t="shared" si="87"/>
        <v>0.20512820512820512</v>
      </c>
      <c r="H179" s="806">
        <f t="shared" si="87"/>
        <v>0.34666666666666668</v>
      </c>
      <c r="I179" s="624">
        <f t="shared" si="87"/>
        <v>0.27389705882352944</v>
      </c>
      <c r="J179" s="624">
        <f t="shared" si="87"/>
        <v>0</v>
      </c>
      <c r="K179" s="625">
        <f t="shared" si="87"/>
        <v>0</v>
      </c>
      <c r="L179" s="625">
        <f t="shared" si="87"/>
        <v>0</v>
      </c>
      <c r="M179" s="625">
        <f t="shared" si="87"/>
        <v>0</v>
      </c>
      <c r="N179" s="624">
        <f t="shared" si="90"/>
        <v>0</v>
      </c>
      <c r="O179" s="624">
        <f t="shared" si="88"/>
        <v>0</v>
      </c>
      <c r="P179" s="626">
        <f t="shared" si="88"/>
        <v>0</v>
      </c>
      <c r="Q179" s="624">
        <f t="shared" si="88"/>
        <v>0</v>
      </c>
      <c r="R179" s="357"/>
      <c r="S179" s="858">
        <v>413</v>
      </c>
      <c r="T179" s="858"/>
      <c r="U179" s="858"/>
      <c r="V179" s="858"/>
      <c r="W179" s="858">
        <v>8</v>
      </c>
      <c r="X179" s="858">
        <v>26</v>
      </c>
      <c r="Y179" s="859">
        <v>447</v>
      </c>
      <c r="Z179" s="859"/>
      <c r="AA179" s="858"/>
      <c r="AB179" s="858"/>
      <c r="AC179" s="858"/>
      <c r="AD179" s="858"/>
      <c r="AE179" s="859"/>
      <c r="AF179" s="859"/>
      <c r="AG179" s="858"/>
      <c r="AH179" s="859"/>
    </row>
    <row r="180" spans="1:34">
      <c r="A180" s="883"/>
      <c r="B180" s="239" t="s">
        <v>78</v>
      </c>
      <c r="C180" s="806">
        <f t="shared" si="89"/>
        <v>5.270092226613966E-3</v>
      </c>
      <c r="D180" s="806">
        <f t="shared" si="87"/>
        <v>0</v>
      </c>
      <c r="E180" s="806">
        <f t="shared" si="87"/>
        <v>0</v>
      </c>
      <c r="F180" s="806">
        <f t="shared" si="87"/>
        <v>0</v>
      </c>
      <c r="G180" s="806">
        <f t="shared" si="87"/>
        <v>0.17948717948717949</v>
      </c>
      <c r="H180" s="806">
        <f t="shared" si="87"/>
        <v>0</v>
      </c>
      <c r="I180" s="624">
        <f t="shared" si="87"/>
        <v>9.1911764705882356E-3</v>
      </c>
      <c r="J180" s="624">
        <f t="shared" si="87"/>
        <v>0</v>
      </c>
      <c r="K180" s="625">
        <f t="shared" si="87"/>
        <v>0</v>
      </c>
      <c r="L180" s="625">
        <f t="shared" si="87"/>
        <v>0</v>
      </c>
      <c r="M180" s="625">
        <f t="shared" si="87"/>
        <v>0</v>
      </c>
      <c r="N180" s="624">
        <f t="shared" si="90"/>
        <v>0.37125000000000002</v>
      </c>
      <c r="O180" s="624">
        <f t="shared" si="88"/>
        <v>0</v>
      </c>
      <c r="P180" s="626">
        <f t="shared" si="88"/>
        <v>0</v>
      </c>
      <c r="Q180" s="624">
        <f t="shared" si="88"/>
        <v>0</v>
      </c>
      <c r="R180" s="357"/>
      <c r="S180" s="858">
        <v>8</v>
      </c>
      <c r="T180" s="858"/>
      <c r="U180" s="858"/>
      <c r="V180" s="858"/>
      <c r="W180" s="858">
        <v>7</v>
      </c>
      <c r="X180" s="858"/>
      <c r="Y180" s="859">
        <v>15</v>
      </c>
      <c r="Z180" s="859"/>
      <c r="AA180" s="858"/>
      <c r="AB180" s="858"/>
      <c r="AC180" s="858"/>
      <c r="AD180" s="858"/>
      <c r="AE180" s="859">
        <v>297</v>
      </c>
      <c r="AF180" s="859"/>
      <c r="AG180" s="858"/>
      <c r="AH180" s="859"/>
    </row>
    <row r="181" spans="1:34">
      <c r="A181" s="884"/>
      <c r="B181" s="580" t="s">
        <v>131</v>
      </c>
      <c r="C181" s="806">
        <f t="shared" si="89"/>
        <v>0.11198945981554677</v>
      </c>
      <c r="D181" s="806">
        <f t="shared" si="87"/>
        <v>0</v>
      </c>
      <c r="E181" s="806">
        <f t="shared" si="87"/>
        <v>0</v>
      </c>
      <c r="F181" s="806">
        <f t="shared" si="87"/>
        <v>0</v>
      </c>
      <c r="G181" s="806">
        <f t="shared" si="87"/>
        <v>2.564102564102564E-2</v>
      </c>
      <c r="H181" s="806">
        <f t="shared" si="87"/>
        <v>0.49333333333333335</v>
      </c>
      <c r="I181" s="624">
        <f t="shared" si="87"/>
        <v>0.12745098039215685</v>
      </c>
      <c r="J181" s="624">
        <f t="shared" si="87"/>
        <v>0</v>
      </c>
      <c r="K181" s="625">
        <f t="shared" si="87"/>
        <v>0</v>
      </c>
      <c r="L181" s="625">
        <f t="shared" si="87"/>
        <v>0</v>
      </c>
      <c r="M181" s="625">
        <f t="shared" si="87"/>
        <v>0</v>
      </c>
      <c r="N181" s="624">
        <f t="shared" si="90"/>
        <v>0</v>
      </c>
      <c r="O181" s="624">
        <f t="shared" si="88"/>
        <v>0</v>
      </c>
      <c r="P181" s="626">
        <f t="shared" si="88"/>
        <v>0</v>
      </c>
      <c r="Q181" s="624">
        <f t="shared" si="88"/>
        <v>0</v>
      </c>
      <c r="R181" s="357"/>
      <c r="S181" s="858">
        <f>163+7</f>
        <v>170</v>
      </c>
      <c r="T181" s="858"/>
      <c r="U181" s="858"/>
      <c r="V181" s="858"/>
      <c r="W181" s="858">
        <f>0+1</f>
        <v>1</v>
      </c>
      <c r="X181" s="858">
        <f>17+20</f>
        <v>37</v>
      </c>
      <c r="Y181" s="859">
        <f>180+28</f>
        <v>208</v>
      </c>
      <c r="Z181" s="859"/>
      <c r="AA181" s="858"/>
      <c r="AB181" s="858"/>
      <c r="AC181" s="858"/>
      <c r="AD181" s="858"/>
      <c r="AE181" s="859"/>
      <c r="AF181" s="859"/>
      <c r="AG181" s="858"/>
      <c r="AH181" s="859"/>
    </row>
    <row r="182" spans="1:34">
      <c r="A182" s="885"/>
      <c r="B182" s="436" t="s">
        <v>59</v>
      </c>
      <c r="C182" s="807">
        <f t="shared" si="89"/>
        <v>1</v>
      </c>
      <c r="D182" s="808">
        <f t="shared" si="87"/>
        <v>0</v>
      </c>
      <c r="E182" s="808">
        <f t="shared" si="87"/>
        <v>0</v>
      </c>
      <c r="F182" s="808">
        <f t="shared" si="87"/>
        <v>0</v>
      </c>
      <c r="G182" s="808">
        <f t="shared" si="87"/>
        <v>1</v>
      </c>
      <c r="H182" s="809">
        <f t="shared" si="87"/>
        <v>1</v>
      </c>
      <c r="I182" s="577">
        <f t="shared" si="87"/>
        <v>1</v>
      </c>
      <c r="J182" s="577">
        <f t="shared" si="87"/>
        <v>0</v>
      </c>
      <c r="K182" s="578">
        <f t="shared" si="87"/>
        <v>0</v>
      </c>
      <c r="L182" s="578">
        <f t="shared" si="87"/>
        <v>0</v>
      </c>
      <c r="M182" s="578">
        <f t="shared" si="87"/>
        <v>0</v>
      </c>
      <c r="N182" s="577">
        <f t="shared" si="90"/>
        <v>1</v>
      </c>
      <c r="O182" s="577">
        <f t="shared" si="88"/>
        <v>0</v>
      </c>
      <c r="P182" s="579">
        <f t="shared" si="88"/>
        <v>0</v>
      </c>
      <c r="Q182" s="577">
        <f t="shared" si="88"/>
        <v>0</v>
      </c>
      <c r="R182" s="357"/>
      <c r="S182" s="858">
        <v>1518</v>
      </c>
      <c r="T182" s="858"/>
      <c r="U182" s="858"/>
      <c r="V182" s="858"/>
      <c r="W182" s="858">
        <v>39</v>
      </c>
      <c r="X182" s="858">
        <v>75</v>
      </c>
      <c r="Y182" s="859">
        <v>1632</v>
      </c>
      <c r="Z182" s="859"/>
      <c r="AA182" s="858"/>
      <c r="AB182" s="858"/>
      <c r="AC182" s="858"/>
      <c r="AD182" s="858"/>
      <c r="AE182" s="859">
        <v>800</v>
      </c>
      <c r="AF182" s="859"/>
      <c r="AG182" s="858"/>
      <c r="AH182" s="859"/>
    </row>
    <row r="183" spans="1:34">
      <c r="A183" s="882" t="s">
        <v>157</v>
      </c>
      <c r="B183" s="240" t="s">
        <v>53</v>
      </c>
      <c r="C183" s="806">
        <f>IF(S$188&gt;0,(S183/S$188),0)</f>
        <v>0.27214076246334312</v>
      </c>
      <c r="D183" s="806">
        <f t="shared" ref="D183:M188" si="91">IF(T$188&gt;0,(T183/T$188),0)</f>
        <v>0</v>
      </c>
      <c r="E183" s="806">
        <f t="shared" si="91"/>
        <v>0.22962962962962963</v>
      </c>
      <c r="F183" s="806">
        <f t="shared" si="91"/>
        <v>0.26538461538461539</v>
      </c>
      <c r="G183" s="806">
        <f t="shared" si="91"/>
        <v>8.5106382978723402E-2</v>
      </c>
      <c r="H183" s="806">
        <f t="shared" si="91"/>
        <v>0</v>
      </c>
      <c r="I183" s="613">
        <f t="shared" si="91"/>
        <v>0.26455519329296695</v>
      </c>
      <c r="J183" s="613">
        <f t="shared" si="91"/>
        <v>0</v>
      </c>
      <c r="K183" s="614">
        <f t="shared" si="91"/>
        <v>0</v>
      </c>
      <c r="L183" s="614">
        <f t="shared" si="91"/>
        <v>0</v>
      </c>
      <c r="M183" s="614">
        <f t="shared" si="91"/>
        <v>0</v>
      </c>
      <c r="N183" s="613">
        <f>IF(AE$188&gt;0,(AE183/AE$188),0)</f>
        <v>0.18807339449541285</v>
      </c>
      <c r="O183" s="613">
        <f t="shared" ref="O183:Q188" si="92">IF(AF$188&gt;0,(AF183/AF$188),0)</f>
        <v>0</v>
      </c>
      <c r="P183" s="615">
        <f t="shared" si="92"/>
        <v>0</v>
      </c>
      <c r="Q183" s="613">
        <f t="shared" si="92"/>
        <v>8.0321285140562242E-3</v>
      </c>
      <c r="R183" s="799"/>
      <c r="S183" s="856">
        <v>464</v>
      </c>
      <c r="T183" s="856"/>
      <c r="U183" s="856">
        <v>31</v>
      </c>
      <c r="V183" s="856">
        <v>69</v>
      </c>
      <c r="W183" s="856">
        <v>4</v>
      </c>
      <c r="X183" s="856"/>
      <c r="Y183" s="857">
        <v>568</v>
      </c>
      <c r="Z183" s="857"/>
      <c r="AA183" s="856"/>
      <c r="AB183" s="856"/>
      <c r="AC183" s="856"/>
      <c r="AD183" s="856"/>
      <c r="AE183" s="857">
        <v>164</v>
      </c>
      <c r="AF183" s="857"/>
      <c r="AG183" s="856"/>
      <c r="AH183" s="857">
        <v>4</v>
      </c>
    </row>
    <row r="184" spans="1:34">
      <c r="A184" s="883"/>
      <c r="B184" s="239" t="s">
        <v>93</v>
      </c>
      <c r="C184" s="806">
        <f t="shared" ref="C184:C188" si="93">IF(S$188&gt;0,(S184/S$188),0)</f>
        <v>0.30263929618768326</v>
      </c>
      <c r="D184" s="806">
        <f t="shared" si="91"/>
        <v>0</v>
      </c>
      <c r="E184" s="806">
        <f t="shared" si="91"/>
        <v>0.21481481481481482</v>
      </c>
      <c r="F184" s="806">
        <f t="shared" si="91"/>
        <v>0.18076923076923077</v>
      </c>
      <c r="G184" s="806">
        <f t="shared" si="91"/>
        <v>0.19148936170212766</v>
      </c>
      <c r="H184" s="806">
        <f t="shared" si="91"/>
        <v>0</v>
      </c>
      <c r="I184" s="624">
        <f t="shared" si="91"/>
        <v>0.27992547741034002</v>
      </c>
      <c r="J184" s="624">
        <f t="shared" si="91"/>
        <v>0</v>
      </c>
      <c r="K184" s="625">
        <f t="shared" si="91"/>
        <v>0</v>
      </c>
      <c r="L184" s="625">
        <f t="shared" si="91"/>
        <v>0</v>
      </c>
      <c r="M184" s="625">
        <f t="shared" si="91"/>
        <v>0</v>
      </c>
      <c r="N184" s="624">
        <f t="shared" ref="N184:N188" si="94">IF(AE$188&gt;0,(AE184/AE$188),0)</f>
        <v>0.18577981651376146</v>
      </c>
      <c r="O184" s="624">
        <f t="shared" si="92"/>
        <v>0</v>
      </c>
      <c r="P184" s="626">
        <f t="shared" si="92"/>
        <v>0</v>
      </c>
      <c r="Q184" s="624">
        <f t="shared" si="92"/>
        <v>1.6064257028112448E-2</v>
      </c>
      <c r="R184" s="357"/>
      <c r="S184" s="858">
        <v>516</v>
      </c>
      <c r="T184" s="858"/>
      <c r="U184" s="858">
        <v>29</v>
      </c>
      <c r="V184" s="858">
        <v>47</v>
      </c>
      <c r="W184" s="858">
        <v>9</v>
      </c>
      <c r="X184" s="858"/>
      <c r="Y184" s="859">
        <v>601</v>
      </c>
      <c r="Z184" s="859"/>
      <c r="AA184" s="858"/>
      <c r="AB184" s="858"/>
      <c r="AC184" s="858"/>
      <c r="AD184" s="858"/>
      <c r="AE184" s="859">
        <v>162</v>
      </c>
      <c r="AF184" s="859"/>
      <c r="AG184" s="858"/>
      <c r="AH184" s="859">
        <v>8</v>
      </c>
    </row>
    <row r="185" spans="1:34">
      <c r="A185" s="883"/>
      <c r="B185" s="239" t="s">
        <v>55</v>
      </c>
      <c r="C185" s="806">
        <f t="shared" si="93"/>
        <v>0.29442815249266863</v>
      </c>
      <c r="D185" s="806">
        <f t="shared" si="91"/>
        <v>0</v>
      </c>
      <c r="E185" s="806">
        <f t="shared" si="91"/>
        <v>0.36296296296296299</v>
      </c>
      <c r="F185" s="806">
        <f t="shared" si="91"/>
        <v>0.40384615384615385</v>
      </c>
      <c r="G185" s="806">
        <f t="shared" si="91"/>
        <v>0.25531914893617019</v>
      </c>
      <c r="H185" s="806">
        <f t="shared" si="91"/>
        <v>0</v>
      </c>
      <c r="I185" s="624">
        <f t="shared" si="91"/>
        <v>0.31113181183046112</v>
      </c>
      <c r="J185" s="624">
        <f t="shared" si="91"/>
        <v>0</v>
      </c>
      <c r="K185" s="625">
        <f t="shared" si="91"/>
        <v>0</v>
      </c>
      <c r="L185" s="625">
        <f t="shared" si="91"/>
        <v>0</v>
      </c>
      <c r="M185" s="625">
        <f t="shared" si="91"/>
        <v>0</v>
      </c>
      <c r="N185" s="624">
        <f t="shared" si="94"/>
        <v>0.2993119266055046</v>
      </c>
      <c r="O185" s="624">
        <f t="shared" si="92"/>
        <v>0</v>
      </c>
      <c r="P185" s="626">
        <f t="shared" si="92"/>
        <v>0</v>
      </c>
      <c r="Q185" s="624">
        <f t="shared" si="92"/>
        <v>2.008032128514056E-3</v>
      </c>
      <c r="R185" s="357"/>
      <c r="S185" s="858">
        <v>502</v>
      </c>
      <c r="T185" s="858"/>
      <c r="U185" s="858">
        <v>49</v>
      </c>
      <c r="V185" s="858">
        <v>105</v>
      </c>
      <c r="W185" s="858">
        <v>12</v>
      </c>
      <c r="X185" s="858"/>
      <c r="Y185" s="859">
        <v>668</v>
      </c>
      <c r="Z185" s="859"/>
      <c r="AA185" s="858"/>
      <c r="AB185" s="858"/>
      <c r="AC185" s="858"/>
      <c r="AD185" s="858"/>
      <c r="AE185" s="859">
        <v>261</v>
      </c>
      <c r="AF185" s="859"/>
      <c r="AG185" s="858"/>
      <c r="AH185" s="859">
        <v>1</v>
      </c>
    </row>
    <row r="186" spans="1:34">
      <c r="A186" s="883"/>
      <c r="B186" s="239" t="s">
        <v>78</v>
      </c>
      <c r="C186" s="806">
        <f t="shared" si="93"/>
        <v>2.8152492668621701E-2</v>
      </c>
      <c r="D186" s="806">
        <f t="shared" si="91"/>
        <v>0</v>
      </c>
      <c r="E186" s="806">
        <f t="shared" si="91"/>
        <v>6.6666666666666666E-2</v>
      </c>
      <c r="F186" s="806">
        <f t="shared" si="91"/>
        <v>0.15</v>
      </c>
      <c r="G186" s="806">
        <f t="shared" si="91"/>
        <v>8.5106382978723402E-2</v>
      </c>
      <c r="H186" s="806">
        <f t="shared" si="91"/>
        <v>0</v>
      </c>
      <c r="I186" s="624">
        <f t="shared" si="91"/>
        <v>4.6576618537494181E-2</v>
      </c>
      <c r="J186" s="624">
        <f t="shared" si="91"/>
        <v>0</v>
      </c>
      <c r="K186" s="625">
        <f t="shared" si="91"/>
        <v>0</v>
      </c>
      <c r="L186" s="625">
        <f t="shared" si="91"/>
        <v>0</v>
      </c>
      <c r="M186" s="625">
        <f t="shared" si="91"/>
        <v>0</v>
      </c>
      <c r="N186" s="624">
        <f t="shared" si="94"/>
        <v>0.24655963302752293</v>
      </c>
      <c r="O186" s="624">
        <f t="shared" si="92"/>
        <v>0</v>
      </c>
      <c r="P186" s="626">
        <f t="shared" si="92"/>
        <v>0</v>
      </c>
      <c r="Q186" s="624">
        <f t="shared" si="92"/>
        <v>0.23293172690763053</v>
      </c>
      <c r="R186" s="357"/>
      <c r="S186" s="858">
        <v>48</v>
      </c>
      <c r="T186" s="858"/>
      <c r="U186" s="858">
        <v>9</v>
      </c>
      <c r="V186" s="858">
        <v>39</v>
      </c>
      <c r="W186" s="858">
        <v>4</v>
      </c>
      <c r="X186" s="858"/>
      <c r="Y186" s="859">
        <v>100</v>
      </c>
      <c r="Z186" s="859"/>
      <c r="AA186" s="858"/>
      <c r="AB186" s="858"/>
      <c r="AC186" s="858"/>
      <c r="AD186" s="858"/>
      <c r="AE186" s="859">
        <v>215</v>
      </c>
      <c r="AF186" s="859"/>
      <c r="AG186" s="858"/>
      <c r="AH186" s="859">
        <v>116</v>
      </c>
    </row>
    <row r="187" spans="1:34">
      <c r="A187" s="884"/>
      <c r="B187" s="580" t="s">
        <v>131</v>
      </c>
      <c r="C187" s="806">
        <f t="shared" si="93"/>
        <v>0.10263929618768329</v>
      </c>
      <c r="D187" s="806">
        <f t="shared" si="91"/>
        <v>0</v>
      </c>
      <c r="E187" s="806">
        <f t="shared" si="91"/>
        <v>0.12592592592592591</v>
      </c>
      <c r="F187" s="806">
        <f t="shared" si="91"/>
        <v>0</v>
      </c>
      <c r="G187" s="806">
        <f t="shared" si="91"/>
        <v>0.38297872340425532</v>
      </c>
      <c r="H187" s="806">
        <f t="shared" si="91"/>
        <v>0</v>
      </c>
      <c r="I187" s="624">
        <f t="shared" si="91"/>
        <v>9.7810898928737774E-2</v>
      </c>
      <c r="J187" s="624">
        <f t="shared" si="91"/>
        <v>0</v>
      </c>
      <c r="K187" s="625">
        <f t="shared" si="91"/>
        <v>0</v>
      </c>
      <c r="L187" s="625">
        <f t="shared" si="91"/>
        <v>0</v>
      </c>
      <c r="M187" s="625">
        <f t="shared" si="91"/>
        <v>0</v>
      </c>
      <c r="N187" s="624">
        <f t="shared" si="94"/>
        <v>8.027522935779817E-2</v>
      </c>
      <c r="O187" s="624">
        <f t="shared" si="92"/>
        <v>0</v>
      </c>
      <c r="P187" s="626">
        <f t="shared" si="92"/>
        <v>0</v>
      </c>
      <c r="Q187" s="624">
        <f t="shared" si="92"/>
        <v>0.74096385542168675</v>
      </c>
      <c r="R187" s="357"/>
      <c r="S187" s="858">
        <f>154+21</f>
        <v>175</v>
      </c>
      <c r="T187" s="858"/>
      <c r="U187" s="858">
        <f>0+17</f>
        <v>17</v>
      </c>
      <c r="V187" s="858"/>
      <c r="W187" s="858">
        <f>0+18</f>
        <v>18</v>
      </c>
      <c r="X187" s="858"/>
      <c r="Y187" s="859">
        <f>154+56</f>
        <v>210</v>
      </c>
      <c r="Z187" s="859"/>
      <c r="AA187" s="858"/>
      <c r="AB187" s="858"/>
      <c r="AC187" s="858"/>
      <c r="AD187" s="858"/>
      <c r="AE187" s="859">
        <f>47+23</f>
        <v>70</v>
      </c>
      <c r="AF187" s="859"/>
      <c r="AG187" s="858"/>
      <c r="AH187" s="859">
        <f>12+357</f>
        <v>369</v>
      </c>
    </row>
    <row r="188" spans="1:34">
      <c r="A188" s="885"/>
      <c r="B188" s="436" t="s">
        <v>59</v>
      </c>
      <c r="C188" s="807">
        <f t="shared" si="93"/>
        <v>1</v>
      </c>
      <c r="D188" s="808">
        <f t="shared" si="91"/>
        <v>0</v>
      </c>
      <c r="E188" s="808">
        <f t="shared" si="91"/>
        <v>1</v>
      </c>
      <c r="F188" s="808">
        <f t="shared" si="91"/>
        <v>1</v>
      </c>
      <c r="G188" s="808">
        <f t="shared" si="91"/>
        <v>1</v>
      </c>
      <c r="H188" s="809">
        <f t="shared" si="91"/>
        <v>0</v>
      </c>
      <c r="I188" s="577">
        <f t="shared" si="91"/>
        <v>1</v>
      </c>
      <c r="J188" s="577">
        <f t="shared" si="91"/>
        <v>0</v>
      </c>
      <c r="K188" s="578">
        <f t="shared" si="91"/>
        <v>0</v>
      </c>
      <c r="L188" s="578">
        <f t="shared" si="91"/>
        <v>0</v>
      </c>
      <c r="M188" s="578">
        <f t="shared" si="91"/>
        <v>0</v>
      </c>
      <c r="N188" s="577">
        <f t="shared" si="94"/>
        <v>1</v>
      </c>
      <c r="O188" s="577">
        <f t="shared" si="92"/>
        <v>0</v>
      </c>
      <c r="P188" s="579">
        <f t="shared" si="92"/>
        <v>0</v>
      </c>
      <c r="Q188" s="577">
        <f t="shared" si="92"/>
        <v>1</v>
      </c>
      <c r="R188" s="357"/>
      <c r="S188" s="858">
        <v>1705</v>
      </c>
      <c r="T188" s="858"/>
      <c r="U188" s="858">
        <v>135</v>
      </c>
      <c r="V188" s="858">
        <v>260</v>
      </c>
      <c r="W188" s="858">
        <v>47</v>
      </c>
      <c r="X188" s="858"/>
      <c r="Y188" s="859">
        <v>2147</v>
      </c>
      <c r="Z188" s="859"/>
      <c r="AA188" s="858"/>
      <c r="AB188" s="858"/>
      <c r="AC188" s="858"/>
      <c r="AD188" s="858"/>
      <c r="AE188" s="859">
        <v>872</v>
      </c>
      <c r="AF188" s="859"/>
      <c r="AG188" s="858"/>
      <c r="AH188" s="859">
        <v>498</v>
      </c>
    </row>
    <row r="189" spans="1:34">
      <c r="A189" s="882" t="s">
        <v>161</v>
      </c>
      <c r="B189" s="240" t="s">
        <v>53</v>
      </c>
      <c r="C189" s="806">
        <f>IF(S$194&gt;0,(S189/S$194),0)</f>
        <v>0.25220680958385877</v>
      </c>
      <c r="D189" s="806">
        <f t="shared" ref="D189:M194" si="95">IF(T$194&gt;0,(T189/T$194),0)</f>
        <v>0.29062870699881377</v>
      </c>
      <c r="E189" s="806">
        <f t="shared" si="95"/>
        <v>0.38666666666666666</v>
      </c>
      <c r="F189" s="806">
        <f t="shared" si="95"/>
        <v>0.26508226691042047</v>
      </c>
      <c r="G189" s="806">
        <f t="shared" si="95"/>
        <v>0.30223123732251522</v>
      </c>
      <c r="H189" s="806">
        <f t="shared" si="95"/>
        <v>0.35462555066079293</v>
      </c>
      <c r="I189" s="613">
        <f t="shared" si="95"/>
        <v>0.2791545189504373</v>
      </c>
      <c r="J189" s="613">
        <f t="shared" si="95"/>
        <v>0</v>
      </c>
      <c r="K189" s="614">
        <f t="shared" si="95"/>
        <v>0</v>
      </c>
      <c r="L189" s="614">
        <f t="shared" si="95"/>
        <v>0</v>
      </c>
      <c r="M189" s="614">
        <f t="shared" si="95"/>
        <v>0</v>
      </c>
      <c r="N189" s="613">
        <f>IF(AE$194&gt;0,(AE189/AE$194),0)</f>
        <v>2.9001074113856069E-2</v>
      </c>
      <c r="O189" s="613">
        <f t="shared" ref="O189:Q194" si="96">IF(AF$194&gt;0,(AF189/AF$194),0)</f>
        <v>0</v>
      </c>
      <c r="P189" s="615">
        <f t="shared" si="96"/>
        <v>0</v>
      </c>
      <c r="Q189" s="613">
        <f t="shared" si="96"/>
        <v>0</v>
      </c>
      <c r="R189" s="799"/>
      <c r="S189" s="856">
        <v>600</v>
      </c>
      <c r="T189" s="856">
        <v>245</v>
      </c>
      <c r="U189" s="856">
        <v>87</v>
      </c>
      <c r="V189" s="856">
        <v>290</v>
      </c>
      <c r="W189" s="856">
        <v>149</v>
      </c>
      <c r="X189" s="856">
        <v>161</v>
      </c>
      <c r="Y189" s="857">
        <v>1532</v>
      </c>
      <c r="Z189" s="857"/>
      <c r="AA189" s="856"/>
      <c r="AB189" s="856"/>
      <c r="AC189" s="856"/>
      <c r="AD189" s="856"/>
      <c r="AE189" s="857">
        <v>54</v>
      </c>
      <c r="AF189" s="857"/>
      <c r="AG189" s="856"/>
      <c r="AH189" s="857"/>
    </row>
    <row r="190" spans="1:34">
      <c r="A190" s="883"/>
      <c r="B190" s="239" t="s">
        <v>93</v>
      </c>
      <c r="C190" s="806">
        <f t="shared" ref="C190:C194" si="97">IF(S$194&gt;0,(S190/S$194),0)</f>
        <v>0.23497267759562843</v>
      </c>
      <c r="D190" s="806">
        <f t="shared" si="95"/>
        <v>0.23131672597864769</v>
      </c>
      <c r="E190" s="806">
        <f t="shared" si="95"/>
        <v>0.18222222222222223</v>
      </c>
      <c r="F190" s="806">
        <f t="shared" si="95"/>
        <v>0.31809872029250458</v>
      </c>
      <c r="G190" s="806">
        <f t="shared" si="95"/>
        <v>0.30020283975659229</v>
      </c>
      <c r="H190" s="806">
        <f t="shared" si="95"/>
        <v>0.25550660792951541</v>
      </c>
      <c r="I190" s="624">
        <f t="shared" si="95"/>
        <v>0.25637755102040816</v>
      </c>
      <c r="J190" s="624">
        <f t="shared" si="95"/>
        <v>0</v>
      </c>
      <c r="K190" s="625">
        <f t="shared" si="95"/>
        <v>0</v>
      </c>
      <c r="L190" s="625">
        <f t="shared" si="95"/>
        <v>0</v>
      </c>
      <c r="M190" s="625">
        <f t="shared" si="95"/>
        <v>0</v>
      </c>
      <c r="N190" s="624">
        <f t="shared" ref="N190:N194" si="98">IF(AE$194&gt;0,(AE190/AE$194),0)</f>
        <v>1.9334049409237379E-2</v>
      </c>
      <c r="O190" s="624">
        <f t="shared" si="96"/>
        <v>0</v>
      </c>
      <c r="P190" s="626">
        <f t="shared" si="96"/>
        <v>0</v>
      </c>
      <c r="Q190" s="624">
        <f t="shared" si="96"/>
        <v>0</v>
      </c>
      <c r="R190" s="357"/>
      <c r="S190" s="858">
        <v>559</v>
      </c>
      <c r="T190" s="858">
        <v>195</v>
      </c>
      <c r="U190" s="858">
        <v>41</v>
      </c>
      <c r="V190" s="858">
        <v>348</v>
      </c>
      <c r="W190" s="858">
        <v>148</v>
      </c>
      <c r="X190" s="858">
        <v>116</v>
      </c>
      <c r="Y190" s="859">
        <v>1407</v>
      </c>
      <c r="Z190" s="859"/>
      <c r="AA190" s="858"/>
      <c r="AB190" s="858"/>
      <c r="AC190" s="858"/>
      <c r="AD190" s="858"/>
      <c r="AE190" s="859">
        <v>36</v>
      </c>
      <c r="AF190" s="859"/>
      <c r="AG190" s="858"/>
      <c r="AH190" s="859"/>
    </row>
    <row r="191" spans="1:34">
      <c r="A191" s="883"/>
      <c r="B191" s="239" t="s">
        <v>55</v>
      </c>
      <c r="C191" s="806">
        <f t="shared" si="97"/>
        <v>0.21101303068516183</v>
      </c>
      <c r="D191" s="806">
        <f t="shared" si="95"/>
        <v>0.28469750889679718</v>
      </c>
      <c r="E191" s="806">
        <f t="shared" si="95"/>
        <v>0.24444444444444444</v>
      </c>
      <c r="F191" s="806">
        <f t="shared" si="95"/>
        <v>0.28976234003656309</v>
      </c>
      <c r="G191" s="806">
        <f t="shared" si="95"/>
        <v>0.29411764705882354</v>
      </c>
      <c r="H191" s="806">
        <f t="shared" si="95"/>
        <v>0.33480176211453744</v>
      </c>
      <c r="I191" s="624">
        <f t="shared" si="95"/>
        <v>0.25710641399416911</v>
      </c>
      <c r="J191" s="624">
        <f t="shared" si="95"/>
        <v>0</v>
      </c>
      <c r="K191" s="625">
        <f t="shared" si="95"/>
        <v>0</v>
      </c>
      <c r="L191" s="625">
        <f t="shared" si="95"/>
        <v>0</v>
      </c>
      <c r="M191" s="625">
        <f t="shared" si="95"/>
        <v>0</v>
      </c>
      <c r="N191" s="624">
        <f t="shared" si="98"/>
        <v>3.3834586466165412E-2</v>
      </c>
      <c r="O191" s="624">
        <f t="shared" si="96"/>
        <v>0</v>
      </c>
      <c r="P191" s="626">
        <f t="shared" si="96"/>
        <v>0</v>
      </c>
      <c r="Q191" s="624">
        <f t="shared" si="96"/>
        <v>0</v>
      </c>
      <c r="R191" s="357"/>
      <c r="S191" s="858">
        <v>502</v>
      </c>
      <c r="T191" s="858">
        <v>240</v>
      </c>
      <c r="U191" s="858">
        <v>55</v>
      </c>
      <c r="V191" s="858">
        <v>317</v>
      </c>
      <c r="W191" s="858">
        <v>145</v>
      </c>
      <c r="X191" s="858">
        <v>152</v>
      </c>
      <c r="Y191" s="859">
        <v>1411</v>
      </c>
      <c r="Z191" s="859"/>
      <c r="AA191" s="858"/>
      <c r="AB191" s="858"/>
      <c r="AC191" s="858"/>
      <c r="AD191" s="858"/>
      <c r="AE191" s="859">
        <v>63</v>
      </c>
      <c r="AF191" s="859"/>
      <c r="AG191" s="858"/>
      <c r="AH191" s="859"/>
    </row>
    <row r="192" spans="1:34">
      <c r="A192" s="883"/>
      <c r="B192" s="239" t="s">
        <v>78</v>
      </c>
      <c r="C192" s="806">
        <f t="shared" si="97"/>
        <v>0.28919714165615806</v>
      </c>
      <c r="D192" s="806">
        <f t="shared" si="95"/>
        <v>0.19217081850533807</v>
      </c>
      <c r="E192" s="806">
        <f t="shared" si="95"/>
        <v>0.16444444444444445</v>
      </c>
      <c r="F192" s="806">
        <f t="shared" si="95"/>
        <v>9.4149908592321752E-2</v>
      </c>
      <c r="G192" s="806">
        <f t="shared" si="95"/>
        <v>8.7221095334685597E-2</v>
      </c>
      <c r="H192" s="806">
        <f t="shared" si="95"/>
        <v>1.7621145374449341E-2</v>
      </c>
      <c r="I192" s="624">
        <f t="shared" si="95"/>
        <v>0.18968658892128279</v>
      </c>
      <c r="J192" s="624">
        <f t="shared" si="95"/>
        <v>0</v>
      </c>
      <c r="K192" s="625">
        <f t="shared" si="95"/>
        <v>0</v>
      </c>
      <c r="L192" s="625">
        <f t="shared" si="95"/>
        <v>0</v>
      </c>
      <c r="M192" s="625">
        <f t="shared" si="95"/>
        <v>0</v>
      </c>
      <c r="N192" s="624">
        <f t="shared" si="98"/>
        <v>0.69441460794844256</v>
      </c>
      <c r="O192" s="624">
        <f t="shared" si="96"/>
        <v>0</v>
      </c>
      <c r="P192" s="626">
        <f t="shared" si="96"/>
        <v>0</v>
      </c>
      <c r="Q192" s="624">
        <f t="shared" si="96"/>
        <v>0.7192982456140351</v>
      </c>
      <c r="R192" s="357"/>
      <c r="S192" s="858">
        <v>688</v>
      </c>
      <c r="T192" s="858">
        <v>162</v>
      </c>
      <c r="U192" s="858">
        <v>37</v>
      </c>
      <c r="V192" s="858">
        <v>103</v>
      </c>
      <c r="W192" s="858">
        <v>43</v>
      </c>
      <c r="X192" s="858">
        <v>8</v>
      </c>
      <c r="Y192" s="859">
        <v>1041</v>
      </c>
      <c r="Z192" s="859"/>
      <c r="AA192" s="858"/>
      <c r="AB192" s="858"/>
      <c r="AC192" s="858"/>
      <c r="AD192" s="858"/>
      <c r="AE192" s="859">
        <v>1293</v>
      </c>
      <c r="AF192" s="859"/>
      <c r="AG192" s="858"/>
      <c r="AH192" s="859">
        <v>41</v>
      </c>
    </row>
    <row r="193" spans="1:34">
      <c r="A193" s="884"/>
      <c r="B193" s="580" t="s">
        <v>131</v>
      </c>
      <c r="C193" s="806">
        <f t="shared" si="97"/>
        <v>1.2610340479192938E-2</v>
      </c>
      <c r="D193" s="806">
        <f t="shared" si="95"/>
        <v>1.1862396204033216E-3</v>
      </c>
      <c r="E193" s="806">
        <f t="shared" si="95"/>
        <v>2.2222222222222223E-2</v>
      </c>
      <c r="F193" s="806">
        <f t="shared" si="95"/>
        <v>3.2906764168190127E-2</v>
      </c>
      <c r="G193" s="806">
        <f t="shared" si="95"/>
        <v>1.6227180527383367E-2</v>
      </c>
      <c r="H193" s="806">
        <f t="shared" si="95"/>
        <v>3.7444933920704845E-2</v>
      </c>
      <c r="I193" s="624">
        <f t="shared" si="95"/>
        <v>1.7674927113702624E-2</v>
      </c>
      <c r="J193" s="624">
        <f t="shared" si="95"/>
        <v>0</v>
      </c>
      <c r="K193" s="625">
        <f t="shared" si="95"/>
        <v>0</v>
      </c>
      <c r="L193" s="625">
        <f t="shared" si="95"/>
        <v>0</v>
      </c>
      <c r="M193" s="625">
        <f t="shared" si="95"/>
        <v>0</v>
      </c>
      <c r="N193" s="624">
        <f t="shared" si="98"/>
        <v>0.22341568206229862</v>
      </c>
      <c r="O193" s="624">
        <f t="shared" si="96"/>
        <v>0</v>
      </c>
      <c r="P193" s="626">
        <f t="shared" si="96"/>
        <v>0</v>
      </c>
      <c r="Q193" s="624">
        <f t="shared" si="96"/>
        <v>0.2807017543859649</v>
      </c>
      <c r="R193" s="357"/>
      <c r="S193" s="858">
        <f>29+1</f>
        <v>30</v>
      </c>
      <c r="T193" s="858">
        <v>1</v>
      </c>
      <c r="U193" s="858">
        <f>4+1</f>
        <v>5</v>
      </c>
      <c r="V193" s="858">
        <f>15+21</f>
        <v>36</v>
      </c>
      <c r="W193" s="858">
        <f>0+8</f>
        <v>8</v>
      </c>
      <c r="X193" s="858">
        <f>0+17</f>
        <v>17</v>
      </c>
      <c r="Y193" s="859">
        <f>49+48</f>
        <v>97</v>
      </c>
      <c r="Z193" s="859"/>
      <c r="AA193" s="858"/>
      <c r="AB193" s="858"/>
      <c r="AC193" s="858"/>
      <c r="AD193" s="858"/>
      <c r="AE193" s="859">
        <v>416</v>
      </c>
      <c r="AF193" s="859"/>
      <c r="AG193" s="858"/>
      <c r="AH193" s="859">
        <v>16</v>
      </c>
    </row>
    <row r="194" spans="1:34">
      <c r="A194" s="885"/>
      <c r="B194" s="436" t="s">
        <v>59</v>
      </c>
      <c r="C194" s="807">
        <f t="shared" si="97"/>
        <v>1</v>
      </c>
      <c r="D194" s="808">
        <f t="shared" si="95"/>
        <v>1</v>
      </c>
      <c r="E194" s="808">
        <f t="shared" si="95"/>
        <v>1</v>
      </c>
      <c r="F194" s="808">
        <f t="shared" si="95"/>
        <v>1</v>
      </c>
      <c r="G194" s="808">
        <f t="shared" si="95"/>
        <v>1</v>
      </c>
      <c r="H194" s="809">
        <f t="shared" si="95"/>
        <v>1</v>
      </c>
      <c r="I194" s="577">
        <f t="shared" si="95"/>
        <v>1</v>
      </c>
      <c r="J194" s="577">
        <f t="shared" si="95"/>
        <v>0</v>
      </c>
      <c r="K194" s="578">
        <f t="shared" si="95"/>
        <v>0</v>
      </c>
      <c r="L194" s="578">
        <f t="shared" si="95"/>
        <v>0</v>
      </c>
      <c r="M194" s="578">
        <f t="shared" si="95"/>
        <v>0</v>
      </c>
      <c r="N194" s="577">
        <f t="shared" si="98"/>
        <v>1</v>
      </c>
      <c r="O194" s="577">
        <f t="shared" si="96"/>
        <v>0</v>
      </c>
      <c r="P194" s="579">
        <f t="shared" si="96"/>
        <v>0</v>
      </c>
      <c r="Q194" s="577">
        <f t="shared" si="96"/>
        <v>1</v>
      </c>
      <c r="R194" s="357"/>
      <c r="S194" s="858">
        <v>2379</v>
      </c>
      <c r="T194" s="858">
        <v>843</v>
      </c>
      <c r="U194" s="858">
        <v>225</v>
      </c>
      <c r="V194" s="858">
        <v>1094</v>
      </c>
      <c r="W194" s="858">
        <v>493</v>
      </c>
      <c r="X194" s="858">
        <v>454</v>
      </c>
      <c r="Y194" s="859">
        <v>5488</v>
      </c>
      <c r="Z194" s="859"/>
      <c r="AA194" s="858"/>
      <c r="AB194" s="858"/>
      <c r="AC194" s="858"/>
      <c r="AD194" s="858"/>
      <c r="AE194" s="859">
        <v>1862</v>
      </c>
      <c r="AF194" s="859"/>
      <c r="AG194" s="858"/>
      <c r="AH194" s="859">
        <v>57</v>
      </c>
    </row>
    <row r="195" spans="1:34">
      <c r="A195" s="882" t="s">
        <v>165</v>
      </c>
      <c r="B195" s="240" t="s">
        <v>53</v>
      </c>
      <c r="C195" s="806">
        <f>IF(S$200&gt;0,(S195/S$200),0)</f>
        <v>0.32012910798122068</v>
      </c>
      <c r="D195" s="806">
        <f t="shared" ref="D195:M200" si="99">IF(T$200&gt;0,(T195/T$200),0)</f>
        <v>0</v>
      </c>
      <c r="E195" s="806">
        <f t="shared" si="99"/>
        <v>0</v>
      </c>
      <c r="F195" s="806">
        <f t="shared" si="99"/>
        <v>0.26750261233019856</v>
      </c>
      <c r="G195" s="806">
        <f t="shared" si="99"/>
        <v>0.18270799347471453</v>
      </c>
      <c r="H195" s="806">
        <f t="shared" si="99"/>
        <v>0</v>
      </c>
      <c r="I195" s="613">
        <f t="shared" si="99"/>
        <v>0.293089594214544</v>
      </c>
      <c r="J195" s="613">
        <f t="shared" si="99"/>
        <v>0</v>
      </c>
      <c r="K195" s="614">
        <f t="shared" si="99"/>
        <v>0</v>
      </c>
      <c r="L195" s="614">
        <f t="shared" si="99"/>
        <v>0</v>
      </c>
      <c r="M195" s="614">
        <f t="shared" si="99"/>
        <v>0</v>
      </c>
      <c r="N195" s="613">
        <f>IF(AE$200&gt;0,(AE195/AE$200),0)</f>
        <v>0.12162162162162163</v>
      </c>
      <c r="O195" s="613">
        <f t="shared" ref="O195:Q200" si="100">IF(AF$200&gt;0,(AF195/AF$200),0)</f>
        <v>0</v>
      </c>
      <c r="P195" s="615">
        <f t="shared" si="100"/>
        <v>0</v>
      </c>
      <c r="Q195" s="613">
        <f t="shared" si="100"/>
        <v>0</v>
      </c>
      <c r="R195" s="799"/>
      <c r="S195" s="856">
        <v>1091</v>
      </c>
      <c r="T195" s="856"/>
      <c r="U195" s="856"/>
      <c r="V195" s="856">
        <v>256</v>
      </c>
      <c r="W195" s="856">
        <v>112</v>
      </c>
      <c r="X195" s="856"/>
      <c r="Y195" s="857">
        <v>1459</v>
      </c>
      <c r="Z195" s="857"/>
      <c r="AA195" s="856"/>
      <c r="AB195" s="856"/>
      <c r="AC195" s="856"/>
      <c r="AD195" s="856"/>
      <c r="AE195" s="857">
        <v>90</v>
      </c>
      <c r="AF195" s="857"/>
      <c r="AG195" s="856"/>
      <c r="AH195" s="857"/>
    </row>
    <row r="196" spans="1:34">
      <c r="A196" s="883"/>
      <c r="B196" s="239" t="s">
        <v>93</v>
      </c>
      <c r="C196" s="806">
        <f t="shared" ref="C196:C200" si="101">IF(S$200&gt;0,(S196/S$200),0)</f>
        <v>0.30780516431924881</v>
      </c>
      <c r="D196" s="806">
        <f t="shared" si="99"/>
        <v>0</v>
      </c>
      <c r="E196" s="806">
        <f t="shared" si="99"/>
        <v>0</v>
      </c>
      <c r="F196" s="806">
        <f t="shared" si="99"/>
        <v>0.23719958202716823</v>
      </c>
      <c r="G196" s="806">
        <f t="shared" si="99"/>
        <v>0.38336052202283849</v>
      </c>
      <c r="H196" s="806">
        <f t="shared" si="99"/>
        <v>0</v>
      </c>
      <c r="I196" s="624">
        <f t="shared" si="99"/>
        <v>0.30353555644837282</v>
      </c>
      <c r="J196" s="624">
        <f t="shared" si="99"/>
        <v>0</v>
      </c>
      <c r="K196" s="625">
        <f t="shared" si="99"/>
        <v>0</v>
      </c>
      <c r="L196" s="625">
        <f t="shared" si="99"/>
        <v>0</v>
      </c>
      <c r="M196" s="625">
        <f t="shared" si="99"/>
        <v>0</v>
      </c>
      <c r="N196" s="624">
        <f t="shared" ref="N196:N200" si="102">IF(AE$200&gt;0,(AE196/AE$200),0)</f>
        <v>0.27297297297297296</v>
      </c>
      <c r="O196" s="624">
        <f t="shared" si="100"/>
        <v>0</v>
      </c>
      <c r="P196" s="626">
        <f t="shared" si="100"/>
        <v>0</v>
      </c>
      <c r="Q196" s="624">
        <f t="shared" si="100"/>
        <v>0</v>
      </c>
      <c r="R196" s="357"/>
      <c r="S196" s="858">
        <v>1049</v>
      </c>
      <c r="T196" s="858"/>
      <c r="U196" s="858"/>
      <c r="V196" s="858">
        <v>227</v>
      </c>
      <c r="W196" s="858">
        <v>235</v>
      </c>
      <c r="X196" s="858"/>
      <c r="Y196" s="859">
        <v>1511</v>
      </c>
      <c r="Z196" s="859"/>
      <c r="AA196" s="858"/>
      <c r="AB196" s="858"/>
      <c r="AC196" s="858"/>
      <c r="AD196" s="858"/>
      <c r="AE196" s="859">
        <v>202</v>
      </c>
      <c r="AF196" s="859"/>
      <c r="AG196" s="858"/>
      <c r="AH196" s="859"/>
    </row>
    <row r="197" spans="1:34">
      <c r="A197" s="883"/>
      <c r="B197" s="239" t="s">
        <v>55</v>
      </c>
      <c r="C197" s="806">
        <f t="shared" si="101"/>
        <v>0.23591549295774647</v>
      </c>
      <c r="D197" s="806">
        <f t="shared" si="99"/>
        <v>0</v>
      </c>
      <c r="E197" s="806">
        <f t="shared" si="99"/>
        <v>0</v>
      </c>
      <c r="F197" s="806">
        <f t="shared" si="99"/>
        <v>0.33542319749216298</v>
      </c>
      <c r="G197" s="806">
        <f t="shared" si="99"/>
        <v>0.23980424143556281</v>
      </c>
      <c r="H197" s="806">
        <f t="shared" si="99"/>
        <v>0</v>
      </c>
      <c r="I197" s="624">
        <f t="shared" si="99"/>
        <v>0.25552430695058254</v>
      </c>
      <c r="J197" s="624">
        <f t="shared" si="99"/>
        <v>0</v>
      </c>
      <c r="K197" s="625">
        <f t="shared" si="99"/>
        <v>0</v>
      </c>
      <c r="L197" s="625">
        <f t="shared" si="99"/>
        <v>0</v>
      </c>
      <c r="M197" s="625">
        <f t="shared" si="99"/>
        <v>0</v>
      </c>
      <c r="N197" s="624">
        <f t="shared" si="102"/>
        <v>0.25405405405405407</v>
      </c>
      <c r="O197" s="624">
        <f t="shared" si="100"/>
        <v>0</v>
      </c>
      <c r="P197" s="626">
        <f t="shared" si="100"/>
        <v>0</v>
      </c>
      <c r="Q197" s="624">
        <f t="shared" si="100"/>
        <v>0</v>
      </c>
      <c r="R197" s="357"/>
      <c r="S197" s="858">
        <v>804</v>
      </c>
      <c r="T197" s="858"/>
      <c r="U197" s="858"/>
      <c r="V197" s="858">
        <v>321</v>
      </c>
      <c r="W197" s="858">
        <v>147</v>
      </c>
      <c r="X197" s="858"/>
      <c r="Y197" s="859">
        <v>1272</v>
      </c>
      <c r="Z197" s="859"/>
      <c r="AA197" s="858"/>
      <c r="AB197" s="858"/>
      <c r="AC197" s="858"/>
      <c r="AD197" s="858"/>
      <c r="AE197" s="859">
        <v>188</v>
      </c>
      <c r="AF197" s="859"/>
      <c r="AG197" s="858"/>
      <c r="AH197" s="859"/>
    </row>
    <row r="198" spans="1:34">
      <c r="A198" s="883"/>
      <c r="B198" s="239" t="s">
        <v>78</v>
      </c>
      <c r="C198" s="806">
        <f t="shared" si="101"/>
        <v>2.3767605633802816E-2</v>
      </c>
      <c r="D198" s="806">
        <f t="shared" si="99"/>
        <v>0</v>
      </c>
      <c r="E198" s="806">
        <f t="shared" si="99"/>
        <v>0</v>
      </c>
      <c r="F198" s="806">
        <f t="shared" si="99"/>
        <v>8.1504702194357362E-2</v>
      </c>
      <c r="G198" s="806">
        <f t="shared" si="99"/>
        <v>9.7879282218597055E-3</v>
      </c>
      <c r="H198" s="806">
        <f t="shared" si="99"/>
        <v>0</v>
      </c>
      <c r="I198" s="624">
        <f t="shared" si="99"/>
        <v>3.3145841703495382E-2</v>
      </c>
      <c r="J198" s="624">
        <f t="shared" si="99"/>
        <v>0</v>
      </c>
      <c r="K198" s="625">
        <f t="shared" si="99"/>
        <v>0</v>
      </c>
      <c r="L198" s="625">
        <f t="shared" si="99"/>
        <v>0</v>
      </c>
      <c r="M198" s="625">
        <f t="shared" si="99"/>
        <v>0</v>
      </c>
      <c r="N198" s="624">
        <f t="shared" si="102"/>
        <v>0.29729729729729731</v>
      </c>
      <c r="O198" s="624">
        <f t="shared" si="100"/>
        <v>0</v>
      </c>
      <c r="P198" s="626">
        <f t="shared" si="100"/>
        <v>0</v>
      </c>
      <c r="Q198" s="624">
        <f t="shared" si="100"/>
        <v>1</v>
      </c>
      <c r="R198" s="357"/>
      <c r="S198" s="858">
        <v>81</v>
      </c>
      <c r="T198" s="858"/>
      <c r="U198" s="858"/>
      <c r="V198" s="858">
        <v>78</v>
      </c>
      <c r="W198" s="858">
        <v>6</v>
      </c>
      <c r="X198" s="858"/>
      <c r="Y198" s="859">
        <v>165</v>
      </c>
      <c r="Z198" s="859"/>
      <c r="AA198" s="858"/>
      <c r="AB198" s="858"/>
      <c r="AC198" s="858"/>
      <c r="AD198" s="858"/>
      <c r="AE198" s="859">
        <v>220</v>
      </c>
      <c r="AF198" s="859"/>
      <c r="AG198" s="858"/>
      <c r="AH198" s="859">
        <v>7</v>
      </c>
    </row>
    <row r="199" spans="1:34">
      <c r="A199" s="884"/>
      <c r="B199" s="580" t="s">
        <v>131</v>
      </c>
      <c r="C199" s="806">
        <f t="shared" si="101"/>
        <v>0.11238262910798122</v>
      </c>
      <c r="D199" s="806">
        <f t="shared" si="99"/>
        <v>0</v>
      </c>
      <c r="E199" s="806">
        <f t="shared" si="99"/>
        <v>0</v>
      </c>
      <c r="F199" s="806">
        <f t="shared" si="99"/>
        <v>7.8369905956112859E-2</v>
      </c>
      <c r="G199" s="806">
        <f t="shared" si="99"/>
        <v>0.18433931484502447</v>
      </c>
      <c r="H199" s="806">
        <f t="shared" si="99"/>
        <v>0</v>
      </c>
      <c r="I199" s="624">
        <f t="shared" si="99"/>
        <v>0.11470470068300523</v>
      </c>
      <c r="J199" s="624">
        <f t="shared" si="99"/>
        <v>0</v>
      </c>
      <c r="K199" s="625">
        <f t="shared" si="99"/>
        <v>0</v>
      </c>
      <c r="L199" s="625">
        <f t="shared" si="99"/>
        <v>0</v>
      </c>
      <c r="M199" s="625">
        <f t="shared" si="99"/>
        <v>0</v>
      </c>
      <c r="N199" s="624">
        <f t="shared" si="102"/>
        <v>5.4054054054054057E-2</v>
      </c>
      <c r="O199" s="624">
        <f t="shared" si="100"/>
        <v>0</v>
      </c>
      <c r="P199" s="626">
        <f t="shared" si="100"/>
        <v>0</v>
      </c>
      <c r="Q199" s="624">
        <f t="shared" si="100"/>
        <v>0</v>
      </c>
      <c r="R199" s="357"/>
      <c r="S199" s="858">
        <f>333+50</f>
        <v>383</v>
      </c>
      <c r="T199" s="858"/>
      <c r="U199" s="858"/>
      <c r="V199" s="858">
        <f>38+37</f>
        <v>75</v>
      </c>
      <c r="W199" s="858">
        <f>90+23</f>
        <v>113</v>
      </c>
      <c r="X199" s="858"/>
      <c r="Y199" s="859">
        <f>461+110</f>
        <v>571</v>
      </c>
      <c r="Z199" s="859"/>
      <c r="AA199" s="858"/>
      <c r="AB199" s="858"/>
      <c r="AC199" s="858"/>
      <c r="AD199" s="858"/>
      <c r="AE199" s="859">
        <f>7+33</f>
        <v>40</v>
      </c>
      <c r="AF199" s="859"/>
      <c r="AG199" s="858"/>
      <c r="AH199" s="859"/>
    </row>
    <row r="200" spans="1:34">
      <c r="A200" s="885"/>
      <c r="B200" s="436" t="s">
        <v>59</v>
      </c>
      <c r="C200" s="807">
        <f t="shared" si="101"/>
        <v>1</v>
      </c>
      <c r="D200" s="808">
        <f t="shared" si="99"/>
        <v>0</v>
      </c>
      <c r="E200" s="808">
        <f t="shared" si="99"/>
        <v>0</v>
      </c>
      <c r="F200" s="808">
        <f t="shared" si="99"/>
        <v>1</v>
      </c>
      <c r="G200" s="808">
        <f t="shared" si="99"/>
        <v>1</v>
      </c>
      <c r="H200" s="809">
        <f t="shared" si="99"/>
        <v>0</v>
      </c>
      <c r="I200" s="577">
        <f t="shared" si="99"/>
        <v>1</v>
      </c>
      <c r="J200" s="577">
        <f t="shared" si="99"/>
        <v>0</v>
      </c>
      <c r="K200" s="578">
        <f t="shared" si="99"/>
        <v>0</v>
      </c>
      <c r="L200" s="578">
        <f t="shared" si="99"/>
        <v>0</v>
      </c>
      <c r="M200" s="578">
        <f t="shared" si="99"/>
        <v>0</v>
      </c>
      <c r="N200" s="577">
        <f t="shared" si="102"/>
        <v>1</v>
      </c>
      <c r="O200" s="577">
        <f t="shared" si="100"/>
        <v>0</v>
      </c>
      <c r="P200" s="579">
        <f t="shared" si="100"/>
        <v>0</v>
      </c>
      <c r="Q200" s="577">
        <f t="shared" si="100"/>
        <v>1</v>
      </c>
      <c r="R200" s="357"/>
      <c r="S200" s="858">
        <v>3408</v>
      </c>
      <c r="T200" s="858"/>
      <c r="U200" s="858"/>
      <c r="V200" s="858">
        <v>957</v>
      </c>
      <c r="W200" s="858">
        <v>613</v>
      </c>
      <c r="X200" s="858"/>
      <c r="Y200" s="859">
        <v>4978</v>
      </c>
      <c r="Z200" s="859"/>
      <c r="AA200" s="858"/>
      <c r="AB200" s="858"/>
      <c r="AC200" s="858"/>
      <c r="AD200" s="858"/>
      <c r="AE200" s="859">
        <v>740</v>
      </c>
      <c r="AF200" s="859"/>
      <c r="AG200" s="858"/>
      <c r="AH200" s="859">
        <v>7</v>
      </c>
    </row>
    <row r="201" spans="1:34">
      <c r="A201" s="882" t="s">
        <v>167</v>
      </c>
      <c r="B201" s="240" t="s">
        <v>53</v>
      </c>
      <c r="C201" s="806">
        <f>IF(S$206&gt;0,(S201/S$206),0)</f>
        <v>0.33343558282208591</v>
      </c>
      <c r="D201" s="806">
        <f t="shared" ref="D201:M206" si="103">IF(T$206&gt;0,(T201/T$206),0)</f>
        <v>0</v>
      </c>
      <c r="E201" s="806">
        <f t="shared" si="103"/>
        <v>0.27612317011610299</v>
      </c>
      <c r="F201" s="806">
        <f t="shared" si="103"/>
        <v>0.23432835820895523</v>
      </c>
      <c r="G201" s="806">
        <f t="shared" si="103"/>
        <v>0.23950056753688989</v>
      </c>
      <c r="H201" s="806">
        <f t="shared" si="103"/>
        <v>0.18857142857142858</v>
      </c>
      <c r="I201" s="613">
        <f t="shared" si="103"/>
        <v>0.28702370040591857</v>
      </c>
      <c r="J201" s="613">
        <f t="shared" si="103"/>
        <v>0</v>
      </c>
      <c r="K201" s="614">
        <f t="shared" si="103"/>
        <v>0</v>
      </c>
      <c r="L201" s="614">
        <f t="shared" si="103"/>
        <v>0</v>
      </c>
      <c r="M201" s="614">
        <f t="shared" si="103"/>
        <v>0</v>
      </c>
      <c r="N201" s="613">
        <f>IF(AE$206&gt;0,(AE201/AE$206),0)</f>
        <v>8.6299892125134836E-3</v>
      </c>
      <c r="O201" s="613">
        <f t="shared" ref="O201:Q206" si="104">IF(AF$206&gt;0,(AF201/AF$206),0)</f>
        <v>0</v>
      </c>
      <c r="P201" s="615">
        <f t="shared" si="104"/>
        <v>0</v>
      </c>
      <c r="Q201" s="613">
        <f t="shared" si="104"/>
        <v>1.2919896640826874E-3</v>
      </c>
      <c r="R201" s="799"/>
      <c r="S201" s="856">
        <v>1087</v>
      </c>
      <c r="T201" s="856"/>
      <c r="U201" s="856">
        <v>547</v>
      </c>
      <c r="V201" s="856">
        <v>314</v>
      </c>
      <c r="W201" s="856">
        <v>211</v>
      </c>
      <c r="X201" s="856">
        <v>33</v>
      </c>
      <c r="Y201" s="857">
        <v>2192</v>
      </c>
      <c r="Z201" s="857"/>
      <c r="AA201" s="856"/>
      <c r="AB201" s="856"/>
      <c r="AC201" s="856"/>
      <c r="AD201" s="856"/>
      <c r="AE201" s="857">
        <v>24</v>
      </c>
      <c r="AF201" s="857"/>
      <c r="AG201" s="856"/>
      <c r="AH201" s="857">
        <v>1</v>
      </c>
    </row>
    <row r="202" spans="1:34">
      <c r="A202" s="883"/>
      <c r="B202" s="239" t="s">
        <v>93</v>
      </c>
      <c r="C202" s="806">
        <f t="shared" ref="C202:C206" si="105">IF(S$206&gt;0,(S202/S$206),0)</f>
        <v>0.23312883435582821</v>
      </c>
      <c r="D202" s="806">
        <f t="shared" si="103"/>
        <v>0</v>
      </c>
      <c r="E202" s="806">
        <f t="shared" si="103"/>
        <v>0.27410398788490659</v>
      </c>
      <c r="F202" s="806">
        <f t="shared" si="103"/>
        <v>0.27910447761194029</v>
      </c>
      <c r="G202" s="806">
        <f t="shared" si="103"/>
        <v>0.23950056753688989</v>
      </c>
      <c r="H202" s="806">
        <f t="shared" si="103"/>
        <v>0.23428571428571429</v>
      </c>
      <c r="I202" s="624">
        <f t="shared" si="103"/>
        <v>0.25258609401597487</v>
      </c>
      <c r="J202" s="624">
        <f t="shared" si="103"/>
        <v>0</v>
      </c>
      <c r="K202" s="625">
        <f t="shared" si="103"/>
        <v>0</v>
      </c>
      <c r="L202" s="625">
        <f t="shared" si="103"/>
        <v>0</v>
      </c>
      <c r="M202" s="625">
        <f t="shared" si="103"/>
        <v>0</v>
      </c>
      <c r="N202" s="624">
        <f t="shared" ref="N202:N206" si="106">IF(AE$206&gt;0,(AE202/AE$206),0)</f>
        <v>9.3491549802229412E-3</v>
      </c>
      <c r="O202" s="624">
        <f t="shared" si="104"/>
        <v>0</v>
      </c>
      <c r="P202" s="626">
        <f t="shared" si="104"/>
        <v>0</v>
      </c>
      <c r="Q202" s="624">
        <f t="shared" si="104"/>
        <v>0</v>
      </c>
      <c r="R202" s="357"/>
      <c r="S202" s="858">
        <v>760</v>
      </c>
      <c r="T202" s="858"/>
      <c r="U202" s="858">
        <v>543</v>
      </c>
      <c r="V202" s="858">
        <v>374</v>
      </c>
      <c r="W202" s="858">
        <v>211</v>
      </c>
      <c r="X202" s="858">
        <v>41</v>
      </c>
      <c r="Y202" s="859">
        <v>1929</v>
      </c>
      <c r="Z202" s="859"/>
      <c r="AA202" s="858"/>
      <c r="AB202" s="858"/>
      <c r="AC202" s="858"/>
      <c r="AD202" s="858"/>
      <c r="AE202" s="859">
        <v>26</v>
      </c>
      <c r="AF202" s="859"/>
      <c r="AG202" s="858"/>
      <c r="AH202" s="859"/>
    </row>
    <row r="203" spans="1:34">
      <c r="A203" s="883"/>
      <c r="B203" s="239" t="s">
        <v>55</v>
      </c>
      <c r="C203" s="806">
        <f t="shared" si="105"/>
        <v>0.17791411042944785</v>
      </c>
      <c r="D203" s="806">
        <f t="shared" si="103"/>
        <v>0</v>
      </c>
      <c r="E203" s="806">
        <f t="shared" si="103"/>
        <v>0.19131751640585562</v>
      </c>
      <c r="F203" s="806">
        <f t="shared" si="103"/>
        <v>0.29477611940298509</v>
      </c>
      <c r="G203" s="806">
        <f t="shared" si="103"/>
        <v>0.25766174801362091</v>
      </c>
      <c r="H203" s="806">
        <f t="shared" si="103"/>
        <v>0.41142857142857142</v>
      </c>
      <c r="I203" s="624">
        <f t="shared" si="103"/>
        <v>0.21644624852690847</v>
      </c>
      <c r="J203" s="624">
        <f t="shared" si="103"/>
        <v>0</v>
      </c>
      <c r="K203" s="625">
        <f t="shared" si="103"/>
        <v>0</v>
      </c>
      <c r="L203" s="625">
        <f t="shared" si="103"/>
        <v>0</v>
      </c>
      <c r="M203" s="625">
        <f t="shared" si="103"/>
        <v>0</v>
      </c>
      <c r="N203" s="624">
        <f t="shared" si="106"/>
        <v>2.1574973031283709E-3</v>
      </c>
      <c r="O203" s="624">
        <f t="shared" si="104"/>
        <v>0</v>
      </c>
      <c r="P203" s="626">
        <f t="shared" si="104"/>
        <v>0</v>
      </c>
      <c r="Q203" s="624">
        <f t="shared" si="104"/>
        <v>7.3643410852713184E-2</v>
      </c>
      <c r="R203" s="357"/>
      <c r="S203" s="858">
        <v>580</v>
      </c>
      <c r="T203" s="858"/>
      <c r="U203" s="858">
        <v>379</v>
      </c>
      <c r="V203" s="858">
        <v>395</v>
      </c>
      <c r="W203" s="858">
        <v>227</v>
      </c>
      <c r="X203" s="858">
        <v>72</v>
      </c>
      <c r="Y203" s="859">
        <v>1653</v>
      </c>
      <c r="Z203" s="859"/>
      <c r="AA203" s="858"/>
      <c r="AB203" s="858"/>
      <c r="AC203" s="858"/>
      <c r="AD203" s="858"/>
      <c r="AE203" s="859">
        <v>6</v>
      </c>
      <c r="AF203" s="859"/>
      <c r="AG203" s="858"/>
      <c r="AH203" s="859">
        <v>57</v>
      </c>
    </row>
    <row r="204" spans="1:34">
      <c r="A204" s="883"/>
      <c r="B204" s="239" t="s">
        <v>78</v>
      </c>
      <c r="C204" s="806">
        <f t="shared" si="105"/>
        <v>6.6871165644171782E-2</v>
      </c>
      <c r="D204" s="806">
        <f t="shared" si="103"/>
        <v>0</v>
      </c>
      <c r="E204" s="806">
        <f t="shared" si="103"/>
        <v>0.1110550227158001</v>
      </c>
      <c r="F204" s="806">
        <f t="shared" si="103"/>
        <v>5.2985074626865671E-2</v>
      </c>
      <c r="G204" s="806">
        <f t="shared" si="103"/>
        <v>4.4267877412031781E-2</v>
      </c>
      <c r="H204" s="806">
        <f t="shared" si="103"/>
        <v>4.5714285714285714E-2</v>
      </c>
      <c r="I204" s="624">
        <f t="shared" si="103"/>
        <v>7.2803456854785911E-2</v>
      </c>
      <c r="J204" s="624">
        <f t="shared" si="103"/>
        <v>0</v>
      </c>
      <c r="K204" s="625">
        <f t="shared" si="103"/>
        <v>0</v>
      </c>
      <c r="L204" s="625">
        <f t="shared" si="103"/>
        <v>0</v>
      </c>
      <c r="M204" s="625">
        <f t="shared" si="103"/>
        <v>0</v>
      </c>
      <c r="N204" s="624">
        <f t="shared" si="106"/>
        <v>0.12621359223300971</v>
      </c>
      <c r="O204" s="624">
        <f t="shared" si="104"/>
        <v>0</v>
      </c>
      <c r="P204" s="626">
        <f t="shared" si="104"/>
        <v>0</v>
      </c>
      <c r="Q204" s="624">
        <f t="shared" si="104"/>
        <v>0.52713178294573648</v>
      </c>
      <c r="R204" s="357"/>
      <c r="S204" s="858">
        <v>218</v>
      </c>
      <c r="T204" s="858"/>
      <c r="U204" s="858">
        <v>220</v>
      </c>
      <c r="V204" s="858">
        <v>71</v>
      </c>
      <c r="W204" s="858">
        <v>39</v>
      </c>
      <c r="X204" s="858">
        <v>8</v>
      </c>
      <c r="Y204" s="859">
        <v>556</v>
      </c>
      <c r="Z204" s="859"/>
      <c r="AA204" s="858"/>
      <c r="AB204" s="858"/>
      <c r="AC204" s="858"/>
      <c r="AD204" s="858"/>
      <c r="AE204" s="859">
        <v>351</v>
      </c>
      <c r="AF204" s="859"/>
      <c r="AG204" s="858"/>
      <c r="AH204" s="859">
        <v>408</v>
      </c>
    </row>
    <row r="205" spans="1:34">
      <c r="A205" s="884"/>
      <c r="B205" s="580" t="s">
        <v>131</v>
      </c>
      <c r="C205" s="806">
        <f t="shared" si="105"/>
        <v>0.18865030674846625</v>
      </c>
      <c r="D205" s="806">
        <f t="shared" si="103"/>
        <v>0</v>
      </c>
      <c r="E205" s="806">
        <f t="shared" si="103"/>
        <v>0.14740030287733469</v>
      </c>
      <c r="F205" s="806">
        <f t="shared" si="103"/>
        <v>0.13880597014925372</v>
      </c>
      <c r="G205" s="806">
        <f t="shared" si="103"/>
        <v>0.21906923950056753</v>
      </c>
      <c r="H205" s="806">
        <f t="shared" si="103"/>
        <v>0.12</v>
      </c>
      <c r="I205" s="624">
        <f t="shared" si="103"/>
        <v>0.17114050019641219</v>
      </c>
      <c r="J205" s="624">
        <f t="shared" si="103"/>
        <v>0</v>
      </c>
      <c r="K205" s="625">
        <f t="shared" si="103"/>
        <v>0</v>
      </c>
      <c r="L205" s="625">
        <f t="shared" si="103"/>
        <v>0</v>
      </c>
      <c r="M205" s="625">
        <f t="shared" si="103"/>
        <v>0</v>
      </c>
      <c r="N205" s="624">
        <f t="shared" si="106"/>
        <v>0.85364976627112554</v>
      </c>
      <c r="O205" s="624">
        <f t="shared" si="104"/>
        <v>0</v>
      </c>
      <c r="P205" s="626">
        <f t="shared" si="104"/>
        <v>0</v>
      </c>
      <c r="Q205" s="624">
        <f t="shared" si="104"/>
        <v>0.3979328165374677</v>
      </c>
      <c r="R205" s="357"/>
      <c r="S205" s="858">
        <f>350+265</f>
        <v>615</v>
      </c>
      <c r="T205" s="858"/>
      <c r="U205" s="858">
        <f>125+167</f>
        <v>292</v>
      </c>
      <c r="V205" s="858">
        <f>171+15</f>
        <v>186</v>
      </c>
      <c r="W205" s="858">
        <f>0+193</f>
        <v>193</v>
      </c>
      <c r="X205" s="858">
        <v>21</v>
      </c>
      <c r="Y205" s="859">
        <f>667+640</f>
        <v>1307</v>
      </c>
      <c r="Z205" s="859"/>
      <c r="AA205" s="858"/>
      <c r="AB205" s="858"/>
      <c r="AC205" s="858"/>
      <c r="AD205" s="858"/>
      <c r="AE205" s="859">
        <f>1+2373</f>
        <v>2374</v>
      </c>
      <c r="AF205" s="859"/>
      <c r="AG205" s="858"/>
      <c r="AH205" s="859">
        <v>308</v>
      </c>
    </row>
    <row r="206" spans="1:34">
      <c r="A206" s="885"/>
      <c r="B206" s="436" t="s">
        <v>59</v>
      </c>
      <c r="C206" s="807">
        <f t="shared" si="105"/>
        <v>1</v>
      </c>
      <c r="D206" s="808">
        <f t="shared" si="103"/>
        <v>0</v>
      </c>
      <c r="E206" s="808">
        <f t="shared" si="103"/>
        <v>1</v>
      </c>
      <c r="F206" s="808">
        <f t="shared" si="103"/>
        <v>1</v>
      </c>
      <c r="G206" s="808">
        <f t="shared" si="103"/>
        <v>1</v>
      </c>
      <c r="H206" s="809">
        <f t="shared" si="103"/>
        <v>1</v>
      </c>
      <c r="I206" s="577">
        <f t="shared" si="103"/>
        <v>1</v>
      </c>
      <c r="J206" s="577">
        <f t="shared" si="103"/>
        <v>0</v>
      </c>
      <c r="K206" s="578">
        <f t="shared" si="103"/>
        <v>0</v>
      </c>
      <c r="L206" s="578">
        <f t="shared" si="103"/>
        <v>0</v>
      </c>
      <c r="M206" s="578">
        <f t="shared" si="103"/>
        <v>0</v>
      </c>
      <c r="N206" s="577">
        <f t="shared" si="106"/>
        <v>1</v>
      </c>
      <c r="O206" s="577">
        <f t="shared" si="104"/>
        <v>0</v>
      </c>
      <c r="P206" s="579">
        <f t="shared" si="104"/>
        <v>0</v>
      </c>
      <c r="Q206" s="577">
        <f t="shared" si="104"/>
        <v>1</v>
      </c>
      <c r="R206" s="357"/>
      <c r="S206" s="858">
        <v>3260</v>
      </c>
      <c r="T206" s="858"/>
      <c r="U206" s="858">
        <v>1981</v>
      </c>
      <c r="V206" s="858">
        <v>1340</v>
      </c>
      <c r="W206" s="858">
        <v>881</v>
      </c>
      <c r="X206" s="858">
        <v>175</v>
      </c>
      <c r="Y206" s="859">
        <v>7637</v>
      </c>
      <c r="Z206" s="859"/>
      <c r="AA206" s="858"/>
      <c r="AB206" s="858"/>
      <c r="AC206" s="858"/>
      <c r="AD206" s="858"/>
      <c r="AE206" s="859">
        <v>2781</v>
      </c>
      <c r="AF206" s="859"/>
      <c r="AG206" s="858"/>
      <c r="AH206" s="859">
        <v>774</v>
      </c>
    </row>
    <row r="207" spans="1:34">
      <c r="A207" s="882" t="s">
        <v>169</v>
      </c>
      <c r="B207" s="240" t="s">
        <v>53</v>
      </c>
      <c r="C207" s="806">
        <f>IF(S$212&gt;0,(S207/S$212),0)</f>
        <v>0</v>
      </c>
      <c r="D207" s="806">
        <f t="shared" ref="D207:M212" si="107">IF(T$212&gt;0,(T207/T$212),0)</f>
        <v>0.26907630522088355</v>
      </c>
      <c r="E207" s="806">
        <f t="shared" si="107"/>
        <v>0</v>
      </c>
      <c r="F207" s="806">
        <f t="shared" si="107"/>
        <v>0</v>
      </c>
      <c r="G207" s="806">
        <f t="shared" si="107"/>
        <v>0</v>
      </c>
      <c r="H207" s="806">
        <f t="shared" si="107"/>
        <v>0</v>
      </c>
      <c r="I207" s="613">
        <f t="shared" si="107"/>
        <v>0.26907630522088355</v>
      </c>
      <c r="J207" s="613">
        <f t="shared" si="107"/>
        <v>0</v>
      </c>
      <c r="K207" s="614">
        <f t="shared" si="107"/>
        <v>0</v>
      </c>
      <c r="L207" s="614">
        <f t="shared" si="107"/>
        <v>0</v>
      </c>
      <c r="M207" s="614">
        <f t="shared" si="107"/>
        <v>0</v>
      </c>
      <c r="N207" s="613">
        <f>IF(AE$212&gt;0,(AE207/AE$212),0)</f>
        <v>5.845181674565561E-2</v>
      </c>
      <c r="O207" s="613">
        <f t="shared" ref="O207:Q212" si="108">IF(AF$212&gt;0,(AF207/AF$212),0)</f>
        <v>0</v>
      </c>
      <c r="P207" s="615">
        <f t="shared" si="108"/>
        <v>0</v>
      </c>
      <c r="Q207" s="613">
        <f t="shared" si="108"/>
        <v>0</v>
      </c>
      <c r="R207" s="799"/>
      <c r="S207" s="856"/>
      <c r="T207" s="856">
        <v>201</v>
      </c>
      <c r="U207" s="856"/>
      <c r="V207" s="856"/>
      <c r="W207" s="856"/>
      <c r="X207" s="856"/>
      <c r="Y207" s="857">
        <v>201</v>
      </c>
      <c r="Z207" s="857"/>
      <c r="AA207" s="856"/>
      <c r="AB207" s="856"/>
      <c r="AC207" s="856"/>
      <c r="AD207" s="856"/>
      <c r="AE207" s="857">
        <v>37</v>
      </c>
      <c r="AF207" s="857"/>
      <c r="AG207" s="856"/>
      <c r="AH207" s="857"/>
    </row>
    <row r="208" spans="1:34">
      <c r="A208" s="883"/>
      <c r="B208" s="239" t="s">
        <v>93</v>
      </c>
      <c r="C208" s="806">
        <f t="shared" ref="C208:C212" si="109">IF(S$212&gt;0,(S208/S$212),0)</f>
        <v>0</v>
      </c>
      <c r="D208" s="806">
        <f t="shared" si="107"/>
        <v>0.28647925033467203</v>
      </c>
      <c r="E208" s="806">
        <f t="shared" si="107"/>
        <v>0</v>
      </c>
      <c r="F208" s="806">
        <f t="shared" si="107"/>
        <v>0</v>
      </c>
      <c r="G208" s="806">
        <f t="shared" si="107"/>
        <v>0</v>
      </c>
      <c r="H208" s="806">
        <f t="shared" si="107"/>
        <v>0</v>
      </c>
      <c r="I208" s="624">
        <f t="shared" si="107"/>
        <v>0.28647925033467203</v>
      </c>
      <c r="J208" s="624">
        <f t="shared" si="107"/>
        <v>0</v>
      </c>
      <c r="K208" s="625">
        <f t="shared" si="107"/>
        <v>0</v>
      </c>
      <c r="L208" s="625">
        <f t="shared" si="107"/>
        <v>0</v>
      </c>
      <c r="M208" s="625">
        <f t="shared" si="107"/>
        <v>0</v>
      </c>
      <c r="N208" s="624">
        <f t="shared" ref="N208:N212" si="110">IF(AE$212&gt;0,(AE208/AE$212),0)</f>
        <v>7.582938388625593E-2</v>
      </c>
      <c r="O208" s="624">
        <f t="shared" si="108"/>
        <v>0</v>
      </c>
      <c r="P208" s="626">
        <f t="shared" si="108"/>
        <v>0</v>
      </c>
      <c r="Q208" s="624">
        <f t="shared" si="108"/>
        <v>0</v>
      </c>
      <c r="R208" s="357"/>
      <c r="S208" s="858"/>
      <c r="T208" s="858">
        <v>214</v>
      </c>
      <c r="U208" s="858"/>
      <c r="V208" s="858"/>
      <c r="W208" s="858"/>
      <c r="X208" s="858"/>
      <c r="Y208" s="859">
        <v>214</v>
      </c>
      <c r="Z208" s="859"/>
      <c r="AA208" s="858"/>
      <c r="AB208" s="858"/>
      <c r="AC208" s="858"/>
      <c r="AD208" s="858"/>
      <c r="AE208" s="859">
        <v>48</v>
      </c>
      <c r="AF208" s="859"/>
      <c r="AG208" s="858"/>
      <c r="AH208" s="859"/>
    </row>
    <row r="209" spans="1:34">
      <c r="A209" s="883"/>
      <c r="B209" s="239" t="s">
        <v>55</v>
      </c>
      <c r="C209" s="806">
        <f t="shared" si="109"/>
        <v>0</v>
      </c>
      <c r="D209" s="806">
        <f t="shared" si="107"/>
        <v>0.22757697456492637</v>
      </c>
      <c r="E209" s="806">
        <f t="shared" si="107"/>
        <v>0</v>
      </c>
      <c r="F209" s="806">
        <f t="shared" si="107"/>
        <v>0</v>
      </c>
      <c r="G209" s="806">
        <f t="shared" si="107"/>
        <v>0</v>
      </c>
      <c r="H209" s="806">
        <f t="shared" si="107"/>
        <v>0</v>
      </c>
      <c r="I209" s="624">
        <f t="shared" si="107"/>
        <v>0.22757697456492637</v>
      </c>
      <c r="J209" s="624">
        <f t="shared" si="107"/>
        <v>0</v>
      </c>
      <c r="K209" s="625">
        <f t="shared" si="107"/>
        <v>0</v>
      </c>
      <c r="L209" s="625">
        <f t="shared" si="107"/>
        <v>0</v>
      </c>
      <c r="M209" s="625">
        <f t="shared" si="107"/>
        <v>0</v>
      </c>
      <c r="N209" s="624">
        <f t="shared" si="110"/>
        <v>0.11058451816745656</v>
      </c>
      <c r="O209" s="624">
        <f t="shared" si="108"/>
        <v>0</v>
      </c>
      <c r="P209" s="626">
        <f t="shared" si="108"/>
        <v>0</v>
      </c>
      <c r="Q209" s="624">
        <f t="shared" si="108"/>
        <v>0</v>
      </c>
      <c r="R209" s="357"/>
      <c r="S209" s="858"/>
      <c r="T209" s="858">
        <v>170</v>
      </c>
      <c r="U209" s="858"/>
      <c r="V209" s="858"/>
      <c r="W209" s="858"/>
      <c r="X209" s="858"/>
      <c r="Y209" s="859">
        <v>170</v>
      </c>
      <c r="Z209" s="859"/>
      <c r="AA209" s="858"/>
      <c r="AB209" s="858"/>
      <c r="AC209" s="858"/>
      <c r="AD209" s="858"/>
      <c r="AE209" s="859">
        <v>70</v>
      </c>
      <c r="AF209" s="859"/>
      <c r="AG209" s="858"/>
      <c r="AH209" s="859"/>
    </row>
    <row r="210" spans="1:34">
      <c r="A210" s="883"/>
      <c r="B210" s="239" t="s">
        <v>78</v>
      </c>
      <c r="C210" s="806">
        <f t="shared" si="109"/>
        <v>0</v>
      </c>
      <c r="D210" s="806">
        <f t="shared" si="107"/>
        <v>4.0160642570281121E-3</v>
      </c>
      <c r="E210" s="806">
        <f t="shared" si="107"/>
        <v>0</v>
      </c>
      <c r="F210" s="806">
        <f t="shared" si="107"/>
        <v>0</v>
      </c>
      <c r="G210" s="806">
        <f t="shared" si="107"/>
        <v>0</v>
      </c>
      <c r="H210" s="806">
        <f t="shared" si="107"/>
        <v>0</v>
      </c>
      <c r="I210" s="624">
        <f t="shared" si="107"/>
        <v>4.0160642570281121E-3</v>
      </c>
      <c r="J210" s="624">
        <f t="shared" si="107"/>
        <v>0</v>
      </c>
      <c r="K210" s="625">
        <f t="shared" si="107"/>
        <v>0</v>
      </c>
      <c r="L210" s="625">
        <f t="shared" si="107"/>
        <v>0</v>
      </c>
      <c r="M210" s="625">
        <f t="shared" si="107"/>
        <v>0</v>
      </c>
      <c r="N210" s="624">
        <f t="shared" si="110"/>
        <v>0.31753554502369669</v>
      </c>
      <c r="O210" s="624">
        <f t="shared" si="108"/>
        <v>0</v>
      </c>
      <c r="P210" s="626">
        <f t="shared" si="108"/>
        <v>0</v>
      </c>
      <c r="Q210" s="624">
        <f t="shared" si="108"/>
        <v>0</v>
      </c>
      <c r="R210" s="357"/>
      <c r="S210" s="858"/>
      <c r="T210" s="858">
        <v>3</v>
      </c>
      <c r="U210" s="858"/>
      <c r="V210" s="858"/>
      <c r="W210" s="858"/>
      <c r="X210" s="858"/>
      <c r="Y210" s="859">
        <v>3</v>
      </c>
      <c r="Z210" s="859"/>
      <c r="AA210" s="858"/>
      <c r="AB210" s="858"/>
      <c r="AC210" s="858"/>
      <c r="AD210" s="858"/>
      <c r="AE210" s="859">
        <v>201</v>
      </c>
      <c r="AF210" s="859"/>
      <c r="AG210" s="858"/>
      <c r="AH210" s="859"/>
    </row>
    <row r="211" spans="1:34">
      <c r="A211" s="884"/>
      <c r="B211" s="580" t="s">
        <v>131</v>
      </c>
      <c r="C211" s="806">
        <f t="shared" si="109"/>
        <v>0</v>
      </c>
      <c r="D211" s="806">
        <f t="shared" si="107"/>
        <v>0.21285140562248997</v>
      </c>
      <c r="E211" s="806">
        <f t="shared" si="107"/>
        <v>0</v>
      </c>
      <c r="F211" s="806">
        <f t="shared" si="107"/>
        <v>0</v>
      </c>
      <c r="G211" s="806">
        <f t="shared" si="107"/>
        <v>0</v>
      </c>
      <c r="H211" s="806">
        <f t="shared" si="107"/>
        <v>0</v>
      </c>
      <c r="I211" s="624">
        <f t="shared" si="107"/>
        <v>0.21285140562248997</v>
      </c>
      <c r="J211" s="624">
        <f t="shared" si="107"/>
        <v>0</v>
      </c>
      <c r="K211" s="625">
        <f t="shared" si="107"/>
        <v>0</v>
      </c>
      <c r="L211" s="625">
        <f t="shared" si="107"/>
        <v>0</v>
      </c>
      <c r="M211" s="625">
        <f t="shared" si="107"/>
        <v>0</v>
      </c>
      <c r="N211" s="624">
        <f t="shared" si="110"/>
        <v>0.43759873617693523</v>
      </c>
      <c r="O211" s="624">
        <f t="shared" si="108"/>
        <v>0</v>
      </c>
      <c r="P211" s="626">
        <f t="shared" si="108"/>
        <v>0</v>
      </c>
      <c r="Q211" s="624">
        <f t="shared" si="108"/>
        <v>0</v>
      </c>
      <c r="R211" s="357"/>
      <c r="S211" s="858"/>
      <c r="T211" s="858">
        <v>159</v>
      </c>
      <c r="U211" s="858"/>
      <c r="V211" s="858"/>
      <c r="W211" s="858"/>
      <c r="X211" s="858"/>
      <c r="Y211" s="859">
        <v>159</v>
      </c>
      <c r="Z211" s="859"/>
      <c r="AA211" s="858"/>
      <c r="AB211" s="858"/>
      <c r="AC211" s="858"/>
      <c r="AD211" s="858"/>
      <c r="AE211" s="859">
        <v>277</v>
      </c>
      <c r="AF211" s="859"/>
      <c r="AG211" s="858"/>
      <c r="AH211" s="859"/>
    </row>
    <row r="212" spans="1:34">
      <c r="A212" s="885"/>
      <c r="B212" s="436" t="s">
        <v>59</v>
      </c>
      <c r="C212" s="807">
        <f t="shared" si="109"/>
        <v>0</v>
      </c>
      <c r="D212" s="808">
        <f t="shared" si="107"/>
        <v>1</v>
      </c>
      <c r="E212" s="808">
        <f t="shared" si="107"/>
        <v>0</v>
      </c>
      <c r="F212" s="808">
        <f t="shared" si="107"/>
        <v>0</v>
      </c>
      <c r="G212" s="808">
        <f t="shared" si="107"/>
        <v>0</v>
      </c>
      <c r="H212" s="809">
        <f t="shared" si="107"/>
        <v>0</v>
      </c>
      <c r="I212" s="577">
        <f t="shared" si="107"/>
        <v>1</v>
      </c>
      <c r="J212" s="577">
        <f t="shared" si="107"/>
        <v>0</v>
      </c>
      <c r="K212" s="578">
        <f t="shared" si="107"/>
        <v>0</v>
      </c>
      <c r="L212" s="578">
        <f t="shared" si="107"/>
        <v>0</v>
      </c>
      <c r="M212" s="578">
        <f t="shared" si="107"/>
        <v>0</v>
      </c>
      <c r="N212" s="577">
        <f t="shared" si="110"/>
        <v>1</v>
      </c>
      <c r="O212" s="577">
        <f t="shared" si="108"/>
        <v>0</v>
      </c>
      <c r="P212" s="579">
        <f t="shared" si="108"/>
        <v>0</v>
      </c>
      <c r="Q212" s="577">
        <f t="shared" si="108"/>
        <v>0</v>
      </c>
      <c r="R212" s="357"/>
      <c r="S212" s="858"/>
      <c r="T212" s="858">
        <v>747</v>
      </c>
      <c r="U212" s="858"/>
      <c r="V212" s="858"/>
      <c r="W212" s="858"/>
      <c r="X212" s="858"/>
      <c r="Y212" s="859">
        <v>747</v>
      </c>
      <c r="Z212" s="859"/>
      <c r="AA212" s="858"/>
      <c r="AB212" s="858"/>
      <c r="AC212" s="858"/>
      <c r="AD212" s="858"/>
      <c r="AE212" s="859">
        <v>633</v>
      </c>
      <c r="AF212" s="859"/>
      <c r="AG212" s="858"/>
      <c r="AH212" s="859"/>
    </row>
    <row r="213" spans="1:34">
      <c r="A213" s="882" t="s">
        <v>172</v>
      </c>
      <c r="B213" s="240" t="s">
        <v>53</v>
      </c>
      <c r="C213" s="806">
        <f>IF(S$218&gt;0,(S213/S$218),0)</f>
        <v>0.34479540559942568</v>
      </c>
      <c r="D213" s="806">
        <f t="shared" ref="D213:M218" si="111">IF(T$218&gt;0,(T213/T$218),0)</f>
        <v>0.24762023268835937</v>
      </c>
      <c r="E213" s="806">
        <f t="shared" si="111"/>
        <v>0.26784544859201048</v>
      </c>
      <c r="F213" s="806">
        <f t="shared" si="111"/>
        <v>0.25563752783964366</v>
      </c>
      <c r="G213" s="806">
        <f t="shared" si="111"/>
        <v>0.27074330164217802</v>
      </c>
      <c r="H213" s="806">
        <f t="shared" si="111"/>
        <v>0.29627876148092036</v>
      </c>
      <c r="I213" s="613">
        <f t="shared" si="111"/>
        <v>0.29579677523083281</v>
      </c>
      <c r="J213" s="613">
        <f t="shared" si="111"/>
        <v>0</v>
      </c>
      <c r="K213" s="614">
        <f t="shared" si="111"/>
        <v>0</v>
      </c>
      <c r="L213" s="614">
        <f t="shared" si="111"/>
        <v>0</v>
      </c>
      <c r="M213" s="614">
        <f t="shared" si="111"/>
        <v>0</v>
      </c>
      <c r="N213" s="613">
        <f>IF(AE$218&gt;0,(AE213/AE$218),0)</f>
        <v>0.15622135378974283</v>
      </c>
      <c r="O213" s="613">
        <f t="shared" ref="O213:Q218" si="112">IF(AF$218&gt;0,(AF213/AF$218),0)</f>
        <v>0</v>
      </c>
      <c r="P213" s="615">
        <f t="shared" si="112"/>
        <v>0</v>
      </c>
      <c r="Q213" s="613">
        <f t="shared" si="112"/>
        <v>9.2164515160612429E-2</v>
      </c>
      <c r="R213" s="799"/>
      <c r="S213" s="860">
        <f>S219+S225+S231+S237+S243+S249+S255+S261+S267+S273+S279+S285</f>
        <v>14409</v>
      </c>
      <c r="T213" s="860">
        <f t="shared" ref="T213:AH218" si="113">T219+T225+T231+T237+T243+T249+T255+T261+T267+T273+T279+T285</f>
        <v>3980</v>
      </c>
      <c r="U213" s="860">
        <f t="shared" si="113"/>
        <v>4499</v>
      </c>
      <c r="V213" s="860">
        <f t="shared" si="113"/>
        <v>3673</v>
      </c>
      <c r="W213" s="860">
        <f t="shared" si="113"/>
        <v>2506</v>
      </c>
      <c r="X213" s="860">
        <f t="shared" si="113"/>
        <v>3129</v>
      </c>
      <c r="Y213" s="861">
        <f t="shared" si="113"/>
        <v>32196</v>
      </c>
      <c r="Z213" s="861">
        <f t="shared" si="113"/>
        <v>0</v>
      </c>
      <c r="AA213" s="860">
        <f t="shared" si="113"/>
        <v>0</v>
      </c>
      <c r="AB213" s="860">
        <f t="shared" si="113"/>
        <v>0</v>
      </c>
      <c r="AC213" s="860">
        <f t="shared" si="113"/>
        <v>0</v>
      </c>
      <c r="AD213" s="860">
        <f t="shared" si="113"/>
        <v>0</v>
      </c>
      <c r="AE213" s="861">
        <f t="shared" si="113"/>
        <v>3238</v>
      </c>
      <c r="AF213" s="861">
        <f t="shared" si="113"/>
        <v>0</v>
      </c>
      <c r="AG213" s="860">
        <f t="shared" si="113"/>
        <v>0</v>
      </c>
      <c r="AH213" s="861">
        <f t="shared" si="113"/>
        <v>614</v>
      </c>
    </row>
    <row r="214" spans="1:34">
      <c r="A214" s="883"/>
      <c r="B214" s="239" t="s">
        <v>93</v>
      </c>
      <c r="C214" s="806">
        <f t="shared" ref="C214:C218" si="114">IF(S$218&gt;0,(S214/S$218),0)</f>
        <v>0.26346015793251976</v>
      </c>
      <c r="D214" s="806">
        <f t="shared" si="111"/>
        <v>0.29061158464505693</v>
      </c>
      <c r="E214" s="806">
        <f t="shared" si="111"/>
        <v>0.29445734357325715</v>
      </c>
      <c r="F214" s="806">
        <f t="shared" si="111"/>
        <v>0.27477728285077951</v>
      </c>
      <c r="G214" s="806">
        <f t="shared" si="111"/>
        <v>0.26685393258426965</v>
      </c>
      <c r="H214" s="806">
        <f t="shared" si="111"/>
        <v>0.28927184925669919</v>
      </c>
      <c r="I214" s="624">
        <f t="shared" si="111"/>
        <v>0.27654003399329319</v>
      </c>
      <c r="J214" s="624">
        <f t="shared" si="111"/>
        <v>0</v>
      </c>
      <c r="K214" s="625">
        <f t="shared" si="111"/>
        <v>0</v>
      </c>
      <c r="L214" s="625">
        <f t="shared" si="111"/>
        <v>0</v>
      </c>
      <c r="M214" s="625">
        <f t="shared" si="111"/>
        <v>0</v>
      </c>
      <c r="N214" s="624">
        <f t="shared" ref="N214:N218" si="115">IF(AE$218&gt;0,(AE214/AE$218),0)</f>
        <v>0.12375162831089882</v>
      </c>
      <c r="O214" s="624">
        <f t="shared" si="112"/>
        <v>0</v>
      </c>
      <c r="P214" s="626">
        <f t="shared" si="112"/>
        <v>0</v>
      </c>
      <c r="Q214" s="624">
        <f t="shared" si="112"/>
        <v>4.9084359051335937E-2</v>
      </c>
      <c r="R214" s="357"/>
      <c r="S214" s="862">
        <f t="shared" ref="S214:AE218" si="116">S220+S226+S232+S238+S244+S250+S256+S262+S268+S274+S280+S286</f>
        <v>11010</v>
      </c>
      <c r="T214" s="862">
        <f t="shared" si="116"/>
        <v>4671</v>
      </c>
      <c r="U214" s="862">
        <f t="shared" si="116"/>
        <v>4946</v>
      </c>
      <c r="V214" s="862">
        <f t="shared" si="116"/>
        <v>3948</v>
      </c>
      <c r="W214" s="862">
        <f t="shared" si="116"/>
        <v>2470</v>
      </c>
      <c r="X214" s="862">
        <f t="shared" si="116"/>
        <v>3055</v>
      </c>
      <c r="Y214" s="863">
        <f t="shared" si="116"/>
        <v>30100</v>
      </c>
      <c r="Z214" s="863">
        <f t="shared" si="116"/>
        <v>0</v>
      </c>
      <c r="AA214" s="862">
        <f t="shared" si="116"/>
        <v>0</v>
      </c>
      <c r="AB214" s="862">
        <f t="shared" si="116"/>
        <v>0</v>
      </c>
      <c r="AC214" s="862">
        <f t="shared" si="116"/>
        <v>0</v>
      </c>
      <c r="AD214" s="862">
        <f t="shared" si="116"/>
        <v>0</v>
      </c>
      <c r="AE214" s="863">
        <f t="shared" si="116"/>
        <v>2565</v>
      </c>
      <c r="AF214" s="863">
        <f t="shared" si="113"/>
        <v>0</v>
      </c>
      <c r="AG214" s="862">
        <f t="shared" si="113"/>
        <v>0</v>
      </c>
      <c r="AH214" s="863">
        <f t="shared" si="113"/>
        <v>327</v>
      </c>
    </row>
    <row r="215" spans="1:34">
      <c r="A215" s="883"/>
      <c r="B215" s="239" t="s">
        <v>55</v>
      </c>
      <c r="C215" s="806">
        <f t="shared" si="114"/>
        <v>0.2236180904522613</v>
      </c>
      <c r="D215" s="806">
        <f t="shared" si="111"/>
        <v>0.2474335842717601</v>
      </c>
      <c r="E215" s="806">
        <f t="shared" si="111"/>
        <v>0.249568375305114</v>
      </c>
      <c r="F215" s="806">
        <f t="shared" si="111"/>
        <v>0.30686247216035634</v>
      </c>
      <c r="G215" s="806">
        <f t="shared" si="111"/>
        <v>0.32152117545375974</v>
      </c>
      <c r="H215" s="806">
        <f t="shared" si="111"/>
        <v>0.3252532904081053</v>
      </c>
      <c r="I215" s="624">
        <f t="shared" si="111"/>
        <v>0.26031512701548071</v>
      </c>
      <c r="J215" s="624">
        <f t="shared" si="111"/>
        <v>0</v>
      </c>
      <c r="K215" s="625">
        <f t="shared" si="111"/>
        <v>0</v>
      </c>
      <c r="L215" s="625">
        <f t="shared" si="111"/>
        <v>0</v>
      </c>
      <c r="M215" s="625">
        <f t="shared" si="111"/>
        <v>0</v>
      </c>
      <c r="N215" s="624">
        <f t="shared" si="115"/>
        <v>0.14025184541901867</v>
      </c>
      <c r="O215" s="624">
        <f t="shared" si="112"/>
        <v>0</v>
      </c>
      <c r="P215" s="626">
        <f t="shared" si="112"/>
        <v>0</v>
      </c>
      <c r="Q215" s="624">
        <f t="shared" si="112"/>
        <v>6.4545181627139001E-2</v>
      </c>
      <c r="R215" s="357"/>
      <c r="S215" s="862">
        <f t="shared" si="116"/>
        <v>9345</v>
      </c>
      <c r="T215" s="862">
        <f t="shared" si="116"/>
        <v>3977</v>
      </c>
      <c r="U215" s="862">
        <f t="shared" si="116"/>
        <v>4192</v>
      </c>
      <c r="V215" s="862">
        <f t="shared" si="116"/>
        <v>4409</v>
      </c>
      <c r="W215" s="862">
        <f t="shared" si="116"/>
        <v>2976</v>
      </c>
      <c r="X215" s="862">
        <f t="shared" si="116"/>
        <v>3435</v>
      </c>
      <c r="Y215" s="863">
        <f t="shared" si="116"/>
        <v>28334</v>
      </c>
      <c r="Z215" s="863">
        <f t="shared" si="116"/>
        <v>0</v>
      </c>
      <c r="AA215" s="862">
        <f t="shared" si="116"/>
        <v>0</v>
      </c>
      <c r="AB215" s="862">
        <f t="shared" si="116"/>
        <v>0</v>
      </c>
      <c r="AC215" s="862">
        <f t="shared" si="116"/>
        <v>0</v>
      </c>
      <c r="AD215" s="862">
        <f t="shared" si="116"/>
        <v>0</v>
      </c>
      <c r="AE215" s="863">
        <f t="shared" si="116"/>
        <v>2907</v>
      </c>
      <c r="AF215" s="863">
        <f t="shared" si="113"/>
        <v>0</v>
      </c>
      <c r="AG215" s="862">
        <f t="shared" si="113"/>
        <v>0</v>
      </c>
      <c r="AH215" s="863">
        <f t="shared" si="113"/>
        <v>430</v>
      </c>
    </row>
    <row r="216" spans="1:34">
      <c r="A216" s="883"/>
      <c r="B216" s="239" t="s">
        <v>78</v>
      </c>
      <c r="C216" s="806">
        <f t="shared" si="114"/>
        <v>3.7257717157214647E-2</v>
      </c>
      <c r="D216" s="806">
        <f t="shared" si="111"/>
        <v>8.2747464692341191E-2</v>
      </c>
      <c r="E216" s="806">
        <f t="shared" si="111"/>
        <v>0.10335178900994225</v>
      </c>
      <c r="F216" s="806">
        <f t="shared" si="111"/>
        <v>6.5353563474387533E-2</v>
      </c>
      <c r="G216" s="806">
        <f t="shared" si="111"/>
        <v>7.5518582541054452E-2</v>
      </c>
      <c r="H216" s="806">
        <f t="shared" si="111"/>
        <v>4.9427137581668404E-2</v>
      </c>
      <c r="I216" s="624">
        <f t="shared" si="111"/>
        <v>6.2317975102209565E-2</v>
      </c>
      <c r="J216" s="624">
        <f t="shared" si="111"/>
        <v>0</v>
      </c>
      <c r="K216" s="625">
        <f t="shared" si="111"/>
        <v>0</v>
      </c>
      <c r="L216" s="625">
        <f t="shared" si="111"/>
        <v>0</v>
      </c>
      <c r="M216" s="625">
        <f t="shared" si="111"/>
        <v>0</v>
      </c>
      <c r="N216" s="624">
        <f t="shared" si="115"/>
        <v>0.36425917884884451</v>
      </c>
      <c r="O216" s="624">
        <f t="shared" si="112"/>
        <v>0</v>
      </c>
      <c r="P216" s="626">
        <f t="shared" si="112"/>
        <v>0</v>
      </c>
      <c r="Q216" s="624">
        <f t="shared" si="112"/>
        <v>0.65761032722906032</v>
      </c>
      <c r="R216" s="357"/>
      <c r="S216" s="862">
        <f t="shared" si="116"/>
        <v>1557</v>
      </c>
      <c r="T216" s="862">
        <f t="shared" si="116"/>
        <v>1330</v>
      </c>
      <c r="U216" s="862">
        <f t="shared" si="116"/>
        <v>1736</v>
      </c>
      <c r="V216" s="862">
        <f t="shared" si="116"/>
        <v>939</v>
      </c>
      <c r="W216" s="862">
        <f t="shared" si="116"/>
        <v>699</v>
      </c>
      <c r="X216" s="862">
        <f t="shared" si="116"/>
        <v>522</v>
      </c>
      <c r="Y216" s="863">
        <f t="shared" si="116"/>
        <v>6783</v>
      </c>
      <c r="Z216" s="863">
        <f t="shared" si="116"/>
        <v>0</v>
      </c>
      <c r="AA216" s="862">
        <f t="shared" si="116"/>
        <v>0</v>
      </c>
      <c r="AB216" s="862">
        <f t="shared" si="116"/>
        <v>0</v>
      </c>
      <c r="AC216" s="862">
        <f t="shared" si="116"/>
        <v>0</v>
      </c>
      <c r="AD216" s="862">
        <f t="shared" si="116"/>
        <v>0</v>
      </c>
      <c r="AE216" s="863">
        <f t="shared" si="116"/>
        <v>7550</v>
      </c>
      <c r="AF216" s="863">
        <f t="shared" si="113"/>
        <v>0</v>
      </c>
      <c r="AG216" s="862">
        <f t="shared" si="113"/>
        <v>0</v>
      </c>
      <c r="AH216" s="863">
        <f t="shared" si="113"/>
        <v>4381</v>
      </c>
    </row>
    <row r="217" spans="1:34">
      <c r="A217" s="884"/>
      <c r="B217" s="580" t="s">
        <v>131</v>
      </c>
      <c r="C217" s="806">
        <f t="shared" si="114"/>
        <v>0.13086862885857861</v>
      </c>
      <c r="D217" s="806">
        <f t="shared" si="111"/>
        <v>0.13158713370248243</v>
      </c>
      <c r="E217" s="806">
        <f t="shared" si="111"/>
        <v>8.4777043519676132E-2</v>
      </c>
      <c r="F217" s="806">
        <f t="shared" si="111"/>
        <v>9.7369153674832967E-2</v>
      </c>
      <c r="G217" s="806">
        <f t="shared" si="111"/>
        <v>6.5363007778738116E-2</v>
      </c>
      <c r="H217" s="806">
        <f t="shared" si="111"/>
        <v>3.9768961272606762E-2</v>
      </c>
      <c r="I217" s="624">
        <f t="shared" si="111"/>
        <v>0.10503008865818365</v>
      </c>
      <c r="J217" s="624">
        <f t="shared" si="111"/>
        <v>0</v>
      </c>
      <c r="K217" s="625">
        <f t="shared" si="111"/>
        <v>0</v>
      </c>
      <c r="L217" s="625">
        <f t="shared" si="111"/>
        <v>0</v>
      </c>
      <c r="M217" s="625">
        <f t="shared" si="111"/>
        <v>0</v>
      </c>
      <c r="N217" s="624">
        <f t="shared" si="115"/>
        <v>0.21561248612920345</v>
      </c>
      <c r="O217" s="624">
        <f t="shared" si="112"/>
        <v>0</v>
      </c>
      <c r="P217" s="626">
        <f t="shared" si="112"/>
        <v>0</v>
      </c>
      <c r="Q217" s="624">
        <f t="shared" si="112"/>
        <v>0.13659561693185229</v>
      </c>
      <c r="R217" s="357"/>
      <c r="S217" s="862">
        <f t="shared" si="116"/>
        <v>5469</v>
      </c>
      <c r="T217" s="862">
        <f t="shared" si="116"/>
        <v>2115</v>
      </c>
      <c r="U217" s="862">
        <f t="shared" si="116"/>
        <v>1424</v>
      </c>
      <c r="V217" s="862">
        <f t="shared" si="116"/>
        <v>1399</v>
      </c>
      <c r="W217" s="862">
        <f t="shared" si="116"/>
        <v>605</v>
      </c>
      <c r="X217" s="862">
        <f t="shared" si="116"/>
        <v>420</v>
      </c>
      <c r="Y217" s="863">
        <f t="shared" si="116"/>
        <v>11432</v>
      </c>
      <c r="Z217" s="863">
        <f t="shared" si="116"/>
        <v>0</v>
      </c>
      <c r="AA217" s="862">
        <f t="shared" si="116"/>
        <v>0</v>
      </c>
      <c r="AB217" s="862">
        <f t="shared" si="116"/>
        <v>0</v>
      </c>
      <c r="AC217" s="862">
        <f t="shared" si="116"/>
        <v>0</v>
      </c>
      <c r="AD217" s="862">
        <f t="shared" si="116"/>
        <v>0</v>
      </c>
      <c r="AE217" s="863">
        <f t="shared" si="116"/>
        <v>4469</v>
      </c>
      <c r="AF217" s="863">
        <f t="shared" si="113"/>
        <v>0</v>
      </c>
      <c r="AG217" s="862">
        <f t="shared" si="113"/>
        <v>0</v>
      </c>
      <c r="AH217" s="863">
        <f t="shared" si="113"/>
        <v>910</v>
      </c>
    </row>
    <row r="218" spans="1:34">
      <c r="A218" s="885" t="s">
        <v>86</v>
      </c>
      <c r="B218" s="436" t="s">
        <v>59</v>
      </c>
      <c r="C218" s="807">
        <f t="shared" si="114"/>
        <v>1</v>
      </c>
      <c r="D218" s="808">
        <f t="shared" si="111"/>
        <v>1</v>
      </c>
      <c r="E218" s="808">
        <f t="shared" si="111"/>
        <v>1</v>
      </c>
      <c r="F218" s="808">
        <f t="shared" si="111"/>
        <v>1</v>
      </c>
      <c r="G218" s="808">
        <f t="shared" si="111"/>
        <v>1</v>
      </c>
      <c r="H218" s="809">
        <f t="shared" si="111"/>
        <v>1</v>
      </c>
      <c r="I218" s="577">
        <f t="shared" si="111"/>
        <v>1</v>
      </c>
      <c r="J218" s="577">
        <f t="shared" si="111"/>
        <v>0</v>
      </c>
      <c r="K218" s="578">
        <f t="shared" si="111"/>
        <v>0</v>
      </c>
      <c r="L218" s="578">
        <f t="shared" si="111"/>
        <v>0</v>
      </c>
      <c r="M218" s="578">
        <f t="shared" si="111"/>
        <v>0</v>
      </c>
      <c r="N218" s="577">
        <f t="shared" si="115"/>
        <v>1</v>
      </c>
      <c r="O218" s="577">
        <f t="shared" si="112"/>
        <v>0</v>
      </c>
      <c r="P218" s="579">
        <f t="shared" si="112"/>
        <v>0</v>
      </c>
      <c r="Q218" s="577">
        <f t="shared" si="112"/>
        <v>1</v>
      </c>
      <c r="R218" s="357"/>
      <c r="S218" s="862">
        <f t="shared" si="116"/>
        <v>41790</v>
      </c>
      <c r="T218" s="862">
        <f t="shared" si="116"/>
        <v>16073</v>
      </c>
      <c r="U218" s="862">
        <f t="shared" si="116"/>
        <v>16797</v>
      </c>
      <c r="V218" s="862">
        <f t="shared" si="116"/>
        <v>14368</v>
      </c>
      <c r="W218" s="862">
        <f t="shared" si="116"/>
        <v>9256</v>
      </c>
      <c r="X218" s="862">
        <f t="shared" si="116"/>
        <v>10561</v>
      </c>
      <c r="Y218" s="863">
        <f t="shared" si="116"/>
        <v>108845</v>
      </c>
      <c r="Z218" s="863">
        <f t="shared" si="116"/>
        <v>0</v>
      </c>
      <c r="AA218" s="862">
        <f t="shared" si="116"/>
        <v>0</v>
      </c>
      <c r="AB218" s="862">
        <f t="shared" si="116"/>
        <v>0</v>
      </c>
      <c r="AC218" s="862">
        <f t="shared" si="116"/>
        <v>0</v>
      </c>
      <c r="AD218" s="862">
        <f t="shared" si="116"/>
        <v>0</v>
      </c>
      <c r="AE218" s="863">
        <f t="shared" si="116"/>
        <v>20727</v>
      </c>
      <c r="AF218" s="863">
        <f t="shared" si="113"/>
        <v>0</v>
      </c>
      <c r="AG218" s="862">
        <f t="shared" si="113"/>
        <v>0</v>
      </c>
      <c r="AH218" s="863">
        <f t="shared" si="113"/>
        <v>6662</v>
      </c>
    </row>
    <row r="219" spans="1:34">
      <c r="A219" s="882" t="s">
        <v>144</v>
      </c>
      <c r="B219" s="240" t="s">
        <v>53</v>
      </c>
      <c r="C219" s="806">
        <f>IF(S$224&gt;0,(S219/S$224),0)</f>
        <v>0.33551449833205027</v>
      </c>
      <c r="D219" s="806">
        <f t="shared" ref="D219:M224" si="117">IF(T$224&gt;0,(T219/T$224),0)</f>
        <v>0.24786885245901638</v>
      </c>
      <c r="E219" s="806">
        <f t="shared" si="117"/>
        <v>0.23362573099415204</v>
      </c>
      <c r="F219" s="806">
        <f t="shared" si="117"/>
        <v>0.23903878583473862</v>
      </c>
      <c r="G219" s="806">
        <f t="shared" si="117"/>
        <v>0.35510204081632651</v>
      </c>
      <c r="H219" s="806">
        <f t="shared" si="117"/>
        <v>0.32432432432432434</v>
      </c>
      <c r="I219" s="613">
        <f t="shared" si="117"/>
        <v>0.29009588145565485</v>
      </c>
      <c r="J219" s="613">
        <f t="shared" si="117"/>
        <v>0</v>
      </c>
      <c r="K219" s="614">
        <f t="shared" si="117"/>
        <v>0</v>
      </c>
      <c r="L219" s="614">
        <f t="shared" si="117"/>
        <v>0</v>
      </c>
      <c r="M219" s="614">
        <f t="shared" si="117"/>
        <v>0</v>
      </c>
      <c r="N219" s="613">
        <f>IF(AE$224&gt;0,(AE219/AE$224),0)</f>
        <v>0.25744680851063828</v>
      </c>
      <c r="O219" s="613">
        <f t="shared" ref="O219:Q224" si="118">IF(AF$224&gt;0,(AF219/AF$224),0)</f>
        <v>0</v>
      </c>
      <c r="P219" s="615">
        <f t="shared" si="118"/>
        <v>0</v>
      </c>
      <c r="Q219" s="613">
        <f t="shared" si="118"/>
        <v>0.22152560083594566</v>
      </c>
      <c r="R219" s="799"/>
      <c r="S219" s="856">
        <v>2615</v>
      </c>
      <c r="T219" s="856">
        <v>756</v>
      </c>
      <c r="U219" s="856">
        <v>799</v>
      </c>
      <c r="V219" s="856">
        <v>567</v>
      </c>
      <c r="W219" s="856">
        <v>348</v>
      </c>
      <c r="X219" s="856">
        <v>240</v>
      </c>
      <c r="Y219" s="857">
        <v>5325</v>
      </c>
      <c r="Z219" s="857"/>
      <c r="AA219" s="856"/>
      <c r="AB219" s="856"/>
      <c r="AC219" s="856"/>
      <c r="AD219" s="856"/>
      <c r="AE219" s="857">
        <v>726</v>
      </c>
      <c r="AF219" s="857"/>
      <c r="AG219" s="856"/>
      <c r="AH219" s="857">
        <v>424</v>
      </c>
    </row>
    <row r="220" spans="1:34">
      <c r="A220" s="883"/>
      <c r="B220" s="239" t="s">
        <v>93</v>
      </c>
      <c r="C220" s="806">
        <f t="shared" ref="C220:C224" si="119">IF(S$224&gt;0,(S220/S$224),0)</f>
        <v>0.23120348986399794</v>
      </c>
      <c r="D220" s="806">
        <f t="shared" si="117"/>
        <v>0.33147540983606555</v>
      </c>
      <c r="E220" s="806">
        <f t="shared" si="117"/>
        <v>0.29327485380116958</v>
      </c>
      <c r="F220" s="806">
        <f t="shared" si="117"/>
        <v>0.35075885328836426</v>
      </c>
      <c r="G220" s="806">
        <f t="shared" si="117"/>
        <v>0.25</v>
      </c>
      <c r="H220" s="806">
        <f t="shared" si="117"/>
        <v>0.2810810810810811</v>
      </c>
      <c r="I220" s="624">
        <f t="shared" si="117"/>
        <v>0.27789278709958598</v>
      </c>
      <c r="J220" s="624">
        <f t="shared" si="117"/>
        <v>0</v>
      </c>
      <c r="K220" s="625">
        <f t="shared" si="117"/>
        <v>0</v>
      </c>
      <c r="L220" s="625">
        <f t="shared" si="117"/>
        <v>0</v>
      </c>
      <c r="M220" s="625">
        <f t="shared" si="117"/>
        <v>0</v>
      </c>
      <c r="N220" s="624">
        <f t="shared" ref="N220:N224" si="120">IF(AE$224&gt;0,(AE220/AE$224),0)</f>
        <v>0.15602836879432624</v>
      </c>
      <c r="O220" s="624">
        <f t="shared" si="118"/>
        <v>0</v>
      </c>
      <c r="P220" s="626">
        <f t="shared" si="118"/>
        <v>0</v>
      </c>
      <c r="Q220" s="624">
        <f t="shared" si="118"/>
        <v>0.13949843260188088</v>
      </c>
      <c r="R220" s="357"/>
      <c r="S220" s="858">
        <v>1802</v>
      </c>
      <c r="T220" s="858">
        <v>1011</v>
      </c>
      <c r="U220" s="858">
        <v>1003</v>
      </c>
      <c r="V220" s="858">
        <v>832</v>
      </c>
      <c r="W220" s="858">
        <v>245</v>
      </c>
      <c r="X220" s="858">
        <v>208</v>
      </c>
      <c r="Y220" s="859">
        <v>5101</v>
      </c>
      <c r="Z220" s="859"/>
      <c r="AA220" s="858"/>
      <c r="AB220" s="858"/>
      <c r="AC220" s="858"/>
      <c r="AD220" s="858"/>
      <c r="AE220" s="859">
        <v>440</v>
      </c>
      <c r="AF220" s="859"/>
      <c r="AG220" s="858"/>
      <c r="AH220" s="859">
        <v>267</v>
      </c>
    </row>
    <row r="221" spans="1:34">
      <c r="A221" s="883"/>
      <c r="B221" s="239" t="s">
        <v>55</v>
      </c>
      <c r="C221" s="806">
        <f t="shared" si="119"/>
        <v>0.21875801898896588</v>
      </c>
      <c r="D221" s="806">
        <f t="shared" si="117"/>
        <v>0.25737704918032789</v>
      </c>
      <c r="E221" s="806">
        <f t="shared" si="117"/>
        <v>0.2523391812865497</v>
      </c>
      <c r="F221" s="806">
        <f t="shared" si="117"/>
        <v>0.27445193929173695</v>
      </c>
      <c r="G221" s="806">
        <f t="shared" si="117"/>
        <v>0.30306122448979594</v>
      </c>
      <c r="H221" s="806">
        <f t="shared" si="117"/>
        <v>0.3472972972972973</v>
      </c>
      <c r="I221" s="624">
        <f t="shared" si="117"/>
        <v>0.24831117890607976</v>
      </c>
      <c r="J221" s="624">
        <f t="shared" si="117"/>
        <v>0</v>
      </c>
      <c r="K221" s="625">
        <f t="shared" si="117"/>
        <v>0</v>
      </c>
      <c r="L221" s="625">
        <f t="shared" si="117"/>
        <v>0</v>
      </c>
      <c r="M221" s="625">
        <f t="shared" si="117"/>
        <v>0</v>
      </c>
      <c r="N221" s="624">
        <f t="shared" si="120"/>
        <v>0.13297872340425532</v>
      </c>
      <c r="O221" s="624">
        <f t="shared" si="118"/>
        <v>0</v>
      </c>
      <c r="P221" s="626">
        <f t="shared" si="118"/>
        <v>0</v>
      </c>
      <c r="Q221" s="624">
        <f t="shared" si="118"/>
        <v>0.18181818181818182</v>
      </c>
      <c r="R221" s="357"/>
      <c r="S221" s="858">
        <v>1705</v>
      </c>
      <c r="T221" s="858">
        <v>785</v>
      </c>
      <c r="U221" s="858">
        <v>863</v>
      </c>
      <c r="V221" s="858">
        <v>651</v>
      </c>
      <c r="W221" s="858">
        <v>297</v>
      </c>
      <c r="X221" s="858">
        <v>257</v>
      </c>
      <c r="Y221" s="859">
        <v>4558</v>
      </c>
      <c r="Z221" s="859"/>
      <c r="AA221" s="858"/>
      <c r="AB221" s="858"/>
      <c r="AC221" s="858"/>
      <c r="AD221" s="858"/>
      <c r="AE221" s="859">
        <v>375</v>
      </c>
      <c r="AF221" s="859"/>
      <c r="AG221" s="858"/>
      <c r="AH221" s="859">
        <v>348</v>
      </c>
    </row>
    <row r="222" spans="1:34">
      <c r="A222" s="883"/>
      <c r="B222" s="239" t="s">
        <v>78</v>
      </c>
      <c r="C222" s="806">
        <f t="shared" si="119"/>
        <v>8.1216320246343343E-2</v>
      </c>
      <c r="D222" s="806">
        <f t="shared" si="117"/>
        <v>9.6065573770491797E-2</v>
      </c>
      <c r="E222" s="806">
        <f t="shared" si="117"/>
        <v>0.16140350877192983</v>
      </c>
      <c r="F222" s="806">
        <f t="shared" si="117"/>
        <v>2.6559865092748734E-2</v>
      </c>
      <c r="G222" s="806">
        <f t="shared" si="117"/>
        <v>7.6530612244897961E-2</v>
      </c>
      <c r="H222" s="806">
        <f t="shared" si="117"/>
        <v>3.9189189189189191E-2</v>
      </c>
      <c r="I222" s="624">
        <f t="shared" si="117"/>
        <v>8.9616474177380695E-2</v>
      </c>
      <c r="J222" s="624">
        <f t="shared" si="117"/>
        <v>0</v>
      </c>
      <c r="K222" s="625">
        <f t="shared" si="117"/>
        <v>0</v>
      </c>
      <c r="L222" s="625">
        <f t="shared" si="117"/>
        <v>0</v>
      </c>
      <c r="M222" s="625">
        <f t="shared" si="117"/>
        <v>0</v>
      </c>
      <c r="N222" s="624">
        <f t="shared" si="120"/>
        <v>0.17907801418439717</v>
      </c>
      <c r="O222" s="624">
        <f t="shared" si="118"/>
        <v>0</v>
      </c>
      <c r="P222" s="626">
        <f t="shared" si="118"/>
        <v>0</v>
      </c>
      <c r="Q222" s="624">
        <f t="shared" si="118"/>
        <v>0.34117032392894464</v>
      </c>
      <c r="R222" s="357"/>
      <c r="S222" s="858">
        <v>633</v>
      </c>
      <c r="T222" s="858">
        <v>293</v>
      </c>
      <c r="U222" s="858">
        <v>552</v>
      </c>
      <c r="V222" s="858">
        <v>63</v>
      </c>
      <c r="W222" s="858">
        <v>75</v>
      </c>
      <c r="X222" s="858">
        <v>29</v>
      </c>
      <c r="Y222" s="859">
        <v>1645</v>
      </c>
      <c r="Z222" s="859"/>
      <c r="AA222" s="858"/>
      <c r="AB222" s="858"/>
      <c r="AC222" s="858"/>
      <c r="AD222" s="858"/>
      <c r="AE222" s="859">
        <v>505</v>
      </c>
      <c r="AF222" s="859"/>
      <c r="AG222" s="858"/>
      <c r="AH222" s="859">
        <v>653</v>
      </c>
    </row>
    <row r="223" spans="1:34">
      <c r="A223" s="884"/>
      <c r="B223" s="580" t="s">
        <v>131</v>
      </c>
      <c r="C223" s="806">
        <f t="shared" si="119"/>
        <v>0.13330767256864254</v>
      </c>
      <c r="D223" s="806">
        <f t="shared" si="117"/>
        <v>6.7213114754098358E-2</v>
      </c>
      <c r="E223" s="806">
        <f t="shared" si="117"/>
        <v>5.935672514619883E-2</v>
      </c>
      <c r="F223" s="806">
        <f t="shared" si="117"/>
        <v>0.10919055649241147</v>
      </c>
      <c r="G223" s="806">
        <f t="shared" si="117"/>
        <v>1.5306122448979591E-2</v>
      </c>
      <c r="H223" s="806">
        <f t="shared" si="117"/>
        <v>8.1081081081081086E-3</v>
      </c>
      <c r="I223" s="624">
        <f t="shared" si="117"/>
        <v>9.4083678361298759E-2</v>
      </c>
      <c r="J223" s="624">
        <f t="shared" si="117"/>
        <v>0</v>
      </c>
      <c r="K223" s="625">
        <f t="shared" si="117"/>
        <v>0</v>
      </c>
      <c r="L223" s="625">
        <f t="shared" si="117"/>
        <v>0</v>
      </c>
      <c r="M223" s="625">
        <f t="shared" si="117"/>
        <v>0</v>
      </c>
      <c r="N223" s="624">
        <f t="shared" si="120"/>
        <v>0.27446808510638299</v>
      </c>
      <c r="O223" s="624">
        <f t="shared" si="118"/>
        <v>0</v>
      </c>
      <c r="P223" s="626">
        <f t="shared" si="118"/>
        <v>0</v>
      </c>
      <c r="Q223" s="624">
        <f t="shared" si="118"/>
        <v>0.11598746081504702</v>
      </c>
      <c r="R223" s="357"/>
      <c r="S223" s="858">
        <v>1039</v>
      </c>
      <c r="T223" s="858">
        <v>205</v>
      </c>
      <c r="U223" s="858">
        <v>203</v>
      </c>
      <c r="V223" s="858">
        <v>259</v>
      </c>
      <c r="W223" s="858">
        <v>15</v>
      </c>
      <c r="X223" s="858">
        <v>6</v>
      </c>
      <c r="Y223" s="859">
        <v>1727</v>
      </c>
      <c r="Z223" s="859"/>
      <c r="AA223" s="858"/>
      <c r="AB223" s="858"/>
      <c r="AC223" s="858"/>
      <c r="AD223" s="858"/>
      <c r="AE223" s="859">
        <v>774</v>
      </c>
      <c r="AF223" s="859"/>
      <c r="AG223" s="858"/>
      <c r="AH223" s="859">
        <v>222</v>
      </c>
    </row>
    <row r="224" spans="1:34">
      <c r="A224" s="885"/>
      <c r="B224" s="436" t="s">
        <v>59</v>
      </c>
      <c r="C224" s="807">
        <f t="shared" si="119"/>
        <v>1</v>
      </c>
      <c r="D224" s="808">
        <f t="shared" si="117"/>
        <v>1</v>
      </c>
      <c r="E224" s="808">
        <f t="shared" si="117"/>
        <v>1</v>
      </c>
      <c r="F224" s="808">
        <f t="shared" si="117"/>
        <v>1</v>
      </c>
      <c r="G224" s="808">
        <f t="shared" si="117"/>
        <v>1</v>
      </c>
      <c r="H224" s="809">
        <f t="shared" si="117"/>
        <v>1</v>
      </c>
      <c r="I224" s="577">
        <f t="shared" si="117"/>
        <v>1</v>
      </c>
      <c r="J224" s="577">
        <f t="shared" si="117"/>
        <v>0</v>
      </c>
      <c r="K224" s="578">
        <f t="shared" si="117"/>
        <v>0</v>
      </c>
      <c r="L224" s="578">
        <f t="shared" si="117"/>
        <v>0</v>
      </c>
      <c r="M224" s="578">
        <f t="shared" si="117"/>
        <v>0</v>
      </c>
      <c r="N224" s="577">
        <f t="shared" si="120"/>
        <v>1</v>
      </c>
      <c r="O224" s="577">
        <f t="shared" si="118"/>
        <v>0</v>
      </c>
      <c r="P224" s="579">
        <f t="shared" si="118"/>
        <v>0</v>
      </c>
      <c r="Q224" s="577">
        <f t="shared" si="118"/>
        <v>1</v>
      </c>
      <c r="R224" s="357"/>
      <c r="S224" s="858">
        <v>7794</v>
      </c>
      <c r="T224" s="858">
        <v>3050</v>
      </c>
      <c r="U224" s="858">
        <v>3420</v>
      </c>
      <c r="V224" s="858">
        <v>2372</v>
      </c>
      <c r="W224" s="858">
        <v>980</v>
      </c>
      <c r="X224" s="858">
        <v>740</v>
      </c>
      <c r="Y224" s="859">
        <v>18356</v>
      </c>
      <c r="Z224" s="859"/>
      <c r="AA224" s="858"/>
      <c r="AB224" s="858"/>
      <c r="AC224" s="858"/>
      <c r="AD224" s="858"/>
      <c r="AE224" s="859">
        <v>2820</v>
      </c>
      <c r="AF224" s="859"/>
      <c r="AG224" s="858"/>
      <c r="AH224" s="859">
        <v>1914</v>
      </c>
    </row>
    <row r="225" spans="1:34">
      <c r="A225" s="882" t="s">
        <v>145</v>
      </c>
      <c r="B225" s="240" t="s">
        <v>53</v>
      </c>
      <c r="C225" s="806">
        <f>IF(S$230&gt;0,(S225/S$230),0)</f>
        <v>0.37524990003998399</v>
      </c>
      <c r="D225" s="806">
        <f t="shared" ref="D225:M230" si="121">IF(T$230&gt;0,(T225/T$230),0)</f>
        <v>0.21953255425709517</v>
      </c>
      <c r="E225" s="806">
        <f t="shared" si="121"/>
        <v>0.20925925925925926</v>
      </c>
      <c r="F225" s="806">
        <f t="shared" si="121"/>
        <v>0.20842217484008529</v>
      </c>
      <c r="G225" s="806">
        <f t="shared" si="121"/>
        <v>0.26797385620915032</v>
      </c>
      <c r="H225" s="806">
        <f t="shared" si="121"/>
        <v>0.24528301886792453</v>
      </c>
      <c r="I225" s="613">
        <f t="shared" si="121"/>
        <v>0.28502795936047887</v>
      </c>
      <c r="J225" s="613">
        <f t="shared" si="121"/>
        <v>0</v>
      </c>
      <c r="K225" s="614">
        <f t="shared" si="121"/>
        <v>0</v>
      </c>
      <c r="L225" s="614">
        <f t="shared" si="121"/>
        <v>0</v>
      </c>
      <c r="M225" s="614">
        <f t="shared" si="121"/>
        <v>0</v>
      </c>
      <c r="N225" s="613">
        <f>IF(AE$230&gt;0,(AE225/AE$230),0)</f>
        <v>7.4938574938574934E-2</v>
      </c>
      <c r="O225" s="613">
        <f t="shared" ref="O225:Q230" si="122">IF(AF$230&gt;0,(AF225/AF$230),0)</f>
        <v>0</v>
      </c>
      <c r="P225" s="615">
        <f t="shared" si="122"/>
        <v>0</v>
      </c>
      <c r="Q225" s="613">
        <f t="shared" si="122"/>
        <v>0</v>
      </c>
      <c r="R225" s="799"/>
      <c r="S225" s="856">
        <v>1877</v>
      </c>
      <c r="T225" s="856">
        <v>526</v>
      </c>
      <c r="U225" s="856">
        <v>226</v>
      </c>
      <c r="V225" s="856">
        <v>391</v>
      </c>
      <c r="W225" s="856">
        <v>287</v>
      </c>
      <c r="X225" s="856">
        <v>312</v>
      </c>
      <c r="Y225" s="857">
        <v>3619</v>
      </c>
      <c r="Z225" s="857"/>
      <c r="AA225" s="856"/>
      <c r="AB225" s="856"/>
      <c r="AC225" s="856"/>
      <c r="AD225" s="856"/>
      <c r="AE225" s="857">
        <v>122</v>
      </c>
      <c r="AF225" s="857"/>
      <c r="AG225" s="856"/>
      <c r="AH225" s="857"/>
    </row>
    <row r="226" spans="1:34">
      <c r="A226" s="883"/>
      <c r="B226" s="239" t="s">
        <v>93</v>
      </c>
      <c r="C226" s="806">
        <f t="shared" ref="C226:C230" si="123">IF(S$230&gt;0,(S226/S$230),0)</f>
        <v>0.26409436225509797</v>
      </c>
      <c r="D226" s="806">
        <f t="shared" si="121"/>
        <v>0.26961602671118529</v>
      </c>
      <c r="E226" s="806">
        <f t="shared" si="121"/>
        <v>0.34444444444444444</v>
      </c>
      <c r="F226" s="806">
        <f t="shared" si="121"/>
        <v>0.27825159914712155</v>
      </c>
      <c r="G226" s="806">
        <f t="shared" si="121"/>
        <v>0.26797385620915032</v>
      </c>
      <c r="H226" s="806">
        <f t="shared" si="121"/>
        <v>0.29323899371069184</v>
      </c>
      <c r="I226" s="624">
        <f t="shared" si="121"/>
        <v>0.27730960069307709</v>
      </c>
      <c r="J226" s="624">
        <f t="shared" si="121"/>
        <v>0</v>
      </c>
      <c r="K226" s="625">
        <f t="shared" si="121"/>
        <v>0</v>
      </c>
      <c r="L226" s="625">
        <f t="shared" si="121"/>
        <v>0</v>
      </c>
      <c r="M226" s="625">
        <f t="shared" si="121"/>
        <v>0</v>
      </c>
      <c r="N226" s="624">
        <f t="shared" ref="N226:N230" si="124">IF(AE$230&gt;0,(AE226/AE$230),0)</f>
        <v>0.21928746928746928</v>
      </c>
      <c r="O226" s="624">
        <f t="shared" si="122"/>
        <v>0</v>
      </c>
      <c r="P226" s="626">
        <f t="shared" si="122"/>
        <v>0</v>
      </c>
      <c r="Q226" s="624">
        <f t="shared" si="122"/>
        <v>0</v>
      </c>
      <c r="R226" s="357"/>
      <c r="S226" s="858">
        <v>1321</v>
      </c>
      <c r="T226" s="858">
        <v>646</v>
      </c>
      <c r="U226" s="858">
        <v>372</v>
      </c>
      <c r="V226" s="858">
        <v>522</v>
      </c>
      <c r="W226" s="858">
        <v>287</v>
      </c>
      <c r="X226" s="858">
        <v>373</v>
      </c>
      <c r="Y226" s="859">
        <v>3521</v>
      </c>
      <c r="Z226" s="859"/>
      <c r="AA226" s="858"/>
      <c r="AB226" s="858"/>
      <c r="AC226" s="858"/>
      <c r="AD226" s="858"/>
      <c r="AE226" s="859">
        <v>357</v>
      </c>
      <c r="AF226" s="859"/>
      <c r="AG226" s="858"/>
      <c r="AH226" s="859"/>
    </row>
    <row r="227" spans="1:34">
      <c r="A227" s="883"/>
      <c r="B227" s="239" t="s">
        <v>55</v>
      </c>
      <c r="C227" s="806">
        <f t="shared" si="123"/>
        <v>0.20471811275489804</v>
      </c>
      <c r="D227" s="806">
        <f t="shared" si="121"/>
        <v>0.26919866444073454</v>
      </c>
      <c r="E227" s="806">
        <f t="shared" si="121"/>
        <v>0.2675925925925926</v>
      </c>
      <c r="F227" s="806">
        <f t="shared" si="121"/>
        <v>0.35127931769722814</v>
      </c>
      <c r="G227" s="806">
        <f t="shared" si="121"/>
        <v>0.32586367880485528</v>
      </c>
      <c r="H227" s="806">
        <f t="shared" si="121"/>
        <v>0.32625786163522014</v>
      </c>
      <c r="I227" s="624">
        <f t="shared" si="121"/>
        <v>0.26628337402536034</v>
      </c>
      <c r="J227" s="624">
        <f t="shared" si="121"/>
        <v>0</v>
      </c>
      <c r="K227" s="625">
        <f t="shared" si="121"/>
        <v>0</v>
      </c>
      <c r="L227" s="625">
        <f t="shared" si="121"/>
        <v>0</v>
      </c>
      <c r="M227" s="625">
        <f t="shared" si="121"/>
        <v>0</v>
      </c>
      <c r="N227" s="624">
        <f t="shared" si="124"/>
        <v>0.42567567567567566</v>
      </c>
      <c r="O227" s="624">
        <f t="shared" si="122"/>
        <v>0</v>
      </c>
      <c r="P227" s="626">
        <f t="shared" si="122"/>
        <v>0</v>
      </c>
      <c r="Q227" s="624">
        <f t="shared" si="122"/>
        <v>0</v>
      </c>
      <c r="R227" s="357"/>
      <c r="S227" s="858">
        <v>1024</v>
      </c>
      <c r="T227" s="858">
        <v>645</v>
      </c>
      <c r="U227" s="858">
        <v>289</v>
      </c>
      <c r="V227" s="858">
        <v>659</v>
      </c>
      <c r="W227" s="858">
        <v>349</v>
      </c>
      <c r="X227" s="858">
        <v>415</v>
      </c>
      <c r="Y227" s="859">
        <v>3381</v>
      </c>
      <c r="Z227" s="859"/>
      <c r="AA227" s="858"/>
      <c r="AB227" s="858"/>
      <c r="AC227" s="858"/>
      <c r="AD227" s="858"/>
      <c r="AE227" s="859">
        <v>693</v>
      </c>
      <c r="AF227" s="859"/>
      <c r="AG227" s="858"/>
      <c r="AH227" s="859"/>
    </row>
    <row r="228" spans="1:34">
      <c r="A228" s="883"/>
      <c r="B228" s="239" t="s">
        <v>78</v>
      </c>
      <c r="C228" s="806">
        <f t="shared" si="123"/>
        <v>5.9976009596161535E-4</v>
      </c>
      <c r="D228" s="806">
        <f t="shared" si="121"/>
        <v>0.13063439065108515</v>
      </c>
      <c r="E228" s="806">
        <f t="shared" si="121"/>
        <v>5.0925925925925923E-2</v>
      </c>
      <c r="F228" s="806">
        <f t="shared" si="121"/>
        <v>0.10767590618336886</v>
      </c>
      <c r="G228" s="806">
        <f t="shared" si="121"/>
        <v>2.2408963585434174E-2</v>
      </c>
      <c r="H228" s="806">
        <f t="shared" si="121"/>
        <v>4.0880503144654086E-2</v>
      </c>
      <c r="I228" s="624">
        <f t="shared" si="121"/>
        <v>5.1114436481058519E-2</v>
      </c>
      <c r="J228" s="624">
        <f t="shared" si="121"/>
        <v>0</v>
      </c>
      <c r="K228" s="625">
        <f t="shared" si="121"/>
        <v>0</v>
      </c>
      <c r="L228" s="625">
        <f t="shared" si="121"/>
        <v>0</v>
      </c>
      <c r="M228" s="625">
        <f t="shared" si="121"/>
        <v>0</v>
      </c>
      <c r="N228" s="624">
        <f t="shared" si="124"/>
        <v>0.23218673218673219</v>
      </c>
      <c r="O228" s="624">
        <f t="shared" si="122"/>
        <v>0</v>
      </c>
      <c r="P228" s="626">
        <f t="shared" si="122"/>
        <v>0</v>
      </c>
      <c r="Q228" s="624">
        <f t="shared" si="122"/>
        <v>0</v>
      </c>
      <c r="R228" s="357"/>
      <c r="S228" s="858">
        <v>3</v>
      </c>
      <c r="T228" s="858">
        <v>313</v>
      </c>
      <c r="U228" s="858">
        <v>55</v>
      </c>
      <c r="V228" s="858">
        <v>202</v>
      </c>
      <c r="W228" s="858">
        <v>24</v>
      </c>
      <c r="X228" s="858">
        <v>52</v>
      </c>
      <c r="Y228" s="859">
        <v>649</v>
      </c>
      <c r="Z228" s="859"/>
      <c r="AA228" s="858"/>
      <c r="AB228" s="858"/>
      <c r="AC228" s="858"/>
      <c r="AD228" s="858"/>
      <c r="AE228" s="859">
        <v>378</v>
      </c>
      <c r="AF228" s="859"/>
      <c r="AG228" s="858"/>
      <c r="AH228" s="859"/>
    </row>
    <row r="229" spans="1:34">
      <c r="A229" s="884"/>
      <c r="B229" s="580" t="s">
        <v>131</v>
      </c>
      <c r="C229" s="806">
        <f t="shared" si="123"/>
        <v>0.15533786485405837</v>
      </c>
      <c r="D229" s="806">
        <f t="shared" si="121"/>
        <v>0.11101836393989983</v>
      </c>
      <c r="E229" s="806">
        <f t="shared" si="121"/>
        <v>0.12777777777777777</v>
      </c>
      <c r="F229" s="806">
        <f t="shared" si="121"/>
        <v>5.4371002132196165E-2</v>
      </c>
      <c r="G229" s="806">
        <f t="shared" si="121"/>
        <v>0.1157796451914099</v>
      </c>
      <c r="H229" s="806">
        <f t="shared" si="121"/>
        <v>9.4339622641509441E-2</v>
      </c>
      <c r="I229" s="624">
        <f t="shared" si="121"/>
        <v>0.12026462944002521</v>
      </c>
      <c r="J229" s="624">
        <f t="shared" si="121"/>
        <v>0</v>
      </c>
      <c r="K229" s="625">
        <f t="shared" si="121"/>
        <v>0</v>
      </c>
      <c r="L229" s="625">
        <f t="shared" si="121"/>
        <v>0</v>
      </c>
      <c r="M229" s="625">
        <f t="shared" si="121"/>
        <v>0</v>
      </c>
      <c r="N229" s="624">
        <f t="shared" si="124"/>
        <v>4.7911547911547912E-2</v>
      </c>
      <c r="O229" s="624">
        <f t="shared" si="122"/>
        <v>0</v>
      </c>
      <c r="P229" s="626">
        <f t="shared" si="122"/>
        <v>0</v>
      </c>
      <c r="Q229" s="624">
        <f t="shared" si="122"/>
        <v>0</v>
      </c>
      <c r="R229" s="357"/>
      <c r="S229" s="858">
        <v>777</v>
      </c>
      <c r="T229" s="858">
        <v>266</v>
      </c>
      <c r="U229" s="858">
        <v>138</v>
      </c>
      <c r="V229" s="858">
        <v>102</v>
      </c>
      <c r="W229" s="858">
        <v>124</v>
      </c>
      <c r="X229" s="858">
        <v>120</v>
      </c>
      <c r="Y229" s="859">
        <v>1527</v>
      </c>
      <c r="Z229" s="859"/>
      <c r="AA229" s="858"/>
      <c r="AB229" s="858"/>
      <c r="AC229" s="858"/>
      <c r="AD229" s="858"/>
      <c r="AE229" s="859">
        <v>78</v>
      </c>
      <c r="AF229" s="859"/>
      <c r="AG229" s="858"/>
      <c r="AH229" s="859"/>
    </row>
    <row r="230" spans="1:34">
      <c r="A230" s="885"/>
      <c r="B230" s="436" t="s">
        <v>59</v>
      </c>
      <c r="C230" s="807">
        <f t="shared" si="123"/>
        <v>1</v>
      </c>
      <c r="D230" s="808">
        <f t="shared" si="121"/>
        <v>1</v>
      </c>
      <c r="E230" s="808">
        <f t="shared" si="121"/>
        <v>1</v>
      </c>
      <c r="F230" s="808">
        <f t="shared" si="121"/>
        <v>1</v>
      </c>
      <c r="G230" s="808">
        <f t="shared" si="121"/>
        <v>1</v>
      </c>
      <c r="H230" s="809">
        <f t="shared" si="121"/>
        <v>1</v>
      </c>
      <c r="I230" s="577">
        <f t="shared" si="121"/>
        <v>1</v>
      </c>
      <c r="J230" s="577">
        <f t="shared" si="121"/>
        <v>0</v>
      </c>
      <c r="K230" s="578">
        <f t="shared" si="121"/>
        <v>0</v>
      </c>
      <c r="L230" s="578">
        <f t="shared" si="121"/>
        <v>0</v>
      </c>
      <c r="M230" s="578">
        <f t="shared" si="121"/>
        <v>0</v>
      </c>
      <c r="N230" s="577">
        <f t="shared" si="124"/>
        <v>1</v>
      </c>
      <c r="O230" s="577">
        <f t="shared" si="122"/>
        <v>0</v>
      </c>
      <c r="P230" s="579">
        <f t="shared" si="122"/>
        <v>0</v>
      </c>
      <c r="Q230" s="577">
        <f t="shared" si="122"/>
        <v>0</v>
      </c>
      <c r="R230" s="357"/>
      <c r="S230" s="858">
        <v>5002</v>
      </c>
      <c r="T230" s="858">
        <v>2396</v>
      </c>
      <c r="U230" s="858">
        <v>1080</v>
      </c>
      <c r="V230" s="858">
        <v>1876</v>
      </c>
      <c r="W230" s="858">
        <v>1071</v>
      </c>
      <c r="X230" s="858">
        <v>1272</v>
      </c>
      <c r="Y230" s="859">
        <v>12697</v>
      </c>
      <c r="Z230" s="859"/>
      <c r="AA230" s="858"/>
      <c r="AB230" s="858"/>
      <c r="AC230" s="858"/>
      <c r="AD230" s="858"/>
      <c r="AE230" s="859">
        <v>1628</v>
      </c>
      <c r="AF230" s="859"/>
      <c r="AG230" s="858"/>
      <c r="AH230" s="859"/>
    </row>
    <row r="231" spans="1:34">
      <c r="A231" s="882" t="s">
        <v>142</v>
      </c>
      <c r="B231" s="240" t="s">
        <v>53</v>
      </c>
      <c r="C231" s="806">
        <f>IF(S$236&gt;0,(S231/S$236),0)</f>
        <v>0.34298517752499136</v>
      </c>
      <c r="D231" s="806">
        <f t="shared" ref="D231:M236" si="125">IF(T$236&gt;0,(T231/T$236),0)</f>
        <v>0</v>
      </c>
      <c r="E231" s="806">
        <f t="shared" si="125"/>
        <v>0.27060931899641577</v>
      </c>
      <c r="F231" s="806">
        <f t="shared" si="125"/>
        <v>0.21294117647058824</v>
      </c>
      <c r="G231" s="806">
        <f t="shared" si="125"/>
        <v>0.21359223300970873</v>
      </c>
      <c r="H231" s="806">
        <f t="shared" si="125"/>
        <v>0.33767228177641656</v>
      </c>
      <c r="I231" s="613">
        <f t="shared" si="125"/>
        <v>0.30482913524787419</v>
      </c>
      <c r="J231" s="613">
        <f t="shared" si="125"/>
        <v>0</v>
      </c>
      <c r="K231" s="614">
        <f t="shared" si="125"/>
        <v>0</v>
      </c>
      <c r="L231" s="614">
        <f t="shared" si="125"/>
        <v>0</v>
      </c>
      <c r="M231" s="614">
        <f t="shared" si="125"/>
        <v>0</v>
      </c>
      <c r="N231" s="613">
        <f>IF(AE$236&gt;0,(AE231/AE$236),0)</f>
        <v>0.24212271973466004</v>
      </c>
      <c r="O231" s="613">
        <f t="shared" ref="O231:Q236" si="126">IF(AF$236&gt;0,(AF231/AF$236),0)</f>
        <v>0</v>
      </c>
      <c r="P231" s="615">
        <f t="shared" si="126"/>
        <v>0</v>
      </c>
      <c r="Q231" s="613">
        <f t="shared" si="126"/>
        <v>0</v>
      </c>
      <c r="R231" s="799"/>
      <c r="S231" s="856">
        <v>995</v>
      </c>
      <c r="T231" s="856"/>
      <c r="U231" s="856">
        <v>151</v>
      </c>
      <c r="V231" s="856">
        <v>181</v>
      </c>
      <c r="W231" s="856">
        <v>132</v>
      </c>
      <c r="X231" s="856">
        <v>441</v>
      </c>
      <c r="Y231" s="857">
        <v>1900</v>
      </c>
      <c r="Z231" s="857"/>
      <c r="AA231" s="856"/>
      <c r="AB231" s="856"/>
      <c r="AC231" s="856"/>
      <c r="AD231" s="856"/>
      <c r="AE231" s="857">
        <v>438</v>
      </c>
      <c r="AF231" s="857"/>
      <c r="AG231" s="856"/>
      <c r="AH231" s="857"/>
    </row>
    <row r="232" spans="1:34">
      <c r="A232" s="883"/>
      <c r="B232" s="239" t="s">
        <v>93</v>
      </c>
      <c r="C232" s="806">
        <f t="shared" ref="C232:C236" si="127">IF(S$236&gt;0,(S232/S$236),0)</f>
        <v>0.28403998621165116</v>
      </c>
      <c r="D232" s="806">
        <f t="shared" si="125"/>
        <v>0</v>
      </c>
      <c r="E232" s="806">
        <f t="shared" si="125"/>
        <v>0.33870967741935482</v>
      </c>
      <c r="F232" s="806">
        <f t="shared" si="125"/>
        <v>0.23176470588235293</v>
      </c>
      <c r="G232" s="806">
        <f t="shared" si="125"/>
        <v>0.2459546925566343</v>
      </c>
      <c r="H232" s="806">
        <f t="shared" si="125"/>
        <v>0.29862174578866768</v>
      </c>
      <c r="I232" s="624">
        <f t="shared" si="125"/>
        <v>0.28108454997593452</v>
      </c>
      <c r="J232" s="624">
        <f t="shared" si="125"/>
        <v>0</v>
      </c>
      <c r="K232" s="625">
        <f t="shared" si="125"/>
        <v>0</v>
      </c>
      <c r="L232" s="625">
        <f t="shared" si="125"/>
        <v>0</v>
      </c>
      <c r="M232" s="625">
        <f t="shared" si="125"/>
        <v>0</v>
      </c>
      <c r="N232" s="624">
        <f t="shared" ref="N232:N236" si="128">IF(AE$236&gt;0,(AE232/AE$236),0)</f>
        <v>9.6185737976782759E-2</v>
      </c>
      <c r="O232" s="624">
        <f t="shared" si="126"/>
        <v>0</v>
      </c>
      <c r="P232" s="626">
        <f t="shared" si="126"/>
        <v>0</v>
      </c>
      <c r="Q232" s="624">
        <f t="shared" si="126"/>
        <v>0</v>
      </c>
      <c r="R232" s="357"/>
      <c r="S232" s="858">
        <v>824</v>
      </c>
      <c r="T232" s="858"/>
      <c r="U232" s="858">
        <v>189</v>
      </c>
      <c r="V232" s="858">
        <v>197</v>
      </c>
      <c r="W232" s="858">
        <v>152</v>
      </c>
      <c r="X232" s="858">
        <v>390</v>
      </c>
      <c r="Y232" s="859">
        <v>1752</v>
      </c>
      <c r="Z232" s="859"/>
      <c r="AA232" s="858"/>
      <c r="AB232" s="858"/>
      <c r="AC232" s="858"/>
      <c r="AD232" s="858"/>
      <c r="AE232" s="859">
        <v>174</v>
      </c>
      <c r="AF232" s="859"/>
      <c r="AG232" s="858"/>
      <c r="AH232" s="859"/>
    </row>
    <row r="233" spans="1:34">
      <c r="A233" s="883"/>
      <c r="B233" s="239" t="s">
        <v>55</v>
      </c>
      <c r="C233" s="806">
        <f t="shared" si="127"/>
        <v>0.22509479489831094</v>
      </c>
      <c r="D233" s="806">
        <f t="shared" si="125"/>
        <v>0</v>
      </c>
      <c r="E233" s="806">
        <f t="shared" si="125"/>
        <v>0.24014336917562723</v>
      </c>
      <c r="F233" s="806">
        <f t="shared" si="125"/>
        <v>0.26705882352941174</v>
      </c>
      <c r="G233" s="806">
        <f t="shared" si="125"/>
        <v>0.40614886731391586</v>
      </c>
      <c r="H233" s="806">
        <f t="shared" si="125"/>
        <v>0.28943338437978561</v>
      </c>
      <c r="I233" s="624">
        <f t="shared" si="125"/>
        <v>0.26359698379592489</v>
      </c>
      <c r="J233" s="624">
        <f t="shared" si="125"/>
        <v>0</v>
      </c>
      <c r="K233" s="625">
        <f t="shared" si="125"/>
        <v>0</v>
      </c>
      <c r="L233" s="625">
        <f t="shared" si="125"/>
        <v>0</v>
      </c>
      <c r="M233" s="625">
        <f t="shared" si="125"/>
        <v>0</v>
      </c>
      <c r="N233" s="624">
        <f t="shared" si="128"/>
        <v>6.6887783305693754E-2</v>
      </c>
      <c r="O233" s="624">
        <f t="shared" si="126"/>
        <v>0</v>
      </c>
      <c r="P233" s="626">
        <f t="shared" si="126"/>
        <v>0</v>
      </c>
      <c r="Q233" s="624">
        <f t="shared" si="126"/>
        <v>0</v>
      </c>
      <c r="R233" s="357"/>
      <c r="S233" s="858">
        <v>653</v>
      </c>
      <c r="T233" s="858"/>
      <c r="U233" s="858">
        <v>134</v>
      </c>
      <c r="V233" s="858">
        <v>227</v>
      </c>
      <c r="W233" s="858">
        <v>251</v>
      </c>
      <c r="X233" s="858">
        <v>378</v>
      </c>
      <c r="Y233" s="859">
        <v>1643</v>
      </c>
      <c r="Z233" s="859"/>
      <c r="AA233" s="858"/>
      <c r="AB233" s="858"/>
      <c r="AC233" s="858"/>
      <c r="AD233" s="858"/>
      <c r="AE233" s="859">
        <v>121</v>
      </c>
      <c r="AF233" s="859"/>
      <c r="AG233" s="858"/>
      <c r="AH233" s="859"/>
    </row>
    <row r="234" spans="1:34">
      <c r="A234" s="883"/>
      <c r="B234" s="239" t="s">
        <v>78</v>
      </c>
      <c r="C234" s="806">
        <f t="shared" si="127"/>
        <v>5.5153395380903138E-3</v>
      </c>
      <c r="D234" s="806">
        <f t="shared" si="125"/>
        <v>0</v>
      </c>
      <c r="E234" s="806">
        <f t="shared" si="125"/>
        <v>0.15053763440860216</v>
      </c>
      <c r="F234" s="806">
        <f t="shared" si="125"/>
        <v>0.2847058823529412</v>
      </c>
      <c r="G234" s="806">
        <f t="shared" si="125"/>
        <v>9.8705501618122971E-2</v>
      </c>
      <c r="H234" s="806">
        <f t="shared" si="125"/>
        <v>3.0627871362940276E-2</v>
      </c>
      <c r="I234" s="624">
        <f t="shared" si="125"/>
        <v>7.1073319428846468E-2</v>
      </c>
      <c r="J234" s="624">
        <f t="shared" si="125"/>
        <v>0</v>
      </c>
      <c r="K234" s="625">
        <f t="shared" si="125"/>
        <v>0</v>
      </c>
      <c r="L234" s="625">
        <f t="shared" si="125"/>
        <v>0</v>
      </c>
      <c r="M234" s="625">
        <f t="shared" si="125"/>
        <v>0</v>
      </c>
      <c r="N234" s="624">
        <f t="shared" si="128"/>
        <v>0.38197899391929241</v>
      </c>
      <c r="O234" s="624">
        <f t="shared" si="126"/>
        <v>0</v>
      </c>
      <c r="P234" s="626">
        <f t="shared" si="126"/>
        <v>0</v>
      </c>
      <c r="Q234" s="624">
        <f t="shared" si="126"/>
        <v>1</v>
      </c>
      <c r="R234" s="357"/>
      <c r="S234" s="858">
        <v>16</v>
      </c>
      <c r="T234" s="858"/>
      <c r="U234" s="858">
        <v>84</v>
      </c>
      <c r="V234" s="858">
        <v>242</v>
      </c>
      <c r="W234" s="858">
        <v>61</v>
      </c>
      <c r="X234" s="858">
        <v>40</v>
      </c>
      <c r="Y234" s="859">
        <v>443</v>
      </c>
      <c r="Z234" s="859"/>
      <c r="AA234" s="858"/>
      <c r="AB234" s="858"/>
      <c r="AC234" s="858"/>
      <c r="AD234" s="858"/>
      <c r="AE234" s="859">
        <v>691</v>
      </c>
      <c r="AF234" s="859"/>
      <c r="AG234" s="858"/>
      <c r="AH234" s="859">
        <v>88</v>
      </c>
    </row>
    <row r="235" spans="1:34">
      <c r="A235" s="884"/>
      <c r="B235" s="580" t="s">
        <v>131</v>
      </c>
      <c r="C235" s="806">
        <f t="shared" si="127"/>
        <v>0.14236470182695621</v>
      </c>
      <c r="D235" s="806">
        <f t="shared" si="125"/>
        <v>0</v>
      </c>
      <c r="E235" s="806">
        <f t="shared" si="125"/>
        <v>0</v>
      </c>
      <c r="F235" s="806">
        <f t="shared" si="125"/>
        <v>3.5294117647058825E-3</v>
      </c>
      <c r="G235" s="806">
        <f t="shared" si="125"/>
        <v>3.5598705501618123E-2</v>
      </c>
      <c r="H235" s="806">
        <f t="shared" si="125"/>
        <v>4.3644716692189896E-2</v>
      </c>
      <c r="I235" s="624">
        <f t="shared" si="125"/>
        <v>7.9416011551419863E-2</v>
      </c>
      <c r="J235" s="624">
        <f t="shared" si="125"/>
        <v>0</v>
      </c>
      <c r="K235" s="625">
        <f t="shared" si="125"/>
        <v>0</v>
      </c>
      <c r="L235" s="625">
        <f t="shared" si="125"/>
        <v>0</v>
      </c>
      <c r="M235" s="625">
        <f t="shared" si="125"/>
        <v>0</v>
      </c>
      <c r="N235" s="624">
        <f t="shared" si="128"/>
        <v>0.21282476506357104</v>
      </c>
      <c r="O235" s="624">
        <f t="shared" si="126"/>
        <v>0</v>
      </c>
      <c r="P235" s="626">
        <f t="shared" si="126"/>
        <v>0</v>
      </c>
      <c r="Q235" s="624">
        <f t="shared" si="126"/>
        <v>0</v>
      </c>
      <c r="R235" s="357"/>
      <c r="S235" s="858">
        <v>413</v>
      </c>
      <c r="T235" s="858"/>
      <c r="U235" s="858"/>
      <c r="V235" s="858">
        <v>3</v>
      </c>
      <c r="W235" s="858">
        <v>22</v>
      </c>
      <c r="X235" s="858">
        <v>57</v>
      </c>
      <c r="Y235" s="859">
        <v>495</v>
      </c>
      <c r="Z235" s="859"/>
      <c r="AA235" s="858"/>
      <c r="AB235" s="858"/>
      <c r="AC235" s="858"/>
      <c r="AD235" s="858"/>
      <c r="AE235" s="859">
        <v>385</v>
      </c>
      <c r="AF235" s="859"/>
      <c r="AG235" s="858"/>
      <c r="AH235" s="859"/>
    </row>
    <row r="236" spans="1:34">
      <c r="A236" s="885"/>
      <c r="B236" s="436" t="s">
        <v>59</v>
      </c>
      <c r="C236" s="807">
        <f t="shared" si="127"/>
        <v>1</v>
      </c>
      <c r="D236" s="808">
        <f t="shared" si="125"/>
        <v>0</v>
      </c>
      <c r="E236" s="808">
        <f t="shared" si="125"/>
        <v>1</v>
      </c>
      <c r="F236" s="808">
        <f t="shared" si="125"/>
        <v>1</v>
      </c>
      <c r="G236" s="808">
        <f t="shared" si="125"/>
        <v>1</v>
      </c>
      <c r="H236" s="809">
        <f t="shared" si="125"/>
        <v>1</v>
      </c>
      <c r="I236" s="577">
        <f t="shared" si="125"/>
        <v>1</v>
      </c>
      <c r="J236" s="577">
        <f t="shared" si="125"/>
        <v>0</v>
      </c>
      <c r="K236" s="578">
        <f t="shared" si="125"/>
        <v>0</v>
      </c>
      <c r="L236" s="578">
        <f t="shared" si="125"/>
        <v>0</v>
      </c>
      <c r="M236" s="578">
        <f t="shared" si="125"/>
        <v>0</v>
      </c>
      <c r="N236" s="577">
        <f t="shared" si="128"/>
        <v>1</v>
      </c>
      <c r="O236" s="577">
        <f t="shared" si="126"/>
        <v>0</v>
      </c>
      <c r="P236" s="579">
        <f t="shared" si="126"/>
        <v>0</v>
      </c>
      <c r="Q236" s="577">
        <f t="shared" si="126"/>
        <v>1</v>
      </c>
      <c r="R236" s="357"/>
      <c r="S236" s="858">
        <v>2901</v>
      </c>
      <c r="T236" s="858"/>
      <c r="U236" s="858">
        <v>558</v>
      </c>
      <c r="V236" s="858">
        <v>850</v>
      </c>
      <c r="W236" s="858">
        <v>618</v>
      </c>
      <c r="X236" s="858">
        <v>1306</v>
      </c>
      <c r="Y236" s="859">
        <v>6233</v>
      </c>
      <c r="Z236" s="859"/>
      <c r="AA236" s="858"/>
      <c r="AB236" s="858"/>
      <c r="AC236" s="858"/>
      <c r="AD236" s="858"/>
      <c r="AE236" s="859">
        <v>1809</v>
      </c>
      <c r="AF236" s="859"/>
      <c r="AG236" s="858"/>
      <c r="AH236" s="859">
        <v>88</v>
      </c>
    </row>
    <row r="237" spans="1:34">
      <c r="A237" s="882" t="s">
        <v>146</v>
      </c>
      <c r="B237" s="240" t="s">
        <v>53</v>
      </c>
      <c r="C237" s="806">
        <f>IF(S$242&gt;0,(S237/S$242),0)</f>
        <v>0.2941684665226782</v>
      </c>
      <c r="D237" s="806">
        <f t="shared" ref="D237:M242" si="129">IF(T$242&gt;0,(T237/T$242),0)</f>
        <v>0.24125874125874125</v>
      </c>
      <c r="E237" s="806">
        <f t="shared" si="129"/>
        <v>0.24798154555940022</v>
      </c>
      <c r="F237" s="806">
        <f t="shared" si="129"/>
        <v>0.27941176470588236</v>
      </c>
      <c r="G237" s="806">
        <f t="shared" si="129"/>
        <v>0.20718232044198895</v>
      </c>
      <c r="H237" s="806">
        <f t="shared" si="129"/>
        <v>0.21568627450980393</v>
      </c>
      <c r="I237" s="613">
        <f t="shared" si="129"/>
        <v>0.26758819888590879</v>
      </c>
      <c r="J237" s="613">
        <f t="shared" si="129"/>
        <v>0</v>
      </c>
      <c r="K237" s="614">
        <f t="shared" si="129"/>
        <v>0</v>
      </c>
      <c r="L237" s="614">
        <f t="shared" si="129"/>
        <v>0</v>
      </c>
      <c r="M237" s="614">
        <f t="shared" si="129"/>
        <v>0</v>
      </c>
      <c r="N237" s="613">
        <f>IF(AE$242&gt;0,(AE237/AE$242),0)</f>
        <v>0.29179810725552052</v>
      </c>
      <c r="O237" s="613">
        <f t="shared" ref="O237:Q242" si="130">IF(AF$242&gt;0,(AF237/AF$242),0)</f>
        <v>0</v>
      </c>
      <c r="P237" s="615">
        <f t="shared" si="130"/>
        <v>0</v>
      </c>
      <c r="Q237" s="613">
        <f t="shared" si="130"/>
        <v>0.14444444444444443</v>
      </c>
      <c r="R237" s="799"/>
      <c r="S237" s="856">
        <v>681</v>
      </c>
      <c r="T237" s="856">
        <v>138</v>
      </c>
      <c r="U237" s="856">
        <v>215</v>
      </c>
      <c r="V237" s="856">
        <v>133</v>
      </c>
      <c r="W237" s="856">
        <v>75</v>
      </c>
      <c r="X237" s="856">
        <v>55</v>
      </c>
      <c r="Y237" s="857">
        <v>1297</v>
      </c>
      <c r="Z237" s="857"/>
      <c r="AA237" s="856"/>
      <c r="AB237" s="856"/>
      <c r="AC237" s="856"/>
      <c r="AD237" s="856"/>
      <c r="AE237" s="857">
        <v>370</v>
      </c>
      <c r="AF237" s="857"/>
      <c r="AG237" s="856"/>
      <c r="AH237" s="857">
        <v>78</v>
      </c>
    </row>
    <row r="238" spans="1:34">
      <c r="A238" s="883"/>
      <c r="B238" s="239" t="s">
        <v>93</v>
      </c>
      <c r="C238" s="806">
        <f t="shared" ref="C238:C242" si="131">IF(S$242&gt;0,(S238/S$242),0)</f>
        <v>0.30842332613390927</v>
      </c>
      <c r="D238" s="806">
        <f t="shared" si="129"/>
        <v>0.23601398601398602</v>
      </c>
      <c r="E238" s="806">
        <f t="shared" si="129"/>
        <v>0.26758938869665511</v>
      </c>
      <c r="F238" s="806">
        <f t="shared" si="129"/>
        <v>0.25210084033613445</v>
      </c>
      <c r="G238" s="806">
        <f t="shared" si="129"/>
        <v>0.2541436464088398</v>
      </c>
      <c r="H238" s="806">
        <f t="shared" si="129"/>
        <v>0.29019607843137257</v>
      </c>
      <c r="I238" s="624">
        <f t="shared" si="129"/>
        <v>0.2820301217247782</v>
      </c>
      <c r="J238" s="624">
        <f t="shared" si="129"/>
        <v>0</v>
      </c>
      <c r="K238" s="625">
        <f t="shared" si="129"/>
        <v>0</v>
      </c>
      <c r="L238" s="625">
        <f t="shared" si="129"/>
        <v>0</v>
      </c>
      <c r="M238" s="625">
        <f t="shared" si="129"/>
        <v>0</v>
      </c>
      <c r="N238" s="624">
        <f t="shared" ref="N238:N242" si="132">IF(AE$242&gt;0,(AE238/AE$242),0)</f>
        <v>0.11514195583596215</v>
      </c>
      <c r="O238" s="624">
        <f t="shared" si="130"/>
        <v>0</v>
      </c>
      <c r="P238" s="626">
        <f t="shared" si="130"/>
        <v>0</v>
      </c>
      <c r="Q238" s="624">
        <f t="shared" si="130"/>
        <v>1.4814814814814815E-2</v>
      </c>
      <c r="R238" s="357"/>
      <c r="S238" s="858">
        <v>714</v>
      </c>
      <c r="T238" s="858">
        <v>135</v>
      </c>
      <c r="U238" s="858">
        <v>232</v>
      </c>
      <c r="V238" s="858">
        <v>120</v>
      </c>
      <c r="W238" s="858">
        <v>92</v>
      </c>
      <c r="X238" s="858">
        <v>74</v>
      </c>
      <c r="Y238" s="859">
        <v>1367</v>
      </c>
      <c r="Z238" s="859"/>
      <c r="AA238" s="858"/>
      <c r="AB238" s="858"/>
      <c r="AC238" s="858"/>
      <c r="AD238" s="858"/>
      <c r="AE238" s="859">
        <v>146</v>
      </c>
      <c r="AF238" s="859"/>
      <c r="AG238" s="858"/>
      <c r="AH238" s="859">
        <v>8</v>
      </c>
    </row>
    <row r="239" spans="1:34">
      <c r="A239" s="883"/>
      <c r="B239" s="239" t="s">
        <v>55</v>
      </c>
      <c r="C239" s="806">
        <f t="shared" si="131"/>
        <v>0.23887688984881209</v>
      </c>
      <c r="D239" s="806">
        <f t="shared" si="129"/>
        <v>0.23076923076923078</v>
      </c>
      <c r="E239" s="806">
        <f t="shared" si="129"/>
        <v>0.26412918108419836</v>
      </c>
      <c r="F239" s="806">
        <f t="shared" si="129"/>
        <v>0.28151260504201681</v>
      </c>
      <c r="G239" s="806">
        <f t="shared" si="129"/>
        <v>0.3397790055248619</v>
      </c>
      <c r="H239" s="806">
        <f t="shared" si="129"/>
        <v>0.46666666666666667</v>
      </c>
      <c r="I239" s="624">
        <f t="shared" si="129"/>
        <v>0.26614400660202187</v>
      </c>
      <c r="J239" s="624">
        <f t="shared" si="129"/>
        <v>0</v>
      </c>
      <c r="K239" s="625">
        <f t="shared" si="129"/>
        <v>0</v>
      </c>
      <c r="L239" s="625">
        <f t="shared" si="129"/>
        <v>0</v>
      </c>
      <c r="M239" s="625">
        <f t="shared" si="129"/>
        <v>0</v>
      </c>
      <c r="N239" s="624">
        <f t="shared" si="132"/>
        <v>7.7287066246056788E-2</v>
      </c>
      <c r="O239" s="624">
        <f t="shared" si="130"/>
        <v>0</v>
      </c>
      <c r="P239" s="626">
        <f t="shared" si="130"/>
        <v>0</v>
      </c>
      <c r="Q239" s="624">
        <f t="shared" si="130"/>
        <v>0</v>
      </c>
      <c r="R239" s="357"/>
      <c r="S239" s="858">
        <v>553</v>
      </c>
      <c r="T239" s="858">
        <v>132</v>
      </c>
      <c r="U239" s="858">
        <v>229</v>
      </c>
      <c r="V239" s="858">
        <v>134</v>
      </c>
      <c r="W239" s="858">
        <v>123</v>
      </c>
      <c r="X239" s="858">
        <v>119</v>
      </c>
      <c r="Y239" s="859">
        <v>1290</v>
      </c>
      <c r="Z239" s="859"/>
      <c r="AA239" s="858"/>
      <c r="AB239" s="858"/>
      <c r="AC239" s="858"/>
      <c r="AD239" s="858"/>
      <c r="AE239" s="859">
        <v>98</v>
      </c>
      <c r="AF239" s="859"/>
      <c r="AG239" s="858"/>
      <c r="AH239" s="859"/>
    </row>
    <row r="240" spans="1:34">
      <c r="A240" s="883"/>
      <c r="B240" s="239" t="s">
        <v>78</v>
      </c>
      <c r="C240" s="806">
        <f t="shared" si="131"/>
        <v>9.9352051835853133E-2</v>
      </c>
      <c r="D240" s="806">
        <f t="shared" si="129"/>
        <v>4.8951048951048952E-2</v>
      </c>
      <c r="E240" s="806">
        <f t="shared" si="129"/>
        <v>0.22029988465974626</v>
      </c>
      <c r="F240" s="806">
        <f t="shared" si="129"/>
        <v>3.3613445378151259E-2</v>
      </c>
      <c r="G240" s="806">
        <f t="shared" si="129"/>
        <v>5.5248618784530384E-2</v>
      </c>
      <c r="H240" s="806">
        <f t="shared" si="129"/>
        <v>2.7450980392156862E-2</v>
      </c>
      <c r="I240" s="624">
        <f t="shared" si="129"/>
        <v>0.10150608623891066</v>
      </c>
      <c r="J240" s="624">
        <f t="shared" si="129"/>
        <v>0</v>
      </c>
      <c r="K240" s="625">
        <f t="shared" si="129"/>
        <v>0</v>
      </c>
      <c r="L240" s="625">
        <f t="shared" si="129"/>
        <v>0</v>
      </c>
      <c r="M240" s="625">
        <f t="shared" si="129"/>
        <v>0</v>
      </c>
      <c r="N240" s="624">
        <f t="shared" si="132"/>
        <v>0.38485804416403785</v>
      </c>
      <c r="O240" s="624">
        <f t="shared" si="130"/>
        <v>0</v>
      </c>
      <c r="P240" s="626">
        <f t="shared" si="130"/>
        <v>0</v>
      </c>
      <c r="Q240" s="624">
        <f t="shared" si="130"/>
        <v>0.68148148148148147</v>
      </c>
      <c r="R240" s="357"/>
      <c r="S240" s="858">
        <v>230</v>
      </c>
      <c r="T240" s="858">
        <v>28</v>
      </c>
      <c r="U240" s="858">
        <v>191</v>
      </c>
      <c r="V240" s="858">
        <v>16</v>
      </c>
      <c r="W240" s="858">
        <v>20</v>
      </c>
      <c r="X240" s="858">
        <v>7</v>
      </c>
      <c r="Y240" s="859">
        <v>492</v>
      </c>
      <c r="Z240" s="859"/>
      <c r="AA240" s="858"/>
      <c r="AB240" s="858"/>
      <c r="AC240" s="858"/>
      <c r="AD240" s="858"/>
      <c r="AE240" s="859">
        <v>488</v>
      </c>
      <c r="AF240" s="859"/>
      <c r="AG240" s="858"/>
      <c r="AH240" s="859">
        <v>368</v>
      </c>
    </row>
    <row r="241" spans="1:34">
      <c r="A241" s="884"/>
      <c r="B241" s="580" t="s">
        <v>131</v>
      </c>
      <c r="C241" s="806">
        <f t="shared" si="131"/>
        <v>5.9179265658747301E-2</v>
      </c>
      <c r="D241" s="806">
        <f t="shared" si="129"/>
        <v>0.24300699300699299</v>
      </c>
      <c r="E241" s="806">
        <f t="shared" si="129"/>
        <v>0</v>
      </c>
      <c r="F241" s="806">
        <f t="shared" si="129"/>
        <v>0.15336134453781514</v>
      </c>
      <c r="G241" s="806">
        <f t="shared" si="129"/>
        <v>0.143646408839779</v>
      </c>
      <c r="H241" s="806">
        <f t="shared" si="129"/>
        <v>0</v>
      </c>
      <c r="I241" s="624">
        <f t="shared" si="129"/>
        <v>8.2731586548380448E-2</v>
      </c>
      <c r="J241" s="624">
        <f t="shared" si="129"/>
        <v>0</v>
      </c>
      <c r="K241" s="625">
        <f t="shared" si="129"/>
        <v>0</v>
      </c>
      <c r="L241" s="625">
        <f t="shared" si="129"/>
        <v>0</v>
      </c>
      <c r="M241" s="625">
        <f t="shared" si="129"/>
        <v>0</v>
      </c>
      <c r="N241" s="624">
        <f t="shared" si="132"/>
        <v>0.1309148264984227</v>
      </c>
      <c r="O241" s="624">
        <f t="shared" si="130"/>
        <v>0</v>
      </c>
      <c r="P241" s="626">
        <f t="shared" si="130"/>
        <v>0</v>
      </c>
      <c r="Q241" s="624">
        <f t="shared" si="130"/>
        <v>0.15925925925925927</v>
      </c>
      <c r="R241" s="357"/>
      <c r="S241" s="858">
        <v>137</v>
      </c>
      <c r="T241" s="858">
        <v>139</v>
      </c>
      <c r="U241" s="858"/>
      <c r="V241" s="858">
        <v>73</v>
      </c>
      <c r="W241" s="858">
        <v>52</v>
      </c>
      <c r="X241" s="858"/>
      <c r="Y241" s="859">
        <v>401</v>
      </c>
      <c r="Z241" s="859"/>
      <c r="AA241" s="858"/>
      <c r="AB241" s="858"/>
      <c r="AC241" s="858"/>
      <c r="AD241" s="858"/>
      <c r="AE241" s="859">
        <v>166</v>
      </c>
      <c r="AF241" s="859"/>
      <c r="AG241" s="858"/>
      <c r="AH241" s="859">
        <v>86</v>
      </c>
    </row>
    <row r="242" spans="1:34">
      <c r="A242" s="885"/>
      <c r="B242" s="436" t="s">
        <v>59</v>
      </c>
      <c r="C242" s="807">
        <f t="shared" si="131"/>
        <v>1</v>
      </c>
      <c r="D242" s="808">
        <f t="shared" si="129"/>
        <v>1</v>
      </c>
      <c r="E242" s="808">
        <f t="shared" si="129"/>
        <v>1</v>
      </c>
      <c r="F242" s="808">
        <f t="shared" si="129"/>
        <v>1</v>
      </c>
      <c r="G242" s="808">
        <f t="shared" si="129"/>
        <v>1</v>
      </c>
      <c r="H242" s="809">
        <f t="shared" si="129"/>
        <v>1</v>
      </c>
      <c r="I242" s="577">
        <f t="shared" si="129"/>
        <v>1</v>
      </c>
      <c r="J242" s="577">
        <f t="shared" si="129"/>
        <v>0</v>
      </c>
      <c r="K242" s="578">
        <f t="shared" si="129"/>
        <v>0</v>
      </c>
      <c r="L242" s="578">
        <f t="shared" si="129"/>
        <v>0</v>
      </c>
      <c r="M242" s="578">
        <f t="shared" si="129"/>
        <v>0</v>
      </c>
      <c r="N242" s="577">
        <f t="shared" si="132"/>
        <v>1</v>
      </c>
      <c r="O242" s="577">
        <f t="shared" si="130"/>
        <v>0</v>
      </c>
      <c r="P242" s="579">
        <f t="shared" si="130"/>
        <v>0</v>
      </c>
      <c r="Q242" s="577">
        <f t="shared" si="130"/>
        <v>1</v>
      </c>
      <c r="R242" s="357"/>
      <c r="S242" s="858">
        <v>2315</v>
      </c>
      <c r="T242" s="858">
        <v>572</v>
      </c>
      <c r="U242" s="858">
        <v>867</v>
      </c>
      <c r="V242" s="858">
        <v>476</v>
      </c>
      <c r="W242" s="858">
        <v>362</v>
      </c>
      <c r="X242" s="858">
        <v>255</v>
      </c>
      <c r="Y242" s="859">
        <v>4847</v>
      </c>
      <c r="Z242" s="859"/>
      <c r="AA242" s="858"/>
      <c r="AB242" s="858"/>
      <c r="AC242" s="858"/>
      <c r="AD242" s="858"/>
      <c r="AE242" s="859">
        <v>1268</v>
      </c>
      <c r="AF242" s="859"/>
      <c r="AG242" s="858"/>
      <c r="AH242" s="859">
        <v>540</v>
      </c>
    </row>
    <row r="243" spans="1:34">
      <c r="A243" s="882" t="s">
        <v>149</v>
      </c>
      <c r="B243" s="240" t="s">
        <v>53</v>
      </c>
      <c r="C243" s="806">
        <f>IF(S$248&gt;0,(S243/S$248),0)</f>
        <v>0.33053040103492887</v>
      </c>
      <c r="D243" s="806">
        <f t="shared" ref="D243:M248" si="133">IF(T$248&gt;0,(T243/T$248),0)</f>
        <v>0.2853185595567867</v>
      </c>
      <c r="E243" s="806">
        <f t="shared" si="133"/>
        <v>0.29047762090717932</v>
      </c>
      <c r="F243" s="806">
        <f t="shared" si="133"/>
        <v>0.29235382308845576</v>
      </c>
      <c r="G243" s="806">
        <f t="shared" si="133"/>
        <v>0.20318725099601595</v>
      </c>
      <c r="H243" s="806">
        <f t="shared" si="133"/>
        <v>0.37809187279151946</v>
      </c>
      <c r="I243" s="613">
        <f t="shared" si="133"/>
        <v>0.31310005053057099</v>
      </c>
      <c r="J243" s="613">
        <f t="shared" si="133"/>
        <v>0</v>
      </c>
      <c r="K243" s="614">
        <f t="shared" si="133"/>
        <v>0</v>
      </c>
      <c r="L243" s="614">
        <f t="shared" si="133"/>
        <v>0</v>
      </c>
      <c r="M243" s="614">
        <f t="shared" si="133"/>
        <v>0</v>
      </c>
      <c r="N243" s="613">
        <f>IF(AE$248&gt;0,(AE243/AE$248),0)</f>
        <v>0.23986358469117089</v>
      </c>
      <c r="O243" s="613">
        <f t="shared" ref="O243:Q248" si="134">IF(AF$248&gt;0,(AF243/AF$248),0)</f>
        <v>0</v>
      </c>
      <c r="P243" s="615">
        <f t="shared" si="134"/>
        <v>0</v>
      </c>
      <c r="Q243" s="613">
        <f t="shared" si="134"/>
        <v>0.10328638497652583</v>
      </c>
      <c r="R243" s="799"/>
      <c r="S243" s="856">
        <v>2555</v>
      </c>
      <c r="T243" s="856">
        <v>515</v>
      </c>
      <c r="U243" s="856">
        <v>967</v>
      </c>
      <c r="V243" s="856">
        <v>390</v>
      </c>
      <c r="W243" s="856">
        <v>102</v>
      </c>
      <c r="X243" s="856">
        <v>428</v>
      </c>
      <c r="Y243" s="857">
        <v>4957</v>
      </c>
      <c r="Z243" s="857"/>
      <c r="AA243" s="856"/>
      <c r="AB243" s="856"/>
      <c r="AC243" s="856"/>
      <c r="AD243" s="856"/>
      <c r="AE243" s="857">
        <v>633</v>
      </c>
      <c r="AF243" s="857"/>
      <c r="AG243" s="856"/>
      <c r="AH243" s="857">
        <v>22</v>
      </c>
    </row>
    <row r="244" spans="1:34">
      <c r="A244" s="883"/>
      <c r="B244" s="239" t="s">
        <v>93</v>
      </c>
      <c r="C244" s="806">
        <f t="shared" ref="C244:C248" si="135">IF(S$248&gt;0,(S244/S$248),0)</f>
        <v>0.22936610608020699</v>
      </c>
      <c r="D244" s="806">
        <f t="shared" si="133"/>
        <v>0.27146814404432135</v>
      </c>
      <c r="E244" s="806">
        <f t="shared" si="133"/>
        <v>0.28747371583057973</v>
      </c>
      <c r="F244" s="806">
        <f t="shared" si="133"/>
        <v>0.26311844077961022</v>
      </c>
      <c r="G244" s="806">
        <f t="shared" si="133"/>
        <v>0.30876494023904383</v>
      </c>
      <c r="H244" s="806">
        <f t="shared" si="133"/>
        <v>0.25795053003533569</v>
      </c>
      <c r="I244" s="624">
        <f t="shared" si="133"/>
        <v>0.25378979282465891</v>
      </c>
      <c r="J244" s="624">
        <f t="shared" si="133"/>
        <v>0</v>
      </c>
      <c r="K244" s="625">
        <f t="shared" si="133"/>
        <v>0</v>
      </c>
      <c r="L244" s="625">
        <f t="shared" si="133"/>
        <v>0</v>
      </c>
      <c r="M244" s="625">
        <f t="shared" si="133"/>
        <v>0</v>
      </c>
      <c r="N244" s="624">
        <f t="shared" ref="N244:N248" si="136">IF(AE$248&gt;0,(AE244/AE$248),0)</f>
        <v>6.4797271693823419E-2</v>
      </c>
      <c r="O244" s="624">
        <f t="shared" si="134"/>
        <v>0</v>
      </c>
      <c r="P244" s="626">
        <f t="shared" si="134"/>
        <v>0</v>
      </c>
      <c r="Q244" s="624">
        <f t="shared" si="134"/>
        <v>0</v>
      </c>
      <c r="R244" s="357"/>
      <c r="S244" s="858">
        <v>1773</v>
      </c>
      <c r="T244" s="858">
        <v>490</v>
      </c>
      <c r="U244" s="858">
        <v>957</v>
      </c>
      <c r="V244" s="858">
        <v>351</v>
      </c>
      <c r="W244" s="858">
        <v>155</v>
      </c>
      <c r="X244" s="858">
        <v>292</v>
      </c>
      <c r="Y244" s="859">
        <v>4018</v>
      </c>
      <c r="Z244" s="859"/>
      <c r="AA244" s="858"/>
      <c r="AB244" s="858"/>
      <c r="AC244" s="858"/>
      <c r="AD244" s="858"/>
      <c r="AE244" s="859">
        <v>171</v>
      </c>
      <c r="AF244" s="859"/>
      <c r="AG244" s="858"/>
      <c r="AH244" s="859"/>
    </row>
    <row r="245" spans="1:34">
      <c r="A245" s="883"/>
      <c r="B245" s="239" t="s">
        <v>55</v>
      </c>
      <c r="C245" s="806">
        <f t="shared" si="135"/>
        <v>0.21216041397153945</v>
      </c>
      <c r="D245" s="806">
        <f t="shared" si="133"/>
        <v>0.24875346260387812</v>
      </c>
      <c r="E245" s="806">
        <f t="shared" si="133"/>
        <v>0.24541904475818563</v>
      </c>
      <c r="F245" s="806">
        <f t="shared" si="133"/>
        <v>0.31109445277361319</v>
      </c>
      <c r="G245" s="806">
        <f t="shared" si="133"/>
        <v>0.30278884462151395</v>
      </c>
      <c r="H245" s="806">
        <f t="shared" si="133"/>
        <v>0.29681978798586572</v>
      </c>
      <c r="I245" s="624">
        <f t="shared" si="133"/>
        <v>0.24058868115209703</v>
      </c>
      <c r="J245" s="624">
        <f t="shared" si="133"/>
        <v>0</v>
      </c>
      <c r="K245" s="625">
        <f t="shared" si="133"/>
        <v>0</v>
      </c>
      <c r="L245" s="625">
        <f t="shared" si="133"/>
        <v>0</v>
      </c>
      <c r="M245" s="625">
        <f t="shared" si="133"/>
        <v>0</v>
      </c>
      <c r="N245" s="624">
        <f t="shared" si="136"/>
        <v>7.0102311481621826E-2</v>
      </c>
      <c r="O245" s="624">
        <f t="shared" si="134"/>
        <v>0</v>
      </c>
      <c r="P245" s="626">
        <f t="shared" si="134"/>
        <v>0</v>
      </c>
      <c r="Q245" s="624">
        <f t="shared" si="134"/>
        <v>0</v>
      </c>
      <c r="R245" s="357"/>
      <c r="S245" s="858">
        <v>1640</v>
      </c>
      <c r="T245" s="858">
        <v>449</v>
      </c>
      <c r="U245" s="858">
        <v>817</v>
      </c>
      <c r="V245" s="858">
        <v>415</v>
      </c>
      <c r="W245" s="858">
        <v>152</v>
      </c>
      <c r="X245" s="858">
        <v>336</v>
      </c>
      <c r="Y245" s="859">
        <v>3809</v>
      </c>
      <c r="Z245" s="859"/>
      <c r="AA245" s="858"/>
      <c r="AB245" s="858"/>
      <c r="AC245" s="858"/>
      <c r="AD245" s="858"/>
      <c r="AE245" s="859">
        <v>185</v>
      </c>
      <c r="AF245" s="859"/>
      <c r="AG245" s="858"/>
      <c r="AH245" s="859"/>
    </row>
    <row r="246" spans="1:34">
      <c r="A246" s="883"/>
      <c r="B246" s="239" t="s">
        <v>78</v>
      </c>
      <c r="C246" s="806">
        <f t="shared" si="135"/>
        <v>3.4799482535575681E-2</v>
      </c>
      <c r="D246" s="806">
        <f t="shared" si="133"/>
        <v>4.4321329639889197E-2</v>
      </c>
      <c r="E246" s="806">
        <f t="shared" si="133"/>
        <v>2.1327726043857013E-2</v>
      </c>
      <c r="F246" s="806">
        <f t="shared" si="133"/>
        <v>2.0989505247376312E-2</v>
      </c>
      <c r="G246" s="806">
        <f t="shared" si="133"/>
        <v>0.15537848605577689</v>
      </c>
      <c r="H246" s="806">
        <f t="shared" si="133"/>
        <v>4.2402826855123678E-2</v>
      </c>
      <c r="I246" s="624">
        <f t="shared" si="133"/>
        <v>3.625568468923699E-2</v>
      </c>
      <c r="J246" s="624">
        <f t="shared" si="133"/>
        <v>0</v>
      </c>
      <c r="K246" s="625">
        <f t="shared" si="133"/>
        <v>0</v>
      </c>
      <c r="L246" s="625">
        <f t="shared" si="133"/>
        <v>0</v>
      </c>
      <c r="M246" s="625">
        <f t="shared" si="133"/>
        <v>0</v>
      </c>
      <c r="N246" s="624">
        <f t="shared" si="136"/>
        <v>0.26108374384236455</v>
      </c>
      <c r="O246" s="624">
        <f t="shared" si="134"/>
        <v>0</v>
      </c>
      <c r="P246" s="626">
        <f t="shared" si="134"/>
        <v>0</v>
      </c>
      <c r="Q246" s="624">
        <f t="shared" si="134"/>
        <v>0.89671361502347413</v>
      </c>
      <c r="R246" s="357"/>
      <c r="S246" s="858">
        <v>269</v>
      </c>
      <c r="T246" s="858">
        <v>80</v>
      </c>
      <c r="U246" s="858">
        <v>71</v>
      </c>
      <c r="V246" s="858">
        <v>28</v>
      </c>
      <c r="W246" s="858">
        <v>78</v>
      </c>
      <c r="X246" s="858">
        <v>48</v>
      </c>
      <c r="Y246" s="859">
        <v>574</v>
      </c>
      <c r="Z246" s="859"/>
      <c r="AA246" s="858"/>
      <c r="AB246" s="858"/>
      <c r="AC246" s="858"/>
      <c r="AD246" s="858"/>
      <c r="AE246" s="859">
        <v>689</v>
      </c>
      <c r="AF246" s="859"/>
      <c r="AG246" s="858"/>
      <c r="AH246" s="859">
        <v>191</v>
      </c>
    </row>
    <row r="247" spans="1:34">
      <c r="A247" s="884"/>
      <c r="B247" s="580" t="s">
        <v>131</v>
      </c>
      <c r="C247" s="806">
        <f t="shared" si="135"/>
        <v>0.19314359637774903</v>
      </c>
      <c r="D247" s="806">
        <f t="shared" si="133"/>
        <v>0.15013850415512464</v>
      </c>
      <c r="E247" s="806">
        <f t="shared" si="133"/>
        <v>0.15530189246019827</v>
      </c>
      <c r="F247" s="806">
        <f t="shared" si="133"/>
        <v>0.11244377811094453</v>
      </c>
      <c r="G247" s="806">
        <f t="shared" si="133"/>
        <v>2.9880478087649404E-2</v>
      </c>
      <c r="H247" s="806">
        <f t="shared" si="133"/>
        <v>2.4734982332155476E-2</v>
      </c>
      <c r="I247" s="624">
        <f t="shared" si="133"/>
        <v>0.15626579080343608</v>
      </c>
      <c r="J247" s="624">
        <f t="shared" si="133"/>
        <v>0</v>
      </c>
      <c r="K247" s="625">
        <f t="shared" si="133"/>
        <v>0</v>
      </c>
      <c r="L247" s="625">
        <f t="shared" si="133"/>
        <v>0</v>
      </c>
      <c r="M247" s="625">
        <f t="shared" si="133"/>
        <v>0</v>
      </c>
      <c r="N247" s="624">
        <f t="shared" si="136"/>
        <v>0.36415308829101933</v>
      </c>
      <c r="O247" s="624">
        <f t="shared" si="134"/>
        <v>0</v>
      </c>
      <c r="P247" s="626">
        <f t="shared" si="134"/>
        <v>0</v>
      </c>
      <c r="Q247" s="624">
        <f t="shared" si="134"/>
        <v>0</v>
      </c>
      <c r="R247" s="357"/>
      <c r="S247" s="858">
        <v>1493</v>
      </c>
      <c r="T247" s="858">
        <v>271</v>
      </c>
      <c r="U247" s="858">
        <v>517</v>
      </c>
      <c r="V247" s="858">
        <v>150</v>
      </c>
      <c r="W247" s="858">
        <v>15</v>
      </c>
      <c r="X247" s="858">
        <v>28</v>
      </c>
      <c r="Y247" s="859">
        <v>2474</v>
      </c>
      <c r="Z247" s="859"/>
      <c r="AA247" s="858"/>
      <c r="AB247" s="858"/>
      <c r="AC247" s="858"/>
      <c r="AD247" s="858"/>
      <c r="AE247" s="859">
        <v>961</v>
      </c>
      <c r="AF247" s="859"/>
      <c r="AG247" s="858"/>
      <c r="AH247" s="859"/>
    </row>
    <row r="248" spans="1:34">
      <c r="A248" s="885"/>
      <c r="B248" s="436" t="s">
        <v>59</v>
      </c>
      <c r="C248" s="807">
        <f t="shared" si="135"/>
        <v>1</v>
      </c>
      <c r="D248" s="808">
        <f t="shared" si="133"/>
        <v>1</v>
      </c>
      <c r="E248" s="808">
        <f t="shared" si="133"/>
        <v>1</v>
      </c>
      <c r="F248" s="808">
        <f t="shared" si="133"/>
        <v>1</v>
      </c>
      <c r="G248" s="808">
        <f t="shared" si="133"/>
        <v>1</v>
      </c>
      <c r="H248" s="809">
        <f t="shared" si="133"/>
        <v>1</v>
      </c>
      <c r="I248" s="577">
        <f t="shared" si="133"/>
        <v>1</v>
      </c>
      <c r="J248" s="577">
        <f t="shared" si="133"/>
        <v>0</v>
      </c>
      <c r="K248" s="578">
        <f t="shared" si="133"/>
        <v>0</v>
      </c>
      <c r="L248" s="578">
        <f t="shared" si="133"/>
        <v>0</v>
      </c>
      <c r="M248" s="578">
        <f t="shared" si="133"/>
        <v>0</v>
      </c>
      <c r="N248" s="577">
        <f t="shared" si="136"/>
        <v>1</v>
      </c>
      <c r="O248" s="577">
        <f t="shared" si="134"/>
        <v>0</v>
      </c>
      <c r="P248" s="579">
        <f t="shared" si="134"/>
        <v>0</v>
      </c>
      <c r="Q248" s="577">
        <f t="shared" si="134"/>
        <v>1</v>
      </c>
      <c r="R248" s="357"/>
      <c r="S248" s="858">
        <v>7730</v>
      </c>
      <c r="T248" s="858">
        <v>1805</v>
      </c>
      <c r="U248" s="858">
        <v>3329</v>
      </c>
      <c r="V248" s="858">
        <v>1334</v>
      </c>
      <c r="W248" s="858">
        <v>502</v>
      </c>
      <c r="X248" s="858">
        <v>1132</v>
      </c>
      <c r="Y248" s="859">
        <v>15832</v>
      </c>
      <c r="Z248" s="859"/>
      <c r="AA248" s="858"/>
      <c r="AB248" s="858"/>
      <c r="AC248" s="858"/>
      <c r="AD248" s="858"/>
      <c r="AE248" s="859">
        <v>2639</v>
      </c>
      <c r="AF248" s="859"/>
      <c r="AG248" s="858"/>
      <c r="AH248" s="859">
        <v>213</v>
      </c>
    </row>
    <row r="249" spans="1:34">
      <c r="A249" s="882" t="s">
        <v>150</v>
      </c>
      <c r="B249" s="240" t="s">
        <v>53</v>
      </c>
      <c r="C249" s="806">
        <f>IF(S$254&gt;0,(S249/S$254),0)</f>
        <v>0.37711689384551839</v>
      </c>
      <c r="D249" s="806">
        <f t="shared" ref="D249:M254" si="137">IF(T$254&gt;0,(T249/T$254),0)</f>
        <v>0</v>
      </c>
      <c r="E249" s="806">
        <f t="shared" si="137"/>
        <v>0.29641185647425899</v>
      </c>
      <c r="F249" s="806">
        <f t="shared" si="137"/>
        <v>0.30259562841530052</v>
      </c>
      <c r="G249" s="806">
        <f t="shared" si="137"/>
        <v>0.34129213483146065</v>
      </c>
      <c r="H249" s="806">
        <f t="shared" si="137"/>
        <v>0.30006199628022318</v>
      </c>
      <c r="I249" s="613">
        <f t="shared" si="137"/>
        <v>0.31029239766081873</v>
      </c>
      <c r="J249" s="613">
        <f t="shared" si="137"/>
        <v>0</v>
      </c>
      <c r="K249" s="614">
        <f t="shared" si="137"/>
        <v>0</v>
      </c>
      <c r="L249" s="614">
        <f t="shared" si="137"/>
        <v>0</v>
      </c>
      <c r="M249" s="614">
        <f t="shared" si="137"/>
        <v>0</v>
      </c>
      <c r="N249" s="613">
        <f>IF(AE$254&gt;0,(AE249/AE$254),0)</f>
        <v>0</v>
      </c>
      <c r="O249" s="613">
        <f t="shared" ref="O249:Q254" si="138">IF(AF$254&gt;0,(AF249/AF$254),0)</f>
        <v>0</v>
      </c>
      <c r="P249" s="615">
        <f t="shared" si="138"/>
        <v>0</v>
      </c>
      <c r="Q249" s="613">
        <f t="shared" si="138"/>
        <v>0</v>
      </c>
      <c r="R249" s="799"/>
      <c r="S249" s="856">
        <v>913</v>
      </c>
      <c r="T249" s="856"/>
      <c r="U249" s="856">
        <v>570</v>
      </c>
      <c r="V249" s="856">
        <v>443</v>
      </c>
      <c r="W249" s="856">
        <v>243</v>
      </c>
      <c r="X249" s="856">
        <v>484</v>
      </c>
      <c r="Y249" s="857">
        <v>2653</v>
      </c>
      <c r="Z249" s="857"/>
      <c r="AA249" s="856"/>
      <c r="AB249" s="856"/>
      <c r="AC249" s="856"/>
      <c r="AD249" s="856"/>
      <c r="AE249" s="857"/>
      <c r="AF249" s="857"/>
      <c r="AG249" s="856"/>
      <c r="AH249" s="857"/>
    </row>
    <row r="250" spans="1:34">
      <c r="A250" s="883"/>
      <c r="B250" s="239" t="s">
        <v>93</v>
      </c>
      <c r="C250" s="806">
        <f t="shared" ref="C250:C254" si="139">IF(S$254&gt;0,(S250/S$254),0)</f>
        <v>0.26311441553077242</v>
      </c>
      <c r="D250" s="806">
        <f t="shared" si="137"/>
        <v>0</v>
      </c>
      <c r="E250" s="806">
        <f t="shared" si="137"/>
        <v>0.34165366614664588</v>
      </c>
      <c r="F250" s="806">
        <f t="shared" si="137"/>
        <v>0.27595628415300544</v>
      </c>
      <c r="G250" s="806">
        <f t="shared" si="137"/>
        <v>0.2612359550561798</v>
      </c>
      <c r="H250" s="806">
        <f t="shared" si="137"/>
        <v>0.29634221946683198</v>
      </c>
      <c r="I250" s="624">
        <f t="shared" si="137"/>
        <v>0.27625730994152048</v>
      </c>
      <c r="J250" s="624">
        <f t="shared" si="137"/>
        <v>0</v>
      </c>
      <c r="K250" s="625">
        <f t="shared" si="137"/>
        <v>0</v>
      </c>
      <c r="L250" s="625">
        <f t="shared" si="137"/>
        <v>0</v>
      </c>
      <c r="M250" s="625">
        <f t="shared" si="137"/>
        <v>0</v>
      </c>
      <c r="N250" s="624">
        <f t="shared" ref="N250:N254" si="140">IF(AE$254&gt;0,(AE250/AE$254),0)</f>
        <v>0</v>
      </c>
      <c r="O250" s="624">
        <f t="shared" si="138"/>
        <v>0</v>
      </c>
      <c r="P250" s="626">
        <f t="shared" si="138"/>
        <v>0</v>
      </c>
      <c r="Q250" s="624">
        <f t="shared" si="138"/>
        <v>0</v>
      </c>
      <c r="R250" s="357"/>
      <c r="S250" s="858">
        <v>637</v>
      </c>
      <c r="T250" s="858"/>
      <c r="U250" s="858">
        <v>657</v>
      </c>
      <c r="V250" s="858">
        <v>404</v>
      </c>
      <c r="W250" s="858">
        <v>186</v>
      </c>
      <c r="X250" s="858">
        <v>478</v>
      </c>
      <c r="Y250" s="859">
        <v>2362</v>
      </c>
      <c r="Z250" s="859"/>
      <c r="AA250" s="858"/>
      <c r="AB250" s="858"/>
      <c r="AC250" s="858"/>
      <c r="AD250" s="858"/>
      <c r="AE250" s="859"/>
      <c r="AF250" s="859"/>
      <c r="AG250" s="858"/>
      <c r="AH250" s="859"/>
    </row>
    <row r="251" spans="1:34">
      <c r="A251" s="883"/>
      <c r="B251" s="239" t="s">
        <v>55</v>
      </c>
      <c r="C251" s="806">
        <f t="shared" si="139"/>
        <v>0.21189591078066913</v>
      </c>
      <c r="D251" s="806">
        <f t="shared" si="137"/>
        <v>0</v>
      </c>
      <c r="E251" s="806">
        <f t="shared" si="137"/>
        <v>0.27093083723348932</v>
      </c>
      <c r="F251" s="806">
        <f t="shared" si="137"/>
        <v>0.35109289617486339</v>
      </c>
      <c r="G251" s="806">
        <f t="shared" si="137"/>
        <v>0.3061797752808989</v>
      </c>
      <c r="H251" s="806">
        <f t="shared" si="137"/>
        <v>0.26286422814631122</v>
      </c>
      <c r="I251" s="624">
        <f t="shared" si="137"/>
        <v>0.256140350877193</v>
      </c>
      <c r="J251" s="624">
        <f t="shared" si="137"/>
        <v>0</v>
      </c>
      <c r="K251" s="625">
        <f t="shared" si="137"/>
        <v>0</v>
      </c>
      <c r="L251" s="625">
        <f t="shared" si="137"/>
        <v>0</v>
      </c>
      <c r="M251" s="625">
        <f t="shared" si="137"/>
        <v>0</v>
      </c>
      <c r="N251" s="624">
        <f t="shared" si="140"/>
        <v>0</v>
      </c>
      <c r="O251" s="624">
        <f t="shared" si="138"/>
        <v>0</v>
      </c>
      <c r="P251" s="626">
        <f t="shared" si="138"/>
        <v>0</v>
      </c>
      <c r="Q251" s="624">
        <f t="shared" si="138"/>
        <v>0</v>
      </c>
      <c r="R251" s="357"/>
      <c r="S251" s="858">
        <v>513</v>
      </c>
      <c r="T251" s="858"/>
      <c r="U251" s="858">
        <v>521</v>
      </c>
      <c r="V251" s="858">
        <v>514</v>
      </c>
      <c r="W251" s="858">
        <v>218</v>
      </c>
      <c r="X251" s="858">
        <v>424</v>
      </c>
      <c r="Y251" s="859">
        <v>2190</v>
      </c>
      <c r="Z251" s="859"/>
      <c r="AA251" s="858"/>
      <c r="AB251" s="858"/>
      <c r="AC251" s="858"/>
      <c r="AD251" s="858"/>
      <c r="AE251" s="859"/>
      <c r="AF251" s="859"/>
      <c r="AG251" s="858"/>
      <c r="AH251" s="859"/>
    </row>
    <row r="252" spans="1:34">
      <c r="A252" s="883"/>
      <c r="B252" s="239" t="s">
        <v>78</v>
      </c>
      <c r="C252" s="806">
        <f t="shared" si="139"/>
        <v>5.3696819496076003E-3</v>
      </c>
      <c r="D252" s="806">
        <f t="shared" si="137"/>
        <v>0</v>
      </c>
      <c r="E252" s="806">
        <f t="shared" si="137"/>
        <v>6.9682787311492453E-2</v>
      </c>
      <c r="F252" s="806">
        <f t="shared" si="137"/>
        <v>3.6202185792349725E-2</v>
      </c>
      <c r="G252" s="806">
        <f t="shared" si="137"/>
        <v>9.1292134831460675E-2</v>
      </c>
      <c r="H252" s="806">
        <f t="shared" si="137"/>
        <v>6.3236205827650341E-2</v>
      </c>
      <c r="I252" s="624">
        <f t="shared" si="137"/>
        <v>4.2923976608187135E-2</v>
      </c>
      <c r="J252" s="624">
        <f t="shared" si="137"/>
        <v>0</v>
      </c>
      <c r="K252" s="625">
        <f t="shared" si="137"/>
        <v>0</v>
      </c>
      <c r="L252" s="625">
        <f t="shared" si="137"/>
        <v>0</v>
      </c>
      <c r="M252" s="625">
        <f t="shared" si="137"/>
        <v>0</v>
      </c>
      <c r="N252" s="624">
        <f t="shared" si="140"/>
        <v>0.99760994263862335</v>
      </c>
      <c r="O252" s="624">
        <f t="shared" si="138"/>
        <v>0</v>
      </c>
      <c r="P252" s="626">
        <f t="shared" si="138"/>
        <v>0</v>
      </c>
      <c r="Q252" s="624">
        <f t="shared" si="138"/>
        <v>1</v>
      </c>
      <c r="R252" s="357"/>
      <c r="S252" s="858">
        <v>13</v>
      </c>
      <c r="T252" s="858"/>
      <c r="U252" s="858">
        <v>134</v>
      </c>
      <c r="V252" s="858">
        <v>53</v>
      </c>
      <c r="W252" s="858">
        <v>65</v>
      </c>
      <c r="X252" s="858">
        <v>102</v>
      </c>
      <c r="Y252" s="859">
        <v>367</v>
      </c>
      <c r="Z252" s="859"/>
      <c r="AA252" s="858"/>
      <c r="AB252" s="858"/>
      <c r="AC252" s="858"/>
      <c r="AD252" s="858"/>
      <c r="AE252" s="859">
        <v>2087</v>
      </c>
      <c r="AF252" s="859"/>
      <c r="AG252" s="858"/>
      <c r="AH252" s="859">
        <v>593</v>
      </c>
    </row>
    <row r="253" spans="1:34">
      <c r="A253" s="884"/>
      <c r="B253" s="580" t="s">
        <v>131</v>
      </c>
      <c r="C253" s="806">
        <f t="shared" si="139"/>
        <v>0.14250309789343246</v>
      </c>
      <c r="D253" s="806">
        <f t="shared" si="137"/>
        <v>1</v>
      </c>
      <c r="E253" s="806">
        <f t="shared" si="137"/>
        <v>2.1320852834113363E-2</v>
      </c>
      <c r="F253" s="806">
        <f t="shared" si="137"/>
        <v>3.4153005464480878E-2</v>
      </c>
      <c r="G253" s="806">
        <f t="shared" si="137"/>
        <v>0</v>
      </c>
      <c r="H253" s="806">
        <f t="shared" si="137"/>
        <v>7.7495350278983258E-2</v>
      </c>
      <c r="I253" s="624">
        <f t="shared" si="137"/>
        <v>0.1143859649122807</v>
      </c>
      <c r="J253" s="624">
        <f t="shared" si="137"/>
        <v>0</v>
      </c>
      <c r="K253" s="625">
        <f t="shared" si="137"/>
        <v>0</v>
      </c>
      <c r="L253" s="625">
        <f t="shared" si="137"/>
        <v>0</v>
      </c>
      <c r="M253" s="625">
        <f t="shared" si="137"/>
        <v>0</v>
      </c>
      <c r="N253" s="624">
        <f t="shared" si="140"/>
        <v>2.3900573613766731E-3</v>
      </c>
      <c r="O253" s="624">
        <f t="shared" si="138"/>
        <v>0</v>
      </c>
      <c r="P253" s="626">
        <f t="shared" si="138"/>
        <v>0</v>
      </c>
      <c r="Q253" s="624">
        <f t="shared" si="138"/>
        <v>0</v>
      </c>
      <c r="R253" s="357"/>
      <c r="S253" s="858">
        <v>345</v>
      </c>
      <c r="T253" s="858">
        <v>417</v>
      </c>
      <c r="U253" s="858">
        <v>41</v>
      </c>
      <c r="V253" s="858">
        <v>50</v>
      </c>
      <c r="W253" s="858"/>
      <c r="X253" s="858">
        <v>125</v>
      </c>
      <c r="Y253" s="859">
        <v>978</v>
      </c>
      <c r="Z253" s="859"/>
      <c r="AA253" s="858"/>
      <c r="AB253" s="858"/>
      <c r="AC253" s="858"/>
      <c r="AD253" s="858"/>
      <c r="AE253" s="859">
        <v>5</v>
      </c>
      <c r="AF253" s="859"/>
      <c r="AG253" s="858"/>
      <c r="AH253" s="859"/>
    </row>
    <row r="254" spans="1:34">
      <c r="A254" s="885"/>
      <c r="B254" s="436" t="s">
        <v>59</v>
      </c>
      <c r="C254" s="807">
        <f t="shared" si="139"/>
        <v>1</v>
      </c>
      <c r="D254" s="808">
        <f t="shared" si="137"/>
        <v>1</v>
      </c>
      <c r="E254" s="808">
        <f t="shared" si="137"/>
        <v>1</v>
      </c>
      <c r="F254" s="808">
        <f t="shared" si="137"/>
        <v>1</v>
      </c>
      <c r="G254" s="808">
        <f t="shared" si="137"/>
        <v>1</v>
      </c>
      <c r="H254" s="809">
        <f t="shared" si="137"/>
        <v>1</v>
      </c>
      <c r="I254" s="577">
        <f t="shared" si="137"/>
        <v>1</v>
      </c>
      <c r="J254" s="577">
        <f t="shared" si="137"/>
        <v>0</v>
      </c>
      <c r="K254" s="578">
        <f t="shared" si="137"/>
        <v>0</v>
      </c>
      <c r="L254" s="578">
        <f t="shared" si="137"/>
        <v>0</v>
      </c>
      <c r="M254" s="578">
        <f t="shared" si="137"/>
        <v>0</v>
      </c>
      <c r="N254" s="577">
        <f t="shared" si="140"/>
        <v>1</v>
      </c>
      <c r="O254" s="577">
        <f t="shared" si="138"/>
        <v>0</v>
      </c>
      <c r="P254" s="579">
        <f t="shared" si="138"/>
        <v>0</v>
      </c>
      <c r="Q254" s="577">
        <f t="shared" si="138"/>
        <v>1</v>
      </c>
      <c r="R254" s="357"/>
      <c r="S254" s="858">
        <v>2421</v>
      </c>
      <c r="T254" s="858">
        <v>417</v>
      </c>
      <c r="U254" s="858">
        <v>1923</v>
      </c>
      <c r="V254" s="858">
        <v>1464</v>
      </c>
      <c r="W254" s="858">
        <v>712</v>
      </c>
      <c r="X254" s="858">
        <v>1613</v>
      </c>
      <c r="Y254" s="859">
        <v>8550</v>
      </c>
      <c r="Z254" s="859"/>
      <c r="AA254" s="858"/>
      <c r="AB254" s="858"/>
      <c r="AC254" s="858"/>
      <c r="AD254" s="858"/>
      <c r="AE254" s="859">
        <v>2092</v>
      </c>
      <c r="AF254" s="859"/>
      <c r="AG254" s="858"/>
      <c r="AH254" s="859">
        <v>593</v>
      </c>
    </row>
    <row r="255" spans="1:34">
      <c r="A255" s="882" t="s">
        <v>151</v>
      </c>
      <c r="B255" s="240" t="s">
        <v>53</v>
      </c>
      <c r="C255" s="806">
        <f>IF(S$260&gt;0,(S255/S$260),0)</f>
        <v>0.34344766930518911</v>
      </c>
      <c r="D255" s="806">
        <f t="shared" ref="D255:M260" si="141">IF(T$260&gt;0,(T255/T$260),0)</f>
        <v>0.26738447734410048</v>
      </c>
      <c r="E255" s="806">
        <f t="shared" si="141"/>
        <v>0.2951096121416526</v>
      </c>
      <c r="F255" s="806">
        <f t="shared" si="141"/>
        <v>0.32602739726027397</v>
      </c>
      <c r="G255" s="806">
        <f t="shared" si="141"/>
        <v>0.27733934611048477</v>
      </c>
      <c r="H255" s="806">
        <f t="shared" si="141"/>
        <v>0.23970037453183521</v>
      </c>
      <c r="I255" s="613">
        <f t="shared" si="141"/>
        <v>0.29900969012884676</v>
      </c>
      <c r="J255" s="613">
        <f t="shared" si="141"/>
        <v>0</v>
      </c>
      <c r="K255" s="614">
        <f t="shared" si="141"/>
        <v>0</v>
      </c>
      <c r="L255" s="614">
        <f t="shared" si="141"/>
        <v>0</v>
      </c>
      <c r="M255" s="614">
        <f t="shared" si="141"/>
        <v>0</v>
      </c>
      <c r="N255" s="613">
        <f>IF(AE$260&gt;0,(AE255/AE$260),0)</f>
        <v>0.11940298507462686</v>
      </c>
      <c r="O255" s="613">
        <f t="shared" ref="O255:Q260" si="142">IF(AF$260&gt;0,(AF255/AF$260),0)</f>
        <v>0</v>
      </c>
      <c r="P255" s="615">
        <f t="shared" si="142"/>
        <v>0</v>
      </c>
      <c r="Q255" s="613">
        <f t="shared" si="142"/>
        <v>0</v>
      </c>
      <c r="R255" s="799"/>
      <c r="S255" s="856">
        <v>781</v>
      </c>
      <c r="T255" s="856">
        <v>596</v>
      </c>
      <c r="U255" s="856">
        <v>700</v>
      </c>
      <c r="V255" s="856">
        <v>357</v>
      </c>
      <c r="W255" s="856">
        <v>246</v>
      </c>
      <c r="X255" s="856">
        <v>128</v>
      </c>
      <c r="Y255" s="857">
        <v>2808</v>
      </c>
      <c r="Z255" s="857"/>
      <c r="AA255" s="856"/>
      <c r="AB255" s="856"/>
      <c r="AC255" s="856"/>
      <c r="AD255" s="856"/>
      <c r="AE255" s="857">
        <v>224</v>
      </c>
      <c r="AF255" s="857"/>
      <c r="AG255" s="856"/>
      <c r="AH255" s="857"/>
    </row>
    <row r="256" spans="1:34">
      <c r="A256" s="883"/>
      <c r="B256" s="239" t="s">
        <v>93</v>
      </c>
      <c r="C256" s="806">
        <f t="shared" ref="C256:C260" si="143">IF(S$260&gt;0,(S256/S$260),0)</f>
        <v>0.26781002638522428</v>
      </c>
      <c r="D256" s="806">
        <f t="shared" si="141"/>
        <v>0.34185733512786004</v>
      </c>
      <c r="E256" s="806">
        <f t="shared" si="141"/>
        <v>0.23735244519392917</v>
      </c>
      <c r="F256" s="806">
        <f t="shared" si="141"/>
        <v>0.26210045662100456</v>
      </c>
      <c r="G256" s="806">
        <f t="shared" si="141"/>
        <v>0.25704622322435172</v>
      </c>
      <c r="H256" s="806">
        <f t="shared" si="141"/>
        <v>0.18913857677902621</v>
      </c>
      <c r="I256" s="624">
        <f t="shared" si="141"/>
        <v>0.27153657757427324</v>
      </c>
      <c r="J256" s="624">
        <f t="shared" si="141"/>
        <v>0</v>
      </c>
      <c r="K256" s="625">
        <f t="shared" si="141"/>
        <v>0</v>
      </c>
      <c r="L256" s="625">
        <f t="shared" si="141"/>
        <v>0</v>
      </c>
      <c r="M256" s="625">
        <f t="shared" si="141"/>
        <v>0</v>
      </c>
      <c r="N256" s="624">
        <f t="shared" ref="N256:N260" si="144">IF(AE$260&gt;0,(AE256/AE$260),0)</f>
        <v>9.9147121535181237E-2</v>
      </c>
      <c r="O256" s="624">
        <f t="shared" si="142"/>
        <v>0</v>
      </c>
      <c r="P256" s="626">
        <f t="shared" si="142"/>
        <v>0</v>
      </c>
      <c r="Q256" s="624">
        <f t="shared" si="142"/>
        <v>0</v>
      </c>
      <c r="R256" s="357"/>
      <c r="S256" s="858">
        <v>609</v>
      </c>
      <c r="T256" s="858">
        <v>762</v>
      </c>
      <c r="U256" s="858">
        <v>563</v>
      </c>
      <c r="V256" s="858">
        <v>287</v>
      </c>
      <c r="W256" s="858">
        <v>228</v>
      </c>
      <c r="X256" s="858">
        <v>101</v>
      </c>
      <c r="Y256" s="859">
        <v>2550</v>
      </c>
      <c r="Z256" s="859"/>
      <c r="AA256" s="858"/>
      <c r="AB256" s="858"/>
      <c r="AC256" s="858"/>
      <c r="AD256" s="858"/>
      <c r="AE256" s="859">
        <v>186</v>
      </c>
      <c r="AF256" s="859"/>
      <c r="AG256" s="858"/>
      <c r="AH256" s="859"/>
    </row>
    <row r="257" spans="1:34">
      <c r="A257" s="883"/>
      <c r="B257" s="239" t="s">
        <v>55</v>
      </c>
      <c r="C257" s="806">
        <f t="shared" si="143"/>
        <v>0.24582233948988566</v>
      </c>
      <c r="D257" s="806">
        <f t="shared" si="141"/>
        <v>0.30282637954239572</v>
      </c>
      <c r="E257" s="806">
        <f t="shared" si="141"/>
        <v>0.22765598650927488</v>
      </c>
      <c r="F257" s="806">
        <f t="shared" si="141"/>
        <v>0.31872146118721462</v>
      </c>
      <c r="G257" s="806">
        <f t="shared" si="141"/>
        <v>0.34047350620067646</v>
      </c>
      <c r="H257" s="806">
        <f t="shared" si="141"/>
        <v>0.42134831460674155</v>
      </c>
      <c r="I257" s="624">
        <f t="shared" si="141"/>
        <v>0.28218507081248001</v>
      </c>
      <c r="J257" s="624">
        <f t="shared" si="141"/>
        <v>0</v>
      </c>
      <c r="K257" s="625">
        <f t="shared" si="141"/>
        <v>0</v>
      </c>
      <c r="L257" s="625">
        <f t="shared" si="141"/>
        <v>0</v>
      </c>
      <c r="M257" s="625">
        <f t="shared" si="141"/>
        <v>0</v>
      </c>
      <c r="N257" s="624">
        <f t="shared" si="144"/>
        <v>0.1279317697228145</v>
      </c>
      <c r="O257" s="624">
        <f t="shared" si="142"/>
        <v>0</v>
      </c>
      <c r="P257" s="626">
        <f t="shared" si="142"/>
        <v>0</v>
      </c>
      <c r="Q257" s="624">
        <f t="shared" si="142"/>
        <v>0</v>
      </c>
      <c r="R257" s="357"/>
      <c r="S257" s="858">
        <v>559</v>
      </c>
      <c r="T257" s="858">
        <v>675</v>
      </c>
      <c r="U257" s="858">
        <v>540</v>
      </c>
      <c r="V257" s="858">
        <v>349</v>
      </c>
      <c r="W257" s="858">
        <v>302</v>
      </c>
      <c r="X257" s="858">
        <v>225</v>
      </c>
      <c r="Y257" s="859">
        <v>2650</v>
      </c>
      <c r="Z257" s="859"/>
      <c r="AA257" s="858"/>
      <c r="AB257" s="858"/>
      <c r="AC257" s="858"/>
      <c r="AD257" s="858"/>
      <c r="AE257" s="859">
        <v>240</v>
      </c>
      <c r="AF257" s="859"/>
      <c r="AG257" s="858"/>
      <c r="AH257" s="859"/>
    </row>
    <row r="258" spans="1:34">
      <c r="A258" s="883"/>
      <c r="B258" s="239" t="s">
        <v>78</v>
      </c>
      <c r="C258" s="806">
        <f t="shared" si="143"/>
        <v>3.8698328935795952E-2</v>
      </c>
      <c r="D258" s="806">
        <f t="shared" si="141"/>
        <v>4.306864064602961E-2</v>
      </c>
      <c r="E258" s="806">
        <f t="shared" si="141"/>
        <v>0.18086003372681281</v>
      </c>
      <c r="F258" s="806">
        <f t="shared" si="141"/>
        <v>7.5799086757990866E-2</v>
      </c>
      <c r="G258" s="806">
        <f t="shared" si="141"/>
        <v>0.11273957158962795</v>
      </c>
      <c r="H258" s="806">
        <f t="shared" si="141"/>
        <v>8.6142322097378279E-2</v>
      </c>
      <c r="I258" s="624">
        <f t="shared" si="141"/>
        <v>8.96603130657012E-2</v>
      </c>
      <c r="J258" s="624">
        <f t="shared" si="141"/>
        <v>0</v>
      </c>
      <c r="K258" s="625">
        <f t="shared" si="141"/>
        <v>0</v>
      </c>
      <c r="L258" s="625">
        <f t="shared" si="141"/>
        <v>0</v>
      </c>
      <c r="M258" s="625">
        <f t="shared" si="141"/>
        <v>0</v>
      </c>
      <c r="N258" s="624">
        <f t="shared" si="144"/>
        <v>0.30650319829424305</v>
      </c>
      <c r="O258" s="624">
        <f t="shared" si="142"/>
        <v>0</v>
      </c>
      <c r="P258" s="626">
        <f t="shared" si="142"/>
        <v>0</v>
      </c>
      <c r="Q258" s="624">
        <f t="shared" si="142"/>
        <v>1</v>
      </c>
      <c r="R258" s="357"/>
      <c r="S258" s="858">
        <v>88</v>
      </c>
      <c r="T258" s="858">
        <v>96</v>
      </c>
      <c r="U258" s="858">
        <v>429</v>
      </c>
      <c r="V258" s="858">
        <v>83</v>
      </c>
      <c r="W258" s="858">
        <v>100</v>
      </c>
      <c r="X258" s="858">
        <v>46</v>
      </c>
      <c r="Y258" s="859">
        <v>842</v>
      </c>
      <c r="Z258" s="859"/>
      <c r="AA258" s="858"/>
      <c r="AB258" s="858"/>
      <c r="AC258" s="858"/>
      <c r="AD258" s="858"/>
      <c r="AE258" s="859">
        <v>575</v>
      </c>
      <c r="AF258" s="859"/>
      <c r="AG258" s="858"/>
      <c r="AH258" s="859">
        <v>45</v>
      </c>
    </row>
    <row r="259" spans="1:34">
      <c r="A259" s="884"/>
      <c r="B259" s="580" t="s">
        <v>131</v>
      </c>
      <c r="C259" s="806">
        <f t="shared" si="143"/>
        <v>0.10422163588390501</v>
      </c>
      <c r="D259" s="806">
        <f t="shared" si="141"/>
        <v>4.4863167339614179E-2</v>
      </c>
      <c r="E259" s="806">
        <f t="shared" si="141"/>
        <v>5.9021922428330521E-2</v>
      </c>
      <c r="F259" s="806">
        <f t="shared" si="141"/>
        <v>1.7351598173515982E-2</v>
      </c>
      <c r="G259" s="806">
        <f t="shared" si="141"/>
        <v>1.2401352874859075E-2</v>
      </c>
      <c r="H259" s="806">
        <f t="shared" si="141"/>
        <v>6.3670411985018729E-2</v>
      </c>
      <c r="I259" s="624">
        <f t="shared" si="141"/>
        <v>5.7608348418698753E-2</v>
      </c>
      <c r="J259" s="624">
        <f t="shared" si="141"/>
        <v>0</v>
      </c>
      <c r="K259" s="625">
        <f t="shared" si="141"/>
        <v>0</v>
      </c>
      <c r="L259" s="625">
        <f t="shared" si="141"/>
        <v>0</v>
      </c>
      <c r="M259" s="625">
        <f t="shared" si="141"/>
        <v>0</v>
      </c>
      <c r="N259" s="624">
        <f t="shared" si="144"/>
        <v>0.34808102345415776</v>
      </c>
      <c r="O259" s="624">
        <f t="shared" si="142"/>
        <v>0</v>
      </c>
      <c r="P259" s="626">
        <f t="shared" si="142"/>
        <v>0</v>
      </c>
      <c r="Q259" s="624">
        <f t="shared" si="142"/>
        <v>0</v>
      </c>
      <c r="R259" s="357"/>
      <c r="S259" s="858">
        <f>172+65</f>
        <v>237</v>
      </c>
      <c r="T259" s="858">
        <f>68+32</f>
        <v>100</v>
      </c>
      <c r="U259" s="858">
        <f>6+134</f>
        <v>140</v>
      </c>
      <c r="V259" s="858">
        <f>18+1</f>
        <v>19</v>
      </c>
      <c r="W259" s="858">
        <f>7+4</f>
        <v>11</v>
      </c>
      <c r="X259" s="858">
        <f>20+14</f>
        <v>34</v>
      </c>
      <c r="Y259" s="859">
        <f>291+250</f>
        <v>541</v>
      </c>
      <c r="Z259" s="859"/>
      <c r="AA259" s="858"/>
      <c r="AB259" s="858"/>
      <c r="AC259" s="858"/>
      <c r="AD259" s="858"/>
      <c r="AE259" s="859">
        <f>6+647</f>
        <v>653</v>
      </c>
      <c r="AF259" s="859"/>
      <c r="AG259" s="858"/>
      <c r="AH259" s="859"/>
    </row>
    <row r="260" spans="1:34">
      <c r="A260" s="885"/>
      <c r="B260" s="436" t="s">
        <v>59</v>
      </c>
      <c r="C260" s="807">
        <f t="shared" si="143"/>
        <v>1</v>
      </c>
      <c r="D260" s="808">
        <f t="shared" si="141"/>
        <v>1</v>
      </c>
      <c r="E260" s="808">
        <f t="shared" si="141"/>
        <v>1</v>
      </c>
      <c r="F260" s="808">
        <f t="shared" si="141"/>
        <v>1</v>
      </c>
      <c r="G260" s="808">
        <f t="shared" si="141"/>
        <v>1</v>
      </c>
      <c r="H260" s="809">
        <f t="shared" si="141"/>
        <v>1</v>
      </c>
      <c r="I260" s="577">
        <f t="shared" si="141"/>
        <v>1</v>
      </c>
      <c r="J260" s="577">
        <f t="shared" si="141"/>
        <v>0</v>
      </c>
      <c r="K260" s="578">
        <f t="shared" si="141"/>
        <v>0</v>
      </c>
      <c r="L260" s="578">
        <f t="shared" si="141"/>
        <v>0</v>
      </c>
      <c r="M260" s="578">
        <f t="shared" si="141"/>
        <v>0</v>
      </c>
      <c r="N260" s="577">
        <f t="shared" si="144"/>
        <v>1</v>
      </c>
      <c r="O260" s="577">
        <f t="shared" si="142"/>
        <v>0</v>
      </c>
      <c r="P260" s="579">
        <f t="shared" si="142"/>
        <v>0</v>
      </c>
      <c r="Q260" s="577">
        <f t="shared" si="142"/>
        <v>1</v>
      </c>
      <c r="R260" s="357"/>
      <c r="S260" s="858">
        <v>2274</v>
      </c>
      <c r="T260" s="858">
        <v>2229</v>
      </c>
      <c r="U260" s="858">
        <v>2372</v>
      </c>
      <c r="V260" s="858">
        <v>1095</v>
      </c>
      <c r="W260" s="858">
        <v>887</v>
      </c>
      <c r="X260" s="858">
        <v>534</v>
      </c>
      <c r="Y260" s="859">
        <v>9391</v>
      </c>
      <c r="Z260" s="859"/>
      <c r="AA260" s="858"/>
      <c r="AB260" s="858"/>
      <c r="AC260" s="858"/>
      <c r="AD260" s="858"/>
      <c r="AE260" s="859">
        <v>1876</v>
      </c>
      <c r="AF260" s="859"/>
      <c r="AG260" s="858"/>
      <c r="AH260" s="859">
        <v>45</v>
      </c>
    </row>
    <row r="261" spans="1:34">
      <c r="A261" s="882" t="s">
        <v>154</v>
      </c>
      <c r="B261" s="240" t="s">
        <v>53</v>
      </c>
      <c r="C261" s="806">
        <f>IF(S$266&gt;0,(S261/S$266),0)</f>
        <v>0.3868149324861001</v>
      </c>
      <c r="D261" s="806">
        <f t="shared" ref="D261:M266" si="145">IF(T$266&gt;0,(T261/T$266),0)</f>
        <v>0</v>
      </c>
      <c r="E261" s="806">
        <f t="shared" si="145"/>
        <v>0.27057079318013344</v>
      </c>
      <c r="F261" s="806">
        <f t="shared" si="145"/>
        <v>0.26111111111111113</v>
      </c>
      <c r="G261" s="806">
        <f t="shared" si="145"/>
        <v>0.31168831168831168</v>
      </c>
      <c r="H261" s="806">
        <f t="shared" si="145"/>
        <v>0.32746478873239437</v>
      </c>
      <c r="I261" s="613">
        <f t="shared" si="145"/>
        <v>0.32144878324844367</v>
      </c>
      <c r="J261" s="613">
        <f t="shared" si="145"/>
        <v>0</v>
      </c>
      <c r="K261" s="614">
        <f t="shared" si="145"/>
        <v>0</v>
      </c>
      <c r="L261" s="614">
        <f t="shared" si="145"/>
        <v>0</v>
      </c>
      <c r="M261" s="614">
        <f t="shared" si="145"/>
        <v>0</v>
      </c>
      <c r="N261" s="613">
        <f>IF(AE$266&gt;0,(AE261/AE$266),0)</f>
        <v>5.6369785794813977E-3</v>
      </c>
      <c r="O261" s="613">
        <f t="shared" ref="O261:Q266" si="146">IF(AF$266&gt;0,(AF261/AF$266),0)</f>
        <v>0</v>
      </c>
      <c r="P261" s="615">
        <f t="shared" si="146"/>
        <v>0</v>
      </c>
      <c r="Q261" s="613">
        <f t="shared" si="146"/>
        <v>0</v>
      </c>
      <c r="R261" s="799"/>
      <c r="S261" s="856">
        <v>487</v>
      </c>
      <c r="T261" s="856"/>
      <c r="U261" s="856">
        <v>365</v>
      </c>
      <c r="V261" s="856">
        <v>47</v>
      </c>
      <c r="W261" s="856">
        <v>144</v>
      </c>
      <c r="X261" s="856">
        <v>93</v>
      </c>
      <c r="Y261" s="857">
        <v>1136</v>
      </c>
      <c r="Z261" s="857"/>
      <c r="AA261" s="856"/>
      <c r="AB261" s="856"/>
      <c r="AC261" s="856"/>
      <c r="AD261" s="856"/>
      <c r="AE261" s="857">
        <v>5</v>
      </c>
      <c r="AF261" s="857"/>
      <c r="AG261" s="856"/>
      <c r="AH261" s="857"/>
    </row>
    <row r="262" spans="1:34">
      <c r="A262" s="883"/>
      <c r="B262" s="239" t="s">
        <v>93</v>
      </c>
      <c r="C262" s="806">
        <f t="shared" ref="C262:C266" si="147">IF(S$266&gt;0,(S262/S$266),0)</f>
        <v>0.24940428911834789</v>
      </c>
      <c r="D262" s="806">
        <f t="shared" si="145"/>
        <v>0</v>
      </c>
      <c r="E262" s="806">
        <f t="shared" si="145"/>
        <v>0.30615270570793179</v>
      </c>
      <c r="F262" s="806">
        <f t="shared" si="145"/>
        <v>0.37222222222222223</v>
      </c>
      <c r="G262" s="806">
        <f t="shared" si="145"/>
        <v>0.23160173160173161</v>
      </c>
      <c r="H262" s="806">
        <f t="shared" si="145"/>
        <v>0.30281690140845069</v>
      </c>
      <c r="I262" s="624">
        <f t="shared" si="145"/>
        <v>0.27928692699490665</v>
      </c>
      <c r="J262" s="624">
        <f t="shared" si="145"/>
        <v>0</v>
      </c>
      <c r="K262" s="625">
        <f t="shared" si="145"/>
        <v>0</v>
      </c>
      <c r="L262" s="625">
        <f t="shared" si="145"/>
        <v>0</v>
      </c>
      <c r="M262" s="625">
        <f t="shared" si="145"/>
        <v>0</v>
      </c>
      <c r="N262" s="624">
        <f t="shared" ref="N262:N266" si="148">IF(AE$266&gt;0,(AE262/AE$266),0)</f>
        <v>1.5783540022547914E-2</v>
      </c>
      <c r="O262" s="624">
        <f t="shared" si="146"/>
        <v>0</v>
      </c>
      <c r="P262" s="626">
        <f t="shared" si="146"/>
        <v>0</v>
      </c>
      <c r="Q262" s="624">
        <f t="shared" si="146"/>
        <v>0</v>
      </c>
      <c r="R262" s="357"/>
      <c r="S262" s="858">
        <v>314</v>
      </c>
      <c r="T262" s="858"/>
      <c r="U262" s="858">
        <v>413</v>
      </c>
      <c r="V262" s="858">
        <v>67</v>
      </c>
      <c r="W262" s="858">
        <v>107</v>
      </c>
      <c r="X262" s="858">
        <v>86</v>
      </c>
      <c r="Y262" s="859">
        <v>987</v>
      </c>
      <c r="Z262" s="859"/>
      <c r="AA262" s="858"/>
      <c r="AB262" s="858"/>
      <c r="AC262" s="858"/>
      <c r="AD262" s="858"/>
      <c r="AE262" s="859">
        <v>14</v>
      </c>
      <c r="AF262" s="859"/>
      <c r="AG262" s="858"/>
      <c r="AH262" s="859"/>
    </row>
    <row r="263" spans="1:34">
      <c r="A263" s="883"/>
      <c r="B263" s="239" t="s">
        <v>55</v>
      </c>
      <c r="C263" s="806">
        <f t="shared" si="147"/>
        <v>0.19221604447974583</v>
      </c>
      <c r="D263" s="806">
        <f t="shared" si="145"/>
        <v>0</v>
      </c>
      <c r="E263" s="806">
        <f t="shared" si="145"/>
        <v>0.29280948851000743</v>
      </c>
      <c r="F263" s="806">
        <f t="shared" si="145"/>
        <v>0.3</v>
      </c>
      <c r="G263" s="806">
        <f t="shared" si="145"/>
        <v>0.30519480519480519</v>
      </c>
      <c r="H263" s="806">
        <f t="shared" si="145"/>
        <v>0.28169014084507044</v>
      </c>
      <c r="I263" s="624">
        <f t="shared" si="145"/>
        <v>0.25806451612903225</v>
      </c>
      <c r="J263" s="624">
        <f t="shared" si="145"/>
        <v>0</v>
      </c>
      <c r="K263" s="625">
        <f t="shared" si="145"/>
        <v>0</v>
      </c>
      <c r="L263" s="625">
        <f t="shared" si="145"/>
        <v>0</v>
      </c>
      <c r="M263" s="625">
        <f t="shared" si="145"/>
        <v>0</v>
      </c>
      <c r="N263" s="624">
        <f t="shared" si="148"/>
        <v>9.0191657271702363E-3</v>
      </c>
      <c r="O263" s="624">
        <f t="shared" si="146"/>
        <v>0</v>
      </c>
      <c r="P263" s="626">
        <f t="shared" si="146"/>
        <v>0</v>
      </c>
      <c r="Q263" s="624">
        <f t="shared" si="146"/>
        <v>0</v>
      </c>
      <c r="R263" s="357"/>
      <c r="S263" s="858">
        <v>242</v>
      </c>
      <c r="T263" s="858"/>
      <c r="U263" s="858">
        <v>395</v>
      </c>
      <c r="V263" s="858">
        <v>54</v>
      </c>
      <c r="W263" s="858">
        <v>141</v>
      </c>
      <c r="X263" s="858">
        <v>80</v>
      </c>
      <c r="Y263" s="859">
        <v>912</v>
      </c>
      <c r="Z263" s="859"/>
      <c r="AA263" s="858"/>
      <c r="AB263" s="858"/>
      <c r="AC263" s="858"/>
      <c r="AD263" s="858"/>
      <c r="AE263" s="859">
        <v>8</v>
      </c>
      <c r="AF263" s="859"/>
      <c r="AG263" s="858"/>
      <c r="AH263" s="859"/>
    </row>
    <row r="264" spans="1:34">
      <c r="A264" s="883"/>
      <c r="B264" s="239" t="s">
        <v>78</v>
      </c>
      <c r="C264" s="806">
        <f t="shared" si="147"/>
        <v>0</v>
      </c>
      <c r="D264" s="806">
        <f t="shared" si="145"/>
        <v>0</v>
      </c>
      <c r="E264" s="806">
        <f t="shared" si="145"/>
        <v>6.5233506300963681E-2</v>
      </c>
      <c r="F264" s="806">
        <f t="shared" si="145"/>
        <v>6.6666666666666666E-2</v>
      </c>
      <c r="G264" s="806">
        <f t="shared" si="145"/>
        <v>0.11904761904761904</v>
      </c>
      <c r="H264" s="806">
        <f t="shared" si="145"/>
        <v>5.2816901408450703E-2</v>
      </c>
      <c r="I264" s="624">
        <f t="shared" si="145"/>
        <v>4.8104131295981893E-2</v>
      </c>
      <c r="J264" s="624">
        <f t="shared" si="145"/>
        <v>0</v>
      </c>
      <c r="K264" s="625">
        <f t="shared" si="145"/>
        <v>0</v>
      </c>
      <c r="L264" s="625">
        <f t="shared" si="145"/>
        <v>0</v>
      </c>
      <c r="M264" s="625">
        <f t="shared" si="145"/>
        <v>0</v>
      </c>
      <c r="N264" s="624">
        <f t="shared" si="148"/>
        <v>0.32581736189402483</v>
      </c>
      <c r="O264" s="624">
        <f t="shared" si="146"/>
        <v>0</v>
      </c>
      <c r="P264" s="626">
        <f t="shared" si="146"/>
        <v>0</v>
      </c>
      <c r="Q264" s="624">
        <f t="shared" si="146"/>
        <v>2.3255813953488372E-2</v>
      </c>
      <c r="R264" s="357"/>
      <c r="S264" s="858"/>
      <c r="T264" s="858"/>
      <c r="U264" s="858">
        <v>88</v>
      </c>
      <c r="V264" s="858">
        <v>12</v>
      </c>
      <c r="W264" s="858">
        <v>55</v>
      </c>
      <c r="X264" s="858">
        <v>15</v>
      </c>
      <c r="Y264" s="859">
        <v>170</v>
      </c>
      <c r="Z264" s="859"/>
      <c r="AA264" s="858"/>
      <c r="AB264" s="858"/>
      <c r="AC264" s="858"/>
      <c r="AD264" s="858"/>
      <c r="AE264" s="859">
        <v>289</v>
      </c>
      <c r="AF264" s="859"/>
      <c r="AG264" s="858"/>
      <c r="AH264" s="859">
        <v>4</v>
      </c>
    </row>
    <row r="265" spans="1:34">
      <c r="A265" s="884"/>
      <c r="B265" s="580" t="s">
        <v>131</v>
      </c>
      <c r="C265" s="806">
        <f t="shared" si="147"/>
        <v>0.17156473391580621</v>
      </c>
      <c r="D265" s="806">
        <f t="shared" si="145"/>
        <v>0</v>
      </c>
      <c r="E265" s="806">
        <f t="shared" si="145"/>
        <v>6.5233506300963681E-2</v>
      </c>
      <c r="F265" s="806">
        <f t="shared" si="145"/>
        <v>0</v>
      </c>
      <c r="G265" s="806">
        <f t="shared" si="145"/>
        <v>3.2467532467532464E-2</v>
      </c>
      <c r="H265" s="806">
        <f t="shared" si="145"/>
        <v>3.5211267605633804E-2</v>
      </c>
      <c r="I265" s="624">
        <f t="shared" si="145"/>
        <v>9.3095642331635545E-2</v>
      </c>
      <c r="J265" s="624">
        <f t="shared" si="145"/>
        <v>0</v>
      </c>
      <c r="K265" s="625">
        <f t="shared" si="145"/>
        <v>0</v>
      </c>
      <c r="L265" s="625">
        <f t="shared" si="145"/>
        <v>0</v>
      </c>
      <c r="M265" s="625">
        <f t="shared" si="145"/>
        <v>0</v>
      </c>
      <c r="N265" s="624">
        <f t="shared" si="148"/>
        <v>0.64374295377677559</v>
      </c>
      <c r="O265" s="624">
        <f t="shared" si="146"/>
        <v>0</v>
      </c>
      <c r="P265" s="626">
        <f t="shared" si="146"/>
        <v>0</v>
      </c>
      <c r="Q265" s="624">
        <f t="shared" si="146"/>
        <v>0.97674418604651159</v>
      </c>
      <c r="R265" s="357"/>
      <c r="S265" s="858">
        <v>216</v>
      </c>
      <c r="T265" s="858"/>
      <c r="U265" s="858">
        <f>82+6</f>
        <v>88</v>
      </c>
      <c r="V265" s="858"/>
      <c r="W265" s="858">
        <f>11+4</f>
        <v>15</v>
      </c>
      <c r="X265" s="858">
        <f>6+4</f>
        <v>10</v>
      </c>
      <c r="Y265" s="859">
        <f>315+14</f>
        <v>329</v>
      </c>
      <c r="Z265" s="859"/>
      <c r="AA265" s="858"/>
      <c r="AB265" s="858"/>
      <c r="AC265" s="858"/>
      <c r="AD265" s="858"/>
      <c r="AE265" s="859">
        <v>571</v>
      </c>
      <c r="AF265" s="859"/>
      <c r="AG265" s="858"/>
      <c r="AH265" s="859">
        <v>168</v>
      </c>
    </row>
    <row r="266" spans="1:34">
      <c r="A266" s="885"/>
      <c r="B266" s="436" t="s">
        <v>59</v>
      </c>
      <c r="C266" s="807">
        <f t="shared" si="147"/>
        <v>1</v>
      </c>
      <c r="D266" s="808">
        <f t="shared" si="145"/>
        <v>0</v>
      </c>
      <c r="E266" s="808">
        <f t="shared" si="145"/>
        <v>1</v>
      </c>
      <c r="F266" s="808">
        <f t="shared" si="145"/>
        <v>1</v>
      </c>
      <c r="G266" s="808">
        <f t="shared" si="145"/>
        <v>1</v>
      </c>
      <c r="H266" s="809">
        <f t="shared" si="145"/>
        <v>1</v>
      </c>
      <c r="I266" s="577">
        <f t="shared" si="145"/>
        <v>1</v>
      </c>
      <c r="J266" s="577">
        <f t="shared" si="145"/>
        <v>0</v>
      </c>
      <c r="K266" s="578">
        <f t="shared" si="145"/>
        <v>0</v>
      </c>
      <c r="L266" s="578">
        <f t="shared" si="145"/>
        <v>0</v>
      </c>
      <c r="M266" s="578">
        <f t="shared" si="145"/>
        <v>0</v>
      </c>
      <c r="N266" s="577">
        <f t="shared" si="148"/>
        <v>1</v>
      </c>
      <c r="O266" s="577">
        <f t="shared" si="146"/>
        <v>0</v>
      </c>
      <c r="P266" s="579">
        <f t="shared" si="146"/>
        <v>0</v>
      </c>
      <c r="Q266" s="577">
        <f t="shared" si="146"/>
        <v>1</v>
      </c>
      <c r="R266" s="357"/>
      <c r="S266" s="858">
        <v>1259</v>
      </c>
      <c r="T266" s="858"/>
      <c r="U266" s="858">
        <v>1349</v>
      </c>
      <c r="V266" s="858">
        <v>180</v>
      </c>
      <c r="W266" s="858">
        <v>462</v>
      </c>
      <c r="X266" s="858">
        <v>284</v>
      </c>
      <c r="Y266" s="859">
        <v>3534</v>
      </c>
      <c r="Z266" s="859"/>
      <c r="AA266" s="858"/>
      <c r="AB266" s="858"/>
      <c r="AC266" s="858"/>
      <c r="AD266" s="858"/>
      <c r="AE266" s="859">
        <v>887</v>
      </c>
      <c r="AF266" s="859"/>
      <c r="AG266" s="858"/>
      <c r="AH266" s="859">
        <v>172</v>
      </c>
    </row>
    <row r="267" spans="1:34">
      <c r="A267" s="882" t="s">
        <v>153</v>
      </c>
      <c r="B267" s="240" t="s">
        <v>53</v>
      </c>
      <c r="C267" s="806">
        <f>IF(S$272&gt;0,(S267/S$272),0)</f>
        <v>0</v>
      </c>
      <c r="D267" s="806">
        <f t="shared" ref="D267:M272" si="149">IF(T$272&gt;0,(T267/T$272),0)</f>
        <v>0.23232323232323232</v>
      </c>
      <c r="E267" s="806">
        <f t="shared" si="149"/>
        <v>0</v>
      </c>
      <c r="F267" s="806">
        <f t="shared" si="149"/>
        <v>0.2</v>
      </c>
      <c r="G267" s="806">
        <f t="shared" si="149"/>
        <v>8.9820359281437126E-2</v>
      </c>
      <c r="H267" s="806">
        <f t="shared" si="149"/>
        <v>0.21674876847290642</v>
      </c>
      <c r="I267" s="613">
        <f t="shared" si="149"/>
        <v>0.21338672768878719</v>
      </c>
      <c r="J267" s="613">
        <f t="shared" si="149"/>
        <v>0</v>
      </c>
      <c r="K267" s="614">
        <f t="shared" si="149"/>
        <v>0</v>
      </c>
      <c r="L267" s="614">
        <f t="shared" si="149"/>
        <v>0</v>
      </c>
      <c r="M267" s="614">
        <f t="shared" si="149"/>
        <v>0</v>
      </c>
      <c r="N267" s="613">
        <f>IF(AE$272&gt;0,(AE267/AE$272),0)</f>
        <v>3.1809145129224649E-2</v>
      </c>
      <c r="O267" s="613">
        <f t="shared" ref="O267:Q272" si="150">IF(AF$272&gt;0,(AF267/AF$272),0)</f>
        <v>0</v>
      </c>
      <c r="P267" s="615">
        <f t="shared" si="150"/>
        <v>0</v>
      </c>
      <c r="Q267" s="613">
        <f t="shared" si="150"/>
        <v>0</v>
      </c>
      <c r="R267" s="799"/>
      <c r="S267" s="856"/>
      <c r="T267" s="856">
        <v>276</v>
      </c>
      <c r="U267" s="856"/>
      <c r="V267" s="856">
        <v>38</v>
      </c>
      <c r="W267" s="856">
        <v>15</v>
      </c>
      <c r="X267" s="856">
        <v>44</v>
      </c>
      <c r="Y267" s="857">
        <v>373</v>
      </c>
      <c r="Z267" s="857"/>
      <c r="AA267" s="856"/>
      <c r="AB267" s="856"/>
      <c r="AC267" s="856"/>
      <c r="AD267" s="856"/>
      <c r="AE267" s="857">
        <v>16</v>
      </c>
      <c r="AF267" s="857"/>
      <c r="AG267" s="856"/>
      <c r="AH267" s="857"/>
    </row>
    <row r="268" spans="1:34">
      <c r="A268" s="883"/>
      <c r="B268" s="239" t="s">
        <v>93</v>
      </c>
      <c r="C268" s="806">
        <f t="shared" ref="C268:C272" si="151">IF(S$272&gt;0,(S268/S$272),0)</f>
        <v>0</v>
      </c>
      <c r="D268" s="806">
        <f t="shared" si="149"/>
        <v>0.3005050505050505</v>
      </c>
      <c r="E268" s="806">
        <f t="shared" si="149"/>
        <v>0</v>
      </c>
      <c r="F268" s="806">
        <f t="shared" si="149"/>
        <v>0.16315789473684211</v>
      </c>
      <c r="G268" s="806">
        <f t="shared" si="149"/>
        <v>0.16167664670658682</v>
      </c>
      <c r="H268" s="806">
        <f t="shared" si="149"/>
        <v>0.17241379310344829</v>
      </c>
      <c r="I268" s="624">
        <f t="shared" si="149"/>
        <v>0.25743707093821511</v>
      </c>
      <c r="J268" s="624">
        <f t="shared" si="149"/>
        <v>0</v>
      </c>
      <c r="K268" s="625">
        <f t="shared" si="149"/>
        <v>0</v>
      </c>
      <c r="L268" s="625">
        <f t="shared" si="149"/>
        <v>0</v>
      </c>
      <c r="M268" s="625">
        <f t="shared" si="149"/>
        <v>0</v>
      </c>
      <c r="N268" s="624">
        <f t="shared" ref="N268:N272" si="152">IF(AE$272&gt;0,(AE268/AE$272),0)</f>
        <v>0.28031809145129227</v>
      </c>
      <c r="O268" s="624">
        <f t="shared" si="150"/>
        <v>0</v>
      </c>
      <c r="P268" s="626">
        <f t="shared" si="150"/>
        <v>0</v>
      </c>
      <c r="Q268" s="624">
        <f t="shared" si="150"/>
        <v>0</v>
      </c>
      <c r="R268" s="357"/>
      <c r="S268" s="858"/>
      <c r="T268" s="858">
        <v>357</v>
      </c>
      <c r="U268" s="858"/>
      <c r="V268" s="858">
        <v>31</v>
      </c>
      <c r="W268" s="858">
        <v>27</v>
      </c>
      <c r="X268" s="858">
        <v>35</v>
      </c>
      <c r="Y268" s="859">
        <v>450</v>
      </c>
      <c r="Z268" s="859"/>
      <c r="AA268" s="858"/>
      <c r="AB268" s="858"/>
      <c r="AC268" s="858"/>
      <c r="AD268" s="858"/>
      <c r="AE268" s="859">
        <v>141</v>
      </c>
      <c r="AF268" s="859"/>
      <c r="AG268" s="858"/>
      <c r="AH268" s="859"/>
    </row>
    <row r="269" spans="1:34">
      <c r="A269" s="883"/>
      <c r="B269" s="239" t="s">
        <v>55</v>
      </c>
      <c r="C269" s="806">
        <f t="shared" si="151"/>
        <v>0</v>
      </c>
      <c r="D269" s="806">
        <f t="shared" si="149"/>
        <v>0.31902356902356904</v>
      </c>
      <c r="E269" s="806">
        <f t="shared" si="149"/>
        <v>0</v>
      </c>
      <c r="F269" s="806">
        <f t="shared" si="149"/>
        <v>0.35789473684210527</v>
      </c>
      <c r="G269" s="806">
        <f t="shared" si="149"/>
        <v>0.45508982035928142</v>
      </c>
      <c r="H269" s="806">
        <f t="shared" si="149"/>
        <v>0.43842364532019706</v>
      </c>
      <c r="I269" s="624">
        <f t="shared" si="149"/>
        <v>0.35011441647597252</v>
      </c>
      <c r="J269" s="624">
        <f t="shared" si="149"/>
        <v>0</v>
      </c>
      <c r="K269" s="625">
        <f t="shared" si="149"/>
        <v>0</v>
      </c>
      <c r="L269" s="625">
        <f t="shared" si="149"/>
        <v>0</v>
      </c>
      <c r="M269" s="625">
        <f t="shared" si="149"/>
        <v>0</v>
      </c>
      <c r="N269" s="624">
        <f t="shared" si="152"/>
        <v>0.18687872763419483</v>
      </c>
      <c r="O269" s="624">
        <f t="shared" si="150"/>
        <v>0</v>
      </c>
      <c r="P269" s="626">
        <f t="shared" si="150"/>
        <v>0</v>
      </c>
      <c r="Q269" s="624">
        <f t="shared" si="150"/>
        <v>0</v>
      </c>
      <c r="R269" s="357"/>
      <c r="S269" s="858"/>
      <c r="T269" s="858">
        <v>379</v>
      </c>
      <c r="U269" s="858"/>
      <c r="V269" s="858">
        <v>68</v>
      </c>
      <c r="W269" s="858">
        <v>76</v>
      </c>
      <c r="X269" s="858">
        <v>89</v>
      </c>
      <c r="Y269" s="859">
        <v>612</v>
      </c>
      <c r="Z269" s="859"/>
      <c r="AA269" s="858"/>
      <c r="AB269" s="858"/>
      <c r="AC269" s="858"/>
      <c r="AD269" s="858"/>
      <c r="AE269" s="859">
        <v>94</v>
      </c>
      <c r="AF269" s="859"/>
      <c r="AG269" s="858"/>
      <c r="AH269" s="859"/>
    </row>
    <row r="270" spans="1:34">
      <c r="A270" s="883"/>
      <c r="B270" s="239" t="s">
        <v>78</v>
      </c>
      <c r="C270" s="806">
        <f t="shared" si="151"/>
        <v>0</v>
      </c>
      <c r="D270" s="806">
        <f t="shared" si="149"/>
        <v>3.0303030303030304E-2</v>
      </c>
      <c r="E270" s="806">
        <f t="shared" si="149"/>
        <v>0</v>
      </c>
      <c r="F270" s="806">
        <f t="shared" si="149"/>
        <v>0.15789473684210525</v>
      </c>
      <c r="G270" s="806">
        <f t="shared" si="149"/>
        <v>0.1317365269461078</v>
      </c>
      <c r="H270" s="806">
        <f t="shared" si="149"/>
        <v>0.11822660098522167</v>
      </c>
      <c r="I270" s="624">
        <f t="shared" si="149"/>
        <v>6.4073226544622428E-2</v>
      </c>
      <c r="J270" s="624">
        <f t="shared" si="149"/>
        <v>0</v>
      </c>
      <c r="K270" s="625">
        <f t="shared" si="149"/>
        <v>0</v>
      </c>
      <c r="L270" s="625">
        <f t="shared" si="149"/>
        <v>0</v>
      </c>
      <c r="M270" s="625">
        <f t="shared" si="149"/>
        <v>0</v>
      </c>
      <c r="N270" s="624">
        <f t="shared" si="152"/>
        <v>0.43737574552683894</v>
      </c>
      <c r="O270" s="624">
        <f t="shared" si="150"/>
        <v>0</v>
      </c>
      <c r="P270" s="626">
        <f t="shared" si="150"/>
        <v>0</v>
      </c>
      <c r="Q270" s="624">
        <f t="shared" si="150"/>
        <v>0</v>
      </c>
      <c r="R270" s="357"/>
      <c r="S270" s="858"/>
      <c r="T270" s="858">
        <v>36</v>
      </c>
      <c r="U270" s="858"/>
      <c r="V270" s="858">
        <v>30</v>
      </c>
      <c r="W270" s="858">
        <v>22</v>
      </c>
      <c r="X270" s="858">
        <v>24</v>
      </c>
      <c r="Y270" s="859">
        <v>112</v>
      </c>
      <c r="Z270" s="859"/>
      <c r="AA270" s="858"/>
      <c r="AB270" s="858"/>
      <c r="AC270" s="858"/>
      <c r="AD270" s="858"/>
      <c r="AE270" s="859">
        <v>220</v>
      </c>
      <c r="AF270" s="859"/>
      <c r="AG270" s="858"/>
      <c r="AH270" s="859"/>
    </row>
    <row r="271" spans="1:34">
      <c r="A271" s="884"/>
      <c r="B271" s="580" t="s">
        <v>131</v>
      </c>
      <c r="C271" s="806">
        <f t="shared" si="151"/>
        <v>0</v>
      </c>
      <c r="D271" s="806">
        <f t="shared" si="149"/>
        <v>0.11784511784511785</v>
      </c>
      <c r="E271" s="806">
        <f t="shared" si="149"/>
        <v>0</v>
      </c>
      <c r="F271" s="806">
        <f t="shared" si="149"/>
        <v>0.12105263157894737</v>
      </c>
      <c r="G271" s="806">
        <f t="shared" si="149"/>
        <v>0.16167664670658682</v>
      </c>
      <c r="H271" s="806">
        <f t="shared" si="149"/>
        <v>5.4187192118226604E-2</v>
      </c>
      <c r="I271" s="624">
        <f t="shared" si="149"/>
        <v>0.11498855835240275</v>
      </c>
      <c r="J271" s="624">
        <f t="shared" si="149"/>
        <v>0</v>
      </c>
      <c r="K271" s="625">
        <f t="shared" si="149"/>
        <v>0</v>
      </c>
      <c r="L271" s="625">
        <f t="shared" si="149"/>
        <v>0</v>
      </c>
      <c r="M271" s="625">
        <f t="shared" si="149"/>
        <v>0</v>
      </c>
      <c r="N271" s="624">
        <f t="shared" si="152"/>
        <v>6.3618290258449298E-2</v>
      </c>
      <c r="O271" s="624">
        <f t="shared" si="150"/>
        <v>0</v>
      </c>
      <c r="P271" s="626">
        <f t="shared" si="150"/>
        <v>0</v>
      </c>
      <c r="Q271" s="624">
        <f t="shared" si="150"/>
        <v>0</v>
      </c>
      <c r="R271" s="357"/>
      <c r="S271" s="858"/>
      <c r="T271" s="858">
        <f>131+9</f>
        <v>140</v>
      </c>
      <c r="U271" s="858"/>
      <c r="V271" s="858">
        <f>0+23</f>
        <v>23</v>
      </c>
      <c r="W271" s="858">
        <f>1+26</f>
        <v>27</v>
      </c>
      <c r="X271" s="858">
        <f>4+7</f>
        <v>11</v>
      </c>
      <c r="Y271" s="859">
        <f>136+65</f>
        <v>201</v>
      </c>
      <c r="Z271" s="859"/>
      <c r="AA271" s="858"/>
      <c r="AB271" s="858"/>
      <c r="AC271" s="858"/>
      <c r="AD271" s="858"/>
      <c r="AE271" s="859">
        <v>32</v>
      </c>
      <c r="AF271" s="859"/>
      <c r="AG271" s="858"/>
      <c r="AH271" s="859"/>
    </row>
    <row r="272" spans="1:34">
      <c r="A272" s="885"/>
      <c r="B272" s="436" t="s">
        <v>59</v>
      </c>
      <c r="C272" s="807">
        <f t="shared" si="151"/>
        <v>0</v>
      </c>
      <c r="D272" s="808">
        <f t="shared" si="149"/>
        <v>1</v>
      </c>
      <c r="E272" s="808">
        <f t="shared" si="149"/>
        <v>0</v>
      </c>
      <c r="F272" s="808">
        <f t="shared" si="149"/>
        <v>1</v>
      </c>
      <c r="G272" s="808">
        <f t="shared" si="149"/>
        <v>1</v>
      </c>
      <c r="H272" s="809">
        <f t="shared" si="149"/>
        <v>1</v>
      </c>
      <c r="I272" s="577">
        <f t="shared" si="149"/>
        <v>1</v>
      </c>
      <c r="J272" s="577">
        <f t="shared" si="149"/>
        <v>0</v>
      </c>
      <c r="K272" s="578">
        <f t="shared" si="149"/>
        <v>0</v>
      </c>
      <c r="L272" s="578">
        <f t="shared" si="149"/>
        <v>0</v>
      </c>
      <c r="M272" s="578">
        <f t="shared" si="149"/>
        <v>0</v>
      </c>
      <c r="N272" s="577">
        <f t="shared" si="152"/>
        <v>1</v>
      </c>
      <c r="O272" s="577">
        <f t="shared" si="150"/>
        <v>0</v>
      </c>
      <c r="P272" s="579">
        <f t="shared" si="150"/>
        <v>0</v>
      </c>
      <c r="Q272" s="577">
        <f t="shared" si="150"/>
        <v>0</v>
      </c>
      <c r="R272" s="357"/>
      <c r="S272" s="858"/>
      <c r="T272" s="858">
        <v>1188</v>
      </c>
      <c r="U272" s="858"/>
      <c r="V272" s="858">
        <v>190</v>
      </c>
      <c r="W272" s="858">
        <v>167</v>
      </c>
      <c r="X272" s="858">
        <v>203</v>
      </c>
      <c r="Y272" s="859">
        <v>1748</v>
      </c>
      <c r="Z272" s="859"/>
      <c r="AA272" s="858"/>
      <c r="AB272" s="858"/>
      <c r="AC272" s="858"/>
      <c r="AD272" s="858"/>
      <c r="AE272" s="859">
        <v>503</v>
      </c>
      <c r="AF272" s="859"/>
      <c r="AG272" s="858"/>
      <c r="AH272" s="859"/>
    </row>
    <row r="273" spans="1:34">
      <c r="A273" s="882" t="s">
        <v>160</v>
      </c>
      <c r="B273" s="240" t="s">
        <v>53</v>
      </c>
      <c r="C273" s="806">
        <f>IF(S$278&gt;0,(S273/S$278),0)</f>
        <v>0.3057875457875458</v>
      </c>
      <c r="D273" s="806">
        <f t="shared" ref="D273:M278" si="153">IF(T$278&gt;0,(T273/T$278),0)</f>
        <v>0.2672826830937714</v>
      </c>
      <c r="E273" s="806">
        <f t="shared" si="153"/>
        <v>0.26645602948920483</v>
      </c>
      <c r="F273" s="806">
        <f t="shared" si="153"/>
        <v>0.23628691983122363</v>
      </c>
      <c r="G273" s="806">
        <f t="shared" si="153"/>
        <v>0.2888064316635745</v>
      </c>
      <c r="H273" s="806">
        <f t="shared" si="153"/>
        <v>0.2982300884955752</v>
      </c>
      <c r="I273" s="613">
        <f t="shared" si="153"/>
        <v>0.28698826909265024</v>
      </c>
      <c r="J273" s="613">
        <f t="shared" si="153"/>
        <v>0</v>
      </c>
      <c r="K273" s="614">
        <f t="shared" si="153"/>
        <v>0</v>
      </c>
      <c r="L273" s="614">
        <f t="shared" si="153"/>
        <v>0</v>
      </c>
      <c r="M273" s="614">
        <f t="shared" si="153"/>
        <v>0</v>
      </c>
      <c r="N273" s="613">
        <f>IF(AE$278&gt;0,(AE273/AE$278),0)</f>
        <v>0.16958479239619809</v>
      </c>
      <c r="O273" s="613">
        <f t="shared" ref="O273:Q278" si="154">IF(AF$278&gt;0,(AF273/AF$278),0)</f>
        <v>0</v>
      </c>
      <c r="P273" s="615">
        <f t="shared" si="154"/>
        <v>0</v>
      </c>
      <c r="Q273" s="613">
        <f t="shared" si="154"/>
        <v>0.26011560693641617</v>
      </c>
      <c r="R273" s="799"/>
      <c r="S273" s="856">
        <v>2087</v>
      </c>
      <c r="T273" s="856">
        <v>781</v>
      </c>
      <c r="U273" s="856">
        <v>506</v>
      </c>
      <c r="V273" s="856">
        <v>280</v>
      </c>
      <c r="W273" s="856">
        <v>467</v>
      </c>
      <c r="X273" s="856">
        <v>674</v>
      </c>
      <c r="Y273" s="857">
        <v>4795</v>
      </c>
      <c r="Z273" s="857"/>
      <c r="AA273" s="856"/>
      <c r="AB273" s="856"/>
      <c r="AC273" s="856"/>
      <c r="AD273" s="856"/>
      <c r="AE273" s="857">
        <v>678</v>
      </c>
      <c r="AF273" s="857"/>
      <c r="AG273" s="856"/>
      <c r="AH273" s="857">
        <v>90</v>
      </c>
    </row>
    <row r="274" spans="1:34">
      <c r="A274" s="883"/>
      <c r="B274" s="239" t="s">
        <v>93</v>
      </c>
      <c r="C274" s="806">
        <f t="shared" ref="C274:C278" si="155">IF(S$278&gt;0,(S274/S$278),0)</f>
        <v>0.33289377289377292</v>
      </c>
      <c r="D274" s="806">
        <f t="shared" si="153"/>
        <v>0.29911019849418208</v>
      </c>
      <c r="E274" s="806">
        <f t="shared" si="153"/>
        <v>0.29489204844655081</v>
      </c>
      <c r="F274" s="806">
        <f t="shared" si="153"/>
        <v>0.31308016877637129</v>
      </c>
      <c r="G274" s="806">
        <f t="shared" si="153"/>
        <v>0.28942486085343228</v>
      </c>
      <c r="H274" s="806">
        <f t="shared" si="153"/>
        <v>0.31371681415929203</v>
      </c>
      <c r="I274" s="624">
        <f t="shared" si="153"/>
        <v>0.31446013885563801</v>
      </c>
      <c r="J274" s="624">
        <f t="shared" si="153"/>
        <v>0</v>
      </c>
      <c r="K274" s="625">
        <f t="shared" si="153"/>
        <v>0</v>
      </c>
      <c r="L274" s="625">
        <f t="shared" si="153"/>
        <v>0</v>
      </c>
      <c r="M274" s="625">
        <f t="shared" si="153"/>
        <v>0</v>
      </c>
      <c r="N274" s="624">
        <f t="shared" ref="N274:N278" si="156">IF(AE$278&gt;0,(AE274/AE$278),0)</f>
        <v>0.2313656828414207</v>
      </c>
      <c r="O274" s="624">
        <f t="shared" si="154"/>
        <v>0</v>
      </c>
      <c r="P274" s="626">
        <f t="shared" si="154"/>
        <v>0</v>
      </c>
      <c r="Q274" s="624">
        <f t="shared" si="154"/>
        <v>0.15028901734104047</v>
      </c>
      <c r="R274" s="357"/>
      <c r="S274" s="858">
        <v>2272</v>
      </c>
      <c r="T274" s="858">
        <v>874</v>
      </c>
      <c r="U274" s="858">
        <v>560</v>
      </c>
      <c r="V274" s="858">
        <v>371</v>
      </c>
      <c r="W274" s="858">
        <v>468</v>
      </c>
      <c r="X274" s="858">
        <v>709</v>
      </c>
      <c r="Y274" s="859">
        <v>5254</v>
      </c>
      <c r="Z274" s="859"/>
      <c r="AA274" s="858"/>
      <c r="AB274" s="858"/>
      <c r="AC274" s="858"/>
      <c r="AD274" s="858"/>
      <c r="AE274" s="859">
        <v>925</v>
      </c>
      <c r="AF274" s="859"/>
      <c r="AG274" s="858"/>
      <c r="AH274" s="859">
        <v>52</v>
      </c>
    </row>
    <row r="275" spans="1:34">
      <c r="A275" s="883"/>
      <c r="B275" s="239" t="s">
        <v>55</v>
      </c>
      <c r="C275" s="806">
        <f t="shared" si="155"/>
        <v>0.25362637362637364</v>
      </c>
      <c r="D275" s="806">
        <f t="shared" si="153"/>
        <v>0.17043121149897331</v>
      </c>
      <c r="E275" s="806">
        <f t="shared" si="153"/>
        <v>0.21274354923644023</v>
      </c>
      <c r="F275" s="806">
        <f t="shared" si="153"/>
        <v>0.25316455696202533</v>
      </c>
      <c r="G275" s="806">
        <f t="shared" si="153"/>
        <v>0.29808286951144092</v>
      </c>
      <c r="H275" s="806">
        <f t="shared" si="153"/>
        <v>0.33938053097345133</v>
      </c>
      <c r="I275" s="624">
        <f t="shared" si="153"/>
        <v>0.2502992578405554</v>
      </c>
      <c r="J275" s="624">
        <f t="shared" si="153"/>
        <v>0</v>
      </c>
      <c r="K275" s="625">
        <f t="shared" si="153"/>
        <v>0</v>
      </c>
      <c r="L275" s="625">
        <f t="shared" si="153"/>
        <v>0</v>
      </c>
      <c r="M275" s="625">
        <f t="shared" si="153"/>
        <v>0</v>
      </c>
      <c r="N275" s="624">
        <f t="shared" si="156"/>
        <v>0.26813406703351678</v>
      </c>
      <c r="O275" s="624">
        <f t="shared" si="154"/>
        <v>0</v>
      </c>
      <c r="P275" s="626">
        <f t="shared" si="154"/>
        <v>0</v>
      </c>
      <c r="Q275" s="624">
        <f t="shared" si="154"/>
        <v>0.23699421965317918</v>
      </c>
      <c r="R275" s="357"/>
      <c r="S275" s="858">
        <v>1731</v>
      </c>
      <c r="T275" s="858">
        <v>498</v>
      </c>
      <c r="U275" s="858">
        <v>404</v>
      </c>
      <c r="V275" s="858">
        <v>300</v>
      </c>
      <c r="W275" s="858">
        <v>482</v>
      </c>
      <c r="X275" s="858">
        <v>767</v>
      </c>
      <c r="Y275" s="859">
        <v>4182</v>
      </c>
      <c r="Z275" s="859"/>
      <c r="AA275" s="858"/>
      <c r="AB275" s="858"/>
      <c r="AC275" s="858"/>
      <c r="AD275" s="858"/>
      <c r="AE275" s="859">
        <v>1072</v>
      </c>
      <c r="AF275" s="859"/>
      <c r="AG275" s="858"/>
      <c r="AH275" s="859">
        <v>82</v>
      </c>
    </row>
    <row r="276" spans="1:34">
      <c r="A276" s="883"/>
      <c r="B276" s="239" t="s">
        <v>78</v>
      </c>
      <c r="C276" s="806">
        <f t="shared" si="155"/>
        <v>3.8388278388278387E-2</v>
      </c>
      <c r="D276" s="806">
        <f t="shared" si="153"/>
        <v>9.3771389459274476E-2</v>
      </c>
      <c r="E276" s="806">
        <f t="shared" si="153"/>
        <v>6.9510268562401265E-2</v>
      </c>
      <c r="F276" s="806">
        <f t="shared" si="153"/>
        <v>0.14261603375527426</v>
      </c>
      <c r="G276" s="806">
        <f t="shared" si="153"/>
        <v>6.0606060606060608E-2</v>
      </c>
      <c r="H276" s="806">
        <f t="shared" si="153"/>
        <v>4.2920353982300888E-2</v>
      </c>
      <c r="I276" s="624">
        <f t="shared" si="153"/>
        <v>6.1766818290639215E-2</v>
      </c>
      <c r="J276" s="624">
        <f t="shared" si="153"/>
        <v>0</v>
      </c>
      <c r="K276" s="625">
        <f t="shared" si="153"/>
        <v>0</v>
      </c>
      <c r="L276" s="625">
        <f t="shared" si="153"/>
        <v>0</v>
      </c>
      <c r="M276" s="625">
        <f t="shared" si="153"/>
        <v>0</v>
      </c>
      <c r="N276" s="624">
        <f t="shared" si="156"/>
        <v>0.26013006503251623</v>
      </c>
      <c r="O276" s="624">
        <f t="shared" si="154"/>
        <v>0</v>
      </c>
      <c r="P276" s="626">
        <f t="shared" si="154"/>
        <v>0</v>
      </c>
      <c r="Q276" s="624">
        <f t="shared" si="154"/>
        <v>0.18208092485549132</v>
      </c>
      <c r="R276" s="357"/>
      <c r="S276" s="858">
        <v>262</v>
      </c>
      <c r="T276" s="858">
        <v>274</v>
      </c>
      <c r="U276" s="858">
        <v>132</v>
      </c>
      <c r="V276" s="858">
        <v>169</v>
      </c>
      <c r="W276" s="858">
        <v>98</v>
      </c>
      <c r="X276" s="858">
        <v>97</v>
      </c>
      <c r="Y276" s="859">
        <v>1032</v>
      </c>
      <c r="Z276" s="859"/>
      <c r="AA276" s="858"/>
      <c r="AB276" s="858"/>
      <c r="AC276" s="858"/>
      <c r="AD276" s="858"/>
      <c r="AE276" s="859">
        <v>1040</v>
      </c>
      <c r="AF276" s="859"/>
      <c r="AG276" s="858"/>
      <c r="AH276" s="859">
        <v>63</v>
      </c>
    </row>
    <row r="277" spans="1:34">
      <c r="A277" s="884"/>
      <c r="B277" s="580" t="s">
        <v>131</v>
      </c>
      <c r="C277" s="806">
        <f t="shared" si="155"/>
        <v>6.9304029304029305E-2</v>
      </c>
      <c r="D277" s="806">
        <f t="shared" si="153"/>
        <v>0.16940451745379878</v>
      </c>
      <c r="E277" s="806">
        <f t="shared" si="153"/>
        <v>0.15639810426540285</v>
      </c>
      <c r="F277" s="806">
        <f t="shared" si="153"/>
        <v>5.4852320675105488E-2</v>
      </c>
      <c r="G277" s="806">
        <f t="shared" si="153"/>
        <v>6.3079777365491654E-2</v>
      </c>
      <c r="H277" s="806">
        <f t="shared" si="153"/>
        <v>5.7522123893805309E-3</v>
      </c>
      <c r="I277" s="624">
        <f t="shared" si="153"/>
        <v>8.648551592051712E-2</v>
      </c>
      <c r="J277" s="624">
        <f t="shared" si="153"/>
        <v>0</v>
      </c>
      <c r="K277" s="625">
        <f t="shared" si="153"/>
        <v>0</v>
      </c>
      <c r="L277" s="625">
        <f t="shared" si="153"/>
        <v>0</v>
      </c>
      <c r="M277" s="625">
        <f t="shared" si="153"/>
        <v>0</v>
      </c>
      <c r="N277" s="624">
        <f t="shared" si="156"/>
        <v>7.0785392696348176E-2</v>
      </c>
      <c r="O277" s="624">
        <f t="shared" si="154"/>
        <v>0</v>
      </c>
      <c r="P277" s="626">
        <f t="shared" si="154"/>
        <v>0</v>
      </c>
      <c r="Q277" s="624">
        <f t="shared" si="154"/>
        <v>0.17052023121387283</v>
      </c>
      <c r="R277" s="357"/>
      <c r="S277" s="858">
        <f>407+66</f>
        <v>473</v>
      </c>
      <c r="T277" s="858">
        <f>380+115</f>
        <v>495</v>
      </c>
      <c r="U277" s="858">
        <f>223+74</f>
        <v>297</v>
      </c>
      <c r="V277" s="858">
        <f>25+40</f>
        <v>65</v>
      </c>
      <c r="W277" s="858">
        <f>2+100</f>
        <v>102</v>
      </c>
      <c r="X277" s="858">
        <f>2+11</f>
        <v>13</v>
      </c>
      <c r="Y277" s="859">
        <f>1039+406</f>
        <v>1445</v>
      </c>
      <c r="Z277" s="859"/>
      <c r="AA277" s="858"/>
      <c r="AB277" s="858"/>
      <c r="AC277" s="858"/>
      <c r="AD277" s="858"/>
      <c r="AE277" s="859">
        <f>183+100</f>
        <v>283</v>
      </c>
      <c r="AF277" s="859"/>
      <c r="AG277" s="858"/>
      <c r="AH277" s="859">
        <v>59</v>
      </c>
    </row>
    <row r="278" spans="1:34">
      <c r="A278" s="885"/>
      <c r="B278" s="436" t="s">
        <v>59</v>
      </c>
      <c r="C278" s="807">
        <f t="shared" si="155"/>
        <v>1</v>
      </c>
      <c r="D278" s="808">
        <f t="shared" si="153"/>
        <v>1</v>
      </c>
      <c r="E278" s="808">
        <f t="shared" si="153"/>
        <v>1</v>
      </c>
      <c r="F278" s="808">
        <f t="shared" si="153"/>
        <v>1</v>
      </c>
      <c r="G278" s="808">
        <f t="shared" si="153"/>
        <v>1</v>
      </c>
      <c r="H278" s="809">
        <f t="shared" si="153"/>
        <v>1</v>
      </c>
      <c r="I278" s="577">
        <f t="shared" si="153"/>
        <v>1</v>
      </c>
      <c r="J278" s="577">
        <f t="shared" si="153"/>
        <v>0</v>
      </c>
      <c r="K278" s="578">
        <f t="shared" si="153"/>
        <v>0</v>
      </c>
      <c r="L278" s="578">
        <f t="shared" si="153"/>
        <v>0</v>
      </c>
      <c r="M278" s="578">
        <f t="shared" si="153"/>
        <v>0</v>
      </c>
      <c r="N278" s="577">
        <f t="shared" si="156"/>
        <v>1</v>
      </c>
      <c r="O278" s="577">
        <f t="shared" si="154"/>
        <v>0</v>
      </c>
      <c r="P278" s="579">
        <f t="shared" si="154"/>
        <v>0</v>
      </c>
      <c r="Q278" s="577">
        <f t="shared" si="154"/>
        <v>1</v>
      </c>
      <c r="R278" s="357"/>
      <c r="S278" s="858">
        <v>6825</v>
      </c>
      <c r="T278" s="858">
        <v>2922</v>
      </c>
      <c r="U278" s="858">
        <v>1899</v>
      </c>
      <c r="V278" s="858">
        <v>1185</v>
      </c>
      <c r="W278" s="858">
        <v>1617</v>
      </c>
      <c r="X278" s="858">
        <v>2260</v>
      </c>
      <c r="Y278" s="859">
        <v>16708</v>
      </c>
      <c r="Z278" s="859"/>
      <c r="AA278" s="858"/>
      <c r="AB278" s="858"/>
      <c r="AC278" s="858"/>
      <c r="AD278" s="858"/>
      <c r="AE278" s="859">
        <v>3998</v>
      </c>
      <c r="AF278" s="859"/>
      <c r="AG278" s="858"/>
      <c r="AH278" s="859">
        <v>346</v>
      </c>
    </row>
    <row r="279" spans="1:34">
      <c r="A279" s="882" t="s">
        <v>164</v>
      </c>
      <c r="B279" s="240" t="s">
        <v>53</v>
      </c>
      <c r="C279" s="806">
        <f>IF(S$284&gt;0,(S279/S$284),0)</f>
        <v>0</v>
      </c>
      <c r="D279" s="806">
        <f t="shared" ref="D279:M284" si="157">IF(T$284&gt;0,(T279/T$284),0)</f>
        <v>0.25806451612903225</v>
      </c>
      <c r="E279" s="806">
        <f t="shared" si="157"/>
        <v>0</v>
      </c>
      <c r="F279" s="806">
        <f t="shared" si="157"/>
        <v>0</v>
      </c>
      <c r="G279" s="806">
        <f t="shared" si="157"/>
        <v>0.22748815165876776</v>
      </c>
      <c r="H279" s="806">
        <f t="shared" si="157"/>
        <v>0.18435754189944134</v>
      </c>
      <c r="I279" s="613">
        <f t="shared" si="157"/>
        <v>0.24029952348536418</v>
      </c>
      <c r="J279" s="613">
        <f t="shared" si="157"/>
        <v>0</v>
      </c>
      <c r="K279" s="614">
        <f t="shared" si="157"/>
        <v>0</v>
      </c>
      <c r="L279" s="614">
        <f t="shared" si="157"/>
        <v>0</v>
      </c>
      <c r="M279" s="614">
        <f t="shared" si="157"/>
        <v>0</v>
      </c>
      <c r="N279" s="613">
        <f>IF(AE$284&gt;0,(AE279/AE$284),0)</f>
        <v>1.9569471624266144E-2</v>
      </c>
      <c r="O279" s="613">
        <f t="shared" ref="O279:Q284" si="158">IF(AF$284&gt;0,(AF279/AF$284),0)</f>
        <v>0</v>
      </c>
      <c r="P279" s="615">
        <f t="shared" si="158"/>
        <v>0</v>
      </c>
      <c r="Q279" s="613">
        <f t="shared" si="158"/>
        <v>0</v>
      </c>
      <c r="R279" s="799"/>
      <c r="S279" s="856"/>
      <c r="T279" s="856">
        <v>224</v>
      </c>
      <c r="U279" s="856"/>
      <c r="V279" s="856"/>
      <c r="W279" s="856">
        <v>96</v>
      </c>
      <c r="X279" s="856">
        <v>33</v>
      </c>
      <c r="Y279" s="857">
        <v>353</v>
      </c>
      <c r="Z279" s="857"/>
      <c r="AA279" s="856"/>
      <c r="AB279" s="856"/>
      <c r="AC279" s="856"/>
      <c r="AD279" s="856"/>
      <c r="AE279" s="857">
        <v>10</v>
      </c>
      <c r="AF279" s="857"/>
      <c r="AG279" s="856"/>
      <c r="AH279" s="857"/>
    </row>
    <row r="280" spans="1:34">
      <c r="A280" s="883"/>
      <c r="B280" s="239" t="s">
        <v>93</v>
      </c>
      <c r="C280" s="806">
        <f t="shared" ref="C280:C284" si="159">IF(S$284&gt;0,(S280/S$284),0)</f>
        <v>0</v>
      </c>
      <c r="D280" s="806">
        <f t="shared" si="157"/>
        <v>0.20161290322580644</v>
      </c>
      <c r="E280" s="806">
        <f t="shared" si="157"/>
        <v>0</v>
      </c>
      <c r="F280" s="806">
        <f t="shared" si="157"/>
        <v>0</v>
      </c>
      <c r="G280" s="806">
        <f t="shared" si="157"/>
        <v>0.24170616113744076</v>
      </c>
      <c r="H280" s="806">
        <f t="shared" si="157"/>
        <v>0.27932960893854747</v>
      </c>
      <c r="I280" s="624">
        <f t="shared" si="157"/>
        <v>0.22260040844111639</v>
      </c>
      <c r="J280" s="624">
        <f t="shared" si="157"/>
        <v>0</v>
      </c>
      <c r="K280" s="625">
        <f t="shared" si="157"/>
        <v>0</v>
      </c>
      <c r="L280" s="625">
        <f t="shared" si="157"/>
        <v>0</v>
      </c>
      <c r="M280" s="625">
        <f t="shared" si="157"/>
        <v>0</v>
      </c>
      <c r="N280" s="624">
        <f t="shared" ref="N280:N284" si="160">IF(AE$284&gt;0,(AE280/AE$284),0)</f>
        <v>5.8708414872798431E-3</v>
      </c>
      <c r="O280" s="624">
        <f t="shared" si="158"/>
        <v>0</v>
      </c>
      <c r="P280" s="626">
        <f t="shared" si="158"/>
        <v>0</v>
      </c>
      <c r="Q280" s="624">
        <f t="shared" si="158"/>
        <v>0</v>
      </c>
      <c r="R280" s="357"/>
      <c r="S280" s="858"/>
      <c r="T280" s="858">
        <v>175</v>
      </c>
      <c r="U280" s="858"/>
      <c r="V280" s="858"/>
      <c r="W280" s="858">
        <v>102</v>
      </c>
      <c r="X280" s="858">
        <v>50</v>
      </c>
      <c r="Y280" s="859">
        <v>327</v>
      </c>
      <c r="Z280" s="859"/>
      <c r="AA280" s="858"/>
      <c r="AB280" s="858"/>
      <c r="AC280" s="858"/>
      <c r="AD280" s="858"/>
      <c r="AE280" s="859">
        <v>3</v>
      </c>
      <c r="AF280" s="859"/>
      <c r="AG280" s="858"/>
      <c r="AH280" s="859"/>
    </row>
    <row r="281" spans="1:34">
      <c r="A281" s="883"/>
      <c r="B281" s="239" t="s">
        <v>55</v>
      </c>
      <c r="C281" s="806">
        <f t="shared" si="159"/>
        <v>0</v>
      </c>
      <c r="D281" s="806">
        <f t="shared" si="157"/>
        <v>0.2695852534562212</v>
      </c>
      <c r="E281" s="806">
        <f t="shared" si="157"/>
        <v>0</v>
      </c>
      <c r="F281" s="806">
        <f t="shared" si="157"/>
        <v>0</v>
      </c>
      <c r="G281" s="806">
        <f t="shared" si="157"/>
        <v>0.32938388625592419</v>
      </c>
      <c r="H281" s="806">
        <f t="shared" si="157"/>
        <v>0.43575418994413406</v>
      </c>
      <c r="I281" s="624">
        <f t="shared" si="157"/>
        <v>0.30701157249829814</v>
      </c>
      <c r="J281" s="624">
        <f t="shared" si="157"/>
        <v>0</v>
      </c>
      <c r="K281" s="625">
        <f t="shared" si="157"/>
        <v>0</v>
      </c>
      <c r="L281" s="625">
        <f t="shared" si="157"/>
        <v>0</v>
      </c>
      <c r="M281" s="625">
        <f t="shared" si="157"/>
        <v>0</v>
      </c>
      <c r="N281" s="624">
        <f t="shared" si="160"/>
        <v>2.1526418786692758E-2</v>
      </c>
      <c r="O281" s="624">
        <f t="shared" si="158"/>
        <v>0</v>
      </c>
      <c r="P281" s="626">
        <f t="shared" si="158"/>
        <v>0</v>
      </c>
      <c r="Q281" s="624">
        <f t="shared" si="158"/>
        <v>0</v>
      </c>
      <c r="R281" s="357"/>
      <c r="S281" s="858"/>
      <c r="T281" s="858">
        <v>234</v>
      </c>
      <c r="U281" s="858"/>
      <c r="V281" s="858"/>
      <c r="W281" s="858">
        <v>139</v>
      </c>
      <c r="X281" s="858">
        <v>78</v>
      </c>
      <c r="Y281" s="859">
        <v>451</v>
      </c>
      <c r="Z281" s="859"/>
      <c r="AA281" s="858"/>
      <c r="AB281" s="858"/>
      <c r="AC281" s="858"/>
      <c r="AD281" s="858"/>
      <c r="AE281" s="859">
        <v>11</v>
      </c>
      <c r="AF281" s="859"/>
      <c r="AG281" s="858"/>
      <c r="AH281" s="859"/>
    </row>
    <row r="282" spans="1:34">
      <c r="A282" s="883"/>
      <c r="B282" s="239" t="s">
        <v>78</v>
      </c>
      <c r="C282" s="806">
        <f t="shared" si="159"/>
        <v>0</v>
      </c>
      <c r="D282" s="806">
        <f t="shared" si="157"/>
        <v>0.20046082949308755</v>
      </c>
      <c r="E282" s="806">
        <f t="shared" si="157"/>
        <v>0</v>
      </c>
      <c r="F282" s="806">
        <f t="shared" si="157"/>
        <v>0</v>
      </c>
      <c r="G282" s="806">
        <f t="shared" si="157"/>
        <v>0.15402843601895735</v>
      </c>
      <c r="H282" s="806">
        <f t="shared" si="157"/>
        <v>0.1005586592178771</v>
      </c>
      <c r="I282" s="624">
        <f t="shared" si="157"/>
        <v>0.17494894486044929</v>
      </c>
      <c r="J282" s="624">
        <f t="shared" si="157"/>
        <v>0</v>
      </c>
      <c r="K282" s="625">
        <f t="shared" si="157"/>
        <v>0</v>
      </c>
      <c r="L282" s="625">
        <f t="shared" si="157"/>
        <v>0</v>
      </c>
      <c r="M282" s="625">
        <f t="shared" si="157"/>
        <v>0</v>
      </c>
      <c r="N282" s="624">
        <f t="shared" si="160"/>
        <v>0.88845401174168293</v>
      </c>
      <c r="O282" s="624">
        <f t="shared" si="158"/>
        <v>0</v>
      </c>
      <c r="P282" s="626">
        <f t="shared" si="158"/>
        <v>0</v>
      </c>
      <c r="Q282" s="624">
        <f t="shared" si="158"/>
        <v>0</v>
      </c>
      <c r="R282" s="357"/>
      <c r="S282" s="858"/>
      <c r="T282" s="858">
        <v>174</v>
      </c>
      <c r="U282" s="858"/>
      <c r="V282" s="858"/>
      <c r="W282" s="858">
        <v>65</v>
      </c>
      <c r="X282" s="858">
        <v>18</v>
      </c>
      <c r="Y282" s="859">
        <v>257</v>
      </c>
      <c r="Z282" s="859"/>
      <c r="AA282" s="858"/>
      <c r="AB282" s="858"/>
      <c r="AC282" s="858"/>
      <c r="AD282" s="858"/>
      <c r="AE282" s="859">
        <v>454</v>
      </c>
      <c r="AF282" s="859"/>
      <c r="AG282" s="858"/>
      <c r="AH282" s="859"/>
    </row>
    <row r="283" spans="1:34">
      <c r="A283" s="884"/>
      <c r="B283" s="580" t="s">
        <v>131</v>
      </c>
      <c r="C283" s="806">
        <f t="shared" si="159"/>
        <v>0</v>
      </c>
      <c r="D283" s="806">
        <f t="shared" si="157"/>
        <v>7.0276497695852536E-2</v>
      </c>
      <c r="E283" s="806">
        <f t="shared" si="157"/>
        <v>0</v>
      </c>
      <c r="F283" s="806">
        <f t="shared" si="157"/>
        <v>0</v>
      </c>
      <c r="G283" s="806">
        <f t="shared" si="157"/>
        <v>4.7393364928909949E-2</v>
      </c>
      <c r="H283" s="806">
        <f t="shared" si="157"/>
        <v>0</v>
      </c>
      <c r="I283" s="624">
        <f t="shared" si="157"/>
        <v>5.5139550714771952E-2</v>
      </c>
      <c r="J283" s="624">
        <f t="shared" si="157"/>
        <v>0</v>
      </c>
      <c r="K283" s="625">
        <f t="shared" si="157"/>
        <v>0</v>
      </c>
      <c r="L283" s="625">
        <f t="shared" si="157"/>
        <v>0</v>
      </c>
      <c r="M283" s="625">
        <f t="shared" si="157"/>
        <v>0</v>
      </c>
      <c r="N283" s="624">
        <f t="shared" si="160"/>
        <v>6.4579256360078274E-2</v>
      </c>
      <c r="O283" s="624">
        <f t="shared" si="158"/>
        <v>0</v>
      </c>
      <c r="P283" s="626">
        <f t="shared" si="158"/>
        <v>0</v>
      </c>
      <c r="Q283" s="624">
        <f t="shared" si="158"/>
        <v>0</v>
      </c>
      <c r="R283" s="357"/>
      <c r="S283" s="858"/>
      <c r="T283" s="858">
        <v>61</v>
      </c>
      <c r="U283" s="858"/>
      <c r="V283" s="858"/>
      <c r="W283" s="858">
        <f>5+15</f>
        <v>20</v>
      </c>
      <c r="X283" s="858"/>
      <c r="Y283" s="859">
        <f>66+15</f>
        <v>81</v>
      </c>
      <c r="Z283" s="859"/>
      <c r="AA283" s="858"/>
      <c r="AB283" s="858"/>
      <c r="AC283" s="858"/>
      <c r="AD283" s="858"/>
      <c r="AE283" s="859">
        <f>2+31</f>
        <v>33</v>
      </c>
      <c r="AF283" s="859"/>
      <c r="AG283" s="858"/>
      <c r="AH283" s="859"/>
    </row>
    <row r="284" spans="1:34">
      <c r="A284" s="885"/>
      <c r="B284" s="436" t="s">
        <v>59</v>
      </c>
      <c r="C284" s="807">
        <f t="shared" si="159"/>
        <v>0</v>
      </c>
      <c r="D284" s="808">
        <f t="shared" si="157"/>
        <v>1</v>
      </c>
      <c r="E284" s="808">
        <f t="shared" si="157"/>
        <v>0</v>
      </c>
      <c r="F284" s="808">
        <f t="shared" si="157"/>
        <v>0</v>
      </c>
      <c r="G284" s="808">
        <f t="shared" si="157"/>
        <v>1</v>
      </c>
      <c r="H284" s="809">
        <f t="shared" si="157"/>
        <v>1</v>
      </c>
      <c r="I284" s="577">
        <f t="shared" si="157"/>
        <v>1</v>
      </c>
      <c r="J284" s="577">
        <f t="shared" si="157"/>
        <v>0</v>
      </c>
      <c r="K284" s="578">
        <f t="shared" si="157"/>
        <v>0</v>
      </c>
      <c r="L284" s="578">
        <f t="shared" si="157"/>
        <v>0</v>
      </c>
      <c r="M284" s="578">
        <f t="shared" si="157"/>
        <v>0</v>
      </c>
      <c r="N284" s="577">
        <f t="shared" si="160"/>
        <v>1</v>
      </c>
      <c r="O284" s="577">
        <f t="shared" si="158"/>
        <v>0</v>
      </c>
      <c r="P284" s="579">
        <f t="shared" si="158"/>
        <v>0</v>
      </c>
      <c r="Q284" s="577">
        <f t="shared" si="158"/>
        <v>0</v>
      </c>
      <c r="R284" s="357"/>
      <c r="S284" s="858"/>
      <c r="T284" s="858">
        <v>868</v>
      </c>
      <c r="U284" s="858"/>
      <c r="V284" s="858"/>
      <c r="W284" s="858">
        <v>422</v>
      </c>
      <c r="X284" s="858">
        <v>179</v>
      </c>
      <c r="Y284" s="859">
        <v>1469</v>
      </c>
      <c r="Z284" s="859"/>
      <c r="AA284" s="858"/>
      <c r="AB284" s="858"/>
      <c r="AC284" s="858"/>
      <c r="AD284" s="858"/>
      <c r="AE284" s="859">
        <v>511</v>
      </c>
      <c r="AF284" s="859"/>
      <c r="AG284" s="858"/>
      <c r="AH284" s="859"/>
    </row>
    <row r="285" spans="1:34">
      <c r="A285" s="882" t="s">
        <v>168</v>
      </c>
      <c r="B285" s="240" t="s">
        <v>53</v>
      </c>
      <c r="C285" s="806">
        <f>IF(S$290&gt;0,(S285/S$290),0)</f>
        <v>0.43377179565616397</v>
      </c>
      <c r="D285" s="806">
        <f t="shared" ref="D285:M290" si="161">IF(T$290&gt;0,(T285/T$290),0)</f>
        <v>0.26837060702875398</v>
      </c>
      <c r="E285" s="806">
        <f t="shared" si="161"/>
        <v>0</v>
      </c>
      <c r="F285" s="806">
        <f t="shared" si="161"/>
        <v>0.25283921099820683</v>
      </c>
      <c r="G285" s="806">
        <f t="shared" si="161"/>
        <v>0.24107142857142858</v>
      </c>
      <c r="H285" s="806">
        <f t="shared" si="161"/>
        <v>0.25159642401021709</v>
      </c>
      <c r="I285" s="613">
        <f t="shared" si="161"/>
        <v>0.31434599156118143</v>
      </c>
      <c r="J285" s="613">
        <f t="shared" si="161"/>
        <v>0</v>
      </c>
      <c r="K285" s="614">
        <f t="shared" si="161"/>
        <v>0</v>
      </c>
      <c r="L285" s="614">
        <f t="shared" si="161"/>
        <v>0</v>
      </c>
      <c r="M285" s="614">
        <f t="shared" si="161"/>
        <v>0</v>
      </c>
      <c r="N285" s="613">
        <f>IF(AE$290&gt;0,(AE285/AE$290),0)</f>
        <v>2.2988505747126436E-2</v>
      </c>
      <c r="O285" s="613">
        <f t="shared" ref="O285:Q290" si="162">IF(AF$290&gt;0,(AF285/AF$290),0)</f>
        <v>0</v>
      </c>
      <c r="P285" s="615">
        <f t="shared" si="162"/>
        <v>0</v>
      </c>
      <c r="Q285" s="613">
        <f t="shared" si="162"/>
        <v>0</v>
      </c>
      <c r="R285" s="799"/>
      <c r="S285" s="856">
        <v>1418</v>
      </c>
      <c r="T285" s="856">
        <v>168</v>
      </c>
      <c r="U285" s="856"/>
      <c r="V285" s="856">
        <v>846</v>
      </c>
      <c r="W285" s="856">
        <v>351</v>
      </c>
      <c r="X285" s="856">
        <v>197</v>
      </c>
      <c r="Y285" s="857">
        <v>2980</v>
      </c>
      <c r="Z285" s="857"/>
      <c r="AA285" s="856"/>
      <c r="AB285" s="856"/>
      <c r="AC285" s="856"/>
      <c r="AD285" s="856"/>
      <c r="AE285" s="857">
        <v>16</v>
      </c>
      <c r="AF285" s="857"/>
      <c r="AG285" s="856"/>
      <c r="AH285" s="857"/>
    </row>
    <row r="286" spans="1:34">
      <c r="A286" s="883"/>
      <c r="B286" s="239" t="s">
        <v>93</v>
      </c>
      <c r="C286" s="806">
        <f t="shared" ref="C286:C290" si="163">IF(S$290&gt;0,(S286/S$290),0)</f>
        <v>0.22759253594371368</v>
      </c>
      <c r="D286" s="806">
        <f t="shared" si="161"/>
        <v>0.35303514376996803</v>
      </c>
      <c r="E286" s="806">
        <f t="shared" si="161"/>
        <v>0</v>
      </c>
      <c r="F286" s="806">
        <f t="shared" si="161"/>
        <v>0.22893006575014943</v>
      </c>
      <c r="G286" s="806">
        <f t="shared" si="161"/>
        <v>0.28914835164835168</v>
      </c>
      <c r="H286" s="806">
        <f t="shared" si="161"/>
        <v>0.33077905491698595</v>
      </c>
      <c r="I286" s="624">
        <f t="shared" si="161"/>
        <v>0.25432489451476792</v>
      </c>
      <c r="J286" s="624">
        <f t="shared" si="161"/>
        <v>0</v>
      </c>
      <c r="K286" s="625">
        <f t="shared" si="161"/>
        <v>0</v>
      </c>
      <c r="L286" s="625">
        <f t="shared" si="161"/>
        <v>0</v>
      </c>
      <c r="M286" s="625">
        <f t="shared" si="161"/>
        <v>0</v>
      </c>
      <c r="N286" s="624">
        <f t="shared" ref="N286:N290" si="164">IF(AE$290&gt;0,(AE286/AE$290),0)</f>
        <v>1.1494252873563218E-2</v>
      </c>
      <c r="O286" s="624">
        <f t="shared" si="162"/>
        <v>0</v>
      </c>
      <c r="P286" s="626">
        <f t="shared" si="162"/>
        <v>0</v>
      </c>
      <c r="Q286" s="624">
        <f t="shared" si="162"/>
        <v>0</v>
      </c>
      <c r="R286" s="357"/>
      <c r="S286" s="858">
        <v>744</v>
      </c>
      <c r="T286" s="858">
        <v>221</v>
      </c>
      <c r="U286" s="858"/>
      <c r="V286" s="858">
        <v>766</v>
      </c>
      <c r="W286" s="858">
        <v>421</v>
      </c>
      <c r="X286" s="858">
        <v>259</v>
      </c>
      <c r="Y286" s="859">
        <v>2411</v>
      </c>
      <c r="Z286" s="859"/>
      <c r="AA286" s="858"/>
      <c r="AB286" s="858"/>
      <c r="AC286" s="858"/>
      <c r="AD286" s="858"/>
      <c r="AE286" s="859">
        <v>8</v>
      </c>
      <c r="AF286" s="859"/>
      <c r="AG286" s="858"/>
      <c r="AH286" s="859"/>
    </row>
    <row r="287" spans="1:34">
      <c r="A287" s="883"/>
      <c r="B287" s="239" t="s">
        <v>55</v>
      </c>
      <c r="C287" s="806">
        <f t="shared" si="163"/>
        <v>0.22178036096665646</v>
      </c>
      <c r="D287" s="806">
        <f t="shared" si="161"/>
        <v>0.28753993610223644</v>
      </c>
      <c r="E287" s="806">
        <f t="shared" si="161"/>
        <v>0</v>
      </c>
      <c r="F287" s="806">
        <f t="shared" si="161"/>
        <v>0.31022115959354452</v>
      </c>
      <c r="G287" s="806">
        <f t="shared" si="161"/>
        <v>0.30631868131868134</v>
      </c>
      <c r="H287" s="806">
        <f t="shared" si="161"/>
        <v>0.34099616858237547</v>
      </c>
      <c r="I287" s="624">
        <f t="shared" si="161"/>
        <v>0.28016877637130799</v>
      </c>
      <c r="J287" s="624">
        <f t="shared" si="161"/>
        <v>0</v>
      </c>
      <c r="K287" s="625">
        <f t="shared" si="161"/>
        <v>0</v>
      </c>
      <c r="L287" s="625">
        <f t="shared" si="161"/>
        <v>0</v>
      </c>
      <c r="M287" s="625">
        <f t="shared" si="161"/>
        <v>0</v>
      </c>
      <c r="N287" s="624">
        <f t="shared" si="164"/>
        <v>1.4367816091954023E-2</v>
      </c>
      <c r="O287" s="624">
        <f t="shared" si="162"/>
        <v>0</v>
      </c>
      <c r="P287" s="626">
        <f t="shared" si="162"/>
        <v>0</v>
      </c>
      <c r="Q287" s="624">
        <f t="shared" si="162"/>
        <v>0</v>
      </c>
      <c r="R287" s="357"/>
      <c r="S287" s="858">
        <v>725</v>
      </c>
      <c r="T287" s="858">
        <v>180</v>
      </c>
      <c r="U287" s="858"/>
      <c r="V287" s="858">
        <v>1038</v>
      </c>
      <c r="W287" s="858">
        <v>446</v>
      </c>
      <c r="X287" s="858">
        <v>267</v>
      </c>
      <c r="Y287" s="859">
        <v>2656</v>
      </c>
      <c r="Z287" s="859"/>
      <c r="AA287" s="858"/>
      <c r="AB287" s="858"/>
      <c r="AC287" s="858"/>
      <c r="AD287" s="858"/>
      <c r="AE287" s="859">
        <v>10</v>
      </c>
      <c r="AF287" s="859"/>
      <c r="AG287" s="858"/>
      <c r="AH287" s="859"/>
    </row>
    <row r="288" spans="1:34">
      <c r="A288" s="883"/>
      <c r="B288" s="239" t="s">
        <v>78</v>
      </c>
      <c r="C288" s="806">
        <f t="shared" si="163"/>
        <v>1.3153869684918936E-2</v>
      </c>
      <c r="D288" s="806">
        <f t="shared" si="161"/>
        <v>5.7507987220447282E-2</v>
      </c>
      <c r="E288" s="806">
        <f t="shared" si="161"/>
        <v>0</v>
      </c>
      <c r="F288" s="806">
        <f t="shared" si="161"/>
        <v>1.2253436939629408E-2</v>
      </c>
      <c r="G288" s="806">
        <f t="shared" si="161"/>
        <v>2.4725274725274724E-2</v>
      </c>
      <c r="H288" s="806">
        <f t="shared" si="161"/>
        <v>5.6194125159642401E-2</v>
      </c>
      <c r="I288" s="624">
        <f t="shared" si="161"/>
        <v>2.1097046413502109E-2</v>
      </c>
      <c r="J288" s="624">
        <f t="shared" si="161"/>
        <v>0</v>
      </c>
      <c r="K288" s="625">
        <f t="shared" si="161"/>
        <v>0</v>
      </c>
      <c r="L288" s="625">
        <f t="shared" si="161"/>
        <v>0</v>
      </c>
      <c r="M288" s="625">
        <f t="shared" si="161"/>
        <v>0</v>
      </c>
      <c r="N288" s="624">
        <f t="shared" si="164"/>
        <v>0.19252873563218389</v>
      </c>
      <c r="O288" s="624">
        <f t="shared" si="162"/>
        <v>0</v>
      </c>
      <c r="P288" s="626">
        <f t="shared" si="162"/>
        <v>0</v>
      </c>
      <c r="Q288" s="624">
        <f t="shared" si="162"/>
        <v>0.86368593238822244</v>
      </c>
      <c r="R288" s="357"/>
      <c r="S288" s="858">
        <v>43</v>
      </c>
      <c r="T288" s="858">
        <v>36</v>
      </c>
      <c r="U288" s="858"/>
      <c r="V288" s="858">
        <v>41</v>
      </c>
      <c r="W288" s="858">
        <v>36</v>
      </c>
      <c r="X288" s="858">
        <v>44</v>
      </c>
      <c r="Y288" s="859">
        <v>200</v>
      </c>
      <c r="Z288" s="859"/>
      <c r="AA288" s="858"/>
      <c r="AB288" s="858"/>
      <c r="AC288" s="858"/>
      <c r="AD288" s="858"/>
      <c r="AE288" s="859">
        <v>134</v>
      </c>
      <c r="AF288" s="859"/>
      <c r="AG288" s="858"/>
      <c r="AH288" s="859">
        <v>2376</v>
      </c>
    </row>
    <row r="289" spans="1:34">
      <c r="A289" s="884"/>
      <c r="B289" s="580" t="s">
        <v>131</v>
      </c>
      <c r="C289" s="806">
        <f t="shared" si="163"/>
        <v>0.10370143774854695</v>
      </c>
      <c r="D289" s="806">
        <f t="shared" si="161"/>
        <v>3.3546325878594248E-2</v>
      </c>
      <c r="E289" s="806">
        <f t="shared" si="161"/>
        <v>0</v>
      </c>
      <c r="F289" s="806">
        <f t="shared" si="161"/>
        <v>0.19575612671846981</v>
      </c>
      <c r="G289" s="806">
        <f t="shared" si="161"/>
        <v>0.13873626373626374</v>
      </c>
      <c r="H289" s="806">
        <f t="shared" si="161"/>
        <v>2.0434227330779056E-2</v>
      </c>
      <c r="I289" s="624">
        <f t="shared" si="161"/>
        <v>0.13006329113924051</v>
      </c>
      <c r="J289" s="624">
        <f t="shared" si="161"/>
        <v>0</v>
      </c>
      <c r="K289" s="625">
        <f t="shared" si="161"/>
        <v>0</v>
      </c>
      <c r="L289" s="625">
        <f t="shared" si="161"/>
        <v>0</v>
      </c>
      <c r="M289" s="625">
        <f t="shared" si="161"/>
        <v>0</v>
      </c>
      <c r="N289" s="624">
        <f t="shared" si="164"/>
        <v>0.75862068965517238</v>
      </c>
      <c r="O289" s="624">
        <f t="shared" si="162"/>
        <v>0</v>
      </c>
      <c r="P289" s="626">
        <f t="shared" si="162"/>
        <v>0</v>
      </c>
      <c r="Q289" s="624">
        <f t="shared" si="162"/>
        <v>0.13631406761177753</v>
      </c>
      <c r="R289" s="357"/>
      <c r="S289" s="858">
        <f>329+10</f>
        <v>339</v>
      </c>
      <c r="T289" s="858">
        <f>2+19</f>
        <v>21</v>
      </c>
      <c r="U289" s="858"/>
      <c r="V289" s="858">
        <f>652+3</f>
        <v>655</v>
      </c>
      <c r="W289" s="858">
        <v>202</v>
      </c>
      <c r="X289" s="858">
        <f>2+14</f>
        <v>16</v>
      </c>
      <c r="Y289" s="859">
        <f>1187+46</f>
        <v>1233</v>
      </c>
      <c r="Z289" s="859"/>
      <c r="AA289" s="858"/>
      <c r="AB289" s="858"/>
      <c r="AC289" s="858"/>
      <c r="AD289" s="858"/>
      <c r="AE289" s="859">
        <v>528</v>
      </c>
      <c r="AF289" s="859"/>
      <c r="AG289" s="858"/>
      <c r="AH289" s="859">
        <v>375</v>
      </c>
    </row>
    <row r="290" spans="1:34">
      <c r="A290" s="885"/>
      <c r="B290" s="436" t="s">
        <v>59</v>
      </c>
      <c r="C290" s="807">
        <f t="shared" si="163"/>
        <v>1</v>
      </c>
      <c r="D290" s="808">
        <f t="shared" si="161"/>
        <v>1</v>
      </c>
      <c r="E290" s="808">
        <f t="shared" si="161"/>
        <v>0</v>
      </c>
      <c r="F290" s="808">
        <f t="shared" si="161"/>
        <v>1</v>
      </c>
      <c r="G290" s="808">
        <f t="shared" si="161"/>
        <v>1</v>
      </c>
      <c r="H290" s="809">
        <f t="shared" si="161"/>
        <v>1</v>
      </c>
      <c r="I290" s="577">
        <f t="shared" si="161"/>
        <v>1</v>
      </c>
      <c r="J290" s="577">
        <f t="shared" si="161"/>
        <v>0</v>
      </c>
      <c r="K290" s="578">
        <f t="shared" si="161"/>
        <v>0</v>
      </c>
      <c r="L290" s="578">
        <f t="shared" si="161"/>
        <v>0</v>
      </c>
      <c r="M290" s="578">
        <f t="shared" si="161"/>
        <v>0</v>
      </c>
      <c r="N290" s="577">
        <f t="shared" si="164"/>
        <v>1</v>
      </c>
      <c r="O290" s="577">
        <f t="shared" si="162"/>
        <v>0</v>
      </c>
      <c r="P290" s="579">
        <f t="shared" si="162"/>
        <v>0</v>
      </c>
      <c r="Q290" s="577">
        <f t="shared" si="162"/>
        <v>1</v>
      </c>
      <c r="R290" s="357"/>
      <c r="S290" s="858">
        <v>3269</v>
      </c>
      <c r="T290" s="858">
        <v>626</v>
      </c>
      <c r="U290" s="858"/>
      <c r="V290" s="858">
        <v>3346</v>
      </c>
      <c r="W290" s="858">
        <v>1456</v>
      </c>
      <c r="X290" s="858">
        <v>783</v>
      </c>
      <c r="Y290" s="859">
        <v>9480</v>
      </c>
      <c r="Z290" s="859"/>
      <c r="AA290" s="858"/>
      <c r="AB290" s="858"/>
      <c r="AC290" s="858"/>
      <c r="AD290" s="858"/>
      <c r="AE290" s="859">
        <v>696</v>
      </c>
      <c r="AF290" s="859"/>
      <c r="AG290" s="858"/>
      <c r="AH290" s="859">
        <v>2751</v>
      </c>
    </row>
    <row r="291" spans="1:34">
      <c r="A291" s="882" t="s">
        <v>173</v>
      </c>
      <c r="B291" s="240" t="s">
        <v>53</v>
      </c>
      <c r="C291" s="806">
        <f>IF(S$296&gt;0,(S291/S$296),0)</f>
        <v>0.36046119235095614</v>
      </c>
      <c r="D291" s="806">
        <f t="shared" ref="D291:M296" si="165">IF(T$296&gt;0,(T291/T$296),0)</f>
        <v>0.34579194981704131</v>
      </c>
      <c r="E291" s="806">
        <f t="shared" si="165"/>
        <v>0.29315994265820194</v>
      </c>
      <c r="F291" s="806">
        <f t="shared" si="165"/>
        <v>0.28403340080971662</v>
      </c>
      <c r="G291" s="806">
        <f t="shared" si="165"/>
        <v>0.24561720585577446</v>
      </c>
      <c r="H291" s="806">
        <f t="shared" si="165"/>
        <v>0.27929132542202906</v>
      </c>
      <c r="I291" s="613">
        <f t="shared" si="165"/>
        <v>0.31366094298453656</v>
      </c>
      <c r="J291" s="613">
        <f t="shared" si="165"/>
        <v>0</v>
      </c>
      <c r="K291" s="614">
        <f t="shared" si="165"/>
        <v>0</v>
      </c>
      <c r="L291" s="614">
        <f t="shared" si="165"/>
        <v>0</v>
      </c>
      <c r="M291" s="614">
        <f t="shared" si="165"/>
        <v>0</v>
      </c>
      <c r="N291" s="613">
        <f>IF(AE$296&gt;0,(AE291/AE$296),0)</f>
        <v>0.29854534199938099</v>
      </c>
      <c r="O291" s="613">
        <f t="shared" ref="O291:Q296" si="166">IF(AF$296&gt;0,(AF291/AF$296),0)</f>
        <v>0</v>
      </c>
      <c r="P291" s="615">
        <f t="shared" si="166"/>
        <v>0</v>
      </c>
      <c r="Q291" s="613">
        <f t="shared" si="166"/>
        <v>0.10869565217391304</v>
      </c>
      <c r="R291" s="799"/>
      <c r="S291" s="860">
        <f>S297+S303+S309+S315+S321+S327+S333+S339+S345</f>
        <v>12818</v>
      </c>
      <c r="T291" s="860">
        <f t="shared" ref="T291:AE291" si="167">T297+T303+T309+T315+T321+T327+T333+T339+T345</f>
        <v>3969</v>
      </c>
      <c r="U291" s="860">
        <f t="shared" si="167"/>
        <v>5726</v>
      </c>
      <c r="V291" s="860">
        <f t="shared" si="167"/>
        <v>4490</v>
      </c>
      <c r="W291" s="860">
        <f t="shared" si="167"/>
        <v>2718</v>
      </c>
      <c r="X291" s="860">
        <f t="shared" si="167"/>
        <v>3342</v>
      </c>
      <c r="Y291" s="861">
        <f t="shared" si="167"/>
        <v>33063</v>
      </c>
      <c r="Z291" s="861">
        <f t="shared" si="167"/>
        <v>0</v>
      </c>
      <c r="AA291" s="860">
        <f t="shared" si="167"/>
        <v>0</v>
      </c>
      <c r="AB291" s="860">
        <f t="shared" si="167"/>
        <v>0</v>
      </c>
      <c r="AC291" s="860">
        <f t="shared" si="167"/>
        <v>0</v>
      </c>
      <c r="AD291" s="860">
        <f t="shared" si="167"/>
        <v>0</v>
      </c>
      <c r="AE291" s="861">
        <f t="shared" si="167"/>
        <v>4823</v>
      </c>
      <c r="AF291" s="861"/>
      <c r="AG291" s="860"/>
      <c r="AH291" s="861">
        <f t="shared" ref="AH291:AH296" si="168">AH297+AH303+AH309+AH315+AH321+AH327+AH333+AH339+AH345</f>
        <v>30</v>
      </c>
    </row>
    <row r="292" spans="1:34">
      <c r="A292" s="883"/>
      <c r="B292" s="239" t="s">
        <v>93</v>
      </c>
      <c r="C292" s="806">
        <f t="shared" ref="C292:C296" si="169">IF(S$296&gt;0,(S292/S$296),0)</f>
        <v>0.21867266591676041</v>
      </c>
      <c r="D292" s="806">
        <f t="shared" si="165"/>
        <v>0.28628680954870184</v>
      </c>
      <c r="E292" s="806">
        <f t="shared" si="165"/>
        <v>0.32756502150317429</v>
      </c>
      <c r="F292" s="806">
        <f t="shared" si="165"/>
        <v>0.29927884615384615</v>
      </c>
      <c r="G292" s="806">
        <f t="shared" si="165"/>
        <v>0.30986806434122538</v>
      </c>
      <c r="H292" s="806">
        <f t="shared" si="165"/>
        <v>0.28112986795921779</v>
      </c>
      <c r="I292" s="624">
        <f t="shared" si="165"/>
        <v>0.27496442462764442</v>
      </c>
      <c r="J292" s="624">
        <f t="shared" si="165"/>
        <v>0</v>
      </c>
      <c r="K292" s="625">
        <f t="shared" si="165"/>
        <v>0</v>
      </c>
      <c r="L292" s="625">
        <f t="shared" si="165"/>
        <v>0</v>
      </c>
      <c r="M292" s="625">
        <f t="shared" si="165"/>
        <v>0</v>
      </c>
      <c r="N292" s="624">
        <f t="shared" ref="N292:N296" si="170">IF(AE$296&gt;0,(AE292/AE$296),0)</f>
        <v>0.20798514391829154</v>
      </c>
      <c r="O292" s="624">
        <f t="shared" si="166"/>
        <v>0</v>
      </c>
      <c r="P292" s="626">
        <f t="shared" si="166"/>
        <v>0</v>
      </c>
      <c r="Q292" s="624">
        <f t="shared" si="166"/>
        <v>5.0724637681159424E-2</v>
      </c>
      <c r="R292" s="357"/>
      <c r="S292" s="862">
        <f t="shared" ref="S292:AE296" si="171">S298+S304+S310+S316+S322+S328+S334+S340+S346</f>
        <v>7776</v>
      </c>
      <c r="T292" s="862">
        <f t="shared" si="171"/>
        <v>3286</v>
      </c>
      <c r="U292" s="862">
        <f t="shared" si="171"/>
        <v>6398</v>
      </c>
      <c r="V292" s="862">
        <f t="shared" si="171"/>
        <v>4731</v>
      </c>
      <c r="W292" s="862">
        <f t="shared" si="171"/>
        <v>3429</v>
      </c>
      <c r="X292" s="862">
        <f t="shared" si="171"/>
        <v>3364</v>
      </c>
      <c r="Y292" s="863">
        <f t="shared" si="171"/>
        <v>28984</v>
      </c>
      <c r="Z292" s="863">
        <f t="shared" si="171"/>
        <v>0</v>
      </c>
      <c r="AA292" s="862">
        <f t="shared" si="171"/>
        <v>0</v>
      </c>
      <c r="AB292" s="862">
        <f t="shared" si="171"/>
        <v>0</v>
      </c>
      <c r="AC292" s="862">
        <f t="shared" si="171"/>
        <v>0</v>
      </c>
      <c r="AD292" s="862">
        <f t="shared" si="171"/>
        <v>0</v>
      </c>
      <c r="AE292" s="863">
        <f t="shared" si="171"/>
        <v>3360</v>
      </c>
      <c r="AF292" s="859"/>
      <c r="AG292" s="858"/>
      <c r="AH292" s="863">
        <f t="shared" si="168"/>
        <v>14</v>
      </c>
    </row>
    <row r="293" spans="1:34">
      <c r="A293" s="883"/>
      <c r="B293" s="239" t="s">
        <v>55</v>
      </c>
      <c r="C293" s="806">
        <f t="shared" si="169"/>
        <v>0.20826771653543308</v>
      </c>
      <c r="D293" s="806">
        <f t="shared" si="165"/>
        <v>0.20508799442411571</v>
      </c>
      <c r="E293" s="806">
        <f t="shared" si="165"/>
        <v>0.27380708580790497</v>
      </c>
      <c r="F293" s="806">
        <f t="shared" si="165"/>
        <v>0.301998987854251</v>
      </c>
      <c r="G293" s="806">
        <f t="shared" si="165"/>
        <v>0.31529007771552503</v>
      </c>
      <c r="H293" s="806">
        <f t="shared" si="165"/>
        <v>0.29282968410496407</v>
      </c>
      <c r="I293" s="624">
        <f t="shared" si="165"/>
        <v>0.25495683521487522</v>
      </c>
      <c r="J293" s="624">
        <f t="shared" si="165"/>
        <v>0</v>
      </c>
      <c r="K293" s="625">
        <f t="shared" si="165"/>
        <v>0</v>
      </c>
      <c r="L293" s="625">
        <f t="shared" si="165"/>
        <v>0</v>
      </c>
      <c r="M293" s="625">
        <f t="shared" si="165"/>
        <v>0</v>
      </c>
      <c r="N293" s="624">
        <f t="shared" si="170"/>
        <v>0.27112349117920148</v>
      </c>
      <c r="O293" s="624">
        <f t="shared" si="166"/>
        <v>0</v>
      </c>
      <c r="P293" s="626">
        <f t="shared" si="166"/>
        <v>0</v>
      </c>
      <c r="Q293" s="624">
        <f t="shared" si="166"/>
        <v>1.8115942028985508E-2</v>
      </c>
      <c r="R293" s="357"/>
      <c r="S293" s="862">
        <f t="shared" si="171"/>
        <v>7406</v>
      </c>
      <c r="T293" s="862">
        <f t="shared" si="171"/>
        <v>2354</v>
      </c>
      <c r="U293" s="862">
        <f t="shared" si="171"/>
        <v>5348</v>
      </c>
      <c r="V293" s="862">
        <f t="shared" si="171"/>
        <v>4774</v>
      </c>
      <c r="W293" s="862">
        <f t="shared" si="171"/>
        <v>3489</v>
      </c>
      <c r="X293" s="862">
        <f t="shared" si="171"/>
        <v>3504</v>
      </c>
      <c r="Y293" s="863">
        <f t="shared" si="171"/>
        <v>26875</v>
      </c>
      <c r="Z293" s="863">
        <f t="shared" si="171"/>
        <v>0</v>
      </c>
      <c r="AA293" s="862">
        <f t="shared" si="171"/>
        <v>0</v>
      </c>
      <c r="AB293" s="862">
        <f t="shared" si="171"/>
        <v>0</v>
      </c>
      <c r="AC293" s="862">
        <f t="shared" si="171"/>
        <v>0</v>
      </c>
      <c r="AD293" s="862">
        <f t="shared" si="171"/>
        <v>0</v>
      </c>
      <c r="AE293" s="863">
        <f t="shared" si="171"/>
        <v>4380</v>
      </c>
      <c r="AF293" s="859"/>
      <c r="AG293" s="858"/>
      <c r="AH293" s="863">
        <f t="shared" si="168"/>
        <v>5</v>
      </c>
    </row>
    <row r="294" spans="1:34">
      <c r="A294" s="883"/>
      <c r="B294" s="239" t="s">
        <v>78</v>
      </c>
      <c r="C294" s="806">
        <f t="shared" si="169"/>
        <v>4.1169853768278968E-2</v>
      </c>
      <c r="D294" s="806">
        <f t="shared" si="165"/>
        <v>5.0357205087994426E-2</v>
      </c>
      <c r="E294" s="806">
        <f t="shared" si="165"/>
        <v>3.4661069014949829E-2</v>
      </c>
      <c r="F294" s="806">
        <f t="shared" si="165"/>
        <v>4.9595141700404861E-2</v>
      </c>
      <c r="G294" s="806">
        <f t="shared" si="165"/>
        <v>6.7232965841315745E-2</v>
      </c>
      <c r="H294" s="806">
        <f t="shared" si="165"/>
        <v>6.0337623265920105E-2</v>
      </c>
      <c r="I294" s="624">
        <f t="shared" si="165"/>
        <v>4.7139740062612658E-2</v>
      </c>
      <c r="J294" s="624">
        <f t="shared" si="165"/>
        <v>0</v>
      </c>
      <c r="K294" s="625">
        <f t="shared" si="165"/>
        <v>0</v>
      </c>
      <c r="L294" s="625">
        <f t="shared" si="165"/>
        <v>0</v>
      </c>
      <c r="M294" s="625">
        <f t="shared" si="165"/>
        <v>0</v>
      </c>
      <c r="N294" s="624">
        <f t="shared" si="170"/>
        <v>0.16094088517486846</v>
      </c>
      <c r="O294" s="624">
        <f t="shared" si="166"/>
        <v>0</v>
      </c>
      <c r="P294" s="626">
        <f t="shared" si="166"/>
        <v>0</v>
      </c>
      <c r="Q294" s="624">
        <f t="shared" si="166"/>
        <v>0.77536231884057971</v>
      </c>
      <c r="R294" s="357"/>
      <c r="S294" s="862">
        <f t="shared" si="171"/>
        <v>1464</v>
      </c>
      <c r="T294" s="862">
        <f t="shared" si="171"/>
        <v>578</v>
      </c>
      <c r="U294" s="862">
        <f t="shared" si="171"/>
        <v>677</v>
      </c>
      <c r="V294" s="862">
        <f t="shared" si="171"/>
        <v>784</v>
      </c>
      <c r="W294" s="862">
        <f t="shared" si="171"/>
        <v>744</v>
      </c>
      <c r="X294" s="862">
        <f t="shared" si="171"/>
        <v>722</v>
      </c>
      <c r="Y294" s="863">
        <f t="shared" si="171"/>
        <v>4969</v>
      </c>
      <c r="Z294" s="863">
        <f t="shared" si="171"/>
        <v>0</v>
      </c>
      <c r="AA294" s="862">
        <f t="shared" si="171"/>
        <v>0</v>
      </c>
      <c r="AB294" s="862">
        <f t="shared" si="171"/>
        <v>0</v>
      </c>
      <c r="AC294" s="862">
        <f t="shared" si="171"/>
        <v>0</v>
      </c>
      <c r="AD294" s="862">
        <f t="shared" si="171"/>
        <v>0</v>
      </c>
      <c r="AE294" s="863">
        <f t="shared" si="171"/>
        <v>2600</v>
      </c>
      <c r="AF294" s="859"/>
      <c r="AG294" s="858"/>
      <c r="AH294" s="863">
        <f t="shared" si="168"/>
        <v>214</v>
      </c>
    </row>
    <row r="295" spans="1:34">
      <c r="A295" s="884"/>
      <c r="B295" s="580" t="s">
        <v>131</v>
      </c>
      <c r="C295" s="806">
        <f t="shared" si="169"/>
        <v>0.17142857142857143</v>
      </c>
      <c r="D295" s="806">
        <f t="shared" si="165"/>
        <v>0.11247604112214672</v>
      </c>
      <c r="E295" s="806">
        <f t="shared" si="165"/>
        <v>7.0806881015768999E-2</v>
      </c>
      <c r="F295" s="806">
        <f t="shared" si="165"/>
        <v>6.5093623481781382E-2</v>
      </c>
      <c r="G295" s="806">
        <f t="shared" si="165"/>
        <v>6.199168624615941E-2</v>
      </c>
      <c r="H295" s="806">
        <f t="shared" si="165"/>
        <v>8.6411499247868964E-2</v>
      </c>
      <c r="I295" s="624">
        <f t="shared" si="165"/>
        <v>0.10927805711033109</v>
      </c>
      <c r="J295" s="624">
        <f t="shared" si="165"/>
        <v>0</v>
      </c>
      <c r="K295" s="625">
        <f t="shared" si="165"/>
        <v>0</v>
      </c>
      <c r="L295" s="625">
        <f t="shared" si="165"/>
        <v>0</v>
      </c>
      <c r="M295" s="625">
        <f t="shared" si="165"/>
        <v>0</v>
      </c>
      <c r="N295" s="624">
        <f t="shared" si="170"/>
        <v>6.1405137728257508E-2</v>
      </c>
      <c r="O295" s="624">
        <f t="shared" si="166"/>
        <v>0</v>
      </c>
      <c r="P295" s="626">
        <f t="shared" si="166"/>
        <v>0</v>
      </c>
      <c r="Q295" s="624">
        <f t="shared" si="166"/>
        <v>4.710144927536232E-2</v>
      </c>
      <c r="R295" s="357"/>
      <c r="S295" s="862">
        <f t="shared" si="171"/>
        <v>6096</v>
      </c>
      <c r="T295" s="862">
        <f t="shared" si="171"/>
        <v>1291</v>
      </c>
      <c r="U295" s="862">
        <f t="shared" si="171"/>
        <v>1383</v>
      </c>
      <c r="V295" s="862">
        <f t="shared" si="171"/>
        <v>1029</v>
      </c>
      <c r="W295" s="862">
        <f t="shared" si="171"/>
        <v>686</v>
      </c>
      <c r="X295" s="862">
        <f t="shared" si="171"/>
        <v>1034</v>
      </c>
      <c r="Y295" s="863">
        <f t="shared" si="171"/>
        <v>11519</v>
      </c>
      <c r="Z295" s="863">
        <f t="shared" si="171"/>
        <v>0</v>
      </c>
      <c r="AA295" s="862">
        <f t="shared" si="171"/>
        <v>0</v>
      </c>
      <c r="AB295" s="862">
        <f t="shared" si="171"/>
        <v>0</v>
      </c>
      <c r="AC295" s="862">
        <f t="shared" si="171"/>
        <v>0</v>
      </c>
      <c r="AD295" s="862">
        <f t="shared" si="171"/>
        <v>0</v>
      </c>
      <c r="AE295" s="863">
        <f t="shared" si="171"/>
        <v>992</v>
      </c>
      <c r="AF295" s="859"/>
      <c r="AG295" s="858"/>
      <c r="AH295" s="863">
        <f t="shared" si="168"/>
        <v>13</v>
      </c>
    </row>
    <row r="296" spans="1:34">
      <c r="A296" s="885" t="s">
        <v>86</v>
      </c>
      <c r="B296" s="436" t="s">
        <v>59</v>
      </c>
      <c r="C296" s="807">
        <f t="shared" si="169"/>
        <v>1</v>
      </c>
      <c r="D296" s="808">
        <f t="shared" si="165"/>
        <v>1</v>
      </c>
      <c r="E296" s="808">
        <f t="shared" si="165"/>
        <v>1</v>
      </c>
      <c r="F296" s="808">
        <f t="shared" si="165"/>
        <v>1</v>
      </c>
      <c r="G296" s="808">
        <f t="shared" si="165"/>
        <v>1</v>
      </c>
      <c r="H296" s="809">
        <f t="shared" si="165"/>
        <v>1</v>
      </c>
      <c r="I296" s="577">
        <f t="shared" si="165"/>
        <v>1</v>
      </c>
      <c r="J296" s="577">
        <f t="shared" si="165"/>
        <v>0</v>
      </c>
      <c r="K296" s="578">
        <f t="shared" si="165"/>
        <v>0</v>
      </c>
      <c r="L296" s="578">
        <f t="shared" si="165"/>
        <v>0</v>
      </c>
      <c r="M296" s="578">
        <f t="shared" si="165"/>
        <v>0</v>
      </c>
      <c r="N296" s="577">
        <f t="shared" si="170"/>
        <v>1</v>
      </c>
      <c r="O296" s="577">
        <f t="shared" si="166"/>
        <v>0</v>
      </c>
      <c r="P296" s="579">
        <f t="shared" si="166"/>
        <v>0</v>
      </c>
      <c r="Q296" s="577">
        <f t="shared" si="166"/>
        <v>1</v>
      </c>
      <c r="R296" s="357"/>
      <c r="S296" s="862">
        <f t="shared" si="171"/>
        <v>35560</v>
      </c>
      <c r="T296" s="862">
        <f t="shared" si="171"/>
        <v>11478</v>
      </c>
      <c r="U296" s="862">
        <f t="shared" si="171"/>
        <v>19532</v>
      </c>
      <c r="V296" s="862">
        <f t="shared" si="171"/>
        <v>15808</v>
      </c>
      <c r="W296" s="862">
        <f t="shared" si="171"/>
        <v>11066</v>
      </c>
      <c r="X296" s="862">
        <f t="shared" si="171"/>
        <v>11966</v>
      </c>
      <c r="Y296" s="863">
        <f t="shared" si="171"/>
        <v>105410</v>
      </c>
      <c r="Z296" s="863">
        <f t="shared" si="171"/>
        <v>0</v>
      </c>
      <c r="AA296" s="862">
        <f t="shared" si="171"/>
        <v>0</v>
      </c>
      <c r="AB296" s="862">
        <f t="shared" si="171"/>
        <v>0</v>
      </c>
      <c r="AC296" s="862">
        <f t="shared" si="171"/>
        <v>0</v>
      </c>
      <c r="AD296" s="862">
        <f t="shared" si="171"/>
        <v>0</v>
      </c>
      <c r="AE296" s="863">
        <f t="shared" si="171"/>
        <v>16155</v>
      </c>
      <c r="AF296" s="859"/>
      <c r="AG296" s="858"/>
      <c r="AH296" s="863">
        <f t="shared" si="168"/>
        <v>276</v>
      </c>
    </row>
    <row r="297" spans="1:34">
      <c r="A297" s="882" t="s">
        <v>140</v>
      </c>
      <c r="B297" s="240" t="s">
        <v>53</v>
      </c>
      <c r="C297" s="806">
        <f>IF(S$302&gt;0,(S297/S$302),0)</f>
        <v>0.4101694915254237</v>
      </c>
      <c r="D297" s="806">
        <f t="shared" ref="D297:M302" si="172">IF(T$302&gt;0,(T297/T$302),0)</f>
        <v>0</v>
      </c>
      <c r="E297" s="806">
        <f t="shared" si="172"/>
        <v>0.32298447671507263</v>
      </c>
      <c r="F297" s="806">
        <f t="shared" si="172"/>
        <v>0.3025682182985554</v>
      </c>
      <c r="G297" s="806">
        <f t="shared" si="172"/>
        <v>0.38910505836575876</v>
      </c>
      <c r="H297" s="806">
        <f t="shared" si="172"/>
        <v>0.32458233890214799</v>
      </c>
      <c r="I297" s="613">
        <f t="shared" si="172"/>
        <v>0.35701247337998177</v>
      </c>
      <c r="J297" s="613">
        <f t="shared" si="172"/>
        <v>0</v>
      </c>
      <c r="K297" s="614">
        <f t="shared" si="172"/>
        <v>0</v>
      </c>
      <c r="L297" s="614">
        <f t="shared" si="172"/>
        <v>0</v>
      </c>
      <c r="M297" s="614">
        <f t="shared" si="172"/>
        <v>0</v>
      </c>
      <c r="N297" s="613">
        <f>IF(AE$302&gt;0,(AE297/AE$302),0)</f>
        <v>0.44663212435233163</v>
      </c>
      <c r="O297" s="613">
        <f t="shared" ref="O297:Q302" si="173">IF(AF$302&gt;0,(AF297/AF$302),0)</f>
        <v>0</v>
      </c>
      <c r="P297" s="615">
        <f t="shared" si="173"/>
        <v>0</v>
      </c>
      <c r="Q297" s="613">
        <f t="shared" si="173"/>
        <v>0.3</v>
      </c>
      <c r="R297" s="799"/>
      <c r="S297" s="856">
        <v>1089</v>
      </c>
      <c r="T297" s="856"/>
      <c r="U297" s="856">
        <v>645</v>
      </c>
      <c r="V297" s="856">
        <v>377</v>
      </c>
      <c r="W297" s="856">
        <v>100</v>
      </c>
      <c r="X297" s="856">
        <v>136</v>
      </c>
      <c r="Y297" s="857">
        <v>2347</v>
      </c>
      <c r="Z297" s="857"/>
      <c r="AA297" s="856"/>
      <c r="AB297" s="856"/>
      <c r="AC297" s="856"/>
      <c r="AD297" s="856"/>
      <c r="AE297" s="857">
        <v>431</v>
      </c>
      <c r="AF297" s="857"/>
      <c r="AG297" s="856"/>
      <c r="AH297" s="857">
        <v>9</v>
      </c>
    </row>
    <row r="298" spans="1:34">
      <c r="A298" s="883"/>
      <c r="B298" s="239" t="s">
        <v>93</v>
      </c>
      <c r="C298" s="806">
        <f t="shared" ref="C298:C302" si="174">IF(S$302&gt;0,(S298/S$302),0)</f>
        <v>0.23126177024482109</v>
      </c>
      <c r="D298" s="806">
        <f t="shared" si="172"/>
        <v>0</v>
      </c>
      <c r="E298" s="806">
        <f t="shared" si="172"/>
        <v>0.31597396094141211</v>
      </c>
      <c r="F298" s="806">
        <f t="shared" si="172"/>
        <v>0.2752808988764045</v>
      </c>
      <c r="G298" s="806">
        <f t="shared" si="172"/>
        <v>0.19844357976653695</v>
      </c>
      <c r="H298" s="806">
        <f t="shared" si="172"/>
        <v>0.29832935560859186</v>
      </c>
      <c r="I298" s="624">
        <f t="shared" si="172"/>
        <v>0.26832978399756618</v>
      </c>
      <c r="J298" s="624">
        <f t="shared" si="172"/>
        <v>0</v>
      </c>
      <c r="K298" s="625">
        <f t="shared" si="172"/>
        <v>0</v>
      </c>
      <c r="L298" s="625">
        <f t="shared" si="172"/>
        <v>0</v>
      </c>
      <c r="M298" s="625">
        <f t="shared" si="172"/>
        <v>0</v>
      </c>
      <c r="N298" s="624">
        <f t="shared" ref="N298:N302" si="175">IF(AE$302&gt;0,(AE298/AE$302),0)</f>
        <v>0.17720207253886011</v>
      </c>
      <c r="O298" s="624">
        <f t="shared" si="173"/>
        <v>0</v>
      </c>
      <c r="P298" s="626">
        <f t="shared" si="173"/>
        <v>0</v>
      </c>
      <c r="Q298" s="624">
        <f t="shared" si="173"/>
        <v>0.2</v>
      </c>
      <c r="R298" s="357"/>
      <c r="S298" s="858">
        <v>614</v>
      </c>
      <c r="T298" s="858"/>
      <c r="U298" s="858">
        <v>631</v>
      </c>
      <c r="V298" s="858">
        <v>343</v>
      </c>
      <c r="W298" s="858">
        <v>51</v>
      </c>
      <c r="X298" s="858">
        <v>125</v>
      </c>
      <c r="Y298" s="859">
        <v>1764</v>
      </c>
      <c r="Z298" s="859"/>
      <c r="AA298" s="858"/>
      <c r="AB298" s="858"/>
      <c r="AC298" s="858"/>
      <c r="AD298" s="858"/>
      <c r="AE298" s="859">
        <v>171</v>
      </c>
      <c r="AF298" s="859"/>
      <c r="AG298" s="858"/>
      <c r="AH298" s="859">
        <v>6</v>
      </c>
    </row>
    <row r="299" spans="1:34">
      <c r="A299" s="883"/>
      <c r="B299" s="239" t="s">
        <v>55</v>
      </c>
      <c r="C299" s="806">
        <f t="shared" si="174"/>
        <v>0.24745762711864408</v>
      </c>
      <c r="D299" s="806">
        <f t="shared" si="172"/>
        <v>0</v>
      </c>
      <c r="E299" s="806">
        <f t="shared" si="172"/>
        <v>0.28092138207310968</v>
      </c>
      <c r="F299" s="806">
        <f t="shared" si="172"/>
        <v>0.3202247191011236</v>
      </c>
      <c r="G299" s="806">
        <f t="shared" si="172"/>
        <v>0.20622568093385213</v>
      </c>
      <c r="H299" s="806">
        <f t="shared" si="172"/>
        <v>0.22195704057279236</v>
      </c>
      <c r="I299" s="624">
        <f t="shared" si="172"/>
        <v>0.26817766960754486</v>
      </c>
      <c r="J299" s="624">
        <f t="shared" si="172"/>
        <v>0</v>
      </c>
      <c r="K299" s="625">
        <f t="shared" si="172"/>
        <v>0</v>
      </c>
      <c r="L299" s="625">
        <f t="shared" si="172"/>
        <v>0</v>
      </c>
      <c r="M299" s="625">
        <f t="shared" si="172"/>
        <v>0</v>
      </c>
      <c r="N299" s="624">
        <f t="shared" si="175"/>
        <v>0.21761658031088082</v>
      </c>
      <c r="O299" s="624">
        <f t="shared" si="173"/>
        <v>0</v>
      </c>
      <c r="P299" s="626">
        <f t="shared" si="173"/>
        <v>0</v>
      </c>
      <c r="Q299" s="624">
        <f t="shared" si="173"/>
        <v>0.16666666666666666</v>
      </c>
      <c r="R299" s="357"/>
      <c r="S299" s="858">
        <v>657</v>
      </c>
      <c r="T299" s="858"/>
      <c r="U299" s="858">
        <v>561</v>
      </c>
      <c r="V299" s="858">
        <v>399</v>
      </c>
      <c r="W299" s="858">
        <v>53</v>
      </c>
      <c r="X299" s="858">
        <v>93</v>
      </c>
      <c r="Y299" s="859">
        <v>1763</v>
      </c>
      <c r="Z299" s="859"/>
      <c r="AA299" s="858"/>
      <c r="AB299" s="858"/>
      <c r="AC299" s="858"/>
      <c r="AD299" s="858"/>
      <c r="AE299" s="859">
        <v>210</v>
      </c>
      <c r="AF299" s="859"/>
      <c r="AG299" s="858"/>
      <c r="AH299" s="859">
        <v>5</v>
      </c>
    </row>
    <row r="300" spans="1:34">
      <c r="A300" s="883"/>
      <c r="B300" s="239" t="s">
        <v>78</v>
      </c>
      <c r="C300" s="806">
        <f t="shared" si="174"/>
        <v>1.5065913370998116E-2</v>
      </c>
      <c r="D300" s="806">
        <f t="shared" si="172"/>
        <v>0</v>
      </c>
      <c r="E300" s="806">
        <f t="shared" si="172"/>
        <v>3.0545818728092138E-2</v>
      </c>
      <c r="F300" s="806">
        <f t="shared" si="172"/>
        <v>2.1669341894060994E-2</v>
      </c>
      <c r="G300" s="806">
        <f t="shared" si="172"/>
        <v>3.8910505836575876E-3</v>
      </c>
      <c r="H300" s="806">
        <f t="shared" si="172"/>
        <v>1.4319809069212411E-2</v>
      </c>
      <c r="I300" s="624">
        <f t="shared" si="172"/>
        <v>2.0535442652874963E-2</v>
      </c>
      <c r="J300" s="624">
        <f t="shared" si="172"/>
        <v>0</v>
      </c>
      <c r="K300" s="625">
        <f t="shared" si="172"/>
        <v>0</v>
      </c>
      <c r="L300" s="625">
        <f t="shared" si="172"/>
        <v>0</v>
      </c>
      <c r="M300" s="625">
        <f t="shared" si="172"/>
        <v>0</v>
      </c>
      <c r="N300" s="624">
        <f t="shared" si="175"/>
        <v>0.10673575129533679</v>
      </c>
      <c r="O300" s="624">
        <f t="shared" si="173"/>
        <v>0</v>
      </c>
      <c r="P300" s="626">
        <f t="shared" si="173"/>
        <v>0</v>
      </c>
      <c r="Q300" s="624">
        <f t="shared" si="173"/>
        <v>0.2</v>
      </c>
      <c r="R300" s="357"/>
      <c r="S300" s="858">
        <v>40</v>
      </c>
      <c r="T300" s="858"/>
      <c r="U300" s="858">
        <v>61</v>
      </c>
      <c r="V300" s="858">
        <v>27</v>
      </c>
      <c r="W300" s="858">
        <v>1</v>
      </c>
      <c r="X300" s="858">
        <v>6</v>
      </c>
      <c r="Y300" s="859">
        <v>135</v>
      </c>
      <c r="Z300" s="859"/>
      <c r="AA300" s="858"/>
      <c r="AB300" s="858"/>
      <c r="AC300" s="858"/>
      <c r="AD300" s="858"/>
      <c r="AE300" s="859">
        <v>103</v>
      </c>
      <c r="AF300" s="859"/>
      <c r="AG300" s="858"/>
      <c r="AH300" s="859">
        <v>6</v>
      </c>
    </row>
    <row r="301" spans="1:34">
      <c r="A301" s="884"/>
      <c r="B301" s="580" t="s">
        <v>131</v>
      </c>
      <c r="C301" s="806">
        <f t="shared" si="174"/>
        <v>9.6045197740112997E-2</v>
      </c>
      <c r="D301" s="806">
        <f t="shared" si="172"/>
        <v>0</v>
      </c>
      <c r="E301" s="806">
        <f t="shared" si="172"/>
        <v>4.9574361542313469E-2</v>
      </c>
      <c r="F301" s="806">
        <f t="shared" si="172"/>
        <v>8.0256821829855537E-2</v>
      </c>
      <c r="G301" s="806">
        <f t="shared" si="172"/>
        <v>0.20233463035019456</v>
      </c>
      <c r="H301" s="806">
        <f t="shared" si="172"/>
        <v>0.14081145584725538</v>
      </c>
      <c r="I301" s="624">
        <f t="shared" si="172"/>
        <v>8.5944630362032245E-2</v>
      </c>
      <c r="J301" s="624">
        <f t="shared" si="172"/>
        <v>0</v>
      </c>
      <c r="K301" s="625">
        <f t="shared" si="172"/>
        <v>0</v>
      </c>
      <c r="L301" s="625">
        <f t="shared" si="172"/>
        <v>0</v>
      </c>
      <c r="M301" s="625">
        <f t="shared" si="172"/>
        <v>0</v>
      </c>
      <c r="N301" s="624">
        <f t="shared" si="175"/>
        <v>5.181347150259067E-2</v>
      </c>
      <c r="O301" s="624">
        <f t="shared" si="173"/>
        <v>0</v>
      </c>
      <c r="P301" s="626">
        <f t="shared" si="173"/>
        <v>0</v>
      </c>
      <c r="Q301" s="624">
        <f t="shared" si="173"/>
        <v>0.13333333333333333</v>
      </c>
      <c r="R301" s="357"/>
      <c r="S301" s="858">
        <v>255</v>
      </c>
      <c r="T301" s="858"/>
      <c r="U301" s="858">
        <v>99</v>
      </c>
      <c r="V301" s="858">
        <f>2+98</f>
        <v>100</v>
      </c>
      <c r="W301" s="858">
        <f>0+52</f>
        <v>52</v>
      </c>
      <c r="X301" s="858">
        <f>37+22</f>
        <v>59</v>
      </c>
      <c r="Y301" s="859">
        <f>393+172</f>
        <v>565</v>
      </c>
      <c r="Z301" s="859"/>
      <c r="AA301" s="858"/>
      <c r="AB301" s="858"/>
      <c r="AC301" s="858"/>
      <c r="AD301" s="858"/>
      <c r="AE301" s="859">
        <v>50</v>
      </c>
      <c r="AF301" s="859"/>
      <c r="AG301" s="858"/>
      <c r="AH301" s="859">
        <v>4</v>
      </c>
    </row>
    <row r="302" spans="1:34">
      <c r="A302" s="885"/>
      <c r="B302" s="436" t="s">
        <v>59</v>
      </c>
      <c r="C302" s="807">
        <f t="shared" si="174"/>
        <v>1</v>
      </c>
      <c r="D302" s="808">
        <f t="shared" si="172"/>
        <v>0</v>
      </c>
      <c r="E302" s="808">
        <f t="shared" si="172"/>
        <v>1</v>
      </c>
      <c r="F302" s="808">
        <f t="shared" si="172"/>
        <v>1</v>
      </c>
      <c r="G302" s="808">
        <f t="shared" si="172"/>
        <v>1</v>
      </c>
      <c r="H302" s="809">
        <f t="shared" si="172"/>
        <v>1</v>
      </c>
      <c r="I302" s="577">
        <f t="shared" si="172"/>
        <v>1</v>
      </c>
      <c r="J302" s="577">
        <f t="shared" si="172"/>
        <v>0</v>
      </c>
      <c r="K302" s="578">
        <f t="shared" si="172"/>
        <v>0</v>
      </c>
      <c r="L302" s="578">
        <f t="shared" si="172"/>
        <v>0</v>
      </c>
      <c r="M302" s="578">
        <f t="shared" si="172"/>
        <v>0</v>
      </c>
      <c r="N302" s="577">
        <f t="shared" si="175"/>
        <v>1</v>
      </c>
      <c r="O302" s="577">
        <f t="shared" si="173"/>
        <v>0</v>
      </c>
      <c r="P302" s="579">
        <f t="shared" si="173"/>
        <v>0</v>
      </c>
      <c r="Q302" s="577">
        <f t="shared" si="173"/>
        <v>1</v>
      </c>
      <c r="R302" s="357"/>
      <c r="S302" s="858">
        <v>2655</v>
      </c>
      <c r="T302" s="858"/>
      <c r="U302" s="858">
        <v>1997</v>
      </c>
      <c r="V302" s="858">
        <v>1246</v>
      </c>
      <c r="W302" s="858">
        <v>257</v>
      </c>
      <c r="X302" s="858">
        <v>419</v>
      </c>
      <c r="Y302" s="859">
        <v>6574</v>
      </c>
      <c r="Z302" s="859"/>
      <c r="AA302" s="858"/>
      <c r="AB302" s="858"/>
      <c r="AC302" s="858"/>
      <c r="AD302" s="858"/>
      <c r="AE302" s="859">
        <v>965</v>
      </c>
      <c r="AF302" s="859"/>
      <c r="AG302" s="858"/>
      <c r="AH302" s="859">
        <v>30</v>
      </c>
    </row>
    <row r="303" spans="1:34">
      <c r="A303" s="882" t="s">
        <v>148</v>
      </c>
      <c r="B303" s="240" t="s">
        <v>53</v>
      </c>
      <c r="C303" s="806">
        <f>IF(S$308&gt;0,(S303/S$308),0)</f>
        <v>0</v>
      </c>
      <c r="D303" s="806">
        <f t="shared" ref="D303:M308" si="176">IF(T$308&gt;0,(T303/T$308),0)</f>
        <v>0.40534979423868311</v>
      </c>
      <c r="E303" s="806">
        <f t="shared" si="176"/>
        <v>0.34020618556701032</v>
      </c>
      <c r="F303" s="806">
        <f t="shared" si="176"/>
        <v>6.3380281690140844E-2</v>
      </c>
      <c r="G303" s="806">
        <f t="shared" si="176"/>
        <v>0.15561959654178675</v>
      </c>
      <c r="H303" s="806">
        <f t="shared" si="176"/>
        <v>0.3263888888888889</v>
      </c>
      <c r="I303" s="613">
        <f t="shared" si="176"/>
        <v>0.30093896713615026</v>
      </c>
      <c r="J303" s="613">
        <f t="shared" si="176"/>
        <v>0</v>
      </c>
      <c r="K303" s="614">
        <f t="shared" si="176"/>
        <v>0</v>
      </c>
      <c r="L303" s="614">
        <f t="shared" si="176"/>
        <v>0</v>
      </c>
      <c r="M303" s="614">
        <f t="shared" si="176"/>
        <v>0</v>
      </c>
      <c r="N303" s="613">
        <f>IF(AE$308&gt;0,(AE303/AE$308),0)</f>
        <v>0.11838790931989925</v>
      </c>
      <c r="O303" s="613">
        <f t="shared" ref="O303:Q308" si="177">IF(AF$308&gt;0,(AF303/AF$308),0)</f>
        <v>0</v>
      </c>
      <c r="P303" s="615">
        <f t="shared" si="177"/>
        <v>0</v>
      </c>
      <c r="Q303" s="613">
        <f t="shared" si="177"/>
        <v>0</v>
      </c>
      <c r="R303" s="799"/>
      <c r="S303" s="856"/>
      <c r="T303" s="856">
        <v>197</v>
      </c>
      <c r="U303" s="856">
        <v>99</v>
      </c>
      <c r="V303" s="856">
        <v>9</v>
      </c>
      <c r="W303" s="856">
        <v>54</v>
      </c>
      <c r="X303" s="856">
        <v>282</v>
      </c>
      <c r="Y303" s="857">
        <v>641</v>
      </c>
      <c r="Z303" s="857"/>
      <c r="AA303" s="856"/>
      <c r="AB303" s="856"/>
      <c r="AC303" s="856"/>
      <c r="AD303" s="856"/>
      <c r="AE303" s="857">
        <v>47</v>
      </c>
      <c r="AF303" s="857"/>
      <c r="AG303" s="856"/>
      <c r="AH303" s="857"/>
    </row>
    <row r="304" spans="1:34">
      <c r="A304" s="883"/>
      <c r="B304" s="239" t="s">
        <v>93</v>
      </c>
      <c r="C304" s="806">
        <f t="shared" ref="C304:C308" si="178">IF(S$308&gt;0,(S304/S$308),0)</f>
        <v>0</v>
      </c>
      <c r="D304" s="806">
        <f t="shared" si="176"/>
        <v>0.30041152263374488</v>
      </c>
      <c r="E304" s="806">
        <f t="shared" si="176"/>
        <v>0.45017182130584193</v>
      </c>
      <c r="F304" s="806">
        <f t="shared" si="176"/>
        <v>0.26056338028169013</v>
      </c>
      <c r="G304" s="806">
        <f t="shared" si="176"/>
        <v>0.29394812680115273</v>
      </c>
      <c r="H304" s="806">
        <f t="shared" si="176"/>
        <v>0.28009259259259262</v>
      </c>
      <c r="I304" s="624">
        <f t="shared" si="176"/>
        <v>0.30892018779342723</v>
      </c>
      <c r="J304" s="624">
        <f t="shared" si="176"/>
        <v>0</v>
      </c>
      <c r="K304" s="625">
        <f t="shared" si="176"/>
        <v>0</v>
      </c>
      <c r="L304" s="625">
        <f t="shared" si="176"/>
        <v>0</v>
      </c>
      <c r="M304" s="625">
        <f t="shared" si="176"/>
        <v>0</v>
      </c>
      <c r="N304" s="624">
        <f t="shared" ref="N304:N308" si="179">IF(AE$308&gt;0,(AE304/AE$308),0)</f>
        <v>7.3047858942065488E-2</v>
      </c>
      <c r="O304" s="624">
        <f t="shared" si="177"/>
        <v>0</v>
      </c>
      <c r="P304" s="626">
        <f t="shared" si="177"/>
        <v>0</v>
      </c>
      <c r="Q304" s="624">
        <f t="shared" si="177"/>
        <v>0</v>
      </c>
      <c r="R304" s="357"/>
      <c r="S304" s="858"/>
      <c r="T304" s="858">
        <v>146</v>
      </c>
      <c r="U304" s="858">
        <v>131</v>
      </c>
      <c r="V304" s="858">
        <v>37</v>
      </c>
      <c r="W304" s="858">
        <v>102</v>
      </c>
      <c r="X304" s="858">
        <v>242</v>
      </c>
      <c r="Y304" s="859">
        <v>658</v>
      </c>
      <c r="Z304" s="859"/>
      <c r="AA304" s="858"/>
      <c r="AB304" s="858"/>
      <c r="AC304" s="858"/>
      <c r="AD304" s="858"/>
      <c r="AE304" s="859">
        <v>29</v>
      </c>
      <c r="AF304" s="859"/>
      <c r="AG304" s="858"/>
      <c r="AH304" s="859"/>
    </row>
    <row r="305" spans="1:34">
      <c r="A305" s="883"/>
      <c r="B305" s="239" t="s">
        <v>55</v>
      </c>
      <c r="C305" s="806">
        <f t="shared" si="178"/>
        <v>0</v>
      </c>
      <c r="D305" s="806">
        <f t="shared" si="176"/>
        <v>0.13991769547325103</v>
      </c>
      <c r="E305" s="806">
        <f t="shared" si="176"/>
        <v>8.5910652920962199E-2</v>
      </c>
      <c r="F305" s="806">
        <f t="shared" si="176"/>
        <v>0.44366197183098594</v>
      </c>
      <c r="G305" s="806">
        <f t="shared" si="176"/>
        <v>0.34870317002881845</v>
      </c>
      <c r="H305" s="806">
        <f t="shared" si="176"/>
        <v>0.30092592592592593</v>
      </c>
      <c r="I305" s="624">
        <f t="shared" si="176"/>
        <v>0.25211267605633803</v>
      </c>
      <c r="J305" s="624">
        <f t="shared" si="176"/>
        <v>0</v>
      </c>
      <c r="K305" s="625">
        <f t="shared" si="176"/>
        <v>0</v>
      </c>
      <c r="L305" s="625">
        <f t="shared" si="176"/>
        <v>0</v>
      </c>
      <c r="M305" s="625">
        <f t="shared" si="176"/>
        <v>0</v>
      </c>
      <c r="N305" s="624">
        <f t="shared" si="179"/>
        <v>0.11335012594458438</v>
      </c>
      <c r="O305" s="624">
        <f t="shared" si="177"/>
        <v>0</v>
      </c>
      <c r="P305" s="626">
        <f t="shared" si="177"/>
        <v>0</v>
      </c>
      <c r="Q305" s="624">
        <f t="shared" si="177"/>
        <v>0</v>
      </c>
      <c r="R305" s="357"/>
      <c r="S305" s="858"/>
      <c r="T305" s="858">
        <v>68</v>
      </c>
      <c r="U305" s="858">
        <v>25</v>
      </c>
      <c r="V305" s="858">
        <v>63</v>
      </c>
      <c r="W305" s="858">
        <v>121</v>
      </c>
      <c r="X305" s="858">
        <v>260</v>
      </c>
      <c r="Y305" s="859">
        <v>537</v>
      </c>
      <c r="Z305" s="859"/>
      <c r="AA305" s="858"/>
      <c r="AB305" s="858"/>
      <c r="AC305" s="858"/>
      <c r="AD305" s="858"/>
      <c r="AE305" s="859">
        <v>45</v>
      </c>
      <c r="AF305" s="859"/>
      <c r="AG305" s="858"/>
      <c r="AH305" s="859"/>
    </row>
    <row r="306" spans="1:34">
      <c r="A306" s="883"/>
      <c r="B306" s="239" t="s">
        <v>78</v>
      </c>
      <c r="C306" s="806">
        <f t="shared" si="178"/>
        <v>0</v>
      </c>
      <c r="D306" s="806">
        <f t="shared" si="176"/>
        <v>1.646090534979424E-2</v>
      </c>
      <c r="E306" s="806">
        <f t="shared" si="176"/>
        <v>1.0309278350515464E-2</v>
      </c>
      <c r="F306" s="806">
        <f t="shared" si="176"/>
        <v>0.22535211267605634</v>
      </c>
      <c r="G306" s="806">
        <f t="shared" si="176"/>
        <v>3.7463976945244955E-2</v>
      </c>
      <c r="H306" s="806">
        <f t="shared" si="176"/>
        <v>2.4305555555555556E-2</v>
      </c>
      <c r="I306" s="624">
        <f t="shared" si="176"/>
        <v>3.615023474178404E-2</v>
      </c>
      <c r="J306" s="624">
        <f t="shared" si="176"/>
        <v>0</v>
      </c>
      <c r="K306" s="625">
        <f t="shared" si="176"/>
        <v>0</v>
      </c>
      <c r="L306" s="625">
        <f t="shared" si="176"/>
        <v>0</v>
      </c>
      <c r="M306" s="625">
        <f t="shared" si="176"/>
        <v>0</v>
      </c>
      <c r="N306" s="624">
        <f t="shared" si="179"/>
        <v>0.69269521410579349</v>
      </c>
      <c r="O306" s="624">
        <f t="shared" si="177"/>
        <v>0</v>
      </c>
      <c r="P306" s="626">
        <f t="shared" si="177"/>
        <v>0</v>
      </c>
      <c r="Q306" s="624">
        <f t="shared" si="177"/>
        <v>1</v>
      </c>
      <c r="R306" s="357"/>
      <c r="S306" s="858"/>
      <c r="T306" s="858">
        <v>8</v>
      </c>
      <c r="U306" s="858">
        <v>3</v>
      </c>
      <c r="V306" s="858">
        <v>32</v>
      </c>
      <c r="W306" s="858">
        <v>13</v>
      </c>
      <c r="X306" s="858">
        <v>21</v>
      </c>
      <c r="Y306" s="859">
        <v>77</v>
      </c>
      <c r="Z306" s="859"/>
      <c r="AA306" s="858"/>
      <c r="AB306" s="858"/>
      <c r="AC306" s="858"/>
      <c r="AD306" s="858"/>
      <c r="AE306" s="859">
        <v>275</v>
      </c>
      <c r="AF306" s="859"/>
      <c r="AG306" s="858"/>
      <c r="AH306" s="859">
        <v>24</v>
      </c>
    </row>
    <row r="307" spans="1:34">
      <c r="A307" s="884"/>
      <c r="B307" s="580" t="s">
        <v>131</v>
      </c>
      <c r="C307" s="806">
        <f t="shared" si="178"/>
        <v>0</v>
      </c>
      <c r="D307" s="806">
        <f t="shared" si="176"/>
        <v>0.13786008230452676</v>
      </c>
      <c r="E307" s="806">
        <f t="shared" si="176"/>
        <v>0.1134020618556701</v>
      </c>
      <c r="F307" s="806">
        <f t="shared" si="176"/>
        <v>7.0422535211267607E-3</v>
      </c>
      <c r="G307" s="806">
        <f t="shared" si="176"/>
        <v>0.16426512968299711</v>
      </c>
      <c r="H307" s="806">
        <f t="shared" si="176"/>
        <v>6.8287037037037035E-2</v>
      </c>
      <c r="I307" s="624">
        <f t="shared" si="176"/>
        <v>0.10187793427230046</v>
      </c>
      <c r="J307" s="624">
        <f t="shared" si="176"/>
        <v>0</v>
      </c>
      <c r="K307" s="625">
        <f t="shared" si="176"/>
        <v>0</v>
      </c>
      <c r="L307" s="625">
        <f t="shared" si="176"/>
        <v>0</v>
      </c>
      <c r="M307" s="625">
        <f t="shared" si="176"/>
        <v>0</v>
      </c>
      <c r="N307" s="624">
        <f t="shared" si="179"/>
        <v>2.5188916876574307E-3</v>
      </c>
      <c r="O307" s="624">
        <f t="shared" si="177"/>
        <v>0</v>
      </c>
      <c r="P307" s="626">
        <f t="shared" si="177"/>
        <v>0</v>
      </c>
      <c r="Q307" s="624">
        <f t="shared" si="177"/>
        <v>0</v>
      </c>
      <c r="R307" s="357"/>
      <c r="S307" s="858"/>
      <c r="T307" s="858">
        <v>67</v>
      </c>
      <c r="U307" s="858">
        <v>33</v>
      </c>
      <c r="V307" s="858">
        <f>0+1</f>
        <v>1</v>
      </c>
      <c r="W307" s="858">
        <f>46+11</f>
        <v>57</v>
      </c>
      <c r="X307" s="858">
        <f>58+1</f>
        <v>59</v>
      </c>
      <c r="Y307" s="859">
        <f>204+13</f>
        <v>217</v>
      </c>
      <c r="Z307" s="859"/>
      <c r="AA307" s="858"/>
      <c r="AB307" s="858"/>
      <c r="AC307" s="858"/>
      <c r="AD307" s="858"/>
      <c r="AE307" s="859">
        <v>1</v>
      </c>
      <c r="AF307" s="859"/>
      <c r="AG307" s="858"/>
      <c r="AH307" s="859"/>
    </row>
    <row r="308" spans="1:34">
      <c r="A308" s="885"/>
      <c r="B308" s="436" t="s">
        <v>59</v>
      </c>
      <c r="C308" s="807">
        <f t="shared" si="178"/>
        <v>0</v>
      </c>
      <c r="D308" s="808">
        <f t="shared" si="176"/>
        <v>1</v>
      </c>
      <c r="E308" s="808">
        <f t="shared" si="176"/>
        <v>1</v>
      </c>
      <c r="F308" s="808">
        <f t="shared" si="176"/>
        <v>1</v>
      </c>
      <c r="G308" s="808">
        <f t="shared" si="176"/>
        <v>1</v>
      </c>
      <c r="H308" s="809">
        <f t="shared" si="176"/>
        <v>1</v>
      </c>
      <c r="I308" s="577">
        <f t="shared" si="176"/>
        <v>1</v>
      </c>
      <c r="J308" s="577">
        <f t="shared" si="176"/>
        <v>0</v>
      </c>
      <c r="K308" s="578">
        <f t="shared" si="176"/>
        <v>0</v>
      </c>
      <c r="L308" s="578">
        <f t="shared" si="176"/>
        <v>0</v>
      </c>
      <c r="M308" s="578">
        <f t="shared" si="176"/>
        <v>0</v>
      </c>
      <c r="N308" s="577">
        <f t="shared" si="179"/>
        <v>1</v>
      </c>
      <c r="O308" s="577">
        <f t="shared" si="177"/>
        <v>0</v>
      </c>
      <c r="P308" s="579">
        <f t="shared" si="177"/>
        <v>0</v>
      </c>
      <c r="Q308" s="577">
        <f t="shared" si="177"/>
        <v>1</v>
      </c>
      <c r="R308" s="357"/>
      <c r="S308" s="858"/>
      <c r="T308" s="858">
        <v>486</v>
      </c>
      <c r="U308" s="858">
        <v>291</v>
      </c>
      <c r="V308" s="858">
        <v>142</v>
      </c>
      <c r="W308" s="858">
        <v>347</v>
      </c>
      <c r="X308" s="858">
        <v>864</v>
      </c>
      <c r="Y308" s="859">
        <v>2130</v>
      </c>
      <c r="Z308" s="859"/>
      <c r="AA308" s="858"/>
      <c r="AB308" s="858"/>
      <c r="AC308" s="858"/>
      <c r="AD308" s="858"/>
      <c r="AE308" s="859">
        <v>397</v>
      </c>
      <c r="AF308" s="859"/>
      <c r="AG308" s="858"/>
      <c r="AH308" s="859">
        <v>24</v>
      </c>
    </row>
    <row r="309" spans="1:34">
      <c r="A309" s="882" t="s">
        <v>147</v>
      </c>
      <c r="B309" s="240" t="s">
        <v>53</v>
      </c>
      <c r="C309" s="806">
        <f>IF(S$314&gt;0,(S309/S$314),0)</f>
        <v>0.38027789019290437</v>
      </c>
      <c r="D309" s="806">
        <f t="shared" ref="D309:M314" si="180">IF(T$314&gt;0,(T309/T$314),0)</f>
        <v>0.3683121489801951</v>
      </c>
      <c r="E309" s="806">
        <f t="shared" si="180"/>
        <v>0.330150068212824</v>
      </c>
      <c r="F309" s="806">
        <f t="shared" si="180"/>
        <v>0.31955353451839602</v>
      </c>
      <c r="G309" s="806">
        <f t="shared" si="180"/>
        <v>0.26607319485657766</v>
      </c>
      <c r="H309" s="806">
        <f t="shared" si="180"/>
        <v>0.33133612941881369</v>
      </c>
      <c r="I309" s="613">
        <f t="shared" si="180"/>
        <v>0.34906379272806443</v>
      </c>
      <c r="J309" s="613">
        <f t="shared" si="180"/>
        <v>0</v>
      </c>
      <c r="K309" s="614">
        <f t="shared" si="180"/>
        <v>0</v>
      </c>
      <c r="L309" s="614">
        <f t="shared" si="180"/>
        <v>0</v>
      </c>
      <c r="M309" s="614">
        <f t="shared" si="180"/>
        <v>0</v>
      </c>
      <c r="N309" s="613">
        <f>IF(AE$314&gt;0,(AE309/AE$314),0)</f>
        <v>0.513215859030837</v>
      </c>
      <c r="O309" s="613">
        <f t="shared" ref="O309:Q314" si="181">IF(AF$314&gt;0,(AF309/AF$314),0)</f>
        <v>0</v>
      </c>
      <c r="P309" s="615">
        <f t="shared" si="181"/>
        <v>0</v>
      </c>
      <c r="Q309" s="613">
        <f t="shared" si="181"/>
        <v>0</v>
      </c>
      <c r="R309" s="799"/>
      <c r="S309" s="856">
        <v>2819</v>
      </c>
      <c r="T309" s="856">
        <v>1246</v>
      </c>
      <c r="U309" s="856">
        <v>484</v>
      </c>
      <c r="V309" s="856">
        <v>773</v>
      </c>
      <c r="W309" s="856">
        <v>538</v>
      </c>
      <c r="X309" s="856">
        <v>553</v>
      </c>
      <c r="Y309" s="857">
        <v>6413</v>
      </c>
      <c r="Z309" s="857"/>
      <c r="AA309" s="856"/>
      <c r="AB309" s="856"/>
      <c r="AC309" s="856"/>
      <c r="AD309" s="856"/>
      <c r="AE309" s="857">
        <v>932</v>
      </c>
      <c r="AF309" s="857"/>
      <c r="AG309" s="856"/>
      <c r="AH309" s="857"/>
    </row>
    <row r="310" spans="1:34">
      <c r="A310" s="883"/>
      <c r="B310" s="239" t="s">
        <v>93</v>
      </c>
      <c r="C310" s="806">
        <f t="shared" ref="C310:C314" si="182">IF(S$314&gt;0,(S310/S$314),0)</f>
        <v>0.20652907055173345</v>
      </c>
      <c r="D310" s="806">
        <f t="shared" si="180"/>
        <v>0.2276086313922554</v>
      </c>
      <c r="E310" s="806">
        <f t="shared" si="180"/>
        <v>0.34583901773533426</v>
      </c>
      <c r="F310" s="806">
        <f t="shared" si="180"/>
        <v>0.27242662257131045</v>
      </c>
      <c r="G310" s="806">
        <f t="shared" si="180"/>
        <v>0.31404549950544014</v>
      </c>
      <c r="H310" s="806">
        <f t="shared" si="180"/>
        <v>0.24565608148591972</v>
      </c>
      <c r="I310" s="624">
        <f t="shared" si="180"/>
        <v>0.24559111691704769</v>
      </c>
      <c r="J310" s="624">
        <f t="shared" si="180"/>
        <v>0</v>
      </c>
      <c r="K310" s="625">
        <f t="shared" si="180"/>
        <v>0</v>
      </c>
      <c r="L310" s="625">
        <f t="shared" si="180"/>
        <v>0</v>
      </c>
      <c r="M310" s="625">
        <f t="shared" si="180"/>
        <v>0</v>
      </c>
      <c r="N310" s="624">
        <f t="shared" ref="N310:N314" si="183">IF(AE$314&gt;0,(AE310/AE$314),0)</f>
        <v>0.17511013215859031</v>
      </c>
      <c r="O310" s="624">
        <f t="shared" si="181"/>
        <v>0</v>
      </c>
      <c r="P310" s="626">
        <f t="shared" si="181"/>
        <v>0</v>
      </c>
      <c r="Q310" s="624">
        <f t="shared" si="181"/>
        <v>0</v>
      </c>
      <c r="R310" s="357"/>
      <c r="S310" s="858">
        <v>1531</v>
      </c>
      <c r="T310" s="858">
        <v>770</v>
      </c>
      <c r="U310" s="858">
        <v>507</v>
      </c>
      <c r="V310" s="858">
        <v>659</v>
      </c>
      <c r="W310" s="858">
        <v>635</v>
      </c>
      <c r="X310" s="858">
        <v>410</v>
      </c>
      <c r="Y310" s="859">
        <v>4512</v>
      </c>
      <c r="Z310" s="859"/>
      <c r="AA310" s="858"/>
      <c r="AB310" s="858"/>
      <c r="AC310" s="858"/>
      <c r="AD310" s="858"/>
      <c r="AE310" s="859">
        <v>318</v>
      </c>
      <c r="AF310" s="859"/>
      <c r="AG310" s="858"/>
      <c r="AH310" s="859"/>
    </row>
    <row r="311" spans="1:34">
      <c r="A311" s="883"/>
      <c r="B311" s="239" t="s">
        <v>55</v>
      </c>
      <c r="C311" s="806">
        <f t="shared" si="182"/>
        <v>0.18346148657763389</v>
      </c>
      <c r="D311" s="806">
        <f t="shared" si="180"/>
        <v>0.18001773573751109</v>
      </c>
      <c r="E311" s="806">
        <f t="shared" si="180"/>
        <v>0.22510231923601637</v>
      </c>
      <c r="F311" s="806">
        <f t="shared" si="180"/>
        <v>0.31707317073170732</v>
      </c>
      <c r="G311" s="806">
        <f t="shared" si="180"/>
        <v>0.31454005934718099</v>
      </c>
      <c r="H311" s="806">
        <f t="shared" si="180"/>
        <v>0.2720191731575794</v>
      </c>
      <c r="I311" s="624">
        <f t="shared" si="180"/>
        <v>0.22621380361419552</v>
      </c>
      <c r="J311" s="624">
        <f t="shared" si="180"/>
        <v>0</v>
      </c>
      <c r="K311" s="625">
        <f t="shared" si="180"/>
        <v>0</v>
      </c>
      <c r="L311" s="625">
        <f t="shared" si="180"/>
        <v>0</v>
      </c>
      <c r="M311" s="625">
        <f t="shared" si="180"/>
        <v>0</v>
      </c>
      <c r="N311" s="624">
        <f t="shared" si="183"/>
        <v>0.20704845814977973</v>
      </c>
      <c r="O311" s="624">
        <f t="shared" si="181"/>
        <v>0</v>
      </c>
      <c r="P311" s="626">
        <f t="shared" si="181"/>
        <v>0</v>
      </c>
      <c r="Q311" s="624">
        <f t="shared" si="181"/>
        <v>0</v>
      </c>
      <c r="R311" s="357"/>
      <c r="S311" s="858">
        <v>1360</v>
      </c>
      <c r="T311" s="858">
        <v>609</v>
      </c>
      <c r="U311" s="858">
        <v>330</v>
      </c>
      <c r="V311" s="858">
        <v>767</v>
      </c>
      <c r="W311" s="858">
        <v>636</v>
      </c>
      <c r="X311" s="858">
        <v>454</v>
      </c>
      <c r="Y311" s="859">
        <v>4156</v>
      </c>
      <c r="Z311" s="859"/>
      <c r="AA311" s="858"/>
      <c r="AB311" s="858"/>
      <c r="AC311" s="858"/>
      <c r="AD311" s="858"/>
      <c r="AE311" s="859">
        <v>376</v>
      </c>
      <c r="AF311" s="859"/>
      <c r="AG311" s="858"/>
      <c r="AH311" s="859"/>
    </row>
    <row r="312" spans="1:34">
      <c r="A312" s="883"/>
      <c r="B312" s="239" t="s">
        <v>78</v>
      </c>
      <c r="C312" s="806">
        <f t="shared" si="182"/>
        <v>6.205314987184676E-3</v>
      </c>
      <c r="D312" s="806">
        <f t="shared" si="180"/>
        <v>5.7936742536210464E-2</v>
      </c>
      <c r="E312" s="806">
        <f t="shared" si="180"/>
        <v>3.5470668485675309E-2</v>
      </c>
      <c r="F312" s="806">
        <f t="shared" si="180"/>
        <v>3.5551880942538236E-2</v>
      </c>
      <c r="G312" s="806">
        <f t="shared" si="180"/>
        <v>3.2146389713155289E-2</v>
      </c>
      <c r="H312" s="806">
        <f t="shared" si="180"/>
        <v>2.2168963451168363E-2</v>
      </c>
      <c r="I312" s="624">
        <f t="shared" si="180"/>
        <v>2.6235575876333551E-2</v>
      </c>
      <c r="J312" s="624">
        <f t="shared" si="180"/>
        <v>0</v>
      </c>
      <c r="K312" s="625">
        <f t="shared" si="180"/>
        <v>0</v>
      </c>
      <c r="L312" s="625">
        <f t="shared" si="180"/>
        <v>0</v>
      </c>
      <c r="M312" s="625">
        <f t="shared" si="180"/>
        <v>0</v>
      </c>
      <c r="N312" s="624">
        <f t="shared" si="183"/>
        <v>7.4339207048458145E-2</v>
      </c>
      <c r="O312" s="624">
        <f t="shared" si="181"/>
        <v>0</v>
      </c>
      <c r="P312" s="626">
        <f t="shared" si="181"/>
        <v>0</v>
      </c>
      <c r="Q312" s="624">
        <f t="shared" si="181"/>
        <v>0</v>
      </c>
      <c r="R312" s="357"/>
      <c r="S312" s="858">
        <v>46</v>
      </c>
      <c r="T312" s="858">
        <v>196</v>
      </c>
      <c r="U312" s="858">
        <v>52</v>
      </c>
      <c r="V312" s="858">
        <v>86</v>
      </c>
      <c r="W312" s="858">
        <v>65</v>
      </c>
      <c r="X312" s="858">
        <v>37</v>
      </c>
      <c r="Y312" s="859">
        <v>482</v>
      </c>
      <c r="Z312" s="859"/>
      <c r="AA312" s="858"/>
      <c r="AB312" s="858"/>
      <c r="AC312" s="858"/>
      <c r="AD312" s="858"/>
      <c r="AE312" s="859">
        <v>135</v>
      </c>
      <c r="AF312" s="859"/>
      <c r="AG312" s="858"/>
      <c r="AH312" s="859"/>
    </row>
    <row r="313" spans="1:34">
      <c r="A313" s="884"/>
      <c r="B313" s="580" t="s">
        <v>131</v>
      </c>
      <c r="C313" s="806">
        <f t="shared" si="182"/>
        <v>0.22352623769054364</v>
      </c>
      <c r="D313" s="806">
        <f t="shared" si="180"/>
        <v>0.16612474135382796</v>
      </c>
      <c r="E313" s="806">
        <f t="shared" si="180"/>
        <v>6.3437926330150066E-2</v>
      </c>
      <c r="F313" s="806">
        <f t="shared" si="180"/>
        <v>5.5394791236047951E-2</v>
      </c>
      <c r="G313" s="806">
        <f t="shared" si="180"/>
        <v>7.3194856577645892E-2</v>
      </c>
      <c r="H313" s="806">
        <f t="shared" si="180"/>
        <v>0.12881965248651889</v>
      </c>
      <c r="I313" s="624">
        <f t="shared" si="180"/>
        <v>0.1528957108643588</v>
      </c>
      <c r="J313" s="624">
        <f t="shared" si="180"/>
        <v>0</v>
      </c>
      <c r="K313" s="625">
        <f t="shared" si="180"/>
        <v>0</v>
      </c>
      <c r="L313" s="625">
        <f t="shared" si="180"/>
        <v>0</v>
      </c>
      <c r="M313" s="625">
        <f t="shared" si="180"/>
        <v>0</v>
      </c>
      <c r="N313" s="624">
        <f t="shared" si="183"/>
        <v>3.0286343612334801E-2</v>
      </c>
      <c r="O313" s="624">
        <f t="shared" si="181"/>
        <v>0</v>
      </c>
      <c r="P313" s="626">
        <f t="shared" si="181"/>
        <v>0</v>
      </c>
      <c r="Q313" s="624">
        <f t="shared" si="181"/>
        <v>0</v>
      </c>
      <c r="R313" s="357"/>
      <c r="S313" s="858">
        <f>1149+508</f>
        <v>1657</v>
      </c>
      <c r="T313" s="858">
        <f>445+117</f>
        <v>562</v>
      </c>
      <c r="U313" s="858">
        <v>93</v>
      </c>
      <c r="V313" s="858">
        <f>102+32</f>
        <v>134</v>
      </c>
      <c r="W313" s="858">
        <f>113+35</f>
        <v>148</v>
      </c>
      <c r="X313" s="858">
        <f>152+63</f>
        <v>215</v>
      </c>
      <c r="Y313" s="859">
        <f>2054+755</f>
        <v>2809</v>
      </c>
      <c r="Z313" s="859"/>
      <c r="AA313" s="858"/>
      <c r="AB313" s="858"/>
      <c r="AC313" s="858"/>
      <c r="AD313" s="858"/>
      <c r="AE313" s="859">
        <v>55</v>
      </c>
      <c r="AF313" s="859"/>
      <c r="AG313" s="858"/>
      <c r="AH313" s="859"/>
    </row>
    <row r="314" spans="1:34">
      <c r="A314" s="885"/>
      <c r="B314" s="436" t="s">
        <v>59</v>
      </c>
      <c r="C314" s="807">
        <f t="shared" si="182"/>
        <v>1</v>
      </c>
      <c r="D314" s="808">
        <f t="shared" si="180"/>
        <v>1</v>
      </c>
      <c r="E314" s="808">
        <f t="shared" si="180"/>
        <v>1</v>
      </c>
      <c r="F314" s="808">
        <f t="shared" si="180"/>
        <v>1</v>
      </c>
      <c r="G314" s="808">
        <f t="shared" si="180"/>
        <v>1</v>
      </c>
      <c r="H314" s="809">
        <f t="shared" si="180"/>
        <v>1</v>
      </c>
      <c r="I314" s="577">
        <f t="shared" si="180"/>
        <v>1</v>
      </c>
      <c r="J314" s="577">
        <f t="shared" si="180"/>
        <v>0</v>
      </c>
      <c r="K314" s="578">
        <f t="shared" si="180"/>
        <v>0</v>
      </c>
      <c r="L314" s="578">
        <f t="shared" si="180"/>
        <v>0</v>
      </c>
      <c r="M314" s="578">
        <f t="shared" si="180"/>
        <v>0</v>
      </c>
      <c r="N314" s="577">
        <f t="shared" si="183"/>
        <v>1</v>
      </c>
      <c r="O314" s="577">
        <f t="shared" si="181"/>
        <v>0</v>
      </c>
      <c r="P314" s="579">
        <f t="shared" si="181"/>
        <v>0</v>
      </c>
      <c r="Q314" s="577">
        <f t="shared" si="181"/>
        <v>0</v>
      </c>
      <c r="R314" s="357"/>
      <c r="S314" s="858">
        <v>7413</v>
      </c>
      <c r="T314" s="858">
        <v>3383</v>
      </c>
      <c r="U314" s="858">
        <v>1466</v>
      </c>
      <c r="V314" s="858">
        <v>2419</v>
      </c>
      <c r="W314" s="858">
        <v>2022</v>
      </c>
      <c r="X314" s="858">
        <v>1669</v>
      </c>
      <c r="Y314" s="859">
        <v>18372</v>
      </c>
      <c r="Z314" s="859"/>
      <c r="AA314" s="858"/>
      <c r="AB314" s="858"/>
      <c r="AC314" s="858"/>
      <c r="AD314" s="858"/>
      <c r="AE314" s="859">
        <v>1816</v>
      </c>
      <c r="AF314" s="859"/>
      <c r="AG314" s="858"/>
      <c r="AH314" s="859"/>
    </row>
    <row r="315" spans="1:34">
      <c r="A315" s="882" t="s">
        <v>155</v>
      </c>
      <c r="B315" s="240" t="s">
        <v>53</v>
      </c>
      <c r="C315" s="806">
        <f>IF(S$320&gt;0,(S315/S$320),0)</f>
        <v>0</v>
      </c>
      <c r="D315" s="806">
        <f t="shared" ref="D315:M320" si="184">IF(T$320&gt;0,(T315/T$320),0)</f>
        <v>0.40051457975986277</v>
      </c>
      <c r="E315" s="806">
        <f t="shared" si="184"/>
        <v>0</v>
      </c>
      <c r="F315" s="806">
        <f t="shared" si="184"/>
        <v>0.31654676258992803</v>
      </c>
      <c r="G315" s="806">
        <f t="shared" si="184"/>
        <v>0</v>
      </c>
      <c r="H315" s="806">
        <f t="shared" si="184"/>
        <v>0.33064516129032256</v>
      </c>
      <c r="I315" s="613">
        <f t="shared" si="184"/>
        <v>0.36302294197031038</v>
      </c>
      <c r="J315" s="613">
        <f t="shared" si="184"/>
        <v>0</v>
      </c>
      <c r="K315" s="614">
        <f t="shared" si="184"/>
        <v>0</v>
      </c>
      <c r="L315" s="614">
        <f t="shared" si="184"/>
        <v>0</v>
      </c>
      <c r="M315" s="614">
        <f t="shared" si="184"/>
        <v>0</v>
      </c>
      <c r="N315" s="613">
        <f>IF(AE$320&gt;0,(AE315/AE$320),0)</f>
        <v>0.74509803921568629</v>
      </c>
      <c r="O315" s="613">
        <f t="shared" ref="O315:Q320" si="185">IF(AF$320&gt;0,(AF315/AF$320),0)</f>
        <v>0</v>
      </c>
      <c r="P315" s="615">
        <f t="shared" si="185"/>
        <v>0</v>
      </c>
      <c r="Q315" s="613">
        <f t="shared" si="185"/>
        <v>0.72413793103448276</v>
      </c>
      <c r="R315" s="799"/>
      <c r="S315" s="856"/>
      <c r="T315" s="856">
        <v>467</v>
      </c>
      <c r="U315" s="856"/>
      <c r="V315" s="856">
        <v>176</v>
      </c>
      <c r="W315" s="856"/>
      <c r="X315" s="856">
        <v>164</v>
      </c>
      <c r="Y315" s="857">
        <v>807</v>
      </c>
      <c r="Z315" s="857"/>
      <c r="AA315" s="856"/>
      <c r="AB315" s="856"/>
      <c r="AC315" s="856"/>
      <c r="AD315" s="856"/>
      <c r="AE315" s="857">
        <v>228</v>
      </c>
      <c r="AF315" s="857"/>
      <c r="AG315" s="856"/>
      <c r="AH315" s="857">
        <v>21</v>
      </c>
    </row>
    <row r="316" spans="1:34">
      <c r="A316" s="883"/>
      <c r="B316" s="239" t="s">
        <v>93</v>
      </c>
      <c r="C316" s="806">
        <f t="shared" ref="C316:C320" si="186">IF(S$320&gt;0,(S316/S$320),0)</f>
        <v>0</v>
      </c>
      <c r="D316" s="806">
        <f t="shared" si="184"/>
        <v>0.32590051457975988</v>
      </c>
      <c r="E316" s="806">
        <f t="shared" si="184"/>
        <v>0</v>
      </c>
      <c r="F316" s="806">
        <f t="shared" si="184"/>
        <v>0.28417266187050361</v>
      </c>
      <c r="G316" s="806">
        <f t="shared" si="184"/>
        <v>0</v>
      </c>
      <c r="H316" s="806">
        <f t="shared" si="184"/>
        <v>0.31653225806451613</v>
      </c>
      <c r="I316" s="624">
        <f t="shared" si="184"/>
        <v>0.31264057579847054</v>
      </c>
      <c r="J316" s="624">
        <f t="shared" si="184"/>
        <v>0</v>
      </c>
      <c r="K316" s="625">
        <f t="shared" si="184"/>
        <v>0</v>
      </c>
      <c r="L316" s="625">
        <f t="shared" si="184"/>
        <v>0</v>
      </c>
      <c r="M316" s="625">
        <f t="shared" si="184"/>
        <v>0</v>
      </c>
      <c r="N316" s="624">
        <f t="shared" ref="N316:N320" si="187">IF(AE$320&gt;0,(AE316/AE$320),0)</f>
        <v>0.14705882352941177</v>
      </c>
      <c r="O316" s="624">
        <f t="shared" si="185"/>
        <v>0</v>
      </c>
      <c r="P316" s="626">
        <f t="shared" si="185"/>
        <v>0</v>
      </c>
      <c r="Q316" s="624">
        <f t="shared" si="185"/>
        <v>0.27586206896551724</v>
      </c>
      <c r="R316" s="357"/>
      <c r="S316" s="858"/>
      <c r="T316" s="858">
        <v>380</v>
      </c>
      <c r="U316" s="858"/>
      <c r="V316" s="858">
        <v>158</v>
      </c>
      <c r="W316" s="858"/>
      <c r="X316" s="858">
        <v>157</v>
      </c>
      <c r="Y316" s="859">
        <v>695</v>
      </c>
      <c r="Z316" s="859"/>
      <c r="AA316" s="858"/>
      <c r="AB316" s="858"/>
      <c r="AC316" s="858"/>
      <c r="AD316" s="858"/>
      <c r="AE316" s="859">
        <v>45</v>
      </c>
      <c r="AF316" s="859"/>
      <c r="AG316" s="858"/>
      <c r="AH316" s="859">
        <v>8</v>
      </c>
    </row>
    <row r="317" spans="1:34">
      <c r="A317" s="883"/>
      <c r="B317" s="239" t="s">
        <v>55</v>
      </c>
      <c r="C317" s="806">
        <f t="shared" si="186"/>
        <v>0</v>
      </c>
      <c r="D317" s="806">
        <f t="shared" si="184"/>
        <v>0.22727272727272727</v>
      </c>
      <c r="E317" s="806">
        <f t="shared" si="184"/>
        <v>0</v>
      </c>
      <c r="F317" s="806">
        <f t="shared" si="184"/>
        <v>0.23561151079136691</v>
      </c>
      <c r="G317" s="806">
        <f t="shared" si="184"/>
        <v>0</v>
      </c>
      <c r="H317" s="806">
        <f t="shared" si="184"/>
        <v>0.29233870967741937</v>
      </c>
      <c r="I317" s="624">
        <f t="shared" si="184"/>
        <v>0.24336482231219073</v>
      </c>
      <c r="J317" s="624">
        <f t="shared" si="184"/>
        <v>0</v>
      </c>
      <c r="K317" s="625">
        <f t="shared" si="184"/>
        <v>0</v>
      </c>
      <c r="L317" s="625">
        <f t="shared" si="184"/>
        <v>0</v>
      </c>
      <c r="M317" s="625">
        <f t="shared" si="184"/>
        <v>0</v>
      </c>
      <c r="N317" s="624">
        <f t="shared" si="187"/>
        <v>5.8823529411764705E-2</v>
      </c>
      <c r="O317" s="624">
        <f t="shared" si="185"/>
        <v>0</v>
      </c>
      <c r="P317" s="626">
        <f t="shared" si="185"/>
        <v>0</v>
      </c>
      <c r="Q317" s="624">
        <f t="shared" si="185"/>
        <v>0</v>
      </c>
      <c r="R317" s="357"/>
      <c r="S317" s="858"/>
      <c r="T317" s="858">
        <v>265</v>
      </c>
      <c r="U317" s="858"/>
      <c r="V317" s="858">
        <v>131</v>
      </c>
      <c r="W317" s="858"/>
      <c r="X317" s="858">
        <v>145</v>
      </c>
      <c r="Y317" s="859">
        <v>541</v>
      </c>
      <c r="Z317" s="859"/>
      <c r="AA317" s="858"/>
      <c r="AB317" s="858"/>
      <c r="AC317" s="858"/>
      <c r="AD317" s="858"/>
      <c r="AE317" s="859">
        <v>18</v>
      </c>
      <c r="AF317" s="859"/>
      <c r="AG317" s="858"/>
      <c r="AH317" s="859"/>
    </row>
    <row r="318" spans="1:34">
      <c r="A318" s="883"/>
      <c r="B318" s="239" t="s">
        <v>78</v>
      </c>
      <c r="C318" s="806">
        <f t="shared" si="186"/>
        <v>0</v>
      </c>
      <c r="D318" s="806">
        <f t="shared" si="184"/>
        <v>3.4305317324185248E-3</v>
      </c>
      <c r="E318" s="806">
        <f t="shared" si="184"/>
        <v>0</v>
      </c>
      <c r="F318" s="806">
        <f t="shared" si="184"/>
        <v>5.5755395683453238E-2</v>
      </c>
      <c r="G318" s="806">
        <f t="shared" si="184"/>
        <v>0</v>
      </c>
      <c r="H318" s="806">
        <f t="shared" si="184"/>
        <v>2.0161290322580645E-2</v>
      </c>
      <c r="I318" s="624">
        <f t="shared" si="184"/>
        <v>2.0242914979757085E-2</v>
      </c>
      <c r="J318" s="624">
        <f t="shared" si="184"/>
        <v>0</v>
      </c>
      <c r="K318" s="625">
        <f t="shared" si="184"/>
        <v>0</v>
      </c>
      <c r="L318" s="625">
        <f t="shared" si="184"/>
        <v>0</v>
      </c>
      <c r="M318" s="625">
        <f t="shared" si="184"/>
        <v>0</v>
      </c>
      <c r="N318" s="624">
        <f t="shared" si="187"/>
        <v>4.9019607843137254E-2</v>
      </c>
      <c r="O318" s="624">
        <f t="shared" si="185"/>
        <v>0</v>
      </c>
      <c r="P318" s="626">
        <f t="shared" si="185"/>
        <v>0</v>
      </c>
      <c r="Q318" s="624">
        <f t="shared" si="185"/>
        <v>0</v>
      </c>
      <c r="R318" s="357"/>
      <c r="S318" s="858"/>
      <c r="T318" s="858">
        <v>4</v>
      </c>
      <c r="U318" s="858"/>
      <c r="V318" s="858">
        <v>31</v>
      </c>
      <c r="W318" s="858"/>
      <c r="X318" s="858">
        <v>10</v>
      </c>
      <c r="Y318" s="859">
        <v>45</v>
      </c>
      <c r="Z318" s="859"/>
      <c r="AA318" s="858"/>
      <c r="AB318" s="858"/>
      <c r="AC318" s="858"/>
      <c r="AD318" s="858"/>
      <c r="AE318" s="859">
        <v>15</v>
      </c>
      <c r="AF318" s="859"/>
      <c r="AG318" s="858"/>
      <c r="AH318" s="859"/>
    </row>
    <row r="319" spans="1:34">
      <c r="A319" s="884"/>
      <c r="B319" s="580" t="s">
        <v>131</v>
      </c>
      <c r="C319" s="806">
        <f t="shared" si="186"/>
        <v>0</v>
      </c>
      <c r="D319" s="806">
        <f t="shared" si="184"/>
        <v>4.2881646655231559E-2</v>
      </c>
      <c r="E319" s="806">
        <f t="shared" si="184"/>
        <v>0</v>
      </c>
      <c r="F319" s="806">
        <f t="shared" si="184"/>
        <v>0.1079136690647482</v>
      </c>
      <c r="G319" s="806">
        <f t="shared" si="184"/>
        <v>1</v>
      </c>
      <c r="H319" s="806">
        <f t="shared" si="184"/>
        <v>4.0322580645161289E-2</v>
      </c>
      <c r="I319" s="624">
        <f t="shared" si="184"/>
        <v>6.0728744939271252E-2</v>
      </c>
      <c r="J319" s="624">
        <f t="shared" si="184"/>
        <v>0</v>
      </c>
      <c r="K319" s="625">
        <f t="shared" si="184"/>
        <v>0</v>
      </c>
      <c r="L319" s="625">
        <f t="shared" si="184"/>
        <v>0</v>
      </c>
      <c r="M319" s="625">
        <f t="shared" si="184"/>
        <v>0</v>
      </c>
      <c r="N319" s="624">
        <f t="shared" si="187"/>
        <v>0</v>
      </c>
      <c r="O319" s="624">
        <f t="shared" si="185"/>
        <v>0</v>
      </c>
      <c r="P319" s="626">
        <f t="shared" si="185"/>
        <v>0</v>
      </c>
      <c r="Q319" s="624">
        <f t="shared" si="185"/>
        <v>0</v>
      </c>
      <c r="R319" s="357"/>
      <c r="S319" s="858"/>
      <c r="T319" s="858">
        <f>46+4</f>
        <v>50</v>
      </c>
      <c r="U319" s="858"/>
      <c r="V319" s="858">
        <f>0+60</f>
        <v>60</v>
      </c>
      <c r="W319" s="858">
        <f>0+5</f>
        <v>5</v>
      </c>
      <c r="X319" s="858">
        <f>2+18</f>
        <v>20</v>
      </c>
      <c r="Y319" s="859">
        <f>48+87</f>
        <v>135</v>
      </c>
      <c r="Z319" s="859"/>
      <c r="AA319" s="858"/>
      <c r="AB319" s="858"/>
      <c r="AC319" s="858"/>
      <c r="AD319" s="858"/>
      <c r="AE319" s="859"/>
      <c r="AF319" s="859"/>
      <c r="AG319" s="858"/>
      <c r="AH319" s="859"/>
    </row>
    <row r="320" spans="1:34">
      <c r="A320" s="885"/>
      <c r="B320" s="436" t="s">
        <v>59</v>
      </c>
      <c r="C320" s="807">
        <f t="shared" si="186"/>
        <v>0</v>
      </c>
      <c r="D320" s="808">
        <f t="shared" si="184"/>
        <v>1</v>
      </c>
      <c r="E320" s="808">
        <f t="shared" si="184"/>
        <v>0</v>
      </c>
      <c r="F320" s="808">
        <f t="shared" si="184"/>
        <v>1</v>
      </c>
      <c r="G320" s="808">
        <f t="shared" si="184"/>
        <v>1</v>
      </c>
      <c r="H320" s="809">
        <f t="shared" si="184"/>
        <v>1</v>
      </c>
      <c r="I320" s="577">
        <f t="shared" si="184"/>
        <v>1</v>
      </c>
      <c r="J320" s="577">
        <f t="shared" si="184"/>
        <v>0</v>
      </c>
      <c r="K320" s="578">
        <f t="shared" si="184"/>
        <v>0</v>
      </c>
      <c r="L320" s="578">
        <f t="shared" si="184"/>
        <v>0</v>
      </c>
      <c r="M320" s="578">
        <f t="shared" si="184"/>
        <v>0</v>
      </c>
      <c r="N320" s="577">
        <f t="shared" si="187"/>
        <v>1</v>
      </c>
      <c r="O320" s="577">
        <f t="shared" si="185"/>
        <v>0</v>
      </c>
      <c r="P320" s="579">
        <f t="shared" si="185"/>
        <v>0</v>
      </c>
      <c r="Q320" s="577">
        <f t="shared" si="185"/>
        <v>1</v>
      </c>
      <c r="R320" s="357"/>
      <c r="S320" s="858"/>
      <c r="T320" s="858">
        <v>1166</v>
      </c>
      <c r="U320" s="858"/>
      <c r="V320" s="858">
        <v>556</v>
      </c>
      <c r="W320" s="858">
        <v>5</v>
      </c>
      <c r="X320" s="858">
        <v>496</v>
      </c>
      <c r="Y320" s="859">
        <v>2223</v>
      </c>
      <c r="Z320" s="859"/>
      <c r="AA320" s="858"/>
      <c r="AB320" s="858"/>
      <c r="AC320" s="858"/>
      <c r="AD320" s="858"/>
      <c r="AE320" s="859">
        <v>306</v>
      </c>
      <c r="AF320" s="859"/>
      <c r="AG320" s="858"/>
      <c r="AH320" s="859">
        <v>29</v>
      </c>
    </row>
    <row r="321" spans="1:34">
      <c r="A321" s="882" t="s">
        <v>156</v>
      </c>
      <c r="B321" s="240" t="s">
        <v>53</v>
      </c>
      <c r="C321" s="806">
        <f>IF(S$326&gt;0,(S321/S$326),0)</f>
        <v>0.42963212959838004</v>
      </c>
      <c r="D321" s="806">
        <f t="shared" ref="D321:M326" si="188">IF(T$326&gt;0,(T321/T$326),0)</f>
        <v>0.31865712713263622</v>
      </c>
      <c r="E321" s="806">
        <f t="shared" si="188"/>
        <v>0.30003979307600476</v>
      </c>
      <c r="F321" s="806">
        <f t="shared" si="188"/>
        <v>0.3108108108108108</v>
      </c>
      <c r="G321" s="806">
        <f t="shared" si="188"/>
        <v>0.29454022988505746</v>
      </c>
      <c r="H321" s="806">
        <f t="shared" si="188"/>
        <v>0.43478260869565216</v>
      </c>
      <c r="I321" s="613">
        <f t="shared" si="188"/>
        <v>0.34664536741214058</v>
      </c>
      <c r="J321" s="613">
        <f t="shared" si="188"/>
        <v>0</v>
      </c>
      <c r="K321" s="614">
        <f t="shared" si="188"/>
        <v>0</v>
      </c>
      <c r="L321" s="614">
        <f t="shared" si="188"/>
        <v>0</v>
      </c>
      <c r="M321" s="614">
        <f t="shared" si="188"/>
        <v>0</v>
      </c>
      <c r="N321" s="613">
        <f>IF(AE$326&gt;0,(AE321/AE$326),0)</f>
        <v>0.22621035058430719</v>
      </c>
      <c r="O321" s="613">
        <f t="shared" ref="O321:Q326" si="189">IF(AF$326&gt;0,(AF321/AF$326),0)</f>
        <v>0</v>
      </c>
      <c r="P321" s="615">
        <f t="shared" si="189"/>
        <v>0</v>
      </c>
      <c r="Q321" s="613">
        <f t="shared" si="189"/>
        <v>0</v>
      </c>
      <c r="R321" s="799"/>
      <c r="S321" s="856">
        <v>1273</v>
      </c>
      <c r="T321" s="856">
        <v>579</v>
      </c>
      <c r="U321" s="856">
        <v>754</v>
      </c>
      <c r="V321" s="856">
        <v>414</v>
      </c>
      <c r="W321" s="856">
        <v>205</v>
      </c>
      <c r="X321" s="856">
        <v>30</v>
      </c>
      <c r="Y321" s="857">
        <v>3255</v>
      </c>
      <c r="Z321" s="857"/>
      <c r="AA321" s="856"/>
      <c r="AB321" s="856"/>
      <c r="AC321" s="856"/>
      <c r="AD321" s="856"/>
      <c r="AE321" s="857">
        <v>542</v>
      </c>
      <c r="AF321" s="857"/>
      <c r="AG321" s="856"/>
      <c r="AH321" s="857"/>
    </row>
    <row r="322" spans="1:34">
      <c r="A322" s="883"/>
      <c r="B322" s="239" t="s">
        <v>93</v>
      </c>
      <c r="C322" s="806">
        <f t="shared" ref="C322:C326" si="190">IF(S$326&gt;0,(S322/S$326),0)</f>
        <v>0.2082348970637867</v>
      </c>
      <c r="D322" s="806">
        <f t="shared" si="188"/>
        <v>0.28233351678591084</v>
      </c>
      <c r="E322" s="806">
        <f t="shared" si="188"/>
        <v>0.31078392359729407</v>
      </c>
      <c r="F322" s="806">
        <f t="shared" si="188"/>
        <v>0.34684684684684686</v>
      </c>
      <c r="G322" s="806">
        <f t="shared" si="188"/>
        <v>0.38936781609195403</v>
      </c>
      <c r="H322" s="806">
        <f t="shared" si="188"/>
        <v>0.30434782608695654</v>
      </c>
      <c r="I322" s="624">
        <f t="shared" si="188"/>
        <v>0.2838125665601704</v>
      </c>
      <c r="J322" s="624">
        <f t="shared" si="188"/>
        <v>0</v>
      </c>
      <c r="K322" s="625">
        <f t="shared" si="188"/>
        <v>0</v>
      </c>
      <c r="L322" s="625">
        <f t="shared" si="188"/>
        <v>0</v>
      </c>
      <c r="M322" s="625">
        <f t="shared" si="188"/>
        <v>0</v>
      </c>
      <c r="N322" s="624">
        <f t="shared" ref="N322:N326" si="191">IF(AE$326&gt;0,(AE322/AE$326),0)</f>
        <v>0.24207011686143573</v>
      </c>
      <c r="O322" s="624">
        <f t="shared" si="189"/>
        <v>0</v>
      </c>
      <c r="P322" s="626">
        <f t="shared" si="189"/>
        <v>0</v>
      </c>
      <c r="Q322" s="624">
        <f t="shared" si="189"/>
        <v>0</v>
      </c>
      <c r="R322" s="357"/>
      <c r="S322" s="858">
        <v>617</v>
      </c>
      <c r="T322" s="858">
        <v>513</v>
      </c>
      <c r="U322" s="858">
        <v>781</v>
      </c>
      <c r="V322" s="858">
        <v>462</v>
      </c>
      <c r="W322" s="858">
        <v>271</v>
      </c>
      <c r="X322" s="858">
        <v>21</v>
      </c>
      <c r="Y322" s="859">
        <v>2665</v>
      </c>
      <c r="Z322" s="859"/>
      <c r="AA322" s="858"/>
      <c r="AB322" s="858"/>
      <c r="AC322" s="858"/>
      <c r="AD322" s="858"/>
      <c r="AE322" s="859">
        <v>580</v>
      </c>
      <c r="AF322" s="859"/>
      <c r="AG322" s="858"/>
      <c r="AH322" s="859"/>
    </row>
    <row r="323" spans="1:34">
      <c r="A323" s="883"/>
      <c r="B323" s="239" t="s">
        <v>55</v>
      </c>
      <c r="C323" s="806">
        <f t="shared" si="190"/>
        <v>0.21262234222072224</v>
      </c>
      <c r="D323" s="806">
        <f t="shared" si="188"/>
        <v>0.2239955971381398</v>
      </c>
      <c r="E323" s="806">
        <f t="shared" si="188"/>
        <v>0.2546756864305611</v>
      </c>
      <c r="F323" s="806">
        <f t="shared" si="188"/>
        <v>0.29954954954954954</v>
      </c>
      <c r="G323" s="806">
        <f t="shared" si="188"/>
        <v>0.28160919540229884</v>
      </c>
      <c r="H323" s="806">
        <f t="shared" si="188"/>
        <v>0.2608695652173913</v>
      </c>
      <c r="I323" s="624">
        <f t="shared" si="188"/>
        <v>0.24387646432374868</v>
      </c>
      <c r="J323" s="624">
        <f t="shared" si="188"/>
        <v>0</v>
      </c>
      <c r="K323" s="625">
        <f t="shared" si="188"/>
        <v>0</v>
      </c>
      <c r="L323" s="625">
        <f t="shared" si="188"/>
        <v>0</v>
      </c>
      <c r="M323" s="625">
        <f t="shared" si="188"/>
        <v>0</v>
      </c>
      <c r="N323" s="624">
        <f t="shared" si="191"/>
        <v>0.2604340567612688</v>
      </c>
      <c r="O323" s="624">
        <f t="shared" si="189"/>
        <v>0</v>
      </c>
      <c r="P323" s="626">
        <f t="shared" si="189"/>
        <v>0</v>
      </c>
      <c r="Q323" s="624">
        <f t="shared" si="189"/>
        <v>0</v>
      </c>
      <c r="R323" s="357"/>
      <c r="S323" s="858">
        <v>630</v>
      </c>
      <c r="T323" s="858">
        <v>407</v>
      </c>
      <c r="U323" s="858">
        <v>640</v>
      </c>
      <c r="V323" s="858">
        <v>399</v>
      </c>
      <c r="W323" s="858">
        <v>196</v>
      </c>
      <c r="X323" s="858">
        <v>18</v>
      </c>
      <c r="Y323" s="859">
        <v>2290</v>
      </c>
      <c r="Z323" s="859"/>
      <c r="AA323" s="858"/>
      <c r="AB323" s="858"/>
      <c r="AC323" s="858"/>
      <c r="AD323" s="858"/>
      <c r="AE323" s="859">
        <v>624</v>
      </c>
      <c r="AF323" s="859"/>
      <c r="AG323" s="858"/>
      <c r="AH323" s="859"/>
    </row>
    <row r="324" spans="1:34">
      <c r="A324" s="883"/>
      <c r="B324" s="239" t="s">
        <v>78</v>
      </c>
      <c r="C324" s="806">
        <f t="shared" si="190"/>
        <v>8.9773877826527168E-2</v>
      </c>
      <c r="D324" s="806">
        <f t="shared" si="188"/>
        <v>5.3935057787561913E-2</v>
      </c>
      <c r="E324" s="806">
        <f t="shared" si="188"/>
        <v>4.4170314365300438E-2</v>
      </c>
      <c r="F324" s="806">
        <f t="shared" si="188"/>
        <v>2.4024024024024024E-2</v>
      </c>
      <c r="G324" s="806">
        <f t="shared" si="188"/>
        <v>1.1494252873563218E-2</v>
      </c>
      <c r="H324" s="806">
        <f t="shared" si="188"/>
        <v>0</v>
      </c>
      <c r="I324" s="624">
        <f t="shared" si="188"/>
        <v>5.4845580404685838E-2</v>
      </c>
      <c r="J324" s="624">
        <f t="shared" si="188"/>
        <v>0</v>
      </c>
      <c r="K324" s="625">
        <f t="shared" si="188"/>
        <v>0</v>
      </c>
      <c r="L324" s="625">
        <f t="shared" si="188"/>
        <v>0</v>
      </c>
      <c r="M324" s="625">
        <f t="shared" si="188"/>
        <v>0</v>
      </c>
      <c r="N324" s="624">
        <f t="shared" si="191"/>
        <v>0.15859766277128548</v>
      </c>
      <c r="O324" s="624">
        <f t="shared" si="189"/>
        <v>0</v>
      </c>
      <c r="P324" s="626">
        <f t="shared" si="189"/>
        <v>0</v>
      </c>
      <c r="Q324" s="624">
        <f t="shared" si="189"/>
        <v>0</v>
      </c>
      <c r="R324" s="357"/>
      <c r="S324" s="858">
        <v>266</v>
      </c>
      <c r="T324" s="858">
        <v>98</v>
      </c>
      <c r="U324" s="858">
        <v>111</v>
      </c>
      <c r="V324" s="858">
        <v>32</v>
      </c>
      <c r="W324" s="858">
        <v>8</v>
      </c>
      <c r="X324" s="858"/>
      <c r="Y324" s="859">
        <v>515</v>
      </c>
      <c r="Z324" s="859"/>
      <c r="AA324" s="858"/>
      <c r="AB324" s="858"/>
      <c r="AC324" s="858"/>
      <c r="AD324" s="858"/>
      <c r="AE324" s="859">
        <v>380</v>
      </c>
      <c r="AF324" s="859"/>
      <c r="AG324" s="858"/>
      <c r="AH324" s="859"/>
    </row>
    <row r="325" spans="1:34">
      <c r="A325" s="884"/>
      <c r="B325" s="580" t="s">
        <v>131</v>
      </c>
      <c r="C325" s="806">
        <f t="shared" si="190"/>
        <v>5.9736753290583866E-2</v>
      </c>
      <c r="D325" s="806">
        <f t="shared" si="188"/>
        <v>0.12107870115575124</v>
      </c>
      <c r="E325" s="806">
        <f t="shared" si="188"/>
        <v>9.0330282530839634E-2</v>
      </c>
      <c r="F325" s="806">
        <f t="shared" si="188"/>
        <v>1.8768768768768769E-2</v>
      </c>
      <c r="G325" s="806">
        <f t="shared" si="188"/>
        <v>2.2988505747126436E-2</v>
      </c>
      <c r="H325" s="806">
        <f t="shared" si="188"/>
        <v>0</v>
      </c>
      <c r="I325" s="624">
        <f t="shared" si="188"/>
        <v>7.0820021299254521E-2</v>
      </c>
      <c r="J325" s="624">
        <f t="shared" si="188"/>
        <v>0</v>
      </c>
      <c r="K325" s="625">
        <f t="shared" si="188"/>
        <v>0</v>
      </c>
      <c r="L325" s="625">
        <f t="shared" si="188"/>
        <v>0</v>
      </c>
      <c r="M325" s="625">
        <f t="shared" si="188"/>
        <v>0</v>
      </c>
      <c r="N325" s="624">
        <f t="shared" si="191"/>
        <v>0.11268781302170283</v>
      </c>
      <c r="O325" s="624">
        <f t="shared" si="189"/>
        <v>0</v>
      </c>
      <c r="P325" s="626">
        <f t="shared" si="189"/>
        <v>0</v>
      </c>
      <c r="Q325" s="624">
        <f t="shared" si="189"/>
        <v>0</v>
      </c>
      <c r="R325" s="357"/>
      <c r="S325" s="858">
        <f>176+1</f>
        <v>177</v>
      </c>
      <c r="T325" s="858">
        <f>142+78</f>
        <v>220</v>
      </c>
      <c r="U325" s="858">
        <f>171+56</f>
        <v>227</v>
      </c>
      <c r="V325" s="858">
        <f>24+1</f>
        <v>25</v>
      </c>
      <c r="W325" s="858">
        <f>12+4</f>
        <v>16</v>
      </c>
      <c r="X325" s="858"/>
      <c r="Y325" s="859">
        <f>525+140</f>
        <v>665</v>
      </c>
      <c r="Z325" s="859"/>
      <c r="AA325" s="858"/>
      <c r="AB325" s="858"/>
      <c r="AC325" s="858"/>
      <c r="AD325" s="858"/>
      <c r="AE325" s="859">
        <f>154+116</f>
        <v>270</v>
      </c>
      <c r="AF325" s="859"/>
      <c r="AG325" s="858"/>
      <c r="AH325" s="859"/>
    </row>
    <row r="326" spans="1:34">
      <c r="A326" s="885"/>
      <c r="B326" s="436" t="s">
        <v>59</v>
      </c>
      <c r="C326" s="807">
        <f t="shared" si="190"/>
        <v>1</v>
      </c>
      <c r="D326" s="808">
        <f t="shared" si="188"/>
        <v>1</v>
      </c>
      <c r="E326" s="808">
        <f t="shared" si="188"/>
        <v>1</v>
      </c>
      <c r="F326" s="808">
        <f t="shared" si="188"/>
        <v>1</v>
      </c>
      <c r="G326" s="808">
        <f t="shared" si="188"/>
        <v>1</v>
      </c>
      <c r="H326" s="809">
        <f t="shared" si="188"/>
        <v>1</v>
      </c>
      <c r="I326" s="577">
        <f t="shared" si="188"/>
        <v>1</v>
      </c>
      <c r="J326" s="577">
        <f t="shared" si="188"/>
        <v>0</v>
      </c>
      <c r="K326" s="578">
        <f t="shared" si="188"/>
        <v>0</v>
      </c>
      <c r="L326" s="578">
        <f t="shared" si="188"/>
        <v>0</v>
      </c>
      <c r="M326" s="578">
        <f t="shared" si="188"/>
        <v>0</v>
      </c>
      <c r="N326" s="577">
        <f t="shared" si="191"/>
        <v>1</v>
      </c>
      <c r="O326" s="577">
        <f t="shared" si="189"/>
        <v>0</v>
      </c>
      <c r="P326" s="579">
        <f t="shared" si="189"/>
        <v>0</v>
      </c>
      <c r="Q326" s="577">
        <f t="shared" si="189"/>
        <v>0</v>
      </c>
      <c r="R326" s="357"/>
      <c r="S326" s="858">
        <v>2963</v>
      </c>
      <c r="T326" s="858">
        <v>1817</v>
      </c>
      <c r="U326" s="858">
        <v>2513</v>
      </c>
      <c r="V326" s="858">
        <v>1332</v>
      </c>
      <c r="W326" s="858">
        <v>696</v>
      </c>
      <c r="X326" s="858">
        <v>69</v>
      </c>
      <c r="Y326" s="859">
        <v>9390</v>
      </c>
      <c r="Z326" s="859"/>
      <c r="AA326" s="858"/>
      <c r="AB326" s="858"/>
      <c r="AC326" s="858"/>
      <c r="AD326" s="858"/>
      <c r="AE326" s="859">
        <v>2396</v>
      </c>
      <c r="AF326" s="859"/>
      <c r="AG326" s="858"/>
      <c r="AH326" s="859"/>
    </row>
    <row r="327" spans="1:34">
      <c r="A327" s="882" t="s">
        <v>159</v>
      </c>
      <c r="B327" s="240" t="s">
        <v>53</v>
      </c>
      <c r="C327" s="806">
        <f>IF(S$332&gt;0,(S327/S$332),0)</f>
        <v>0.36565551810560887</v>
      </c>
      <c r="D327" s="806">
        <f t="shared" ref="D327:M332" si="192">IF(T$332&gt;0,(T327/T$332),0)</f>
        <v>0.32622504537205083</v>
      </c>
      <c r="E327" s="806">
        <f t="shared" si="192"/>
        <v>0.30139393229471712</v>
      </c>
      <c r="F327" s="806">
        <f t="shared" si="192"/>
        <v>0.2672020441686439</v>
      </c>
      <c r="G327" s="806">
        <f t="shared" si="192"/>
        <v>0.21579558652729383</v>
      </c>
      <c r="H327" s="806">
        <f t="shared" si="192"/>
        <v>0.29509559434746468</v>
      </c>
      <c r="I327" s="613">
        <f t="shared" si="192"/>
        <v>0.30754796247024224</v>
      </c>
      <c r="J327" s="613">
        <f t="shared" si="192"/>
        <v>0</v>
      </c>
      <c r="K327" s="614">
        <f t="shared" si="192"/>
        <v>0</v>
      </c>
      <c r="L327" s="614">
        <f t="shared" si="192"/>
        <v>0</v>
      </c>
      <c r="M327" s="614">
        <f t="shared" si="192"/>
        <v>0</v>
      </c>
      <c r="N327" s="613">
        <f>IF(AE$332&gt;0,(AE327/AE$332),0)</f>
        <v>0.26117338768379678</v>
      </c>
      <c r="O327" s="613">
        <f t="shared" ref="O327:Q332" si="193">IF(AF$332&gt;0,(AF327/AF$332),0)</f>
        <v>0</v>
      </c>
      <c r="P327" s="615">
        <f t="shared" si="193"/>
        <v>0</v>
      </c>
      <c r="Q327" s="613">
        <f t="shared" si="193"/>
        <v>0</v>
      </c>
      <c r="R327" s="799"/>
      <c r="S327" s="856">
        <v>4231</v>
      </c>
      <c r="T327" s="856">
        <v>719</v>
      </c>
      <c r="U327" s="856">
        <v>2573</v>
      </c>
      <c r="V327" s="856">
        <v>1464</v>
      </c>
      <c r="W327" s="856">
        <v>929</v>
      </c>
      <c r="X327" s="856">
        <v>1065</v>
      </c>
      <c r="Y327" s="857">
        <v>10981</v>
      </c>
      <c r="Z327" s="857"/>
      <c r="AA327" s="856"/>
      <c r="AB327" s="856"/>
      <c r="AC327" s="856"/>
      <c r="AD327" s="856"/>
      <c r="AE327" s="857">
        <v>1794</v>
      </c>
      <c r="AF327" s="857"/>
      <c r="AG327" s="856"/>
      <c r="AH327" s="857"/>
    </row>
    <row r="328" spans="1:34">
      <c r="A328" s="883"/>
      <c r="B328" s="239" t="s">
        <v>93</v>
      </c>
      <c r="C328" s="806">
        <f t="shared" ref="C328:C332" si="194">IF(S$332&gt;0,(S328/S$332),0)</f>
        <v>0.23351482153660011</v>
      </c>
      <c r="D328" s="806">
        <f t="shared" si="192"/>
        <v>0.33575317604355714</v>
      </c>
      <c r="E328" s="806">
        <f t="shared" si="192"/>
        <v>0.33313810472062788</v>
      </c>
      <c r="F328" s="806">
        <f t="shared" si="192"/>
        <v>0.31684613980653403</v>
      </c>
      <c r="G328" s="806">
        <f t="shared" si="192"/>
        <v>0.30011614401858305</v>
      </c>
      <c r="H328" s="806">
        <f t="shared" si="192"/>
        <v>0.25380991964533112</v>
      </c>
      <c r="I328" s="624">
        <f t="shared" si="192"/>
        <v>0.28651449376837979</v>
      </c>
      <c r="J328" s="624">
        <f t="shared" si="192"/>
        <v>0</v>
      </c>
      <c r="K328" s="625">
        <f t="shared" si="192"/>
        <v>0</v>
      </c>
      <c r="L328" s="625">
        <f t="shared" si="192"/>
        <v>0</v>
      </c>
      <c r="M328" s="625">
        <f t="shared" si="192"/>
        <v>0</v>
      </c>
      <c r="N328" s="624">
        <f t="shared" ref="N328:N332" si="195">IF(AE$332&gt;0,(AE328/AE$332),0)</f>
        <v>0.2113844810016014</v>
      </c>
      <c r="O328" s="624">
        <f t="shared" si="193"/>
        <v>0</v>
      </c>
      <c r="P328" s="626">
        <f t="shared" si="193"/>
        <v>0</v>
      </c>
      <c r="Q328" s="624">
        <f t="shared" si="193"/>
        <v>0</v>
      </c>
      <c r="R328" s="357"/>
      <c r="S328" s="858">
        <v>2702</v>
      </c>
      <c r="T328" s="858">
        <v>740</v>
      </c>
      <c r="U328" s="858">
        <v>2844</v>
      </c>
      <c r="V328" s="858">
        <v>1736</v>
      </c>
      <c r="W328" s="858">
        <v>1292</v>
      </c>
      <c r="X328" s="858">
        <v>916</v>
      </c>
      <c r="Y328" s="859">
        <v>10230</v>
      </c>
      <c r="Z328" s="859"/>
      <c r="AA328" s="858"/>
      <c r="AB328" s="858"/>
      <c r="AC328" s="858"/>
      <c r="AD328" s="858"/>
      <c r="AE328" s="859">
        <v>1452</v>
      </c>
      <c r="AF328" s="859"/>
      <c r="AG328" s="858"/>
      <c r="AH328" s="859"/>
    </row>
    <row r="329" spans="1:34">
      <c r="A329" s="883"/>
      <c r="B329" s="239" t="s">
        <v>55</v>
      </c>
      <c r="C329" s="806">
        <f t="shared" si="194"/>
        <v>0.19246391841673149</v>
      </c>
      <c r="D329" s="806">
        <f t="shared" si="192"/>
        <v>0.19192377495462795</v>
      </c>
      <c r="E329" s="806">
        <f t="shared" si="192"/>
        <v>0.26027878645894342</v>
      </c>
      <c r="F329" s="806">
        <f t="shared" si="192"/>
        <v>0.29786457382734077</v>
      </c>
      <c r="G329" s="806">
        <f t="shared" si="192"/>
        <v>0.33867595818815333</v>
      </c>
      <c r="H329" s="806">
        <f t="shared" si="192"/>
        <v>0.30922693266832918</v>
      </c>
      <c r="I329" s="624">
        <f t="shared" si="192"/>
        <v>0.25425010502730711</v>
      </c>
      <c r="J329" s="624">
        <f t="shared" si="192"/>
        <v>0</v>
      </c>
      <c r="K329" s="625">
        <f t="shared" si="192"/>
        <v>0</v>
      </c>
      <c r="L329" s="625">
        <f t="shared" si="192"/>
        <v>0</v>
      </c>
      <c r="M329" s="625">
        <f t="shared" si="192"/>
        <v>0</v>
      </c>
      <c r="N329" s="624">
        <f t="shared" si="195"/>
        <v>0.31183578395690786</v>
      </c>
      <c r="O329" s="624">
        <f t="shared" si="193"/>
        <v>0</v>
      </c>
      <c r="P329" s="626">
        <f t="shared" si="193"/>
        <v>0</v>
      </c>
      <c r="Q329" s="624">
        <f t="shared" si="193"/>
        <v>0</v>
      </c>
      <c r="R329" s="357"/>
      <c r="S329" s="858">
        <v>2227</v>
      </c>
      <c r="T329" s="858">
        <v>423</v>
      </c>
      <c r="U329" s="858">
        <v>2222</v>
      </c>
      <c r="V329" s="858">
        <v>1632</v>
      </c>
      <c r="W329" s="858">
        <v>1458</v>
      </c>
      <c r="X329" s="858">
        <v>1116</v>
      </c>
      <c r="Y329" s="859">
        <v>9078</v>
      </c>
      <c r="Z329" s="859"/>
      <c r="AA329" s="858"/>
      <c r="AB329" s="858"/>
      <c r="AC329" s="858"/>
      <c r="AD329" s="858"/>
      <c r="AE329" s="859">
        <v>2142</v>
      </c>
      <c r="AF329" s="859"/>
      <c r="AG329" s="858"/>
      <c r="AH329" s="859"/>
    </row>
    <row r="330" spans="1:34">
      <c r="A330" s="883"/>
      <c r="B330" s="239" t="s">
        <v>78</v>
      </c>
      <c r="C330" s="806">
        <f t="shared" si="194"/>
        <v>7.0866822227983756E-3</v>
      </c>
      <c r="D330" s="806">
        <f t="shared" si="192"/>
        <v>7.9401088929219599E-2</v>
      </c>
      <c r="E330" s="806">
        <f t="shared" si="192"/>
        <v>1.0073796415602672E-2</v>
      </c>
      <c r="F330" s="806">
        <f t="shared" si="192"/>
        <v>4.0518342763277967E-2</v>
      </c>
      <c r="G330" s="806">
        <f t="shared" si="192"/>
        <v>0.10452961672473868</v>
      </c>
      <c r="H330" s="806">
        <f t="shared" si="192"/>
        <v>2.6600166251039069E-2</v>
      </c>
      <c r="I330" s="624">
        <f t="shared" si="192"/>
        <v>3.1116090183447697E-2</v>
      </c>
      <c r="J330" s="624">
        <f t="shared" si="192"/>
        <v>0</v>
      </c>
      <c r="K330" s="625">
        <f t="shared" si="192"/>
        <v>0</v>
      </c>
      <c r="L330" s="625">
        <f t="shared" si="192"/>
        <v>0</v>
      </c>
      <c r="M330" s="625">
        <f t="shared" si="192"/>
        <v>0</v>
      </c>
      <c r="N330" s="624">
        <f t="shared" si="195"/>
        <v>0.13524530499344883</v>
      </c>
      <c r="O330" s="624">
        <f t="shared" si="193"/>
        <v>0</v>
      </c>
      <c r="P330" s="626">
        <f t="shared" si="193"/>
        <v>0</v>
      </c>
      <c r="Q330" s="624">
        <f t="shared" si="193"/>
        <v>0</v>
      </c>
      <c r="R330" s="357"/>
      <c r="S330" s="858">
        <v>82</v>
      </c>
      <c r="T330" s="858">
        <v>175</v>
      </c>
      <c r="U330" s="858">
        <v>86</v>
      </c>
      <c r="V330" s="858">
        <v>222</v>
      </c>
      <c r="W330" s="858">
        <v>450</v>
      </c>
      <c r="X330" s="858">
        <v>96</v>
      </c>
      <c r="Y330" s="859">
        <v>1111</v>
      </c>
      <c r="Z330" s="859"/>
      <c r="AA330" s="858"/>
      <c r="AB330" s="858"/>
      <c r="AC330" s="858"/>
      <c r="AD330" s="858"/>
      <c r="AE330" s="859">
        <v>929</v>
      </c>
      <c r="AF330" s="859"/>
      <c r="AG330" s="858"/>
      <c r="AH330" s="859"/>
    </row>
    <row r="331" spans="1:34">
      <c r="A331" s="884"/>
      <c r="B331" s="580" t="s">
        <v>131</v>
      </c>
      <c r="C331" s="806">
        <f t="shared" si="194"/>
        <v>0.20127905971826118</v>
      </c>
      <c r="D331" s="806">
        <f t="shared" si="192"/>
        <v>6.6696914700544466E-2</v>
      </c>
      <c r="E331" s="806">
        <f t="shared" si="192"/>
        <v>9.5115380110108935E-2</v>
      </c>
      <c r="F331" s="806">
        <f t="shared" si="192"/>
        <v>7.7568899434203323E-2</v>
      </c>
      <c r="G331" s="806">
        <f t="shared" si="192"/>
        <v>4.0882694541231127E-2</v>
      </c>
      <c r="H331" s="806">
        <f t="shared" si="192"/>
        <v>0.11526738708783596</v>
      </c>
      <c r="I331" s="624">
        <f t="shared" si="192"/>
        <v>0.12057134855062317</v>
      </c>
      <c r="J331" s="624">
        <f t="shared" si="192"/>
        <v>0</v>
      </c>
      <c r="K331" s="625">
        <f t="shared" si="192"/>
        <v>0</v>
      </c>
      <c r="L331" s="625">
        <f t="shared" si="192"/>
        <v>0</v>
      </c>
      <c r="M331" s="625">
        <f t="shared" si="192"/>
        <v>0</v>
      </c>
      <c r="N331" s="624">
        <f t="shared" si="195"/>
        <v>8.0361042364245155E-2</v>
      </c>
      <c r="O331" s="624">
        <f t="shared" si="193"/>
        <v>0</v>
      </c>
      <c r="P331" s="626">
        <f t="shared" si="193"/>
        <v>0</v>
      </c>
      <c r="Q331" s="624">
        <f t="shared" si="193"/>
        <v>1</v>
      </c>
      <c r="R331" s="357"/>
      <c r="S331" s="858">
        <f>1255+1074</f>
        <v>2329</v>
      </c>
      <c r="T331" s="858">
        <f>116+31</f>
        <v>147</v>
      </c>
      <c r="U331" s="858">
        <f>760+52</f>
        <v>812</v>
      </c>
      <c r="V331" s="858">
        <f>333+92</f>
        <v>425</v>
      </c>
      <c r="W331" s="858">
        <f>131+45</f>
        <v>176</v>
      </c>
      <c r="X331" s="858">
        <f>192+224</f>
        <v>416</v>
      </c>
      <c r="Y331" s="859">
        <f>2787+1518</f>
        <v>4305</v>
      </c>
      <c r="Z331" s="859"/>
      <c r="AA331" s="858"/>
      <c r="AB331" s="858"/>
      <c r="AC331" s="858"/>
      <c r="AD331" s="858"/>
      <c r="AE331" s="859">
        <f>434+118</f>
        <v>552</v>
      </c>
      <c r="AF331" s="859"/>
      <c r="AG331" s="858"/>
      <c r="AH331" s="859">
        <v>9</v>
      </c>
    </row>
    <row r="332" spans="1:34">
      <c r="A332" s="885"/>
      <c r="B332" s="436" t="s">
        <v>59</v>
      </c>
      <c r="C332" s="807">
        <f t="shared" si="194"/>
        <v>1</v>
      </c>
      <c r="D332" s="808">
        <f t="shared" si="192"/>
        <v>1</v>
      </c>
      <c r="E332" s="808">
        <f t="shared" si="192"/>
        <v>1</v>
      </c>
      <c r="F332" s="808">
        <f t="shared" si="192"/>
        <v>1</v>
      </c>
      <c r="G332" s="808">
        <f t="shared" si="192"/>
        <v>1</v>
      </c>
      <c r="H332" s="809">
        <f t="shared" si="192"/>
        <v>1</v>
      </c>
      <c r="I332" s="577">
        <f t="shared" si="192"/>
        <v>1</v>
      </c>
      <c r="J332" s="577">
        <f t="shared" si="192"/>
        <v>0</v>
      </c>
      <c r="K332" s="578">
        <f t="shared" si="192"/>
        <v>0</v>
      </c>
      <c r="L332" s="578">
        <f t="shared" si="192"/>
        <v>0</v>
      </c>
      <c r="M332" s="578">
        <f t="shared" si="192"/>
        <v>0</v>
      </c>
      <c r="N332" s="577">
        <f t="shared" si="195"/>
        <v>1</v>
      </c>
      <c r="O332" s="577">
        <f t="shared" si="193"/>
        <v>0</v>
      </c>
      <c r="P332" s="579">
        <f t="shared" si="193"/>
        <v>0</v>
      </c>
      <c r="Q332" s="577">
        <f t="shared" si="193"/>
        <v>1</v>
      </c>
      <c r="R332" s="357"/>
      <c r="S332" s="858">
        <v>11571</v>
      </c>
      <c r="T332" s="858">
        <v>2204</v>
      </c>
      <c r="U332" s="858">
        <v>8537</v>
      </c>
      <c r="V332" s="858">
        <v>5479</v>
      </c>
      <c r="W332" s="858">
        <v>4305</v>
      </c>
      <c r="X332" s="858">
        <v>3609</v>
      </c>
      <c r="Y332" s="859">
        <v>35705</v>
      </c>
      <c r="Z332" s="859"/>
      <c r="AA332" s="858"/>
      <c r="AB332" s="858"/>
      <c r="AC332" s="858"/>
      <c r="AD332" s="858"/>
      <c r="AE332" s="859">
        <v>6869</v>
      </c>
      <c r="AF332" s="859"/>
      <c r="AG332" s="858"/>
      <c r="AH332" s="859">
        <v>9</v>
      </c>
    </row>
    <row r="333" spans="1:34">
      <c r="A333" s="882" t="s">
        <v>162</v>
      </c>
      <c r="B333" s="240" t="s">
        <v>53</v>
      </c>
      <c r="C333" s="806">
        <f>IF(S338&gt;0,(S333/S338),0)</f>
        <v>0.29882237487733071</v>
      </c>
      <c r="D333" s="806">
        <f t="shared" ref="D333:M333" si="196">IF(T338&gt;0,(T333/T338),0)</f>
        <v>0.26666666666666666</v>
      </c>
      <c r="E333" s="806">
        <f t="shared" si="196"/>
        <v>0.2384090909090909</v>
      </c>
      <c r="F333" s="806">
        <f t="shared" si="196"/>
        <v>0.27986995394202113</v>
      </c>
      <c r="G333" s="806">
        <f t="shared" si="196"/>
        <v>0.23115789473684212</v>
      </c>
      <c r="H333" s="806">
        <f t="shared" si="196"/>
        <v>0.23202971378632292</v>
      </c>
      <c r="I333" s="613">
        <f t="shared" si="196"/>
        <v>0.26701590555365751</v>
      </c>
      <c r="J333" s="613">
        <f t="shared" si="196"/>
        <v>0</v>
      </c>
      <c r="K333" s="614">
        <f t="shared" si="196"/>
        <v>0</v>
      </c>
      <c r="L333" s="614">
        <f t="shared" si="196"/>
        <v>0</v>
      </c>
      <c r="M333" s="614">
        <f t="shared" si="196"/>
        <v>0</v>
      </c>
      <c r="N333" s="613">
        <f>IF(AE338&gt;0,(AE333/AE338),0)</f>
        <v>0.22548365577051369</v>
      </c>
      <c r="O333" s="613">
        <f t="shared" ref="O333:Q333" si="197">IF(AF338&gt;0,(AF333/AF338),0)</f>
        <v>0</v>
      </c>
      <c r="P333" s="615">
        <f t="shared" si="197"/>
        <v>0</v>
      </c>
      <c r="Q333" s="613">
        <f t="shared" si="197"/>
        <v>0</v>
      </c>
      <c r="R333" s="799"/>
      <c r="S333" s="856">
        <v>3045</v>
      </c>
      <c r="T333" s="856">
        <v>296</v>
      </c>
      <c r="U333" s="856">
        <v>1049</v>
      </c>
      <c r="V333" s="856">
        <v>1033</v>
      </c>
      <c r="W333" s="856">
        <v>549</v>
      </c>
      <c r="X333" s="856">
        <v>1062</v>
      </c>
      <c r="Y333" s="857">
        <v>7034</v>
      </c>
      <c r="Z333" s="857"/>
      <c r="AA333" s="856"/>
      <c r="AB333" s="856"/>
      <c r="AC333" s="856"/>
      <c r="AD333" s="856"/>
      <c r="AE333" s="857">
        <v>676</v>
      </c>
      <c r="AF333" s="857"/>
      <c r="AG333" s="856"/>
      <c r="AH333" s="857"/>
    </row>
    <row r="334" spans="1:34">
      <c r="A334" s="883"/>
      <c r="B334" s="239" t="s">
        <v>93</v>
      </c>
      <c r="C334" s="806">
        <f>IF(S338&gt;0,(S334/S338),0)</f>
        <v>0.21442590775269874</v>
      </c>
      <c r="D334" s="806">
        <f t="shared" ref="D334:M334" si="198">IF(T338&gt;0,(T334/T338),0)</f>
        <v>0.32072072072072072</v>
      </c>
      <c r="E334" s="806">
        <f t="shared" si="198"/>
        <v>0.31613636363636366</v>
      </c>
      <c r="F334" s="806">
        <f t="shared" si="198"/>
        <v>0.28881062042806827</v>
      </c>
      <c r="G334" s="806">
        <f t="shared" si="198"/>
        <v>0.32294736842105265</v>
      </c>
      <c r="H334" s="806">
        <f t="shared" si="198"/>
        <v>0.31068385405287308</v>
      </c>
      <c r="I334" s="624">
        <f t="shared" si="198"/>
        <v>0.27282390008730972</v>
      </c>
      <c r="J334" s="624">
        <f t="shared" si="198"/>
        <v>0</v>
      </c>
      <c r="K334" s="625">
        <f t="shared" si="198"/>
        <v>0</v>
      </c>
      <c r="L334" s="625">
        <f t="shared" si="198"/>
        <v>0</v>
      </c>
      <c r="M334" s="625">
        <f t="shared" si="198"/>
        <v>0</v>
      </c>
      <c r="N334" s="624">
        <f>IF(AE338&gt;0,(AE334/AE338),0)</f>
        <v>0.2248165443629086</v>
      </c>
      <c r="O334" s="624">
        <f t="shared" ref="O334:Q334" si="199">IF(AF338&gt;0,(AF334/AF338),0)</f>
        <v>0</v>
      </c>
      <c r="P334" s="626">
        <f t="shared" si="199"/>
        <v>0</v>
      </c>
      <c r="Q334" s="624">
        <f t="shared" si="199"/>
        <v>0</v>
      </c>
      <c r="R334" s="357"/>
      <c r="S334" s="858">
        <v>2185</v>
      </c>
      <c r="T334" s="858">
        <v>356</v>
      </c>
      <c r="U334" s="858">
        <v>1391</v>
      </c>
      <c r="V334" s="858">
        <v>1066</v>
      </c>
      <c r="W334" s="858">
        <v>767</v>
      </c>
      <c r="X334" s="858">
        <v>1422</v>
      </c>
      <c r="Y334" s="859">
        <v>7187</v>
      </c>
      <c r="Z334" s="859"/>
      <c r="AA334" s="858"/>
      <c r="AB334" s="858"/>
      <c r="AC334" s="858"/>
      <c r="AD334" s="858"/>
      <c r="AE334" s="859">
        <v>674</v>
      </c>
      <c r="AF334" s="859"/>
      <c r="AG334" s="858"/>
      <c r="AH334" s="859"/>
    </row>
    <row r="335" spans="1:34">
      <c r="A335" s="883"/>
      <c r="B335" s="239" t="s">
        <v>55</v>
      </c>
      <c r="C335" s="806">
        <f>IF(S338&gt;0,(S335/S338),0)</f>
        <v>0.2338567222767419</v>
      </c>
      <c r="D335" s="806">
        <f t="shared" ref="D335:M335" si="200">IF(T338&gt;0,(T335/T338),0)</f>
        <v>0.32162162162162161</v>
      </c>
      <c r="E335" s="806">
        <f t="shared" si="200"/>
        <v>0.33568181818181819</v>
      </c>
      <c r="F335" s="806">
        <f t="shared" si="200"/>
        <v>0.29666756976429154</v>
      </c>
      <c r="G335" s="806">
        <f t="shared" si="200"/>
        <v>0.32168421052631579</v>
      </c>
      <c r="H335" s="806">
        <f t="shared" si="200"/>
        <v>0.29080183526327291</v>
      </c>
      <c r="I335" s="624">
        <f t="shared" si="200"/>
        <v>0.2811752647762214</v>
      </c>
      <c r="J335" s="624">
        <f t="shared" si="200"/>
        <v>0</v>
      </c>
      <c r="K335" s="625">
        <f t="shared" si="200"/>
        <v>0</v>
      </c>
      <c r="L335" s="625">
        <f t="shared" si="200"/>
        <v>0</v>
      </c>
      <c r="M335" s="625">
        <f t="shared" si="200"/>
        <v>0</v>
      </c>
      <c r="N335" s="624">
        <f>IF(AE338&gt;0,(AE335/AE338),0)</f>
        <v>0.27418278852568378</v>
      </c>
      <c r="O335" s="624">
        <f t="shared" ref="O335:Q335" si="201">IF(AF338&gt;0,(AF335/AF338),0)</f>
        <v>0</v>
      </c>
      <c r="P335" s="626">
        <f t="shared" si="201"/>
        <v>0</v>
      </c>
      <c r="Q335" s="624">
        <f t="shared" si="201"/>
        <v>0</v>
      </c>
      <c r="R335" s="357"/>
      <c r="S335" s="858">
        <v>2383</v>
      </c>
      <c r="T335" s="858">
        <v>357</v>
      </c>
      <c r="U335" s="858">
        <v>1477</v>
      </c>
      <c r="V335" s="858">
        <v>1095</v>
      </c>
      <c r="W335" s="858">
        <v>764</v>
      </c>
      <c r="X335" s="858">
        <v>1331</v>
      </c>
      <c r="Y335" s="859">
        <v>7407</v>
      </c>
      <c r="Z335" s="859"/>
      <c r="AA335" s="858"/>
      <c r="AB335" s="858"/>
      <c r="AC335" s="858"/>
      <c r="AD335" s="858"/>
      <c r="AE335" s="859">
        <v>822</v>
      </c>
      <c r="AF335" s="859"/>
      <c r="AG335" s="858"/>
      <c r="AH335" s="859"/>
    </row>
    <row r="336" spans="1:34">
      <c r="A336" s="883"/>
      <c r="B336" s="239" t="s">
        <v>78</v>
      </c>
      <c r="C336" s="806">
        <f>IF(S338&gt;0,(S336/S338),0)</f>
        <v>0.10107948969578018</v>
      </c>
      <c r="D336" s="806">
        <f t="shared" ref="D336:M336" si="202">IF(T338&gt;0,(T336/T338),0)</f>
        <v>7.9279279279279274E-2</v>
      </c>
      <c r="E336" s="806">
        <f t="shared" si="202"/>
        <v>8.2727272727272733E-2</v>
      </c>
      <c r="F336" s="806">
        <f t="shared" si="202"/>
        <v>8.9135735573015448E-2</v>
      </c>
      <c r="G336" s="806">
        <f t="shared" si="202"/>
        <v>6.273684210526316E-2</v>
      </c>
      <c r="H336" s="806">
        <f t="shared" si="202"/>
        <v>0.11645182433908674</v>
      </c>
      <c r="I336" s="624">
        <f t="shared" si="202"/>
        <v>9.4636146224803555E-2</v>
      </c>
      <c r="J336" s="624">
        <f t="shared" si="202"/>
        <v>0</v>
      </c>
      <c r="K336" s="625">
        <f t="shared" si="202"/>
        <v>0</v>
      </c>
      <c r="L336" s="625">
        <f t="shared" si="202"/>
        <v>0</v>
      </c>
      <c r="M336" s="625">
        <f t="shared" si="202"/>
        <v>0</v>
      </c>
      <c r="N336" s="624">
        <f>IF(AE338&gt;0,(AE336/AE338),0)</f>
        <v>0.25416944629753169</v>
      </c>
      <c r="O336" s="624">
        <f t="shared" ref="O336:Q336" si="203">IF(AF338&gt;0,(AF336/AF338),0)</f>
        <v>0</v>
      </c>
      <c r="P336" s="626">
        <f t="shared" si="203"/>
        <v>0</v>
      </c>
      <c r="Q336" s="624">
        <f t="shared" si="203"/>
        <v>1</v>
      </c>
      <c r="R336" s="357"/>
      <c r="S336" s="858">
        <v>1030</v>
      </c>
      <c r="T336" s="858">
        <v>88</v>
      </c>
      <c r="U336" s="858">
        <v>364</v>
      </c>
      <c r="V336" s="858">
        <v>329</v>
      </c>
      <c r="W336" s="858">
        <v>149</v>
      </c>
      <c r="X336" s="858">
        <v>533</v>
      </c>
      <c r="Y336" s="859">
        <v>2493</v>
      </c>
      <c r="Z336" s="859"/>
      <c r="AA336" s="858"/>
      <c r="AB336" s="858"/>
      <c r="AC336" s="858"/>
      <c r="AD336" s="858"/>
      <c r="AE336" s="859">
        <v>762</v>
      </c>
      <c r="AF336" s="859"/>
      <c r="AG336" s="858"/>
      <c r="AH336" s="859">
        <v>184</v>
      </c>
    </row>
    <row r="337" spans="1:34">
      <c r="A337" s="884"/>
      <c r="B337" s="580" t="s">
        <v>131</v>
      </c>
      <c r="C337" s="806">
        <f>IF(S338&gt;0,(S337/S338),0)</f>
        <v>0.15181550539744848</v>
      </c>
      <c r="D337" s="806">
        <f t="shared" ref="D337:M337" si="204">IF(T338&gt;0,(T337/T338),0)</f>
        <v>1.1711711711711712E-2</v>
      </c>
      <c r="E337" s="806">
        <f t="shared" si="204"/>
        <v>2.7045454545454546E-2</v>
      </c>
      <c r="F337" s="806">
        <f t="shared" si="204"/>
        <v>4.5516120292603629E-2</v>
      </c>
      <c r="G337" s="806">
        <f t="shared" si="204"/>
        <v>6.1473684210526319E-2</v>
      </c>
      <c r="H337" s="806">
        <f t="shared" si="204"/>
        <v>5.0032772558444398E-2</v>
      </c>
      <c r="I337" s="624">
        <f t="shared" si="204"/>
        <v>8.4348783358007814E-2</v>
      </c>
      <c r="J337" s="624">
        <f t="shared" si="204"/>
        <v>0</v>
      </c>
      <c r="K337" s="625">
        <f t="shared" si="204"/>
        <v>0</v>
      </c>
      <c r="L337" s="625">
        <f t="shared" si="204"/>
        <v>0</v>
      </c>
      <c r="M337" s="625">
        <f t="shared" si="204"/>
        <v>0</v>
      </c>
      <c r="N337" s="624">
        <f>IF(AE338&gt;0,(AE337/AE338),0)</f>
        <v>2.134756504336224E-2</v>
      </c>
      <c r="O337" s="624">
        <f t="shared" ref="O337:Q337" si="205">IF(AF338&gt;0,(AF337/AF338),0)</f>
        <v>0</v>
      </c>
      <c r="P337" s="626">
        <f t="shared" si="205"/>
        <v>0</v>
      </c>
      <c r="Q337" s="624">
        <f t="shared" si="205"/>
        <v>0</v>
      </c>
      <c r="R337" s="357"/>
      <c r="S337" s="858">
        <f>1217+330</f>
        <v>1547</v>
      </c>
      <c r="T337" s="858">
        <f>0+13</f>
        <v>13</v>
      </c>
      <c r="U337" s="858">
        <f>61+58</f>
        <v>119</v>
      </c>
      <c r="V337" s="858">
        <f>102+66</f>
        <v>168</v>
      </c>
      <c r="W337" s="858">
        <f>131+15</f>
        <v>146</v>
      </c>
      <c r="X337" s="858">
        <f>171+58</f>
        <v>229</v>
      </c>
      <c r="Y337" s="859">
        <f>1682+540</f>
        <v>2222</v>
      </c>
      <c r="Z337" s="859"/>
      <c r="AA337" s="858"/>
      <c r="AB337" s="858"/>
      <c r="AC337" s="858"/>
      <c r="AD337" s="858"/>
      <c r="AE337" s="859">
        <f>12+52</f>
        <v>64</v>
      </c>
      <c r="AF337" s="859"/>
      <c r="AG337" s="858"/>
      <c r="AH337" s="859"/>
    </row>
    <row r="338" spans="1:34">
      <c r="A338" s="885"/>
      <c r="B338" s="436" t="s">
        <v>59</v>
      </c>
      <c r="C338" s="807">
        <f>IF(S338&gt;0,(S338/S338),0)</f>
        <v>1</v>
      </c>
      <c r="D338" s="808">
        <f t="shared" ref="D338:M338" si="206">IF(T338&gt;0,(T338/T338),0)</f>
        <v>1</v>
      </c>
      <c r="E338" s="808">
        <f t="shared" si="206"/>
        <v>1</v>
      </c>
      <c r="F338" s="808">
        <f t="shared" si="206"/>
        <v>1</v>
      </c>
      <c r="G338" s="808">
        <f t="shared" si="206"/>
        <v>1</v>
      </c>
      <c r="H338" s="809">
        <f t="shared" si="206"/>
        <v>1</v>
      </c>
      <c r="I338" s="577">
        <f t="shared" si="206"/>
        <v>1</v>
      </c>
      <c r="J338" s="577">
        <f t="shared" si="206"/>
        <v>0</v>
      </c>
      <c r="K338" s="578">
        <f t="shared" si="206"/>
        <v>0</v>
      </c>
      <c r="L338" s="578">
        <f t="shared" si="206"/>
        <v>0</v>
      </c>
      <c r="M338" s="578">
        <f t="shared" si="206"/>
        <v>0</v>
      </c>
      <c r="N338" s="577">
        <f>IF(AE338&gt;0,(AE338/AE338),0)</f>
        <v>1</v>
      </c>
      <c r="O338" s="577">
        <f t="shared" ref="O338:Q338" si="207">IF(AF338&gt;0,(AF338/AF338),0)</f>
        <v>0</v>
      </c>
      <c r="P338" s="579">
        <f t="shared" si="207"/>
        <v>0</v>
      </c>
      <c r="Q338" s="577">
        <f t="shared" si="207"/>
        <v>1</v>
      </c>
      <c r="R338" s="357"/>
      <c r="S338" s="858">
        <v>10190</v>
      </c>
      <c r="T338" s="858">
        <v>1110</v>
      </c>
      <c r="U338" s="858">
        <v>4400</v>
      </c>
      <c r="V338" s="858">
        <v>3691</v>
      </c>
      <c r="W338" s="858">
        <v>2375</v>
      </c>
      <c r="X338" s="858">
        <v>4577</v>
      </c>
      <c r="Y338" s="859">
        <v>26343</v>
      </c>
      <c r="Z338" s="859"/>
      <c r="AA338" s="858"/>
      <c r="AB338" s="858"/>
      <c r="AC338" s="858"/>
      <c r="AD338" s="858"/>
      <c r="AE338" s="859">
        <v>2998</v>
      </c>
      <c r="AF338" s="859"/>
      <c r="AG338" s="858"/>
      <c r="AH338" s="859">
        <v>184</v>
      </c>
    </row>
    <row r="339" spans="1:34">
      <c r="A339" s="882" t="s">
        <v>163</v>
      </c>
      <c r="B339" s="240" t="s">
        <v>53</v>
      </c>
      <c r="C339" s="806">
        <f>IF(S344&gt;0,(S339/S344),0)</f>
        <v>0.47005208333333331</v>
      </c>
      <c r="D339" s="806">
        <f t="shared" ref="D339:M339" si="208">IF(T344&gt;0,(T339/T344),0)</f>
        <v>0.41193181818181818</v>
      </c>
      <c r="E339" s="806">
        <f t="shared" si="208"/>
        <v>0.37195121951219512</v>
      </c>
      <c r="F339" s="806">
        <f t="shared" si="208"/>
        <v>0.2969502407704655</v>
      </c>
      <c r="G339" s="806">
        <f t="shared" si="208"/>
        <v>0.26153846153846155</v>
      </c>
      <c r="H339" s="806">
        <f t="shared" si="208"/>
        <v>0.11538461538461539</v>
      </c>
      <c r="I339" s="613">
        <f t="shared" si="208"/>
        <v>0.36303191489361702</v>
      </c>
      <c r="J339" s="613">
        <f t="shared" si="208"/>
        <v>0</v>
      </c>
      <c r="K339" s="614">
        <f t="shared" si="208"/>
        <v>0</v>
      </c>
      <c r="L339" s="614">
        <f t="shared" si="208"/>
        <v>0</v>
      </c>
      <c r="M339" s="614">
        <f t="shared" si="208"/>
        <v>0</v>
      </c>
      <c r="N339" s="613">
        <f>IF(AE344&gt;0,(AE339/AE344),0)</f>
        <v>0.41194968553459121</v>
      </c>
      <c r="O339" s="613">
        <f t="shared" ref="O339:Q339" si="209">IF(AF344&gt;0,(AF339/AF344),0)</f>
        <v>0</v>
      </c>
      <c r="P339" s="615">
        <f t="shared" si="209"/>
        <v>0</v>
      </c>
      <c r="Q339" s="613">
        <f t="shared" si="209"/>
        <v>0</v>
      </c>
      <c r="R339" s="799"/>
      <c r="S339" s="856">
        <v>361</v>
      </c>
      <c r="T339" s="856">
        <v>290</v>
      </c>
      <c r="U339" s="856">
        <v>122</v>
      </c>
      <c r="V339" s="856">
        <v>185</v>
      </c>
      <c r="W339" s="856">
        <v>119</v>
      </c>
      <c r="X339" s="856">
        <v>15</v>
      </c>
      <c r="Y339" s="857">
        <v>1092</v>
      </c>
      <c r="Z339" s="857"/>
      <c r="AA339" s="856"/>
      <c r="AB339" s="856"/>
      <c r="AC339" s="856"/>
      <c r="AD339" s="856"/>
      <c r="AE339" s="857">
        <v>131</v>
      </c>
      <c r="AF339" s="857"/>
      <c r="AG339" s="856"/>
      <c r="AH339" s="857"/>
    </row>
    <row r="340" spans="1:34">
      <c r="A340" s="883"/>
      <c r="B340" s="239" t="s">
        <v>93</v>
      </c>
      <c r="C340" s="806">
        <f>IF(S344&gt;0,(S340/S344),0)</f>
        <v>0.16536458333333334</v>
      </c>
      <c r="D340" s="806">
        <f t="shared" ref="D340:M340" si="210">IF(T344&gt;0,(T340/T344),0)</f>
        <v>0.25284090909090912</v>
      </c>
      <c r="E340" s="806">
        <f t="shared" si="210"/>
        <v>0.34451219512195119</v>
      </c>
      <c r="F340" s="806">
        <f t="shared" si="210"/>
        <v>0.3113964686998395</v>
      </c>
      <c r="G340" s="806">
        <f t="shared" si="210"/>
        <v>0.36923076923076925</v>
      </c>
      <c r="H340" s="806">
        <f t="shared" si="210"/>
        <v>0.30769230769230771</v>
      </c>
      <c r="I340" s="624">
        <f t="shared" si="210"/>
        <v>0.27260638297872342</v>
      </c>
      <c r="J340" s="624">
        <f t="shared" si="210"/>
        <v>0</v>
      </c>
      <c r="K340" s="625">
        <f t="shared" si="210"/>
        <v>0</v>
      </c>
      <c r="L340" s="625">
        <f t="shared" si="210"/>
        <v>0</v>
      </c>
      <c r="M340" s="625">
        <f t="shared" si="210"/>
        <v>0</v>
      </c>
      <c r="N340" s="624">
        <f>IF(AE344&gt;0,(AE340/AE344),0)</f>
        <v>0.22955974842767296</v>
      </c>
      <c r="O340" s="624">
        <f t="shared" ref="O340:Q340" si="211">IF(AF344&gt;0,(AF340/AF344),0)</f>
        <v>0</v>
      </c>
      <c r="P340" s="626">
        <f t="shared" si="211"/>
        <v>0</v>
      </c>
      <c r="Q340" s="624">
        <f t="shared" si="211"/>
        <v>0</v>
      </c>
      <c r="R340" s="357"/>
      <c r="S340" s="858">
        <v>127</v>
      </c>
      <c r="T340" s="858">
        <v>178</v>
      </c>
      <c r="U340" s="858">
        <v>113</v>
      </c>
      <c r="V340" s="858">
        <v>194</v>
      </c>
      <c r="W340" s="858">
        <v>168</v>
      </c>
      <c r="X340" s="858">
        <v>40</v>
      </c>
      <c r="Y340" s="859">
        <v>820</v>
      </c>
      <c r="Z340" s="859"/>
      <c r="AA340" s="858"/>
      <c r="AB340" s="858"/>
      <c r="AC340" s="858"/>
      <c r="AD340" s="858"/>
      <c r="AE340" s="859">
        <v>73</v>
      </c>
      <c r="AF340" s="859"/>
      <c r="AG340" s="858"/>
      <c r="AH340" s="859"/>
    </row>
    <row r="341" spans="1:34">
      <c r="A341" s="883"/>
      <c r="B341" s="239" t="s">
        <v>55</v>
      </c>
      <c r="C341" s="806">
        <f>IF(S344&gt;0,(S341/S344),0)</f>
        <v>0.19401041666666666</v>
      </c>
      <c r="D341" s="806">
        <f t="shared" ref="D341:M341" si="212">IF(T344&gt;0,(T341/T344),0)</f>
        <v>0.16903409090909091</v>
      </c>
      <c r="E341" s="806">
        <f t="shared" si="212"/>
        <v>0.28353658536585363</v>
      </c>
      <c r="F341" s="806">
        <f t="shared" si="212"/>
        <v>0.32423756019261635</v>
      </c>
      <c r="G341" s="806">
        <f t="shared" si="212"/>
        <v>0.2153846153846154</v>
      </c>
      <c r="H341" s="806">
        <f t="shared" si="212"/>
        <v>0.43846153846153846</v>
      </c>
      <c r="I341" s="624">
        <f t="shared" si="212"/>
        <v>0.23869680851063829</v>
      </c>
      <c r="J341" s="624">
        <f t="shared" si="212"/>
        <v>0</v>
      </c>
      <c r="K341" s="625">
        <f t="shared" si="212"/>
        <v>0</v>
      </c>
      <c r="L341" s="625">
        <f t="shared" si="212"/>
        <v>0</v>
      </c>
      <c r="M341" s="625">
        <f t="shared" si="212"/>
        <v>0</v>
      </c>
      <c r="N341" s="624">
        <f>IF(AE344&gt;0,(AE341/AE344),0)</f>
        <v>0.35534591194968551</v>
      </c>
      <c r="O341" s="624">
        <f t="shared" ref="O341:Q341" si="213">IF(AF344&gt;0,(AF341/AF344),0)</f>
        <v>0</v>
      </c>
      <c r="P341" s="626">
        <f t="shared" si="213"/>
        <v>0</v>
      </c>
      <c r="Q341" s="624">
        <f t="shared" si="213"/>
        <v>0</v>
      </c>
      <c r="R341" s="357"/>
      <c r="S341" s="858">
        <v>149</v>
      </c>
      <c r="T341" s="858">
        <v>119</v>
      </c>
      <c r="U341" s="858">
        <v>93</v>
      </c>
      <c r="V341" s="858">
        <v>202</v>
      </c>
      <c r="W341" s="858">
        <v>98</v>
      </c>
      <c r="X341" s="858">
        <v>57</v>
      </c>
      <c r="Y341" s="859">
        <v>718</v>
      </c>
      <c r="Z341" s="859"/>
      <c r="AA341" s="858"/>
      <c r="AB341" s="858"/>
      <c r="AC341" s="858"/>
      <c r="AD341" s="858"/>
      <c r="AE341" s="859">
        <v>113</v>
      </c>
      <c r="AF341" s="859"/>
      <c r="AG341" s="858"/>
      <c r="AH341" s="859"/>
    </row>
    <row r="342" spans="1:34">
      <c r="A342" s="883"/>
      <c r="B342" s="239" t="s">
        <v>78</v>
      </c>
      <c r="C342" s="806">
        <f>IF(S344&gt;0,(S342/S344),0)</f>
        <v>0</v>
      </c>
      <c r="D342" s="806">
        <f t="shared" ref="D342:M342" si="214">IF(T344&gt;0,(T342/T344),0)</f>
        <v>7.102272727272727E-3</v>
      </c>
      <c r="E342" s="806">
        <f t="shared" si="214"/>
        <v>0</v>
      </c>
      <c r="F342" s="806">
        <f t="shared" si="214"/>
        <v>2.4077046548956663E-2</v>
      </c>
      <c r="G342" s="806">
        <f t="shared" si="214"/>
        <v>5.9340659340659338E-2</v>
      </c>
      <c r="H342" s="806">
        <f t="shared" si="214"/>
        <v>0.13846153846153847</v>
      </c>
      <c r="I342" s="624">
        <f t="shared" si="214"/>
        <v>2.1609042553191491E-2</v>
      </c>
      <c r="J342" s="624">
        <f t="shared" si="214"/>
        <v>0</v>
      </c>
      <c r="K342" s="625">
        <f t="shared" si="214"/>
        <v>0</v>
      </c>
      <c r="L342" s="625">
        <f t="shared" si="214"/>
        <v>0</v>
      </c>
      <c r="M342" s="625">
        <f t="shared" si="214"/>
        <v>0</v>
      </c>
      <c r="N342" s="624">
        <f>IF(AE344&gt;0,(AE342/AE344),0)</f>
        <v>3.1446540880503146E-3</v>
      </c>
      <c r="O342" s="624">
        <f t="shared" ref="O342:Q342" si="215">IF(AF344&gt;0,(AF342/AF344),0)</f>
        <v>0</v>
      </c>
      <c r="P342" s="626">
        <f t="shared" si="215"/>
        <v>0</v>
      </c>
      <c r="Q342" s="624">
        <f t="shared" si="215"/>
        <v>0</v>
      </c>
      <c r="R342" s="357"/>
      <c r="S342" s="858"/>
      <c r="T342" s="858">
        <v>5</v>
      </c>
      <c r="U342" s="858"/>
      <c r="V342" s="858">
        <v>15</v>
      </c>
      <c r="W342" s="858">
        <v>27</v>
      </c>
      <c r="X342" s="858">
        <v>18</v>
      </c>
      <c r="Y342" s="859">
        <v>65</v>
      </c>
      <c r="Z342" s="859"/>
      <c r="AA342" s="858"/>
      <c r="AB342" s="858"/>
      <c r="AC342" s="858"/>
      <c r="AD342" s="858"/>
      <c r="AE342" s="859">
        <v>1</v>
      </c>
      <c r="AF342" s="859"/>
      <c r="AG342" s="858"/>
      <c r="AH342" s="859"/>
    </row>
    <row r="343" spans="1:34">
      <c r="A343" s="884"/>
      <c r="B343" s="580" t="s">
        <v>131</v>
      </c>
      <c r="C343" s="806">
        <f>IF(S344&gt;0,(S343/S344),0)</f>
        <v>0.17057291666666666</v>
      </c>
      <c r="D343" s="806">
        <f t="shared" ref="D343:M343" si="216">IF(T344&gt;0,(T343/T344),0)</f>
        <v>0.15909090909090909</v>
      </c>
      <c r="E343" s="806">
        <f t="shared" si="216"/>
        <v>0</v>
      </c>
      <c r="F343" s="806">
        <f t="shared" si="216"/>
        <v>4.3338683788121987E-2</v>
      </c>
      <c r="G343" s="806">
        <f t="shared" si="216"/>
        <v>9.4505494505494503E-2</v>
      </c>
      <c r="H343" s="806">
        <f t="shared" si="216"/>
        <v>0</v>
      </c>
      <c r="I343" s="624">
        <f t="shared" si="216"/>
        <v>0.10405585106382979</v>
      </c>
      <c r="J343" s="624">
        <f t="shared" si="216"/>
        <v>0</v>
      </c>
      <c r="K343" s="625">
        <f t="shared" si="216"/>
        <v>0</v>
      </c>
      <c r="L343" s="625">
        <f t="shared" si="216"/>
        <v>0</v>
      </c>
      <c r="M343" s="625">
        <f t="shared" si="216"/>
        <v>0</v>
      </c>
      <c r="N343" s="624">
        <f>IF(AE344&gt;0,(AE343/AE344),0)</f>
        <v>0</v>
      </c>
      <c r="O343" s="624">
        <f t="shared" ref="O343:Q343" si="217">IF(AF344&gt;0,(AF343/AF344),0)</f>
        <v>0</v>
      </c>
      <c r="P343" s="626">
        <f t="shared" si="217"/>
        <v>0</v>
      </c>
      <c r="Q343" s="624">
        <f t="shared" si="217"/>
        <v>0</v>
      </c>
      <c r="R343" s="357"/>
      <c r="S343" s="858">
        <f>72+59</f>
        <v>131</v>
      </c>
      <c r="T343" s="858">
        <v>112</v>
      </c>
      <c r="U343" s="858"/>
      <c r="V343" s="858">
        <f>23+4</f>
        <v>27</v>
      </c>
      <c r="W343" s="858">
        <v>43</v>
      </c>
      <c r="X343" s="858"/>
      <c r="Y343" s="859">
        <f>250+63</f>
        <v>313</v>
      </c>
      <c r="Z343" s="859"/>
      <c r="AA343" s="858"/>
      <c r="AB343" s="858"/>
      <c r="AC343" s="858"/>
      <c r="AD343" s="858"/>
      <c r="AE343" s="859"/>
      <c r="AF343" s="859"/>
      <c r="AG343" s="858"/>
      <c r="AH343" s="859"/>
    </row>
    <row r="344" spans="1:34">
      <c r="A344" s="885"/>
      <c r="B344" s="436" t="s">
        <v>59</v>
      </c>
      <c r="C344" s="807">
        <f>IF(S344&gt;0,(S344/S344),0)</f>
        <v>1</v>
      </c>
      <c r="D344" s="808">
        <f t="shared" ref="D344:M344" si="218">IF(T344&gt;0,(T344/T344),0)</f>
        <v>1</v>
      </c>
      <c r="E344" s="808">
        <f t="shared" si="218"/>
        <v>1</v>
      </c>
      <c r="F344" s="808">
        <f t="shared" si="218"/>
        <v>1</v>
      </c>
      <c r="G344" s="808">
        <f t="shared" si="218"/>
        <v>1</v>
      </c>
      <c r="H344" s="809">
        <f t="shared" si="218"/>
        <v>1</v>
      </c>
      <c r="I344" s="577">
        <f t="shared" si="218"/>
        <v>1</v>
      </c>
      <c r="J344" s="577">
        <f t="shared" si="218"/>
        <v>0</v>
      </c>
      <c r="K344" s="578">
        <f t="shared" si="218"/>
        <v>0</v>
      </c>
      <c r="L344" s="578">
        <f t="shared" si="218"/>
        <v>0</v>
      </c>
      <c r="M344" s="578">
        <f t="shared" si="218"/>
        <v>0</v>
      </c>
      <c r="N344" s="577">
        <f>IF(AE344&gt;0,(AE344/AE344),0)</f>
        <v>1</v>
      </c>
      <c r="O344" s="577">
        <f t="shared" ref="O344:Q344" si="219">IF(AF344&gt;0,(AF344/AF344),0)</f>
        <v>0</v>
      </c>
      <c r="P344" s="579">
        <f t="shared" si="219"/>
        <v>0</v>
      </c>
      <c r="Q344" s="577">
        <f t="shared" si="219"/>
        <v>0</v>
      </c>
      <c r="R344" s="357"/>
      <c r="S344" s="858">
        <v>768</v>
      </c>
      <c r="T344" s="858">
        <v>704</v>
      </c>
      <c r="U344" s="858">
        <v>328</v>
      </c>
      <c r="V344" s="858">
        <v>623</v>
      </c>
      <c r="W344" s="858">
        <v>455</v>
      </c>
      <c r="X344" s="858">
        <v>130</v>
      </c>
      <c r="Y344" s="859">
        <v>3008</v>
      </c>
      <c r="Z344" s="859"/>
      <c r="AA344" s="858"/>
      <c r="AB344" s="858"/>
      <c r="AC344" s="858"/>
      <c r="AD344" s="858"/>
      <c r="AE344" s="859">
        <v>318</v>
      </c>
      <c r="AF344" s="859"/>
      <c r="AG344" s="858"/>
      <c r="AH344" s="859"/>
    </row>
    <row r="345" spans="1:34">
      <c r="A345" s="882" t="s">
        <v>166</v>
      </c>
      <c r="B345" s="240" t="s">
        <v>53</v>
      </c>
      <c r="C345" s="806">
        <f>IF(S350&gt;0,(S345/S350),0)</f>
        <v>0</v>
      </c>
      <c r="D345" s="806">
        <f t="shared" ref="D345:M345" si="220">IF(T350&gt;0,(T345/T350),0)</f>
        <v>0.28782894736842107</v>
      </c>
      <c r="E345" s="806">
        <f t="shared" si="220"/>
        <v>0</v>
      </c>
      <c r="F345" s="806">
        <f t="shared" si="220"/>
        <v>0.18437500000000001</v>
      </c>
      <c r="G345" s="806">
        <f t="shared" si="220"/>
        <v>0.37086092715231789</v>
      </c>
      <c r="H345" s="806">
        <f t="shared" si="220"/>
        <v>0.26315789473684209</v>
      </c>
      <c r="I345" s="613">
        <f t="shared" si="220"/>
        <v>0.29609609609609611</v>
      </c>
      <c r="J345" s="613">
        <f t="shared" si="220"/>
        <v>0</v>
      </c>
      <c r="K345" s="614">
        <f t="shared" si="220"/>
        <v>0</v>
      </c>
      <c r="L345" s="614">
        <f t="shared" si="220"/>
        <v>0</v>
      </c>
      <c r="M345" s="614">
        <f t="shared" si="220"/>
        <v>0</v>
      </c>
      <c r="N345" s="613">
        <f>IF(AE350&gt;0,(AE345/AE350),0)</f>
        <v>0.46666666666666667</v>
      </c>
      <c r="O345" s="613">
        <f t="shared" ref="O345:Q345" si="221">IF(AF350&gt;0,(AF345/AF350),0)</f>
        <v>0</v>
      </c>
      <c r="P345" s="615">
        <f t="shared" si="221"/>
        <v>0</v>
      </c>
      <c r="Q345" s="613">
        <f t="shared" si="221"/>
        <v>0</v>
      </c>
      <c r="R345" s="799"/>
      <c r="S345" s="856"/>
      <c r="T345" s="856">
        <v>175</v>
      </c>
      <c r="U345" s="856"/>
      <c r="V345" s="856">
        <v>59</v>
      </c>
      <c r="W345" s="856">
        <v>224</v>
      </c>
      <c r="X345" s="856">
        <v>35</v>
      </c>
      <c r="Y345" s="857">
        <v>493</v>
      </c>
      <c r="Z345" s="857"/>
      <c r="AA345" s="856"/>
      <c r="AB345" s="856"/>
      <c r="AC345" s="856"/>
      <c r="AD345" s="856"/>
      <c r="AE345" s="857">
        <v>42</v>
      </c>
      <c r="AF345" s="857"/>
      <c r="AG345" s="856"/>
      <c r="AH345" s="857"/>
    </row>
    <row r="346" spans="1:34">
      <c r="A346" s="883"/>
      <c r="B346" s="239" t="s">
        <v>93</v>
      </c>
      <c r="C346" s="806">
        <f>IF(S350&gt;0,(S346/S350),0)</f>
        <v>0</v>
      </c>
      <c r="D346" s="806">
        <f t="shared" ref="D346:M346" si="222">IF(T350&gt;0,(T346/T350),0)</f>
        <v>0.33388157894736842</v>
      </c>
      <c r="E346" s="806">
        <f t="shared" si="222"/>
        <v>0</v>
      </c>
      <c r="F346" s="806">
        <f t="shared" si="222"/>
        <v>0.23749999999999999</v>
      </c>
      <c r="G346" s="806">
        <f t="shared" si="222"/>
        <v>0.23675496688741721</v>
      </c>
      <c r="H346" s="806">
        <f t="shared" si="222"/>
        <v>0.23308270676691728</v>
      </c>
      <c r="I346" s="624">
        <f t="shared" si="222"/>
        <v>0.27207207207207207</v>
      </c>
      <c r="J346" s="624">
        <f t="shared" si="222"/>
        <v>0</v>
      </c>
      <c r="K346" s="625">
        <f t="shared" si="222"/>
        <v>0</v>
      </c>
      <c r="L346" s="625">
        <f t="shared" si="222"/>
        <v>0</v>
      </c>
      <c r="M346" s="625">
        <f t="shared" si="222"/>
        <v>0</v>
      </c>
      <c r="N346" s="624">
        <f>IF(AE350&gt;0,(AE346/AE350),0)</f>
        <v>0.2</v>
      </c>
      <c r="O346" s="624">
        <f t="shared" ref="O346:Q346" si="223">IF(AF350&gt;0,(AF346/AF350),0)</f>
        <v>0</v>
      </c>
      <c r="P346" s="626">
        <f t="shared" si="223"/>
        <v>0</v>
      </c>
      <c r="Q346" s="624">
        <f t="shared" si="223"/>
        <v>0</v>
      </c>
      <c r="R346" s="357"/>
      <c r="S346" s="858"/>
      <c r="T346" s="858">
        <v>203</v>
      </c>
      <c r="U346" s="858"/>
      <c r="V346" s="858">
        <v>76</v>
      </c>
      <c r="W346" s="858">
        <v>143</v>
      </c>
      <c r="X346" s="858">
        <v>31</v>
      </c>
      <c r="Y346" s="859">
        <v>453</v>
      </c>
      <c r="Z346" s="859"/>
      <c r="AA346" s="858"/>
      <c r="AB346" s="858"/>
      <c r="AC346" s="858"/>
      <c r="AD346" s="858"/>
      <c r="AE346" s="859">
        <v>18</v>
      </c>
      <c r="AF346" s="859"/>
      <c r="AG346" s="858"/>
      <c r="AH346" s="859"/>
    </row>
    <row r="347" spans="1:34">
      <c r="A347" s="883"/>
      <c r="B347" s="239" t="s">
        <v>55</v>
      </c>
      <c r="C347" s="806">
        <f>IF(S350&gt;0,(S347/S350),0)</f>
        <v>0</v>
      </c>
      <c r="D347" s="806">
        <f t="shared" ref="D347:M347" si="224">IF(T350&gt;0,(T347/T350),0)</f>
        <v>0.17434210526315788</v>
      </c>
      <c r="E347" s="806">
        <f t="shared" si="224"/>
        <v>0</v>
      </c>
      <c r="F347" s="806">
        <f t="shared" si="224"/>
        <v>0.26874999999999999</v>
      </c>
      <c r="G347" s="806">
        <f t="shared" si="224"/>
        <v>0.26986754966887416</v>
      </c>
      <c r="H347" s="806">
        <f t="shared" si="224"/>
        <v>0.22556390977443608</v>
      </c>
      <c r="I347" s="624">
        <f t="shared" si="224"/>
        <v>0.23123123123123124</v>
      </c>
      <c r="J347" s="624">
        <f t="shared" si="224"/>
        <v>0</v>
      </c>
      <c r="K347" s="625">
        <f t="shared" si="224"/>
        <v>0</v>
      </c>
      <c r="L347" s="625">
        <f t="shared" si="224"/>
        <v>0</v>
      </c>
      <c r="M347" s="625">
        <f t="shared" si="224"/>
        <v>0</v>
      </c>
      <c r="N347" s="624">
        <f>IF(AE350&gt;0,(AE347/AE350),0)</f>
        <v>0.33333333333333331</v>
      </c>
      <c r="O347" s="624">
        <f t="shared" ref="O347:Q347" si="225">IF(AF350&gt;0,(AF347/AF350),0)</f>
        <v>0</v>
      </c>
      <c r="P347" s="626">
        <f t="shared" si="225"/>
        <v>0</v>
      </c>
      <c r="Q347" s="624">
        <f t="shared" si="225"/>
        <v>0</v>
      </c>
      <c r="R347" s="357"/>
      <c r="S347" s="858"/>
      <c r="T347" s="858">
        <v>106</v>
      </c>
      <c r="U347" s="858"/>
      <c r="V347" s="858">
        <v>86</v>
      </c>
      <c r="W347" s="858">
        <v>163</v>
      </c>
      <c r="X347" s="858">
        <v>30</v>
      </c>
      <c r="Y347" s="859">
        <v>385</v>
      </c>
      <c r="Z347" s="859"/>
      <c r="AA347" s="858"/>
      <c r="AB347" s="858"/>
      <c r="AC347" s="858"/>
      <c r="AD347" s="858"/>
      <c r="AE347" s="859">
        <v>30</v>
      </c>
      <c r="AF347" s="859"/>
      <c r="AG347" s="858"/>
      <c r="AH347" s="859"/>
    </row>
    <row r="348" spans="1:34">
      <c r="A348" s="883"/>
      <c r="B348" s="239" t="s">
        <v>78</v>
      </c>
      <c r="C348" s="806">
        <f>IF(S350&gt;0,(S348/S350),0)</f>
        <v>0</v>
      </c>
      <c r="D348" s="806">
        <f t="shared" ref="D348:M348" si="226">IF(T350&gt;0,(T348/T350),0)</f>
        <v>6.5789473684210523E-3</v>
      </c>
      <c r="E348" s="806">
        <f t="shared" si="226"/>
        <v>0</v>
      </c>
      <c r="F348" s="806">
        <f t="shared" si="226"/>
        <v>3.125E-2</v>
      </c>
      <c r="G348" s="806">
        <f t="shared" si="226"/>
        <v>5.1324503311258277E-2</v>
      </c>
      <c r="H348" s="806">
        <f t="shared" si="226"/>
        <v>7.5187969924812026E-3</v>
      </c>
      <c r="I348" s="624">
        <f t="shared" si="226"/>
        <v>2.7627627627627629E-2</v>
      </c>
      <c r="J348" s="624">
        <f t="shared" si="226"/>
        <v>0</v>
      </c>
      <c r="K348" s="625">
        <f t="shared" si="226"/>
        <v>0</v>
      </c>
      <c r="L348" s="625">
        <f t="shared" si="226"/>
        <v>0</v>
      </c>
      <c r="M348" s="625">
        <f t="shared" si="226"/>
        <v>0</v>
      </c>
      <c r="N348" s="624">
        <f>IF(AE350&gt;0,(AE348/AE350),0)</f>
        <v>0</v>
      </c>
      <c r="O348" s="624">
        <f t="shared" ref="O348:Q348" si="227">IF(AF350&gt;0,(AF348/AF350),0)</f>
        <v>0</v>
      </c>
      <c r="P348" s="626">
        <f t="shared" si="227"/>
        <v>0</v>
      </c>
      <c r="Q348" s="624">
        <f t="shared" si="227"/>
        <v>0</v>
      </c>
      <c r="R348" s="357"/>
      <c r="S348" s="858"/>
      <c r="T348" s="858">
        <v>4</v>
      </c>
      <c r="U348" s="858"/>
      <c r="V348" s="858">
        <v>10</v>
      </c>
      <c r="W348" s="858">
        <v>31</v>
      </c>
      <c r="X348" s="858">
        <v>1</v>
      </c>
      <c r="Y348" s="859">
        <v>46</v>
      </c>
      <c r="Z348" s="859"/>
      <c r="AA348" s="858"/>
      <c r="AB348" s="858"/>
      <c r="AC348" s="858"/>
      <c r="AD348" s="858"/>
      <c r="AE348" s="859"/>
      <c r="AF348" s="859"/>
      <c r="AG348" s="858"/>
      <c r="AH348" s="859"/>
    </row>
    <row r="349" spans="1:34">
      <c r="A349" s="884"/>
      <c r="B349" s="580" t="s">
        <v>131</v>
      </c>
      <c r="C349" s="806">
        <f>IF(S350&gt;0,(S349/S350),0)</f>
        <v>0</v>
      </c>
      <c r="D349" s="806">
        <f t="shared" ref="D349:M349" si="228">IF(T350&gt;0,(T349/T350),0)</f>
        <v>0.19736842105263158</v>
      </c>
      <c r="E349" s="806">
        <f t="shared" si="228"/>
        <v>0</v>
      </c>
      <c r="F349" s="806">
        <f t="shared" si="228"/>
        <v>0.27812500000000001</v>
      </c>
      <c r="G349" s="806">
        <f t="shared" si="228"/>
        <v>7.1192052980132453E-2</v>
      </c>
      <c r="H349" s="806">
        <f t="shared" si="228"/>
        <v>0.27067669172932329</v>
      </c>
      <c r="I349" s="624">
        <f t="shared" si="228"/>
        <v>0.17297297297297298</v>
      </c>
      <c r="J349" s="624">
        <f t="shared" si="228"/>
        <v>0</v>
      </c>
      <c r="K349" s="625">
        <f t="shared" si="228"/>
        <v>0</v>
      </c>
      <c r="L349" s="625">
        <f t="shared" si="228"/>
        <v>0</v>
      </c>
      <c r="M349" s="625">
        <f t="shared" si="228"/>
        <v>0</v>
      </c>
      <c r="N349" s="624">
        <f>IF(AE350&gt;0,(AE349/AE350),0)</f>
        <v>0</v>
      </c>
      <c r="O349" s="624">
        <f t="shared" ref="O349:Q349" si="229">IF(AF350&gt;0,(AF349/AF350),0)</f>
        <v>0</v>
      </c>
      <c r="P349" s="626">
        <f t="shared" si="229"/>
        <v>0</v>
      </c>
      <c r="Q349" s="624">
        <f t="shared" si="229"/>
        <v>0</v>
      </c>
      <c r="R349" s="357"/>
      <c r="S349" s="858"/>
      <c r="T349" s="858">
        <v>120</v>
      </c>
      <c r="U349" s="858"/>
      <c r="V349" s="858">
        <f>27+62</f>
        <v>89</v>
      </c>
      <c r="W349" s="858">
        <f>10+33</f>
        <v>43</v>
      </c>
      <c r="X349" s="858">
        <f>0+36</f>
        <v>36</v>
      </c>
      <c r="Y349" s="859">
        <f>157+131</f>
        <v>288</v>
      </c>
      <c r="Z349" s="859"/>
      <c r="AA349" s="858"/>
      <c r="AB349" s="858"/>
      <c r="AC349" s="858"/>
      <c r="AD349" s="858"/>
      <c r="AE349" s="859"/>
      <c r="AF349" s="859"/>
      <c r="AG349" s="858"/>
      <c r="AH349" s="859"/>
    </row>
    <row r="350" spans="1:34">
      <c r="A350" s="885"/>
      <c r="B350" s="436" t="s">
        <v>59</v>
      </c>
      <c r="C350" s="807">
        <f>IF(S350&gt;0,(S350/S350),0)</f>
        <v>0</v>
      </c>
      <c r="D350" s="808">
        <f t="shared" ref="D350:M350" si="230">IF(T350&gt;0,(T350/T350),0)</f>
        <v>1</v>
      </c>
      <c r="E350" s="808">
        <f t="shared" si="230"/>
        <v>0</v>
      </c>
      <c r="F350" s="808">
        <f t="shared" si="230"/>
        <v>1</v>
      </c>
      <c r="G350" s="808">
        <f t="shared" si="230"/>
        <v>1</v>
      </c>
      <c r="H350" s="809">
        <f t="shared" si="230"/>
        <v>1</v>
      </c>
      <c r="I350" s="577">
        <f t="shared" si="230"/>
        <v>1</v>
      </c>
      <c r="J350" s="577">
        <f t="shared" si="230"/>
        <v>0</v>
      </c>
      <c r="K350" s="578">
        <f t="shared" si="230"/>
        <v>0</v>
      </c>
      <c r="L350" s="578">
        <f t="shared" si="230"/>
        <v>0</v>
      </c>
      <c r="M350" s="578">
        <f t="shared" si="230"/>
        <v>0</v>
      </c>
      <c r="N350" s="577">
        <f>IF(AE350&gt;0,(AE350/AE350),0)</f>
        <v>1</v>
      </c>
      <c r="O350" s="577">
        <f t="shared" ref="O350:Q350" si="231">IF(AF350&gt;0,(AF350/AF350),0)</f>
        <v>0</v>
      </c>
      <c r="P350" s="579">
        <f t="shared" si="231"/>
        <v>0</v>
      </c>
      <c r="Q350" s="577">
        <f t="shared" si="231"/>
        <v>0</v>
      </c>
      <c r="R350" s="357"/>
      <c r="S350" s="858"/>
      <c r="T350" s="858">
        <v>608</v>
      </c>
      <c r="U350" s="858"/>
      <c r="V350" s="858">
        <v>320</v>
      </c>
      <c r="W350" s="858">
        <v>604</v>
      </c>
      <c r="X350" s="858">
        <v>133</v>
      </c>
      <c r="Y350" s="859">
        <v>1665</v>
      </c>
      <c r="Z350" s="859"/>
      <c r="AA350" s="858"/>
      <c r="AB350" s="858"/>
      <c r="AC350" s="858"/>
      <c r="AD350" s="858"/>
      <c r="AE350" s="859">
        <v>90</v>
      </c>
      <c r="AF350" s="859"/>
      <c r="AG350" s="858"/>
      <c r="AH350" s="859"/>
    </row>
    <row r="351" spans="1:34">
      <c r="A351" s="882" t="s">
        <v>170</v>
      </c>
      <c r="B351" s="240" t="s">
        <v>53</v>
      </c>
      <c r="C351" s="806">
        <f>IF(S356&gt;0,(S351/S356),0)</f>
        <v>0.30463576158940397</v>
      </c>
      <c r="D351" s="806">
        <f t="shared" ref="D351:M351" si="232">IF(T356&gt;0,(T351/T356),0)</f>
        <v>0.25399495374264086</v>
      </c>
      <c r="E351" s="806">
        <f t="shared" si="232"/>
        <v>0</v>
      </c>
      <c r="F351" s="806">
        <f t="shared" si="232"/>
        <v>0.32971014492753625</v>
      </c>
      <c r="G351" s="806">
        <f t="shared" si="232"/>
        <v>0</v>
      </c>
      <c r="H351" s="806">
        <f t="shared" si="232"/>
        <v>0</v>
      </c>
      <c r="I351" s="613">
        <f t="shared" si="232"/>
        <v>0.29457700650759217</v>
      </c>
      <c r="J351" s="613">
        <f t="shared" si="232"/>
        <v>0</v>
      </c>
      <c r="K351" s="614">
        <f t="shared" si="232"/>
        <v>0</v>
      </c>
      <c r="L351" s="614">
        <f t="shared" si="232"/>
        <v>0</v>
      </c>
      <c r="M351" s="614">
        <f t="shared" si="232"/>
        <v>0</v>
      </c>
      <c r="N351" s="613">
        <f>IF(AE356&gt;0,(AE351/AE356),0)</f>
        <v>0</v>
      </c>
      <c r="O351" s="613">
        <f t="shared" ref="O351:Q351" si="233">IF(AF356&gt;0,(AF351/AF356),0)</f>
        <v>0</v>
      </c>
      <c r="P351" s="615">
        <f t="shared" si="233"/>
        <v>0</v>
      </c>
      <c r="Q351" s="613">
        <f t="shared" si="233"/>
        <v>0</v>
      </c>
      <c r="R351" s="799"/>
      <c r="S351" s="856">
        <v>874</v>
      </c>
      <c r="T351" s="856">
        <v>302</v>
      </c>
      <c r="U351" s="856"/>
      <c r="V351" s="856">
        <v>182</v>
      </c>
      <c r="W351" s="856"/>
      <c r="X351" s="856"/>
      <c r="Y351" s="857">
        <v>1358</v>
      </c>
      <c r="Z351" s="857"/>
      <c r="AA351" s="856"/>
      <c r="AB351" s="856"/>
      <c r="AC351" s="856"/>
      <c r="AD351" s="856"/>
      <c r="AE351" s="857"/>
      <c r="AF351" s="857"/>
      <c r="AG351" s="856"/>
      <c r="AH351" s="857"/>
    </row>
    <row r="352" spans="1:34">
      <c r="A352" s="883"/>
      <c r="B352" s="239" t="s">
        <v>93</v>
      </c>
      <c r="C352" s="806">
        <f>IF(S356&gt;0,(S352/S356),0)</f>
        <v>0.29313349599163474</v>
      </c>
      <c r="D352" s="806">
        <f t="shared" ref="D352:M352" si="234">IF(T356&gt;0,(T352/T356),0)</f>
        <v>0.26240538267451641</v>
      </c>
      <c r="E352" s="806">
        <f t="shared" si="234"/>
        <v>0</v>
      </c>
      <c r="F352" s="806">
        <f t="shared" si="234"/>
        <v>0.28079710144927539</v>
      </c>
      <c r="G352" s="806">
        <f t="shared" si="234"/>
        <v>0</v>
      </c>
      <c r="H352" s="806">
        <f t="shared" si="234"/>
        <v>0</v>
      </c>
      <c r="I352" s="624">
        <f t="shared" si="234"/>
        <v>0.28373101952277657</v>
      </c>
      <c r="J352" s="624">
        <f t="shared" si="234"/>
        <v>0</v>
      </c>
      <c r="K352" s="625">
        <f t="shared" si="234"/>
        <v>0</v>
      </c>
      <c r="L352" s="625">
        <f t="shared" si="234"/>
        <v>0</v>
      </c>
      <c r="M352" s="625">
        <f t="shared" si="234"/>
        <v>0</v>
      </c>
      <c r="N352" s="624">
        <f>IF(AE356&gt;0,(AE352/AE356),0)</f>
        <v>0</v>
      </c>
      <c r="O352" s="624">
        <f t="shared" ref="O352:Q352" si="235">IF(AF356&gt;0,(AF352/AF356),0)</f>
        <v>0</v>
      </c>
      <c r="P352" s="626">
        <f t="shared" si="235"/>
        <v>0</v>
      </c>
      <c r="Q352" s="624">
        <f t="shared" si="235"/>
        <v>0</v>
      </c>
      <c r="R352" s="357"/>
      <c r="S352" s="858">
        <v>841</v>
      </c>
      <c r="T352" s="858">
        <v>312</v>
      </c>
      <c r="U352" s="858"/>
      <c r="V352" s="858">
        <v>155</v>
      </c>
      <c r="W352" s="858"/>
      <c r="X352" s="858"/>
      <c r="Y352" s="859">
        <v>1308</v>
      </c>
      <c r="Z352" s="859"/>
      <c r="AA352" s="858"/>
      <c r="AB352" s="858"/>
      <c r="AC352" s="858"/>
      <c r="AD352" s="858"/>
      <c r="AE352" s="859"/>
      <c r="AF352" s="859"/>
      <c r="AG352" s="858"/>
      <c r="AH352" s="859"/>
    </row>
    <row r="353" spans="1:34">
      <c r="A353" s="883"/>
      <c r="B353" s="239" t="s">
        <v>55</v>
      </c>
      <c r="C353" s="806">
        <f>IF(S356&gt;0,(S353/S356),0)</f>
        <v>0.19553851516207738</v>
      </c>
      <c r="D353" s="806">
        <f t="shared" ref="D353:M353" si="236">IF(T356&gt;0,(T353/T356),0)</f>
        <v>0.26408746846089148</v>
      </c>
      <c r="E353" s="806">
        <f t="shared" si="236"/>
        <v>0</v>
      </c>
      <c r="F353" s="806">
        <f t="shared" si="236"/>
        <v>0.26992753623188404</v>
      </c>
      <c r="G353" s="806">
        <f t="shared" si="236"/>
        <v>0</v>
      </c>
      <c r="H353" s="806">
        <f t="shared" si="236"/>
        <v>0</v>
      </c>
      <c r="I353" s="624">
        <f t="shared" si="236"/>
        <v>0.22212581344902385</v>
      </c>
      <c r="J353" s="624">
        <f t="shared" si="236"/>
        <v>0</v>
      </c>
      <c r="K353" s="625">
        <f t="shared" si="236"/>
        <v>0</v>
      </c>
      <c r="L353" s="625">
        <f t="shared" si="236"/>
        <v>0</v>
      </c>
      <c r="M353" s="625">
        <f t="shared" si="236"/>
        <v>0</v>
      </c>
      <c r="N353" s="624">
        <f>IF(AE356&gt;0,(AE353/AE356),0)</f>
        <v>0</v>
      </c>
      <c r="O353" s="624">
        <f t="shared" ref="O353:Q353" si="237">IF(AF356&gt;0,(AF353/AF356),0)</f>
        <v>0</v>
      </c>
      <c r="P353" s="626">
        <f t="shared" si="237"/>
        <v>0</v>
      </c>
      <c r="Q353" s="624">
        <f t="shared" si="237"/>
        <v>0</v>
      </c>
      <c r="R353" s="357"/>
      <c r="S353" s="858">
        <v>561</v>
      </c>
      <c r="T353" s="858">
        <v>314</v>
      </c>
      <c r="U353" s="858"/>
      <c r="V353" s="858">
        <v>149</v>
      </c>
      <c r="W353" s="858"/>
      <c r="X353" s="858"/>
      <c r="Y353" s="859">
        <v>1024</v>
      </c>
      <c r="Z353" s="859"/>
      <c r="AA353" s="858"/>
      <c r="AB353" s="858"/>
      <c r="AC353" s="858"/>
      <c r="AD353" s="858"/>
      <c r="AE353" s="859"/>
      <c r="AF353" s="859"/>
      <c r="AG353" s="858"/>
      <c r="AH353" s="859"/>
    </row>
    <row r="354" spans="1:34">
      <c r="A354" s="883"/>
      <c r="B354" s="239" t="s">
        <v>78</v>
      </c>
      <c r="C354" s="806">
        <f>IF(S356&gt;0,(S354/S356),0)</f>
        <v>2.92784942488672E-2</v>
      </c>
      <c r="D354" s="806">
        <f t="shared" ref="D354:M354" si="238">IF(T356&gt;0,(T354/T356),0)</f>
        <v>4.5416316232127836E-2</v>
      </c>
      <c r="E354" s="806">
        <f t="shared" si="238"/>
        <v>0</v>
      </c>
      <c r="F354" s="806">
        <f t="shared" si="238"/>
        <v>6.3405797101449279E-2</v>
      </c>
      <c r="G354" s="806">
        <f t="shared" si="238"/>
        <v>0</v>
      </c>
      <c r="H354" s="806">
        <f t="shared" si="238"/>
        <v>0</v>
      </c>
      <c r="I354" s="624">
        <f t="shared" si="238"/>
        <v>3.7527114967462041E-2</v>
      </c>
      <c r="J354" s="624">
        <f t="shared" si="238"/>
        <v>0</v>
      </c>
      <c r="K354" s="625">
        <f t="shared" si="238"/>
        <v>0</v>
      </c>
      <c r="L354" s="625">
        <f t="shared" si="238"/>
        <v>0</v>
      </c>
      <c r="M354" s="625">
        <f t="shared" si="238"/>
        <v>0</v>
      </c>
      <c r="N354" s="624">
        <f>IF(AE356&gt;0,(AE354/AE356),0)</f>
        <v>0.56395348837209303</v>
      </c>
      <c r="O354" s="624">
        <f t="shared" ref="O354:Q354" si="239">IF(AF356&gt;0,(AF354/AF356),0)</f>
        <v>0</v>
      </c>
      <c r="P354" s="626">
        <f t="shared" si="239"/>
        <v>0</v>
      </c>
      <c r="Q354" s="624">
        <f t="shared" si="239"/>
        <v>0</v>
      </c>
      <c r="R354" s="357"/>
      <c r="S354" s="858">
        <v>84</v>
      </c>
      <c r="T354" s="858">
        <v>54</v>
      </c>
      <c r="U354" s="858"/>
      <c r="V354" s="858">
        <v>35</v>
      </c>
      <c r="W354" s="858"/>
      <c r="X354" s="858"/>
      <c r="Y354" s="859">
        <v>173</v>
      </c>
      <c r="Z354" s="859"/>
      <c r="AA354" s="858"/>
      <c r="AB354" s="858"/>
      <c r="AC354" s="858"/>
      <c r="AD354" s="858"/>
      <c r="AE354" s="859">
        <v>291</v>
      </c>
      <c r="AF354" s="859"/>
      <c r="AG354" s="858"/>
      <c r="AH354" s="859"/>
    </row>
    <row r="355" spans="1:34">
      <c r="A355" s="884"/>
      <c r="B355" s="580" t="s">
        <v>131</v>
      </c>
      <c r="C355" s="806">
        <f>IF(S356&gt;0,(S355/S356),0)</f>
        <v>0.17741373300801674</v>
      </c>
      <c r="D355" s="806">
        <f t="shared" ref="D355:M355" si="240">IF(T356&gt;0,(T355/T356),0)</f>
        <v>0.17409587888982339</v>
      </c>
      <c r="E355" s="806">
        <f t="shared" si="240"/>
        <v>0</v>
      </c>
      <c r="F355" s="806">
        <f t="shared" si="240"/>
        <v>5.6159420289855072E-2</v>
      </c>
      <c r="G355" s="806">
        <f t="shared" si="240"/>
        <v>0</v>
      </c>
      <c r="H355" s="806">
        <f t="shared" si="240"/>
        <v>0</v>
      </c>
      <c r="I355" s="624">
        <f t="shared" si="240"/>
        <v>0.16203904555314533</v>
      </c>
      <c r="J355" s="624">
        <f t="shared" si="240"/>
        <v>0</v>
      </c>
      <c r="K355" s="625">
        <f t="shared" si="240"/>
        <v>0</v>
      </c>
      <c r="L355" s="625">
        <f t="shared" si="240"/>
        <v>0</v>
      </c>
      <c r="M355" s="625">
        <f t="shared" si="240"/>
        <v>0</v>
      </c>
      <c r="N355" s="624">
        <f>IF(AE356&gt;0,(AE355/AE356),0)</f>
        <v>0.43604651162790697</v>
      </c>
      <c r="O355" s="624">
        <f t="shared" ref="O355:Q355" si="241">IF(AF356&gt;0,(AF355/AF356),0)</f>
        <v>0</v>
      </c>
      <c r="P355" s="626">
        <f t="shared" si="241"/>
        <v>0</v>
      </c>
      <c r="Q355" s="624">
        <f t="shared" si="241"/>
        <v>0</v>
      </c>
      <c r="R355" s="357"/>
      <c r="S355" s="858">
        <f>111+398</f>
        <v>509</v>
      </c>
      <c r="T355" s="858">
        <f>138+69</f>
        <v>207</v>
      </c>
      <c r="U355" s="858"/>
      <c r="V355" s="858">
        <f>10+21</f>
        <v>31</v>
      </c>
      <c r="W355" s="858"/>
      <c r="X355" s="858"/>
      <c r="Y355" s="859">
        <f>259+488</f>
        <v>747</v>
      </c>
      <c r="Z355" s="859"/>
      <c r="AA355" s="858"/>
      <c r="AB355" s="858"/>
      <c r="AC355" s="858"/>
      <c r="AD355" s="858"/>
      <c r="AE355" s="859">
        <v>225</v>
      </c>
      <c r="AF355" s="859"/>
      <c r="AG355" s="858"/>
      <c r="AH355" s="859"/>
    </row>
    <row r="356" spans="1:34">
      <c r="A356" s="885"/>
      <c r="B356" s="436" t="s">
        <v>59</v>
      </c>
      <c r="C356" s="806">
        <f>IF(S356&gt;0,(S356/S356),0)</f>
        <v>1</v>
      </c>
      <c r="D356" s="806">
        <f t="shared" ref="D356:M356" si="242">IF(T356&gt;0,(T356/T356),0)</f>
        <v>1</v>
      </c>
      <c r="E356" s="806">
        <f t="shared" si="242"/>
        <v>0</v>
      </c>
      <c r="F356" s="806">
        <f t="shared" si="242"/>
        <v>1</v>
      </c>
      <c r="G356" s="806">
        <f t="shared" si="242"/>
        <v>0</v>
      </c>
      <c r="H356" s="806">
        <f t="shared" si="242"/>
        <v>0</v>
      </c>
      <c r="I356" s="577">
        <f t="shared" si="242"/>
        <v>1</v>
      </c>
      <c r="J356" s="577">
        <f t="shared" si="242"/>
        <v>0</v>
      </c>
      <c r="K356" s="578">
        <f t="shared" si="242"/>
        <v>0</v>
      </c>
      <c r="L356" s="578">
        <f t="shared" si="242"/>
        <v>0</v>
      </c>
      <c r="M356" s="578">
        <f t="shared" si="242"/>
        <v>0</v>
      </c>
      <c r="N356" s="577">
        <f>IF(AE356&gt;0,(AE356/AE356),0)</f>
        <v>1</v>
      </c>
      <c r="O356" s="577">
        <f t="shared" ref="O356:Q356" si="243">IF(AF356&gt;0,(AF356/AF356),0)</f>
        <v>0</v>
      </c>
      <c r="P356" s="579">
        <f t="shared" si="243"/>
        <v>0</v>
      </c>
      <c r="Q356" s="577">
        <f t="shared" si="243"/>
        <v>0</v>
      </c>
      <c r="R356" s="357"/>
      <c r="S356" s="858">
        <v>2869</v>
      </c>
      <c r="T356" s="858">
        <v>1189</v>
      </c>
      <c r="U356" s="858"/>
      <c r="V356" s="858">
        <v>552</v>
      </c>
      <c r="W356" s="858"/>
      <c r="X356" s="858"/>
      <c r="Y356" s="864">
        <v>4610</v>
      </c>
      <c r="Z356" s="864"/>
      <c r="AA356" s="858"/>
      <c r="AB356" s="858"/>
      <c r="AC356" s="858"/>
      <c r="AD356" s="858"/>
      <c r="AE356" s="864">
        <v>516</v>
      </c>
      <c r="AF356" s="864"/>
      <c r="AG356" s="858"/>
      <c r="AH356" s="864"/>
    </row>
    <row r="358" spans="1:34">
      <c r="A358" s="890" t="s">
        <v>229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J358"/>
  <sheetViews>
    <sheetView zoomScale="90" zoomScaleNormal="90" workbookViewId="0">
      <pane xSplit="2" ySplit="3" topLeftCell="C112" activePane="bottomRight" state="frozen"/>
      <selection pane="topRight" activeCell="C1" sqref="C1"/>
      <selection pane="bottomLeft" activeCell="A4" sqref="A4"/>
      <selection pane="bottomRight" activeCell="I12" sqref="I12"/>
    </sheetView>
  </sheetViews>
  <sheetFormatPr defaultRowHeight="15"/>
  <cols>
    <col min="1" max="1" width="8.88671875" style="888"/>
    <col min="2" max="2" width="14.77734375" customWidth="1"/>
    <col min="3" max="17" width="8.88671875" customWidth="1"/>
    <col min="19" max="19" width="8.88671875" style="888"/>
  </cols>
  <sheetData>
    <row r="1" spans="1:36">
      <c r="A1" s="879"/>
      <c r="B1" s="360"/>
      <c r="C1" s="361" t="s">
        <v>95</v>
      </c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3"/>
      <c r="S1" s="891" t="s">
        <v>52</v>
      </c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</row>
    <row r="2" spans="1:36">
      <c r="A2" s="880"/>
      <c r="B2" s="366"/>
      <c r="C2" s="367" t="s">
        <v>96</v>
      </c>
      <c r="D2" s="368"/>
      <c r="E2" s="368"/>
      <c r="F2" s="368"/>
      <c r="G2" s="368"/>
      <c r="H2" s="368"/>
      <c r="I2" s="368"/>
      <c r="J2" s="369" t="s">
        <v>97</v>
      </c>
      <c r="K2" s="370"/>
      <c r="L2" s="370"/>
      <c r="M2" s="370"/>
      <c r="N2" s="372"/>
      <c r="O2" s="369" t="s">
        <v>110</v>
      </c>
      <c r="P2" s="370"/>
      <c r="Q2" s="368"/>
      <c r="R2" s="357"/>
      <c r="S2" s="892" t="s">
        <v>96</v>
      </c>
      <c r="T2" s="373"/>
      <c r="U2" s="373"/>
      <c r="V2" s="889"/>
      <c r="W2" s="373"/>
      <c r="X2" s="373"/>
      <c r="Y2" s="373"/>
      <c r="Z2" s="374" t="s">
        <v>97</v>
      </c>
      <c r="AA2" s="375"/>
      <c r="AB2" s="375"/>
      <c r="AC2" s="375"/>
      <c r="AD2" s="375"/>
      <c r="AE2" s="377"/>
      <c r="AF2" s="374" t="s">
        <v>110</v>
      </c>
      <c r="AG2" s="375"/>
      <c r="AH2" s="373"/>
    </row>
    <row r="3" spans="1:36" ht="25.5">
      <c r="A3" s="881"/>
      <c r="B3" s="379"/>
      <c r="C3" s="380">
        <v>1</v>
      </c>
      <c r="D3" s="381">
        <v>2</v>
      </c>
      <c r="E3" s="381">
        <v>3</v>
      </c>
      <c r="F3" s="381">
        <v>4</v>
      </c>
      <c r="G3" s="381">
        <v>5</v>
      </c>
      <c r="H3" s="381">
        <v>6</v>
      </c>
      <c r="I3" s="382" t="s">
        <v>119</v>
      </c>
      <c r="J3" s="383" t="s">
        <v>111</v>
      </c>
      <c r="K3" s="381">
        <v>1</v>
      </c>
      <c r="L3" s="381">
        <v>2</v>
      </c>
      <c r="M3" s="381">
        <v>3</v>
      </c>
      <c r="N3" s="382" t="s">
        <v>121</v>
      </c>
      <c r="O3" s="383">
        <v>1</v>
      </c>
      <c r="P3" s="383">
        <v>2</v>
      </c>
      <c r="Q3" s="384" t="s">
        <v>113</v>
      </c>
      <c r="R3" s="385"/>
      <c r="S3" s="893">
        <v>1</v>
      </c>
      <c r="T3" s="387">
        <v>2</v>
      </c>
      <c r="U3" s="387">
        <v>3</v>
      </c>
      <c r="V3" s="387">
        <v>4</v>
      </c>
      <c r="W3" s="387">
        <v>5</v>
      </c>
      <c r="X3" s="387">
        <v>6</v>
      </c>
      <c r="Y3" s="388" t="s">
        <v>98</v>
      </c>
      <c r="Z3" s="389" t="s">
        <v>111</v>
      </c>
      <c r="AA3" s="387">
        <v>1</v>
      </c>
      <c r="AB3" s="387">
        <v>2</v>
      </c>
      <c r="AC3" s="387">
        <v>3</v>
      </c>
      <c r="AD3" s="389" t="s">
        <v>216</v>
      </c>
      <c r="AE3" s="388" t="s">
        <v>113</v>
      </c>
      <c r="AF3" s="389">
        <v>1</v>
      </c>
      <c r="AG3" s="389">
        <v>2</v>
      </c>
      <c r="AH3" s="390" t="s">
        <v>113</v>
      </c>
    </row>
    <row r="4" spans="1:36">
      <c r="A4" s="882" t="s">
        <v>128</v>
      </c>
      <c r="B4" s="240" t="s">
        <v>53</v>
      </c>
      <c r="C4" s="613">
        <f>IF(S9&gt;0,(S4/S9),0)</f>
        <v>0.34056597764117591</v>
      </c>
      <c r="D4" s="614">
        <f t="shared" ref="D4:M4" si="0">IF(T9&gt;0,(T4/T9),0)</f>
        <v>0.27213175133513984</v>
      </c>
      <c r="E4" s="614">
        <f t="shared" si="0"/>
        <v>0.28961491098712316</v>
      </c>
      <c r="F4" s="614">
        <f t="shared" si="0"/>
        <v>0.25482796892341841</v>
      </c>
      <c r="G4" s="614">
        <f t="shared" si="0"/>
        <v>0.23573636287695263</v>
      </c>
      <c r="H4" s="615">
        <f t="shared" si="0"/>
        <v>0.19153064718639426</v>
      </c>
      <c r="I4" s="613">
        <f t="shared" si="0"/>
        <v>0.3022561465413211</v>
      </c>
      <c r="J4" s="613">
        <f t="shared" si="0"/>
        <v>3.1295038089355569E-2</v>
      </c>
      <c r="K4" s="614">
        <f t="shared" si="0"/>
        <v>0.16566973117653905</v>
      </c>
      <c r="L4" s="614">
        <f t="shared" si="0"/>
        <v>9.9902040948502677E-2</v>
      </c>
      <c r="M4" s="614">
        <f t="shared" si="0"/>
        <v>4.8486281929990542E-2</v>
      </c>
      <c r="N4" s="613">
        <f>IF(AE9&gt;0,(AE4/AE9),0)</f>
        <v>0.14964465975488933</v>
      </c>
      <c r="O4" s="613">
        <f t="shared" ref="O4:Q4" si="1">IF(AF9&gt;0,(AF4/AF9),0)</f>
        <v>1.2167787383925712E-2</v>
      </c>
      <c r="P4" s="615">
        <f t="shared" si="1"/>
        <v>0</v>
      </c>
      <c r="Q4" s="613">
        <f t="shared" si="1"/>
        <v>8.9002633802116982E-2</v>
      </c>
      <c r="R4" s="391"/>
      <c r="S4" s="894">
        <f>S10+S129+S213+S291+S351</f>
        <v>42771</v>
      </c>
      <c r="T4" s="797">
        <f t="shared" ref="T4:AH4" si="2">T10+T129+T213+T291+T351</f>
        <v>10344</v>
      </c>
      <c r="U4" s="797">
        <f t="shared" si="2"/>
        <v>19050</v>
      </c>
      <c r="V4" s="797">
        <f t="shared" si="2"/>
        <v>5740</v>
      </c>
      <c r="W4" s="797">
        <f t="shared" si="2"/>
        <v>2822</v>
      </c>
      <c r="X4" s="797">
        <f t="shared" si="2"/>
        <v>1678</v>
      </c>
      <c r="Y4" s="797">
        <f t="shared" si="2"/>
        <v>82405</v>
      </c>
      <c r="Z4" s="797">
        <f t="shared" si="2"/>
        <v>152</v>
      </c>
      <c r="AA4" s="797">
        <f t="shared" si="2"/>
        <v>3559</v>
      </c>
      <c r="AB4" s="797">
        <f t="shared" si="2"/>
        <v>1234</v>
      </c>
      <c r="AC4" s="797">
        <f t="shared" si="2"/>
        <v>205</v>
      </c>
      <c r="AD4" s="797">
        <f t="shared" si="2"/>
        <v>450</v>
      </c>
      <c r="AE4" s="797">
        <f t="shared" si="2"/>
        <v>15346</v>
      </c>
      <c r="AF4" s="797">
        <f t="shared" si="2"/>
        <v>38</v>
      </c>
      <c r="AG4" s="797">
        <f t="shared" si="2"/>
        <v>0</v>
      </c>
      <c r="AH4" s="797">
        <f t="shared" si="2"/>
        <v>1791</v>
      </c>
    </row>
    <row r="5" spans="1:36">
      <c r="A5" s="883"/>
      <c r="B5" s="239" t="s">
        <v>93</v>
      </c>
      <c r="C5" s="624">
        <f>IF(S9&gt;0,(S5/S9),0)</f>
        <v>0.26463515622511707</v>
      </c>
      <c r="D5" s="625">
        <f t="shared" ref="D5:M5" si="3">IF(T9&gt;0,(T5/T9),0)</f>
        <v>0.28633816526794875</v>
      </c>
      <c r="E5" s="625">
        <f t="shared" si="3"/>
        <v>0.27100658284810802</v>
      </c>
      <c r="F5" s="625">
        <f t="shared" si="3"/>
        <v>0.25633740288568257</v>
      </c>
      <c r="G5" s="625">
        <f t="shared" si="3"/>
        <v>0.27341074262801773</v>
      </c>
      <c r="H5" s="626">
        <f t="shared" si="3"/>
        <v>0.26058669101700721</v>
      </c>
      <c r="I5" s="624">
        <f t="shared" si="3"/>
        <v>0.26876790410551915</v>
      </c>
      <c r="J5" s="624">
        <f t="shared" si="3"/>
        <v>3.4589252625077206E-2</v>
      </c>
      <c r="K5" s="625">
        <f t="shared" si="3"/>
        <v>0.10012801117188409</v>
      </c>
      <c r="L5" s="625">
        <f t="shared" si="3"/>
        <v>9.9092462010508336E-2</v>
      </c>
      <c r="M5" s="625">
        <f t="shared" si="3"/>
        <v>4.068117313150426E-2</v>
      </c>
      <c r="N5" s="624">
        <f>IF(AE9&gt;0,(AE5/AE9),0)</f>
        <v>0.10677759835240702</v>
      </c>
      <c r="O5" s="624">
        <f t="shared" ref="O5:Q5" si="4">IF(AF9&gt;0,(AF5/AF9),0)</f>
        <v>1.569004162664105E-2</v>
      </c>
      <c r="P5" s="626">
        <f t="shared" si="4"/>
        <v>0</v>
      </c>
      <c r="Q5" s="624">
        <f t="shared" si="4"/>
        <v>2.1567360731501267E-2</v>
      </c>
      <c r="R5" s="391"/>
      <c r="S5" s="894">
        <f t="shared" ref="S5:AH7" si="5">S11+S130+S214+S292+S352</f>
        <v>33235</v>
      </c>
      <c r="T5" s="797">
        <f t="shared" si="5"/>
        <v>10884</v>
      </c>
      <c r="U5" s="797">
        <f t="shared" si="5"/>
        <v>17826</v>
      </c>
      <c r="V5" s="797">
        <f t="shared" si="5"/>
        <v>5774</v>
      </c>
      <c r="W5" s="797">
        <f t="shared" si="5"/>
        <v>3273</v>
      </c>
      <c r="X5" s="797">
        <f t="shared" si="5"/>
        <v>2283</v>
      </c>
      <c r="Y5" s="797">
        <f t="shared" si="5"/>
        <v>73275</v>
      </c>
      <c r="Z5" s="797">
        <f t="shared" si="5"/>
        <v>168</v>
      </c>
      <c r="AA5" s="797">
        <f t="shared" si="5"/>
        <v>2151</v>
      </c>
      <c r="AB5" s="797">
        <f t="shared" si="5"/>
        <v>1224</v>
      </c>
      <c r="AC5" s="797">
        <f t="shared" si="5"/>
        <v>172</v>
      </c>
      <c r="AD5" s="797">
        <f t="shared" si="5"/>
        <v>707</v>
      </c>
      <c r="AE5" s="797">
        <f t="shared" si="5"/>
        <v>10950</v>
      </c>
      <c r="AF5" s="797">
        <f t="shared" si="5"/>
        <v>49</v>
      </c>
      <c r="AG5" s="797">
        <f t="shared" si="5"/>
        <v>0</v>
      </c>
      <c r="AH5" s="797">
        <f t="shared" si="5"/>
        <v>434</v>
      </c>
    </row>
    <row r="6" spans="1:36">
      <c r="A6" s="883"/>
      <c r="B6" s="239" t="s">
        <v>55</v>
      </c>
      <c r="C6" s="624">
        <f>IF(S9&gt;0,(S6/S9),0)</f>
        <v>0.21700321686785362</v>
      </c>
      <c r="D6" s="625">
        <f t="shared" ref="D6:M6" si="6">IF(T9&gt;0,(T6/T9),0)</f>
        <v>0.24221935755439214</v>
      </c>
      <c r="E6" s="625">
        <f t="shared" si="6"/>
        <v>0.24660595648935038</v>
      </c>
      <c r="F6" s="625">
        <f t="shared" si="6"/>
        <v>0.29061043285238625</v>
      </c>
      <c r="G6" s="625">
        <f t="shared" si="6"/>
        <v>0.29805362960487847</v>
      </c>
      <c r="H6" s="626">
        <f t="shared" si="6"/>
        <v>0.33078415705969638</v>
      </c>
      <c r="I6" s="624">
        <f t="shared" si="6"/>
        <v>0.24095762435215107</v>
      </c>
      <c r="J6" s="624">
        <f t="shared" si="6"/>
        <v>5.0442660078237597E-2</v>
      </c>
      <c r="K6" s="625">
        <f t="shared" si="6"/>
        <v>8.5697660886768307E-2</v>
      </c>
      <c r="L6" s="625">
        <f t="shared" si="6"/>
        <v>9.3830198913545063E-2</v>
      </c>
      <c r="M6" s="625">
        <f t="shared" si="6"/>
        <v>6.3386944181646171E-2</v>
      </c>
      <c r="N6" s="624">
        <f>IF(AE9&gt;0,(AE6/AE9),0)</f>
        <v>0.11899607604515278</v>
      </c>
      <c r="O6" s="624">
        <f t="shared" ref="O6:Q6" si="7">IF(AF9&gt;0,(AF6/AF9),0)</f>
        <v>2.3695164905539544E-2</v>
      </c>
      <c r="P6" s="626">
        <f t="shared" si="7"/>
        <v>0</v>
      </c>
      <c r="Q6" s="624">
        <f t="shared" si="7"/>
        <v>2.8773045768523579E-2</v>
      </c>
      <c r="R6" s="391"/>
      <c r="S6" s="894">
        <f t="shared" si="5"/>
        <v>27253</v>
      </c>
      <c r="T6" s="797">
        <f t="shared" si="5"/>
        <v>9207</v>
      </c>
      <c r="U6" s="797">
        <f t="shared" si="5"/>
        <v>16221</v>
      </c>
      <c r="V6" s="797">
        <f t="shared" si="5"/>
        <v>6546</v>
      </c>
      <c r="W6" s="797">
        <f t="shared" si="5"/>
        <v>3568</v>
      </c>
      <c r="X6" s="797">
        <f t="shared" si="5"/>
        <v>2898</v>
      </c>
      <c r="Y6" s="797">
        <f t="shared" si="5"/>
        <v>65693</v>
      </c>
      <c r="Z6" s="797">
        <f t="shared" si="5"/>
        <v>245</v>
      </c>
      <c r="AA6" s="797">
        <f t="shared" si="5"/>
        <v>1841</v>
      </c>
      <c r="AB6" s="797">
        <f t="shared" si="5"/>
        <v>1159</v>
      </c>
      <c r="AC6" s="797">
        <f t="shared" si="5"/>
        <v>268</v>
      </c>
      <c r="AD6" s="797">
        <f t="shared" si="5"/>
        <v>755</v>
      </c>
      <c r="AE6" s="797">
        <f t="shared" si="5"/>
        <v>12203</v>
      </c>
      <c r="AF6" s="797">
        <f t="shared" si="5"/>
        <v>74</v>
      </c>
      <c r="AG6" s="797">
        <f t="shared" si="5"/>
        <v>0</v>
      </c>
      <c r="AH6" s="797">
        <f t="shared" si="5"/>
        <v>579</v>
      </c>
    </row>
    <row r="7" spans="1:36">
      <c r="A7" s="883"/>
      <c r="B7" s="239" t="s">
        <v>78</v>
      </c>
      <c r="C7" s="624">
        <f>IF(S9&gt;0,(S7/S9),0)</f>
        <v>5.917762843583782E-2</v>
      </c>
      <c r="D7" s="625">
        <f t="shared" ref="D7:M7" si="8">IF(T9&gt;0,(T7/T9),0)</f>
        <v>8.6974823077530183E-2</v>
      </c>
      <c r="E7" s="625">
        <f t="shared" si="8"/>
        <v>8.1107377958860999E-2</v>
      </c>
      <c r="F7" s="625">
        <f t="shared" si="8"/>
        <v>7.5915649278579356E-2</v>
      </c>
      <c r="G7" s="625">
        <f t="shared" si="8"/>
        <v>7.4764013031492771E-2</v>
      </c>
      <c r="H7" s="626">
        <f t="shared" si="8"/>
        <v>0.13651409656431915</v>
      </c>
      <c r="I7" s="624">
        <f t="shared" si="8"/>
        <v>7.2896531234296652E-2</v>
      </c>
      <c r="J7" s="624">
        <f t="shared" si="8"/>
        <v>0.12065060737080502</v>
      </c>
      <c r="K7" s="625">
        <f t="shared" si="8"/>
        <v>0.15468404515303152</v>
      </c>
      <c r="L7" s="625">
        <f t="shared" si="8"/>
        <v>0.16523506124464665</v>
      </c>
      <c r="M7" s="625">
        <f t="shared" si="8"/>
        <v>0.16934720908230841</v>
      </c>
      <c r="N7" s="624">
        <f>IF(AE9&gt;0,(AE7/AE9),0)</f>
        <v>0.29395531528158081</v>
      </c>
      <c r="O7" s="624">
        <f t="shared" ref="O7:Q7" si="9">IF(AF9&gt;0,(AF7/AF9),0)</f>
        <v>9.3820044828690358E-2</v>
      </c>
      <c r="P7" s="626">
        <f t="shared" si="9"/>
        <v>0</v>
      </c>
      <c r="Q7" s="624">
        <f t="shared" si="9"/>
        <v>0.52437509317696174</v>
      </c>
      <c r="R7" s="391"/>
      <c r="S7" s="894">
        <f t="shared" si="5"/>
        <v>7432</v>
      </c>
      <c r="T7" s="797">
        <f t="shared" si="5"/>
        <v>3306</v>
      </c>
      <c r="U7" s="797">
        <f t="shared" si="5"/>
        <v>5335</v>
      </c>
      <c r="V7" s="797">
        <f t="shared" si="5"/>
        <v>1710</v>
      </c>
      <c r="W7" s="797">
        <f t="shared" si="5"/>
        <v>895</v>
      </c>
      <c r="X7" s="797">
        <f t="shared" si="5"/>
        <v>1196</v>
      </c>
      <c r="Y7" s="797">
        <f t="shared" si="5"/>
        <v>19874</v>
      </c>
      <c r="Z7" s="797">
        <f t="shared" si="5"/>
        <v>586</v>
      </c>
      <c r="AA7" s="797">
        <f t="shared" si="5"/>
        <v>3323</v>
      </c>
      <c r="AB7" s="797">
        <f t="shared" si="5"/>
        <v>2041</v>
      </c>
      <c r="AC7" s="797">
        <f t="shared" si="5"/>
        <v>716</v>
      </c>
      <c r="AD7" s="797">
        <f t="shared" si="5"/>
        <v>489</v>
      </c>
      <c r="AE7" s="797">
        <f t="shared" si="5"/>
        <v>30145</v>
      </c>
      <c r="AF7" s="797">
        <f t="shared" si="5"/>
        <v>293</v>
      </c>
      <c r="AG7" s="797">
        <f t="shared" si="5"/>
        <v>0</v>
      </c>
      <c r="AH7" s="797">
        <f t="shared" si="5"/>
        <v>10552</v>
      </c>
    </row>
    <row r="8" spans="1:36">
      <c r="A8" s="884"/>
      <c r="B8" s="580" t="s">
        <v>131</v>
      </c>
      <c r="C8" s="624">
        <f>IF(S9&gt;0,(S8/S9),0)</f>
        <v>0.1186180208300156</v>
      </c>
      <c r="D8" s="625">
        <f t="shared" ref="D8:M8" si="10">IF(T9&gt;0,(T8/T9),0)</f>
        <v>0.11233590276498909</v>
      </c>
      <c r="E8" s="625">
        <f t="shared" si="10"/>
        <v>0.11166517171655746</v>
      </c>
      <c r="F8" s="625">
        <f t="shared" si="10"/>
        <v>0.12230854605993341</v>
      </c>
      <c r="G8" s="625">
        <f t="shared" si="10"/>
        <v>0.11803525185865843</v>
      </c>
      <c r="H8" s="626">
        <f t="shared" si="10"/>
        <v>8.0584408172583041E-2</v>
      </c>
      <c r="I8" s="624">
        <f t="shared" si="10"/>
        <v>0.11512179376671203</v>
      </c>
      <c r="J8" s="624">
        <f t="shared" si="10"/>
        <v>0.76302244183652457</v>
      </c>
      <c r="K8" s="625">
        <f t="shared" si="10"/>
        <v>0.49382055161177701</v>
      </c>
      <c r="L8" s="625">
        <f t="shared" si="10"/>
        <v>0.54194023688279724</v>
      </c>
      <c r="M8" s="625">
        <f t="shared" si="10"/>
        <v>0.67809839167455066</v>
      </c>
      <c r="N8" s="624">
        <f>IF(AE9&gt;0,(AE8/AE9),0)</f>
        <v>0.33062635056597001</v>
      </c>
      <c r="O8" s="624">
        <f t="shared" ref="O8:Q8" si="11">IF(AF9&gt;0,(AF8/AF9),0)</f>
        <v>0.85462696125520332</v>
      </c>
      <c r="P8" s="626">
        <f t="shared" si="11"/>
        <v>1</v>
      </c>
      <c r="Q8" s="624">
        <f t="shared" si="11"/>
        <v>0.33628186652089648</v>
      </c>
      <c r="R8" s="391"/>
      <c r="S8" s="894">
        <f>S14+S15+S133+S217+S295+S355</f>
        <v>14897</v>
      </c>
      <c r="T8" s="797">
        <f t="shared" ref="T8:AH8" si="12">T14+T15+T133+T217+T295+T355</f>
        <v>4270</v>
      </c>
      <c r="U8" s="797">
        <f t="shared" si="12"/>
        <v>7345</v>
      </c>
      <c r="V8" s="797">
        <f>V14+V15+V133+V217+V295+V355</f>
        <v>2755</v>
      </c>
      <c r="W8" s="797">
        <f t="shared" si="12"/>
        <v>1413</v>
      </c>
      <c r="X8" s="797">
        <f t="shared" si="12"/>
        <v>706</v>
      </c>
      <c r="Y8" s="797">
        <f t="shared" si="12"/>
        <v>31386</v>
      </c>
      <c r="Z8" s="797">
        <f t="shared" si="12"/>
        <v>3706</v>
      </c>
      <c r="AA8" s="797">
        <f t="shared" si="12"/>
        <v>10608.5</v>
      </c>
      <c r="AB8" s="797">
        <f t="shared" si="12"/>
        <v>6694.1</v>
      </c>
      <c r="AC8" s="797">
        <f t="shared" si="12"/>
        <v>2867</v>
      </c>
      <c r="AD8" s="797">
        <f t="shared" si="12"/>
        <v>65</v>
      </c>
      <c r="AE8" s="797">
        <f t="shared" si="12"/>
        <v>33905.599999999999</v>
      </c>
      <c r="AF8" s="797">
        <f t="shared" si="12"/>
        <v>2669</v>
      </c>
      <c r="AG8" s="797">
        <f t="shared" si="12"/>
        <v>1408</v>
      </c>
      <c r="AH8" s="797">
        <f t="shared" si="12"/>
        <v>6767</v>
      </c>
    </row>
    <row r="9" spans="1:36">
      <c r="A9" s="885" t="s">
        <v>86</v>
      </c>
      <c r="B9" s="436" t="s">
        <v>59</v>
      </c>
      <c r="C9" s="577">
        <f>IF(S9&gt;0,(S9/S9),0)</f>
        <v>1</v>
      </c>
      <c r="D9" s="578">
        <f t="shared" ref="D9:M9" si="13">IF(T9&gt;0,(T9/T9),0)</f>
        <v>1</v>
      </c>
      <c r="E9" s="578">
        <f t="shared" si="13"/>
        <v>1</v>
      </c>
      <c r="F9" s="578">
        <f t="shared" si="13"/>
        <v>1</v>
      </c>
      <c r="G9" s="578">
        <f t="shared" si="13"/>
        <v>1</v>
      </c>
      <c r="H9" s="579">
        <f t="shared" si="13"/>
        <v>1</v>
      </c>
      <c r="I9" s="577">
        <f t="shared" si="13"/>
        <v>1</v>
      </c>
      <c r="J9" s="577">
        <f t="shared" si="13"/>
        <v>1</v>
      </c>
      <c r="K9" s="578">
        <f t="shared" si="13"/>
        <v>1</v>
      </c>
      <c r="L9" s="578">
        <f t="shared" si="13"/>
        <v>1</v>
      </c>
      <c r="M9" s="578">
        <f t="shared" si="13"/>
        <v>1</v>
      </c>
      <c r="N9" s="577">
        <f>IF(AE9&gt;0,(AE9/AE9),0)</f>
        <v>1</v>
      </c>
      <c r="O9" s="577">
        <f t="shared" ref="O9:Q9" si="14">IF(AF9&gt;0,(AF9/AF9),0)</f>
        <v>1</v>
      </c>
      <c r="P9" s="579">
        <f t="shared" si="14"/>
        <v>1</v>
      </c>
      <c r="Q9" s="577">
        <f t="shared" si="14"/>
        <v>1</v>
      </c>
      <c r="R9" s="391"/>
      <c r="S9" s="894">
        <f>S16+S134+S218+S296+S356</f>
        <v>125588</v>
      </c>
      <c r="T9" s="797">
        <f t="shared" ref="T9:AH9" si="15">T16+T134+T218+T296+T356</f>
        <v>38011</v>
      </c>
      <c r="U9" s="797">
        <f t="shared" si="15"/>
        <v>65777</v>
      </c>
      <c r="V9" s="797">
        <f t="shared" si="15"/>
        <v>22525</v>
      </c>
      <c r="W9" s="797">
        <f t="shared" si="15"/>
        <v>11971</v>
      </c>
      <c r="X9" s="797">
        <f t="shared" si="15"/>
        <v>8761</v>
      </c>
      <c r="Y9" s="797">
        <f t="shared" si="15"/>
        <v>272633</v>
      </c>
      <c r="Z9" s="797">
        <f t="shared" si="15"/>
        <v>4857</v>
      </c>
      <c r="AA9" s="797">
        <f t="shared" si="15"/>
        <v>21482.5</v>
      </c>
      <c r="AB9" s="797">
        <f t="shared" si="15"/>
        <v>12352.1</v>
      </c>
      <c r="AC9" s="797">
        <f t="shared" si="15"/>
        <v>4228</v>
      </c>
      <c r="AD9" s="797">
        <f t="shared" si="15"/>
        <v>2466</v>
      </c>
      <c r="AE9" s="797">
        <f t="shared" si="15"/>
        <v>102549.6</v>
      </c>
      <c r="AF9" s="797">
        <f t="shared" si="15"/>
        <v>3123</v>
      </c>
      <c r="AG9" s="797">
        <f t="shared" si="15"/>
        <v>1408</v>
      </c>
      <c r="AH9" s="797">
        <f t="shared" si="15"/>
        <v>20123</v>
      </c>
    </row>
    <row r="10" spans="1:36">
      <c r="A10" s="883" t="s">
        <v>3</v>
      </c>
      <c r="B10" s="240" t="s">
        <v>53</v>
      </c>
      <c r="C10" s="613">
        <f t="shared" ref="C10:M16" si="16">IF(S$16&gt;0,(S10/S$16),0)</f>
        <v>0.3157851662404092</v>
      </c>
      <c r="D10" s="614">
        <f t="shared" si="16"/>
        <v>0.24557925620490048</v>
      </c>
      <c r="E10" s="614">
        <f t="shared" si="16"/>
        <v>0.23961741756858798</v>
      </c>
      <c r="F10" s="614">
        <f t="shared" si="16"/>
        <v>0.21788836583725621</v>
      </c>
      <c r="G10" s="614">
        <f t="shared" si="16"/>
        <v>0.19214346712211786</v>
      </c>
      <c r="H10" s="615">
        <f t="shared" si="16"/>
        <v>0.17241379310344829</v>
      </c>
      <c r="I10" s="613">
        <f t="shared" si="16"/>
        <v>0.27006902082080364</v>
      </c>
      <c r="J10" s="613">
        <f t="shared" si="16"/>
        <v>3.1295038089355569E-2</v>
      </c>
      <c r="K10" s="614">
        <f t="shared" si="16"/>
        <v>0.16566973117653905</v>
      </c>
      <c r="L10" s="614">
        <f t="shared" si="16"/>
        <v>9.9902040948502677E-2</v>
      </c>
      <c r="M10" s="614">
        <f t="shared" si="16"/>
        <v>4.8486281929990542E-2</v>
      </c>
      <c r="N10" s="613">
        <f t="shared" ref="N10:Q16" si="17">IF(AE$16&gt;0,(AE10/AE$16),0)</f>
        <v>0.12338715363463301</v>
      </c>
      <c r="O10" s="788">
        <f t="shared" si="17"/>
        <v>1.2167787383925712E-2</v>
      </c>
      <c r="P10" s="789">
        <f t="shared" si="17"/>
        <v>0</v>
      </c>
      <c r="Q10" s="788">
        <f t="shared" si="17"/>
        <v>8.3866696093577581E-3</v>
      </c>
      <c r="R10" s="244"/>
      <c r="S10" s="847">
        <v>15434</v>
      </c>
      <c r="T10" s="246">
        <v>3097</v>
      </c>
      <c r="U10" s="246">
        <v>6664</v>
      </c>
      <c r="V10" s="246">
        <v>1620</v>
      </c>
      <c r="W10" s="246">
        <v>900</v>
      </c>
      <c r="X10" s="246">
        <v>575</v>
      </c>
      <c r="Y10" s="247">
        <v>28290</v>
      </c>
      <c r="Z10" s="245">
        <v>152</v>
      </c>
      <c r="AA10" s="246">
        <v>3559</v>
      </c>
      <c r="AB10" s="246">
        <v>1234</v>
      </c>
      <c r="AC10" s="246">
        <v>205</v>
      </c>
      <c r="AD10" s="246">
        <v>450</v>
      </c>
      <c r="AE10" s="247">
        <v>5600</v>
      </c>
      <c r="AF10" s="245">
        <v>38</v>
      </c>
      <c r="AG10" s="246">
        <v>0</v>
      </c>
      <c r="AH10" s="245">
        <v>38</v>
      </c>
      <c r="AJ10" s="80" t="s">
        <v>228</v>
      </c>
    </row>
    <row r="11" spans="1:36">
      <c r="A11" s="886"/>
      <c r="B11" s="239" t="s">
        <v>93</v>
      </c>
      <c r="C11" s="624">
        <f t="shared" si="16"/>
        <v>0.27247058823529413</v>
      </c>
      <c r="D11" s="625">
        <f t="shared" si="16"/>
        <v>0.29680437713107605</v>
      </c>
      <c r="E11" s="625">
        <f t="shared" si="16"/>
        <v>0.26338499155010608</v>
      </c>
      <c r="F11" s="625">
        <f t="shared" si="16"/>
        <v>0.26227303295225285</v>
      </c>
      <c r="G11" s="625">
        <f t="shared" si="16"/>
        <v>0.26110162254483349</v>
      </c>
      <c r="H11" s="626">
        <f t="shared" si="16"/>
        <v>0.27526236881559218</v>
      </c>
      <c r="I11" s="624">
        <f t="shared" si="16"/>
        <v>0.27184466019417475</v>
      </c>
      <c r="J11" s="624">
        <f t="shared" si="16"/>
        <v>3.4589252625077206E-2</v>
      </c>
      <c r="K11" s="625">
        <f t="shared" si="16"/>
        <v>0.10012801117188409</v>
      </c>
      <c r="L11" s="625">
        <f t="shared" si="16"/>
        <v>9.9092462010508336E-2</v>
      </c>
      <c r="M11" s="625">
        <f t="shared" si="16"/>
        <v>4.068117313150426E-2</v>
      </c>
      <c r="N11" s="624">
        <f t="shared" si="17"/>
        <v>9.7431784530776291E-2</v>
      </c>
      <c r="O11" s="624">
        <f t="shared" si="17"/>
        <v>1.569004162664105E-2</v>
      </c>
      <c r="P11" s="625">
        <f t="shared" si="17"/>
        <v>0</v>
      </c>
      <c r="Q11" s="624">
        <f t="shared" si="17"/>
        <v>1.0814389759435003E-2</v>
      </c>
      <c r="R11" s="253"/>
      <c r="S11" s="850">
        <v>13317</v>
      </c>
      <c r="T11" s="255">
        <v>3743</v>
      </c>
      <c r="U11" s="255">
        <v>7325</v>
      </c>
      <c r="V11" s="255">
        <v>1950</v>
      </c>
      <c r="W11" s="255">
        <v>1223</v>
      </c>
      <c r="X11" s="255">
        <v>918</v>
      </c>
      <c r="Y11" s="256">
        <v>28476</v>
      </c>
      <c r="Z11" s="254">
        <v>168</v>
      </c>
      <c r="AA11" s="255">
        <v>2151</v>
      </c>
      <c r="AB11" s="255">
        <v>1224</v>
      </c>
      <c r="AC11" s="255">
        <v>172</v>
      </c>
      <c r="AD11" s="255">
        <v>707</v>
      </c>
      <c r="AE11" s="256">
        <v>4422</v>
      </c>
      <c r="AF11" s="254">
        <v>49</v>
      </c>
      <c r="AG11" s="255">
        <v>0</v>
      </c>
      <c r="AH11" s="254">
        <v>49</v>
      </c>
    </row>
    <row r="12" spans="1:36">
      <c r="A12" s="886"/>
      <c r="B12" s="239" t="s">
        <v>55</v>
      </c>
      <c r="C12" s="624">
        <f t="shared" si="16"/>
        <v>0.21700255754475703</v>
      </c>
      <c r="D12" s="625">
        <f t="shared" si="16"/>
        <v>0.25065419078582191</v>
      </c>
      <c r="E12" s="625">
        <f t="shared" si="16"/>
        <v>0.27366869224407608</v>
      </c>
      <c r="F12" s="625">
        <f t="shared" si="16"/>
        <v>0.31311365164761262</v>
      </c>
      <c r="G12" s="625">
        <f t="shared" si="16"/>
        <v>0.30465414175918021</v>
      </c>
      <c r="H12" s="626">
        <f t="shared" si="16"/>
        <v>0.36011994002998499</v>
      </c>
      <c r="I12" s="624">
        <f t="shared" si="16"/>
        <v>0.25139616805567488</v>
      </c>
      <c r="J12" s="624">
        <f t="shared" si="16"/>
        <v>5.0442660078237597E-2</v>
      </c>
      <c r="K12" s="625">
        <f t="shared" si="16"/>
        <v>8.5697660886768307E-2</v>
      </c>
      <c r="L12" s="625">
        <f t="shared" si="16"/>
        <v>9.3830198913545063E-2</v>
      </c>
      <c r="M12" s="625">
        <f t="shared" si="16"/>
        <v>6.3386944181646171E-2</v>
      </c>
      <c r="N12" s="624">
        <f t="shared" si="17"/>
        <v>9.4038637805823874E-2</v>
      </c>
      <c r="O12" s="624">
        <f t="shared" si="17"/>
        <v>2.3695164905539544E-2</v>
      </c>
      <c r="P12" s="625">
        <f t="shared" si="17"/>
        <v>0</v>
      </c>
      <c r="Q12" s="624">
        <f t="shared" si="17"/>
        <v>1.6331935555065107E-2</v>
      </c>
      <c r="R12" s="253"/>
      <c r="S12" s="850">
        <v>10606</v>
      </c>
      <c r="T12" s="255">
        <v>3161</v>
      </c>
      <c r="U12" s="255">
        <v>7611</v>
      </c>
      <c r="V12" s="255">
        <v>2328</v>
      </c>
      <c r="W12" s="255">
        <v>1427</v>
      </c>
      <c r="X12" s="255">
        <v>1201</v>
      </c>
      <c r="Y12" s="256">
        <v>26334</v>
      </c>
      <c r="Z12" s="254">
        <v>245</v>
      </c>
      <c r="AA12" s="255">
        <v>1841</v>
      </c>
      <c r="AB12" s="255">
        <v>1159</v>
      </c>
      <c r="AC12" s="255">
        <v>268</v>
      </c>
      <c r="AD12" s="255">
        <v>755</v>
      </c>
      <c r="AE12" s="256">
        <v>4268</v>
      </c>
      <c r="AF12" s="254">
        <v>74</v>
      </c>
      <c r="AG12" s="255">
        <v>0</v>
      </c>
      <c r="AH12" s="254">
        <v>74</v>
      </c>
    </row>
    <row r="13" spans="1:36">
      <c r="A13" s="886"/>
      <c r="B13" s="239" t="s">
        <v>78</v>
      </c>
      <c r="C13" s="624">
        <f t="shared" si="16"/>
        <v>7.4966751918158561E-2</v>
      </c>
      <c r="D13" s="625">
        <f t="shared" si="16"/>
        <v>9.6899532154468324E-2</v>
      </c>
      <c r="E13" s="625">
        <f t="shared" si="16"/>
        <v>0.10503038366114127</v>
      </c>
      <c r="F13" s="625">
        <f t="shared" si="16"/>
        <v>0.11042367182246134</v>
      </c>
      <c r="G13" s="625">
        <f t="shared" si="16"/>
        <v>0.12745516652433816</v>
      </c>
      <c r="H13" s="626">
        <f t="shared" si="16"/>
        <v>0.13463268365817091</v>
      </c>
      <c r="I13" s="624">
        <f t="shared" si="16"/>
        <v>9.2352340311787004E-2</v>
      </c>
      <c r="J13" s="624">
        <f t="shared" si="16"/>
        <v>0.12065060737080502</v>
      </c>
      <c r="K13" s="625">
        <f t="shared" si="16"/>
        <v>0.15468404515303152</v>
      </c>
      <c r="L13" s="625">
        <f t="shared" si="16"/>
        <v>0.16523506124464665</v>
      </c>
      <c r="M13" s="625">
        <f t="shared" si="16"/>
        <v>0.16934720908230841</v>
      </c>
      <c r="N13" s="624">
        <f t="shared" si="17"/>
        <v>0.15764912218853558</v>
      </c>
      <c r="O13" s="624">
        <f t="shared" si="17"/>
        <v>9.3820044828690358E-2</v>
      </c>
      <c r="P13" s="625">
        <f t="shared" si="17"/>
        <v>0</v>
      </c>
      <c r="Q13" s="624">
        <f t="shared" si="17"/>
        <v>6.4665636724784814E-2</v>
      </c>
      <c r="R13" s="253"/>
      <c r="S13" s="850">
        <v>3664</v>
      </c>
      <c r="T13" s="255">
        <v>1222</v>
      </c>
      <c r="U13" s="255">
        <v>2921</v>
      </c>
      <c r="V13" s="255">
        <v>821</v>
      </c>
      <c r="W13" s="255">
        <v>597</v>
      </c>
      <c r="X13" s="255">
        <v>449</v>
      </c>
      <c r="Y13" s="256">
        <v>9674</v>
      </c>
      <c r="Z13" s="254">
        <v>586</v>
      </c>
      <c r="AA13" s="255">
        <v>3323</v>
      </c>
      <c r="AB13" s="255">
        <v>2041</v>
      </c>
      <c r="AC13" s="255">
        <v>716</v>
      </c>
      <c r="AD13" s="255">
        <v>489</v>
      </c>
      <c r="AE13" s="256">
        <v>7155</v>
      </c>
      <c r="AF13" s="254">
        <v>293</v>
      </c>
      <c r="AG13" s="255">
        <v>0</v>
      </c>
      <c r="AH13" s="254">
        <v>293</v>
      </c>
    </row>
    <row r="14" spans="1:36">
      <c r="A14" s="886"/>
      <c r="B14" s="239" t="s">
        <v>32</v>
      </c>
      <c r="C14" s="624">
        <f t="shared" si="16"/>
        <v>0.11977493606138108</v>
      </c>
      <c r="D14" s="625">
        <f t="shared" si="16"/>
        <v>0.11006264372373326</v>
      </c>
      <c r="E14" s="625">
        <f t="shared" si="16"/>
        <v>0.11829851497608859</v>
      </c>
      <c r="F14" s="625">
        <f t="shared" si="16"/>
        <v>9.6301277740416941E-2</v>
      </c>
      <c r="G14" s="625">
        <f t="shared" si="16"/>
        <v>0.11464560204953031</v>
      </c>
      <c r="H14" s="626">
        <f t="shared" si="16"/>
        <v>5.7571214392803598E-2</v>
      </c>
      <c r="I14" s="624">
        <f t="shared" si="16"/>
        <v>0.11433781061755974</v>
      </c>
      <c r="J14" s="624">
        <f t="shared" si="16"/>
        <v>4.9413218035824586E-3</v>
      </c>
      <c r="K14" s="625">
        <f t="shared" si="16"/>
        <v>6.6146863726288835E-2</v>
      </c>
      <c r="L14" s="625">
        <f t="shared" si="16"/>
        <v>4.3150557395098807E-2</v>
      </c>
      <c r="M14" s="625">
        <f t="shared" si="16"/>
        <v>3.9971617786187325E-2</v>
      </c>
      <c r="N14" s="624">
        <f t="shared" si="17"/>
        <v>4.8737925685680042E-2</v>
      </c>
      <c r="O14" s="624">
        <f t="shared" si="17"/>
        <v>3.6183157220621195E-2</v>
      </c>
      <c r="P14" s="790">
        <f t="shared" si="17"/>
        <v>0</v>
      </c>
      <c r="Q14" s="791">
        <f t="shared" si="17"/>
        <v>2.4939306996248068E-2</v>
      </c>
      <c r="R14" s="253"/>
      <c r="S14" s="850">
        <v>5854</v>
      </c>
      <c r="T14" s="255">
        <v>1388</v>
      </c>
      <c r="U14" s="255">
        <v>3290</v>
      </c>
      <c r="V14" s="255">
        <v>716</v>
      </c>
      <c r="W14" s="255">
        <v>537</v>
      </c>
      <c r="X14" s="255">
        <v>192</v>
      </c>
      <c r="Y14" s="256">
        <v>11977</v>
      </c>
      <c r="Z14" s="254">
        <v>24</v>
      </c>
      <c r="AA14" s="255">
        <v>1421</v>
      </c>
      <c r="AB14" s="255">
        <v>533</v>
      </c>
      <c r="AC14" s="255">
        <v>169</v>
      </c>
      <c r="AD14" s="255">
        <v>65</v>
      </c>
      <c r="AE14" s="256">
        <v>2212</v>
      </c>
      <c r="AF14" s="254">
        <v>113</v>
      </c>
      <c r="AG14" s="255">
        <v>0</v>
      </c>
      <c r="AH14" s="254">
        <v>113</v>
      </c>
    </row>
    <row r="15" spans="1:36">
      <c r="A15" s="886"/>
      <c r="B15" s="239" t="s">
        <v>58</v>
      </c>
      <c r="C15" s="624">
        <f t="shared" si="16"/>
        <v>0</v>
      </c>
      <c r="D15" s="790">
        <f t="shared" si="16"/>
        <v>0</v>
      </c>
      <c r="E15" s="625">
        <f t="shared" si="16"/>
        <v>0</v>
      </c>
      <c r="F15" s="790">
        <f t="shared" si="16"/>
        <v>0</v>
      </c>
      <c r="G15" s="790">
        <f t="shared" si="16"/>
        <v>0</v>
      </c>
      <c r="H15" s="626">
        <f t="shared" si="16"/>
        <v>0</v>
      </c>
      <c r="I15" s="624">
        <f t="shared" si="16"/>
        <v>0</v>
      </c>
      <c r="J15" s="624">
        <f t="shared" si="16"/>
        <v>0.75808112003294215</v>
      </c>
      <c r="K15" s="625">
        <f t="shared" si="16"/>
        <v>0.42767368788548821</v>
      </c>
      <c r="L15" s="625">
        <f t="shared" si="16"/>
        <v>0.49878967948769848</v>
      </c>
      <c r="M15" s="625">
        <f t="shared" si="16"/>
        <v>0.63812677388836325</v>
      </c>
      <c r="N15" s="624">
        <f t="shared" si="17"/>
        <v>0.47875537615455122</v>
      </c>
      <c r="O15" s="624">
        <f t="shared" si="17"/>
        <v>0.81844380403458217</v>
      </c>
      <c r="P15" s="625">
        <f t="shared" si="17"/>
        <v>1</v>
      </c>
      <c r="Q15" s="624">
        <f t="shared" si="17"/>
        <v>0.87486206135510924</v>
      </c>
      <c r="R15" s="253"/>
      <c r="S15" s="850">
        <v>0</v>
      </c>
      <c r="T15" s="255">
        <v>0</v>
      </c>
      <c r="U15" s="255">
        <v>0</v>
      </c>
      <c r="V15" s="255">
        <v>0</v>
      </c>
      <c r="W15" s="255">
        <v>0</v>
      </c>
      <c r="X15" s="255">
        <v>0</v>
      </c>
      <c r="Y15" s="256">
        <v>0</v>
      </c>
      <c r="Z15" s="254">
        <v>3682</v>
      </c>
      <c r="AA15" s="255">
        <v>9187.5</v>
      </c>
      <c r="AB15" s="255">
        <v>6161.1</v>
      </c>
      <c r="AC15" s="255">
        <v>2698</v>
      </c>
      <c r="AD15" s="255">
        <v>0</v>
      </c>
      <c r="AE15" s="256">
        <v>21728.6</v>
      </c>
      <c r="AF15" s="254">
        <v>2556</v>
      </c>
      <c r="AG15" s="255">
        <v>1408</v>
      </c>
      <c r="AH15" s="254">
        <v>3964</v>
      </c>
    </row>
    <row r="16" spans="1:36">
      <c r="A16" s="887" t="s">
        <v>86</v>
      </c>
      <c r="B16" s="436" t="s">
        <v>59</v>
      </c>
      <c r="C16" s="577">
        <f>IF(S$16&gt;0,(S16/S$16),0)</f>
        <v>1</v>
      </c>
      <c r="D16" s="578">
        <f t="shared" si="16"/>
        <v>1</v>
      </c>
      <c r="E16" s="578">
        <f t="shared" si="16"/>
        <v>1</v>
      </c>
      <c r="F16" s="578">
        <f t="shared" si="16"/>
        <v>1</v>
      </c>
      <c r="G16" s="578">
        <f t="shared" si="16"/>
        <v>1</v>
      </c>
      <c r="H16" s="579">
        <f t="shared" si="16"/>
        <v>1</v>
      </c>
      <c r="I16" s="577">
        <f t="shared" si="16"/>
        <v>1</v>
      </c>
      <c r="J16" s="577">
        <f t="shared" si="16"/>
        <v>1</v>
      </c>
      <c r="K16" s="578">
        <f t="shared" si="16"/>
        <v>1</v>
      </c>
      <c r="L16" s="578">
        <f t="shared" si="16"/>
        <v>1</v>
      </c>
      <c r="M16" s="578">
        <f t="shared" si="16"/>
        <v>1</v>
      </c>
      <c r="N16" s="577">
        <f t="shared" si="17"/>
        <v>1</v>
      </c>
      <c r="O16" s="577">
        <f t="shared" si="17"/>
        <v>1</v>
      </c>
      <c r="P16" s="578">
        <f t="shared" si="17"/>
        <v>1</v>
      </c>
      <c r="Q16" s="577">
        <f t="shared" si="17"/>
        <v>1</v>
      </c>
      <c r="R16" s="264"/>
      <c r="S16" s="853">
        <v>48875</v>
      </c>
      <c r="T16" s="266">
        <v>12611</v>
      </c>
      <c r="U16" s="266">
        <v>27811</v>
      </c>
      <c r="V16" s="266">
        <v>7435</v>
      </c>
      <c r="W16" s="266">
        <v>4684</v>
      </c>
      <c r="X16" s="266">
        <v>3335</v>
      </c>
      <c r="Y16" s="267">
        <v>104751</v>
      </c>
      <c r="Z16" s="265">
        <v>4857</v>
      </c>
      <c r="AA16" s="266">
        <v>21482.5</v>
      </c>
      <c r="AB16" s="266">
        <v>12352.1</v>
      </c>
      <c r="AC16" s="266">
        <v>4228</v>
      </c>
      <c r="AD16" s="266">
        <v>2466</v>
      </c>
      <c r="AE16" s="267">
        <v>45385.599999999999</v>
      </c>
      <c r="AF16" s="265">
        <v>3123</v>
      </c>
      <c r="AG16" s="266">
        <v>1408</v>
      </c>
      <c r="AH16" s="265">
        <v>4531</v>
      </c>
    </row>
    <row r="17" spans="1:34">
      <c r="A17" s="883" t="s">
        <v>4</v>
      </c>
      <c r="B17" s="240" t="s">
        <v>53</v>
      </c>
      <c r="C17" s="613">
        <f t="shared" ref="C17:M23" si="18">IF(S$23&gt;0,(S17/S$23),0)</f>
        <v>0.31732348111658454</v>
      </c>
      <c r="D17" s="614">
        <f t="shared" si="18"/>
        <v>0.25244299674267101</v>
      </c>
      <c r="E17" s="614">
        <f t="shared" si="18"/>
        <v>0.23445378151260504</v>
      </c>
      <c r="F17" s="614">
        <f t="shared" si="18"/>
        <v>0.26644736842105265</v>
      </c>
      <c r="G17" s="614">
        <f t="shared" si="18"/>
        <v>0.23015873015873015</v>
      </c>
      <c r="H17" s="615">
        <f t="shared" si="18"/>
        <v>0.20481927710843373</v>
      </c>
      <c r="I17" s="613">
        <f t="shared" si="18"/>
        <v>0.27583232706572364</v>
      </c>
      <c r="J17" s="613">
        <f t="shared" si="18"/>
        <v>0</v>
      </c>
      <c r="K17" s="614">
        <f t="shared" si="18"/>
        <v>0</v>
      </c>
      <c r="L17" s="614">
        <f t="shared" si="18"/>
        <v>0</v>
      </c>
      <c r="M17" s="614">
        <f t="shared" si="18"/>
        <v>0</v>
      </c>
      <c r="N17" s="613">
        <f t="shared" ref="N17:Q23" si="19">IF(AE$23&gt;0,(AE17/AE$23),0)</f>
        <v>0</v>
      </c>
      <c r="O17" s="788">
        <f t="shared" si="19"/>
        <v>0</v>
      </c>
      <c r="P17" s="614">
        <f t="shared" si="19"/>
        <v>0</v>
      </c>
      <c r="Q17" s="788">
        <f t="shared" si="19"/>
        <v>0</v>
      </c>
      <c r="R17" s="244"/>
      <c r="S17" s="847">
        <v>773</v>
      </c>
      <c r="T17" s="848">
        <v>310</v>
      </c>
      <c r="U17" s="848">
        <v>279</v>
      </c>
      <c r="V17" s="848">
        <v>162</v>
      </c>
      <c r="W17" s="848">
        <v>58</v>
      </c>
      <c r="X17" s="848">
        <v>17</v>
      </c>
      <c r="Y17" s="849">
        <v>1599</v>
      </c>
      <c r="Z17" s="847"/>
      <c r="AA17" s="848">
        <v>0</v>
      </c>
      <c r="AB17" s="848">
        <v>0</v>
      </c>
      <c r="AC17" s="848">
        <v>0</v>
      </c>
      <c r="AD17" s="848"/>
      <c r="AE17" s="849">
        <v>0</v>
      </c>
      <c r="AF17" s="847">
        <v>0</v>
      </c>
      <c r="AG17" s="848">
        <v>0</v>
      </c>
      <c r="AH17" s="847">
        <v>0</v>
      </c>
    </row>
    <row r="18" spans="1:34">
      <c r="A18" s="886"/>
      <c r="B18" s="239" t="s">
        <v>93</v>
      </c>
      <c r="C18" s="624">
        <f t="shared" si="18"/>
        <v>0.29597701149425287</v>
      </c>
      <c r="D18" s="625">
        <f t="shared" si="18"/>
        <v>0.29641693811074921</v>
      </c>
      <c r="E18" s="625">
        <f t="shared" si="18"/>
        <v>0.24033613445378152</v>
      </c>
      <c r="F18" s="625">
        <f t="shared" si="18"/>
        <v>0.24013157894736842</v>
      </c>
      <c r="G18" s="625">
        <f t="shared" si="18"/>
        <v>0.25793650793650796</v>
      </c>
      <c r="H18" s="626">
        <f t="shared" si="18"/>
        <v>0.3253012048192771</v>
      </c>
      <c r="I18" s="624">
        <f t="shared" si="18"/>
        <v>0.27755735725375191</v>
      </c>
      <c r="J18" s="624">
        <f t="shared" si="18"/>
        <v>0</v>
      </c>
      <c r="K18" s="625">
        <f t="shared" si="18"/>
        <v>0</v>
      </c>
      <c r="L18" s="625">
        <f t="shared" si="18"/>
        <v>0</v>
      </c>
      <c r="M18" s="625">
        <f t="shared" si="18"/>
        <v>0</v>
      </c>
      <c r="N18" s="624">
        <f t="shared" si="19"/>
        <v>0</v>
      </c>
      <c r="O18" s="624">
        <f t="shared" si="19"/>
        <v>0</v>
      </c>
      <c r="P18" s="625">
        <f t="shared" si="19"/>
        <v>0</v>
      </c>
      <c r="Q18" s="624">
        <f t="shared" si="19"/>
        <v>0</v>
      </c>
      <c r="R18" s="253"/>
      <c r="S18" s="850">
        <v>721</v>
      </c>
      <c r="T18" s="851">
        <v>364</v>
      </c>
      <c r="U18" s="851">
        <v>286</v>
      </c>
      <c r="V18" s="851">
        <v>146</v>
      </c>
      <c r="W18" s="851">
        <v>65</v>
      </c>
      <c r="X18" s="851">
        <v>27</v>
      </c>
      <c r="Y18" s="852">
        <v>1609</v>
      </c>
      <c r="Z18" s="850"/>
      <c r="AA18" s="851">
        <v>0</v>
      </c>
      <c r="AB18" s="851">
        <v>0</v>
      </c>
      <c r="AC18" s="851">
        <v>0</v>
      </c>
      <c r="AD18" s="851"/>
      <c r="AE18" s="852">
        <v>0</v>
      </c>
      <c r="AF18" s="850">
        <v>0</v>
      </c>
      <c r="AG18" s="851">
        <v>0</v>
      </c>
      <c r="AH18" s="850">
        <v>0</v>
      </c>
    </row>
    <row r="19" spans="1:34">
      <c r="A19" s="886"/>
      <c r="B19" s="239" t="s">
        <v>55</v>
      </c>
      <c r="C19" s="624">
        <f t="shared" si="18"/>
        <v>0.23357963875205254</v>
      </c>
      <c r="D19" s="625">
        <f t="shared" si="18"/>
        <v>0.32003257328990226</v>
      </c>
      <c r="E19" s="625">
        <f t="shared" si="18"/>
        <v>0.30420168067226888</v>
      </c>
      <c r="F19" s="625">
        <f t="shared" si="18"/>
        <v>0.32072368421052633</v>
      </c>
      <c r="G19" s="625">
        <f t="shared" si="18"/>
        <v>0.42063492063492064</v>
      </c>
      <c r="H19" s="626">
        <f t="shared" si="18"/>
        <v>0.44578313253012047</v>
      </c>
      <c r="I19" s="624">
        <f t="shared" si="18"/>
        <v>0.28670001725030186</v>
      </c>
      <c r="J19" s="624">
        <f t="shared" si="18"/>
        <v>0</v>
      </c>
      <c r="K19" s="625">
        <f t="shared" si="18"/>
        <v>0</v>
      </c>
      <c r="L19" s="625">
        <f t="shared" si="18"/>
        <v>0</v>
      </c>
      <c r="M19" s="625">
        <f t="shared" si="18"/>
        <v>0</v>
      </c>
      <c r="N19" s="624">
        <f t="shared" si="19"/>
        <v>0</v>
      </c>
      <c r="O19" s="624">
        <f t="shared" si="19"/>
        <v>0</v>
      </c>
      <c r="P19" s="625">
        <f t="shared" si="19"/>
        <v>0</v>
      </c>
      <c r="Q19" s="624">
        <f t="shared" si="19"/>
        <v>0</v>
      </c>
      <c r="R19" s="253"/>
      <c r="S19" s="850">
        <v>569</v>
      </c>
      <c r="T19" s="851">
        <v>393</v>
      </c>
      <c r="U19" s="851">
        <v>362</v>
      </c>
      <c r="V19" s="851">
        <v>195</v>
      </c>
      <c r="W19" s="851">
        <v>106</v>
      </c>
      <c r="X19" s="851">
        <v>37</v>
      </c>
      <c r="Y19" s="852">
        <v>1662</v>
      </c>
      <c r="Z19" s="850"/>
      <c r="AA19" s="851">
        <v>0</v>
      </c>
      <c r="AB19" s="851">
        <v>0</v>
      </c>
      <c r="AC19" s="851">
        <v>0</v>
      </c>
      <c r="AD19" s="851"/>
      <c r="AE19" s="852">
        <v>0</v>
      </c>
      <c r="AF19" s="850">
        <v>0</v>
      </c>
      <c r="AG19" s="851">
        <v>0</v>
      </c>
      <c r="AH19" s="850">
        <v>0</v>
      </c>
    </row>
    <row r="20" spans="1:34">
      <c r="A20" s="886"/>
      <c r="B20" s="239" t="s">
        <v>78</v>
      </c>
      <c r="C20" s="624">
        <f t="shared" si="18"/>
        <v>0.14449917898193759</v>
      </c>
      <c r="D20" s="625">
        <f t="shared" si="18"/>
        <v>9.8534201954397396E-2</v>
      </c>
      <c r="E20" s="625">
        <f t="shared" si="18"/>
        <v>0.20588235294117646</v>
      </c>
      <c r="F20" s="625">
        <f t="shared" si="18"/>
        <v>0.15296052631578946</v>
      </c>
      <c r="G20" s="625">
        <f t="shared" si="18"/>
        <v>7.1428571428571425E-2</v>
      </c>
      <c r="H20" s="626">
        <f t="shared" si="18"/>
        <v>2.4096385542168676E-2</v>
      </c>
      <c r="I20" s="624">
        <f t="shared" si="18"/>
        <v>0.14335000862515093</v>
      </c>
      <c r="J20" s="624">
        <f t="shared" si="18"/>
        <v>0</v>
      </c>
      <c r="K20" s="625">
        <f t="shared" si="18"/>
        <v>0</v>
      </c>
      <c r="L20" s="625">
        <f t="shared" si="18"/>
        <v>0</v>
      </c>
      <c r="M20" s="625">
        <f t="shared" si="18"/>
        <v>0</v>
      </c>
      <c r="N20" s="624">
        <f t="shared" si="19"/>
        <v>0</v>
      </c>
      <c r="O20" s="624">
        <f t="shared" si="19"/>
        <v>0</v>
      </c>
      <c r="P20" s="625">
        <f t="shared" si="19"/>
        <v>0</v>
      </c>
      <c r="Q20" s="624">
        <f t="shared" si="19"/>
        <v>0</v>
      </c>
      <c r="R20" s="253"/>
      <c r="S20" s="850">
        <v>352</v>
      </c>
      <c r="T20" s="851">
        <v>121</v>
      </c>
      <c r="U20" s="851">
        <v>245</v>
      </c>
      <c r="V20" s="851">
        <v>93</v>
      </c>
      <c r="W20" s="851">
        <v>18</v>
      </c>
      <c r="X20" s="851">
        <v>2</v>
      </c>
      <c r="Y20" s="852">
        <v>831</v>
      </c>
      <c r="Z20" s="850"/>
      <c r="AA20" s="851">
        <v>0</v>
      </c>
      <c r="AB20" s="851">
        <v>0</v>
      </c>
      <c r="AC20" s="851">
        <v>0</v>
      </c>
      <c r="AD20" s="851"/>
      <c r="AE20" s="852">
        <v>0</v>
      </c>
      <c r="AF20" s="850">
        <v>0</v>
      </c>
      <c r="AG20" s="851">
        <v>0</v>
      </c>
      <c r="AH20" s="850">
        <v>0</v>
      </c>
    </row>
    <row r="21" spans="1:34">
      <c r="A21" s="886"/>
      <c r="B21" s="239" t="s">
        <v>32</v>
      </c>
      <c r="C21" s="624">
        <f t="shared" si="18"/>
        <v>8.6206896551724137E-3</v>
      </c>
      <c r="D21" s="625">
        <f t="shared" si="18"/>
        <v>3.2573289902280131E-2</v>
      </c>
      <c r="E21" s="625">
        <f t="shared" si="18"/>
        <v>1.5126050420168067E-2</v>
      </c>
      <c r="F21" s="790">
        <f t="shared" si="18"/>
        <v>1.9736842105263157E-2</v>
      </c>
      <c r="G21" s="625">
        <f t="shared" si="18"/>
        <v>1.984126984126984E-2</v>
      </c>
      <c r="H21" s="626">
        <f t="shared" si="18"/>
        <v>0</v>
      </c>
      <c r="I21" s="624">
        <f t="shared" si="18"/>
        <v>1.6560289805071588E-2</v>
      </c>
      <c r="J21" s="624">
        <f t="shared" si="18"/>
        <v>0</v>
      </c>
      <c r="K21" s="625">
        <f t="shared" si="18"/>
        <v>0</v>
      </c>
      <c r="L21" s="625">
        <f t="shared" si="18"/>
        <v>0</v>
      </c>
      <c r="M21" s="625">
        <f t="shared" si="18"/>
        <v>0</v>
      </c>
      <c r="N21" s="624">
        <f t="shared" si="19"/>
        <v>0</v>
      </c>
      <c r="O21" s="624">
        <f t="shared" si="19"/>
        <v>0</v>
      </c>
      <c r="P21" s="625">
        <f t="shared" si="19"/>
        <v>0</v>
      </c>
      <c r="Q21" s="624">
        <f t="shared" si="19"/>
        <v>0</v>
      </c>
      <c r="R21" s="253"/>
      <c r="S21" s="850">
        <v>21</v>
      </c>
      <c r="T21" s="851">
        <v>40</v>
      </c>
      <c r="U21" s="851">
        <v>18</v>
      </c>
      <c r="V21" s="851">
        <v>12</v>
      </c>
      <c r="W21" s="851">
        <v>5</v>
      </c>
      <c r="X21" s="851">
        <v>0</v>
      </c>
      <c r="Y21" s="852">
        <v>96</v>
      </c>
      <c r="Z21" s="850"/>
      <c r="AA21" s="851">
        <v>0</v>
      </c>
      <c r="AB21" s="851">
        <v>0</v>
      </c>
      <c r="AC21" s="851">
        <v>0</v>
      </c>
      <c r="AD21" s="851"/>
      <c r="AE21" s="852">
        <v>0</v>
      </c>
      <c r="AF21" s="850">
        <v>0</v>
      </c>
      <c r="AG21" s="851">
        <v>0</v>
      </c>
      <c r="AH21" s="850">
        <v>0</v>
      </c>
    </row>
    <row r="22" spans="1:34">
      <c r="A22" s="886"/>
      <c r="B22" s="239" t="s">
        <v>58</v>
      </c>
      <c r="C22" s="624">
        <f t="shared" si="18"/>
        <v>0</v>
      </c>
      <c r="D22" s="625">
        <f t="shared" si="18"/>
        <v>0</v>
      </c>
      <c r="E22" s="792">
        <f t="shared" si="18"/>
        <v>0</v>
      </c>
      <c r="F22" s="625">
        <f t="shared" si="18"/>
        <v>0</v>
      </c>
      <c r="G22" s="790">
        <f t="shared" si="18"/>
        <v>0</v>
      </c>
      <c r="H22" s="626">
        <f t="shared" si="18"/>
        <v>0</v>
      </c>
      <c r="I22" s="793">
        <f t="shared" si="18"/>
        <v>0</v>
      </c>
      <c r="J22" s="624">
        <f t="shared" si="18"/>
        <v>0</v>
      </c>
      <c r="K22" s="625">
        <f t="shared" si="18"/>
        <v>1</v>
      </c>
      <c r="L22" s="625">
        <f t="shared" si="18"/>
        <v>1</v>
      </c>
      <c r="M22" s="625">
        <f t="shared" si="18"/>
        <v>1</v>
      </c>
      <c r="N22" s="624">
        <f t="shared" si="19"/>
        <v>1</v>
      </c>
      <c r="O22" s="624">
        <f t="shared" si="19"/>
        <v>1</v>
      </c>
      <c r="P22" s="625">
        <f t="shared" si="19"/>
        <v>1</v>
      </c>
      <c r="Q22" s="624">
        <f t="shared" si="19"/>
        <v>1</v>
      </c>
      <c r="R22" s="253"/>
      <c r="S22" s="850">
        <v>0</v>
      </c>
      <c r="T22" s="851">
        <v>0</v>
      </c>
      <c r="U22" s="851">
        <v>0</v>
      </c>
      <c r="V22" s="851">
        <v>0</v>
      </c>
      <c r="W22" s="851">
        <v>0</v>
      </c>
      <c r="X22" s="851">
        <v>0</v>
      </c>
      <c r="Y22" s="852">
        <v>0</v>
      </c>
      <c r="Z22" s="850"/>
      <c r="AA22" s="851">
        <v>436</v>
      </c>
      <c r="AB22" s="851">
        <v>996</v>
      </c>
      <c r="AC22" s="851">
        <v>318</v>
      </c>
      <c r="AD22" s="851"/>
      <c r="AE22" s="852">
        <v>1750</v>
      </c>
      <c r="AF22" s="850">
        <v>59</v>
      </c>
      <c r="AG22" s="851">
        <v>82</v>
      </c>
      <c r="AH22" s="850">
        <v>141</v>
      </c>
    </row>
    <row r="23" spans="1:34">
      <c r="A23" s="887"/>
      <c r="B23" s="436" t="s">
        <v>59</v>
      </c>
      <c r="C23" s="577">
        <f t="shared" si="18"/>
        <v>1</v>
      </c>
      <c r="D23" s="578">
        <f t="shared" si="18"/>
        <v>1</v>
      </c>
      <c r="E23" s="578">
        <f t="shared" si="18"/>
        <v>1</v>
      </c>
      <c r="F23" s="578">
        <f t="shared" si="18"/>
        <v>1</v>
      </c>
      <c r="G23" s="578">
        <f t="shared" si="18"/>
        <v>1</v>
      </c>
      <c r="H23" s="579">
        <f t="shared" si="18"/>
        <v>1</v>
      </c>
      <c r="I23" s="577">
        <f t="shared" si="18"/>
        <v>1</v>
      </c>
      <c r="J23" s="577">
        <f t="shared" si="18"/>
        <v>0</v>
      </c>
      <c r="K23" s="578">
        <f t="shared" si="18"/>
        <v>1</v>
      </c>
      <c r="L23" s="578">
        <f t="shared" si="18"/>
        <v>1</v>
      </c>
      <c r="M23" s="578">
        <f t="shared" si="18"/>
        <v>1</v>
      </c>
      <c r="N23" s="577">
        <f t="shared" si="19"/>
        <v>1</v>
      </c>
      <c r="O23" s="577">
        <f t="shared" si="19"/>
        <v>1</v>
      </c>
      <c r="P23" s="578">
        <f t="shared" si="19"/>
        <v>1</v>
      </c>
      <c r="Q23" s="577">
        <f t="shared" si="19"/>
        <v>1</v>
      </c>
      <c r="R23" s="264"/>
      <c r="S23" s="853">
        <v>2436</v>
      </c>
      <c r="T23" s="854">
        <v>1228</v>
      </c>
      <c r="U23" s="854">
        <v>1190</v>
      </c>
      <c r="V23" s="854">
        <v>608</v>
      </c>
      <c r="W23" s="854">
        <v>252</v>
      </c>
      <c r="X23" s="854">
        <v>83</v>
      </c>
      <c r="Y23" s="855">
        <v>5797</v>
      </c>
      <c r="Z23" s="853"/>
      <c r="AA23" s="854">
        <v>436</v>
      </c>
      <c r="AB23" s="854">
        <v>996</v>
      </c>
      <c r="AC23" s="854">
        <v>318</v>
      </c>
      <c r="AD23" s="854"/>
      <c r="AE23" s="855">
        <v>1750</v>
      </c>
      <c r="AF23" s="853">
        <v>59</v>
      </c>
      <c r="AG23" s="854">
        <v>82</v>
      </c>
      <c r="AH23" s="853">
        <v>141</v>
      </c>
    </row>
    <row r="24" spans="1:34">
      <c r="A24" s="883" t="s">
        <v>5</v>
      </c>
      <c r="B24" s="240" t="s">
        <v>53</v>
      </c>
      <c r="C24" s="613">
        <f t="shared" ref="C24:M30" si="20">IF(S$30&gt;0,(S24/S$30),0)</f>
        <v>0.32632541133455212</v>
      </c>
      <c r="D24" s="614">
        <f t="shared" si="20"/>
        <v>0.31422505307855625</v>
      </c>
      <c r="E24" s="614">
        <f t="shared" si="20"/>
        <v>0.18129079042784627</v>
      </c>
      <c r="F24" s="614">
        <f t="shared" si="20"/>
        <v>0.25225225225225223</v>
      </c>
      <c r="G24" s="614">
        <f t="shared" si="20"/>
        <v>0.11464968152866242</v>
      </c>
      <c r="H24" s="615">
        <f t="shared" si="20"/>
        <v>0.11838790931989925</v>
      </c>
      <c r="I24" s="613">
        <f t="shared" si="20"/>
        <v>0.23596972069955624</v>
      </c>
      <c r="J24" s="613">
        <f t="shared" si="20"/>
        <v>0</v>
      </c>
      <c r="K24" s="614">
        <f t="shared" si="20"/>
        <v>0</v>
      </c>
      <c r="L24" s="614">
        <f t="shared" si="20"/>
        <v>6.1349693251533744E-3</v>
      </c>
      <c r="M24" s="614">
        <f t="shared" si="20"/>
        <v>1.9883040935672516E-2</v>
      </c>
      <c r="N24" s="788">
        <f t="shared" ref="N24:Q30" si="21">IF(AE$30&gt;0,(AE24/AE$30),0)</f>
        <v>1.3422818791946308E-2</v>
      </c>
      <c r="O24" s="788">
        <f t="shared" si="21"/>
        <v>0</v>
      </c>
      <c r="P24" s="614">
        <f t="shared" si="21"/>
        <v>0</v>
      </c>
      <c r="Q24" s="788">
        <f t="shared" si="21"/>
        <v>0</v>
      </c>
      <c r="R24" s="244"/>
      <c r="S24" s="847">
        <v>357</v>
      </c>
      <c r="T24" s="246">
        <v>148</v>
      </c>
      <c r="U24" s="246">
        <v>250</v>
      </c>
      <c r="V24" s="246">
        <v>84</v>
      </c>
      <c r="W24" s="246">
        <v>18</v>
      </c>
      <c r="X24" s="246">
        <v>47</v>
      </c>
      <c r="Y24" s="247">
        <v>904</v>
      </c>
      <c r="Z24" s="245"/>
      <c r="AA24" s="246">
        <v>0</v>
      </c>
      <c r="AB24" s="246">
        <v>1</v>
      </c>
      <c r="AC24" s="246">
        <v>17</v>
      </c>
      <c r="AD24" s="246"/>
      <c r="AE24" s="247">
        <v>18</v>
      </c>
      <c r="AF24" s="245"/>
      <c r="AG24" s="246"/>
      <c r="AH24" s="245"/>
    </row>
    <row r="25" spans="1:34">
      <c r="A25" s="886"/>
      <c r="B25" s="239" t="s">
        <v>93</v>
      </c>
      <c r="C25" s="624">
        <f t="shared" si="20"/>
        <v>0.20292504570383912</v>
      </c>
      <c r="D25" s="625">
        <f t="shared" si="20"/>
        <v>0.26751592356687898</v>
      </c>
      <c r="E25" s="625">
        <f t="shared" si="20"/>
        <v>0.25235678027556202</v>
      </c>
      <c r="F25" s="625">
        <f t="shared" si="20"/>
        <v>0.21621621621621623</v>
      </c>
      <c r="G25" s="625">
        <f t="shared" si="20"/>
        <v>0.33121019108280253</v>
      </c>
      <c r="H25" s="626">
        <f t="shared" si="20"/>
        <v>0.24433249370277077</v>
      </c>
      <c r="I25" s="624">
        <f t="shared" si="20"/>
        <v>0.23936309057687288</v>
      </c>
      <c r="J25" s="624">
        <f t="shared" si="20"/>
        <v>0</v>
      </c>
      <c r="K25" s="625">
        <f t="shared" si="20"/>
        <v>0</v>
      </c>
      <c r="L25" s="625">
        <f t="shared" si="20"/>
        <v>6.1349693251533742E-2</v>
      </c>
      <c r="M25" s="625">
        <f t="shared" si="20"/>
        <v>3.5087719298245615E-3</v>
      </c>
      <c r="N25" s="624">
        <f t="shared" si="21"/>
        <v>9.6942580164056675E-3</v>
      </c>
      <c r="O25" s="624">
        <f t="shared" si="21"/>
        <v>0</v>
      </c>
      <c r="P25" s="625">
        <f t="shared" si="21"/>
        <v>0</v>
      </c>
      <c r="Q25" s="624">
        <f t="shared" si="21"/>
        <v>0</v>
      </c>
      <c r="R25" s="253"/>
      <c r="S25" s="850">
        <v>222</v>
      </c>
      <c r="T25" s="255">
        <v>126</v>
      </c>
      <c r="U25" s="255">
        <v>348</v>
      </c>
      <c r="V25" s="255">
        <v>72</v>
      </c>
      <c r="W25" s="255">
        <v>52</v>
      </c>
      <c r="X25" s="255">
        <v>97</v>
      </c>
      <c r="Y25" s="256">
        <v>917</v>
      </c>
      <c r="Z25" s="254"/>
      <c r="AA25" s="255">
        <v>0</v>
      </c>
      <c r="AB25" s="255">
        <v>10</v>
      </c>
      <c r="AC25" s="255">
        <v>3</v>
      </c>
      <c r="AD25" s="255"/>
      <c r="AE25" s="256">
        <v>13</v>
      </c>
      <c r="AF25" s="254"/>
      <c r="AG25" s="255"/>
      <c r="AH25" s="254"/>
    </row>
    <row r="26" spans="1:34">
      <c r="A26" s="886"/>
      <c r="B26" s="239" t="s">
        <v>55</v>
      </c>
      <c r="C26" s="624">
        <f t="shared" si="20"/>
        <v>0.18738574040219377</v>
      </c>
      <c r="D26" s="625">
        <f t="shared" si="20"/>
        <v>0.2356687898089172</v>
      </c>
      <c r="E26" s="625">
        <f t="shared" si="20"/>
        <v>0.28934010152284262</v>
      </c>
      <c r="F26" s="625">
        <f t="shared" si="20"/>
        <v>0.3003003003003003</v>
      </c>
      <c r="G26" s="625">
        <f t="shared" si="20"/>
        <v>0.12738853503184713</v>
      </c>
      <c r="H26" s="626">
        <f t="shared" si="20"/>
        <v>0.35516372795969775</v>
      </c>
      <c r="I26" s="624">
        <f t="shared" si="20"/>
        <v>0.25476376925084832</v>
      </c>
      <c r="J26" s="624">
        <f t="shared" si="20"/>
        <v>0</v>
      </c>
      <c r="K26" s="625">
        <f t="shared" si="20"/>
        <v>0</v>
      </c>
      <c r="L26" s="625">
        <f t="shared" si="20"/>
        <v>0.18404907975460122</v>
      </c>
      <c r="M26" s="625">
        <f t="shared" si="20"/>
        <v>5.4970760233918128E-2</v>
      </c>
      <c r="N26" s="624">
        <f t="shared" si="21"/>
        <v>5.7419835943325878E-2</v>
      </c>
      <c r="O26" s="624">
        <f t="shared" si="21"/>
        <v>0</v>
      </c>
      <c r="P26" s="625">
        <f t="shared" si="21"/>
        <v>0</v>
      </c>
      <c r="Q26" s="624">
        <f t="shared" si="21"/>
        <v>0</v>
      </c>
      <c r="R26" s="253"/>
      <c r="S26" s="850">
        <v>205</v>
      </c>
      <c r="T26" s="255">
        <v>111</v>
      </c>
      <c r="U26" s="255">
        <v>399</v>
      </c>
      <c r="V26" s="255">
        <v>100</v>
      </c>
      <c r="W26" s="255">
        <v>20</v>
      </c>
      <c r="X26" s="255">
        <v>141</v>
      </c>
      <c r="Y26" s="256">
        <v>976</v>
      </c>
      <c r="Z26" s="254"/>
      <c r="AA26" s="255">
        <v>0</v>
      </c>
      <c r="AB26" s="255">
        <v>30</v>
      </c>
      <c r="AC26" s="255">
        <v>47</v>
      </c>
      <c r="AD26" s="255"/>
      <c r="AE26" s="256">
        <v>77</v>
      </c>
      <c r="AF26" s="254"/>
      <c r="AG26" s="255"/>
      <c r="AH26" s="254"/>
    </row>
    <row r="27" spans="1:34">
      <c r="A27" s="886"/>
      <c r="B27" s="239" t="s">
        <v>78</v>
      </c>
      <c r="C27" s="624">
        <f t="shared" si="20"/>
        <v>0.20201096892138939</v>
      </c>
      <c r="D27" s="625">
        <f t="shared" si="20"/>
        <v>0.18259023354564755</v>
      </c>
      <c r="E27" s="625">
        <f t="shared" si="20"/>
        <v>0.15300942712110224</v>
      </c>
      <c r="F27" s="625">
        <f t="shared" si="20"/>
        <v>0.19519519519519518</v>
      </c>
      <c r="G27" s="625">
        <f t="shared" si="20"/>
        <v>0.19108280254777071</v>
      </c>
      <c r="H27" s="626">
        <f t="shared" si="20"/>
        <v>0.24181360201511334</v>
      </c>
      <c r="I27" s="624">
        <f t="shared" si="20"/>
        <v>0.18506917253980684</v>
      </c>
      <c r="J27" s="624">
        <f t="shared" si="20"/>
        <v>0</v>
      </c>
      <c r="K27" s="625">
        <f t="shared" si="20"/>
        <v>0</v>
      </c>
      <c r="L27" s="625">
        <f t="shared" si="20"/>
        <v>0.50306748466257667</v>
      </c>
      <c r="M27" s="625">
        <f t="shared" si="20"/>
        <v>0.1111111111111111</v>
      </c>
      <c r="N27" s="624">
        <f t="shared" si="21"/>
        <v>0.1319910514541387</v>
      </c>
      <c r="O27" s="624">
        <f t="shared" si="21"/>
        <v>0</v>
      </c>
      <c r="P27" s="625">
        <f t="shared" si="21"/>
        <v>0</v>
      </c>
      <c r="Q27" s="624">
        <f t="shared" si="21"/>
        <v>0</v>
      </c>
      <c r="R27" s="253"/>
      <c r="S27" s="850">
        <v>221</v>
      </c>
      <c r="T27" s="255">
        <v>86</v>
      </c>
      <c r="U27" s="255">
        <v>211</v>
      </c>
      <c r="V27" s="255">
        <v>65</v>
      </c>
      <c r="W27" s="255">
        <v>30</v>
      </c>
      <c r="X27" s="255">
        <v>96</v>
      </c>
      <c r="Y27" s="256">
        <v>709</v>
      </c>
      <c r="Z27" s="254"/>
      <c r="AA27" s="255">
        <v>0</v>
      </c>
      <c r="AB27" s="255">
        <v>82</v>
      </c>
      <c r="AC27" s="255">
        <v>95</v>
      </c>
      <c r="AD27" s="255"/>
      <c r="AE27" s="256">
        <v>177</v>
      </c>
      <c r="AF27" s="254"/>
      <c r="AG27" s="255"/>
      <c r="AH27" s="254"/>
    </row>
    <row r="28" spans="1:34">
      <c r="A28" s="886"/>
      <c r="B28" s="239" t="s">
        <v>32</v>
      </c>
      <c r="C28" s="624">
        <f t="shared" si="20"/>
        <v>8.135283363802559E-2</v>
      </c>
      <c r="D28" s="625">
        <f t="shared" si="20"/>
        <v>0</v>
      </c>
      <c r="E28" s="625">
        <f t="shared" si="20"/>
        <v>0.12400290065264685</v>
      </c>
      <c r="F28" s="625">
        <f t="shared" si="20"/>
        <v>3.6036036036036036E-2</v>
      </c>
      <c r="G28" s="625">
        <f t="shared" si="20"/>
        <v>0.2356687898089172</v>
      </c>
      <c r="H28" s="626">
        <f t="shared" si="20"/>
        <v>4.0302267002518891E-2</v>
      </c>
      <c r="I28" s="624">
        <f t="shared" si="20"/>
        <v>8.4834246932915691E-2</v>
      </c>
      <c r="J28" s="624">
        <f t="shared" si="20"/>
        <v>0</v>
      </c>
      <c r="K28" s="625">
        <f t="shared" si="20"/>
        <v>0</v>
      </c>
      <c r="L28" s="625">
        <f t="shared" si="20"/>
        <v>0</v>
      </c>
      <c r="M28" s="625">
        <f t="shared" si="20"/>
        <v>0</v>
      </c>
      <c r="N28" s="624">
        <f t="shared" si="21"/>
        <v>0</v>
      </c>
      <c r="O28" s="624">
        <f t="shared" si="21"/>
        <v>0</v>
      </c>
      <c r="P28" s="625">
        <f t="shared" si="21"/>
        <v>0</v>
      </c>
      <c r="Q28" s="624">
        <f t="shared" si="21"/>
        <v>0</v>
      </c>
      <c r="R28" s="253"/>
      <c r="S28" s="850">
        <v>89</v>
      </c>
      <c r="T28" s="255">
        <v>0</v>
      </c>
      <c r="U28" s="255">
        <v>171</v>
      </c>
      <c r="V28" s="255">
        <v>12</v>
      </c>
      <c r="W28" s="255">
        <v>37</v>
      </c>
      <c r="X28" s="255">
        <v>16</v>
      </c>
      <c r="Y28" s="256">
        <v>325</v>
      </c>
      <c r="Z28" s="254"/>
      <c r="AA28" s="255">
        <v>0</v>
      </c>
      <c r="AB28" s="255">
        <v>0</v>
      </c>
      <c r="AC28" s="255">
        <v>0</v>
      </c>
      <c r="AD28" s="255"/>
      <c r="AE28" s="256">
        <v>0</v>
      </c>
      <c r="AF28" s="254"/>
      <c r="AG28" s="255"/>
      <c r="AH28" s="254"/>
    </row>
    <row r="29" spans="1:34">
      <c r="A29" s="886"/>
      <c r="B29" s="239" t="s">
        <v>58</v>
      </c>
      <c r="C29" s="624">
        <f t="shared" si="20"/>
        <v>0</v>
      </c>
      <c r="D29" s="625">
        <f t="shared" si="20"/>
        <v>0</v>
      </c>
      <c r="E29" s="792">
        <f t="shared" si="20"/>
        <v>0</v>
      </c>
      <c r="F29" s="625">
        <f t="shared" si="20"/>
        <v>0</v>
      </c>
      <c r="G29" s="792">
        <f t="shared" si="20"/>
        <v>0</v>
      </c>
      <c r="H29" s="626">
        <f t="shared" si="20"/>
        <v>0</v>
      </c>
      <c r="I29" s="793">
        <f t="shared" si="20"/>
        <v>0</v>
      </c>
      <c r="J29" s="624">
        <f t="shared" si="20"/>
        <v>0</v>
      </c>
      <c r="K29" s="625">
        <f t="shared" si="20"/>
        <v>1</v>
      </c>
      <c r="L29" s="625">
        <f t="shared" si="20"/>
        <v>0.24539877300613497</v>
      </c>
      <c r="M29" s="625">
        <f t="shared" si="20"/>
        <v>0.81052631578947365</v>
      </c>
      <c r="N29" s="624">
        <f t="shared" si="21"/>
        <v>0.78747203579418346</v>
      </c>
      <c r="O29" s="624">
        <f t="shared" si="21"/>
        <v>0</v>
      </c>
      <c r="P29" s="625">
        <f t="shared" si="21"/>
        <v>0</v>
      </c>
      <c r="Q29" s="624">
        <f t="shared" si="21"/>
        <v>0</v>
      </c>
      <c r="R29" s="253"/>
      <c r="S29" s="850">
        <v>0</v>
      </c>
      <c r="T29" s="255">
        <v>0</v>
      </c>
      <c r="U29" s="255">
        <v>0</v>
      </c>
      <c r="V29" s="255">
        <v>0</v>
      </c>
      <c r="W29" s="255">
        <v>0</v>
      </c>
      <c r="X29" s="255">
        <v>0</v>
      </c>
      <c r="Y29" s="256">
        <v>0</v>
      </c>
      <c r="Z29" s="254"/>
      <c r="AA29" s="255">
        <v>323</v>
      </c>
      <c r="AB29" s="255">
        <v>40</v>
      </c>
      <c r="AC29" s="255">
        <v>693</v>
      </c>
      <c r="AD29" s="255"/>
      <c r="AE29" s="256">
        <v>1056</v>
      </c>
      <c r="AF29" s="254"/>
      <c r="AG29" s="255"/>
      <c r="AH29" s="254"/>
    </row>
    <row r="30" spans="1:34">
      <c r="A30" s="887"/>
      <c r="B30" s="436" t="s">
        <v>59</v>
      </c>
      <c r="C30" s="577">
        <f t="shared" si="20"/>
        <v>1</v>
      </c>
      <c r="D30" s="578">
        <f t="shared" si="20"/>
        <v>1</v>
      </c>
      <c r="E30" s="578">
        <f t="shared" si="20"/>
        <v>1</v>
      </c>
      <c r="F30" s="578">
        <f t="shared" si="20"/>
        <v>1</v>
      </c>
      <c r="G30" s="578">
        <f t="shared" si="20"/>
        <v>1</v>
      </c>
      <c r="H30" s="579">
        <f t="shared" si="20"/>
        <v>1</v>
      </c>
      <c r="I30" s="577">
        <f t="shared" si="20"/>
        <v>1</v>
      </c>
      <c r="J30" s="577">
        <f t="shared" si="20"/>
        <v>0</v>
      </c>
      <c r="K30" s="578">
        <f t="shared" si="20"/>
        <v>1</v>
      </c>
      <c r="L30" s="578">
        <f t="shared" si="20"/>
        <v>1</v>
      </c>
      <c r="M30" s="578">
        <f t="shared" si="20"/>
        <v>1</v>
      </c>
      <c r="N30" s="577">
        <f t="shared" si="21"/>
        <v>1</v>
      </c>
      <c r="O30" s="577">
        <f t="shared" si="21"/>
        <v>0</v>
      </c>
      <c r="P30" s="578">
        <f t="shared" si="21"/>
        <v>0</v>
      </c>
      <c r="Q30" s="577">
        <f t="shared" si="21"/>
        <v>0</v>
      </c>
      <c r="R30" s="264"/>
      <c r="S30" s="853">
        <v>1094</v>
      </c>
      <c r="T30" s="266">
        <v>471</v>
      </c>
      <c r="U30" s="266">
        <v>1379</v>
      </c>
      <c r="V30" s="266">
        <v>333</v>
      </c>
      <c r="W30" s="266">
        <v>157</v>
      </c>
      <c r="X30" s="266">
        <v>397</v>
      </c>
      <c r="Y30" s="267">
        <v>3831</v>
      </c>
      <c r="Z30" s="265"/>
      <c r="AA30" s="266">
        <v>323</v>
      </c>
      <c r="AB30" s="266">
        <v>163</v>
      </c>
      <c r="AC30" s="266">
        <v>855</v>
      </c>
      <c r="AD30" s="266"/>
      <c r="AE30" s="267">
        <v>1341</v>
      </c>
      <c r="AF30" s="265"/>
      <c r="AG30" s="266"/>
      <c r="AH30" s="265"/>
    </row>
    <row r="31" spans="1:34">
      <c r="A31" s="883" t="s">
        <v>82</v>
      </c>
      <c r="B31" s="240" t="s">
        <v>53</v>
      </c>
      <c r="C31" s="613">
        <f t="shared" ref="C31:M37" si="22">IF(S$37&gt;0,(S31/S$37),0)</f>
        <v>0.34892086330935251</v>
      </c>
      <c r="D31" s="614">
        <f t="shared" si="22"/>
        <v>0</v>
      </c>
      <c r="E31" s="614">
        <f t="shared" si="22"/>
        <v>0.20930232558139536</v>
      </c>
      <c r="F31" s="614">
        <f t="shared" si="22"/>
        <v>0</v>
      </c>
      <c r="G31" s="614">
        <f t="shared" si="22"/>
        <v>0</v>
      </c>
      <c r="H31" s="615">
        <f t="shared" si="22"/>
        <v>0</v>
      </c>
      <c r="I31" s="613">
        <f t="shared" si="22"/>
        <v>0.32629992464204971</v>
      </c>
      <c r="J31" s="613">
        <f t="shared" si="22"/>
        <v>0</v>
      </c>
      <c r="K31" s="614">
        <f t="shared" si="22"/>
        <v>0</v>
      </c>
      <c r="L31" s="614">
        <f t="shared" si="22"/>
        <v>0</v>
      </c>
      <c r="M31" s="614">
        <f t="shared" si="22"/>
        <v>0</v>
      </c>
      <c r="N31" s="613">
        <f t="shared" ref="N31:Q37" si="23">IF(AE$37&gt;0,(AE31/AE$37),0)</f>
        <v>0</v>
      </c>
      <c r="O31" s="788">
        <f t="shared" si="23"/>
        <v>0</v>
      </c>
      <c r="P31" s="614">
        <f t="shared" si="23"/>
        <v>0</v>
      </c>
      <c r="Q31" s="788">
        <f t="shared" si="23"/>
        <v>0</v>
      </c>
      <c r="R31" s="244"/>
      <c r="S31" s="847">
        <v>388</v>
      </c>
      <c r="T31" s="246"/>
      <c r="U31" s="246">
        <v>45</v>
      </c>
      <c r="V31" s="246"/>
      <c r="W31" s="246"/>
      <c r="X31" s="246"/>
      <c r="Y31" s="247">
        <v>433</v>
      </c>
      <c r="Z31" s="245"/>
      <c r="AA31" s="246">
        <v>0</v>
      </c>
      <c r="AB31" s="246">
        <v>0</v>
      </c>
      <c r="AC31" s="246"/>
      <c r="AD31" s="246"/>
      <c r="AE31" s="247">
        <v>0</v>
      </c>
      <c r="AF31" s="245"/>
      <c r="AG31" s="246"/>
      <c r="AH31" s="245"/>
    </row>
    <row r="32" spans="1:34">
      <c r="A32" s="886"/>
      <c r="B32" s="239" t="s">
        <v>93</v>
      </c>
      <c r="C32" s="624">
        <f t="shared" si="22"/>
        <v>0.30665467625899279</v>
      </c>
      <c r="D32" s="625">
        <f t="shared" si="22"/>
        <v>0</v>
      </c>
      <c r="E32" s="625">
        <f t="shared" si="22"/>
        <v>0.48372093023255813</v>
      </c>
      <c r="F32" s="625">
        <f t="shared" si="22"/>
        <v>0</v>
      </c>
      <c r="G32" s="625">
        <f t="shared" si="22"/>
        <v>0</v>
      </c>
      <c r="H32" s="626">
        <f t="shared" si="22"/>
        <v>0</v>
      </c>
      <c r="I32" s="624">
        <f t="shared" si="22"/>
        <v>0.33534287867370005</v>
      </c>
      <c r="J32" s="624">
        <f t="shared" si="22"/>
        <v>0</v>
      </c>
      <c r="K32" s="625">
        <f t="shared" si="22"/>
        <v>0</v>
      </c>
      <c r="L32" s="625">
        <f t="shared" si="22"/>
        <v>0</v>
      </c>
      <c r="M32" s="625">
        <f t="shared" si="22"/>
        <v>0</v>
      </c>
      <c r="N32" s="624">
        <f t="shared" si="23"/>
        <v>0</v>
      </c>
      <c r="O32" s="624">
        <f t="shared" si="23"/>
        <v>0</v>
      </c>
      <c r="P32" s="625">
        <f t="shared" si="23"/>
        <v>0</v>
      </c>
      <c r="Q32" s="624">
        <f t="shared" si="23"/>
        <v>0</v>
      </c>
      <c r="R32" s="253"/>
      <c r="S32" s="850">
        <v>341</v>
      </c>
      <c r="T32" s="255"/>
      <c r="U32" s="255">
        <v>104</v>
      </c>
      <c r="V32" s="255"/>
      <c r="W32" s="255"/>
      <c r="X32" s="255"/>
      <c r="Y32" s="256">
        <v>445</v>
      </c>
      <c r="Z32" s="254"/>
      <c r="AA32" s="255">
        <v>0</v>
      </c>
      <c r="AB32" s="255">
        <v>0</v>
      </c>
      <c r="AC32" s="255"/>
      <c r="AD32" s="255"/>
      <c r="AE32" s="256">
        <v>0</v>
      </c>
      <c r="AF32" s="254"/>
      <c r="AG32" s="255"/>
      <c r="AH32" s="254"/>
    </row>
    <row r="33" spans="1:34">
      <c r="A33" s="886"/>
      <c r="B33" s="239" t="s">
        <v>55</v>
      </c>
      <c r="C33" s="624">
        <f t="shared" si="22"/>
        <v>0.25629496402877699</v>
      </c>
      <c r="D33" s="625">
        <f t="shared" si="22"/>
        <v>0</v>
      </c>
      <c r="E33" s="625">
        <f t="shared" si="22"/>
        <v>0.2558139534883721</v>
      </c>
      <c r="F33" s="625">
        <f t="shared" si="22"/>
        <v>0</v>
      </c>
      <c r="G33" s="625">
        <f t="shared" si="22"/>
        <v>0</v>
      </c>
      <c r="H33" s="626">
        <f t="shared" si="22"/>
        <v>0</v>
      </c>
      <c r="I33" s="624">
        <f t="shared" si="22"/>
        <v>0.25621703089675962</v>
      </c>
      <c r="J33" s="624">
        <f t="shared" si="22"/>
        <v>0</v>
      </c>
      <c r="K33" s="625">
        <f t="shared" si="22"/>
        <v>0</v>
      </c>
      <c r="L33" s="625">
        <f t="shared" si="22"/>
        <v>0</v>
      </c>
      <c r="M33" s="625">
        <f t="shared" si="22"/>
        <v>0</v>
      </c>
      <c r="N33" s="624">
        <f t="shared" si="23"/>
        <v>0</v>
      </c>
      <c r="O33" s="624">
        <f t="shared" si="23"/>
        <v>0</v>
      </c>
      <c r="P33" s="625">
        <f t="shared" si="23"/>
        <v>0</v>
      </c>
      <c r="Q33" s="624">
        <f t="shared" si="23"/>
        <v>0</v>
      </c>
      <c r="R33" s="253"/>
      <c r="S33" s="850">
        <v>285</v>
      </c>
      <c r="T33" s="255"/>
      <c r="U33" s="255">
        <v>55</v>
      </c>
      <c r="V33" s="255"/>
      <c r="W33" s="255"/>
      <c r="X33" s="255"/>
      <c r="Y33" s="256">
        <v>340</v>
      </c>
      <c r="Z33" s="254"/>
      <c r="AA33" s="255">
        <v>0</v>
      </c>
      <c r="AB33" s="255">
        <v>0</v>
      </c>
      <c r="AC33" s="255"/>
      <c r="AD33" s="255"/>
      <c r="AE33" s="256">
        <v>0</v>
      </c>
      <c r="AF33" s="254"/>
      <c r="AG33" s="255"/>
      <c r="AH33" s="254"/>
    </row>
    <row r="34" spans="1:34">
      <c r="A34" s="886"/>
      <c r="B34" s="239" t="s">
        <v>78</v>
      </c>
      <c r="C34" s="624">
        <f t="shared" si="22"/>
        <v>8.8129496402877691E-2</v>
      </c>
      <c r="D34" s="625">
        <f t="shared" si="22"/>
        <v>0</v>
      </c>
      <c r="E34" s="625">
        <f t="shared" si="22"/>
        <v>2.7906976744186046E-2</v>
      </c>
      <c r="F34" s="625">
        <f t="shared" si="22"/>
        <v>0</v>
      </c>
      <c r="G34" s="625">
        <f t="shared" si="22"/>
        <v>0</v>
      </c>
      <c r="H34" s="626">
        <f t="shared" si="22"/>
        <v>0</v>
      </c>
      <c r="I34" s="624">
        <f t="shared" si="22"/>
        <v>7.8372268274302936E-2</v>
      </c>
      <c r="J34" s="624">
        <f t="shared" si="22"/>
        <v>0</v>
      </c>
      <c r="K34" s="625">
        <f t="shared" si="22"/>
        <v>0</v>
      </c>
      <c r="L34" s="625">
        <f t="shared" si="22"/>
        <v>0</v>
      </c>
      <c r="M34" s="625">
        <f t="shared" si="22"/>
        <v>0</v>
      </c>
      <c r="N34" s="624">
        <f t="shared" si="23"/>
        <v>0</v>
      </c>
      <c r="O34" s="624">
        <f t="shared" si="23"/>
        <v>0</v>
      </c>
      <c r="P34" s="625">
        <f t="shared" si="23"/>
        <v>0</v>
      </c>
      <c r="Q34" s="624">
        <f t="shared" si="23"/>
        <v>0</v>
      </c>
      <c r="R34" s="253"/>
      <c r="S34" s="850">
        <v>98</v>
      </c>
      <c r="T34" s="255"/>
      <c r="U34" s="255">
        <v>6</v>
      </c>
      <c r="V34" s="255"/>
      <c r="W34" s="255"/>
      <c r="X34" s="255"/>
      <c r="Y34" s="256">
        <v>104</v>
      </c>
      <c r="Z34" s="254"/>
      <c r="AA34" s="255">
        <v>0</v>
      </c>
      <c r="AB34" s="255">
        <v>0</v>
      </c>
      <c r="AC34" s="255"/>
      <c r="AD34" s="255"/>
      <c r="AE34" s="256">
        <v>0</v>
      </c>
      <c r="AF34" s="254"/>
      <c r="AG34" s="255"/>
      <c r="AH34" s="254"/>
    </row>
    <row r="35" spans="1:34">
      <c r="A35" s="886"/>
      <c r="B35" s="239" t="s">
        <v>32</v>
      </c>
      <c r="C35" s="791">
        <f t="shared" si="22"/>
        <v>0</v>
      </c>
      <c r="D35" s="625">
        <f t="shared" si="22"/>
        <v>0</v>
      </c>
      <c r="E35" s="625">
        <f t="shared" si="22"/>
        <v>2.3255813953488372E-2</v>
      </c>
      <c r="F35" s="625">
        <f t="shared" si="22"/>
        <v>0</v>
      </c>
      <c r="G35" s="625">
        <f t="shared" si="22"/>
        <v>0</v>
      </c>
      <c r="H35" s="626">
        <f t="shared" si="22"/>
        <v>0</v>
      </c>
      <c r="I35" s="791">
        <f t="shared" si="22"/>
        <v>3.7678975131876413E-3</v>
      </c>
      <c r="J35" s="624">
        <f t="shared" si="22"/>
        <v>0</v>
      </c>
      <c r="K35" s="625">
        <f t="shared" si="22"/>
        <v>0</v>
      </c>
      <c r="L35" s="625">
        <f t="shared" si="22"/>
        <v>0</v>
      </c>
      <c r="M35" s="625">
        <f t="shared" si="22"/>
        <v>0</v>
      </c>
      <c r="N35" s="624">
        <f t="shared" si="23"/>
        <v>0</v>
      </c>
      <c r="O35" s="624">
        <f t="shared" si="23"/>
        <v>0</v>
      </c>
      <c r="P35" s="625">
        <f t="shared" si="23"/>
        <v>0</v>
      </c>
      <c r="Q35" s="624">
        <f t="shared" si="23"/>
        <v>0</v>
      </c>
      <c r="R35" s="253"/>
      <c r="S35" s="850">
        <v>0</v>
      </c>
      <c r="T35" s="255"/>
      <c r="U35" s="255">
        <v>5</v>
      </c>
      <c r="V35" s="255"/>
      <c r="W35" s="255"/>
      <c r="X35" s="255"/>
      <c r="Y35" s="256">
        <v>5</v>
      </c>
      <c r="Z35" s="254"/>
      <c r="AA35" s="255">
        <v>0</v>
      </c>
      <c r="AB35" s="255">
        <v>0</v>
      </c>
      <c r="AC35" s="255"/>
      <c r="AD35" s="255"/>
      <c r="AE35" s="256">
        <v>0</v>
      </c>
      <c r="AF35" s="254"/>
      <c r="AG35" s="255"/>
      <c r="AH35" s="254"/>
    </row>
    <row r="36" spans="1:34">
      <c r="A36" s="886"/>
      <c r="B36" s="239" t="s">
        <v>58</v>
      </c>
      <c r="C36" s="624">
        <f t="shared" si="22"/>
        <v>0</v>
      </c>
      <c r="D36" s="625">
        <f t="shared" si="22"/>
        <v>0</v>
      </c>
      <c r="E36" s="792">
        <f t="shared" si="22"/>
        <v>0</v>
      </c>
      <c r="F36" s="625">
        <f t="shared" si="22"/>
        <v>0</v>
      </c>
      <c r="G36" s="792">
        <f t="shared" si="22"/>
        <v>0</v>
      </c>
      <c r="H36" s="626">
        <f t="shared" si="22"/>
        <v>0</v>
      </c>
      <c r="I36" s="793">
        <f t="shared" si="22"/>
        <v>0</v>
      </c>
      <c r="J36" s="624">
        <f t="shared" si="22"/>
        <v>0</v>
      </c>
      <c r="K36" s="625">
        <f t="shared" si="22"/>
        <v>1</v>
      </c>
      <c r="L36" s="625">
        <f t="shared" si="22"/>
        <v>1</v>
      </c>
      <c r="M36" s="625">
        <f t="shared" si="22"/>
        <v>0</v>
      </c>
      <c r="N36" s="624">
        <f t="shared" si="23"/>
        <v>1</v>
      </c>
      <c r="O36" s="624">
        <f t="shared" si="23"/>
        <v>0</v>
      </c>
      <c r="P36" s="625">
        <f t="shared" si="23"/>
        <v>0</v>
      </c>
      <c r="Q36" s="624">
        <f t="shared" si="23"/>
        <v>0</v>
      </c>
      <c r="R36" s="253"/>
      <c r="S36" s="850">
        <v>0</v>
      </c>
      <c r="T36" s="255"/>
      <c r="U36" s="255">
        <v>0</v>
      </c>
      <c r="V36" s="255"/>
      <c r="W36" s="255"/>
      <c r="X36" s="255"/>
      <c r="Y36" s="256">
        <v>0</v>
      </c>
      <c r="Z36" s="254"/>
      <c r="AA36" s="255">
        <v>184</v>
      </c>
      <c r="AB36" s="255">
        <v>209</v>
      </c>
      <c r="AC36" s="255"/>
      <c r="AD36" s="255"/>
      <c r="AE36" s="256">
        <v>393</v>
      </c>
      <c r="AF36" s="254"/>
      <c r="AG36" s="255"/>
      <c r="AH36" s="254"/>
    </row>
    <row r="37" spans="1:34">
      <c r="A37" s="887"/>
      <c r="B37" s="436" t="s">
        <v>59</v>
      </c>
      <c r="C37" s="577">
        <f t="shared" si="22"/>
        <v>1</v>
      </c>
      <c r="D37" s="578">
        <f t="shared" si="22"/>
        <v>0</v>
      </c>
      <c r="E37" s="578">
        <f t="shared" si="22"/>
        <v>1</v>
      </c>
      <c r="F37" s="578">
        <f t="shared" si="22"/>
        <v>0</v>
      </c>
      <c r="G37" s="578">
        <f t="shared" si="22"/>
        <v>0</v>
      </c>
      <c r="H37" s="579">
        <f t="shared" si="22"/>
        <v>0</v>
      </c>
      <c r="I37" s="577">
        <f t="shared" si="22"/>
        <v>1</v>
      </c>
      <c r="J37" s="577">
        <f t="shared" si="22"/>
        <v>0</v>
      </c>
      <c r="K37" s="578">
        <f t="shared" si="22"/>
        <v>1</v>
      </c>
      <c r="L37" s="578">
        <f t="shared" si="22"/>
        <v>1</v>
      </c>
      <c r="M37" s="578">
        <f t="shared" si="22"/>
        <v>0</v>
      </c>
      <c r="N37" s="577">
        <f t="shared" si="23"/>
        <v>1</v>
      </c>
      <c r="O37" s="577">
        <f t="shared" si="23"/>
        <v>0</v>
      </c>
      <c r="P37" s="578">
        <f t="shared" si="23"/>
        <v>0</v>
      </c>
      <c r="Q37" s="577">
        <f t="shared" si="23"/>
        <v>0</v>
      </c>
      <c r="R37" s="264"/>
      <c r="S37" s="853">
        <v>1112</v>
      </c>
      <c r="T37" s="266"/>
      <c r="U37" s="266">
        <v>215</v>
      </c>
      <c r="V37" s="266"/>
      <c r="W37" s="266"/>
      <c r="X37" s="266"/>
      <c r="Y37" s="267">
        <v>1327</v>
      </c>
      <c r="Z37" s="265"/>
      <c r="AA37" s="266">
        <v>184</v>
      </c>
      <c r="AB37" s="266">
        <v>209</v>
      </c>
      <c r="AC37" s="266"/>
      <c r="AD37" s="266"/>
      <c r="AE37" s="267">
        <v>393</v>
      </c>
      <c r="AF37" s="265"/>
      <c r="AG37" s="266"/>
      <c r="AH37" s="265"/>
    </row>
    <row r="38" spans="1:34">
      <c r="A38" s="883" t="s">
        <v>6</v>
      </c>
      <c r="B38" s="240" t="s">
        <v>53</v>
      </c>
      <c r="C38" s="613">
        <f t="shared" ref="C38:M44" si="24">IF(S$44&gt;0,(S38/S$44),0)</f>
        <v>0.29127499007017077</v>
      </c>
      <c r="D38" s="614">
        <f t="shared" si="24"/>
        <v>0</v>
      </c>
      <c r="E38" s="614">
        <f t="shared" si="24"/>
        <v>0.23118696664080682</v>
      </c>
      <c r="F38" s="614">
        <f t="shared" si="24"/>
        <v>0.17016317016317017</v>
      </c>
      <c r="G38" s="614">
        <f t="shared" si="24"/>
        <v>0</v>
      </c>
      <c r="H38" s="615">
        <f t="shared" si="24"/>
        <v>0.42857142857142855</v>
      </c>
      <c r="I38" s="613">
        <f t="shared" si="24"/>
        <v>0.27844984477036722</v>
      </c>
      <c r="J38" s="613">
        <f t="shared" si="24"/>
        <v>0</v>
      </c>
      <c r="K38" s="614">
        <f t="shared" si="24"/>
        <v>0</v>
      </c>
      <c r="L38" s="614">
        <f t="shared" si="24"/>
        <v>0</v>
      </c>
      <c r="M38" s="614">
        <f t="shared" si="24"/>
        <v>0</v>
      </c>
      <c r="N38" s="613">
        <f t="shared" ref="N38:Q44" si="25">IF(AE$44&gt;0,(AE38/AE$44),0)</f>
        <v>0</v>
      </c>
      <c r="O38" s="788">
        <f t="shared" si="25"/>
        <v>0</v>
      </c>
      <c r="P38" s="614">
        <f t="shared" si="25"/>
        <v>0</v>
      </c>
      <c r="Q38" s="788">
        <f t="shared" si="25"/>
        <v>0</v>
      </c>
      <c r="R38" s="244"/>
      <c r="S38" s="847">
        <v>2200</v>
      </c>
      <c r="T38" s="246"/>
      <c r="U38" s="246">
        <v>298</v>
      </c>
      <c r="V38" s="246">
        <v>73</v>
      </c>
      <c r="W38" s="246"/>
      <c r="X38" s="246">
        <v>30</v>
      </c>
      <c r="Y38" s="247">
        <v>2601</v>
      </c>
      <c r="Z38" s="245">
        <v>0</v>
      </c>
      <c r="AA38" s="246">
        <v>0</v>
      </c>
      <c r="AB38" s="246">
        <v>0</v>
      </c>
      <c r="AC38" s="246">
        <v>0</v>
      </c>
      <c r="AD38" s="246"/>
      <c r="AE38" s="247">
        <v>0</v>
      </c>
      <c r="AF38" s="245"/>
      <c r="AG38" s="246"/>
      <c r="AH38" s="245"/>
    </row>
    <row r="39" spans="1:34">
      <c r="A39" s="886"/>
      <c r="B39" s="239" t="s">
        <v>93</v>
      </c>
      <c r="C39" s="624">
        <f t="shared" si="24"/>
        <v>0.28266913809082483</v>
      </c>
      <c r="D39" s="625">
        <f t="shared" si="24"/>
        <v>0</v>
      </c>
      <c r="E39" s="625">
        <f t="shared" si="24"/>
        <v>0.30256012412723043</v>
      </c>
      <c r="F39" s="625">
        <f t="shared" si="24"/>
        <v>0.24475524475524477</v>
      </c>
      <c r="G39" s="625">
        <f t="shared" si="24"/>
        <v>0</v>
      </c>
      <c r="H39" s="626">
        <f t="shared" si="24"/>
        <v>0.32857142857142857</v>
      </c>
      <c r="I39" s="624">
        <f t="shared" si="24"/>
        <v>0.28401670056739109</v>
      </c>
      <c r="J39" s="624">
        <f t="shared" si="24"/>
        <v>0</v>
      </c>
      <c r="K39" s="625">
        <f t="shared" si="24"/>
        <v>0</v>
      </c>
      <c r="L39" s="625">
        <f t="shared" si="24"/>
        <v>0</v>
      </c>
      <c r="M39" s="625">
        <f t="shared" si="24"/>
        <v>0</v>
      </c>
      <c r="N39" s="624">
        <f t="shared" si="25"/>
        <v>0</v>
      </c>
      <c r="O39" s="624">
        <f t="shared" si="25"/>
        <v>0</v>
      </c>
      <c r="P39" s="625">
        <f t="shared" si="25"/>
        <v>0</v>
      </c>
      <c r="Q39" s="624">
        <f t="shared" si="25"/>
        <v>0</v>
      </c>
      <c r="R39" s="253"/>
      <c r="S39" s="850">
        <v>2135</v>
      </c>
      <c r="T39" s="255"/>
      <c r="U39" s="255">
        <v>390</v>
      </c>
      <c r="V39" s="255">
        <v>105</v>
      </c>
      <c r="W39" s="255"/>
      <c r="X39" s="255">
        <v>23</v>
      </c>
      <c r="Y39" s="256">
        <v>2653</v>
      </c>
      <c r="Z39" s="254">
        <v>0</v>
      </c>
      <c r="AA39" s="255">
        <v>0</v>
      </c>
      <c r="AB39" s="255">
        <v>0</v>
      </c>
      <c r="AC39" s="255">
        <v>0</v>
      </c>
      <c r="AD39" s="255"/>
      <c r="AE39" s="256">
        <v>0</v>
      </c>
      <c r="AF39" s="254"/>
      <c r="AG39" s="255"/>
      <c r="AH39" s="254"/>
    </row>
    <row r="40" spans="1:34">
      <c r="A40" s="886"/>
      <c r="B40" s="239" t="s">
        <v>55</v>
      </c>
      <c r="C40" s="624">
        <f t="shared" si="24"/>
        <v>0.21077717463259632</v>
      </c>
      <c r="D40" s="625">
        <f t="shared" si="24"/>
        <v>0</v>
      </c>
      <c r="E40" s="625">
        <f t="shared" si="24"/>
        <v>0.29014740108611325</v>
      </c>
      <c r="F40" s="625">
        <f t="shared" si="24"/>
        <v>0.30769230769230771</v>
      </c>
      <c r="G40" s="625">
        <f t="shared" si="24"/>
        <v>0</v>
      </c>
      <c r="H40" s="626">
        <f t="shared" si="24"/>
        <v>0.22857142857142856</v>
      </c>
      <c r="I40" s="624">
        <f t="shared" si="24"/>
        <v>0.22631409913285516</v>
      </c>
      <c r="J40" s="624">
        <f t="shared" si="24"/>
        <v>0</v>
      </c>
      <c r="K40" s="625">
        <f t="shared" si="24"/>
        <v>0</v>
      </c>
      <c r="L40" s="625">
        <f t="shared" si="24"/>
        <v>0</v>
      </c>
      <c r="M40" s="625">
        <f t="shared" si="24"/>
        <v>0</v>
      </c>
      <c r="N40" s="624">
        <f t="shared" si="25"/>
        <v>0</v>
      </c>
      <c r="O40" s="624">
        <f t="shared" si="25"/>
        <v>0</v>
      </c>
      <c r="P40" s="625">
        <f t="shared" si="25"/>
        <v>0</v>
      </c>
      <c r="Q40" s="624">
        <f t="shared" si="25"/>
        <v>0</v>
      </c>
      <c r="R40" s="253"/>
      <c r="S40" s="850">
        <v>1592</v>
      </c>
      <c r="T40" s="255"/>
      <c r="U40" s="255">
        <v>374</v>
      </c>
      <c r="V40" s="255">
        <v>132</v>
      </c>
      <c r="W40" s="255"/>
      <c r="X40" s="255">
        <v>16</v>
      </c>
      <c r="Y40" s="256">
        <v>2114</v>
      </c>
      <c r="Z40" s="254">
        <v>0</v>
      </c>
      <c r="AA40" s="255">
        <v>0</v>
      </c>
      <c r="AB40" s="255">
        <v>0</v>
      </c>
      <c r="AC40" s="255">
        <v>0</v>
      </c>
      <c r="AD40" s="255"/>
      <c r="AE40" s="256">
        <v>0</v>
      </c>
      <c r="AF40" s="254"/>
      <c r="AG40" s="255"/>
      <c r="AH40" s="254"/>
    </row>
    <row r="41" spans="1:34">
      <c r="A41" s="886"/>
      <c r="B41" s="239" t="s">
        <v>78</v>
      </c>
      <c r="C41" s="624">
        <f t="shared" si="24"/>
        <v>0.12101151860188004</v>
      </c>
      <c r="D41" s="625">
        <f t="shared" si="24"/>
        <v>0</v>
      </c>
      <c r="E41" s="625">
        <f t="shared" si="24"/>
        <v>0.15128006206361522</v>
      </c>
      <c r="F41" s="625">
        <f t="shared" si="24"/>
        <v>0.27738927738927738</v>
      </c>
      <c r="G41" s="625">
        <f t="shared" si="24"/>
        <v>0</v>
      </c>
      <c r="H41" s="626">
        <f t="shared" si="24"/>
        <v>1.4285714285714285E-2</v>
      </c>
      <c r="I41" s="624">
        <f t="shared" si="24"/>
        <v>0.13157049566427578</v>
      </c>
      <c r="J41" s="624">
        <f t="shared" si="24"/>
        <v>0</v>
      </c>
      <c r="K41" s="625">
        <f t="shared" si="24"/>
        <v>0</v>
      </c>
      <c r="L41" s="625">
        <f t="shared" si="24"/>
        <v>0</v>
      </c>
      <c r="M41" s="625">
        <f t="shared" si="24"/>
        <v>0</v>
      </c>
      <c r="N41" s="624">
        <f t="shared" si="25"/>
        <v>0</v>
      </c>
      <c r="O41" s="624">
        <f t="shared" si="25"/>
        <v>0</v>
      </c>
      <c r="P41" s="625">
        <f t="shared" si="25"/>
        <v>0</v>
      </c>
      <c r="Q41" s="624">
        <f t="shared" si="25"/>
        <v>0</v>
      </c>
      <c r="R41" s="253"/>
      <c r="S41" s="850">
        <v>914</v>
      </c>
      <c r="T41" s="255"/>
      <c r="U41" s="255">
        <v>195</v>
      </c>
      <c r="V41" s="255">
        <v>119</v>
      </c>
      <c r="W41" s="255"/>
      <c r="X41" s="255">
        <v>1</v>
      </c>
      <c r="Y41" s="256">
        <v>1229</v>
      </c>
      <c r="Z41" s="254">
        <v>0</v>
      </c>
      <c r="AA41" s="255">
        <v>0</v>
      </c>
      <c r="AB41" s="255">
        <v>0</v>
      </c>
      <c r="AC41" s="255">
        <v>0</v>
      </c>
      <c r="AD41" s="255"/>
      <c r="AE41" s="256">
        <v>0</v>
      </c>
      <c r="AF41" s="254"/>
      <c r="AG41" s="255"/>
      <c r="AH41" s="254"/>
    </row>
    <row r="42" spans="1:34">
      <c r="A42" s="886"/>
      <c r="B42" s="239" t="s">
        <v>32</v>
      </c>
      <c r="C42" s="624">
        <f t="shared" si="24"/>
        <v>9.4267178604528004E-2</v>
      </c>
      <c r="D42" s="625">
        <f t="shared" si="24"/>
        <v>0</v>
      </c>
      <c r="E42" s="625">
        <f t="shared" si="24"/>
        <v>2.482544608223429E-2</v>
      </c>
      <c r="F42" s="625">
        <f t="shared" si="24"/>
        <v>0</v>
      </c>
      <c r="G42" s="790">
        <f t="shared" si="24"/>
        <v>0</v>
      </c>
      <c r="H42" s="626">
        <f t="shared" si="24"/>
        <v>0</v>
      </c>
      <c r="I42" s="624">
        <f t="shared" si="24"/>
        <v>7.9648859865110805E-2</v>
      </c>
      <c r="J42" s="624">
        <f t="shared" si="24"/>
        <v>0</v>
      </c>
      <c r="K42" s="625">
        <f t="shared" si="24"/>
        <v>0</v>
      </c>
      <c r="L42" s="625">
        <f t="shared" si="24"/>
        <v>0</v>
      </c>
      <c r="M42" s="625">
        <f t="shared" si="24"/>
        <v>0</v>
      </c>
      <c r="N42" s="624">
        <f t="shared" si="25"/>
        <v>0</v>
      </c>
      <c r="O42" s="624">
        <f t="shared" si="25"/>
        <v>0</v>
      </c>
      <c r="P42" s="625">
        <f t="shared" si="25"/>
        <v>0</v>
      </c>
      <c r="Q42" s="624">
        <f t="shared" si="25"/>
        <v>0</v>
      </c>
      <c r="R42" s="253"/>
      <c r="S42" s="850">
        <v>712</v>
      </c>
      <c r="T42" s="255"/>
      <c r="U42" s="255">
        <v>32</v>
      </c>
      <c r="V42" s="255">
        <v>0</v>
      </c>
      <c r="W42" s="255"/>
      <c r="X42" s="255">
        <v>0</v>
      </c>
      <c r="Y42" s="256">
        <v>744</v>
      </c>
      <c r="Z42" s="254">
        <v>0</v>
      </c>
      <c r="AA42" s="255">
        <v>0</v>
      </c>
      <c r="AB42" s="255">
        <v>0</v>
      </c>
      <c r="AC42" s="255">
        <v>0</v>
      </c>
      <c r="AD42" s="255"/>
      <c r="AE42" s="256">
        <v>0</v>
      </c>
      <c r="AF42" s="254"/>
      <c r="AG42" s="255"/>
      <c r="AH42" s="254"/>
    </row>
    <row r="43" spans="1:34">
      <c r="A43" s="886"/>
      <c r="B43" s="239" t="s">
        <v>58</v>
      </c>
      <c r="C43" s="624">
        <f t="shared" si="24"/>
        <v>0</v>
      </c>
      <c r="D43" s="625">
        <f t="shared" si="24"/>
        <v>0</v>
      </c>
      <c r="E43" s="792">
        <f t="shared" si="24"/>
        <v>0</v>
      </c>
      <c r="F43" s="625">
        <f t="shared" si="24"/>
        <v>0</v>
      </c>
      <c r="G43" s="792">
        <f t="shared" si="24"/>
        <v>0</v>
      </c>
      <c r="H43" s="626">
        <f t="shared" si="24"/>
        <v>0</v>
      </c>
      <c r="I43" s="793">
        <f t="shared" si="24"/>
        <v>0</v>
      </c>
      <c r="J43" s="624">
        <f t="shared" si="24"/>
        <v>1</v>
      </c>
      <c r="K43" s="625">
        <f t="shared" si="24"/>
        <v>1</v>
      </c>
      <c r="L43" s="625">
        <f t="shared" si="24"/>
        <v>1</v>
      </c>
      <c r="M43" s="625">
        <f t="shared" si="24"/>
        <v>1</v>
      </c>
      <c r="N43" s="624">
        <f t="shared" si="25"/>
        <v>1</v>
      </c>
      <c r="O43" s="624">
        <f t="shared" si="25"/>
        <v>0</v>
      </c>
      <c r="P43" s="625">
        <f t="shared" si="25"/>
        <v>0</v>
      </c>
      <c r="Q43" s="624">
        <f t="shared" si="25"/>
        <v>0</v>
      </c>
      <c r="R43" s="253"/>
      <c r="S43" s="850">
        <v>0</v>
      </c>
      <c r="T43" s="255"/>
      <c r="U43" s="255">
        <v>0</v>
      </c>
      <c r="V43" s="255">
        <v>0</v>
      </c>
      <c r="W43" s="255"/>
      <c r="X43" s="255">
        <v>0</v>
      </c>
      <c r="Y43" s="256">
        <v>0</v>
      </c>
      <c r="Z43" s="254">
        <v>4199</v>
      </c>
      <c r="AA43" s="255">
        <v>1463</v>
      </c>
      <c r="AB43" s="255">
        <v>211</v>
      </c>
      <c r="AC43" s="255">
        <v>52</v>
      </c>
      <c r="AD43" s="255"/>
      <c r="AE43" s="256">
        <v>5925</v>
      </c>
      <c r="AF43" s="254"/>
      <c r="AG43" s="255"/>
      <c r="AH43" s="254"/>
    </row>
    <row r="44" spans="1:34">
      <c r="A44" s="887"/>
      <c r="B44" s="436" t="s">
        <v>59</v>
      </c>
      <c r="C44" s="577">
        <f t="shared" si="24"/>
        <v>1</v>
      </c>
      <c r="D44" s="578">
        <f t="shared" si="24"/>
        <v>0</v>
      </c>
      <c r="E44" s="578">
        <f t="shared" si="24"/>
        <v>1</v>
      </c>
      <c r="F44" s="578">
        <f t="shared" si="24"/>
        <v>1</v>
      </c>
      <c r="G44" s="578">
        <f t="shared" si="24"/>
        <v>0</v>
      </c>
      <c r="H44" s="579">
        <f t="shared" si="24"/>
        <v>1</v>
      </c>
      <c r="I44" s="577">
        <f t="shared" si="24"/>
        <v>1</v>
      </c>
      <c r="J44" s="577">
        <f t="shared" si="24"/>
        <v>1</v>
      </c>
      <c r="K44" s="578">
        <f t="shared" si="24"/>
        <v>1</v>
      </c>
      <c r="L44" s="578">
        <f t="shared" si="24"/>
        <v>1</v>
      </c>
      <c r="M44" s="578">
        <f t="shared" si="24"/>
        <v>1</v>
      </c>
      <c r="N44" s="577">
        <f t="shared" si="25"/>
        <v>1</v>
      </c>
      <c r="O44" s="577">
        <f t="shared" si="25"/>
        <v>0</v>
      </c>
      <c r="P44" s="578">
        <f t="shared" si="25"/>
        <v>0</v>
      </c>
      <c r="Q44" s="577">
        <f t="shared" si="25"/>
        <v>0</v>
      </c>
      <c r="R44" s="264"/>
      <c r="S44" s="853">
        <v>7553</v>
      </c>
      <c r="T44" s="266"/>
      <c r="U44" s="266">
        <v>1289</v>
      </c>
      <c r="V44" s="266">
        <v>429</v>
      </c>
      <c r="W44" s="266"/>
      <c r="X44" s="266">
        <v>70</v>
      </c>
      <c r="Y44" s="267">
        <v>9341</v>
      </c>
      <c r="Z44" s="265">
        <v>4199</v>
      </c>
      <c r="AA44" s="266">
        <v>1463</v>
      </c>
      <c r="AB44" s="266">
        <v>211</v>
      </c>
      <c r="AC44" s="266">
        <v>52</v>
      </c>
      <c r="AD44" s="266"/>
      <c r="AE44" s="267">
        <v>5925</v>
      </c>
      <c r="AF44" s="265"/>
      <c r="AG44" s="266"/>
      <c r="AH44" s="265"/>
    </row>
    <row r="45" spans="1:34">
      <c r="A45" s="883" t="s">
        <v>7</v>
      </c>
      <c r="B45" s="240" t="s">
        <v>53</v>
      </c>
      <c r="C45" s="613">
        <f t="shared" ref="C45:M51" si="26">IF(S$51&gt;0,(S45/S$51),0)</f>
        <v>0.31522446324007808</v>
      </c>
      <c r="D45" s="614">
        <f t="shared" si="26"/>
        <v>0.40245051837888784</v>
      </c>
      <c r="E45" s="614">
        <f t="shared" si="26"/>
        <v>0.19907407407407407</v>
      </c>
      <c r="F45" s="614">
        <f t="shared" si="26"/>
        <v>0.20659124446630595</v>
      </c>
      <c r="G45" s="614">
        <f t="shared" si="26"/>
        <v>0.18279569892473119</v>
      </c>
      <c r="H45" s="615">
        <f t="shared" si="26"/>
        <v>8.4450402144772119E-2</v>
      </c>
      <c r="I45" s="613">
        <f t="shared" si="26"/>
        <v>0.25046574208238459</v>
      </c>
      <c r="J45" s="613">
        <f t="shared" si="26"/>
        <v>0.16040955631399317</v>
      </c>
      <c r="K45" s="614">
        <f t="shared" si="26"/>
        <v>8.6580086580086577E-2</v>
      </c>
      <c r="L45" s="614">
        <f t="shared" si="26"/>
        <v>7.407407407407407E-2</v>
      </c>
      <c r="M45" s="614">
        <f t="shared" si="26"/>
        <v>0</v>
      </c>
      <c r="N45" s="613">
        <f t="shared" ref="N45:Q51" si="27">IF(AE$51&gt;0,(AE45/AE$51),0)</f>
        <v>9.8580441640378547E-2</v>
      </c>
      <c r="O45" s="788">
        <f t="shared" si="27"/>
        <v>0</v>
      </c>
      <c r="P45" s="614">
        <f t="shared" si="27"/>
        <v>0</v>
      </c>
      <c r="Q45" s="788">
        <f t="shared" si="27"/>
        <v>0</v>
      </c>
      <c r="R45" s="244"/>
      <c r="S45" s="847">
        <v>969</v>
      </c>
      <c r="T45" s="246">
        <v>427</v>
      </c>
      <c r="U45" s="246">
        <v>473</v>
      </c>
      <c r="V45" s="246">
        <v>420</v>
      </c>
      <c r="W45" s="246">
        <v>68</v>
      </c>
      <c r="X45" s="246">
        <v>63</v>
      </c>
      <c r="Y45" s="247">
        <v>2420</v>
      </c>
      <c r="Z45" s="245">
        <v>47</v>
      </c>
      <c r="AA45" s="246">
        <v>40</v>
      </c>
      <c r="AB45" s="246">
        <v>38</v>
      </c>
      <c r="AC45" s="246"/>
      <c r="AD45" s="246"/>
      <c r="AE45" s="247">
        <v>125</v>
      </c>
      <c r="AF45" s="245">
        <v>0</v>
      </c>
      <c r="AG45" s="246"/>
      <c r="AH45" s="245">
        <v>0</v>
      </c>
    </row>
    <row r="46" spans="1:34">
      <c r="A46" s="886"/>
      <c r="B46" s="239" t="s">
        <v>93</v>
      </c>
      <c r="C46" s="624">
        <f t="shared" si="26"/>
        <v>0.2797657774886142</v>
      </c>
      <c r="D46" s="625">
        <f t="shared" si="26"/>
        <v>0.26013195098963243</v>
      </c>
      <c r="E46" s="625">
        <f t="shared" si="26"/>
        <v>0.25</v>
      </c>
      <c r="F46" s="625">
        <f t="shared" si="26"/>
        <v>0.2720118052139695</v>
      </c>
      <c r="G46" s="625">
        <f t="shared" si="26"/>
        <v>0.22580645161290322</v>
      </c>
      <c r="H46" s="626">
        <f t="shared" si="26"/>
        <v>0.27211796246648795</v>
      </c>
      <c r="I46" s="624">
        <f t="shared" si="26"/>
        <v>0.26599047816187127</v>
      </c>
      <c r="J46" s="624">
        <f t="shared" si="26"/>
        <v>0.2764505119453925</v>
      </c>
      <c r="K46" s="625">
        <f t="shared" si="26"/>
        <v>0.22943722943722944</v>
      </c>
      <c r="L46" s="625">
        <f t="shared" si="26"/>
        <v>0.19883040935672514</v>
      </c>
      <c r="M46" s="625">
        <f t="shared" si="26"/>
        <v>0</v>
      </c>
      <c r="N46" s="624">
        <f t="shared" si="27"/>
        <v>0.2279179810725552</v>
      </c>
      <c r="O46" s="624">
        <f t="shared" si="27"/>
        <v>0</v>
      </c>
      <c r="P46" s="625">
        <f t="shared" si="27"/>
        <v>0</v>
      </c>
      <c r="Q46" s="624">
        <f t="shared" si="27"/>
        <v>0</v>
      </c>
      <c r="R46" s="253"/>
      <c r="S46" s="850">
        <v>860</v>
      </c>
      <c r="T46" s="255">
        <v>276</v>
      </c>
      <c r="U46" s="255">
        <v>594</v>
      </c>
      <c r="V46" s="255">
        <v>553</v>
      </c>
      <c r="W46" s="255">
        <v>84</v>
      </c>
      <c r="X46" s="255">
        <v>203</v>
      </c>
      <c r="Y46" s="256">
        <v>2570</v>
      </c>
      <c r="Z46" s="254">
        <v>81</v>
      </c>
      <c r="AA46" s="255">
        <v>106</v>
      </c>
      <c r="AB46" s="255">
        <v>102</v>
      </c>
      <c r="AC46" s="255"/>
      <c r="AD46" s="255"/>
      <c r="AE46" s="256">
        <v>289</v>
      </c>
      <c r="AF46" s="254">
        <v>0</v>
      </c>
      <c r="AG46" s="255"/>
      <c r="AH46" s="254">
        <v>0</v>
      </c>
    </row>
    <row r="47" spans="1:34">
      <c r="A47" s="886"/>
      <c r="B47" s="239" t="s">
        <v>55</v>
      </c>
      <c r="C47" s="624">
        <f t="shared" si="26"/>
        <v>0.25146389069616137</v>
      </c>
      <c r="D47" s="625">
        <f t="shared" si="26"/>
        <v>0.22431668237511782</v>
      </c>
      <c r="E47" s="625">
        <f t="shared" si="26"/>
        <v>0.31776094276094274</v>
      </c>
      <c r="F47" s="625">
        <f t="shared" si="26"/>
        <v>0.34579439252336447</v>
      </c>
      <c r="G47" s="625">
        <f t="shared" si="26"/>
        <v>0.33602150537634407</v>
      </c>
      <c r="H47" s="626">
        <f t="shared" si="26"/>
        <v>0.52010723860589814</v>
      </c>
      <c r="I47" s="624">
        <f t="shared" si="26"/>
        <v>0.3086317532601946</v>
      </c>
      <c r="J47" s="624">
        <f t="shared" si="26"/>
        <v>0.43344709897610922</v>
      </c>
      <c r="K47" s="625">
        <f t="shared" si="26"/>
        <v>0.25108225108225107</v>
      </c>
      <c r="L47" s="625">
        <f t="shared" si="26"/>
        <v>0.40740740740740738</v>
      </c>
      <c r="M47" s="625">
        <f t="shared" si="26"/>
        <v>0</v>
      </c>
      <c r="N47" s="624">
        <f t="shared" si="27"/>
        <v>0.35646687697160884</v>
      </c>
      <c r="O47" s="624">
        <f t="shared" si="27"/>
        <v>0</v>
      </c>
      <c r="P47" s="625">
        <f t="shared" si="27"/>
        <v>0</v>
      </c>
      <c r="Q47" s="624">
        <f t="shared" si="27"/>
        <v>0</v>
      </c>
      <c r="R47" s="253"/>
      <c r="S47" s="850">
        <v>773</v>
      </c>
      <c r="T47" s="255">
        <v>238</v>
      </c>
      <c r="U47" s="255">
        <v>755</v>
      </c>
      <c r="V47" s="255">
        <v>703</v>
      </c>
      <c r="W47" s="255">
        <v>125</v>
      </c>
      <c r="X47" s="255">
        <v>388</v>
      </c>
      <c r="Y47" s="256">
        <v>2982</v>
      </c>
      <c r="Z47" s="254">
        <v>127</v>
      </c>
      <c r="AA47" s="255">
        <v>116</v>
      </c>
      <c r="AB47" s="255">
        <v>209</v>
      </c>
      <c r="AC47" s="255"/>
      <c r="AD47" s="255"/>
      <c r="AE47" s="256">
        <v>452</v>
      </c>
      <c r="AF47" s="254">
        <v>0</v>
      </c>
      <c r="AG47" s="255"/>
      <c r="AH47" s="254">
        <v>0</v>
      </c>
    </row>
    <row r="48" spans="1:34">
      <c r="A48" s="886"/>
      <c r="B48" s="239" t="s">
        <v>78</v>
      </c>
      <c r="C48" s="624">
        <f t="shared" si="26"/>
        <v>4.1314248536109301E-2</v>
      </c>
      <c r="D48" s="625">
        <f t="shared" si="26"/>
        <v>4.6182846371347785E-2</v>
      </c>
      <c r="E48" s="625">
        <f t="shared" si="26"/>
        <v>0.12752525252525251</v>
      </c>
      <c r="F48" s="625">
        <f t="shared" si="26"/>
        <v>7.3290703393999013E-2</v>
      </c>
      <c r="G48" s="625">
        <f t="shared" si="26"/>
        <v>0.15053763440860216</v>
      </c>
      <c r="H48" s="626">
        <f t="shared" si="26"/>
        <v>5.4959785522788206E-2</v>
      </c>
      <c r="I48" s="624">
        <f t="shared" si="26"/>
        <v>7.5036224384185474E-2</v>
      </c>
      <c r="J48" s="624">
        <f t="shared" si="26"/>
        <v>9.2150170648464161E-2</v>
      </c>
      <c r="K48" s="625">
        <f t="shared" si="26"/>
        <v>0.40692640692640691</v>
      </c>
      <c r="L48" s="625">
        <f t="shared" si="26"/>
        <v>0.23391812865497075</v>
      </c>
      <c r="M48" s="625">
        <f t="shared" si="26"/>
        <v>0</v>
      </c>
      <c r="N48" s="624">
        <f t="shared" si="27"/>
        <v>0.26419558359621453</v>
      </c>
      <c r="O48" s="624">
        <f t="shared" si="27"/>
        <v>0</v>
      </c>
      <c r="P48" s="625">
        <f t="shared" si="27"/>
        <v>0</v>
      </c>
      <c r="Q48" s="624">
        <f t="shared" si="27"/>
        <v>0</v>
      </c>
      <c r="R48" s="253"/>
      <c r="S48" s="850">
        <v>127</v>
      </c>
      <c r="T48" s="255">
        <v>49</v>
      </c>
      <c r="U48" s="255">
        <v>303</v>
      </c>
      <c r="V48" s="255">
        <v>149</v>
      </c>
      <c r="W48" s="255">
        <v>56</v>
      </c>
      <c r="X48" s="255">
        <v>41</v>
      </c>
      <c r="Y48" s="256">
        <v>725</v>
      </c>
      <c r="Z48" s="254">
        <v>27</v>
      </c>
      <c r="AA48" s="255">
        <v>188</v>
      </c>
      <c r="AB48" s="255">
        <v>120</v>
      </c>
      <c r="AC48" s="255"/>
      <c r="AD48" s="255"/>
      <c r="AE48" s="256">
        <v>335</v>
      </c>
      <c r="AF48" s="254">
        <v>0</v>
      </c>
      <c r="AG48" s="255"/>
      <c r="AH48" s="254">
        <v>0</v>
      </c>
    </row>
    <row r="49" spans="1:34">
      <c r="A49" s="886"/>
      <c r="B49" s="239" t="s">
        <v>32</v>
      </c>
      <c r="C49" s="624">
        <f t="shared" si="26"/>
        <v>0.11223162003903708</v>
      </c>
      <c r="D49" s="625">
        <f t="shared" si="26"/>
        <v>6.6918001885014136E-2</v>
      </c>
      <c r="E49" s="790">
        <f t="shared" si="26"/>
        <v>0.10563973063973064</v>
      </c>
      <c r="F49" s="625">
        <f t="shared" si="26"/>
        <v>0.10231185440236104</v>
      </c>
      <c r="G49" s="625">
        <f t="shared" si="26"/>
        <v>0.10483870967741936</v>
      </c>
      <c r="H49" s="794">
        <f t="shared" si="26"/>
        <v>6.8364611260053623E-2</v>
      </c>
      <c r="I49" s="624">
        <f t="shared" si="26"/>
        <v>9.9875802111364112E-2</v>
      </c>
      <c r="J49" s="624">
        <f t="shared" si="26"/>
        <v>3.7542662116040959E-2</v>
      </c>
      <c r="K49" s="625">
        <f t="shared" si="26"/>
        <v>2.5974025974025976E-2</v>
      </c>
      <c r="L49" s="625">
        <f t="shared" si="26"/>
        <v>8.5769980506822607E-2</v>
      </c>
      <c r="M49" s="625">
        <f t="shared" si="26"/>
        <v>0</v>
      </c>
      <c r="N49" s="624">
        <f t="shared" si="27"/>
        <v>5.28391167192429E-2</v>
      </c>
      <c r="O49" s="624">
        <f t="shared" si="27"/>
        <v>0</v>
      </c>
      <c r="P49" s="625">
        <f t="shared" si="27"/>
        <v>0</v>
      </c>
      <c r="Q49" s="624">
        <f t="shared" si="27"/>
        <v>0</v>
      </c>
      <c r="R49" s="253"/>
      <c r="S49" s="850">
        <v>345</v>
      </c>
      <c r="T49" s="255">
        <v>71</v>
      </c>
      <c r="U49" s="255">
        <v>251</v>
      </c>
      <c r="V49" s="255">
        <v>208</v>
      </c>
      <c r="W49" s="255">
        <v>39</v>
      </c>
      <c r="X49" s="255">
        <v>51</v>
      </c>
      <c r="Y49" s="256">
        <v>965</v>
      </c>
      <c r="Z49" s="254">
        <v>11</v>
      </c>
      <c r="AA49" s="255">
        <v>12</v>
      </c>
      <c r="AB49" s="255">
        <v>44</v>
      </c>
      <c r="AC49" s="255"/>
      <c r="AD49" s="255"/>
      <c r="AE49" s="256">
        <v>67</v>
      </c>
      <c r="AF49" s="254">
        <v>0</v>
      </c>
      <c r="AG49" s="255"/>
      <c r="AH49" s="254">
        <v>0</v>
      </c>
    </row>
    <row r="50" spans="1:34">
      <c r="A50" s="886"/>
      <c r="B50" s="239" t="s">
        <v>58</v>
      </c>
      <c r="C50" s="624">
        <f t="shared" si="26"/>
        <v>0</v>
      </c>
      <c r="D50" s="625">
        <f t="shared" si="26"/>
        <v>0</v>
      </c>
      <c r="E50" s="792">
        <f t="shared" si="26"/>
        <v>0</v>
      </c>
      <c r="F50" s="625">
        <f t="shared" si="26"/>
        <v>0</v>
      </c>
      <c r="G50" s="792">
        <f t="shared" si="26"/>
        <v>0</v>
      </c>
      <c r="H50" s="626">
        <f t="shared" si="26"/>
        <v>0</v>
      </c>
      <c r="I50" s="793">
        <f t="shared" si="26"/>
        <v>0</v>
      </c>
      <c r="J50" s="624">
        <f t="shared" si="26"/>
        <v>0</v>
      </c>
      <c r="K50" s="625">
        <f t="shared" si="26"/>
        <v>0</v>
      </c>
      <c r="L50" s="625">
        <f t="shared" si="26"/>
        <v>0</v>
      </c>
      <c r="M50" s="625">
        <f t="shared" si="26"/>
        <v>0</v>
      </c>
      <c r="N50" s="624">
        <f t="shared" si="27"/>
        <v>0</v>
      </c>
      <c r="O50" s="624">
        <f t="shared" si="27"/>
        <v>1</v>
      </c>
      <c r="P50" s="625">
        <f t="shared" si="27"/>
        <v>0</v>
      </c>
      <c r="Q50" s="624">
        <f t="shared" si="27"/>
        <v>1</v>
      </c>
      <c r="R50" s="253"/>
      <c r="S50" s="850">
        <v>0</v>
      </c>
      <c r="T50" s="255">
        <v>0</v>
      </c>
      <c r="U50" s="255">
        <v>0</v>
      </c>
      <c r="V50" s="255">
        <v>0</v>
      </c>
      <c r="W50" s="255">
        <v>0</v>
      </c>
      <c r="X50" s="255">
        <v>0</v>
      </c>
      <c r="Y50" s="256">
        <v>0</v>
      </c>
      <c r="Z50" s="254">
        <v>0</v>
      </c>
      <c r="AA50" s="255">
        <v>0</v>
      </c>
      <c r="AB50" s="255">
        <v>0</v>
      </c>
      <c r="AC50" s="255"/>
      <c r="AD50" s="255"/>
      <c r="AE50" s="256">
        <v>0</v>
      </c>
      <c r="AF50" s="254">
        <v>2239</v>
      </c>
      <c r="AG50" s="255"/>
      <c r="AH50" s="254">
        <v>2239</v>
      </c>
    </row>
    <row r="51" spans="1:34">
      <c r="A51" s="887"/>
      <c r="B51" s="436" t="s">
        <v>59</v>
      </c>
      <c r="C51" s="577">
        <f t="shared" si="26"/>
        <v>1</v>
      </c>
      <c r="D51" s="578">
        <f t="shared" si="26"/>
        <v>1</v>
      </c>
      <c r="E51" s="578">
        <f t="shared" si="26"/>
        <v>1</v>
      </c>
      <c r="F51" s="578">
        <f t="shared" si="26"/>
        <v>1</v>
      </c>
      <c r="G51" s="578">
        <f t="shared" si="26"/>
        <v>1</v>
      </c>
      <c r="H51" s="579">
        <f t="shared" si="26"/>
        <v>1</v>
      </c>
      <c r="I51" s="577">
        <f t="shared" si="26"/>
        <v>1</v>
      </c>
      <c r="J51" s="577">
        <f t="shared" si="26"/>
        <v>1</v>
      </c>
      <c r="K51" s="578">
        <f t="shared" si="26"/>
        <v>1</v>
      </c>
      <c r="L51" s="578">
        <f t="shared" si="26"/>
        <v>1</v>
      </c>
      <c r="M51" s="578">
        <f t="shared" si="26"/>
        <v>0</v>
      </c>
      <c r="N51" s="577">
        <f t="shared" si="27"/>
        <v>1</v>
      </c>
      <c r="O51" s="577">
        <f t="shared" si="27"/>
        <v>1</v>
      </c>
      <c r="P51" s="578">
        <f t="shared" si="27"/>
        <v>0</v>
      </c>
      <c r="Q51" s="577">
        <f t="shared" si="27"/>
        <v>1</v>
      </c>
      <c r="R51" s="264"/>
      <c r="S51" s="853">
        <v>3074</v>
      </c>
      <c r="T51" s="266">
        <v>1061</v>
      </c>
      <c r="U51" s="266">
        <v>2376</v>
      </c>
      <c r="V51" s="266">
        <v>2033</v>
      </c>
      <c r="W51" s="266">
        <v>372</v>
      </c>
      <c r="X51" s="266">
        <v>746</v>
      </c>
      <c r="Y51" s="267">
        <v>9662</v>
      </c>
      <c r="Z51" s="265">
        <v>293</v>
      </c>
      <c r="AA51" s="266">
        <v>462</v>
      </c>
      <c r="AB51" s="266">
        <v>513</v>
      </c>
      <c r="AC51" s="266"/>
      <c r="AD51" s="266"/>
      <c r="AE51" s="267">
        <v>1268</v>
      </c>
      <c r="AF51" s="265">
        <v>2239</v>
      </c>
      <c r="AG51" s="266"/>
      <c r="AH51" s="265">
        <v>2239</v>
      </c>
    </row>
    <row r="52" spans="1:34">
      <c r="A52" s="883" t="s">
        <v>8</v>
      </c>
      <c r="B52" s="240" t="s">
        <v>53</v>
      </c>
      <c r="C52" s="613">
        <f t="shared" ref="C52:M58" si="28">IF(S$58&gt;0,(S52/S$58),0)</f>
        <v>0.34580252283601565</v>
      </c>
      <c r="D52" s="614">
        <f t="shared" si="28"/>
        <v>0</v>
      </c>
      <c r="E52" s="614">
        <f t="shared" si="28"/>
        <v>0.20200519866320088</v>
      </c>
      <c r="F52" s="614">
        <f t="shared" si="28"/>
        <v>0.20634920634920634</v>
      </c>
      <c r="G52" s="614">
        <f t="shared" si="28"/>
        <v>0</v>
      </c>
      <c r="H52" s="615">
        <f t="shared" si="28"/>
        <v>0</v>
      </c>
      <c r="I52" s="613">
        <f t="shared" si="28"/>
        <v>0.26670574443141853</v>
      </c>
      <c r="J52" s="613">
        <f t="shared" si="28"/>
        <v>0</v>
      </c>
      <c r="K52" s="614">
        <f t="shared" si="28"/>
        <v>0.32142857142857145</v>
      </c>
      <c r="L52" s="614">
        <f t="shared" si="28"/>
        <v>0.35376967688483846</v>
      </c>
      <c r="M52" s="614">
        <f t="shared" si="28"/>
        <v>0.51063829787234039</v>
      </c>
      <c r="N52" s="613">
        <f t="shared" ref="N52:Q58" si="29">IF(AE$58&gt;0,(AE52/AE$58),0)</f>
        <v>0.34869169510807735</v>
      </c>
      <c r="O52" s="613">
        <f t="shared" si="29"/>
        <v>8.6705202312138727E-2</v>
      </c>
      <c r="P52" s="614">
        <f t="shared" si="29"/>
        <v>0</v>
      </c>
      <c r="Q52" s="613">
        <f t="shared" si="29"/>
        <v>8.6705202312138727E-2</v>
      </c>
      <c r="R52" s="244"/>
      <c r="S52" s="847">
        <v>795</v>
      </c>
      <c r="T52" s="246"/>
      <c r="U52" s="246">
        <v>544</v>
      </c>
      <c r="V52" s="246">
        <v>26</v>
      </c>
      <c r="W52" s="246"/>
      <c r="X52" s="246"/>
      <c r="Y52" s="247">
        <v>1365</v>
      </c>
      <c r="Z52" s="245"/>
      <c r="AA52" s="246">
        <v>162</v>
      </c>
      <c r="AB52" s="246">
        <v>427</v>
      </c>
      <c r="AC52" s="246">
        <v>24</v>
      </c>
      <c r="AD52" s="246"/>
      <c r="AE52" s="247">
        <v>613</v>
      </c>
      <c r="AF52" s="245">
        <v>15</v>
      </c>
      <c r="AG52" s="246"/>
      <c r="AH52" s="245">
        <v>15</v>
      </c>
    </row>
    <row r="53" spans="1:34">
      <c r="A53" s="886"/>
      <c r="B53" s="239" t="s">
        <v>93</v>
      </c>
      <c r="C53" s="624">
        <f t="shared" si="28"/>
        <v>0.2866463679860809</v>
      </c>
      <c r="D53" s="625">
        <f t="shared" si="28"/>
        <v>0</v>
      </c>
      <c r="E53" s="625">
        <f t="shared" si="28"/>
        <v>0.28926847382101745</v>
      </c>
      <c r="F53" s="625">
        <f t="shared" si="28"/>
        <v>0.2857142857142857</v>
      </c>
      <c r="G53" s="625">
        <f t="shared" si="28"/>
        <v>0</v>
      </c>
      <c r="H53" s="626">
        <f t="shared" si="28"/>
        <v>0</v>
      </c>
      <c r="I53" s="624">
        <f t="shared" si="28"/>
        <v>0.28800312622118013</v>
      </c>
      <c r="J53" s="624">
        <f t="shared" si="28"/>
        <v>0</v>
      </c>
      <c r="K53" s="625">
        <f t="shared" si="28"/>
        <v>0.40079365079365081</v>
      </c>
      <c r="L53" s="625">
        <f t="shared" si="28"/>
        <v>0.28417564208782103</v>
      </c>
      <c r="M53" s="625">
        <f t="shared" si="28"/>
        <v>0.27659574468085107</v>
      </c>
      <c r="N53" s="624">
        <f t="shared" si="29"/>
        <v>0.3174061433447099</v>
      </c>
      <c r="O53" s="624">
        <f t="shared" si="29"/>
        <v>0.21965317919075145</v>
      </c>
      <c r="P53" s="625">
        <f t="shared" si="29"/>
        <v>0</v>
      </c>
      <c r="Q53" s="624">
        <f t="shared" si="29"/>
        <v>0.21965317919075145</v>
      </c>
      <c r="R53" s="253"/>
      <c r="S53" s="850">
        <v>659</v>
      </c>
      <c r="T53" s="255"/>
      <c r="U53" s="255">
        <v>779</v>
      </c>
      <c r="V53" s="255">
        <v>36</v>
      </c>
      <c r="W53" s="255"/>
      <c r="X53" s="255"/>
      <c r="Y53" s="256">
        <v>1474</v>
      </c>
      <c r="Z53" s="254"/>
      <c r="AA53" s="255">
        <v>202</v>
      </c>
      <c r="AB53" s="255">
        <v>343</v>
      </c>
      <c r="AC53" s="255">
        <v>13</v>
      </c>
      <c r="AD53" s="255"/>
      <c r="AE53" s="256">
        <v>558</v>
      </c>
      <c r="AF53" s="254">
        <v>38</v>
      </c>
      <c r="AG53" s="255"/>
      <c r="AH53" s="254">
        <v>38</v>
      </c>
    </row>
    <row r="54" spans="1:34">
      <c r="A54" s="886"/>
      <c r="B54" s="239" t="s">
        <v>55</v>
      </c>
      <c r="C54" s="624">
        <f t="shared" si="28"/>
        <v>0.2483688560243584</v>
      </c>
      <c r="D54" s="625">
        <f t="shared" si="28"/>
        <v>0</v>
      </c>
      <c r="E54" s="625">
        <f t="shared" si="28"/>
        <v>0.24767916821388786</v>
      </c>
      <c r="F54" s="625">
        <f t="shared" si="28"/>
        <v>0.35714285714285715</v>
      </c>
      <c r="G54" s="625">
        <f t="shared" si="28"/>
        <v>0</v>
      </c>
      <c r="H54" s="626">
        <f t="shared" si="28"/>
        <v>0</v>
      </c>
      <c r="I54" s="624">
        <f t="shared" si="28"/>
        <v>0.25068386088315747</v>
      </c>
      <c r="J54" s="624">
        <f t="shared" si="28"/>
        <v>0</v>
      </c>
      <c r="K54" s="625">
        <f t="shared" si="28"/>
        <v>0.11507936507936507</v>
      </c>
      <c r="L54" s="625">
        <f t="shared" si="28"/>
        <v>0.17895608947804473</v>
      </c>
      <c r="M54" s="625">
        <f t="shared" si="28"/>
        <v>8.5106382978723402E-2</v>
      </c>
      <c r="N54" s="624">
        <f t="shared" si="29"/>
        <v>0.15813424345847554</v>
      </c>
      <c r="O54" s="624">
        <f t="shared" si="29"/>
        <v>0.34104046242774566</v>
      </c>
      <c r="P54" s="625">
        <f t="shared" si="29"/>
        <v>0</v>
      </c>
      <c r="Q54" s="624">
        <f t="shared" si="29"/>
        <v>0.34104046242774566</v>
      </c>
      <c r="R54" s="253"/>
      <c r="S54" s="850">
        <v>571</v>
      </c>
      <c r="T54" s="255"/>
      <c r="U54" s="255">
        <v>667</v>
      </c>
      <c r="V54" s="255">
        <v>45</v>
      </c>
      <c r="W54" s="255"/>
      <c r="X54" s="255"/>
      <c r="Y54" s="256">
        <v>1283</v>
      </c>
      <c r="Z54" s="254"/>
      <c r="AA54" s="255">
        <v>58</v>
      </c>
      <c r="AB54" s="255">
        <v>216</v>
      </c>
      <c r="AC54" s="255">
        <v>4</v>
      </c>
      <c r="AD54" s="255"/>
      <c r="AE54" s="256">
        <v>278</v>
      </c>
      <c r="AF54" s="254">
        <v>59</v>
      </c>
      <c r="AG54" s="255"/>
      <c r="AH54" s="254">
        <v>59</v>
      </c>
    </row>
    <row r="55" spans="1:34">
      <c r="A55" s="886"/>
      <c r="B55" s="239" t="s">
        <v>78</v>
      </c>
      <c r="C55" s="791">
        <f t="shared" si="28"/>
        <v>3.8277511961722487E-2</v>
      </c>
      <c r="D55" s="625">
        <f t="shared" si="28"/>
        <v>0</v>
      </c>
      <c r="E55" s="625">
        <f t="shared" si="28"/>
        <v>9.2461938358707765E-2</v>
      </c>
      <c r="F55" s="625">
        <f t="shared" si="28"/>
        <v>0.15079365079365079</v>
      </c>
      <c r="G55" s="625">
        <f t="shared" si="28"/>
        <v>0</v>
      </c>
      <c r="H55" s="626">
        <f t="shared" si="28"/>
        <v>0</v>
      </c>
      <c r="I55" s="624">
        <f t="shared" si="28"/>
        <v>6.9558421258304026E-2</v>
      </c>
      <c r="J55" s="624">
        <f t="shared" si="28"/>
        <v>0</v>
      </c>
      <c r="K55" s="625">
        <f t="shared" si="28"/>
        <v>0.1626984126984127</v>
      </c>
      <c r="L55" s="625">
        <f t="shared" si="28"/>
        <v>0.18309859154929578</v>
      </c>
      <c r="M55" s="625">
        <f t="shared" si="28"/>
        <v>0.1276595744680851</v>
      </c>
      <c r="N55" s="624">
        <f t="shared" si="29"/>
        <v>0.17576791808873721</v>
      </c>
      <c r="O55" s="624">
        <f t="shared" si="29"/>
        <v>0.35260115606936415</v>
      </c>
      <c r="P55" s="625">
        <f t="shared" si="29"/>
        <v>0</v>
      </c>
      <c r="Q55" s="624">
        <f t="shared" si="29"/>
        <v>0.35260115606936415</v>
      </c>
      <c r="R55" s="253"/>
      <c r="S55" s="850">
        <v>88</v>
      </c>
      <c r="T55" s="255"/>
      <c r="U55" s="255">
        <v>249</v>
      </c>
      <c r="V55" s="255">
        <v>19</v>
      </c>
      <c r="W55" s="255"/>
      <c r="X55" s="255"/>
      <c r="Y55" s="256">
        <v>356</v>
      </c>
      <c r="Z55" s="254"/>
      <c r="AA55" s="255">
        <v>82</v>
      </c>
      <c r="AB55" s="255">
        <v>221</v>
      </c>
      <c r="AC55" s="255">
        <v>6</v>
      </c>
      <c r="AD55" s="255"/>
      <c r="AE55" s="256">
        <v>309</v>
      </c>
      <c r="AF55" s="254">
        <v>61</v>
      </c>
      <c r="AG55" s="255"/>
      <c r="AH55" s="254">
        <v>61</v>
      </c>
    </row>
    <row r="56" spans="1:34">
      <c r="A56" s="886"/>
      <c r="B56" s="239" t="s">
        <v>32</v>
      </c>
      <c r="C56" s="624">
        <f t="shared" si="28"/>
        <v>8.0904741191822532E-2</v>
      </c>
      <c r="D56" s="790">
        <f t="shared" si="28"/>
        <v>0</v>
      </c>
      <c r="E56" s="625">
        <f t="shared" si="28"/>
        <v>0.16858522094318604</v>
      </c>
      <c r="F56" s="625">
        <f t="shared" si="28"/>
        <v>0</v>
      </c>
      <c r="G56" s="625">
        <f t="shared" si="28"/>
        <v>0</v>
      </c>
      <c r="H56" s="626">
        <f t="shared" si="28"/>
        <v>0</v>
      </c>
      <c r="I56" s="624">
        <f t="shared" si="28"/>
        <v>0.12504884720593981</v>
      </c>
      <c r="J56" s="624">
        <f t="shared" si="28"/>
        <v>0</v>
      </c>
      <c r="K56" s="625">
        <f t="shared" si="28"/>
        <v>0</v>
      </c>
      <c r="L56" s="625">
        <f t="shared" si="28"/>
        <v>0</v>
      </c>
      <c r="M56" s="625">
        <f t="shared" si="28"/>
        <v>0</v>
      </c>
      <c r="N56" s="624">
        <f t="shared" si="29"/>
        <v>0</v>
      </c>
      <c r="O56" s="624">
        <f t="shared" si="29"/>
        <v>0</v>
      </c>
      <c r="P56" s="625">
        <f t="shared" si="29"/>
        <v>0</v>
      </c>
      <c r="Q56" s="624">
        <f t="shared" si="29"/>
        <v>0</v>
      </c>
      <c r="R56" s="253"/>
      <c r="S56" s="850">
        <v>186</v>
      </c>
      <c r="T56" s="255"/>
      <c r="U56" s="255">
        <v>454</v>
      </c>
      <c r="V56" s="255">
        <v>0</v>
      </c>
      <c r="W56" s="255"/>
      <c r="X56" s="255"/>
      <c r="Y56" s="256">
        <v>640</v>
      </c>
      <c r="Z56" s="254"/>
      <c r="AA56" s="255">
        <v>0</v>
      </c>
      <c r="AB56" s="255">
        <v>0</v>
      </c>
      <c r="AC56" s="255">
        <v>0</v>
      </c>
      <c r="AD56" s="255"/>
      <c r="AE56" s="256">
        <v>0</v>
      </c>
      <c r="AF56" s="254">
        <v>0</v>
      </c>
      <c r="AG56" s="255"/>
      <c r="AH56" s="254">
        <v>0</v>
      </c>
    </row>
    <row r="57" spans="1:34">
      <c r="A57" s="886"/>
      <c r="B57" s="239" t="s">
        <v>58</v>
      </c>
      <c r="C57" s="624">
        <f t="shared" si="28"/>
        <v>0</v>
      </c>
      <c r="D57" s="625">
        <f t="shared" si="28"/>
        <v>0</v>
      </c>
      <c r="E57" s="792">
        <f t="shared" si="28"/>
        <v>0</v>
      </c>
      <c r="F57" s="625">
        <f t="shared" si="28"/>
        <v>0</v>
      </c>
      <c r="G57" s="792">
        <f t="shared" si="28"/>
        <v>0</v>
      </c>
      <c r="H57" s="626">
        <f t="shared" si="28"/>
        <v>0</v>
      </c>
      <c r="I57" s="793">
        <f t="shared" si="28"/>
        <v>0</v>
      </c>
      <c r="J57" s="624">
        <f t="shared" si="28"/>
        <v>0</v>
      </c>
      <c r="K57" s="625">
        <f t="shared" si="28"/>
        <v>0</v>
      </c>
      <c r="L57" s="625">
        <f t="shared" si="28"/>
        <v>0</v>
      </c>
      <c r="M57" s="625">
        <f t="shared" si="28"/>
        <v>0</v>
      </c>
      <c r="N57" s="624">
        <f t="shared" si="29"/>
        <v>0</v>
      </c>
      <c r="O57" s="624">
        <f t="shared" si="29"/>
        <v>0</v>
      </c>
      <c r="P57" s="625">
        <f t="shared" si="29"/>
        <v>0</v>
      </c>
      <c r="Q57" s="624">
        <f t="shared" si="29"/>
        <v>0</v>
      </c>
      <c r="R57" s="253"/>
      <c r="S57" s="850">
        <v>0</v>
      </c>
      <c r="T57" s="255"/>
      <c r="U57" s="255">
        <v>0</v>
      </c>
      <c r="V57" s="255">
        <v>0</v>
      </c>
      <c r="W57" s="255"/>
      <c r="X57" s="255"/>
      <c r="Y57" s="256">
        <v>0</v>
      </c>
      <c r="Z57" s="254"/>
      <c r="AA57" s="255">
        <v>0</v>
      </c>
      <c r="AB57" s="255">
        <v>0</v>
      </c>
      <c r="AC57" s="255">
        <v>0</v>
      </c>
      <c r="AD57" s="255"/>
      <c r="AE57" s="256">
        <v>0</v>
      </c>
      <c r="AF57" s="254">
        <v>0</v>
      </c>
      <c r="AG57" s="255"/>
      <c r="AH57" s="254">
        <v>0</v>
      </c>
    </row>
    <row r="58" spans="1:34">
      <c r="A58" s="887"/>
      <c r="B58" s="436" t="s">
        <v>59</v>
      </c>
      <c r="C58" s="577">
        <f t="shared" si="28"/>
        <v>1</v>
      </c>
      <c r="D58" s="578">
        <f t="shared" si="28"/>
        <v>0</v>
      </c>
      <c r="E58" s="578">
        <f t="shared" si="28"/>
        <v>1</v>
      </c>
      <c r="F58" s="578">
        <f t="shared" si="28"/>
        <v>1</v>
      </c>
      <c r="G58" s="578">
        <f t="shared" si="28"/>
        <v>0</v>
      </c>
      <c r="H58" s="579">
        <f t="shared" si="28"/>
        <v>0</v>
      </c>
      <c r="I58" s="577">
        <f t="shared" si="28"/>
        <v>1</v>
      </c>
      <c r="J58" s="577">
        <f t="shared" si="28"/>
        <v>0</v>
      </c>
      <c r="K58" s="578">
        <f t="shared" si="28"/>
        <v>1</v>
      </c>
      <c r="L58" s="578">
        <f t="shared" si="28"/>
        <v>1</v>
      </c>
      <c r="M58" s="578">
        <f t="shared" si="28"/>
        <v>1</v>
      </c>
      <c r="N58" s="577">
        <f t="shared" si="29"/>
        <v>1</v>
      </c>
      <c r="O58" s="577">
        <f t="shared" si="29"/>
        <v>1</v>
      </c>
      <c r="P58" s="578">
        <f t="shared" si="29"/>
        <v>0</v>
      </c>
      <c r="Q58" s="577">
        <f t="shared" si="29"/>
        <v>1</v>
      </c>
      <c r="R58" s="264"/>
      <c r="S58" s="853">
        <v>2299</v>
      </c>
      <c r="T58" s="266"/>
      <c r="U58" s="266">
        <v>2693</v>
      </c>
      <c r="V58" s="266">
        <v>126</v>
      </c>
      <c r="W58" s="266"/>
      <c r="X58" s="266"/>
      <c r="Y58" s="267">
        <v>5118</v>
      </c>
      <c r="Z58" s="265"/>
      <c r="AA58" s="266">
        <v>504</v>
      </c>
      <c r="AB58" s="266">
        <v>1207</v>
      </c>
      <c r="AC58" s="266">
        <v>47</v>
      </c>
      <c r="AD58" s="266"/>
      <c r="AE58" s="267">
        <v>1758</v>
      </c>
      <c r="AF58" s="265">
        <v>173</v>
      </c>
      <c r="AG58" s="266"/>
      <c r="AH58" s="265">
        <v>173</v>
      </c>
    </row>
    <row r="59" spans="1:34">
      <c r="A59" s="883" t="s">
        <v>9</v>
      </c>
      <c r="B59" s="240" t="s">
        <v>53</v>
      </c>
      <c r="C59" s="613">
        <f t="shared" ref="C59:M65" si="30">IF(S$65&gt;0,(S59/S$65),0)</f>
        <v>0.33522727272727271</v>
      </c>
      <c r="D59" s="614">
        <f t="shared" si="30"/>
        <v>0.23933649289099526</v>
      </c>
      <c r="E59" s="614">
        <f t="shared" si="30"/>
        <v>0.2136669874879692</v>
      </c>
      <c r="F59" s="614">
        <f t="shared" si="30"/>
        <v>0.20856102003642987</v>
      </c>
      <c r="G59" s="614">
        <f t="shared" si="30"/>
        <v>0.15151515151515152</v>
      </c>
      <c r="H59" s="615">
        <f t="shared" si="30"/>
        <v>0.15294117647058825</v>
      </c>
      <c r="I59" s="613">
        <f t="shared" si="30"/>
        <v>0.24797675866362315</v>
      </c>
      <c r="J59" s="613">
        <f t="shared" si="30"/>
        <v>0</v>
      </c>
      <c r="K59" s="614">
        <f t="shared" si="30"/>
        <v>0.15056818181818182</v>
      </c>
      <c r="L59" s="614">
        <f t="shared" si="30"/>
        <v>9.5360824742268036E-2</v>
      </c>
      <c r="M59" s="614">
        <f t="shared" si="30"/>
        <v>0.12658227848101267</v>
      </c>
      <c r="N59" s="613">
        <f t="shared" ref="N59:Q65" si="31">IF(AE$65&gt;0,(AE59/AE$65),0)</f>
        <v>0.13065755764304013</v>
      </c>
      <c r="O59" s="788">
        <f t="shared" si="31"/>
        <v>5.8375634517766499E-2</v>
      </c>
      <c r="P59" s="614">
        <f t="shared" si="31"/>
        <v>0</v>
      </c>
      <c r="Q59" s="788">
        <f t="shared" si="31"/>
        <v>5.8375634517766499E-2</v>
      </c>
      <c r="R59" s="244"/>
      <c r="S59" s="847">
        <v>413</v>
      </c>
      <c r="T59" s="246">
        <v>303</v>
      </c>
      <c r="U59" s="246">
        <v>222</v>
      </c>
      <c r="V59" s="246">
        <v>229</v>
      </c>
      <c r="W59" s="246">
        <v>15</v>
      </c>
      <c r="X59" s="246">
        <v>13</v>
      </c>
      <c r="Y59" s="247">
        <v>1195</v>
      </c>
      <c r="Z59" s="245"/>
      <c r="AA59" s="246">
        <v>106</v>
      </c>
      <c r="AB59" s="246">
        <v>37</v>
      </c>
      <c r="AC59" s="246">
        <v>10</v>
      </c>
      <c r="AD59" s="246"/>
      <c r="AE59" s="247">
        <v>153</v>
      </c>
      <c r="AF59" s="245">
        <v>23</v>
      </c>
      <c r="AG59" s="246"/>
      <c r="AH59" s="245">
        <v>23</v>
      </c>
    </row>
    <row r="60" spans="1:34">
      <c r="A60" s="886"/>
      <c r="B60" s="239" t="s">
        <v>93</v>
      </c>
      <c r="C60" s="624">
        <f t="shared" si="30"/>
        <v>0.2564935064935065</v>
      </c>
      <c r="D60" s="625">
        <f t="shared" si="30"/>
        <v>0.25987361769352291</v>
      </c>
      <c r="E60" s="625">
        <f t="shared" si="30"/>
        <v>0.2550529355149182</v>
      </c>
      <c r="F60" s="625">
        <f t="shared" si="30"/>
        <v>0.25136612021857924</v>
      </c>
      <c r="G60" s="625">
        <f t="shared" si="30"/>
        <v>0.22222222222222221</v>
      </c>
      <c r="H60" s="626">
        <f t="shared" si="30"/>
        <v>0.4</v>
      </c>
      <c r="I60" s="624">
        <f t="shared" si="30"/>
        <v>0.2577298194646192</v>
      </c>
      <c r="J60" s="624">
        <f t="shared" si="30"/>
        <v>0</v>
      </c>
      <c r="K60" s="625">
        <f t="shared" si="30"/>
        <v>0.15198863636363635</v>
      </c>
      <c r="L60" s="625">
        <f t="shared" si="30"/>
        <v>0.10309278350515463</v>
      </c>
      <c r="M60" s="625">
        <f t="shared" si="30"/>
        <v>0.20253164556962025</v>
      </c>
      <c r="N60" s="624">
        <f t="shared" si="31"/>
        <v>0.13919726729291204</v>
      </c>
      <c r="O60" s="624">
        <f t="shared" si="31"/>
        <v>2.7918781725888325E-2</v>
      </c>
      <c r="P60" s="625">
        <f t="shared" si="31"/>
        <v>0</v>
      </c>
      <c r="Q60" s="624">
        <f t="shared" si="31"/>
        <v>2.7918781725888325E-2</v>
      </c>
      <c r="R60" s="253"/>
      <c r="S60" s="850">
        <v>316</v>
      </c>
      <c r="T60" s="255">
        <v>329</v>
      </c>
      <c r="U60" s="255">
        <v>265</v>
      </c>
      <c r="V60" s="255">
        <v>276</v>
      </c>
      <c r="W60" s="255">
        <v>22</v>
      </c>
      <c r="X60" s="255">
        <v>34</v>
      </c>
      <c r="Y60" s="256">
        <v>1242</v>
      </c>
      <c r="Z60" s="254"/>
      <c r="AA60" s="255">
        <v>107</v>
      </c>
      <c r="AB60" s="255">
        <v>40</v>
      </c>
      <c r="AC60" s="255">
        <v>16</v>
      </c>
      <c r="AD60" s="255"/>
      <c r="AE60" s="256">
        <v>163</v>
      </c>
      <c r="AF60" s="254">
        <v>11</v>
      </c>
      <c r="AG60" s="255"/>
      <c r="AH60" s="254">
        <v>11</v>
      </c>
    </row>
    <row r="61" spans="1:34">
      <c r="A61" s="886"/>
      <c r="B61" s="239" t="s">
        <v>55</v>
      </c>
      <c r="C61" s="624">
        <f t="shared" si="30"/>
        <v>0.20616883116883117</v>
      </c>
      <c r="D61" s="625">
        <f t="shared" si="30"/>
        <v>0.24644549763033174</v>
      </c>
      <c r="E61" s="625">
        <f t="shared" si="30"/>
        <v>0.21462945139557266</v>
      </c>
      <c r="F61" s="625">
        <f t="shared" si="30"/>
        <v>0.32058287795992713</v>
      </c>
      <c r="G61" s="625">
        <f t="shared" si="30"/>
        <v>0.5757575757575758</v>
      </c>
      <c r="H61" s="626">
        <f t="shared" si="30"/>
        <v>0.24705882352941178</v>
      </c>
      <c r="I61" s="624">
        <f t="shared" si="30"/>
        <v>0.25295704503008926</v>
      </c>
      <c r="J61" s="624">
        <f t="shared" si="30"/>
        <v>0</v>
      </c>
      <c r="K61" s="625">
        <f t="shared" si="30"/>
        <v>0.21590909090909091</v>
      </c>
      <c r="L61" s="625">
        <f t="shared" si="30"/>
        <v>0.15206185567010308</v>
      </c>
      <c r="M61" s="625">
        <f t="shared" si="30"/>
        <v>0.22784810126582278</v>
      </c>
      <c r="N61" s="624">
        <f t="shared" si="31"/>
        <v>0.19555935098206662</v>
      </c>
      <c r="O61" s="624">
        <f t="shared" si="31"/>
        <v>3.8071065989847719E-2</v>
      </c>
      <c r="P61" s="625">
        <f t="shared" si="31"/>
        <v>0</v>
      </c>
      <c r="Q61" s="624">
        <f t="shared" si="31"/>
        <v>3.8071065989847719E-2</v>
      </c>
      <c r="R61" s="253"/>
      <c r="S61" s="850">
        <v>254</v>
      </c>
      <c r="T61" s="255">
        <v>312</v>
      </c>
      <c r="U61" s="255">
        <v>223</v>
      </c>
      <c r="V61" s="255">
        <v>352</v>
      </c>
      <c r="W61" s="255">
        <v>57</v>
      </c>
      <c r="X61" s="255">
        <v>21</v>
      </c>
      <c r="Y61" s="256">
        <v>1219</v>
      </c>
      <c r="Z61" s="254"/>
      <c r="AA61" s="255">
        <v>152</v>
      </c>
      <c r="AB61" s="255">
        <v>59</v>
      </c>
      <c r="AC61" s="255">
        <v>18</v>
      </c>
      <c r="AD61" s="255"/>
      <c r="AE61" s="256">
        <v>229</v>
      </c>
      <c r="AF61" s="254">
        <v>15</v>
      </c>
      <c r="AG61" s="255"/>
      <c r="AH61" s="254">
        <v>15</v>
      </c>
    </row>
    <row r="62" spans="1:34">
      <c r="A62" s="886"/>
      <c r="B62" s="239" t="s">
        <v>78</v>
      </c>
      <c r="C62" s="624">
        <f t="shared" si="30"/>
        <v>0.18506493506493507</v>
      </c>
      <c r="D62" s="625">
        <f t="shared" si="30"/>
        <v>0.2377567140600316</v>
      </c>
      <c r="E62" s="625">
        <f t="shared" si="30"/>
        <v>0.29451395572666023</v>
      </c>
      <c r="F62" s="625">
        <f t="shared" si="30"/>
        <v>0.19125683060109289</v>
      </c>
      <c r="G62" s="625">
        <f t="shared" si="30"/>
        <v>5.0505050505050504E-2</v>
      </c>
      <c r="H62" s="626">
        <f t="shared" si="30"/>
        <v>0.2</v>
      </c>
      <c r="I62" s="624">
        <f t="shared" si="30"/>
        <v>0.2214152313758041</v>
      </c>
      <c r="J62" s="624">
        <f t="shared" si="30"/>
        <v>0</v>
      </c>
      <c r="K62" s="625">
        <f t="shared" si="30"/>
        <v>0.46732954545454547</v>
      </c>
      <c r="L62" s="625">
        <f t="shared" si="30"/>
        <v>0.63917525773195871</v>
      </c>
      <c r="M62" s="625">
        <f t="shared" si="30"/>
        <v>0.4050632911392405</v>
      </c>
      <c r="N62" s="624">
        <f t="shared" si="31"/>
        <v>0.52006831767719897</v>
      </c>
      <c r="O62" s="624">
        <f t="shared" si="31"/>
        <v>0.58883248730964466</v>
      </c>
      <c r="P62" s="625">
        <f t="shared" si="31"/>
        <v>0</v>
      </c>
      <c r="Q62" s="624">
        <f t="shared" si="31"/>
        <v>0.58883248730964466</v>
      </c>
      <c r="R62" s="253"/>
      <c r="S62" s="850">
        <v>228</v>
      </c>
      <c r="T62" s="255">
        <v>301</v>
      </c>
      <c r="U62" s="255">
        <v>306</v>
      </c>
      <c r="V62" s="255">
        <v>210</v>
      </c>
      <c r="W62" s="255">
        <v>5</v>
      </c>
      <c r="X62" s="255">
        <v>17</v>
      </c>
      <c r="Y62" s="256">
        <v>1067</v>
      </c>
      <c r="Z62" s="254"/>
      <c r="AA62" s="255">
        <v>329</v>
      </c>
      <c r="AB62" s="255">
        <v>248</v>
      </c>
      <c r="AC62" s="255">
        <v>32</v>
      </c>
      <c r="AD62" s="255"/>
      <c r="AE62" s="256">
        <v>609</v>
      </c>
      <c r="AF62" s="254">
        <v>232</v>
      </c>
      <c r="AG62" s="255"/>
      <c r="AH62" s="254">
        <v>232</v>
      </c>
    </row>
    <row r="63" spans="1:34">
      <c r="A63" s="886"/>
      <c r="B63" s="239" t="s">
        <v>32</v>
      </c>
      <c r="C63" s="624">
        <f t="shared" si="30"/>
        <v>1.7045454545454544E-2</v>
      </c>
      <c r="D63" s="625">
        <f t="shared" si="30"/>
        <v>1.6587677725118485E-2</v>
      </c>
      <c r="E63" s="625">
        <f t="shared" si="30"/>
        <v>2.2136669874879691E-2</v>
      </c>
      <c r="F63" s="790">
        <f t="shared" si="30"/>
        <v>2.8233151183970857E-2</v>
      </c>
      <c r="G63" s="625">
        <f t="shared" si="30"/>
        <v>0</v>
      </c>
      <c r="H63" s="626">
        <f t="shared" si="30"/>
        <v>0</v>
      </c>
      <c r="I63" s="624">
        <f t="shared" si="30"/>
        <v>1.9921145465864286E-2</v>
      </c>
      <c r="J63" s="624">
        <f t="shared" si="30"/>
        <v>0</v>
      </c>
      <c r="K63" s="625">
        <f t="shared" si="30"/>
        <v>1.4204545454545454E-2</v>
      </c>
      <c r="L63" s="625">
        <f t="shared" si="30"/>
        <v>1.0309278350515464E-2</v>
      </c>
      <c r="M63" s="625">
        <f t="shared" si="30"/>
        <v>3.7974683544303799E-2</v>
      </c>
      <c r="N63" s="624">
        <f t="shared" si="31"/>
        <v>1.4517506404782237E-2</v>
      </c>
      <c r="O63" s="624">
        <f t="shared" si="31"/>
        <v>0.28680203045685282</v>
      </c>
      <c r="P63" s="625">
        <f t="shared" si="31"/>
        <v>0</v>
      </c>
      <c r="Q63" s="791">
        <f t="shared" si="31"/>
        <v>0.28680203045685282</v>
      </c>
      <c r="R63" s="253"/>
      <c r="S63" s="850">
        <v>21</v>
      </c>
      <c r="T63" s="255">
        <v>21</v>
      </c>
      <c r="U63" s="255">
        <v>23</v>
      </c>
      <c r="V63" s="255">
        <v>31</v>
      </c>
      <c r="W63" s="255">
        <v>0</v>
      </c>
      <c r="X63" s="255">
        <v>0</v>
      </c>
      <c r="Y63" s="256">
        <v>96</v>
      </c>
      <c r="Z63" s="254"/>
      <c r="AA63" s="255">
        <v>10</v>
      </c>
      <c r="AB63" s="255">
        <v>4</v>
      </c>
      <c r="AC63" s="255">
        <v>3</v>
      </c>
      <c r="AD63" s="255"/>
      <c r="AE63" s="256">
        <v>17</v>
      </c>
      <c r="AF63" s="254">
        <v>113</v>
      </c>
      <c r="AG63" s="255"/>
      <c r="AH63" s="254">
        <v>113</v>
      </c>
    </row>
    <row r="64" spans="1:34">
      <c r="A64" s="886"/>
      <c r="B64" s="239" t="s">
        <v>58</v>
      </c>
      <c r="C64" s="624">
        <f t="shared" si="30"/>
        <v>0</v>
      </c>
      <c r="D64" s="625">
        <f t="shared" si="30"/>
        <v>0</v>
      </c>
      <c r="E64" s="625">
        <f t="shared" si="30"/>
        <v>0</v>
      </c>
      <c r="F64" s="790">
        <f t="shared" si="30"/>
        <v>0</v>
      </c>
      <c r="G64" s="792">
        <f t="shared" si="30"/>
        <v>0</v>
      </c>
      <c r="H64" s="626">
        <f t="shared" si="30"/>
        <v>0</v>
      </c>
      <c r="I64" s="624">
        <f t="shared" si="30"/>
        <v>0</v>
      </c>
      <c r="J64" s="624">
        <f t="shared" si="30"/>
        <v>0</v>
      </c>
      <c r="K64" s="625">
        <f t="shared" si="30"/>
        <v>0</v>
      </c>
      <c r="L64" s="625">
        <f t="shared" si="30"/>
        <v>0</v>
      </c>
      <c r="M64" s="625">
        <f t="shared" si="30"/>
        <v>0</v>
      </c>
      <c r="N64" s="624">
        <f t="shared" si="31"/>
        <v>0</v>
      </c>
      <c r="O64" s="624">
        <f t="shared" si="31"/>
        <v>0</v>
      </c>
      <c r="P64" s="625">
        <f t="shared" si="31"/>
        <v>0</v>
      </c>
      <c r="Q64" s="624">
        <f t="shared" si="31"/>
        <v>0</v>
      </c>
      <c r="R64" s="253"/>
      <c r="S64" s="850">
        <v>0</v>
      </c>
      <c r="T64" s="255">
        <v>0</v>
      </c>
      <c r="U64" s="255">
        <v>0</v>
      </c>
      <c r="V64" s="255">
        <v>0</v>
      </c>
      <c r="W64" s="255">
        <v>0</v>
      </c>
      <c r="X64" s="255">
        <v>0</v>
      </c>
      <c r="Y64" s="256">
        <v>0</v>
      </c>
      <c r="Z64" s="254"/>
      <c r="AA64" s="255">
        <v>0</v>
      </c>
      <c r="AB64" s="255">
        <v>0</v>
      </c>
      <c r="AC64" s="255">
        <v>0</v>
      </c>
      <c r="AD64" s="255"/>
      <c r="AE64" s="256">
        <v>0</v>
      </c>
      <c r="AF64" s="254">
        <v>0</v>
      </c>
      <c r="AG64" s="255"/>
      <c r="AH64" s="254">
        <v>0</v>
      </c>
    </row>
    <row r="65" spans="1:34">
      <c r="A65" s="887"/>
      <c r="B65" s="436" t="s">
        <v>59</v>
      </c>
      <c r="C65" s="577">
        <f t="shared" si="30"/>
        <v>1</v>
      </c>
      <c r="D65" s="578">
        <f t="shared" si="30"/>
        <v>1</v>
      </c>
      <c r="E65" s="578">
        <f t="shared" si="30"/>
        <v>1</v>
      </c>
      <c r="F65" s="578">
        <f t="shared" si="30"/>
        <v>1</v>
      </c>
      <c r="G65" s="578">
        <f t="shared" si="30"/>
        <v>1</v>
      </c>
      <c r="H65" s="579">
        <f t="shared" si="30"/>
        <v>1</v>
      </c>
      <c r="I65" s="577">
        <f t="shared" si="30"/>
        <v>1</v>
      </c>
      <c r="J65" s="577">
        <f t="shared" si="30"/>
        <v>0</v>
      </c>
      <c r="K65" s="578">
        <f t="shared" si="30"/>
        <v>1</v>
      </c>
      <c r="L65" s="578">
        <f t="shared" si="30"/>
        <v>1</v>
      </c>
      <c r="M65" s="578">
        <f t="shared" si="30"/>
        <v>1</v>
      </c>
      <c r="N65" s="577">
        <f t="shared" si="31"/>
        <v>1</v>
      </c>
      <c r="O65" s="577">
        <f t="shared" si="31"/>
        <v>1</v>
      </c>
      <c r="P65" s="578">
        <f t="shared" si="31"/>
        <v>0</v>
      </c>
      <c r="Q65" s="577">
        <f t="shared" si="31"/>
        <v>1</v>
      </c>
      <c r="R65" s="264"/>
      <c r="S65" s="853">
        <v>1232</v>
      </c>
      <c r="T65" s="266">
        <v>1266</v>
      </c>
      <c r="U65" s="266">
        <v>1039</v>
      </c>
      <c r="V65" s="266">
        <v>1098</v>
      </c>
      <c r="W65" s="266">
        <v>99</v>
      </c>
      <c r="X65" s="266">
        <v>85</v>
      </c>
      <c r="Y65" s="267">
        <v>4819</v>
      </c>
      <c r="Z65" s="265"/>
      <c r="AA65" s="266">
        <v>704</v>
      </c>
      <c r="AB65" s="266">
        <v>388</v>
      </c>
      <c r="AC65" s="266">
        <v>79</v>
      </c>
      <c r="AD65" s="266"/>
      <c r="AE65" s="267">
        <v>1171</v>
      </c>
      <c r="AF65" s="265">
        <v>394</v>
      </c>
      <c r="AG65" s="266"/>
      <c r="AH65" s="265">
        <v>394</v>
      </c>
    </row>
    <row r="66" spans="1:34">
      <c r="A66" s="883" t="s">
        <v>10</v>
      </c>
      <c r="B66" s="240" t="s">
        <v>53</v>
      </c>
      <c r="C66" s="613">
        <f t="shared" ref="C66:M72" si="32">IF(S$72&gt;0,(S66/S$72),0)</f>
        <v>0.37839433293978747</v>
      </c>
      <c r="D66" s="614">
        <f t="shared" si="32"/>
        <v>0.20705346985210465</v>
      </c>
      <c r="E66" s="614">
        <f t="shared" si="32"/>
        <v>0.23563218390804597</v>
      </c>
      <c r="F66" s="614">
        <f t="shared" si="32"/>
        <v>0.2376923076923077</v>
      </c>
      <c r="G66" s="614">
        <f t="shared" si="32"/>
        <v>0.17322834645669291</v>
      </c>
      <c r="H66" s="615">
        <f t="shared" si="32"/>
        <v>0.30519480519480519</v>
      </c>
      <c r="I66" s="613">
        <f t="shared" si="32"/>
        <v>0.27985668789808915</v>
      </c>
      <c r="J66" s="613">
        <f t="shared" si="32"/>
        <v>0</v>
      </c>
      <c r="K66" s="614">
        <f t="shared" si="32"/>
        <v>0.38162344983089064</v>
      </c>
      <c r="L66" s="614">
        <f t="shared" si="32"/>
        <v>0.18718381112984822</v>
      </c>
      <c r="M66" s="614">
        <f t="shared" si="32"/>
        <v>0.296875</v>
      </c>
      <c r="N66" s="613">
        <f t="shared" ref="N66:Q72" si="33">IF(AE$72&gt;0,(AE66/AE$72),0)</f>
        <v>0.33106212424849701</v>
      </c>
      <c r="O66" s="788">
        <f t="shared" si="33"/>
        <v>0</v>
      </c>
      <c r="P66" s="614">
        <f t="shared" si="33"/>
        <v>0</v>
      </c>
      <c r="Q66" s="788">
        <f t="shared" si="33"/>
        <v>0</v>
      </c>
      <c r="R66" s="244"/>
      <c r="S66" s="847">
        <v>641</v>
      </c>
      <c r="T66" s="246">
        <v>182</v>
      </c>
      <c r="U66" s="246">
        <v>205</v>
      </c>
      <c r="V66" s="246">
        <v>309</v>
      </c>
      <c r="W66" s="246">
        <v>22</v>
      </c>
      <c r="X66" s="246">
        <v>47</v>
      </c>
      <c r="Y66" s="247">
        <v>1406</v>
      </c>
      <c r="Z66" s="245"/>
      <c r="AA66" s="246">
        <v>677</v>
      </c>
      <c r="AB66" s="246">
        <v>111</v>
      </c>
      <c r="AC66" s="246">
        <v>38</v>
      </c>
      <c r="AD66" s="246"/>
      <c r="AE66" s="247">
        <v>826</v>
      </c>
      <c r="AF66" s="245"/>
      <c r="AG66" s="246"/>
      <c r="AH66" s="245"/>
    </row>
    <row r="67" spans="1:34">
      <c r="A67" s="886"/>
      <c r="B67" s="239" t="s">
        <v>93</v>
      </c>
      <c r="C67" s="624">
        <f t="shared" si="32"/>
        <v>0.26741440377804016</v>
      </c>
      <c r="D67" s="625">
        <f t="shared" si="32"/>
        <v>0.3026166097838453</v>
      </c>
      <c r="E67" s="625">
        <f t="shared" si="32"/>
        <v>0.21379310344827587</v>
      </c>
      <c r="F67" s="625">
        <f t="shared" si="32"/>
        <v>0.26538461538461539</v>
      </c>
      <c r="G67" s="625">
        <f t="shared" si="32"/>
        <v>0.25196850393700787</v>
      </c>
      <c r="H67" s="626">
        <f t="shared" si="32"/>
        <v>0.35714285714285715</v>
      </c>
      <c r="I67" s="624">
        <f t="shared" si="32"/>
        <v>0.26612261146496813</v>
      </c>
      <c r="J67" s="624">
        <f t="shared" si="32"/>
        <v>0</v>
      </c>
      <c r="K67" s="625">
        <f t="shared" si="32"/>
        <v>0.28523111612175872</v>
      </c>
      <c r="L67" s="625">
        <f t="shared" si="32"/>
        <v>0.26306913996627318</v>
      </c>
      <c r="M67" s="625">
        <f t="shared" si="32"/>
        <v>0.265625</v>
      </c>
      <c r="N67" s="624">
        <f t="shared" si="33"/>
        <v>0.27895791583166335</v>
      </c>
      <c r="O67" s="624">
        <f t="shared" si="33"/>
        <v>0</v>
      </c>
      <c r="P67" s="625">
        <f t="shared" si="33"/>
        <v>0</v>
      </c>
      <c r="Q67" s="624">
        <f t="shared" si="33"/>
        <v>0</v>
      </c>
      <c r="R67" s="253"/>
      <c r="S67" s="850">
        <v>453</v>
      </c>
      <c r="T67" s="255">
        <v>266</v>
      </c>
      <c r="U67" s="255">
        <v>186</v>
      </c>
      <c r="V67" s="255">
        <v>345</v>
      </c>
      <c r="W67" s="255">
        <v>32</v>
      </c>
      <c r="X67" s="255">
        <v>55</v>
      </c>
      <c r="Y67" s="256">
        <v>1337</v>
      </c>
      <c r="Z67" s="254"/>
      <c r="AA67" s="255">
        <v>506</v>
      </c>
      <c r="AB67" s="255">
        <v>156</v>
      </c>
      <c r="AC67" s="255">
        <v>34</v>
      </c>
      <c r="AD67" s="255"/>
      <c r="AE67" s="256">
        <v>696</v>
      </c>
      <c r="AF67" s="254"/>
      <c r="AG67" s="255"/>
      <c r="AH67" s="254"/>
    </row>
    <row r="68" spans="1:34">
      <c r="A68" s="886"/>
      <c r="B68" s="239" t="s">
        <v>55</v>
      </c>
      <c r="C68" s="624">
        <f t="shared" si="32"/>
        <v>0.18831168831168832</v>
      </c>
      <c r="D68" s="625">
        <f t="shared" si="32"/>
        <v>0.21501706484641639</v>
      </c>
      <c r="E68" s="625">
        <f t="shared" si="32"/>
        <v>0.30114942528735633</v>
      </c>
      <c r="F68" s="625">
        <f t="shared" si="32"/>
        <v>0.28384615384615386</v>
      </c>
      <c r="G68" s="625">
        <f t="shared" si="32"/>
        <v>0.57480314960629919</v>
      </c>
      <c r="H68" s="626">
        <f t="shared" si="32"/>
        <v>0.32467532467532467</v>
      </c>
      <c r="I68" s="624">
        <f t="shared" si="32"/>
        <v>0.25119426751592355</v>
      </c>
      <c r="J68" s="624">
        <f t="shared" si="32"/>
        <v>0</v>
      </c>
      <c r="K68" s="625">
        <f t="shared" si="32"/>
        <v>0.26493799323562572</v>
      </c>
      <c r="L68" s="625">
        <f t="shared" si="32"/>
        <v>0.42327150084317033</v>
      </c>
      <c r="M68" s="625">
        <f t="shared" si="32"/>
        <v>0.3125</v>
      </c>
      <c r="N68" s="624">
        <f t="shared" si="33"/>
        <v>0.30501002004008015</v>
      </c>
      <c r="O68" s="624">
        <f t="shared" si="33"/>
        <v>0</v>
      </c>
      <c r="P68" s="625">
        <f t="shared" si="33"/>
        <v>0</v>
      </c>
      <c r="Q68" s="624">
        <f t="shared" si="33"/>
        <v>0</v>
      </c>
      <c r="R68" s="253"/>
      <c r="S68" s="850">
        <v>319</v>
      </c>
      <c r="T68" s="255">
        <v>189</v>
      </c>
      <c r="U68" s="255">
        <v>262</v>
      </c>
      <c r="V68" s="255">
        <v>369</v>
      </c>
      <c r="W68" s="255">
        <v>73</v>
      </c>
      <c r="X68" s="255">
        <v>50</v>
      </c>
      <c r="Y68" s="256">
        <v>1262</v>
      </c>
      <c r="Z68" s="254"/>
      <c r="AA68" s="255">
        <v>470</v>
      </c>
      <c r="AB68" s="255">
        <v>251</v>
      </c>
      <c r="AC68" s="255">
        <v>40</v>
      </c>
      <c r="AD68" s="255"/>
      <c r="AE68" s="256">
        <v>761</v>
      </c>
      <c r="AF68" s="254"/>
      <c r="AG68" s="255"/>
      <c r="AH68" s="254"/>
    </row>
    <row r="69" spans="1:34">
      <c r="A69" s="886"/>
      <c r="B69" s="239" t="s">
        <v>78</v>
      </c>
      <c r="C69" s="624">
        <f t="shared" si="32"/>
        <v>5.9031877213695395E-3</v>
      </c>
      <c r="D69" s="625">
        <f t="shared" si="32"/>
        <v>1.8202502844141068E-2</v>
      </c>
      <c r="E69" s="625">
        <f t="shared" si="32"/>
        <v>2.1839080459770115E-2</v>
      </c>
      <c r="F69" s="625">
        <f t="shared" si="32"/>
        <v>1.6923076923076923E-2</v>
      </c>
      <c r="G69" s="625">
        <f t="shared" si="32"/>
        <v>0</v>
      </c>
      <c r="H69" s="626">
        <f t="shared" si="32"/>
        <v>6.4935064935064939E-3</v>
      </c>
      <c r="I69" s="624">
        <f t="shared" si="32"/>
        <v>1.3535031847133758E-2</v>
      </c>
      <c r="J69" s="624">
        <f t="shared" si="32"/>
        <v>0</v>
      </c>
      <c r="K69" s="625">
        <f t="shared" si="32"/>
        <v>6.8207440811724918E-2</v>
      </c>
      <c r="L69" s="625">
        <f t="shared" si="32"/>
        <v>0.12647554806070826</v>
      </c>
      <c r="M69" s="625">
        <f t="shared" si="32"/>
        <v>0.1171875</v>
      </c>
      <c r="N69" s="624">
        <f t="shared" si="33"/>
        <v>8.4569138276553102E-2</v>
      </c>
      <c r="O69" s="624">
        <f t="shared" si="33"/>
        <v>0</v>
      </c>
      <c r="P69" s="625">
        <f t="shared" si="33"/>
        <v>0</v>
      </c>
      <c r="Q69" s="624">
        <f t="shared" si="33"/>
        <v>0</v>
      </c>
      <c r="R69" s="253"/>
      <c r="S69" s="850">
        <v>10</v>
      </c>
      <c r="T69" s="255">
        <v>16</v>
      </c>
      <c r="U69" s="255">
        <v>19</v>
      </c>
      <c r="V69" s="255">
        <v>22</v>
      </c>
      <c r="W69" s="255">
        <v>0</v>
      </c>
      <c r="X69" s="255">
        <v>1</v>
      </c>
      <c r="Y69" s="256">
        <v>68</v>
      </c>
      <c r="Z69" s="254"/>
      <c r="AA69" s="255">
        <v>121</v>
      </c>
      <c r="AB69" s="255">
        <v>75</v>
      </c>
      <c r="AC69" s="255">
        <v>15</v>
      </c>
      <c r="AD69" s="255"/>
      <c r="AE69" s="256">
        <v>211</v>
      </c>
      <c r="AF69" s="254"/>
      <c r="AG69" s="255"/>
      <c r="AH69" s="254"/>
    </row>
    <row r="70" spans="1:34">
      <c r="A70" s="886"/>
      <c r="B70" s="239" t="s">
        <v>32</v>
      </c>
      <c r="C70" s="624">
        <f t="shared" si="32"/>
        <v>0.15997638724911453</v>
      </c>
      <c r="D70" s="625">
        <f t="shared" si="32"/>
        <v>0.25711035267349258</v>
      </c>
      <c r="E70" s="625">
        <f t="shared" si="32"/>
        <v>0.22758620689655173</v>
      </c>
      <c r="F70" s="625">
        <f t="shared" si="32"/>
        <v>0.19615384615384615</v>
      </c>
      <c r="G70" s="625">
        <f t="shared" si="32"/>
        <v>0</v>
      </c>
      <c r="H70" s="626">
        <f t="shared" si="32"/>
        <v>6.4935064935064939E-3</v>
      </c>
      <c r="I70" s="624">
        <f t="shared" si="32"/>
        <v>0.18929140127388536</v>
      </c>
      <c r="J70" s="624">
        <f t="shared" si="32"/>
        <v>0</v>
      </c>
      <c r="K70" s="625">
        <f t="shared" si="32"/>
        <v>0</v>
      </c>
      <c r="L70" s="625">
        <f t="shared" si="32"/>
        <v>0</v>
      </c>
      <c r="M70" s="790">
        <f t="shared" si="32"/>
        <v>7.8125E-3</v>
      </c>
      <c r="N70" s="791">
        <f t="shared" si="33"/>
        <v>4.0080160320641282E-4</v>
      </c>
      <c r="O70" s="624">
        <f t="shared" si="33"/>
        <v>0</v>
      </c>
      <c r="P70" s="625">
        <f t="shared" si="33"/>
        <v>0</v>
      </c>
      <c r="Q70" s="624">
        <f t="shared" si="33"/>
        <v>0</v>
      </c>
      <c r="R70" s="253"/>
      <c r="S70" s="850">
        <v>271</v>
      </c>
      <c r="T70" s="255">
        <v>226</v>
      </c>
      <c r="U70" s="255">
        <v>198</v>
      </c>
      <c r="V70" s="255">
        <v>255</v>
      </c>
      <c r="W70" s="255">
        <v>0</v>
      </c>
      <c r="X70" s="255">
        <v>1</v>
      </c>
      <c r="Y70" s="256">
        <v>951</v>
      </c>
      <c r="Z70" s="254"/>
      <c r="AA70" s="255">
        <v>0</v>
      </c>
      <c r="AB70" s="255">
        <v>0</v>
      </c>
      <c r="AC70" s="255">
        <v>1</v>
      </c>
      <c r="AD70" s="255"/>
      <c r="AE70" s="256">
        <v>1</v>
      </c>
      <c r="AF70" s="254"/>
      <c r="AG70" s="255"/>
      <c r="AH70" s="254"/>
    </row>
    <row r="71" spans="1:34">
      <c r="A71" s="886"/>
      <c r="B71" s="239" t="s">
        <v>58</v>
      </c>
      <c r="C71" s="624">
        <f t="shared" si="32"/>
        <v>0</v>
      </c>
      <c r="D71" s="625">
        <f t="shared" si="32"/>
        <v>0</v>
      </c>
      <c r="E71" s="792">
        <f t="shared" si="32"/>
        <v>0</v>
      </c>
      <c r="F71" s="625">
        <f t="shared" si="32"/>
        <v>0</v>
      </c>
      <c r="G71" s="792">
        <f t="shared" si="32"/>
        <v>0</v>
      </c>
      <c r="H71" s="626">
        <f t="shared" si="32"/>
        <v>0</v>
      </c>
      <c r="I71" s="793">
        <f t="shared" si="32"/>
        <v>0</v>
      </c>
      <c r="J71" s="624">
        <f t="shared" si="32"/>
        <v>0</v>
      </c>
      <c r="K71" s="625">
        <f t="shared" si="32"/>
        <v>0</v>
      </c>
      <c r="L71" s="625">
        <f t="shared" si="32"/>
        <v>0</v>
      </c>
      <c r="M71" s="625">
        <f t="shared" si="32"/>
        <v>0</v>
      </c>
      <c r="N71" s="624">
        <f t="shared" si="33"/>
        <v>0</v>
      </c>
      <c r="O71" s="624">
        <f t="shared" si="33"/>
        <v>0</v>
      </c>
      <c r="P71" s="625">
        <f t="shared" si="33"/>
        <v>0</v>
      </c>
      <c r="Q71" s="624">
        <f t="shared" si="33"/>
        <v>0</v>
      </c>
      <c r="R71" s="253"/>
      <c r="S71" s="850">
        <v>0</v>
      </c>
      <c r="T71" s="255">
        <v>0</v>
      </c>
      <c r="U71" s="255">
        <v>0</v>
      </c>
      <c r="V71" s="255">
        <v>0</v>
      </c>
      <c r="W71" s="255">
        <v>0</v>
      </c>
      <c r="X71" s="255">
        <v>0</v>
      </c>
      <c r="Y71" s="256">
        <v>0</v>
      </c>
      <c r="Z71" s="254"/>
      <c r="AA71" s="255">
        <v>0</v>
      </c>
      <c r="AB71" s="255">
        <v>0</v>
      </c>
      <c r="AC71" s="255">
        <v>0</v>
      </c>
      <c r="AD71" s="255"/>
      <c r="AE71" s="256">
        <v>0</v>
      </c>
      <c r="AF71" s="254"/>
      <c r="AG71" s="255"/>
      <c r="AH71" s="254"/>
    </row>
    <row r="72" spans="1:34">
      <c r="A72" s="887"/>
      <c r="B72" s="436" t="s">
        <v>59</v>
      </c>
      <c r="C72" s="577">
        <f t="shared" si="32"/>
        <v>1</v>
      </c>
      <c r="D72" s="578">
        <f t="shared" si="32"/>
        <v>1</v>
      </c>
      <c r="E72" s="578">
        <f t="shared" si="32"/>
        <v>1</v>
      </c>
      <c r="F72" s="578">
        <f t="shared" si="32"/>
        <v>1</v>
      </c>
      <c r="G72" s="578">
        <f t="shared" si="32"/>
        <v>1</v>
      </c>
      <c r="H72" s="579">
        <f t="shared" si="32"/>
        <v>1</v>
      </c>
      <c r="I72" s="577">
        <f t="shared" si="32"/>
        <v>1</v>
      </c>
      <c r="J72" s="577">
        <f t="shared" si="32"/>
        <v>0</v>
      </c>
      <c r="K72" s="578">
        <f t="shared" si="32"/>
        <v>1</v>
      </c>
      <c r="L72" s="578">
        <f t="shared" si="32"/>
        <v>1</v>
      </c>
      <c r="M72" s="578">
        <f t="shared" si="32"/>
        <v>1</v>
      </c>
      <c r="N72" s="577">
        <f t="shared" si="33"/>
        <v>1</v>
      </c>
      <c r="O72" s="577">
        <f t="shared" si="33"/>
        <v>0</v>
      </c>
      <c r="P72" s="578">
        <f t="shared" si="33"/>
        <v>0</v>
      </c>
      <c r="Q72" s="577">
        <f t="shared" si="33"/>
        <v>0</v>
      </c>
      <c r="R72" s="264"/>
      <c r="S72" s="853">
        <v>1694</v>
      </c>
      <c r="T72" s="266">
        <v>879</v>
      </c>
      <c r="U72" s="266">
        <v>870</v>
      </c>
      <c r="V72" s="266">
        <v>1300</v>
      </c>
      <c r="W72" s="266">
        <v>127</v>
      </c>
      <c r="X72" s="266">
        <v>154</v>
      </c>
      <c r="Y72" s="267">
        <v>5024</v>
      </c>
      <c r="Z72" s="265"/>
      <c r="AA72" s="266">
        <v>1774</v>
      </c>
      <c r="AB72" s="266">
        <v>593</v>
      </c>
      <c r="AC72" s="266">
        <v>128</v>
      </c>
      <c r="AD72" s="266"/>
      <c r="AE72" s="267">
        <v>2495</v>
      </c>
      <c r="AF72" s="265"/>
      <c r="AG72" s="266"/>
      <c r="AH72" s="265"/>
    </row>
    <row r="73" spans="1:34">
      <c r="A73" s="883" t="s">
        <v>11</v>
      </c>
      <c r="B73" s="240" t="s">
        <v>53</v>
      </c>
      <c r="C73" s="613">
        <f t="shared" ref="C73:M79" si="34">IF(S$79&gt;0,(S73/S$79),0)</f>
        <v>0.2252141982864137</v>
      </c>
      <c r="D73" s="614">
        <f t="shared" si="34"/>
        <v>0.20868824531516184</v>
      </c>
      <c r="E73" s="614">
        <f t="shared" si="34"/>
        <v>0</v>
      </c>
      <c r="F73" s="614">
        <f t="shared" si="34"/>
        <v>0.17226890756302521</v>
      </c>
      <c r="G73" s="614">
        <f t="shared" si="34"/>
        <v>0.25185185185185183</v>
      </c>
      <c r="H73" s="615">
        <f t="shared" si="34"/>
        <v>0</v>
      </c>
      <c r="I73" s="613">
        <f t="shared" si="34"/>
        <v>0.21322023983620941</v>
      </c>
      <c r="J73" s="613">
        <f t="shared" si="34"/>
        <v>0</v>
      </c>
      <c r="K73" s="614">
        <f t="shared" si="34"/>
        <v>0</v>
      </c>
      <c r="L73" s="614">
        <f t="shared" si="34"/>
        <v>0</v>
      </c>
      <c r="M73" s="614">
        <f t="shared" si="34"/>
        <v>0</v>
      </c>
      <c r="N73" s="613">
        <f t="shared" ref="N73:Q79" si="35">IF(AE$79&gt;0,(AE73/AE$79),0)</f>
        <v>0</v>
      </c>
      <c r="O73" s="788">
        <f t="shared" si="35"/>
        <v>0</v>
      </c>
      <c r="P73" s="614">
        <f t="shared" si="35"/>
        <v>0</v>
      </c>
      <c r="Q73" s="788">
        <f t="shared" si="35"/>
        <v>0</v>
      </c>
      <c r="R73" s="244"/>
      <c r="S73" s="847">
        <v>368</v>
      </c>
      <c r="T73" s="246">
        <v>245</v>
      </c>
      <c r="U73" s="246"/>
      <c r="V73" s="246">
        <v>82</v>
      </c>
      <c r="W73" s="246">
        <v>34</v>
      </c>
      <c r="X73" s="246"/>
      <c r="Y73" s="247">
        <v>729</v>
      </c>
      <c r="Z73" s="245"/>
      <c r="AA73" s="246">
        <v>0</v>
      </c>
      <c r="AB73" s="246">
        <v>0</v>
      </c>
      <c r="AC73" s="246">
        <v>0</v>
      </c>
      <c r="AD73" s="246"/>
      <c r="AE73" s="247">
        <v>0</v>
      </c>
      <c r="AF73" s="245"/>
      <c r="AG73" s="246"/>
      <c r="AH73" s="245"/>
    </row>
    <row r="74" spans="1:34">
      <c r="A74" s="886"/>
      <c r="B74" s="239" t="s">
        <v>93</v>
      </c>
      <c r="C74" s="624">
        <f t="shared" si="34"/>
        <v>0.26744186046511625</v>
      </c>
      <c r="D74" s="625">
        <f t="shared" si="34"/>
        <v>0.27086882453151617</v>
      </c>
      <c r="E74" s="625">
        <f t="shared" si="34"/>
        <v>0</v>
      </c>
      <c r="F74" s="625">
        <f t="shared" si="34"/>
        <v>0.24159663865546219</v>
      </c>
      <c r="G74" s="625">
        <f t="shared" si="34"/>
        <v>0.13333333333333333</v>
      </c>
      <c r="H74" s="626">
        <f t="shared" si="34"/>
        <v>0</v>
      </c>
      <c r="I74" s="624">
        <f t="shared" si="34"/>
        <v>0.25972506580871602</v>
      </c>
      <c r="J74" s="624">
        <f t="shared" si="34"/>
        <v>0</v>
      </c>
      <c r="K74" s="625">
        <f t="shared" si="34"/>
        <v>0</v>
      </c>
      <c r="L74" s="625">
        <f t="shared" si="34"/>
        <v>0</v>
      </c>
      <c r="M74" s="625">
        <f t="shared" si="34"/>
        <v>0</v>
      </c>
      <c r="N74" s="624">
        <f t="shared" si="35"/>
        <v>0</v>
      </c>
      <c r="O74" s="624">
        <f t="shared" si="35"/>
        <v>0</v>
      </c>
      <c r="P74" s="625">
        <f t="shared" si="35"/>
        <v>0</v>
      </c>
      <c r="Q74" s="624">
        <f t="shared" si="35"/>
        <v>0</v>
      </c>
      <c r="R74" s="253"/>
      <c r="S74" s="850">
        <v>437</v>
      </c>
      <c r="T74" s="255">
        <v>318</v>
      </c>
      <c r="U74" s="255"/>
      <c r="V74" s="255">
        <v>115</v>
      </c>
      <c r="W74" s="255">
        <v>18</v>
      </c>
      <c r="X74" s="255"/>
      <c r="Y74" s="256">
        <v>888</v>
      </c>
      <c r="Z74" s="254"/>
      <c r="AA74" s="255">
        <v>0</v>
      </c>
      <c r="AB74" s="255">
        <v>0</v>
      </c>
      <c r="AC74" s="255">
        <v>0</v>
      </c>
      <c r="AD74" s="255"/>
      <c r="AE74" s="256">
        <v>0</v>
      </c>
      <c r="AF74" s="254"/>
      <c r="AG74" s="255"/>
      <c r="AH74" s="254"/>
    </row>
    <row r="75" spans="1:34">
      <c r="A75" s="886"/>
      <c r="B75" s="239" t="s">
        <v>55</v>
      </c>
      <c r="C75" s="624">
        <f t="shared" si="34"/>
        <v>0.29253365973072215</v>
      </c>
      <c r="D75" s="625">
        <f t="shared" si="34"/>
        <v>0.30153321976149916</v>
      </c>
      <c r="E75" s="625">
        <f t="shared" si="34"/>
        <v>0</v>
      </c>
      <c r="F75" s="625">
        <f t="shared" si="34"/>
        <v>0.35084033613445376</v>
      </c>
      <c r="G75" s="625">
        <f t="shared" si="34"/>
        <v>0.31111111111111112</v>
      </c>
      <c r="H75" s="626">
        <f t="shared" si="34"/>
        <v>0</v>
      </c>
      <c r="I75" s="624">
        <f t="shared" si="34"/>
        <v>0.30447499268792044</v>
      </c>
      <c r="J75" s="624">
        <f t="shared" si="34"/>
        <v>0</v>
      </c>
      <c r="K75" s="625">
        <f t="shared" si="34"/>
        <v>0</v>
      </c>
      <c r="L75" s="625">
        <f t="shared" si="34"/>
        <v>0</v>
      </c>
      <c r="M75" s="625">
        <f t="shared" si="34"/>
        <v>0</v>
      </c>
      <c r="N75" s="624">
        <f t="shared" si="35"/>
        <v>0</v>
      </c>
      <c r="O75" s="624">
        <f t="shared" si="35"/>
        <v>0</v>
      </c>
      <c r="P75" s="625">
        <f t="shared" si="35"/>
        <v>0</v>
      </c>
      <c r="Q75" s="624">
        <f t="shared" si="35"/>
        <v>0</v>
      </c>
      <c r="R75" s="253"/>
      <c r="S75" s="850">
        <v>478</v>
      </c>
      <c r="T75" s="255">
        <v>354</v>
      </c>
      <c r="U75" s="255"/>
      <c r="V75" s="255">
        <v>167</v>
      </c>
      <c r="W75" s="255">
        <v>42</v>
      </c>
      <c r="X75" s="255"/>
      <c r="Y75" s="256">
        <v>1041</v>
      </c>
      <c r="Z75" s="254"/>
      <c r="AA75" s="255">
        <v>0</v>
      </c>
      <c r="AB75" s="255">
        <v>0</v>
      </c>
      <c r="AC75" s="255">
        <v>0</v>
      </c>
      <c r="AD75" s="255"/>
      <c r="AE75" s="256">
        <v>0</v>
      </c>
      <c r="AF75" s="254"/>
      <c r="AG75" s="255"/>
      <c r="AH75" s="254"/>
    </row>
    <row r="76" spans="1:34">
      <c r="A76" s="886"/>
      <c r="B76" s="239" t="s">
        <v>78</v>
      </c>
      <c r="C76" s="624">
        <f t="shared" si="34"/>
        <v>0.17931456548347613</v>
      </c>
      <c r="D76" s="625">
        <f t="shared" si="34"/>
        <v>0.18739352640545145</v>
      </c>
      <c r="E76" s="625">
        <f t="shared" si="34"/>
        <v>0</v>
      </c>
      <c r="F76" s="625">
        <f t="shared" si="34"/>
        <v>0.23529411764705882</v>
      </c>
      <c r="G76" s="625">
        <f t="shared" si="34"/>
        <v>0.3037037037037037</v>
      </c>
      <c r="H76" s="626">
        <f t="shared" si="34"/>
        <v>0</v>
      </c>
      <c r="I76" s="624">
        <f t="shared" si="34"/>
        <v>0.19479379935653701</v>
      </c>
      <c r="J76" s="624">
        <f t="shared" si="34"/>
        <v>0</v>
      </c>
      <c r="K76" s="625">
        <f t="shared" si="34"/>
        <v>0</v>
      </c>
      <c r="L76" s="625">
        <f t="shared" si="34"/>
        <v>0</v>
      </c>
      <c r="M76" s="625">
        <f t="shared" si="34"/>
        <v>0</v>
      </c>
      <c r="N76" s="624">
        <f t="shared" si="35"/>
        <v>0</v>
      </c>
      <c r="O76" s="624">
        <f t="shared" si="35"/>
        <v>0</v>
      </c>
      <c r="P76" s="625">
        <f t="shared" si="35"/>
        <v>0</v>
      </c>
      <c r="Q76" s="624">
        <f t="shared" si="35"/>
        <v>0</v>
      </c>
      <c r="R76" s="253"/>
      <c r="S76" s="850">
        <v>293</v>
      </c>
      <c r="T76" s="255">
        <v>220</v>
      </c>
      <c r="U76" s="255"/>
      <c r="V76" s="255">
        <v>112</v>
      </c>
      <c r="W76" s="255">
        <v>41</v>
      </c>
      <c r="X76" s="255"/>
      <c r="Y76" s="256">
        <v>666</v>
      </c>
      <c r="Z76" s="254"/>
      <c r="AA76" s="255">
        <v>0</v>
      </c>
      <c r="AB76" s="255">
        <v>0</v>
      </c>
      <c r="AC76" s="255">
        <v>0</v>
      </c>
      <c r="AD76" s="255"/>
      <c r="AE76" s="256">
        <v>0</v>
      </c>
      <c r="AF76" s="254"/>
      <c r="AG76" s="255"/>
      <c r="AH76" s="254"/>
    </row>
    <row r="77" spans="1:34">
      <c r="A77" s="886"/>
      <c r="B77" s="239" t="s">
        <v>32</v>
      </c>
      <c r="C77" s="624">
        <f t="shared" si="34"/>
        <v>3.5495716034271728E-2</v>
      </c>
      <c r="D77" s="625">
        <f t="shared" si="34"/>
        <v>3.1516183986371377E-2</v>
      </c>
      <c r="E77" s="625">
        <f t="shared" si="34"/>
        <v>0</v>
      </c>
      <c r="F77" s="625">
        <f t="shared" si="34"/>
        <v>0</v>
      </c>
      <c r="G77" s="625">
        <f t="shared" si="34"/>
        <v>0</v>
      </c>
      <c r="H77" s="626">
        <f t="shared" si="34"/>
        <v>0</v>
      </c>
      <c r="I77" s="624">
        <f t="shared" si="34"/>
        <v>2.7785902310617141E-2</v>
      </c>
      <c r="J77" s="624">
        <f t="shared" si="34"/>
        <v>0</v>
      </c>
      <c r="K77" s="625">
        <f t="shared" si="34"/>
        <v>0</v>
      </c>
      <c r="L77" s="625">
        <f t="shared" si="34"/>
        <v>0</v>
      </c>
      <c r="M77" s="625">
        <f t="shared" si="34"/>
        <v>0</v>
      </c>
      <c r="N77" s="624">
        <f t="shared" si="35"/>
        <v>0</v>
      </c>
      <c r="O77" s="624">
        <f t="shared" si="35"/>
        <v>0</v>
      </c>
      <c r="P77" s="625">
        <f t="shared" si="35"/>
        <v>0</v>
      </c>
      <c r="Q77" s="624">
        <f t="shared" si="35"/>
        <v>0</v>
      </c>
      <c r="R77" s="253"/>
      <c r="S77" s="850">
        <v>58</v>
      </c>
      <c r="T77" s="255">
        <v>37</v>
      </c>
      <c r="U77" s="255"/>
      <c r="V77" s="255">
        <v>0</v>
      </c>
      <c r="W77" s="255">
        <v>0</v>
      </c>
      <c r="X77" s="255"/>
      <c r="Y77" s="256">
        <v>95</v>
      </c>
      <c r="Z77" s="254"/>
      <c r="AA77" s="255">
        <v>0</v>
      </c>
      <c r="AB77" s="255">
        <v>0</v>
      </c>
      <c r="AC77" s="255">
        <v>0</v>
      </c>
      <c r="AD77" s="255"/>
      <c r="AE77" s="256">
        <v>0</v>
      </c>
      <c r="AF77" s="254"/>
      <c r="AG77" s="255"/>
      <c r="AH77" s="254"/>
    </row>
    <row r="78" spans="1:34">
      <c r="A78" s="886"/>
      <c r="B78" s="239" t="s">
        <v>58</v>
      </c>
      <c r="C78" s="624">
        <f t="shared" si="34"/>
        <v>0</v>
      </c>
      <c r="D78" s="625">
        <f t="shared" si="34"/>
        <v>0</v>
      </c>
      <c r="E78" s="792">
        <f t="shared" si="34"/>
        <v>0</v>
      </c>
      <c r="F78" s="625">
        <f t="shared" si="34"/>
        <v>0</v>
      </c>
      <c r="G78" s="792">
        <f t="shared" si="34"/>
        <v>0</v>
      </c>
      <c r="H78" s="626">
        <f t="shared" si="34"/>
        <v>0</v>
      </c>
      <c r="I78" s="793">
        <f t="shared" si="34"/>
        <v>0</v>
      </c>
      <c r="J78" s="624">
        <f t="shared" si="34"/>
        <v>0</v>
      </c>
      <c r="K78" s="625">
        <f t="shared" si="34"/>
        <v>1</v>
      </c>
      <c r="L78" s="625">
        <f t="shared" si="34"/>
        <v>1</v>
      </c>
      <c r="M78" s="625">
        <f t="shared" si="34"/>
        <v>1</v>
      </c>
      <c r="N78" s="624">
        <f t="shared" si="35"/>
        <v>1</v>
      </c>
      <c r="O78" s="624">
        <f t="shared" si="35"/>
        <v>0</v>
      </c>
      <c r="P78" s="625">
        <f t="shared" si="35"/>
        <v>0</v>
      </c>
      <c r="Q78" s="624">
        <f t="shared" si="35"/>
        <v>0</v>
      </c>
      <c r="R78" s="253"/>
      <c r="S78" s="850">
        <v>0</v>
      </c>
      <c r="T78" s="255">
        <v>0</v>
      </c>
      <c r="U78" s="255"/>
      <c r="V78" s="255">
        <v>0</v>
      </c>
      <c r="W78" s="255">
        <v>0</v>
      </c>
      <c r="X78" s="255"/>
      <c r="Y78" s="256">
        <v>0</v>
      </c>
      <c r="Z78" s="254"/>
      <c r="AA78" s="255">
        <v>1114.5</v>
      </c>
      <c r="AB78" s="255">
        <v>1196.0999999999999</v>
      </c>
      <c r="AC78" s="255">
        <v>145</v>
      </c>
      <c r="AD78" s="255"/>
      <c r="AE78" s="256">
        <v>2455.6</v>
      </c>
      <c r="AF78" s="254"/>
      <c r="AG78" s="255"/>
      <c r="AH78" s="254"/>
    </row>
    <row r="79" spans="1:34">
      <c r="A79" s="887"/>
      <c r="B79" s="436" t="s">
        <v>59</v>
      </c>
      <c r="C79" s="577">
        <f t="shared" si="34"/>
        <v>1</v>
      </c>
      <c r="D79" s="578">
        <f t="shared" si="34"/>
        <v>1</v>
      </c>
      <c r="E79" s="578">
        <f t="shared" si="34"/>
        <v>0</v>
      </c>
      <c r="F79" s="578">
        <f t="shared" si="34"/>
        <v>1</v>
      </c>
      <c r="G79" s="578">
        <f t="shared" si="34"/>
        <v>1</v>
      </c>
      <c r="H79" s="579">
        <f t="shared" si="34"/>
        <v>0</v>
      </c>
      <c r="I79" s="577">
        <f t="shared" si="34"/>
        <v>1</v>
      </c>
      <c r="J79" s="577">
        <f t="shared" si="34"/>
        <v>0</v>
      </c>
      <c r="K79" s="578">
        <f t="shared" si="34"/>
        <v>1</v>
      </c>
      <c r="L79" s="578">
        <f t="shared" si="34"/>
        <v>1</v>
      </c>
      <c r="M79" s="578">
        <f t="shared" si="34"/>
        <v>1</v>
      </c>
      <c r="N79" s="577">
        <f t="shared" si="35"/>
        <v>1</v>
      </c>
      <c r="O79" s="577">
        <f t="shared" si="35"/>
        <v>0</v>
      </c>
      <c r="P79" s="578">
        <f t="shared" si="35"/>
        <v>0</v>
      </c>
      <c r="Q79" s="577">
        <f t="shared" si="35"/>
        <v>0</v>
      </c>
      <c r="R79" s="264"/>
      <c r="S79" s="853">
        <v>1634</v>
      </c>
      <c r="T79" s="266">
        <v>1174</v>
      </c>
      <c r="U79" s="266"/>
      <c r="V79" s="266">
        <v>476</v>
      </c>
      <c r="W79" s="266">
        <v>135</v>
      </c>
      <c r="X79" s="266"/>
      <c r="Y79" s="267">
        <v>3419</v>
      </c>
      <c r="Z79" s="265"/>
      <c r="AA79" s="266">
        <v>1114.5</v>
      </c>
      <c r="AB79" s="266">
        <v>1196.0999999999999</v>
      </c>
      <c r="AC79" s="266">
        <v>145</v>
      </c>
      <c r="AD79" s="266"/>
      <c r="AE79" s="267">
        <v>2455.6</v>
      </c>
      <c r="AF79" s="265"/>
      <c r="AG79" s="266"/>
      <c r="AH79" s="265"/>
    </row>
    <row r="80" spans="1:34">
      <c r="A80" s="883" t="s">
        <v>12</v>
      </c>
      <c r="B80" s="240" t="s">
        <v>53</v>
      </c>
      <c r="C80" s="613">
        <f t="shared" ref="C80:M86" si="36">IF(S$86&gt;0,(S80/S$86),0)</f>
        <v>0.28640973630831645</v>
      </c>
      <c r="D80" s="614">
        <f t="shared" si="36"/>
        <v>0.17708333333333334</v>
      </c>
      <c r="E80" s="614">
        <f t="shared" si="36"/>
        <v>0.23971880492091388</v>
      </c>
      <c r="F80" s="614">
        <f t="shared" si="36"/>
        <v>0.2074074074074074</v>
      </c>
      <c r="G80" s="614">
        <f t="shared" si="36"/>
        <v>0.16586921850079744</v>
      </c>
      <c r="H80" s="615">
        <f t="shared" si="36"/>
        <v>0.26536312849162014</v>
      </c>
      <c r="I80" s="613">
        <f t="shared" si="36"/>
        <v>0.25004864759680873</v>
      </c>
      <c r="J80" s="613">
        <f t="shared" si="36"/>
        <v>0</v>
      </c>
      <c r="K80" s="614">
        <f t="shared" si="36"/>
        <v>0</v>
      </c>
      <c r="L80" s="614">
        <f t="shared" si="36"/>
        <v>0</v>
      </c>
      <c r="M80" s="614">
        <f t="shared" si="36"/>
        <v>0</v>
      </c>
      <c r="N80" s="613">
        <f t="shared" ref="N80:Q86" si="37">IF(AE$86&gt;0,(AE80/AE$86),0)</f>
        <v>0</v>
      </c>
      <c r="O80" s="788">
        <f t="shared" si="37"/>
        <v>0</v>
      </c>
      <c r="P80" s="614">
        <f t="shared" si="37"/>
        <v>0</v>
      </c>
      <c r="Q80" s="788">
        <f t="shared" si="37"/>
        <v>0</v>
      </c>
      <c r="R80" s="244"/>
      <c r="S80" s="847">
        <v>1412</v>
      </c>
      <c r="T80" s="246">
        <v>221</v>
      </c>
      <c r="U80" s="246">
        <v>682</v>
      </c>
      <c r="V80" s="246">
        <v>56</v>
      </c>
      <c r="W80" s="246">
        <v>104</v>
      </c>
      <c r="X80" s="246">
        <v>95</v>
      </c>
      <c r="Y80" s="247">
        <v>2570</v>
      </c>
      <c r="Z80" s="245"/>
      <c r="AA80" s="246">
        <v>0</v>
      </c>
      <c r="AB80" s="246">
        <v>0</v>
      </c>
      <c r="AC80" s="246">
        <v>0</v>
      </c>
      <c r="AD80" s="246"/>
      <c r="AE80" s="247">
        <v>0</v>
      </c>
      <c r="AF80" s="245"/>
      <c r="AG80" s="246"/>
      <c r="AH80" s="245"/>
    </row>
    <row r="81" spans="1:34">
      <c r="A81" s="886"/>
      <c r="B81" s="239" t="s">
        <v>93</v>
      </c>
      <c r="C81" s="624">
        <f t="shared" si="36"/>
        <v>0.26511156186612578</v>
      </c>
      <c r="D81" s="625">
        <f t="shared" si="36"/>
        <v>0.35096153846153844</v>
      </c>
      <c r="E81" s="625">
        <f t="shared" si="36"/>
        <v>0.30966608084358521</v>
      </c>
      <c r="F81" s="625">
        <f t="shared" si="36"/>
        <v>0.41851851851851851</v>
      </c>
      <c r="G81" s="625">
        <f t="shared" si="36"/>
        <v>0.26475279106858052</v>
      </c>
      <c r="H81" s="626">
        <f t="shared" si="36"/>
        <v>0.28491620111731841</v>
      </c>
      <c r="I81" s="624">
        <f t="shared" si="36"/>
        <v>0.29256664720762793</v>
      </c>
      <c r="J81" s="624">
        <f t="shared" si="36"/>
        <v>0</v>
      </c>
      <c r="K81" s="625">
        <f t="shared" si="36"/>
        <v>0</v>
      </c>
      <c r="L81" s="625">
        <f t="shared" si="36"/>
        <v>0</v>
      </c>
      <c r="M81" s="625">
        <f t="shared" si="36"/>
        <v>7.4962518740629683E-4</v>
      </c>
      <c r="N81" s="624">
        <f t="shared" si="37"/>
        <v>1.51952590791673E-4</v>
      </c>
      <c r="O81" s="624">
        <f t="shared" si="37"/>
        <v>0</v>
      </c>
      <c r="P81" s="625">
        <f t="shared" si="37"/>
        <v>0</v>
      </c>
      <c r="Q81" s="624">
        <f t="shared" si="37"/>
        <v>0</v>
      </c>
      <c r="R81" s="253"/>
      <c r="S81" s="850">
        <v>1307</v>
      </c>
      <c r="T81" s="255">
        <v>438</v>
      </c>
      <c r="U81" s="255">
        <v>881</v>
      </c>
      <c r="V81" s="255">
        <v>113</v>
      </c>
      <c r="W81" s="255">
        <v>166</v>
      </c>
      <c r="X81" s="255">
        <v>102</v>
      </c>
      <c r="Y81" s="256">
        <v>3007</v>
      </c>
      <c r="Z81" s="254"/>
      <c r="AA81" s="255">
        <v>0</v>
      </c>
      <c r="AB81" s="255">
        <v>0</v>
      </c>
      <c r="AC81" s="255">
        <v>1</v>
      </c>
      <c r="AD81" s="255"/>
      <c r="AE81" s="256">
        <v>1</v>
      </c>
      <c r="AF81" s="254"/>
      <c r="AG81" s="255"/>
      <c r="AH81" s="254"/>
    </row>
    <row r="82" spans="1:34">
      <c r="A82" s="886"/>
      <c r="B82" s="239" t="s">
        <v>55</v>
      </c>
      <c r="C82" s="624">
        <f t="shared" si="36"/>
        <v>0.18215010141987831</v>
      </c>
      <c r="D82" s="625">
        <f t="shared" si="36"/>
        <v>0.20753205128205129</v>
      </c>
      <c r="E82" s="625">
        <f t="shared" si="36"/>
        <v>0.248506151142355</v>
      </c>
      <c r="F82" s="625">
        <f t="shared" si="36"/>
        <v>0.23333333333333334</v>
      </c>
      <c r="G82" s="625">
        <f t="shared" si="36"/>
        <v>0.29505582137161085</v>
      </c>
      <c r="H82" s="626">
        <f t="shared" si="36"/>
        <v>0.21229050279329609</v>
      </c>
      <c r="I82" s="624">
        <f t="shared" si="36"/>
        <v>0.21288188363494842</v>
      </c>
      <c r="J82" s="624">
        <f t="shared" si="36"/>
        <v>0</v>
      </c>
      <c r="K82" s="625">
        <f t="shared" si="36"/>
        <v>0</v>
      </c>
      <c r="L82" s="625">
        <f t="shared" si="36"/>
        <v>0</v>
      </c>
      <c r="M82" s="625">
        <f t="shared" si="36"/>
        <v>0</v>
      </c>
      <c r="N82" s="624">
        <f t="shared" si="37"/>
        <v>0</v>
      </c>
      <c r="O82" s="624">
        <f t="shared" si="37"/>
        <v>0</v>
      </c>
      <c r="P82" s="625">
        <f t="shared" si="37"/>
        <v>0</v>
      </c>
      <c r="Q82" s="624">
        <f t="shared" si="37"/>
        <v>0</v>
      </c>
      <c r="R82" s="253"/>
      <c r="S82" s="850">
        <v>898</v>
      </c>
      <c r="T82" s="255">
        <v>259</v>
      </c>
      <c r="U82" s="255">
        <v>707</v>
      </c>
      <c r="V82" s="255">
        <v>63</v>
      </c>
      <c r="W82" s="255">
        <v>185</v>
      </c>
      <c r="X82" s="255">
        <v>76</v>
      </c>
      <c r="Y82" s="256">
        <v>2188</v>
      </c>
      <c r="Z82" s="254"/>
      <c r="AA82" s="255">
        <v>0</v>
      </c>
      <c r="AB82" s="255">
        <v>0</v>
      </c>
      <c r="AC82" s="255">
        <v>0</v>
      </c>
      <c r="AD82" s="255"/>
      <c r="AE82" s="256">
        <v>0</v>
      </c>
      <c r="AF82" s="254"/>
      <c r="AG82" s="255"/>
      <c r="AH82" s="254"/>
    </row>
    <row r="83" spans="1:34">
      <c r="A83" s="886"/>
      <c r="B83" s="239" t="s">
        <v>78</v>
      </c>
      <c r="C83" s="624">
        <f t="shared" si="36"/>
        <v>1.8255578093306288E-3</v>
      </c>
      <c r="D83" s="790">
        <f t="shared" si="36"/>
        <v>7.2115384615384619E-3</v>
      </c>
      <c r="E83" s="625">
        <f t="shared" si="36"/>
        <v>2.3198594024604568E-2</v>
      </c>
      <c r="F83" s="625">
        <f t="shared" si="36"/>
        <v>1.8518518518518517E-2</v>
      </c>
      <c r="G83" s="625">
        <f t="shared" si="36"/>
        <v>7.8149920255183414E-2</v>
      </c>
      <c r="H83" s="626">
        <f t="shared" si="36"/>
        <v>1.11731843575419E-2</v>
      </c>
      <c r="I83" s="624">
        <f t="shared" si="36"/>
        <v>1.3815917493675813E-2</v>
      </c>
      <c r="J83" s="624">
        <f t="shared" si="36"/>
        <v>0</v>
      </c>
      <c r="K83" s="625">
        <f t="shared" si="36"/>
        <v>0</v>
      </c>
      <c r="L83" s="625">
        <f t="shared" si="36"/>
        <v>3.2744665194996324E-2</v>
      </c>
      <c r="M83" s="625">
        <f t="shared" si="36"/>
        <v>8.4707646176911539E-2</v>
      </c>
      <c r="N83" s="624">
        <f t="shared" si="37"/>
        <v>3.0694423339917946E-2</v>
      </c>
      <c r="O83" s="624">
        <f t="shared" si="37"/>
        <v>0</v>
      </c>
      <c r="P83" s="625">
        <f t="shared" si="37"/>
        <v>0</v>
      </c>
      <c r="Q83" s="624">
        <f t="shared" si="37"/>
        <v>0</v>
      </c>
      <c r="R83" s="253"/>
      <c r="S83" s="850">
        <v>9</v>
      </c>
      <c r="T83" s="255">
        <v>9</v>
      </c>
      <c r="U83" s="255">
        <v>66</v>
      </c>
      <c r="V83" s="255">
        <v>5</v>
      </c>
      <c r="W83" s="255">
        <v>49</v>
      </c>
      <c r="X83" s="255">
        <v>4</v>
      </c>
      <c r="Y83" s="256">
        <v>142</v>
      </c>
      <c r="Z83" s="254"/>
      <c r="AA83" s="255">
        <v>0</v>
      </c>
      <c r="AB83" s="255">
        <v>89</v>
      </c>
      <c r="AC83" s="255">
        <v>113</v>
      </c>
      <c r="AD83" s="255"/>
      <c r="AE83" s="256">
        <v>202</v>
      </c>
      <c r="AF83" s="254"/>
      <c r="AG83" s="255"/>
      <c r="AH83" s="254"/>
    </row>
    <row r="84" spans="1:34">
      <c r="A84" s="886"/>
      <c r="B84" s="239" t="s">
        <v>32</v>
      </c>
      <c r="C84" s="624">
        <f t="shared" si="36"/>
        <v>0.26450304259634888</v>
      </c>
      <c r="D84" s="625">
        <f t="shared" si="36"/>
        <v>0.25721153846153844</v>
      </c>
      <c r="E84" s="625">
        <f t="shared" si="36"/>
        <v>0.1789103690685413</v>
      </c>
      <c r="F84" s="625">
        <f t="shared" si="36"/>
        <v>0.12222222222222222</v>
      </c>
      <c r="G84" s="625">
        <f t="shared" si="36"/>
        <v>0.19617224880382775</v>
      </c>
      <c r="H84" s="626">
        <f t="shared" si="36"/>
        <v>0.22625698324022347</v>
      </c>
      <c r="I84" s="624">
        <f t="shared" si="36"/>
        <v>0.23068690406693909</v>
      </c>
      <c r="J84" s="624">
        <f t="shared" si="36"/>
        <v>0</v>
      </c>
      <c r="K84" s="625">
        <f t="shared" si="36"/>
        <v>0</v>
      </c>
      <c r="L84" s="625">
        <f t="shared" si="36"/>
        <v>1.4716703458425313E-3</v>
      </c>
      <c r="M84" s="625">
        <f t="shared" si="36"/>
        <v>6.746626686656672E-3</v>
      </c>
      <c r="N84" s="624">
        <f t="shared" si="37"/>
        <v>1.975383680291749E-3</v>
      </c>
      <c r="O84" s="624">
        <f t="shared" si="37"/>
        <v>0</v>
      </c>
      <c r="P84" s="625">
        <f t="shared" si="37"/>
        <v>0</v>
      </c>
      <c r="Q84" s="624">
        <f t="shared" si="37"/>
        <v>0</v>
      </c>
      <c r="R84" s="253"/>
      <c r="S84" s="850">
        <v>1304</v>
      </c>
      <c r="T84" s="255">
        <v>321</v>
      </c>
      <c r="U84" s="255">
        <v>509</v>
      </c>
      <c r="V84" s="255">
        <v>33</v>
      </c>
      <c r="W84" s="255">
        <v>123</v>
      </c>
      <c r="X84" s="255">
        <v>81</v>
      </c>
      <c r="Y84" s="256">
        <v>2371</v>
      </c>
      <c r="Z84" s="254"/>
      <c r="AA84" s="255">
        <v>0</v>
      </c>
      <c r="AB84" s="255">
        <v>4</v>
      </c>
      <c r="AC84" s="255">
        <v>9</v>
      </c>
      <c r="AD84" s="255"/>
      <c r="AE84" s="256">
        <v>13</v>
      </c>
      <c r="AF84" s="254"/>
      <c r="AG84" s="255"/>
      <c r="AH84" s="254"/>
    </row>
    <row r="85" spans="1:34">
      <c r="A85" s="886"/>
      <c r="B85" s="239" t="s">
        <v>58</v>
      </c>
      <c r="C85" s="624">
        <f t="shared" si="36"/>
        <v>0</v>
      </c>
      <c r="D85" s="625">
        <f t="shared" si="36"/>
        <v>0</v>
      </c>
      <c r="E85" s="792">
        <f t="shared" si="36"/>
        <v>0</v>
      </c>
      <c r="F85" s="625">
        <f t="shared" si="36"/>
        <v>0</v>
      </c>
      <c r="G85" s="792">
        <f t="shared" si="36"/>
        <v>0</v>
      </c>
      <c r="H85" s="626">
        <f t="shared" si="36"/>
        <v>0</v>
      </c>
      <c r="I85" s="793">
        <f t="shared" si="36"/>
        <v>0</v>
      </c>
      <c r="J85" s="624">
        <f t="shared" si="36"/>
        <v>0</v>
      </c>
      <c r="K85" s="625">
        <f t="shared" si="36"/>
        <v>1</v>
      </c>
      <c r="L85" s="625">
        <f t="shared" si="36"/>
        <v>0.9657836644591612</v>
      </c>
      <c r="M85" s="625">
        <f t="shared" si="36"/>
        <v>0.90779610194902549</v>
      </c>
      <c r="N85" s="624">
        <f t="shared" si="37"/>
        <v>0.96717824038899858</v>
      </c>
      <c r="O85" s="624">
        <f t="shared" si="37"/>
        <v>0</v>
      </c>
      <c r="P85" s="625">
        <f t="shared" si="37"/>
        <v>0</v>
      </c>
      <c r="Q85" s="624">
        <f t="shared" si="37"/>
        <v>0</v>
      </c>
      <c r="R85" s="253"/>
      <c r="S85" s="850">
        <v>0</v>
      </c>
      <c r="T85" s="255">
        <v>0</v>
      </c>
      <c r="U85" s="255">
        <v>0</v>
      </c>
      <c r="V85" s="255">
        <v>0</v>
      </c>
      <c r="W85" s="255">
        <v>0</v>
      </c>
      <c r="X85" s="255">
        <v>0</v>
      </c>
      <c r="Y85" s="256">
        <v>0</v>
      </c>
      <c r="Z85" s="254"/>
      <c r="AA85" s="255">
        <v>2529</v>
      </c>
      <c r="AB85" s="255">
        <v>2625</v>
      </c>
      <c r="AC85" s="255">
        <v>1211</v>
      </c>
      <c r="AD85" s="255"/>
      <c r="AE85" s="256">
        <v>6365</v>
      </c>
      <c r="AF85" s="254"/>
      <c r="AG85" s="255"/>
      <c r="AH85" s="254"/>
    </row>
    <row r="86" spans="1:34">
      <c r="A86" s="887"/>
      <c r="B86" s="436" t="s">
        <v>59</v>
      </c>
      <c r="C86" s="577">
        <f t="shared" si="36"/>
        <v>1</v>
      </c>
      <c r="D86" s="578">
        <f t="shared" si="36"/>
        <v>1</v>
      </c>
      <c r="E86" s="578">
        <f t="shared" si="36"/>
        <v>1</v>
      </c>
      <c r="F86" s="578">
        <f t="shared" si="36"/>
        <v>1</v>
      </c>
      <c r="G86" s="578">
        <f t="shared" si="36"/>
        <v>1</v>
      </c>
      <c r="H86" s="579">
        <f t="shared" si="36"/>
        <v>1</v>
      </c>
      <c r="I86" s="577">
        <f t="shared" si="36"/>
        <v>1</v>
      </c>
      <c r="J86" s="577">
        <f t="shared" si="36"/>
        <v>0</v>
      </c>
      <c r="K86" s="578">
        <f t="shared" si="36"/>
        <v>1</v>
      </c>
      <c r="L86" s="578">
        <f t="shared" si="36"/>
        <v>1</v>
      </c>
      <c r="M86" s="578">
        <f t="shared" si="36"/>
        <v>1</v>
      </c>
      <c r="N86" s="577">
        <f t="shared" si="37"/>
        <v>1</v>
      </c>
      <c r="O86" s="577">
        <f t="shared" si="37"/>
        <v>0</v>
      </c>
      <c r="P86" s="578">
        <f t="shared" si="37"/>
        <v>0</v>
      </c>
      <c r="Q86" s="577">
        <f t="shared" si="37"/>
        <v>0</v>
      </c>
      <c r="R86" s="264"/>
      <c r="S86" s="853">
        <v>4930</v>
      </c>
      <c r="T86" s="266">
        <v>1248</v>
      </c>
      <c r="U86" s="266">
        <v>2845</v>
      </c>
      <c r="V86" s="266">
        <v>270</v>
      </c>
      <c r="W86" s="266">
        <v>627</v>
      </c>
      <c r="X86" s="266">
        <v>358</v>
      </c>
      <c r="Y86" s="267">
        <v>10278</v>
      </c>
      <c r="Z86" s="265"/>
      <c r="AA86" s="266">
        <v>2529</v>
      </c>
      <c r="AB86" s="266">
        <v>2718</v>
      </c>
      <c r="AC86" s="266">
        <v>1334</v>
      </c>
      <c r="AD86" s="266"/>
      <c r="AE86" s="267">
        <v>6581</v>
      </c>
      <c r="AF86" s="265"/>
      <c r="AG86" s="266"/>
      <c r="AH86" s="265"/>
    </row>
    <row r="87" spans="1:34">
      <c r="A87" s="883" t="s">
        <v>13</v>
      </c>
      <c r="B87" s="240" t="s">
        <v>53</v>
      </c>
      <c r="C87" s="613">
        <f t="shared" ref="C87:M93" si="38">IF(S$93&gt;0,(S87/S$93),0)</f>
        <v>0.34284355682358536</v>
      </c>
      <c r="D87" s="614">
        <f t="shared" si="38"/>
        <v>0</v>
      </c>
      <c r="E87" s="614">
        <f t="shared" si="38"/>
        <v>0.29606879606879605</v>
      </c>
      <c r="F87" s="614">
        <f t="shared" si="38"/>
        <v>0.42424242424242425</v>
      </c>
      <c r="G87" s="614">
        <f t="shared" si="38"/>
        <v>0.17727840199750311</v>
      </c>
      <c r="H87" s="615">
        <f t="shared" si="38"/>
        <v>0.22660098522167488</v>
      </c>
      <c r="I87" s="613">
        <f t="shared" si="38"/>
        <v>0.29755736491487789</v>
      </c>
      <c r="J87" s="613">
        <f t="shared" si="38"/>
        <v>0</v>
      </c>
      <c r="K87" s="614">
        <f t="shared" si="38"/>
        <v>0</v>
      </c>
      <c r="L87" s="614">
        <f t="shared" si="38"/>
        <v>0</v>
      </c>
      <c r="M87" s="614">
        <f t="shared" si="38"/>
        <v>0</v>
      </c>
      <c r="N87" s="613">
        <f t="shared" ref="N87:Q93" si="39">IF(AE$93&gt;0,(AE87/AE$93),0)</f>
        <v>0</v>
      </c>
      <c r="O87" s="788">
        <f t="shared" si="39"/>
        <v>0</v>
      </c>
      <c r="P87" s="614">
        <f t="shared" si="39"/>
        <v>0</v>
      </c>
      <c r="Q87" s="788">
        <f t="shared" si="39"/>
        <v>0</v>
      </c>
      <c r="R87" s="244"/>
      <c r="S87" s="847">
        <v>721</v>
      </c>
      <c r="T87" s="246"/>
      <c r="U87" s="246">
        <v>241</v>
      </c>
      <c r="V87" s="246">
        <v>56</v>
      </c>
      <c r="W87" s="246">
        <v>142</v>
      </c>
      <c r="X87" s="246">
        <v>46</v>
      </c>
      <c r="Y87" s="247">
        <v>1206</v>
      </c>
      <c r="Z87" s="245">
        <v>0</v>
      </c>
      <c r="AA87" s="246">
        <v>0</v>
      </c>
      <c r="AB87" s="246">
        <v>0</v>
      </c>
      <c r="AC87" s="246">
        <v>0</v>
      </c>
      <c r="AD87" s="246"/>
      <c r="AE87" s="247">
        <v>0</v>
      </c>
      <c r="AF87" s="245">
        <v>0</v>
      </c>
      <c r="AG87" s="246">
        <v>0</v>
      </c>
      <c r="AH87" s="245">
        <v>0</v>
      </c>
    </row>
    <row r="88" spans="1:34">
      <c r="A88" s="886"/>
      <c r="B88" s="239" t="s">
        <v>93</v>
      </c>
      <c r="C88" s="624">
        <f t="shared" si="38"/>
        <v>0.28530670470756064</v>
      </c>
      <c r="D88" s="625">
        <f t="shared" si="38"/>
        <v>0</v>
      </c>
      <c r="E88" s="625">
        <f t="shared" si="38"/>
        <v>0.19778869778869779</v>
      </c>
      <c r="F88" s="625">
        <f t="shared" si="38"/>
        <v>0.23484848484848486</v>
      </c>
      <c r="G88" s="625">
        <f t="shared" si="38"/>
        <v>0.18601747815230962</v>
      </c>
      <c r="H88" s="626">
        <f t="shared" si="38"/>
        <v>0.21674876847290642</v>
      </c>
      <c r="I88" s="624">
        <f t="shared" si="38"/>
        <v>0.24302985442881817</v>
      </c>
      <c r="J88" s="624">
        <f t="shared" si="38"/>
        <v>0</v>
      </c>
      <c r="K88" s="625">
        <f t="shared" si="38"/>
        <v>0</v>
      </c>
      <c r="L88" s="625">
        <f t="shared" si="38"/>
        <v>0</v>
      </c>
      <c r="M88" s="625">
        <f t="shared" si="38"/>
        <v>0</v>
      </c>
      <c r="N88" s="791">
        <f t="shared" si="39"/>
        <v>0</v>
      </c>
      <c r="O88" s="624">
        <f t="shared" si="39"/>
        <v>0</v>
      </c>
      <c r="P88" s="625">
        <f t="shared" si="39"/>
        <v>0</v>
      </c>
      <c r="Q88" s="624">
        <f t="shared" si="39"/>
        <v>0</v>
      </c>
      <c r="R88" s="253"/>
      <c r="S88" s="850">
        <v>600</v>
      </c>
      <c r="T88" s="255"/>
      <c r="U88" s="255">
        <v>161</v>
      </c>
      <c r="V88" s="255">
        <v>31</v>
      </c>
      <c r="W88" s="255">
        <v>149</v>
      </c>
      <c r="X88" s="255">
        <v>44</v>
      </c>
      <c r="Y88" s="256">
        <v>985</v>
      </c>
      <c r="Z88" s="254">
        <v>0</v>
      </c>
      <c r="AA88" s="255">
        <v>0</v>
      </c>
      <c r="AB88" s="255">
        <v>0</v>
      </c>
      <c r="AC88" s="255">
        <v>0</v>
      </c>
      <c r="AD88" s="255"/>
      <c r="AE88" s="256">
        <v>0</v>
      </c>
      <c r="AF88" s="254">
        <v>0</v>
      </c>
      <c r="AG88" s="255">
        <v>0</v>
      </c>
      <c r="AH88" s="254">
        <v>0</v>
      </c>
    </row>
    <row r="89" spans="1:34">
      <c r="A89" s="886"/>
      <c r="B89" s="239" t="s">
        <v>55</v>
      </c>
      <c r="C89" s="624">
        <f t="shared" si="38"/>
        <v>0.21445553970518308</v>
      </c>
      <c r="D89" s="625">
        <f t="shared" si="38"/>
        <v>0</v>
      </c>
      <c r="E89" s="625">
        <f t="shared" si="38"/>
        <v>0.25798525798525801</v>
      </c>
      <c r="F89" s="625">
        <f t="shared" si="38"/>
        <v>0.19696969696969696</v>
      </c>
      <c r="G89" s="625">
        <f t="shared" si="38"/>
        <v>0.30212234706616731</v>
      </c>
      <c r="H89" s="626">
        <f t="shared" si="38"/>
        <v>0.32019704433497537</v>
      </c>
      <c r="I89" s="624">
        <f t="shared" si="38"/>
        <v>0.24525043177892919</v>
      </c>
      <c r="J89" s="624">
        <f t="shared" si="38"/>
        <v>0</v>
      </c>
      <c r="K89" s="625">
        <f t="shared" si="38"/>
        <v>0</v>
      </c>
      <c r="L89" s="625">
        <f t="shared" si="38"/>
        <v>0</v>
      </c>
      <c r="M89" s="625">
        <f t="shared" si="38"/>
        <v>0</v>
      </c>
      <c r="N89" s="624">
        <f t="shared" si="39"/>
        <v>0</v>
      </c>
      <c r="O89" s="624">
        <f t="shared" si="39"/>
        <v>0</v>
      </c>
      <c r="P89" s="625">
        <f t="shared" si="39"/>
        <v>0</v>
      </c>
      <c r="Q89" s="624">
        <f t="shared" si="39"/>
        <v>0</v>
      </c>
      <c r="R89" s="253"/>
      <c r="S89" s="850">
        <v>451</v>
      </c>
      <c r="T89" s="255"/>
      <c r="U89" s="255">
        <v>210</v>
      </c>
      <c r="V89" s="255">
        <v>26</v>
      </c>
      <c r="W89" s="255">
        <v>242</v>
      </c>
      <c r="X89" s="255">
        <v>65</v>
      </c>
      <c r="Y89" s="256">
        <v>994</v>
      </c>
      <c r="Z89" s="254">
        <v>0</v>
      </c>
      <c r="AA89" s="255">
        <v>0</v>
      </c>
      <c r="AB89" s="255">
        <v>0</v>
      </c>
      <c r="AC89" s="255">
        <v>0</v>
      </c>
      <c r="AD89" s="255"/>
      <c r="AE89" s="256">
        <v>0</v>
      </c>
      <c r="AF89" s="254">
        <v>0</v>
      </c>
      <c r="AG89" s="255">
        <v>0</v>
      </c>
      <c r="AH89" s="254">
        <v>0</v>
      </c>
    </row>
    <row r="90" spans="1:34">
      <c r="A90" s="886"/>
      <c r="B90" s="239" t="s">
        <v>78</v>
      </c>
      <c r="C90" s="624">
        <f t="shared" si="38"/>
        <v>0.15739419876367094</v>
      </c>
      <c r="D90" s="625">
        <f t="shared" si="38"/>
        <v>0</v>
      </c>
      <c r="E90" s="625">
        <f t="shared" si="38"/>
        <v>0.24815724815724816</v>
      </c>
      <c r="F90" s="625">
        <f t="shared" si="38"/>
        <v>0.14393939393939395</v>
      </c>
      <c r="G90" s="625">
        <f t="shared" si="38"/>
        <v>0.33458177278401996</v>
      </c>
      <c r="H90" s="626">
        <f t="shared" si="38"/>
        <v>0.23645320197044334</v>
      </c>
      <c r="I90" s="624">
        <f t="shared" si="38"/>
        <v>0.21416234887737479</v>
      </c>
      <c r="J90" s="624">
        <f t="shared" si="38"/>
        <v>0</v>
      </c>
      <c r="K90" s="625">
        <f t="shared" si="38"/>
        <v>0</v>
      </c>
      <c r="L90" s="625">
        <f t="shared" si="38"/>
        <v>0</v>
      </c>
      <c r="M90" s="625">
        <f t="shared" si="38"/>
        <v>0</v>
      </c>
      <c r="N90" s="624">
        <f t="shared" si="39"/>
        <v>0</v>
      </c>
      <c r="O90" s="624">
        <f t="shared" si="39"/>
        <v>0</v>
      </c>
      <c r="P90" s="625">
        <f t="shared" si="39"/>
        <v>0</v>
      </c>
      <c r="Q90" s="624">
        <f t="shared" si="39"/>
        <v>0</v>
      </c>
      <c r="R90" s="253"/>
      <c r="S90" s="850">
        <v>331</v>
      </c>
      <c r="T90" s="255"/>
      <c r="U90" s="255">
        <v>202</v>
      </c>
      <c r="V90" s="255">
        <v>19</v>
      </c>
      <c r="W90" s="255">
        <v>268</v>
      </c>
      <c r="X90" s="255">
        <v>48</v>
      </c>
      <c r="Y90" s="256">
        <v>868</v>
      </c>
      <c r="Z90" s="254">
        <v>0</v>
      </c>
      <c r="AA90" s="255">
        <v>0</v>
      </c>
      <c r="AB90" s="255">
        <v>0</v>
      </c>
      <c r="AC90" s="255">
        <v>0</v>
      </c>
      <c r="AD90" s="255"/>
      <c r="AE90" s="256">
        <v>0</v>
      </c>
      <c r="AF90" s="254">
        <v>0</v>
      </c>
      <c r="AG90" s="255">
        <v>0</v>
      </c>
      <c r="AH90" s="254">
        <v>0</v>
      </c>
    </row>
    <row r="91" spans="1:34">
      <c r="A91" s="886"/>
      <c r="B91" s="239" t="s">
        <v>32</v>
      </c>
      <c r="C91" s="624">
        <f t="shared" si="38"/>
        <v>0</v>
      </c>
      <c r="D91" s="625">
        <f t="shared" si="38"/>
        <v>0</v>
      </c>
      <c r="E91" s="625">
        <f t="shared" si="38"/>
        <v>0</v>
      </c>
      <c r="F91" s="625">
        <f t="shared" si="38"/>
        <v>0</v>
      </c>
      <c r="G91" s="625">
        <f t="shared" si="38"/>
        <v>0</v>
      </c>
      <c r="H91" s="626">
        <f t="shared" si="38"/>
        <v>0</v>
      </c>
      <c r="I91" s="624">
        <f t="shared" si="38"/>
        <v>0</v>
      </c>
      <c r="J91" s="624">
        <f t="shared" si="38"/>
        <v>0</v>
      </c>
      <c r="K91" s="625">
        <f t="shared" si="38"/>
        <v>0</v>
      </c>
      <c r="L91" s="625">
        <f t="shared" si="38"/>
        <v>0</v>
      </c>
      <c r="M91" s="625">
        <f t="shared" si="38"/>
        <v>0</v>
      </c>
      <c r="N91" s="624">
        <f t="shared" si="39"/>
        <v>0</v>
      </c>
      <c r="O91" s="624">
        <f t="shared" si="39"/>
        <v>0</v>
      </c>
      <c r="P91" s="625">
        <f t="shared" si="39"/>
        <v>0</v>
      </c>
      <c r="Q91" s="624">
        <f t="shared" si="39"/>
        <v>0</v>
      </c>
      <c r="R91" s="253"/>
      <c r="S91" s="850">
        <v>0</v>
      </c>
      <c r="T91" s="255"/>
      <c r="U91" s="255">
        <v>0</v>
      </c>
      <c r="V91" s="255">
        <v>0</v>
      </c>
      <c r="W91" s="255">
        <v>0</v>
      </c>
      <c r="X91" s="255">
        <v>0</v>
      </c>
      <c r="Y91" s="256">
        <v>0</v>
      </c>
      <c r="Z91" s="254">
        <v>0</v>
      </c>
      <c r="AA91" s="255">
        <v>0</v>
      </c>
      <c r="AB91" s="255">
        <v>0</v>
      </c>
      <c r="AC91" s="255">
        <v>0</v>
      </c>
      <c r="AD91" s="255"/>
      <c r="AE91" s="256">
        <v>0</v>
      </c>
      <c r="AF91" s="254">
        <v>0</v>
      </c>
      <c r="AG91" s="255">
        <v>0</v>
      </c>
      <c r="AH91" s="254">
        <v>0</v>
      </c>
    </row>
    <row r="92" spans="1:34">
      <c r="A92" s="886"/>
      <c r="B92" s="239" t="s">
        <v>58</v>
      </c>
      <c r="C92" s="624">
        <f t="shared" si="38"/>
        <v>0</v>
      </c>
      <c r="D92" s="625">
        <f t="shared" si="38"/>
        <v>0</v>
      </c>
      <c r="E92" s="792">
        <f t="shared" si="38"/>
        <v>0</v>
      </c>
      <c r="F92" s="625">
        <f t="shared" si="38"/>
        <v>0</v>
      </c>
      <c r="G92" s="792">
        <f t="shared" si="38"/>
        <v>0</v>
      </c>
      <c r="H92" s="626">
        <f t="shared" si="38"/>
        <v>0</v>
      </c>
      <c r="I92" s="793">
        <f t="shared" si="38"/>
        <v>0</v>
      </c>
      <c r="J92" s="624">
        <f t="shared" si="38"/>
        <v>1</v>
      </c>
      <c r="K92" s="625">
        <f t="shared" si="38"/>
        <v>1</v>
      </c>
      <c r="L92" s="625">
        <f t="shared" si="38"/>
        <v>1</v>
      </c>
      <c r="M92" s="625">
        <f t="shared" si="38"/>
        <v>1</v>
      </c>
      <c r="N92" s="624">
        <f t="shared" si="39"/>
        <v>1</v>
      </c>
      <c r="O92" s="624">
        <f t="shared" si="39"/>
        <v>1</v>
      </c>
      <c r="P92" s="625">
        <f t="shared" si="39"/>
        <v>1</v>
      </c>
      <c r="Q92" s="624">
        <f t="shared" si="39"/>
        <v>1</v>
      </c>
      <c r="R92" s="253"/>
      <c r="S92" s="850">
        <v>0</v>
      </c>
      <c r="T92" s="255"/>
      <c r="U92" s="255">
        <v>0</v>
      </c>
      <c r="V92" s="255">
        <v>0</v>
      </c>
      <c r="W92" s="255">
        <v>0</v>
      </c>
      <c r="X92" s="255">
        <v>0</v>
      </c>
      <c r="Y92" s="256">
        <v>0</v>
      </c>
      <c r="Z92" s="254">
        <v>206</v>
      </c>
      <c r="AA92" s="255">
        <v>573</v>
      </c>
      <c r="AB92" s="255">
        <v>151</v>
      </c>
      <c r="AC92" s="255">
        <v>317</v>
      </c>
      <c r="AD92" s="255"/>
      <c r="AE92" s="256">
        <v>1247</v>
      </c>
      <c r="AF92" s="254">
        <v>218</v>
      </c>
      <c r="AG92" s="255">
        <v>885</v>
      </c>
      <c r="AH92" s="254">
        <v>1103</v>
      </c>
    </row>
    <row r="93" spans="1:34">
      <c r="A93" s="887"/>
      <c r="B93" s="436" t="s">
        <v>59</v>
      </c>
      <c r="C93" s="577">
        <f t="shared" si="38"/>
        <v>1</v>
      </c>
      <c r="D93" s="578">
        <f t="shared" si="38"/>
        <v>0</v>
      </c>
      <c r="E93" s="578">
        <f t="shared" si="38"/>
        <v>1</v>
      </c>
      <c r="F93" s="578">
        <f t="shared" si="38"/>
        <v>1</v>
      </c>
      <c r="G93" s="578">
        <f t="shared" si="38"/>
        <v>1</v>
      </c>
      <c r="H93" s="579">
        <f t="shared" si="38"/>
        <v>1</v>
      </c>
      <c r="I93" s="577">
        <f t="shared" si="38"/>
        <v>1</v>
      </c>
      <c r="J93" s="577">
        <f t="shared" si="38"/>
        <v>1</v>
      </c>
      <c r="K93" s="578">
        <f t="shared" si="38"/>
        <v>1</v>
      </c>
      <c r="L93" s="578">
        <f t="shared" si="38"/>
        <v>1</v>
      </c>
      <c r="M93" s="578">
        <f t="shared" si="38"/>
        <v>1</v>
      </c>
      <c r="N93" s="577">
        <f t="shared" si="39"/>
        <v>1</v>
      </c>
      <c r="O93" s="577">
        <f t="shared" si="39"/>
        <v>1</v>
      </c>
      <c r="P93" s="578">
        <f t="shared" si="39"/>
        <v>1</v>
      </c>
      <c r="Q93" s="577">
        <f t="shared" si="39"/>
        <v>1</v>
      </c>
      <c r="R93" s="264"/>
      <c r="S93" s="853">
        <v>2103</v>
      </c>
      <c r="T93" s="266"/>
      <c r="U93" s="266">
        <v>814</v>
      </c>
      <c r="V93" s="266">
        <v>132</v>
      </c>
      <c r="W93" s="266">
        <v>801</v>
      </c>
      <c r="X93" s="266">
        <v>203</v>
      </c>
      <c r="Y93" s="267">
        <v>4053</v>
      </c>
      <c r="Z93" s="265">
        <v>206</v>
      </c>
      <c r="AA93" s="266">
        <v>573</v>
      </c>
      <c r="AB93" s="266">
        <v>151</v>
      </c>
      <c r="AC93" s="266">
        <v>317</v>
      </c>
      <c r="AD93" s="266"/>
      <c r="AE93" s="267">
        <v>1247</v>
      </c>
      <c r="AF93" s="265">
        <v>218</v>
      </c>
      <c r="AG93" s="266">
        <v>885</v>
      </c>
      <c r="AH93" s="265">
        <v>1103</v>
      </c>
    </row>
    <row r="94" spans="1:34">
      <c r="A94" s="883" t="s">
        <v>14</v>
      </c>
      <c r="B94" s="240" t="s">
        <v>53</v>
      </c>
      <c r="C94" s="613">
        <f t="shared" ref="C94:M100" si="40">IF(S$100&gt;0,(S94/S$100),0)</f>
        <v>0.26791666666666669</v>
      </c>
      <c r="D94" s="614">
        <f t="shared" si="40"/>
        <v>0</v>
      </c>
      <c r="E94" s="614">
        <f t="shared" si="40"/>
        <v>0.27552031714568881</v>
      </c>
      <c r="F94" s="614">
        <f t="shared" si="40"/>
        <v>0</v>
      </c>
      <c r="G94" s="614">
        <f t="shared" si="40"/>
        <v>0.20828258221680876</v>
      </c>
      <c r="H94" s="615">
        <f t="shared" si="40"/>
        <v>0.13454545454545455</v>
      </c>
      <c r="I94" s="613">
        <f t="shared" si="40"/>
        <v>0.24393305439330543</v>
      </c>
      <c r="J94" s="613">
        <f t="shared" si="40"/>
        <v>0</v>
      </c>
      <c r="K94" s="614">
        <f t="shared" si="40"/>
        <v>0</v>
      </c>
      <c r="L94" s="614">
        <f t="shared" si="40"/>
        <v>0</v>
      </c>
      <c r="M94" s="614">
        <f t="shared" si="40"/>
        <v>4.1322314049586778E-2</v>
      </c>
      <c r="N94" s="613">
        <f t="shared" ref="N94:Q100" si="41">IF(AE$100&gt;0,(AE94/AE$100),0)</f>
        <v>4.734848484848485E-3</v>
      </c>
      <c r="O94" s="788">
        <f t="shared" si="41"/>
        <v>0</v>
      </c>
      <c r="P94" s="614">
        <f t="shared" si="41"/>
        <v>0</v>
      </c>
      <c r="Q94" s="788">
        <f t="shared" si="41"/>
        <v>0</v>
      </c>
      <c r="R94" s="244"/>
      <c r="S94" s="847">
        <v>643</v>
      </c>
      <c r="T94" s="246"/>
      <c r="U94" s="246">
        <v>278</v>
      </c>
      <c r="V94" s="246"/>
      <c r="W94" s="246">
        <v>171</v>
      </c>
      <c r="X94" s="246">
        <v>74</v>
      </c>
      <c r="Y94" s="247">
        <v>1166</v>
      </c>
      <c r="Z94" s="245"/>
      <c r="AA94" s="246">
        <v>0</v>
      </c>
      <c r="AB94" s="246">
        <v>0</v>
      </c>
      <c r="AC94" s="246">
        <v>10</v>
      </c>
      <c r="AD94" s="246"/>
      <c r="AE94" s="247">
        <v>10</v>
      </c>
      <c r="AF94" s="245"/>
      <c r="AG94" s="246"/>
      <c r="AH94" s="245"/>
    </row>
    <row r="95" spans="1:34">
      <c r="A95" s="886"/>
      <c r="B95" s="239" t="s">
        <v>93</v>
      </c>
      <c r="C95" s="624">
        <f t="shared" si="40"/>
        <v>0.28999999999999998</v>
      </c>
      <c r="D95" s="625">
        <f t="shared" si="40"/>
        <v>0</v>
      </c>
      <c r="E95" s="625">
        <f t="shared" si="40"/>
        <v>0.33201189296333</v>
      </c>
      <c r="F95" s="625">
        <f t="shared" si="40"/>
        <v>0</v>
      </c>
      <c r="G95" s="625">
        <f t="shared" si="40"/>
        <v>0.28501827040194883</v>
      </c>
      <c r="H95" s="626">
        <f t="shared" si="40"/>
        <v>0.25272727272727274</v>
      </c>
      <c r="I95" s="624">
        <f t="shared" si="40"/>
        <v>0.29372384937238494</v>
      </c>
      <c r="J95" s="624">
        <f t="shared" si="40"/>
        <v>0</v>
      </c>
      <c r="K95" s="625">
        <f t="shared" si="40"/>
        <v>0</v>
      </c>
      <c r="L95" s="625">
        <f t="shared" si="40"/>
        <v>0</v>
      </c>
      <c r="M95" s="625">
        <f t="shared" si="40"/>
        <v>0.1115702479338843</v>
      </c>
      <c r="N95" s="624">
        <f t="shared" si="41"/>
        <v>1.278409090909091E-2</v>
      </c>
      <c r="O95" s="624">
        <f t="shared" si="41"/>
        <v>0</v>
      </c>
      <c r="P95" s="625">
        <f t="shared" si="41"/>
        <v>0</v>
      </c>
      <c r="Q95" s="624">
        <f t="shared" si="41"/>
        <v>0</v>
      </c>
      <c r="R95" s="253"/>
      <c r="S95" s="850">
        <v>696</v>
      </c>
      <c r="T95" s="255"/>
      <c r="U95" s="255">
        <v>335</v>
      </c>
      <c r="V95" s="255"/>
      <c r="W95" s="255">
        <v>234</v>
      </c>
      <c r="X95" s="255">
        <v>139</v>
      </c>
      <c r="Y95" s="256">
        <v>1404</v>
      </c>
      <c r="Z95" s="254"/>
      <c r="AA95" s="255">
        <v>0</v>
      </c>
      <c r="AB95" s="255">
        <v>0</v>
      </c>
      <c r="AC95" s="255">
        <v>27</v>
      </c>
      <c r="AD95" s="255"/>
      <c r="AE95" s="256">
        <v>27</v>
      </c>
      <c r="AF95" s="254"/>
      <c r="AG95" s="255"/>
      <c r="AH95" s="254"/>
    </row>
    <row r="96" spans="1:34">
      <c r="A96" s="886"/>
      <c r="B96" s="239" t="s">
        <v>55</v>
      </c>
      <c r="C96" s="624">
        <f t="shared" si="40"/>
        <v>0.25708333333333333</v>
      </c>
      <c r="D96" s="625">
        <f t="shared" si="40"/>
        <v>0</v>
      </c>
      <c r="E96" s="625">
        <f t="shared" si="40"/>
        <v>0.28642220019821607</v>
      </c>
      <c r="F96" s="625">
        <f t="shared" si="40"/>
        <v>0</v>
      </c>
      <c r="G96" s="625">
        <f t="shared" si="40"/>
        <v>0.30694275274056027</v>
      </c>
      <c r="H96" s="626">
        <f t="shared" si="40"/>
        <v>0.30363636363636365</v>
      </c>
      <c r="I96" s="624">
        <f t="shared" si="40"/>
        <v>0.27719665271966526</v>
      </c>
      <c r="J96" s="624">
        <f t="shared" si="40"/>
        <v>0</v>
      </c>
      <c r="K96" s="625">
        <f t="shared" si="40"/>
        <v>0</v>
      </c>
      <c r="L96" s="625">
        <f t="shared" si="40"/>
        <v>0</v>
      </c>
      <c r="M96" s="625">
        <f t="shared" si="40"/>
        <v>0.11570247933884298</v>
      </c>
      <c r="N96" s="624">
        <f t="shared" si="41"/>
        <v>1.3257575757575758E-2</v>
      </c>
      <c r="O96" s="624">
        <f t="shared" si="41"/>
        <v>0</v>
      </c>
      <c r="P96" s="625">
        <f t="shared" si="41"/>
        <v>0</v>
      </c>
      <c r="Q96" s="624">
        <f t="shared" si="41"/>
        <v>0</v>
      </c>
      <c r="R96" s="253"/>
      <c r="S96" s="850">
        <v>617</v>
      </c>
      <c r="T96" s="255"/>
      <c r="U96" s="255">
        <v>289</v>
      </c>
      <c r="V96" s="255"/>
      <c r="W96" s="255">
        <v>252</v>
      </c>
      <c r="X96" s="255">
        <v>167</v>
      </c>
      <c r="Y96" s="256">
        <v>1325</v>
      </c>
      <c r="Z96" s="254"/>
      <c r="AA96" s="255">
        <v>0</v>
      </c>
      <c r="AB96" s="255">
        <v>0</v>
      </c>
      <c r="AC96" s="255">
        <v>28</v>
      </c>
      <c r="AD96" s="255"/>
      <c r="AE96" s="256">
        <v>28</v>
      </c>
      <c r="AF96" s="254"/>
      <c r="AG96" s="255"/>
      <c r="AH96" s="254"/>
    </row>
    <row r="97" spans="1:34">
      <c r="A97" s="886"/>
      <c r="B97" s="239" t="s">
        <v>78</v>
      </c>
      <c r="C97" s="624">
        <f t="shared" si="40"/>
        <v>6.5833333333333327E-2</v>
      </c>
      <c r="D97" s="625">
        <f t="shared" si="40"/>
        <v>0</v>
      </c>
      <c r="E97" s="625">
        <f t="shared" si="40"/>
        <v>0.10505450941526263</v>
      </c>
      <c r="F97" s="625">
        <f t="shared" si="40"/>
        <v>0</v>
      </c>
      <c r="G97" s="625">
        <f t="shared" si="40"/>
        <v>7.4299634591961025E-2</v>
      </c>
      <c r="H97" s="626">
        <f t="shared" si="40"/>
        <v>0.26181818181818184</v>
      </c>
      <c r="I97" s="624">
        <f t="shared" si="40"/>
        <v>9.8117154811715485E-2</v>
      </c>
      <c r="J97" s="624">
        <f t="shared" si="40"/>
        <v>0</v>
      </c>
      <c r="K97" s="625">
        <f t="shared" si="40"/>
        <v>0</v>
      </c>
      <c r="L97" s="625">
        <f t="shared" si="40"/>
        <v>0</v>
      </c>
      <c r="M97" s="625">
        <f t="shared" si="40"/>
        <v>0.19421487603305784</v>
      </c>
      <c r="N97" s="624">
        <f t="shared" si="41"/>
        <v>2.225378787878788E-2</v>
      </c>
      <c r="O97" s="624">
        <f t="shared" si="41"/>
        <v>0</v>
      </c>
      <c r="P97" s="625">
        <f t="shared" si="41"/>
        <v>0</v>
      </c>
      <c r="Q97" s="624">
        <f t="shared" si="41"/>
        <v>0</v>
      </c>
      <c r="R97" s="253"/>
      <c r="S97" s="850">
        <v>158</v>
      </c>
      <c r="T97" s="255"/>
      <c r="U97" s="255">
        <v>106</v>
      </c>
      <c r="V97" s="255"/>
      <c r="W97" s="255">
        <v>61</v>
      </c>
      <c r="X97" s="255">
        <v>144</v>
      </c>
      <c r="Y97" s="256">
        <v>469</v>
      </c>
      <c r="Z97" s="254"/>
      <c r="AA97" s="255">
        <v>0</v>
      </c>
      <c r="AB97" s="255">
        <v>0</v>
      </c>
      <c r="AC97" s="255">
        <v>47</v>
      </c>
      <c r="AD97" s="255"/>
      <c r="AE97" s="256">
        <v>47</v>
      </c>
      <c r="AF97" s="254"/>
      <c r="AG97" s="255"/>
      <c r="AH97" s="254"/>
    </row>
    <row r="98" spans="1:34">
      <c r="A98" s="886"/>
      <c r="B98" s="239" t="s">
        <v>32</v>
      </c>
      <c r="C98" s="624">
        <f t="shared" si="40"/>
        <v>0.11916666666666667</v>
      </c>
      <c r="D98" s="625">
        <f t="shared" si="40"/>
        <v>0</v>
      </c>
      <c r="E98" s="625">
        <f t="shared" si="40"/>
        <v>9.9108027750247768E-4</v>
      </c>
      <c r="F98" s="625">
        <f t="shared" si="40"/>
        <v>0</v>
      </c>
      <c r="G98" s="625">
        <f t="shared" si="40"/>
        <v>0.12545676004872108</v>
      </c>
      <c r="H98" s="626">
        <f t="shared" si="40"/>
        <v>4.7272727272727272E-2</v>
      </c>
      <c r="I98" s="624">
        <f t="shared" si="40"/>
        <v>8.7029288702928864E-2</v>
      </c>
      <c r="J98" s="624">
        <f t="shared" si="40"/>
        <v>0</v>
      </c>
      <c r="K98" s="625">
        <f t="shared" si="40"/>
        <v>1</v>
      </c>
      <c r="L98" s="625">
        <f t="shared" si="40"/>
        <v>1</v>
      </c>
      <c r="M98" s="625">
        <f t="shared" si="40"/>
        <v>0.53719008264462809</v>
      </c>
      <c r="N98" s="624">
        <f t="shared" si="41"/>
        <v>0.94696969696969702</v>
      </c>
      <c r="O98" s="624">
        <f t="shared" si="41"/>
        <v>0</v>
      </c>
      <c r="P98" s="625">
        <f t="shared" si="41"/>
        <v>0</v>
      </c>
      <c r="Q98" s="624">
        <f t="shared" si="41"/>
        <v>0</v>
      </c>
      <c r="R98" s="253"/>
      <c r="S98" s="850">
        <v>286</v>
      </c>
      <c r="T98" s="255"/>
      <c r="U98" s="255">
        <v>1</v>
      </c>
      <c r="V98" s="255"/>
      <c r="W98" s="255">
        <v>103</v>
      </c>
      <c r="X98" s="255">
        <v>26</v>
      </c>
      <c r="Y98" s="256">
        <v>416</v>
      </c>
      <c r="Z98" s="254"/>
      <c r="AA98" s="255">
        <v>1399</v>
      </c>
      <c r="AB98" s="255">
        <v>471</v>
      </c>
      <c r="AC98" s="255">
        <v>130</v>
      </c>
      <c r="AD98" s="255"/>
      <c r="AE98" s="256">
        <v>2000</v>
      </c>
      <c r="AF98" s="254"/>
      <c r="AG98" s="255"/>
      <c r="AH98" s="254"/>
    </row>
    <row r="99" spans="1:34">
      <c r="A99" s="886"/>
      <c r="B99" s="239" t="s">
        <v>58</v>
      </c>
      <c r="C99" s="624">
        <f t="shared" si="40"/>
        <v>0</v>
      </c>
      <c r="D99" s="625">
        <f t="shared" si="40"/>
        <v>0</v>
      </c>
      <c r="E99" s="792">
        <f t="shared" si="40"/>
        <v>0</v>
      </c>
      <c r="F99" s="625">
        <f t="shared" si="40"/>
        <v>0</v>
      </c>
      <c r="G99" s="792">
        <f t="shared" si="40"/>
        <v>0</v>
      </c>
      <c r="H99" s="626">
        <f t="shared" si="40"/>
        <v>0</v>
      </c>
      <c r="I99" s="793">
        <f t="shared" si="40"/>
        <v>0</v>
      </c>
      <c r="J99" s="624">
        <f t="shared" si="40"/>
        <v>0</v>
      </c>
      <c r="K99" s="625">
        <f t="shared" si="40"/>
        <v>0</v>
      </c>
      <c r="L99" s="625">
        <f t="shared" si="40"/>
        <v>0</v>
      </c>
      <c r="M99" s="625">
        <f t="shared" si="40"/>
        <v>0</v>
      </c>
      <c r="N99" s="624">
        <f t="shared" si="41"/>
        <v>0</v>
      </c>
      <c r="O99" s="624">
        <f t="shared" si="41"/>
        <v>0</v>
      </c>
      <c r="P99" s="625">
        <f t="shared" si="41"/>
        <v>0</v>
      </c>
      <c r="Q99" s="624">
        <f t="shared" si="41"/>
        <v>0</v>
      </c>
      <c r="R99" s="253"/>
      <c r="S99" s="850">
        <v>0</v>
      </c>
      <c r="T99" s="255"/>
      <c r="U99" s="255">
        <v>0</v>
      </c>
      <c r="V99" s="255"/>
      <c r="W99" s="255">
        <v>0</v>
      </c>
      <c r="X99" s="255">
        <v>0</v>
      </c>
      <c r="Y99" s="256">
        <v>0</v>
      </c>
      <c r="Z99" s="254"/>
      <c r="AA99" s="255">
        <v>0</v>
      </c>
      <c r="AB99" s="255">
        <v>0</v>
      </c>
      <c r="AC99" s="255">
        <v>0</v>
      </c>
      <c r="AD99" s="255"/>
      <c r="AE99" s="256">
        <v>0</v>
      </c>
      <c r="AF99" s="254"/>
      <c r="AG99" s="255"/>
      <c r="AH99" s="254"/>
    </row>
    <row r="100" spans="1:34">
      <c r="A100" s="887"/>
      <c r="B100" s="436" t="s">
        <v>59</v>
      </c>
      <c r="C100" s="577">
        <f t="shared" si="40"/>
        <v>1</v>
      </c>
      <c r="D100" s="578">
        <f t="shared" si="40"/>
        <v>0</v>
      </c>
      <c r="E100" s="578">
        <f t="shared" si="40"/>
        <v>1</v>
      </c>
      <c r="F100" s="578">
        <f t="shared" si="40"/>
        <v>0</v>
      </c>
      <c r="G100" s="578">
        <f t="shared" si="40"/>
        <v>1</v>
      </c>
      <c r="H100" s="579">
        <f t="shared" si="40"/>
        <v>1</v>
      </c>
      <c r="I100" s="577">
        <f t="shared" si="40"/>
        <v>1</v>
      </c>
      <c r="J100" s="577">
        <f t="shared" si="40"/>
        <v>0</v>
      </c>
      <c r="K100" s="578">
        <f t="shared" si="40"/>
        <v>1</v>
      </c>
      <c r="L100" s="578">
        <f t="shared" si="40"/>
        <v>1</v>
      </c>
      <c r="M100" s="578">
        <f t="shared" si="40"/>
        <v>1</v>
      </c>
      <c r="N100" s="577">
        <f t="shared" si="41"/>
        <v>1</v>
      </c>
      <c r="O100" s="577">
        <f t="shared" si="41"/>
        <v>0</v>
      </c>
      <c r="P100" s="578">
        <f t="shared" si="41"/>
        <v>0</v>
      </c>
      <c r="Q100" s="577">
        <f t="shared" si="41"/>
        <v>0</v>
      </c>
      <c r="R100" s="264"/>
      <c r="S100" s="853">
        <v>2400</v>
      </c>
      <c r="T100" s="266"/>
      <c r="U100" s="266">
        <v>1009</v>
      </c>
      <c r="V100" s="266"/>
      <c r="W100" s="266">
        <v>821</v>
      </c>
      <c r="X100" s="266">
        <v>550</v>
      </c>
      <c r="Y100" s="267">
        <v>4780</v>
      </c>
      <c r="Z100" s="265"/>
      <c r="AA100" s="266">
        <v>1399</v>
      </c>
      <c r="AB100" s="266">
        <v>471</v>
      </c>
      <c r="AC100" s="266">
        <v>242</v>
      </c>
      <c r="AD100" s="266"/>
      <c r="AE100" s="267">
        <v>2112</v>
      </c>
      <c r="AF100" s="265"/>
      <c r="AG100" s="266"/>
      <c r="AH100" s="265"/>
    </row>
    <row r="101" spans="1:34">
      <c r="A101" s="883" t="s">
        <v>15</v>
      </c>
      <c r="B101" s="240" t="s">
        <v>53</v>
      </c>
      <c r="C101" s="613">
        <f t="shared" ref="C101:M107" si="42">IF(S$107&gt;0,(S101/S$107),0)</f>
        <v>0.30789774895078215</v>
      </c>
      <c r="D101" s="614">
        <f t="shared" si="42"/>
        <v>0.33540372670807456</v>
      </c>
      <c r="E101" s="614">
        <f t="shared" si="42"/>
        <v>0.32796486090775989</v>
      </c>
      <c r="F101" s="614">
        <f t="shared" si="42"/>
        <v>0</v>
      </c>
      <c r="G101" s="614">
        <f t="shared" si="42"/>
        <v>0.26334519572953735</v>
      </c>
      <c r="H101" s="615">
        <f t="shared" si="42"/>
        <v>0</v>
      </c>
      <c r="I101" s="613">
        <f t="shared" si="42"/>
        <v>0.31648757555406315</v>
      </c>
      <c r="J101" s="613">
        <f t="shared" si="42"/>
        <v>0</v>
      </c>
      <c r="K101" s="614">
        <f t="shared" si="42"/>
        <v>0.10583580613254204</v>
      </c>
      <c r="L101" s="614">
        <f t="shared" si="42"/>
        <v>0.12216624685138538</v>
      </c>
      <c r="M101" s="614">
        <f t="shared" si="42"/>
        <v>0</v>
      </c>
      <c r="N101" s="613">
        <f t="shared" ref="N101:Q107" si="43">IF(AE$107&gt;0,(AE101/AE$107),0)</f>
        <v>0.11301939058171745</v>
      </c>
      <c r="O101" s="788">
        <f t="shared" si="43"/>
        <v>0</v>
      </c>
      <c r="P101" s="614">
        <f t="shared" si="43"/>
        <v>0</v>
      </c>
      <c r="Q101" s="788">
        <f t="shared" si="43"/>
        <v>0</v>
      </c>
      <c r="R101" s="244"/>
      <c r="S101" s="847">
        <v>807</v>
      </c>
      <c r="T101" s="246">
        <v>108</v>
      </c>
      <c r="U101" s="246">
        <v>896</v>
      </c>
      <c r="V101" s="246"/>
      <c r="W101" s="246">
        <v>74</v>
      </c>
      <c r="X101" s="246"/>
      <c r="Y101" s="247">
        <v>1885</v>
      </c>
      <c r="Z101" s="245"/>
      <c r="AA101" s="246">
        <v>107</v>
      </c>
      <c r="AB101" s="246">
        <v>97</v>
      </c>
      <c r="AC101" s="246"/>
      <c r="AD101" s="246"/>
      <c r="AE101" s="247">
        <v>204</v>
      </c>
      <c r="AF101" s="245">
        <v>0</v>
      </c>
      <c r="AG101" s="246">
        <v>0</v>
      </c>
      <c r="AH101" s="245">
        <v>0</v>
      </c>
    </row>
    <row r="102" spans="1:34">
      <c r="A102" s="886"/>
      <c r="B102" s="239" t="s">
        <v>93</v>
      </c>
      <c r="C102" s="624">
        <f t="shared" si="42"/>
        <v>0.27355971003433804</v>
      </c>
      <c r="D102" s="625">
        <f t="shared" si="42"/>
        <v>0.33229813664596275</v>
      </c>
      <c r="E102" s="625">
        <f t="shared" si="42"/>
        <v>0.24121522693997072</v>
      </c>
      <c r="F102" s="625">
        <f t="shared" si="42"/>
        <v>0</v>
      </c>
      <c r="G102" s="625">
        <f t="shared" si="42"/>
        <v>0.24911032028469751</v>
      </c>
      <c r="H102" s="626">
        <f t="shared" si="42"/>
        <v>0</v>
      </c>
      <c r="I102" s="624">
        <f t="shared" si="42"/>
        <v>0.26074546675621224</v>
      </c>
      <c r="J102" s="624">
        <f t="shared" si="42"/>
        <v>0</v>
      </c>
      <c r="K102" s="625">
        <f t="shared" si="42"/>
        <v>0.38081107814045501</v>
      </c>
      <c r="L102" s="625">
        <f t="shared" si="42"/>
        <v>0.45843828715365237</v>
      </c>
      <c r="M102" s="625">
        <f t="shared" si="42"/>
        <v>0</v>
      </c>
      <c r="N102" s="624">
        <f t="shared" si="43"/>
        <v>0.41495844875346261</v>
      </c>
      <c r="O102" s="624">
        <f t="shared" si="43"/>
        <v>0</v>
      </c>
      <c r="P102" s="625">
        <f t="shared" si="43"/>
        <v>0</v>
      </c>
      <c r="Q102" s="624">
        <f t="shared" si="43"/>
        <v>0</v>
      </c>
      <c r="R102" s="253"/>
      <c r="S102" s="850">
        <v>717</v>
      </c>
      <c r="T102" s="255">
        <v>107</v>
      </c>
      <c r="U102" s="255">
        <v>659</v>
      </c>
      <c r="V102" s="255"/>
      <c r="W102" s="255">
        <v>70</v>
      </c>
      <c r="X102" s="255"/>
      <c r="Y102" s="256">
        <v>1553</v>
      </c>
      <c r="Z102" s="254"/>
      <c r="AA102" s="255">
        <v>385</v>
      </c>
      <c r="AB102" s="255">
        <v>364</v>
      </c>
      <c r="AC102" s="255"/>
      <c r="AD102" s="255"/>
      <c r="AE102" s="256">
        <v>749</v>
      </c>
      <c r="AF102" s="254">
        <v>0</v>
      </c>
      <c r="AG102" s="255">
        <v>0</v>
      </c>
      <c r="AH102" s="254">
        <v>0</v>
      </c>
    </row>
    <row r="103" spans="1:34">
      <c r="A103" s="886"/>
      <c r="B103" s="239" t="s">
        <v>55</v>
      </c>
      <c r="C103" s="624">
        <f t="shared" si="42"/>
        <v>0.23960320488363221</v>
      </c>
      <c r="D103" s="625">
        <f t="shared" si="42"/>
        <v>0.2857142857142857</v>
      </c>
      <c r="E103" s="625">
        <f t="shared" si="42"/>
        <v>0.24560761346998536</v>
      </c>
      <c r="F103" s="625">
        <f t="shared" si="42"/>
        <v>0</v>
      </c>
      <c r="G103" s="625">
        <f t="shared" si="42"/>
        <v>0.29537366548042704</v>
      </c>
      <c r="H103" s="626">
        <f t="shared" si="42"/>
        <v>0</v>
      </c>
      <c r="I103" s="624">
        <f t="shared" si="42"/>
        <v>0.24748153122901276</v>
      </c>
      <c r="J103" s="624">
        <f t="shared" si="42"/>
        <v>0</v>
      </c>
      <c r="K103" s="625">
        <f t="shared" si="42"/>
        <v>0.18001978239366964</v>
      </c>
      <c r="L103" s="625">
        <f t="shared" si="42"/>
        <v>0.23047858942065491</v>
      </c>
      <c r="M103" s="625">
        <f t="shared" si="42"/>
        <v>0</v>
      </c>
      <c r="N103" s="624">
        <f t="shared" si="43"/>
        <v>0.20221606648199447</v>
      </c>
      <c r="O103" s="624">
        <f t="shared" si="43"/>
        <v>0</v>
      </c>
      <c r="P103" s="625">
        <f t="shared" si="43"/>
        <v>0</v>
      </c>
      <c r="Q103" s="624">
        <f t="shared" si="43"/>
        <v>0</v>
      </c>
      <c r="R103" s="253"/>
      <c r="S103" s="850">
        <v>628</v>
      </c>
      <c r="T103" s="255">
        <v>92</v>
      </c>
      <c r="U103" s="255">
        <v>671</v>
      </c>
      <c r="V103" s="255"/>
      <c r="W103" s="255">
        <v>83</v>
      </c>
      <c r="X103" s="255"/>
      <c r="Y103" s="256">
        <v>1474</v>
      </c>
      <c r="Z103" s="254"/>
      <c r="AA103" s="255">
        <v>182</v>
      </c>
      <c r="AB103" s="255">
        <v>183</v>
      </c>
      <c r="AC103" s="255"/>
      <c r="AD103" s="255"/>
      <c r="AE103" s="256">
        <v>365</v>
      </c>
      <c r="AF103" s="254">
        <v>0</v>
      </c>
      <c r="AG103" s="255">
        <v>0</v>
      </c>
      <c r="AH103" s="254">
        <v>0</v>
      </c>
    </row>
    <row r="104" spans="1:34">
      <c r="A104" s="886"/>
      <c r="B104" s="239" t="s">
        <v>78</v>
      </c>
      <c r="C104" s="624">
        <f t="shared" si="42"/>
        <v>7.0583746661579544E-2</v>
      </c>
      <c r="D104" s="625">
        <f t="shared" si="42"/>
        <v>2.1739130434782608E-2</v>
      </c>
      <c r="E104" s="625">
        <f t="shared" si="42"/>
        <v>7.6500732064421664E-2</v>
      </c>
      <c r="F104" s="625">
        <f t="shared" si="42"/>
        <v>0</v>
      </c>
      <c r="G104" s="625">
        <f t="shared" si="42"/>
        <v>4.6263345195729534E-2</v>
      </c>
      <c r="H104" s="626">
        <f t="shared" si="42"/>
        <v>0</v>
      </c>
      <c r="I104" s="624">
        <f t="shared" si="42"/>
        <v>6.9509738079247818E-2</v>
      </c>
      <c r="J104" s="624">
        <f t="shared" si="42"/>
        <v>0</v>
      </c>
      <c r="K104" s="625">
        <f t="shared" si="42"/>
        <v>0.33333333333333331</v>
      </c>
      <c r="L104" s="625">
        <f t="shared" si="42"/>
        <v>0.18765743073047858</v>
      </c>
      <c r="M104" s="625">
        <f t="shared" si="42"/>
        <v>0</v>
      </c>
      <c r="N104" s="624">
        <f t="shared" si="43"/>
        <v>0.26925207756232689</v>
      </c>
      <c r="O104" s="624">
        <f t="shared" si="43"/>
        <v>0</v>
      </c>
      <c r="P104" s="625">
        <f t="shared" si="43"/>
        <v>0</v>
      </c>
      <c r="Q104" s="624">
        <f t="shared" si="43"/>
        <v>0</v>
      </c>
      <c r="R104" s="253"/>
      <c r="S104" s="850">
        <v>185</v>
      </c>
      <c r="T104" s="255">
        <v>7</v>
      </c>
      <c r="U104" s="255">
        <v>209</v>
      </c>
      <c r="V104" s="255"/>
      <c r="W104" s="255">
        <v>13</v>
      </c>
      <c r="X104" s="255"/>
      <c r="Y104" s="256">
        <v>414</v>
      </c>
      <c r="Z104" s="254"/>
      <c r="AA104" s="255">
        <v>337</v>
      </c>
      <c r="AB104" s="255">
        <v>149</v>
      </c>
      <c r="AC104" s="255"/>
      <c r="AD104" s="255"/>
      <c r="AE104" s="256">
        <v>486</v>
      </c>
      <c r="AF104" s="254">
        <v>0</v>
      </c>
      <c r="AG104" s="255">
        <v>0</v>
      </c>
      <c r="AH104" s="254">
        <v>0</v>
      </c>
    </row>
    <row r="105" spans="1:34">
      <c r="A105" s="886"/>
      <c r="B105" s="239" t="s">
        <v>32</v>
      </c>
      <c r="C105" s="624">
        <f t="shared" si="42"/>
        <v>0.10835558946966807</v>
      </c>
      <c r="D105" s="625">
        <f t="shared" si="42"/>
        <v>2.4844720496894408E-2</v>
      </c>
      <c r="E105" s="625">
        <f t="shared" si="42"/>
        <v>0.10871156661786237</v>
      </c>
      <c r="F105" s="625">
        <f t="shared" si="42"/>
        <v>0</v>
      </c>
      <c r="G105" s="625">
        <f t="shared" si="42"/>
        <v>0.14590747330960854</v>
      </c>
      <c r="H105" s="626">
        <f t="shared" si="42"/>
        <v>0</v>
      </c>
      <c r="I105" s="624">
        <f t="shared" si="42"/>
        <v>0.10577568838146408</v>
      </c>
      <c r="J105" s="624">
        <f t="shared" si="42"/>
        <v>0</v>
      </c>
      <c r="K105" s="790">
        <f t="shared" si="42"/>
        <v>0</v>
      </c>
      <c r="L105" s="625">
        <f t="shared" si="42"/>
        <v>1.2594458438287153E-3</v>
      </c>
      <c r="M105" s="625">
        <f t="shared" si="42"/>
        <v>0</v>
      </c>
      <c r="N105" s="791">
        <f t="shared" si="43"/>
        <v>5.54016620498615E-4</v>
      </c>
      <c r="O105" s="624">
        <f t="shared" si="43"/>
        <v>0</v>
      </c>
      <c r="P105" s="625">
        <f t="shared" si="43"/>
        <v>0</v>
      </c>
      <c r="Q105" s="624">
        <f t="shared" si="43"/>
        <v>0</v>
      </c>
      <c r="R105" s="253"/>
      <c r="S105" s="850">
        <v>284</v>
      </c>
      <c r="T105" s="255">
        <v>8</v>
      </c>
      <c r="U105" s="255">
        <v>297</v>
      </c>
      <c r="V105" s="255"/>
      <c r="W105" s="255">
        <v>41</v>
      </c>
      <c r="X105" s="255"/>
      <c r="Y105" s="256">
        <v>630</v>
      </c>
      <c r="Z105" s="254"/>
      <c r="AA105" s="255">
        <v>0</v>
      </c>
      <c r="AB105" s="255">
        <v>1</v>
      </c>
      <c r="AC105" s="255"/>
      <c r="AD105" s="255"/>
      <c r="AE105" s="256">
        <v>1</v>
      </c>
      <c r="AF105" s="254">
        <v>0</v>
      </c>
      <c r="AG105" s="255">
        <v>0</v>
      </c>
      <c r="AH105" s="254">
        <v>0</v>
      </c>
    </row>
    <row r="106" spans="1:34">
      <c r="A106" s="886"/>
      <c r="B106" s="239" t="s">
        <v>58</v>
      </c>
      <c r="C106" s="624">
        <f t="shared" si="42"/>
        <v>0</v>
      </c>
      <c r="D106" s="625">
        <f t="shared" si="42"/>
        <v>0</v>
      </c>
      <c r="E106" s="792">
        <f t="shared" si="42"/>
        <v>0</v>
      </c>
      <c r="F106" s="625">
        <f t="shared" si="42"/>
        <v>0</v>
      </c>
      <c r="G106" s="792">
        <f t="shared" si="42"/>
        <v>0</v>
      </c>
      <c r="H106" s="626">
        <f t="shared" si="42"/>
        <v>0</v>
      </c>
      <c r="I106" s="793">
        <f t="shared" si="42"/>
        <v>0</v>
      </c>
      <c r="J106" s="624">
        <f t="shared" si="42"/>
        <v>0</v>
      </c>
      <c r="K106" s="625">
        <f t="shared" si="42"/>
        <v>0</v>
      </c>
      <c r="L106" s="625">
        <f t="shared" si="42"/>
        <v>0</v>
      </c>
      <c r="M106" s="625">
        <f t="shared" si="42"/>
        <v>0</v>
      </c>
      <c r="N106" s="624">
        <f t="shared" si="43"/>
        <v>0</v>
      </c>
      <c r="O106" s="624">
        <f t="shared" si="43"/>
        <v>1</v>
      </c>
      <c r="P106" s="625">
        <f t="shared" si="43"/>
        <v>1</v>
      </c>
      <c r="Q106" s="624">
        <f t="shared" si="43"/>
        <v>1</v>
      </c>
      <c r="R106" s="253"/>
      <c r="S106" s="850">
        <v>0</v>
      </c>
      <c r="T106" s="255">
        <v>0</v>
      </c>
      <c r="U106" s="255">
        <v>0</v>
      </c>
      <c r="V106" s="255"/>
      <c r="W106" s="255">
        <v>0</v>
      </c>
      <c r="X106" s="255"/>
      <c r="Y106" s="256">
        <v>0</v>
      </c>
      <c r="Z106" s="254"/>
      <c r="AA106" s="255">
        <v>0</v>
      </c>
      <c r="AB106" s="255">
        <v>0</v>
      </c>
      <c r="AC106" s="255"/>
      <c r="AD106" s="255"/>
      <c r="AE106" s="256">
        <v>0</v>
      </c>
      <c r="AF106" s="254">
        <v>40</v>
      </c>
      <c r="AG106" s="255">
        <v>441</v>
      </c>
      <c r="AH106" s="254">
        <v>481</v>
      </c>
    </row>
    <row r="107" spans="1:34">
      <c r="A107" s="887"/>
      <c r="B107" s="436" t="s">
        <v>59</v>
      </c>
      <c r="C107" s="577">
        <f t="shared" si="42"/>
        <v>1</v>
      </c>
      <c r="D107" s="578">
        <f t="shared" si="42"/>
        <v>1</v>
      </c>
      <c r="E107" s="578">
        <f t="shared" si="42"/>
        <v>1</v>
      </c>
      <c r="F107" s="578">
        <f t="shared" si="42"/>
        <v>0</v>
      </c>
      <c r="G107" s="578">
        <f t="shared" si="42"/>
        <v>1</v>
      </c>
      <c r="H107" s="579">
        <f t="shared" si="42"/>
        <v>0</v>
      </c>
      <c r="I107" s="577">
        <f t="shared" si="42"/>
        <v>1</v>
      </c>
      <c r="J107" s="577">
        <f t="shared" si="42"/>
        <v>0</v>
      </c>
      <c r="K107" s="578">
        <f t="shared" si="42"/>
        <v>1</v>
      </c>
      <c r="L107" s="578">
        <f t="shared" si="42"/>
        <v>1</v>
      </c>
      <c r="M107" s="578">
        <f t="shared" si="42"/>
        <v>0</v>
      </c>
      <c r="N107" s="577">
        <f t="shared" si="43"/>
        <v>1</v>
      </c>
      <c r="O107" s="577">
        <f t="shared" si="43"/>
        <v>1</v>
      </c>
      <c r="P107" s="578">
        <f t="shared" si="43"/>
        <v>1</v>
      </c>
      <c r="Q107" s="577">
        <f t="shared" si="43"/>
        <v>1</v>
      </c>
      <c r="R107" s="264"/>
      <c r="S107" s="853">
        <v>2621</v>
      </c>
      <c r="T107" s="266">
        <v>322</v>
      </c>
      <c r="U107" s="266">
        <v>2732</v>
      </c>
      <c r="V107" s="266"/>
      <c r="W107" s="266">
        <v>281</v>
      </c>
      <c r="X107" s="266"/>
      <c r="Y107" s="267">
        <v>5956</v>
      </c>
      <c r="Z107" s="265"/>
      <c r="AA107" s="266">
        <v>1011</v>
      </c>
      <c r="AB107" s="266">
        <v>794</v>
      </c>
      <c r="AC107" s="266"/>
      <c r="AD107" s="266"/>
      <c r="AE107" s="267">
        <v>1805</v>
      </c>
      <c r="AF107" s="265">
        <v>40</v>
      </c>
      <c r="AG107" s="266">
        <v>441</v>
      </c>
      <c r="AH107" s="265">
        <v>481</v>
      </c>
    </row>
    <row r="108" spans="1:34">
      <c r="A108" s="883" t="s">
        <v>16</v>
      </c>
      <c r="B108" s="240" t="s">
        <v>53</v>
      </c>
      <c r="C108" s="613">
        <f t="shared" ref="C108:M114" si="44">IF(S$114&gt;0,(S108/S$114),0)</f>
        <v>0.32154216867469881</v>
      </c>
      <c r="D108" s="614">
        <f t="shared" si="44"/>
        <v>0.2543478260869565</v>
      </c>
      <c r="E108" s="614">
        <f t="shared" si="44"/>
        <v>0.21515191028817315</v>
      </c>
      <c r="F108" s="614">
        <f t="shared" si="44"/>
        <v>0.19796954314720813</v>
      </c>
      <c r="G108" s="614">
        <f t="shared" si="44"/>
        <v>0.1875</v>
      </c>
      <c r="H108" s="615">
        <f t="shared" si="44"/>
        <v>0</v>
      </c>
      <c r="I108" s="613">
        <f t="shared" si="44"/>
        <v>0.27219253958139306</v>
      </c>
      <c r="J108" s="613">
        <f t="shared" si="44"/>
        <v>8.2998661311914329E-2</v>
      </c>
      <c r="K108" s="614">
        <f t="shared" si="44"/>
        <v>0.30728906640039938</v>
      </c>
      <c r="L108" s="614">
        <f t="shared" si="44"/>
        <v>0.17661870503597121</v>
      </c>
      <c r="M108" s="614">
        <f t="shared" si="44"/>
        <v>0.14055299539170507</v>
      </c>
      <c r="N108" s="613">
        <f t="shared" ref="N108:Q114" si="45">IF(AE$114&gt;0,(AE108/AE$114),0)</f>
        <v>0.25691138394721458</v>
      </c>
      <c r="O108" s="788">
        <f t="shared" si="45"/>
        <v>0</v>
      </c>
      <c r="P108" s="614">
        <f t="shared" si="45"/>
        <v>0</v>
      </c>
      <c r="Q108" s="788">
        <f t="shared" si="45"/>
        <v>0</v>
      </c>
      <c r="R108" s="244"/>
      <c r="S108" s="847">
        <v>3336</v>
      </c>
      <c r="T108" s="246">
        <v>468</v>
      </c>
      <c r="U108" s="246">
        <v>1650</v>
      </c>
      <c r="V108" s="246">
        <v>39</v>
      </c>
      <c r="W108" s="246">
        <v>60</v>
      </c>
      <c r="X108" s="246">
        <v>0</v>
      </c>
      <c r="Y108" s="247">
        <v>5553</v>
      </c>
      <c r="Z108" s="245">
        <v>62</v>
      </c>
      <c r="AA108" s="246">
        <v>2462</v>
      </c>
      <c r="AB108" s="246">
        <v>491</v>
      </c>
      <c r="AC108" s="246">
        <v>61</v>
      </c>
      <c r="AD108" s="246"/>
      <c r="AE108" s="247">
        <v>3076</v>
      </c>
      <c r="AF108" s="245"/>
      <c r="AG108" s="246"/>
      <c r="AH108" s="245"/>
    </row>
    <row r="109" spans="1:34">
      <c r="A109" s="886"/>
      <c r="B109" s="239" t="s">
        <v>93</v>
      </c>
      <c r="C109" s="624">
        <f t="shared" si="44"/>
        <v>0.24780722891566265</v>
      </c>
      <c r="D109" s="625">
        <f t="shared" si="44"/>
        <v>0.3125</v>
      </c>
      <c r="E109" s="625">
        <f t="shared" si="44"/>
        <v>0.24983700612856957</v>
      </c>
      <c r="F109" s="625">
        <f t="shared" si="44"/>
        <v>0.25888324873096447</v>
      </c>
      <c r="G109" s="625">
        <f t="shared" si="44"/>
        <v>0.33437499999999998</v>
      </c>
      <c r="H109" s="626">
        <f t="shared" si="44"/>
        <v>0</v>
      </c>
      <c r="I109" s="624">
        <f t="shared" si="44"/>
        <v>0.25586981030341649</v>
      </c>
      <c r="J109" s="624">
        <f t="shared" si="44"/>
        <v>0.10174029451137885</v>
      </c>
      <c r="K109" s="625">
        <f t="shared" si="44"/>
        <v>0.10297054418372441</v>
      </c>
      <c r="L109" s="625">
        <f t="shared" si="44"/>
        <v>7.2302158273381295E-2</v>
      </c>
      <c r="M109" s="625">
        <f t="shared" si="44"/>
        <v>5.2995391705069124E-2</v>
      </c>
      <c r="N109" s="624">
        <f t="shared" si="45"/>
        <v>9.3961413179654216E-2</v>
      </c>
      <c r="O109" s="624">
        <f t="shared" si="45"/>
        <v>0</v>
      </c>
      <c r="P109" s="625">
        <f t="shared" si="45"/>
        <v>0</v>
      </c>
      <c r="Q109" s="624">
        <f t="shared" si="45"/>
        <v>0</v>
      </c>
      <c r="R109" s="253"/>
      <c r="S109" s="850">
        <v>2571</v>
      </c>
      <c r="T109" s="255">
        <v>575</v>
      </c>
      <c r="U109" s="255">
        <v>1916</v>
      </c>
      <c r="V109" s="255">
        <v>51</v>
      </c>
      <c r="W109" s="255">
        <v>107</v>
      </c>
      <c r="X109" s="255">
        <v>0</v>
      </c>
      <c r="Y109" s="256">
        <v>5220</v>
      </c>
      <c r="Z109" s="254">
        <v>76</v>
      </c>
      <c r="AA109" s="255">
        <v>825</v>
      </c>
      <c r="AB109" s="255">
        <v>201</v>
      </c>
      <c r="AC109" s="255">
        <v>23</v>
      </c>
      <c r="AD109" s="255"/>
      <c r="AE109" s="256">
        <v>1125</v>
      </c>
      <c r="AF109" s="254"/>
      <c r="AG109" s="255"/>
      <c r="AH109" s="254"/>
    </row>
    <row r="110" spans="1:34">
      <c r="A110" s="886"/>
      <c r="B110" s="239" t="s">
        <v>55</v>
      </c>
      <c r="C110" s="624">
        <f t="shared" si="44"/>
        <v>0.172144578313253</v>
      </c>
      <c r="D110" s="625">
        <f t="shared" si="44"/>
        <v>0.23967391304347826</v>
      </c>
      <c r="E110" s="625">
        <f t="shared" si="44"/>
        <v>0.27930629808319207</v>
      </c>
      <c r="F110" s="625">
        <f t="shared" si="44"/>
        <v>0.28934010152284262</v>
      </c>
      <c r="G110" s="625">
        <f t="shared" si="44"/>
        <v>0.22187499999999999</v>
      </c>
      <c r="H110" s="626">
        <f t="shared" si="44"/>
        <v>0</v>
      </c>
      <c r="I110" s="624">
        <f t="shared" si="44"/>
        <v>0.22043037106024216</v>
      </c>
      <c r="J110" s="624">
        <f t="shared" si="44"/>
        <v>0.10307898259705489</v>
      </c>
      <c r="K110" s="625">
        <f t="shared" si="44"/>
        <v>0.10771342985521717</v>
      </c>
      <c r="L110" s="625">
        <f t="shared" si="44"/>
        <v>6.438848920863309E-2</v>
      </c>
      <c r="M110" s="625">
        <f t="shared" si="44"/>
        <v>8.9861751152073732E-2</v>
      </c>
      <c r="N110" s="624">
        <f t="shared" si="45"/>
        <v>9.6717614632924082E-2</v>
      </c>
      <c r="O110" s="624">
        <f t="shared" si="45"/>
        <v>0</v>
      </c>
      <c r="P110" s="625">
        <f t="shared" si="45"/>
        <v>0</v>
      </c>
      <c r="Q110" s="624">
        <f t="shared" si="45"/>
        <v>0</v>
      </c>
      <c r="R110" s="253"/>
      <c r="S110" s="850">
        <v>1786</v>
      </c>
      <c r="T110" s="255">
        <v>441</v>
      </c>
      <c r="U110" s="255">
        <v>2142</v>
      </c>
      <c r="V110" s="255">
        <v>57</v>
      </c>
      <c r="W110" s="255">
        <v>71</v>
      </c>
      <c r="X110" s="255">
        <v>0</v>
      </c>
      <c r="Y110" s="256">
        <v>4497</v>
      </c>
      <c r="Z110" s="254">
        <v>77</v>
      </c>
      <c r="AA110" s="255">
        <v>863</v>
      </c>
      <c r="AB110" s="255">
        <v>179</v>
      </c>
      <c r="AC110" s="255">
        <v>39</v>
      </c>
      <c r="AD110" s="255"/>
      <c r="AE110" s="256">
        <v>1158</v>
      </c>
      <c r="AF110" s="254"/>
      <c r="AG110" s="255"/>
      <c r="AH110" s="254"/>
    </row>
    <row r="111" spans="1:34">
      <c r="A111" s="886"/>
      <c r="B111" s="239" t="s">
        <v>78</v>
      </c>
      <c r="C111" s="624">
        <f t="shared" si="44"/>
        <v>4.2506024096385542E-2</v>
      </c>
      <c r="D111" s="625">
        <f t="shared" si="44"/>
        <v>2.1739130434782609E-3</v>
      </c>
      <c r="E111" s="625">
        <f t="shared" si="44"/>
        <v>6.8848611292215409E-2</v>
      </c>
      <c r="F111" s="625">
        <f t="shared" si="44"/>
        <v>7.6142131979695438E-2</v>
      </c>
      <c r="G111" s="625">
        <f t="shared" si="44"/>
        <v>3.1250000000000002E-3</v>
      </c>
      <c r="H111" s="626">
        <f t="shared" si="44"/>
        <v>0</v>
      </c>
      <c r="I111" s="624">
        <f t="shared" si="44"/>
        <v>4.8478015783540024E-2</v>
      </c>
      <c r="J111" s="624">
        <f t="shared" si="44"/>
        <v>0.71084337349397586</v>
      </c>
      <c r="K111" s="625">
        <f t="shared" si="44"/>
        <v>0.25536694957563655</v>
      </c>
      <c r="L111" s="625">
        <f t="shared" si="44"/>
        <v>0.42805755395683454</v>
      </c>
      <c r="M111" s="625">
        <f t="shared" si="44"/>
        <v>0.7142857142857143</v>
      </c>
      <c r="N111" s="624">
        <f t="shared" si="45"/>
        <v>0.34051616136306689</v>
      </c>
      <c r="O111" s="624">
        <f t="shared" si="45"/>
        <v>0</v>
      </c>
      <c r="P111" s="625">
        <f t="shared" si="45"/>
        <v>0</v>
      </c>
      <c r="Q111" s="624">
        <f t="shared" si="45"/>
        <v>0</v>
      </c>
      <c r="R111" s="253"/>
      <c r="S111" s="850">
        <v>441</v>
      </c>
      <c r="T111" s="255">
        <v>4</v>
      </c>
      <c r="U111" s="255">
        <v>528</v>
      </c>
      <c r="V111" s="255">
        <v>15</v>
      </c>
      <c r="W111" s="255">
        <v>1</v>
      </c>
      <c r="X111" s="255">
        <v>0</v>
      </c>
      <c r="Y111" s="256">
        <v>989</v>
      </c>
      <c r="Z111" s="254">
        <v>531</v>
      </c>
      <c r="AA111" s="255">
        <v>2046</v>
      </c>
      <c r="AB111" s="255">
        <v>1190</v>
      </c>
      <c r="AC111" s="255">
        <v>310</v>
      </c>
      <c r="AD111" s="255"/>
      <c r="AE111" s="256">
        <v>4077</v>
      </c>
      <c r="AF111" s="254"/>
      <c r="AG111" s="255"/>
      <c r="AH111" s="254"/>
    </row>
    <row r="112" spans="1:34">
      <c r="A112" s="886"/>
      <c r="B112" s="239" t="s">
        <v>32</v>
      </c>
      <c r="C112" s="624">
        <f t="shared" si="44"/>
        <v>0.216</v>
      </c>
      <c r="D112" s="625">
        <f t="shared" si="44"/>
        <v>0.19130434782608696</v>
      </c>
      <c r="E112" s="625">
        <f t="shared" si="44"/>
        <v>0.18685617420784978</v>
      </c>
      <c r="F112" s="625">
        <f t="shared" si="44"/>
        <v>0.17766497461928935</v>
      </c>
      <c r="G112" s="625">
        <f t="shared" si="44"/>
        <v>0.25312499999999999</v>
      </c>
      <c r="H112" s="626">
        <f t="shared" si="44"/>
        <v>0</v>
      </c>
      <c r="I112" s="624">
        <f t="shared" si="44"/>
        <v>0.20302926327140827</v>
      </c>
      <c r="J112" s="624">
        <f t="shared" si="44"/>
        <v>0</v>
      </c>
      <c r="K112" s="625">
        <f t="shared" si="44"/>
        <v>0</v>
      </c>
      <c r="L112" s="790">
        <f t="shared" si="44"/>
        <v>0</v>
      </c>
      <c r="M112" s="790">
        <f t="shared" si="44"/>
        <v>0</v>
      </c>
      <c r="N112" s="624">
        <f t="shared" si="45"/>
        <v>0</v>
      </c>
      <c r="O112" s="624">
        <f t="shared" si="45"/>
        <v>0</v>
      </c>
      <c r="P112" s="625">
        <f t="shared" si="45"/>
        <v>0</v>
      </c>
      <c r="Q112" s="624">
        <f t="shared" si="45"/>
        <v>0</v>
      </c>
      <c r="R112" s="253"/>
      <c r="S112" s="850">
        <v>2241</v>
      </c>
      <c r="T112" s="255">
        <v>352</v>
      </c>
      <c r="U112" s="255">
        <v>1433</v>
      </c>
      <c r="V112" s="255">
        <v>35</v>
      </c>
      <c r="W112" s="255">
        <v>81</v>
      </c>
      <c r="X112" s="255">
        <v>0</v>
      </c>
      <c r="Y112" s="256">
        <v>4142</v>
      </c>
      <c r="Z112" s="254">
        <v>0</v>
      </c>
      <c r="AA112" s="255">
        <v>0</v>
      </c>
      <c r="AB112" s="255">
        <v>0</v>
      </c>
      <c r="AC112" s="255">
        <v>0</v>
      </c>
      <c r="AD112" s="255"/>
      <c r="AE112" s="256">
        <v>0</v>
      </c>
      <c r="AF112" s="254"/>
      <c r="AG112" s="255"/>
      <c r="AH112" s="254"/>
    </row>
    <row r="113" spans="1:34">
      <c r="A113" s="886"/>
      <c r="B113" s="239" t="s">
        <v>58</v>
      </c>
      <c r="C113" s="624">
        <f t="shared" si="44"/>
        <v>0</v>
      </c>
      <c r="D113" s="625">
        <f t="shared" si="44"/>
        <v>0</v>
      </c>
      <c r="E113" s="625">
        <f t="shared" si="44"/>
        <v>0</v>
      </c>
      <c r="F113" s="625">
        <f t="shared" si="44"/>
        <v>0</v>
      </c>
      <c r="G113" s="625">
        <f t="shared" si="44"/>
        <v>0</v>
      </c>
      <c r="H113" s="626">
        <f t="shared" si="44"/>
        <v>0</v>
      </c>
      <c r="I113" s="624">
        <f t="shared" si="44"/>
        <v>0</v>
      </c>
      <c r="J113" s="624">
        <f t="shared" si="44"/>
        <v>1.3386880856760374E-3</v>
      </c>
      <c r="K113" s="625">
        <f t="shared" si="44"/>
        <v>0.22666000998502248</v>
      </c>
      <c r="L113" s="625">
        <f t="shared" si="44"/>
        <v>0.25863309352517988</v>
      </c>
      <c r="M113" s="625">
        <f t="shared" si="44"/>
        <v>2.304147465437788E-3</v>
      </c>
      <c r="N113" s="624">
        <f t="shared" si="45"/>
        <v>0.21189342687714025</v>
      </c>
      <c r="O113" s="624">
        <f t="shared" si="45"/>
        <v>0</v>
      </c>
      <c r="P113" s="625">
        <f t="shared" si="45"/>
        <v>0</v>
      </c>
      <c r="Q113" s="624">
        <f t="shared" si="45"/>
        <v>0</v>
      </c>
      <c r="R113" s="253"/>
      <c r="S113" s="850">
        <v>0</v>
      </c>
      <c r="T113" s="255">
        <v>0</v>
      </c>
      <c r="U113" s="255">
        <v>0</v>
      </c>
      <c r="V113" s="255">
        <v>0</v>
      </c>
      <c r="W113" s="255">
        <v>0</v>
      </c>
      <c r="X113" s="255">
        <v>0</v>
      </c>
      <c r="Y113" s="256">
        <v>0</v>
      </c>
      <c r="Z113" s="254">
        <v>1</v>
      </c>
      <c r="AA113" s="255">
        <v>1816</v>
      </c>
      <c r="AB113" s="255">
        <v>719</v>
      </c>
      <c r="AC113" s="255">
        <v>1</v>
      </c>
      <c r="AD113" s="255"/>
      <c r="AE113" s="256">
        <v>2537</v>
      </c>
      <c r="AF113" s="254"/>
      <c r="AG113" s="255"/>
      <c r="AH113" s="254"/>
    </row>
    <row r="114" spans="1:34">
      <c r="A114" s="887"/>
      <c r="B114" s="436" t="s">
        <v>59</v>
      </c>
      <c r="C114" s="577">
        <f t="shared" si="44"/>
        <v>1</v>
      </c>
      <c r="D114" s="578">
        <f t="shared" si="44"/>
        <v>1</v>
      </c>
      <c r="E114" s="578">
        <f t="shared" si="44"/>
        <v>1</v>
      </c>
      <c r="F114" s="578">
        <f t="shared" si="44"/>
        <v>1</v>
      </c>
      <c r="G114" s="578">
        <f t="shared" si="44"/>
        <v>1</v>
      </c>
      <c r="H114" s="579">
        <f t="shared" si="44"/>
        <v>0</v>
      </c>
      <c r="I114" s="577">
        <f t="shared" si="44"/>
        <v>1</v>
      </c>
      <c r="J114" s="577">
        <f t="shared" si="44"/>
        <v>1</v>
      </c>
      <c r="K114" s="578">
        <f t="shared" si="44"/>
        <v>1</v>
      </c>
      <c r="L114" s="578">
        <f t="shared" si="44"/>
        <v>1</v>
      </c>
      <c r="M114" s="578">
        <f t="shared" si="44"/>
        <v>1</v>
      </c>
      <c r="N114" s="577">
        <f t="shared" si="45"/>
        <v>1</v>
      </c>
      <c r="O114" s="577">
        <f t="shared" si="45"/>
        <v>0</v>
      </c>
      <c r="P114" s="578">
        <f t="shared" si="45"/>
        <v>0</v>
      </c>
      <c r="Q114" s="577">
        <f t="shared" si="45"/>
        <v>0</v>
      </c>
      <c r="R114" s="264"/>
      <c r="S114" s="853">
        <v>10375</v>
      </c>
      <c r="T114" s="266">
        <v>1840</v>
      </c>
      <c r="U114" s="266">
        <v>7669</v>
      </c>
      <c r="V114" s="266">
        <v>197</v>
      </c>
      <c r="W114" s="266">
        <v>320</v>
      </c>
      <c r="X114" s="266">
        <v>0</v>
      </c>
      <c r="Y114" s="267">
        <v>20401</v>
      </c>
      <c r="Z114" s="265">
        <v>747</v>
      </c>
      <c r="AA114" s="266">
        <v>8012</v>
      </c>
      <c r="AB114" s="266">
        <v>2780</v>
      </c>
      <c r="AC114" s="266">
        <v>434</v>
      </c>
      <c r="AD114" s="266"/>
      <c r="AE114" s="267">
        <v>11973</v>
      </c>
      <c r="AF114" s="265"/>
      <c r="AG114" s="266"/>
      <c r="AH114" s="265"/>
    </row>
    <row r="115" spans="1:34">
      <c r="A115" s="883" t="s">
        <v>17</v>
      </c>
      <c r="B115" s="240" t="s">
        <v>53</v>
      </c>
      <c r="C115" s="613">
        <f t="shared" ref="C115:M121" si="46">IF(S$121&gt;0,(S115/S$121),0)</f>
        <v>0.34249303066507369</v>
      </c>
      <c r="D115" s="614">
        <f t="shared" si="46"/>
        <v>0.23745277927684835</v>
      </c>
      <c r="E115" s="614">
        <f t="shared" si="46"/>
        <v>0.27209492635024551</v>
      </c>
      <c r="F115" s="614">
        <f t="shared" si="46"/>
        <v>0</v>
      </c>
      <c r="G115" s="614">
        <f t="shared" si="46"/>
        <v>0.1417910447761194</v>
      </c>
      <c r="H115" s="615">
        <f t="shared" si="46"/>
        <v>0.18478260869565216</v>
      </c>
      <c r="I115" s="613">
        <f t="shared" si="46"/>
        <v>0.29755139993801011</v>
      </c>
      <c r="J115" s="613">
        <f t="shared" si="46"/>
        <v>0</v>
      </c>
      <c r="K115" s="614">
        <f t="shared" si="46"/>
        <v>0</v>
      </c>
      <c r="L115" s="614">
        <f t="shared" si="46"/>
        <v>0</v>
      </c>
      <c r="M115" s="614">
        <f t="shared" si="46"/>
        <v>0.33333333333333331</v>
      </c>
      <c r="N115" s="613">
        <f t="shared" ref="N115:Q121" si="47">IF(AE$121&gt;0,(AE115/AE$121),0)</f>
        <v>0.18465227817745802</v>
      </c>
      <c r="O115" s="788">
        <f t="shared" si="47"/>
        <v>0</v>
      </c>
      <c r="P115" s="614">
        <f t="shared" si="47"/>
        <v>0</v>
      </c>
      <c r="Q115" s="788">
        <f t="shared" si="47"/>
        <v>0</v>
      </c>
      <c r="R115" s="244"/>
      <c r="S115" s="847">
        <v>1720</v>
      </c>
      <c r="T115" s="246">
        <v>440</v>
      </c>
      <c r="U115" s="246">
        <v>665</v>
      </c>
      <c r="V115" s="246"/>
      <c r="W115" s="246">
        <v>38</v>
      </c>
      <c r="X115" s="246">
        <v>17</v>
      </c>
      <c r="Y115" s="247">
        <v>2880</v>
      </c>
      <c r="Z115" s="245"/>
      <c r="AA115" s="246">
        <v>0</v>
      </c>
      <c r="AB115" s="246">
        <v>0</v>
      </c>
      <c r="AC115" s="246">
        <v>12</v>
      </c>
      <c r="AD115" s="246">
        <v>450</v>
      </c>
      <c r="AE115" s="247">
        <v>462</v>
      </c>
      <c r="AF115" s="245"/>
      <c r="AG115" s="246"/>
      <c r="AH115" s="245"/>
    </row>
    <row r="116" spans="1:34">
      <c r="A116" s="886"/>
      <c r="B116" s="239" t="s">
        <v>93</v>
      </c>
      <c r="C116" s="624">
        <f t="shared" si="46"/>
        <v>0.30227001194743131</v>
      </c>
      <c r="D116" s="625">
        <f t="shared" si="46"/>
        <v>0.27954668105774422</v>
      </c>
      <c r="E116" s="625">
        <f t="shared" si="46"/>
        <v>0.29378068739770868</v>
      </c>
      <c r="F116" s="625">
        <f t="shared" si="46"/>
        <v>0</v>
      </c>
      <c r="G116" s="625">
        <f t="shared" si="46"/>
        <v>0.30597014925373134</v>
      </c>
      <c r="H116" s="626">
        <f t="shared" si="46"/>
        <v>0.34782608695652173</v>
      </c>
      <c r="I116" s="624">
        <f t="shared" si="46"/>
        <v>0.29631160243826843</v>
      </c>
      <c r="J116" s="624">
        <f t="shared" si="46"/>
        <v>0</v>
      </c>
      <c r="K116" s="625">
        <f t="shared" si="46"/>
        <v>0</v>
      </c>
      <c r="L116" s="625">
        <f t="shared" si="46"/>
        <v>0</v>
      </c>
      <c r="M116" s="625">
        <f t="shared" si="46"/>
        <v>0.3611111111111111</v>
      </c>
      <c r="N116" s="624">
        <f t="shared" si="47"/>
        <v>0.28776978417266186</v>
      </c>
      <c r="O116" s="624">
        <f t="shared" si="47"/>
        <v>0</v>
      </c>
      <c r="P116" s="625">
        <f t="shared" si="47"/>
        <v>0</v>
      </c>
      <c r="Q116" s="624">
        <f t="shared" si="47"/>
        <v>0</v>
      </c>
      <c r="R116" s="253"/>
      <c r="S116" s="850">
        <v>1518</v>
      </c>
      <c r="T116" s="255">
        <v>518</v>
      </c>
      <c r="U116" s="255">
        <v>718</v>
      </c>
      <c r="V116" s="255"/>
      <c r="W116" s="255">
        <v>82</v>
      </c>
      <c r="X116" s="255">
        <v>32</v>
      </c>
      <c r="Y116" s="256">
        <v>2868</v>
      </c>
      <c r="Z116" s="254"/>
      <c r="AA116" s="255">
        <v>0</v>
      </c>
      <c r="AB116" s="255">
        <v>0</v>
      </c>
      <c r="AC116" s="255">
        <v>13</v>
      </c>
      <c r="AD116" s="255">
        <v>707</v>
      </c>
      <c r="AE116" s="256">
        <v>720</v>
      </c>
      <c r="AF116" s="254"/>
      <c r="AG116" s="255"/>
      <c r="AH116" s="254"/>
    </row>
    <row r="117" spans="1:34">
      <c r="A117" s="886"/>
      <c r="B117" s="239" t="s">
        <v>55</v>
      </c>
      <c r="C117" s="624">
        <f t="shared" si="46"/>
        <v>0.22560732775786541</v>
      </c>
      <c r="D117" s="625">
        <f t="shared" si="46"/>
        <v>0.30868861305990286</v>
      </c>
      <c r="E117" s="625">
        <f t="shared" si="46"/>
        <v>0.28436988543371522</v>
      </c>
      <c r="F117" s="625">
        <f t="shared" si="46"/>
        <v>0</v>
      </c>
      <c r="G117" s="625">
        <f t="shared" si="46"/>
        <v>0.20895522388059701</v>
      </c>
      <c r="H117" s="626">
        <f t="shared" si="46"/>
        <v>0.2391304347826087</v>
      </c>
      <c r="I117" s="624">
        <f t="shared" si="46"/>
        <v>0.2560181836966629</v>
      </c>
      <c r="J117" s="624">
        <f t="shared" si="46"/>
        <v>0</v>
      </c>
      <c r="K117" s="625">
        <f t="shared" si="46"/>
        <v>0</v>
      </c>
      <c r="L117" s="625">
        <f t="shared" si="46"/>
        <v>0</v>
      </c>
      <c r="M117" s="625">
        <f t="shared" si="46"/>
        <v>0.19444444444444445</v>
      </c>
      <c r="N117" s="624">
        <f t="shared" si="47"/>
        <v>0.30455635491606714</v>
      </c>
      <c r="O117" s="624">
        <f t="shared" si="47"/>
        <v>0</v>
      </c>
      <c r="P117" s="625">
        <f t="shared" si="47"/>
        <v>0</v>
      </c>
      <c r="Q117" s="624">
        <f t="shared" si="47"/>
        <v>0</v>
      </c>
      <c r="R117" s="253"/>
      <c r="S117" s="850">
        <v>1133</v>
      </c>
      <c r="T117" s="255">
        <v>572</v>
      </c>
      <c r="U117" s="255">
        <v>695</v>
      </c>
      <c r="V117" s="255"/>
      <c r="W117" s="255">
        <v>56</v>
      </c>
      <c r="X117" s="255">
        <v>22</v>
      </c>
      <c r="Y117" s="256">
        <v>2478</v>
      </c>
      <c r="Z117" s="254"/>
      <c r="AA117" s="255">
        <v>0</v>
      </c>
      <c r="AB117" s="255">
        <v>0</v>
      </c>
      <c r="AC117" s="255">
        <v>7</v>
      </c>
      <c r="AD117" s="255">
        <v>755</v>
      </c>
      <c r="AE117" s="256">
        <v>762</v>
      </c>
      <c r="AF117" s="254"/>
      <c r="AG117" s="255"/>
      <c r="AH117" s="254"/>
    </row>
    <row r="118" spans="1:34">
      <c r="A118" s="886"/>
      <c r="B118" s="239" t="s">
        <v>78</v>
      </c>
      <c r="C118" s="624">
        <f t="shared" si="46"/>
        <v>6.7303863002787734E-2</v>
      </c>
      <c r="D118" s="625">
        <f t="shared" si="46"/>
        <v>0.16837560712358338</v>
      </c>
      <c r="E118" s="625">
        <f t="shared" si="46"/>
        <v>9.9018003273322427E-2</v>
      </c>
      <c r="F118" s="625">
        <f t="shared" si="46"/>
        <v>0</v>
      </c>
      <c r="G118" s="625">
        <f t="shared" si="46"/>
        <v>0.1417910447761194</v>
      </c>
      <c r="H118" s="626">
        <f t="shared" si="46"/>
        <v>0.22826086956521738</v>
      </c>
      <c r="I118" s="624">
        <f t="shared" si="46"/>
        <v>9.8253951854530425E-2</v>
      </c>
      <c r="J118" s="624">
        <f t="shared" si="46"/>
        <v>0</v>
      </c>
      <c r="K118" s="625">
        <f t="shared" si="46"/>
        <v>0</v>
      </c>
      <c r="L118" s="625">
        <f t="shared" si="46"/>
        <v>0</v>
      </c>
      <c r="M118" s="625">
        <f t="shared" si="46"/>
        <v>0.1111111111111111</v>
      </c>
      <c r="N118" s="624">
        <f t="shared" si="47"/>
        <v>0.19704236610711431</v>
      </c>
      <c r="O118" s="624">
        <f t="shared" si="47"/>
        <v>0</v>
      </c>
      <c r="P118" s="625">
        <f t="shared" si="47"/>
        <v>0</v>
      </c>
      <c r="Q118" s="624">
        <f t="shared" si="47"/>
        <v>0</v>
      </c>
      <c r="R118" s="253"/>
      <c r="S118" s="850">
        <v>338</v>
      </c>
      <c r="T118" s="255">
        <v>312</v>
      </c>
      <c r="U118" s="255">
        <v>242</v>
      </c>
      <c r="V118" s="255"/>
      <c r="W118" s="255">
        <v>38</v>
      </c>
      <c r="X118" s="255">
        <v>21</v>
      </c>
      <c r="Y118" s="256">
        <v>951</v>
      </c>
      <c r="Z118" s="254"/>
      <c r="AA118" s="255">
        <v>0</v>
      </c>
      <c r="AB118" s="255">
        <v>0</v>
      </c>
      <c r="AC118" s="255">
        <v>4</v>
      </c>
      <c r="AD118" s="255">
        <v>489</v>
      </c>
      <c r="AE118" s="256">
        <v>493</v>
      </c>
      <c r="AF118" s="254"/>
      <c r="AG118" s="255"/>
      <c r="AH118" s="254"/>
    </row>
    <row r="119" spans="1:34">
      <c r="A119" s="886"/>
      <c r="B119" s="239" t="s">
        <v>32</v>
      </c>
      <c r="C119" s="624">
        <f t="shared" si="46"/>
        <v>6.2325766626841896E-2</v>
      </c>
      <c r="D119" s="625">
        <f t="shared" si="46"/>
        <v>5.9363194819212085E-3</v>
      </c>
      <c r="E119" s="625">
        <f t="shared" si="46"/>
        <v>5.0736497545008183E-2</v>
      </c>
      <c r="F119" s="625">
        <f t="shared" si="46"/>
        <v>0</v>
      </c>
      <c r="G119" s="625">
        <f t="shared" si="46"/>
        <v>0.20149253731343283</v>
      </c>
      <c r="H119" s="626">
        <f t="shared" si="46"/>
        <v>0</v>
      </c>
      <c r="I119" s="624">
        <f t="shared" si="46"/>
        <v>5.1864862072528155E-2</v>
      </c>
      <c r="J119" s="624">
        <f t="shared" si="46"/>
        <v>0</v>
      </c>
      <c r="K119" s="625">
        <f t="shared" si="46"/>
        <v>0</v>
      </c>
      <c r="L119" s="625">
        <f t="shared" si="46"/>
        <v>0</v>
      </c>
      <c r="M119" s="625">
        <f t="shared" si="46"/>
        <v>0</v>
      </c>
      <c r="N119" s="793">
        <f t="shared" si="47"/>
        <v>2.597921662669864E-2</v>
      </c>
      <c r="O119" s="624">
        <f t="shared" si="47"/>
        <v>0</v>
      </c>
      <c r="P119" s="625">
        <f t="shared" si="47"/>
        <v>0</v>
      </c>
      <c r="Q119" s="624">
        <f t="shared" si="47"/>
        <v>0</v>
      </c>
      <c r="R119" s="253"/>
      <c r="S119" s="850">
        <v>313</v>
      </c>
      <c r="T119" s="255">
        <v>11</v>
      </c>
      <c r="U119" s="255">
        <v>124</v>
      </c>
      <c r="V119" s="255"/>
      <c r="W119" s="255">
        <v>54</v>
      </c>
      <c r="X119" s="255">
        <v>0</v>
      </c>
      <c r="Y119" s="256">
        <v>502</v>
      </c>
      <c r="Z119" s="254"/>
      <c r="AA119" s="255">
        <v>0</v>
      </c>
      <c r="AB119" s="255">
        <v>0</v>
      </c>
      <c r="AC119" s="255">
        <v>0</v>
      </c>
      <c r="AD119" s="255">
        <v>65</v>
      </c>
      <c r="AE119" s="256">
        <v>65</v>
      </c>
      <c r="AF119" s="254"/>
      <c r="AG119" s="255"/>
      <c r="AH119" s="254"/>
    </row>
    <row r="120" spans="1:34">
      <c r="A120" s="886"/>
      <c r="B120" s="239" t="s">
        <v>58</v>
      </c>
      <c r="C120" s="624">
        <f t="shared" si="46"/>
        <v>0</v>
      </c>
      <c r="D120" s="625">
        <f t="shared" si="46"/>
        <v>0</v>
      </c>
      <c r="E120" s="792">
        <f t="shared" si="46"/>
        <v>0</v>
      </c>
      <c r="F120" s="625">
        <f t="shared" si="46"/>
        <v>0</v>
      </c>
      <c r="G120" s="792">
        <f t="shared" si="46"/>
        <v>0</v>
      </c>
      <c r="H120" s="626">
        <f t="shared" si="46"/>
        <v>0</v>
      </c>
      <c r="I120" s="793">
        <f t="shared" si="46"/>
        <v>0</v>
      </c>
      <c r="J120" s="624">
        <f t="shared" si="46"/>
        <v>0</v>
      </c>
      <c r="K120" s="625">
        <f t="shared" si="46"/>
        <v>0</v>
      </c>
      <c r="L120" s="625">
        <f t="shared" si="46"/>
        <v>0</v>
      </c>
      <c r="M120" s="625">
        <f t="shared" si="46"/>
        <v>0</v>
      </c>
      <c r="N120" s="624">
        <f t="shared" si="47"/>
        <v>0</v>
      </c>
      <c r="O120" s="624">
        <f t="shared" si="47"/>
        <v>0</v>
      </c>
      <c r="P120" s="625">
        <f t="shared" si="47"/>
        <v>0</v>
      </c>
      <c r="Q120" s="624">
        <f t="shared" si="47"/>
        <v>0</v>
      </c>
      <c r="R120" s="253"/>
      <c r="S120" s="850">
        <v>0</v>
      </c>
      <c r="T120" s="255">
        <v>0</v>
      </c>
      <c r="U120" s="255">
        <v>0</v>
      </c>
      <c r="V120" s="255"/>
      <c r="W120" s="255">
        <v>0</v>
      </c>
      <c r="X120" s="255">
        <v>0</v>
      </c>
      <c r="Y120" s="256">
        <v>0</v>
      </c>
      <c r="Z120" s="254"/>
      <c r="AA120" s="255">
        <v>0</v>
      </c>
      <c r="AB120" s="255">
        <v>0</v>
      </c>
      <c r="AC120" s="255">
        <v>0</v>
      </c>
      <c r="AD120" s="255">
        <v>0</v>
      </c>
      <c r="AE120" s="256">
        <v>0</v>
      </c>
      <c r="AF120" s="254"/>
      <c r="AG120" s="255"/>
      <c r="AH120" s="254"/>
    </row>
    <row r="121" spans="1:34">
      <c r="A121" s="887"/>
      <c r="B121" s="436" t="s">
        <v>59</v>
      </c>
      <c r="C121" s="577">
        <f t="shared" si="46"/>
        <v>1</v>
      </c>
      <c r="D121" s="578">
        <f t="shared" si="46"/>
        <v>1</v>
      </c>
      <c r="E121" s="578">
        <f t="shared" si="46"/>
        <v>1</v>
      </c>
      <c r="F121" s="578">
        <f t="shared" si="46"/>
        <v>0</v>
      </c>
      <c r="G121" s="578">
        <f t="shared" si="46"/>
        <v>1</v>
      </c>
      <c r="H121" s="579">
        <f t="shared" si="46"/>
        <v>1</v>
      </c>
      <c r="I121" s="577">
        <f t="shared" si="46"/>
        <v>1</v>
      </c>
      <c r="J121" s="577">
        <f t="shared" si="46"/>
        <v>0</v>
      </c>
      <c r="K121" s="578">
        <f t="shared" si="46"/>
        <v>0</v>
      </c>
      <c r="L121" s="578">
        <f t="shared" si="46"/>
        <v>0</v>
      </c>
      <c r="M121" s="578">
        <f t="shared" si="46"/>
        <v>1</v>
      </c>
      <c r="N121" s="577">
        <f t="shared" si="47"/>
        <v>1</v>
      </c>
      <c r="O121" s="577">
        <f t="shared" si="47"/>
        <v>0</v>
      </c>
      <c r="P121" s="578">
        <f t="shared" si="47"/>
        <v>0</v>
      </c>
      <c r="Q121" s="577">
        <f t="shared" si="47"/>
        <v>0</v>
      </c>
      <c r="R121" s="264"/>
      <c r="S121" s="853">
        <v>5022</v>
      </c>
      <c r="T121" s="266">
        <v>1853</v>
      </c>
      <c r="U121" s="266">
        <v>2444</v>
      </c>
      <c r="V121" s="266"/>
      <c r="W121" s="266">
        <v>268</v>
      </c>
      <c r="X121" s="266">
        <v>92</v>
      </c>
      <c r="Y121" s="267">
        <v>9679</v>
      </c>
      <c r="Z121" s="265"/>
      <c r="AA121" s="266">
        <v>0</v>
      </c>
      <c r="AB121" s="266">
        <v>0</v>
      </c>
      <c r="AC121" s="266">
        <v>36</v>
      </c>
      <c r="AD121" s="266">
        <v>2466</v>
      </c>
      <c r="AE121" s="267">
        <v>2502</v>
      </c>
      <c r="AF121" s="265"/>
      <c r="AG121" s="266"/>
      <c r="AH121" s="265"/>
    </row>
    <row r="122" spans="1:34">
      <c r="A122" s="883" t="s">
        <v>18</v>
      </c>
      <c r="B122" s="240" t="s">
        <v>53</v>
      </c>
      <c r="C122" s="613">
        <f t="shared" ref="C122:M128" si="48">IF(S$128&gt;0,(S122/S$128),0)</f>
        <v>0.27413127413127414</v>
      </c>
      <c r="D122" s="614">
        <f t="shared" si="48"/>
        <v>0</v>
      </c>
      <c r="E122" s="614">
        <f t="shared" si="48"/>
        <v>0.37310606060606061</v>
      </c>
      <c r="F122" s="614">
        <f t="shared" si="48"/>
        <v>0</v>
      </c>
      <c r="G122" s="614">
        <f t="shared" si="48"/>
        <v>0.26058631921824105</v>
      </c>
      <c r="H122" s="615">
        <f t="shared" si="48"/>
        <v>0.21105527638190955</v>
      </c>
      <c r="I122" s="613">
        <f t="shared" si="48"/>
        <v>0.27836304700162073</v>
      </c>
      <c r="J122" s="613">
        <f t="shared" si="48"/>
        <v>0.31617647058823528</v>
      </c>
      <c r="K122" s="614">
        <f t="shared" si="48"/>
        <v>0</v>
      </c>
      <c r="L122" s="614">
        <f t="shared" si="48"/>
        <v>0.14925373134328357</v>
      </c>
      <c r="M122" s="614">
        <f t="shared" si="48"/>
        <v>0.14749262536873156</v>
      </c>
      <c r="N122" s="613">
        <f t="shared" ref="N122:Q128" si="49">IF(AE$128&gt;0,(AE122/AE$128),0)</f>
        <v>0.18555008210180624</v>
      </c>
      <c r="O122" s="788">
        <f t="shared" si="49"/>
        <v>0</v>
      </c>
      <c r="P122" s="614">
        <f t="shared" si="49"/>
        <v>0</v>
      </c>
      <c r="Q122" s="788">
        <f t="shared" si="49"/>
        <v>0</v>
      </c>
      <c r="R122" s="244"/>
      <c r="S122" s="847">
        <v>284</v>
      </c>
      <c r="T122" s="246"/>
      <c r="U122" s="246">
        <v>197</v>
      </c>
      <c r="V122" s="246"/>
      <c r="W122" s="246">
        <v>80</v>
      </c>
      <c r="X122" s="246">
        <v>126</v>
      </c>
      <c r="Y122" s="247">
        <v>687</v>
      </c>
      <c r="Z122" s="245">
        <v>43</v>
      </c>
      <c r="AA122" s="246"/>
      <c r="AB122" s="246">
        <v>20</v>
      </c>
      <c r="AC122" s="246">
        <v>50</v>
      </c>
      <c r="AD122" s="246"/>
      <c r="AE122" s="247">
        <v>113</v>
      </c>
      <c r="AF122" s="245"/>
      <c r="AG122" s="246"/>
      <c r="AH122" s="245"/>
    </row>
    <row r="123" spans="1:34">
      <c r="A123" s="886"/>
      <c r="B123" s="239" t="s">
        <v>93</v>
      </c>
      <c r="C123" s="624">
        <f t="shared" si="48"/>
        <v>0.30501930501930502</v>
      </c>
      <c r="D123" s="625">
        <f t="shared" si="48"/>
        <v>0</v>
      </c>
      <c r="E123" s="625">
        <f t="shared" si="48"/>
        <v>0.24621212121212122</v>
      </c>
      <c r="F123" s="625">
        <f t="shared" si="48"/>
        <v>0</v>
      </c>
      <c r="G123" s="625">
        <f t="shared" si="48"/>
        <v>0.29641693811074921</v>
      </c>
      <c r="H123" s="626">
        <f t="shared" si="48"/>
        <v>0.271356783919598</v>
      </c>
      <c r="I123" s="624">
        <f t="shared" si="48"/>
        <v>0.28322528363047</v>
      </c>
      <c r="J123" s="624">
        <f t="shared" si="48"/>
        <v>8.0882352941176475E-2</v>
      </c>
      <c r="K123" s="625">
        <f t="shared" si="48"/>
        <v>0</v>
      </c>
      <c r="L123" s="625">
        <f t="shared" si="48"/>
        <v>0.14925373134328357</v>
      </c>
      <c r="M123" s="625">
        <f t="shared" si="48"/>
        <v>0.14749262536873156</v>
      </c>
      <c r="N123" s="624">
        <f t="shared" si="49"/>
        <v>0.13300492610837439</v>
      </c>
      <c r="O123" s="624">
        <f t="shared" si="49"/>
        <v>0</v>
      </c>
      <c r="P123" s="625">
        <f t="shared" si="49"/>
        <v>0</v>
      </c>
      <c r="Q123" s="624">
        <f t="shared" si="49"/>
        <v>0</v>
      </c>
      <c r="R123" s="253"/>
      <c r="S123" s="850">
        <v>316</v>
      </c>
      <c r="T123" s="255"/>
      <c r="U123" s="255">
        <v>130</v>
      </c>
      <c r="V123" s="255"/>
      <c r="W123" s="255">
        <v>91</v>
      </c>
      <c r="X123" s="255">
        <v>162</v>
      </c>
      <c r="Y123" s="256">
        <v>699</v>
      </c>
      <c r="Z123" s="254">
        <v>11</v>
      </c>
      <c r="AA123" s="255"/>
      <c r="AB123" s="255">
        <v>20</v>
      </c>
      <c r="AC123" s="255">
        <v>50</v>
      </c>
      <c r="AD123" s="255"/>
      <c r="AE123" s="256">
        <v>81</v>
      </c>
      <c r="AF123" s="254"/>
      <c r="AG123" s="255"/>
      <c r="AH123" s="254"/>
    </row>
    <row r="124" spans="1:34">
      <c r="A124" s="886"/>
      <c r="B124" s="239" t="s">
        <v>55</v>
      </c>
      <c r="C124" s="624">
        <f t="shared" si="48"/>
        <v>0.34555984555984554</v>
      </c>
      <c r="D124" s="625">
        <f t="shared" si="48"/>
        <v>0</v>
      </c>
      <c r="E124" s="625">
        <f t="shared" si="48"/>
        <v>0.25189393939393939</v>
      </c>
      <c r="F124" s="625">
        <f t="shared" si="48"/>
        <v>0</v>
      </c>
      <c r="G124" s="625">
        <f t="shared" si="48"/>
        <v>0.36807817589576547</v>
      </c>
      <c r="H124" s="626">
        <f t="shared" si="48"/>
        <v>0.36515912897822445</v>
      </c>
      <c r="I124" s="624">
        <f t="shared" si="48"/>
        <v>0.33306320907617504</v>
      </c>
      <c r="J124" s="624">
        <f t="shared" si="48"/>
        <v>0.3014705882352941</v>
      </c>
      <c r="K124" s="625">
        <f t="shared" si="48"/>
        <v>0</v>
      </c>
      <c r="L124" s="625">
        <f t="shared" si="48"/>
        <v>0.19402985074626866</v>
      </c>
      <c r="M124" s="625">
        <f t="shared" si="48"/>
        <v>0.26843657817109146</v>
      </c>
      <c r="N124" s="624">
        <f t="shared" si="49"/>
        <v>0.2594417077175698</v>
      </c>
      <c r="O124" s="624">
        <f t="shared" si="49"/>
        <v>0</v>
      </c>
      <c r="P124" s="625">
        <f t="shared" si="49"/>
        <v>0</v>
      </c>
      <c r="Q124" s="624">
        <f t="shared" si="49"/>
        <v>0</v>
      </c>
      <c r="R124" s="253"/>
      <c r="S124" s="850">
        <v>358</v>
      </c>
      <c r="T124" s="255"/>
      <c r="U124" s="255">
        <v>133</v>
      </c>
      <c r="V124" s="255"/>
      <c r="W124" s="255">
        <v>113</v>
      </c>
      <c r="X124" s="255">
        <v>218</v>
      </c>
      <c r="Y124" s="256">
        <v>822</v>
      </c>
      <c r="Z124" s="254">
        <v>41</v>
      </c>
      <c r="AA124" s="255"/>
      <c r="AB124" s="255">
        <v>26</v>
      </c>
      <c r="AC124" s="255">
        <v>91</v>
      </c>
      <c r="AD124" s="255"/>
      <c r="AE124" s="256">
        <v>158</v>
      </c>
      <c r="AF124" s="254"/>
      <c r="AG124" s="255"/>
      <c r="AH124" s="254"/>
    </row>
    <row r="125" spans="1:34">
      <c r="A125" s="886"/>
      <c r="B125" s="239" t="s">
        <v>78</v>
      </c>
      <c r="C125" s="624">
        <f t="shared" si="48"/>
        <v>5.2123552123552123E-2</v>
      </c>
      <c r="D125" s="625">
        <f t="shared" si="48"/>
        <v>0</v>
      </c>
      <c r="E125" s="625">
        <f t="shared" si="48"/>
        <v>0.12689393939393939</v>
      </c>
      <c r="F125" s="625">
        <f t="shared" si="48"/>
        <v>0</v>
      </c>
      <c r="G125" s="625">
        <f t="shared" si="48"/>
        <v>2.2801302931596091E-2</v>
      </c>
      <c r="H125" s="626">
        <f t="shared" si="48"/>
        <v>0.12395309882747069</v>
      </c>
      <c r="I125" s="624">
        <f t="shared" si="48"/>
        <v>8.184764991896272E-2</v>
      </c>
      <c r="J125" s="624">
        <f t="shared" si="48"/>
        <v>0.20588235294117646</v>
      </c>
      <c r="K125" s="625">
        <f t="shared" si="48"/>
        <v>0</v>
      </c>
      <c r="L125" s="625">
        <f t="shared" si="48"/>
        <v>0.44029850746268656</v>
      </c>
      <c r="M125" s="625">
        <f t="shared" si="48"/>
        <v>0.35988200589970504</v>
      </c>
      <c r="N125" s="624">
        <f t="shared" si="49"/>
        <v>0.34318555008210183</v>
      </c>
      <c r="O125" s="624">
        <f t="shared" si="49"/>
        <v>0</v>
      </c>
      <c r="P125" s="625">
        <f t="shared" si="49"/>
        <v>0</v>
      </c>
      <c r="Q125" s="624">
        <f t="shared" si="49"/>
        <v>0</v>
      </c>
      <c r="R125" s="253"/>
      <c r="S125" s="850">
        <v>54</v>
      </c>
      <c r="T125" s="255"/>
      <c r="U125" s="255">
        <v>67</v>
      </c>
      <c r="V125" s="255"/>
      <c r="W125" s="255">
        <v>7</v>
      </c>
      <c r="X125" s="255">
        <v>74</v>
      </c>
      <c r="Y125" s="256">
        <v>202</v>
      </c>
      <c r="Z125" s="254">
        <v>28</v>
      </c>
      <c r="AA125" s="255"/>
      <c r="AB125" s="255">
        <v>59</v>
      </c>
      <c r="AC125" s="255">
        <v>122</v>
      </c>
      <c r="AD125" s="255"/>
      <c r="AE125" s="256">
        <v>209</v>
      </c>
      <c r="AF125" s="254"/>
      <c r="AG125" s="255"/>
      <c r="AH125" s="254"/>
    </row>
    <row r="126" spans="1:34">
      <c r="A126" s="886"/>
      <c r="B126" s="239" t="s">
        <v>32</v>
      </c>
      <c r="C126" s="624">
        <f t="shared" si="48"/>
        <v>2.3166023166023165E-2</v>
      </c>
      <c r="D126" s="625">
        <f t="shared" si="48"/>
        <v>0</v>
      </c>
      <c r="E126" s="625">
        <f t="shared" si="48"/>
        <v>1.893939393939394E-3</v>
      </c>
      <c r="F126" s="625">
        <f t="shared" si="48"/>
        <v>0</v>
      </c>
      <c r="G126" s="625">
        <f t="shared" si="48"/>
        <v>5.2117263843648211E-2</v>
      </c>
      <c r="H126" s="626">
        <f t="shared" si="48"/>
        <v>2.8475711892797319E-2</v>
      </c>
      <c r="I126" s="624">
        <f t="shared" si="48"/>
        <v>2.3500810372771474E-2</v>
      </c>
      <c r="J126" s="624">
        <f t="shared" si="48"/>
        <v>9.5588235294117641E-2</v>
      </c>
      <c r="K126" s="625">
        <f t="shared" si="48"/>
        <v>0</v>
      </c>
      <c r="L126" s="625">
        <f t="shared" si="48"/>
        <v>6.7164179104477612E-2</v>
      </c>
      <c r="M126" s="625">
        <f t="shared" si="48"/>
        <v>7.6696165191740412E-2</v>
      </c>
      <c r="N126" s="624">
        <f t="shared" si="49"/>
        <v>7.8817733990147784E-2</v>
      </c>
      <c r="O126" s="624">
        <f t="shared" si="49"/>
        <v>0</v>
      </c>
      <c r="P126" s="625">
        <f t="shared" si="49"/>
        <v>0</v>
      </c>
      <c r="Q126" s="624">
        <f t="shared" si="49"/>
        <v>0</v>
      </c>
      <c r="R126" s="253"/>
      <c r="S126" s="850">
        <v>24</v>
      </c>
      <c r="T126" s="255"/>
      <c r="U126" s="255">
        <v>1</v>
      </c>
      <c r="V126" s="255"/>
      <c r="W126" s="255">
        <v>16</v>
      </c>
      <c r="X126" s="255">
        <v>17</v>
      </c>
      <c r="Y126" s="256">
        <v>58</v>
      </c>
      <c r="Z126" s="254">
        <v>13</v>
      </c>
      <c r="AA126" s="255"/>
      <c r="AB126" s="255">
        <v>9</v>
      </c>
      <c r="AC126" s="255">
        <v>26</v>
      </c>
      <c r="AD126" s="255"/>
      <c r="AE126" s="256">
        <v>48</v>
      </c>
      <c r="AF126" s="254"/>
      <c r="AG126" s="255"/>
      <c r="AH126" s="254"/>
    </row>
    <row r="127" spans="1:34">
      <c r="A127" s="886"/>
      <c r="B127" s="239" t="s">
        <v>58</v>
      </c>
      <c r="C127" s="624">
        <f t="shared" si="48"/>
        <v>0</v>
      </c>
      <c r="D127" s="625">
        <f t="shared" si="48"/>
        <v>0</v>
      </c>
      <c r="E127" s="792">
        <f t="shared" si="48"/>
        <v>0</v>
      </c>
      <c r="F127" s="625">
        <f t="shared" si="48"/>
        <v>0</v>
      </c>
      <c r="G127" s="792">
        <f t="shared" si="48"/>
        <v>0</v>
      </c>
      <c r="H127" s="626">
        <f t="shared" si="48"/>
        <v>0</v>
      </c>
      <c r="I127" s="793">
        <f t="shared" si="48"/>
        <v>0</v>
      </c>
      <c r="J127" s="624">
        <f t="shared" si="48"/>
        <v>0</v>
      </c>
      <c r="K127" s="625">
        <f t="shared" si="48"/>
        <v>0</v>
      </c>
      <c r="L127" s="625">
        <f t="shared" si="48"/>
        <v>0</v>
      </c>
      <c r="M127" s="625">
        <f t="shared" si="48"/>
        <v>0</v>
      </c>
      <c r="N127" s="624">
        <f t="shared" si="49"/>
        <v>0</v>
      </c>
      <c r="O127" s="624">
        <f t="shared" si="49"/>
        <v>0</v>
      </c>
      <c r="P127" s="625">
        <f t="shared" si="49"/>
        <v>0</v>
      </c>
      <c r="Q127" s="624">
        <f t="shared" si="49"/>
        <v>0</v>
      </c>
      <c r="R127" s="253"/>
      <c r="S127" s="850">
        <v>0</v>
      </c>
      <c r="T127" s="255"/>
      <c r="U127" s="255">
        <v>0</v>
      </c>
      <c r="V127" s="255"/>
      <c r="W127" s="255">
        <v>0</v>
      </c>
      <c r="X127" s="255">
        <v>0</v>
      </c>
      <c r="Y127" s="256">
        <v>0</v>
      </c>
      <c r="Z127" s="254">
        <v>0</v>
      </c>
      <c r="AA127" s="255"/>
      <c r="AB127" s="255">
        <v>0</v>
      </c>
      <c r="AC127" s="255">
        <v>0</v>
      </c>
      <c r="AD127" s="255"/>
      <c r="AE127" s="256">
        <v>0</v>
      </c>
      <c r="AF127" s="254"/>
      <c r="AG127" s="255"/>
      <c r="AH127" s="254"/>
    </row>
    <row r="128" spans="1:34">
      <c r="A128" s="887"/>
      <c r="B128" s="436" t="s">
        <v>59</v>
      </c>
      <c r="C128" s="577">
        <f t="shared" si="48"/>
        <v>1</v>
      </c>
      <c r="D128" s="578">
        <f t="shared" si="48"/>
        <v>0</v>
      </c>
      <c r="E128" s="578">
        <f t="shared" si="48"/>
        <v>1</v>
      </c>
      <c r="F128" s="578">
        <f t="shared" si="48"/>
        <v>0</v>
      </c>
      <c r="G128" s="578">
        <f t="shared" si="48"/>
        <v>1</v>
      </c>
      <c r="H128" s="579">
        <f t="shared" si="48"/>
        <v>1</v>
      </c>
      <c r="I128" s="577">
        <f t="shared" si="48"/>
        <v>1</v>
      </c>
      <c r="J128" s="577">
        <f t="shared" si="48"/>
        <v>1</v>
      </c>
      <c r="K128" s="578">
        <f t="shared" si="48"/>
        <v>0</v>
      </c>
      <c r="L128" s="578">
        <f t="shared" si="48"/>
        <v>1</v>
      </c>
      <c r="M128" s="578">
        <f t="shared" si="48"/>
        <v>1</v>
      </c>
      <c r="N128" s="577">
        <f t="shared" si="49"/>
        <v>1</v>
      </c>
      <c r="O128" s="577">
        <f t="shared" si="49"/>
        <v>0</v>
      </c>
      <c r="P128" s="578">
        <f t="shared" si="49"/>
        <v>0</v>
      </c>
      <c r="Q128" s="577">
        <f t="shared" si="49"/>
        <v>0</v>
      </c>
      <c r="R128" s="264"/>
      <c r="S128" s="853">
        <v>1036</v>
      </c>
      <c r="T128" s="266"/>
      <c r="U128" s="266">
        <v>528</v>
      </c>
      <c r="V128" s="266"/>
      <c r="W128" s="266">
        <v>307</v>
      </c>
      <c r="X128" s="266">
        <v>597</v>
      </c>
      <c r="Y128" s="267">
        <v>2468</v>
      </c>
      <c r="Z128" s="265">
        <v>136</v>
      </c>
      <c r="AA128" s="266"/>
      <c r="AB128" s="266">
        <v>134</v>
      </c>
      <c r="AC128" s="266">
        <v>339</v>
      </c>
      <c r="AD128" s="266"/>
      <c r="AE128" s="267">
        <v>609</v>
      </c>
      <c r="AF128" s="265"/>
      <c r="AG128" s="266"/>
      <c r="AH128" s="265"/>
    </row>
    <row r="129" spans="1:34">
      <c r="A129" s="882" t="s">
        <v>171</v>
      </c>
      <c r="B129" s="240" t="s">
        <v>53</v>
      </c>
      <c r="C129" s="613">
        <f>IF(S$134&gt;0,(S129/S$134),0)</f>
        <v>0.39158024512292405</v>
      </c>
      <c r="D129" s="614">
        <f t="shared" ref="D129:M134" si="50">IF(T$134&gt;0,(T129/T$134),0)</f>
        <v>0.29490227152667725</v>
      </c>
      <c r="E129" s="614">
        <f t="shared" si="50"/>
        <v>0.37609094242757607</v>
      </c>
      <c r="F129" s="614">
        <f t="shared" si="50"/>
        <v>0.23611922852133255</v>
      </c>
      <c r="G129" s="614">
        <f t="shared" si="50"/>
        <v>0.18920392584514723</v>
      </c>
      <c r="H129" s="615">
        <f t="shared" si="50"/>
        <v>0.28248031496062992</v>
      </c>
      <c r="I129" s="613">
        <f t="shared" si="50"/>
        <v>0.35603102239497247</v>
      </c>
      <c r="J129" s="613">
        <f t="shared" si="50"/>
        <v>0</v>
      </c>
      <c r="K129" s="614">
        <f t="shared" si="50"/>
        <v>0</v>
      </c>
      <c r="L129" s="614">
        <f t="shared" si="50"/>
        <v>0</v>
      </c>
      <c r="M129" s="614">
        <f t="shared" si="50"/>
        <v>0</v>
      </c>
      <c r="N129" s="613">
        <f>IF(AE$134&gt;0,(AE129/AE$134),0)</f>
        <v>8.1250806486300481E-2</v>
      </c>
      <c r="O129" s="613">
        <f t="shared" ref="O129:Q134" si="51">IF(AF$134&gt;0,(AF129/AF$134),0)</f>
        <v>0</v>
      </c>
      <c r="P129" s="615">
        <f t="shared" si="51"/>
        <v>0</v>
      </c>
      <c r="Q129" s="613">
        <f t="shared" si="51"/>
        <v>0.1259797796205839</v>
      </c>
      <c r="R129" s="357"/>
      <c r="S129" s="862">
        <f>S135+S141+S147+S153+S159+S165+S171+S177+S183+S189+S195+S201+S207</f>
        <v>10799</v>
      </c>
      <c r="T129" s="796">
        <f t="shared" ref="T129:AE129" si="52">T135+T141+T147+T153+T159+T165+T171+T177+T183+T189+T195+T201+T207</f>
        <v>2233</v>
      </c>
      <c r="U129" s="796">
        <f t="shared" si="52"/>
        <v>5128</v>
      </c>
      <c r="V129" s="796">
        <f t="shared" si="52"/>
        <v>808</v>
      </c>
      <c r="W129" s="796">
        <f t="shared" si="52"/>
        <v>347</v>
      </c>
      <c r="X129" s="796">
        <f t="shared" si="52"/>
        <v>287</v>
      </c>
      <c r="Y129" s="801">
        <f t="shared" si="52"/>
        <v>19602</v>
      </c>
      <c r="Z129" s="801">
        <f t="shared" si="52"/>
        <v>0</v>
      </c>
      <c r="AA129" s="796">
        <f t="shared" si="52"/>
        <v>0</v>
      </c>
      <c r="AB129" s="796">
        <f t="shared" si="52"/>
        <v>0</v>
      </c>
      <c r="AC129" s="796">
        <f t="shared" si="52"/>
        <v>0</v>
      </c>
      <c r="AD129" s="796">
        <f t="shared" si="52"/>
        <v>0</v>
      </c>
      <c r="AE129" s="801">
        <f t="shared" si="52"/>
        <v>1889</v>
      </c>
      <c r="AF129" s="803"/>
      <c r="AG129" s="349"/>
      <c r="AH129" s="801">
        <f t="shared" ref="AH129" si="53">AH135+AH141+AH147+AH153+AH159+AH165+AH171+AH177+AH183+AH189+AH195+AH201+AH207</f>
        <v>1109</v>
      </c>
    </row>
    <row r="130" spans="1:34">
      <c r="A130" s="883"/>
      <c r="B130" s="239" t="s">
        <v>93</v>
      </c>
      <c r="C130" s="624">
        <f t="shared" ref="C130:C134" si="54">IF(S$134&gt;0,(S130/S$134),0)</f>
        <v>0.23700050765102618</v>
      </c>
      <c r="D130" s="625">
        <f t="shared" si="50"/>
        <v>0.25607501320655046</v>
      </c>
      <c r="E130" s="625">
        <f t="shared" si="50"/>
        <v>0.24063072973964064</v>
      </c>
      <c r="F130" s="625">
        <f t="shared" si="50"/>
        <v>0.22413793103448276</v>
      </c>
      <c r="G130" s="625">
        <f t="shared" si="50"/>
        <v>0.25463467829880043</v>
      </c>
      <c r="H130" s="626">
        <f t="shared" si="50"/>
        <v>0.20669291338582677</v>
      </c>
      <c r="I130" s="624">
        <f t="shared" si="50"/>
        <v>0.23975153023230469</v>
      </c>
      <c r="J130" s="624">
        <f t="shared" si="50"/>
        <v>0</v>
      </c>
      <c r="K130" s="625">
        <f t="shared" si="50"/>
        <v>0</v>
      </c>
      <c r="L130" s="625">
        <f t="shared" si="50"/>
        <v>0</v>
      </c>
      <c r="M130" s="625">
        <f t="shared" si="50"/>
        <v>0</v>
      </c>
      <c r="N130" s="624">
        <f t="shared" ref="N130:N134" si="55">IF(AE$134&gt;0,(AE130/AE$134),0)</f>
        <v>3.3721880510989719E-2</v>
      </c>
      <c r="O130" s="624">
        <f t="shared" si="51"/>
        <v>0</v>
      </c>
      <c r="P130" s="626">
        <f t="shared" si="51"/>
        <v>0</v>
      </c>
      <c r="Q130" s="624">
        <f t="shared" si="51"/>
        <v>9.0878109735317511E-4</v>
      </c>
      <c r="R130" s="357"/>
      <c r="S130" s="862">
        <f t="shared" ref="S130:AE134" si="56">S136+S142+S148+S154+S160+S166+S172+S178+S184+S190+S196+S202+S208</f>
        <v>6536</v>
      </c>
      <c r="T130" s="796">
        <f t="shared" si="56"/>
        <v>1939</v>
      </c>
      <c r="U130" s="796">
        <f t="shared" si="56"/>
        <v>3281</v>
      </c>
      <c r="V130" s="796">
        <f t="shared" si="56"/>
        <v>767</v>
      </c>
      <c r="W130" s="796">
        <f t="shared" si="56"/>
        <v>467</v>
      </c>
      <c r="X130" s="796">
        <f t="shared" si="56"/>
        <v>210</v>
      </c>
      <c r="Y130" s="802">
        <f t="shared" si="56"/>
        <v>13200</v>
      </c>
      <c r="Z130" s="802">
        <f t="shared" si="56"/>
        <v>0</v>
      </c>
      <c r="AA130" s="796">
        <f t="shared" si="56"/>
        <v>0</v>
      </c>
      <c r="AB130" s="796">
        <f t="shared" si="56"/>
        <v>0</v>
      </c>
      <c r="AC130" s="796">
        <f t="shared" si="56"/>
        <v>0</v>
      </c>
      <c r="AD130" s="796">
        <f t="shared" si="56"/>
        <v>0</v>
      </c>
      <c r="AE130" s="802">
        <f t="shared" si="56"/>
        <v>784</v>
      </c>
      <c r="AF130" s="804"/>
      <c r="AG130" s="349"/>
      <c r="AH130" s="802">
        <f t="shared" ref="AH130" si="57">AH136+AH142+AH148+AH154+AH160+AH166+AH172+AH178+AH184+AH190+AH196+AH202+AH208</f>
        <v>8</v>
      </c>
    </row>
    <row r="131" spans="1:34">
      <c r="A131" s="883"/>
      <c r="B131" s="239" t="s">
        <v>55</v>
      </c>
      <c r="C131" s="624">
        <f t="shared" si="54"/>
        <v>0.17999854956849662</v>
      </c>
      <c r="D131" s="625">
        <f t="shared" si="50"/>
        <v>0.2324352879027998</v>
      </c>
      <c r="E131" s="625">
        <f t="shared" si="50"/>
        <v>0.18481848184818481</v>
      </c>
      <c r="F131" s="625">
        <f t="shared" si="50"/>
        <v>0.2793687901811806</v>
      </c>
      <c r="G131" s="625">
        <f t="shared" si="50"/>
        <v>0.26663031624863687</v>
      </c>
      <c r="H131" s="626">
        <f t="shared" si="50"/>
        <v>0.28543307086614172</v>
      </c>
      <c r="I131" s="624">
        <f t="shared" si="50"/>
        <v>0.19941151897124798</v>
      </c>
      <c r="J131" s="624">
        <f t="shared" si="50"/>
        <v>0</v>
      </c>
      <c r="K131" s="625">
        <f t="shared" si="50"/>
        <v>0</v>
      </c>
      <c r="L131" s="625">
        <f t="shared" si="50"/>
        <v>0</v>
      </c>
      <c r="M131" s="625">
        <f t="shared" si="50"/>
        <v>0</v>
      </c>
      <c r="N131" s="624">
        <f t="shared" si="55"/>
        <v>4.3571766527592586E-2</v>
      </c>
      <c r="O131" s="624">
        <f t="shared" si="51"/>
        <v>0</v>
      </c>
      <c r="P131" s="626">
        <f t="shared" si="51"/>
        <v>0</v>
      </c>
      <c r="Q131" s="624">
        <f t="shared" si="51"/>
        <v>7.7246393275019884E-3</v>
      </c>
      <c r="R131" s="357"/>
      <c r="S131" s="862">
        <f t="shared" si="56"/>
        <v>4964</v>
      </c>
      <c r="T131" s="796">
        <f t="shared" si="56"/>
        <v>1760</v>
      </c>
      <c r="U131" s="796">
        <f t="shared" si="56"/>
        <v>2520</v>
      </c>
      <c r="V131" s="796">
        <f t="shared" si="56"/>
        <v>956</v>
      </c>
      <c r="W131" s="796">
        <f t="shared" si="56"/>
        <v>489</v>
      </c>
      <c r="X131" s="796">
        <f t="shared" si="56"/>
        <v>290</v>
      </c>
      <c r="Y131" s="802">
        <f t="shared" si="56"/>
        <v>10979</v>
      </c>
      <c r="Z131" s="802">
        <f t="shared" si="56"/>
        <v>0</v>
      </c>
      <c r="AA131" s="796">
        <f t="shared" si="56"/>
        <v>0</v>
      </c>
      <c r="AB131" s="796">
        <f t="shared" si="56"/>
        <v>0</v>
      </c>
      <c r="AC131" s="796">
        <f t="shared" si="56"/>
        <v>0</v>
      </c>
      <c r="AD131" s="796">
        <f t="shared" si="56"/>
        <v>0</v>
      </c>
      <c r="AE131" s="802">
        <f t="shared" si="56"/>
        <v>1013</v>
      </c>
      <c r="AF131" s="804"/>
      <c r="AG131" s="349"/>
      <c r="AH131" s="802">
        <f t="shared" ref="AH131" si="58">AH137+AH143+AH149+AH155+AH161+AH167+AH173+AH179+AH185+AH191+AH197+AH203+AH209</f>
        <v>68</v>
      </c>
    </row>
    <row r="132" spans="1:34">
      <c r="A132" s="883"/>
      <c r="B132" s="239" t="s">
        <v>78</v>
      </c>
      <c r="C132" s="624">
        <f t="shared" si="54"/>
        <v>6.9366886648778006E-2</v>
      </c>
      <c r="D132" s="625">
        <f t="shared" si="50"/>
        <v>0.10472794506075013</v>
      </c>
      <c r="E132" s="625">
        <f t="shared" si="50"/>
        <v>2.7356068940227355E-2</v>
      </c>
      <c r="F132" s="625">
        <f t="shared" si="50"/>
        <v>9.4973699590882518E-2</v>
      </c>
      <c r="G132" s="625">
        <f t="shared" si="50"/>
        <v>3.9258451472191931E-2</v>
      </c>
      <c r="H132" s="626">
        <f t="shared" si="50"/>
        <v>0.1860236220472441</v>
      </c>
      <c r="I132" s="624">
        <f t="shared" si="50"/>
        <v>6.6567375628893685E-2</v>
      </c>
      <c r="J132" s="624">
        <f t="shared" si="50"/>
        <v>0</v>
      </c>
      <c r="K132" s="625">
        <f t="shared" si="50"/>
        <v>0</v>
      </c>
      <c r="L132" s="625">
        <f t="shared" si="50"/>
        <v>0</v>
      </c>
      <c r="M132" s="625">
        <f t="shared" si="50"/>
        <v>0</v>
      </c>
      <c r="N132" s="624">
        <f t="shared" si="55"/>
        <v>0.64686653189384491</v>
      </c>
      <c r="O132" s="624">
        <f t="shared" si="51"/>
        <v>0</v>
      </c>
      <c r="P132" s="626">
        <f t="shared" si="51"/>
        <v>0</v>
      </c>
      <c r="Q132" s="624">
        <f t="shared" si="51"/>
        <v>0.67670112461660803</v>
      </c>
      <c r="R132" s="357"/>
      <c r="S132" s="862">
        <f t="shared" si="56"/>
        <v>1913</v>
      </c>
      <c r="T132" s="796">
        <f t="shared" si="56"/>
        <v>793</v>
      </c>
      <c r="U132" s="796">
        <f t="shared" si="56"/>
        <v>373</v>
      </c>
      <c r="V132" s="796">
        <f t="shared" si="56"/>
        <v>325</v>
      </c>
      <c r="W132" s="796">
        <f t="shared" si="56"/>
        <v>72</v>
      </c>
      <c r="X132" s="796">
        <f t="shared" si="56"/>
        <v>189</v>
      </c>
      <c r="Y132" s="802">
        <f t="shared" si="56"/>
        <v>3665</v>
      </c>
      <c r="Z132" s="802">
        <f t="shared" si="56"/>
        <v>0</v>
      </c>
      <c r="AA132" s="796">
        <f t="shared" si="56"/>
        <v>0</v>
      </c>
      <c r="AB132" s="796">
        <f t="shared" si="56"/>
        <v>0</v>
      </c>
      <c r="AC132" s="796">
        <f t="shared" si="56"/>
        <v>0</v>
      </c>
      <c r="AD132" s="796">
        <f t="shared" si="56"/>
        <v>0</v>
      </c>
      <c r="AE132" s="802">
        <f t="shared" si="56"/>
        <v>15039</v>
      </c>
      <c r="AF132" s="804"/>
      <c r="AG132" s="349"/>
      <c r="AH132" s="802">
        <f t="shared" ref="AH132" si="59">AH138+AH144+AH150+AH156+AH162+AH168+AH174+AH180+AH186+AH192+AH198+AH204+AH210</f>
        <v>5957</v>
      </c>
    </row>
    <row r="133" spans="1:34">
      <c r="A133" s="884"/>
      <c r="B133" s="580" t="s">
        <v>131</v>
      </c>
      <c r="C133" s="624">
        <f t="shared" si="54"/>
        <v>0.1220538110087751</v>
      </c>
      <c r="D133" s="625">
        <f t="shared" si="50"/>
        <v>0.1118594823032224</v>
      </c>
      <c r="E133" s="625">
        <f t="shared" si="50"/>
        <v>0.1711037770443711</v>
      </c>
      <c r="F133" s="625">
        <f t="shared" si="50"/>
        <v>0.16540035067212155</v>
      </c>
      <c r="G133" s="625">
        <f t="shared" si="50"/>
        <v>0.25027262813522355</v>
      </c>
      <c r="H133" s="626">
        <f t="shared" si="50"/>
        <v>3.937007874015748E-2</v>
      </c>
      <c r="I133" s="624">
        <f t="shared" si="50"/>
        <v>0.13823855277258115</v>
      </c>
      <c r="J133" s="624">
        <f t="shared" si="50"/>
        <v>0</v>
      </c>
      <c r="K133" s="625">
        <f t="shared" si="50"/>
        <v>0</v>
      </c>
      <c r="L133" s="625">
        <f t="shared" si="50"/>
        <v>0</v>
      </c>
      <c r="M133" s="625">
        <f t="shared" si="50"/>
        <v>0</v>
      </c>
      <c r="N133" s="624">
        <f t="shared" si="55"/>
        <v>0.19458901458127231</v>
      </c>
      <c r="O133" s="624">
        <f t="shared" si="51"/>
        <v>0</v>
      </c>
      <c r="P133" s="626">
        <f t="shared" si="51"/>
        <v>0</v>
      </c>
      <c r="Q133" s="624">
        <f t="shared" si="51"/>
        <v>0.18868567533795297</v>
      </c>
      <c r="R133" s="357"/>
      <c r="S133" s="862">
        <f t="shared" si="56"/>
        <v>3366</v>
      </c>
      <c r="T133" s="796">
        <f t="shared" si="56"/>
        <v>847</v>
      </c>
      <c r="U133" s="796">
        <f t="shared" si="56"/>
        <v>2333</v>
      </c>
      <c r="V133" s="796">
        <f t="shared" si="56"/>
        <v>566</v>
      </c>
      <c r="W133" s="796">
        <f t="shared" si="56"/>
        <v>459</v>
      </c>
      <c r="X133" s="796">
        <f t="shared" si="56"/>
        <v>40</v>
      </c>
      <c r="Y133" s="802">
        <f t="shared" si="56"/>
        <v>7611</v>
      </c>
      <c r="Z133" s="802">
        <f t="shared" si="56"/>
        <v>0</v>
      </c>
      <c r="AA133" s="796">
        <f t="shared" si="56"/>
        <v>0</v>
      </c>
      <c r="AB133" s="796">
        <f t="shared" si="56"/>
        <v>0</v>
      </c>
      <c r="AC133" s="796">
        <f t="shared" si="56"/>
        <v>0</v>
      </c>
      <c r="AD133" s="796">
        <f t="shared" si="56"/>
        <v>0</v>
      </c>
      <c r="AE133" s="802">
        <f t="shared" si="56"/>
        <v>4524</v>
      </c>
      <c r="AF133" s="804"/>
      <c r="AG133" s="349"/>
      <c r="AH133" s="802">
        <f t="shared" ref="AH133" si="60">AH139+AH145+AH151+AH157+AH163+AH169+AH175+AH181+AH187+AH193+AH199+AH205+AH211</f>
        <v>1661</v>
      </c>
    </row>
    <row r="134" spans="1:34">
      <c r="A134" s="885" t="s">
        <v>86</v>
      </c>
      <c r="B134" s="436" t="s">
        <v>59</v>
      </c>
      <c r="C134" s="577">
        <f t="shared" si="54"/>
        <v>1</v>
      </c>
      <c r="D134" s="578">
        <f t="shared" si="50"/>
        <v>1</v>
      </c>
      <c r="E134" s="578">
        <f t="shared" si="50"/>
        <v>1</v>
      </c>
      <c r="F134" s="578">
        <f t="shared" si="50"/>
        <v>1</v>
      </c>
      <c r="G134" s="578">
        <f t="shared" si="50"/>
        <v>1</v>
      </c>
      <c r="H134" s="579">
        <f t="shared" si="50"/>
        <v>1</v>
      </c>
      <c r="I134" s="577">
        <f t="shared" si="50"/>
        <v>1</v>
      </c>
      <c r="J134" s="577">
        <f t="shared" si="50"/>
        <v>0</v>
      </c>
      <c r="K134" s="578">
        <f t="shared" si="50"/>
        <v>0</v>
      </c>
      <c r="L134" s="578">
        <f t="shared" si="50"/>
        <v>0</v>
      </c>
      <c r="M134" s="578">
        <f t="shared" si="50"/>
        <v>0</v>
      </c>
      <c r="N134" s="577">
        <f t="shared" si="55"/>
        <v>1</v>
      </c>
      <c r="O134" s="577">
        <f t="shared" si="51"/>
        <v>0</v>
      </c>
      <c r="P134" s="579">
        <f t="shared" si="51"/>
        <v>0</v>
      </c>
      <c r="Q134" s="577">
        <f t="shared" si="51"/>
        <v>1</v>
      </c>
      <c r="R134" s="357"/>
      <c r="S134" s="862">
        <f t="shared" si="56"/>
        <v>27578</v>
      </c>
      <c r="T134" s="796">
        <f t="shared" si="56"/>
        <v>7572</v>
      </c>
      <c r="U134" s="796">
        <f t="shared" si="56"/>
        <v>13635</v>
      </c>
      <c r="V134" s="796">
        <f t="shared" si="56"/>
        <v>3422</v>
      </c>
      <c r="W134" s="796">
        <f t="shared" si="56"/>
        <v>1834</v>
      </c>
      <c r="X134" s="796">
        <f t="shared" si="56"/>
        <v>1016</v>
      </c>
      <c r="Y134" s="802">
        <f t="shared" si="56"/>
        <v>55057</v>
      </c>
      <c r="Z134" s="802">
        <f t="shared" si="56"/>
        <v>0</v>
      </c>
      <c r="AA134" s="796">
        <f t="shared" si="56"/>
        <v>0</v>
      </c>
      <c r="AB134" s="796">
        <f t="shared" si="56"/>
        <v>0</v>
      </c>
      <c r="AC134" s="796">
        <f t="shared" si="56"/>
        <v>0</v>
      </c>
      <c r="AD134" s="796">
        <f t="shared" si="56"/>
        <v>0</v>
      </c>
      <c r="AE134" s="802">
        <f t="shared" si="56"/>
        <v>23249</v>
      </c>
      <c r="AF134" s="804"/>
      <c r="AG134" s="349"/>
      <c r="AH134" s="802">
        <f t="shared" ref="AH134" si="61">AH140+AH146+AH152+AH158+AH164+AH170+AH176+AH182+AH188+AH194+AH200+AH206+AH212</f>
        <v>8803</v>
      </c>
    </row>
    <row r="135" spans="1:34">
      <c r="A135" s="882" t="s">
        <v>136</v>
      </c>
      <c r="B135" s="240" t="s">
        <v>53</v>
      </c>
      <c r="C135" s="613">
        <f>IF(S$140&gt;0,(S135/S$140),0)</f>
        <v>0</v>
      </c>
      <c r="D135" s="614">
        <f t="shared" ref="D135:M140" si="62">IF(T$140&gt;0,(T135/T$140),0)</f>
        <v>0.20487804878048779</v>
      </c>
      <c r="E135" s="614">
        <f t="shared" si="62"/>
        <v>0.2032967032967033</v>
      </c>
      <c r="F135" s="614">
        <f t="shared" si="62"/>
        <v>0</v>
      </c>
      <c r="G135" s="614">
        <f t="shared" si="62"/>
        <v>7.2916666666666671E-2</v>
      </c>
      <c r="H135" s="615">
        <f t="shared" si="62"/>
        <v>0</v>
      </c>
      <c r="I135" s="613">
        <f t="shared" si="62"/>
        <v>0.19201520912547529</v>
      </c>
      <c r="J135" s="613">
        <f t="shared" si="62"/>
        <v>0</v>
      </c>
      <c r="K135" s="614">
        <f t="shared" si="62"/>
        <v>0</v>
      </c>
      <c r="L135" s="614">
        <f t="shared" si="62"/>
        <v>0</v>
      </c>
      <c r="M135" s="614">
        <f t="shared" si="62"/>
        <v>0</v>
      </c>
      <c r="N135" s="613">
        <f>IF(AE$140&gt;0,(AE135/AE$140),0)</f>
        <v>0.125</v>
      </c>
      <c r="O135" s="613">
        <f t="shared" ref="O135:Q140" si="63">IF(AF$140&gt;0,(AF135/AF$140),0)</f>
        <v>0</v>
      </c>
      <c r="P135" s="615">
        <f t="shared" si="63"/>
        <v>0</v>
      </c>
      <c r="Q135" s="613">
        <f t="shared" si="63"/>
        <v>0</v>
      </c>
      <c r="R135" s="357"/>
      <c r="S135" s="856"/>
      <c r="T135" s="856">
        <v>84</v>
      </c>
      <c r="U135" s="856">
        <v>111</v>
      </c>
      <c r="V135" s="856"/>
      <c r="W135" s="856">
        <v>7</v>
      </c>
      <c r="X135" s="856"/>
      <c r="Y135" s="857">
        <v>202</v>
      </c>
      <c r="Z135" s="857"/>
      <c r="AA135" s="856"/>
      <c r="AB135" s="856"/>
      <c r="AC135" s="856"/>
      <c r="AD135" s="856"/>
      <c r="AE135" s="857">
        <v>1</v>
      </c>
      <c r="AF135" s="857"/>
      <c r="AG135" s="856"/>
      <c r="AH135" s="857"/>
    </row>
    <row r="136" spans="1:34">
      <c r="A136" s="883"/>
      <c r="B136" s="239" t="s">
        <v>93</v>
      </c>
      <c r="C136" s="624">
        <f t="shared" ref="C136:C140" si="64">IF(S$140&gt;0,(S136/S$140),0)</f>
        <v>0</v>
      </c>
      <c r="D136" s="625">
        <f t="shared" si="62"/>
        <v>0.28048780487804881</v>
      </c>
      <c r="E136" s="625">
        <f t="shared" si="62"/>
        <v>0.25457875457875456</v>
      </c>
      <c r="F136" s="625">
        <f t="shared" si="62"/>
        <v>0</v>
      </c>
      <c r="G136" s="625">
        <f t="shared" si="62"/>
        <v>0.30208333333333331</v>
      </c>
      <c r="H136" s="626">
        <f t="shared" si="62"/>
        <v>0</v>
      </c>
      <c r="I136" s="624">
        <f t="shared" si="62"/>
        <v>0.26901140684410646</v>
      </c>
      <c r="J136" s="624">
        <f t="shared" si="62"/>
        <v>0</v>
      </c>
      <c r="K136" s="625">
        <f t="shared" si="62"/>
        <v>0</v>
      </c>
      <c r="L136" s="625">
        <f t="shared" si="62"/>
        <v>0</v>
      </c>
      <c r="M136" s="625">
        <f t="shared" si="62"/>
        <v>0</v>
      </c>
      <c r="N136" s="624">
        <f t="shared" ref="N136:N140" si="65">IF(AE$140&gt;0,(AE136/AE$140),0)</f>
        <v>0.25</v>
      </c>
      <c r="O136" s="624">
        <f t="shared" si="63"/>
        <v>0</v>
      </c>
      <c r="P136" s="626">
        <f t="shared" si="63"/>
        <v>0</v>
      </c>
      <c r="Q136" s="624">
        <f t="shared" si="63"/>
        <v>1.9230769230769232E-2</v>
      </c>
      <c r="R136" s="357"/>
      <c r="S136" s="858"/>
      <c r="T136" s="858">
        <v>115</v>
      </c>
      <c r="U136" s="858">
        <v>139</v>
      </c>
      <c r="V136" s="858"/>
      <c r="W136" s="858">
        <v>29</v>
      </c>
      <c r="X136" s="858"/>
      <c r="Y136" s="859">
        <v>283</v>
      </c>
      <c r="Z136" s="859"/>
      <c r="AA136" s="858"/>
      <c r="AB136" s="858"/>
      <c r="AC136" s="858"/>
      <c r="AD136" s="858"/>
      <c r="AE136" s="859">
        <v>2</v>
      </c>
      <c r="AF136" s="859"/>
      <c r="AG136" s="858"/>
      <c r="AH136" s="859">
        <v>1</v>
      </c>
    </row>
    <row r="137" spans="1:34">
      <c r="A137" s="883"/>
      <c r="B137" s="239" t="s">
        <v>55</v>
      </c>
      <c r="C137" s="624">
        <f t="shared" si="64"/>
        <v>0</v>
      </c>
      <c r="D137" s="625">
        <f t="shared" si="62"/>
        <v>0.41463414634146339</v>
      </c>
      <c r="E137" s="625">
        <f t="shared" si="62"/>
        <v>0.42857142857142855</v>
      </c>
      <c r="F137" s="625">
        <f t="shared" si="62"/>
        <v>0</v>
      </c>
      <c r="G137" s="625">
        <f t="shared" si="62"/>
        <v>0.60416666666666663</v>
      </c>
      <c r="H137" s="626">
        <f t="shared" si="62"/>
        <v>0</v>
      </c>
      <c r="I137" s="624">
        <f t="shared" si="62"/>
        <v>0.4391634980988593</v>
      </c>
      <c r="J137" s="624">
        <f t="shared" si="62"/>
        <v>0</v>
      </c>
      <c r="K137" s="625">
        <f t="shared" si="62"/>
        <v>0</v>
      </c>
      <c r="L137" s="625">
        <f t="shared" si="62"/>
        <v>0</v>
      </c>
      <c r="M137" s="625">
        <f t="shared" si="62"/>
        <v>0</v>
      </c>
      <c r="N137" s="624">
        <f t="shared" si="65"/>
        <v>0.5</v>
      </c>
      <c r="O137" s="624">
        <f t="shared" si="63"/>
        <v>0</v>
      </c>
      <c r="P137" s="626">
        <f t="shared" si="63"/>
        <v>0</v>
      </c>
      <c r="Q137" s="624">
        <f t="shared" si="63"/>
        <v>0.13461538461538461</v>
      </c>
      <c r="R137" s="357"/>
      <c r="S137" s="858"/>
      <c r="T137" s="858">
        <v>170</v>
      </c>
      <c r="U137" s="858">
        <v>234</v>
      </c>
      <c r="V137" s="858"/>
      <c r="W137" s="858">
        <v>58</v>
      </c>
      <c r="X137" s="858"/>
      <c r="Y137" s="859">
        <v>462</v>
      </c>
      <c r="Z137" s="859"/>
      <c r="AA137" s="858"/>
      <c r="AB137" s="858"/>
      <c r="AC137" s="858"/>
      <c r="AD137" s="858"/>
      <c r="AE137" s="859">
        <v>4</v>
      </c>
      <c r="AF137" s="859"/>
      <c r="AG137" s="858"/>
      <c r="AH137" s="859">
        <v>7</v>
      </c>
    </row>
    <row r="138" spans="1:34">
      <c r="A138" s="883"/>
      <c r="B138" s="239" t="s">
        <v>78</v>
      </c>
      <c r="C138" s="624">
        <f t="shared" si="64"/>
        <v>0</v>
      </c>
      <c r="D138" s="625">
        <f t="shared" si="62"/>
        <v>9.5121951219512196E-2</v>
      </c>
      <c r="E138" s="625">
        <f t="shared" si="62"/>
        <v>0.10805860805860806</v>
      </c>
      <c r="F138" s="625">
        <f t="shared" si="62"/>
        <v>0</v>
      </c>
      <c r="G138" s="625">
        <f t="shared" si="62"/>
        <v>0</v>
      </c>
      <c r="H138" s="626">
        <f t="shared" si="62"/>
        <v>0</v>
      </c>
      <c r="I138" s="624">
        <f t="shared" si="62"/>
        <v>9.3155893536121678E-2</v>
      </c>
      <c r="J138" s="624">
        <f t="shared" si="62"/>
        <v>0</v>
      </c>
      <c r="K138" s="625">
        <f t="shared" si="62"/>
        <v>0</v>
      </c>
      <c r="L138" s="625">
        <f t="shared" si="62"/>
        <v>0</v>
      </c>
      <c r="M138" s="625">
        <f t="shared" si="62"/>
        <v>0</v>
      </c>
      <c r="N138" s="624">
        <f t="shared" si="65"/>
        <v>0.125</v>
      </c>
      <c r="O138" s="624">
        <f t="shared" si="63"/>
        <v>0</v>
      </c>
      <c r="P138" s="626">
        <f t="shared" si="63"/>
        <v>0</v>
      </c>
      <c r="Q138" s="624">
        <f t="shared" si="63"/>
        <v>0.76923076923076927</v>
      </c>
      <c r="R138" s="357"/>
      <c r="S138" s="858"/>
      <c r="T138" s="858">
        <v>39</v>
      </c>
      <c r="U138" s="858">
        <v>59</v>
      </c>
      <c r="V138" s="858"/>
      <c r="W138" s="858"/>
      <c r="X138" s="858"/>
      <c r="Y138" s="859">
        <v>98</v>
      </c>
      <c r="Z138" s="859"/>
      <c r="AA138" s="858"/>
      <c r="AB138" s="858"/>
      <c r="AC138" s="858"/>
      <c r="AD138" s="858"/>
      <c r="AE138" s="859">
        <v>1</v>
      </c>
      <c r="AF138" s="859"/>
      <c r="AG138" s="858"/>
      <c r="AH138" s="859">
        <v>40</v>
      </c>
    </row>
    <row r="139" spans="1:34">
      <c r="A139" s="884"/>
      <c r="B139" s="580" t="s">
        <v>131</v>
      </c>
      <c r="C139" s="624">
        <f t="shared" si="64"/>
        <v>0</v>
      </c>
      <c r="D139" s="625">
        <f t="shared" si="62"/>
        <v>4.8780487804878049E-3</v>
      </c>
      <c r="E139" s="625">
        <f t="shared" si="62"/>
        <v>5.4945054945054949E-3</v>
      </c>
      <c r="F139" s="625">
        <f t="shared" si="62"/>
        <v>0</v>
      </c>
      <c r="G139" s="625">
        <f t="shared" si="62"/>
        <v>2.0833333333333332E-2</v>
      </c>
      <c r="H139" s="626">
        <f t="shared" si="62"/>
        <v>0</v>
      </c>
      <c r="I139" s="624">
        <f t="shared" si="62"/>
        <v>6.653992395437262E-3</v>
      </c>
      <c r="J139" s="624">
        <f t="shared" si="62"/>
        <v>0</v>
      </c>
      <c r="K139" s="625">
        <f t="shared" si="62"/>
        <v>0</v>
      </c>
      <c r="L139" s="625">
        <f t="shared" si="62"/>
        <v>0</v>
      </c>
      <c r="M139" s="625">
        <f t="shared" si="62"/>
        <v>0</v>
      </c>
      <c r="N139" s="624">
        <f t="shared" si="65"/>
        <v>0</v>
      </c>
      <c r="O139" s="624">
        <f t="shared" si="63"/>
        <v>0</v>
      </c>
      <c r="P139" s="626">
        <f t="shared" si="63"/>
        <v>0</v>
      </c>
      <c r="Q139" s="624">
        <f t="shared" si="63"/>
        <v>7.6923076923076927E-2</v>
      </c>
      <c r="R139" s="357"/>
      <c r="S139" s="858"/>
      <c r="T139" s="858">
        <v>2</v>
      </c>
      <c r="U139" s="858">
        <v>3</v>
      </c>
      <c r="V139" s="858"/>
      <c r="W139" s="858">
        <v>2</v>
      </c>
      <c r="X139" s="858"/>
      <c r="Y139" s="859">
        <v>7</v>
      </c>
      <c r="Z139" s="859"/>
      <c r="AA139" s="858"/>
      <c r="AB139" s="858"/>
      <c r="AC139" s="858"/>
      <c r="AD139" s="858"/>
      <c r="AE139" s="859"/>
      <c r="AF139" s="859"/>
      <c r="AG139" s="858"/>
      <c r="AH139" s="859">
        <v>4</v>
      </c>
    </row>
    <row r="140" spans="1:34">
      <c r="A140" s="885"/>
      <c r="B140" s="436" t="s">
        <v>59</v>
      </c>
      <c r="C140" s="577">
        <f t="shared" si="64"/>
        <v>0</v>
      </c>
      <c r="D140" s="578">
        <f t="shared" si="62"/>
        <v>1</v>
      </c>
      <c r="E140" s="578">
        <f t="shared" si="62"/>
        <v>1</v>
      </c>
      <c r="F140" s="578">
        <f t="shared" si="62"/>
        <v>0</v>
      </c>
      <c r="G140" s="578">
        <f t="shared" si="62"/>
        <v>1</v>
      </c>
      <c r="H140" s="579">
        <f t="shared" si="62"/>
        <v>0</v>
      </c>
      <c r="I140" s="577">
        <f t="shared" si="62"/>
        <v>1</v>
      </c>
      <c r="J140" s="577">
        <f t="shared" si="62"/>
        <v>0</v>
      </c>
      <c r="K140" s="578">
        <f t="shared" si="62"/>
        <v>0</v>
      </c>
      <c r="L140" s="578">
        <f t="shared" si="62"/>
        <v>0</v>
      </c>
      <c r="M140" s="578">
        <f t="shared" si="62"/>
        <v>0</v>
      </c>
      <c r="N140" s="577">
        <f t="shared" si="65"/>
        <v>1</v>
      </c>
      <c r="O140" s="577">
        <f t="shared" si="63"/>
        <v>0</v>
      </c>
      <c r="P140" s="579">
        <f t="shared" si="63"/>
        <v>0</v>
      </c>
      <c r="Q140" s="577">
        <f t="shared" si="63"/>
        <v>1</v>
      </c>
      <c r="R140" s="357"/>
      <c r="S140" s="858"/>
      <c r="T140" s="858">
        <v>410</v>
      </c>
      <c r="U140" s="858">
        <v>546</v>
      </c>
      <c r="V140" s="858"/>
      <c r="W140" s="858">
        <v>96</v>
      </c>
      <c r="X140" s="858"/>
      <c r="Y140" s="859">
        <v>1052</v>
      </c>
      <c r="Z140" s="859"/>
      <c r="AA140" s="858"/>
      <c r="AB140" s="858"/>
      <c r="AC140" s="858"/>
      <c r="AD140" s="858"/>
      <c r="AE140" s="859">
        <v>8</v>
      </c>
      <c r="AF140" s="859"/>
      <c r="AG140" s="858"/>
      <c r="AH140" s="859">
        <v>52</v>
      </c>
    </row>
    <row r="141" spans="1:34">
      <c r="A141" s="882" t="s">
        <v>137</v>
      </c>
      <c r="B141" s="240" t="s">
        <v>53</v>
      </c>
      <c r="C141" s="806">
        <f>IF(S$146&gt;0,(S141/S$146),0)</f>
        <v>0.36707353378981838</v>
      </c>
      <c r="D141" s="806">
        <f t="shared" ref="D141:M146" si="66">IF(T$146&gt;0,(T141/T$146),0)</f>
        <v>0.261703760552571</v>
      </c>
      <c r="E141" s="806">
        <f t="shared" si="66"/>
        <v>0</v>
      </c>
      <c r="F141" s="806">
        <f t="shared" si="66"/>
        <v>0.13144329896907217</v>
      </c>
      <c r="G141" s="806">
        <f t="shared" si="66"/>
        <v>0.11312217194570136</v>
      </c>
      <c r="H141" s="806">
        <f t="shared" si="66"/>
        <v>0</v>
      </c>
      <c r="I141" s="613">
        <f t="shared" si="66"/>
        <v>0.31303357996585091</v>
      </c>
      <c r="J141" s="613">
        <f t="shared" si="66"/>
        <v>0</v>
      </c>
      <c r="K141" s="614">
        <f t="shared" si="66"/>
        <v>0</v>
      </c>
      <c r="L141" s="614">
        <f t="shared" si="66"/>
        <v>0</v>
      </c>
      <c r="M141" s="614">
        <f t="shared" si="66"/>
        <v>0</v>
      </c>
      <c r="N141" s="613">
        <f>IF(AE$146&gt;0,(AE141/AE$146),0)</f>
        <v>0.15488215488215487</v>
      </c>
      <c r="O141" s="613">
        <f t="shared" ref="O141:Q146" si="67">IF(AF$146&gt;0,(AF141/AF$146),0)</f>
        <v>0</v>
      </c>
      <c r="P141" s="615">
        <f t="shared" si="67"/>
        <v>0</v>
      </c>
      <c r="Q141" s="613">
        <f t="shared" si="67"/>
        <v>0.32305433186490456</v>
      </c>
      <c r="R141" s="357"/>
      <c r="S141" s="856">
        <v>1233</v>
      </c>
      <c r="T141" s="856">
        <v>341</v>
      </c>
      <c r="U141" s="856"/>
      <c r="V141" s="856">
        <v>51</v>
      </c>
      <c r="W141" s="856">
        <v>25</v>
      </c>
      <c r="X141" s="856"/>
      <c r="Y141" s="857">
        <v>1650</v>
      </c>
      <c r="Z141" s="857"/>
      <c r="AA141" s="856"/>
      <c r="AB141" s="856"/>
      <c r="AC141" s="856"/>
      <c r="AD141" s="856"/>
      <c r="AE141" s="857">
        <v>92</v>
      </c>
      <c r="AF141" s="857"/>
      <c r="AG141" s="856"/>
      <c r="AH141" s="857">
        <v>660</v>
      </c>
    </row>
    <row r="142" spans="1:34">
      <c r="A142" s="883"/>
      <c r="B142" s="239" t="s">
        <v>93</v>
      </c>
      <c r="C142" s="806">
        <f t="shared" ref="C142:C146" si="68">IF(S$146&gt;0,(S142/S$146),0)</f>
        <v>0.26644834772253645</v>
      </c>
      <c r="D142" s="806">
        <f t="shared" si="66"/>
        <v>0.22793553338449732</v>
      </c>
      <c r="E142" s="806">
        <f t="shared" si="66"/>
        <v>0</v>
      </c>
      <c r="F142" s="806">
        <f t="shared" si="66"/>
        <v>0.27577319587628868</v>
      </c>
      <c r="G142" s="806">
        <f t="shared" si="66"/>
        <v>0.19004524886877827</v>
      </c>
      <c r="H142" s="806">
        <f t="shared" si="66"/>
        <v>0</v>
      </c>
      <c r="I142" s="624">
        <f t="shared" si="66"/>
        <v>0.25441092771770063</v>
      </c>
      <c r="J142" s="624">
        <f t="shared" si="66"/>
        <v>0</v>
      </c>
      <c r="K142" s="625">
        <f t="shared" si="66"/>
        <v>0</v>
      </c>
      <c r="L142" s="625">
        <f t="shared" si="66"/>
        <v>0</v>
      </c>
      <c r="M142" s="625">
        <f t="shared" si="66"/>
        <v>0</v>
      </c>
      <c r="N142" s="624">
        <f t="shared" ref="N142:N146" si="69">IF(AE$146&gt;0,(AE142/AE$146),0)</f>
        <v>0</v>
      </c>
      <c r="O142" s="624">
        <f t="shared" si="67"/>
        <v>0</v>
      </c>
      <c r="P142" s="626">
        <f t="shared" si="67"/>
        <v>0</v>
      </c>
      <c r="Q142" s="624">
        <f t="shared" si="67"/>
        <v>0</v>
      </c>
      <c r="R142" s="357"/>
      <c r="S142" s="858">
        <v>895</v>
      </c>
      <c r="T142" s="858">
        <v>297</v>
      </c>
      <c r="U142" s="858"/>
      <c r="V142" s="858">
        <v>107</v>
      </c>
      <c r="W142" s="858">
        <v>42</v>
      </c>
      <c r="X142" s="858"/>
      <c r="Y142" s="859">
        <v>1341</v>
      </c>
      <c r="Z142" s="859"/>
      <c r="AA142" s="858"/>
      <c r="AB142" s="858"/>
      <c r="AC142" s="858"/>
      <c r="AD142" s="858"/>
      <c r="AE142" s="859"/>
      <c r="AF142" s="859"/>
      <c r="AG142" s="858"/>
      <c r="AH142" s="859"/>
    </row>
    <row r="143" spans="1:34">
      <c r="A143" s="883"/>
      <c r="B143" s="239" t="s">
        <v>55</v>
      </c>
      <c r="C143" s="806">
        <f t="shared" si="68"/>
        <v>0.18725811253349212</v>
      </c>
      <c r="D143" s="806">
        <f t="shared" si="66"/>
        <v>0.20337682271680738</v>
      </c>
      <c r="E143" s="806">
        <f t="shared" si="66"/>
        <v>0</v>
      </c>
      <c r="F143" s="806">
        <f t="shared" si="66"/>
        <v>0.22938144329896906</v>
      </c>
      <c r="G143" s="806">
        <f t="shared" si="66"/>
        <v>0.11764705882352941</v>
      </c>
      <c r="H143" s="806">
        <f t="shared" si="66"/>
        <v>0</v>
      </c>
      <c r="I143" s="624">
        <f t="shared" si="66"/>
        <v>0.19142477708214761</v>
      </c>
      <c r="J143" s="624">
        <f t="shared" si="66"/>
        <v>0</v>
      </c>
      <c r="K143" s="625">
        <f t="shared" si="66"/>
        <v>0</v>
      </c>
      <c r="L143" s="625">
        <f t="shared" si="66"/>
        <v>0</v>
      </c>
      <c r="M143" s="625">
        <f t="shared" si="66"/>
        <v>0</v>
      </c>
      <c r="N143" s="624">
        <f t="shared" si="69"/>
        <v>0</v>
      </c>
      <c r="O143" s="624">
        <f t="shared" si="67"/>
        <v>0</v>
      </c>
      <c r="P143" s="626">
        <f t="shared" si="67"/>
        <v>0</v>
      </c>
      <c r="Q143" s="624">
        <f t="shared" si="67"/>
        <v>0</v>
      </c>
      <c r="R143" s="357"/>
      <c r="S143" s="858">
        <v>629</v>
      </c>
      <c r="T143" s="858">
        <v>265</v>
      </c>
      <c r="U143" s="858"/>
      <c r="V143" s="858">
        <v>89</v>
      </c>
      <c r="W143" s="858">
        <v>26</v>
      </c>
      <c r="X143" s="858"/>
      <c r="Y143" s="859">
        <v>1009</v>
      </c>
      <c r="Z143" s="859"/>
      <c r="AA143" s="858"/>
      <c r="AB143" s="858"/>
      <c r="AC143" s="858"/>
      <c r="AD143" s="858"/>
      <c r="AE143" s="859"/>
      <c r="AF143" s="859"/>
      <c r="AG143" s="858"/>
      <c r="AH143" s="859"/>
    </row>
    <row r="144" spans="1:34">
      <c r="A144" s="883"/>
      <c r="B144" s="239" t="s">
        <v>78</v>
      </c>
      <c r="C144" s="806">
        <f t="shared" si="68"/>
        <v>6.4900267936885983E-2</v>
      </c>
      <c r="D144" s="806">
        <f t="shared" si="66"/>
        <v>9.5932463545663857E-2</v>
      </c>
      <c r="E144" s="806">
        <f t="shared" si="66"/>
        <v>0</v>
      </c>
      <c r="F144" s="806">
        <f t="shared" si="66"/>
        <v>0.15206185567010308</v>
      </c>
      <c r="G144" s="806">
        <f t="shared" si="66"/>
        <v>0.18552036199095023</v>
      </c>
      <c r="H144" s="806">
        <f t="shared" si="66"/>
        <v>0</v>
      </c>
      <c r="I144" s="624">
        <f t="shared" si="66"/>
        <v>8.4044773287801175E-2</v>
      </c>
      <c r="J144" s="624">
        <f t="shared" si="66"/>
        <v>0</v>
      </c>
      <c r="K144" s="625">
        <f t="shared" si="66"/>
        <v>0</v>
      </c>
      <c r="L144" s="625">
        <f t="shared" si="66"/>
        <v>0</v>
      </c>
      <c r="M144" s="625">
        <f t="shared" si="66"/>
        <v>0</v>
      </c>
      <c r="N144" s="624">
        <f t="shared" si="69"/>
        <v>0.10101010101010101</v>
      </c>
      <c r="O144" s="624">
        <f t="shared" si="67"/>
        <v>0</v>
      </c>
      <c r="P144" s="626">
        <f t="shared" si="67"/>
        <v>0</v>
      </c>
      <c r="Q144" s="624">
        <f t="shared" si="67"/>
        <v>0.14635340186000978</v>
      </c>
      <c r="R144" s="357"/>
      <c r="S144" s="858">
        <v>218</v>
      </c>
      <c r="T144" s="858">
        <v>125</v>
      </c>
      <c r="U144" s="858"/>
      <c r="V144" s="858">
        <v>59</v>
      </c>
      <c r="W144" s="858">
        <v>41</v>
      </c>
      <c r="X144" s="858"/>
      <c r="Y144" s="859">
        <v>443</v>
      </c>
      <c r="Z144" s="859"/>
      <c r="AA144" s="858"/>
      <c r="AB144" s="858"/>
      <c r="AC144" s="858"/>
      <c r="AD144" s="858"/>
      <c r="AE144" s="859">
        <v>60</v>
      </c>
      <c r="AF144" s="859"/>
      <c r="AG144" s="858"/>
      <c r="AH144" s="859">
        <v>299</v>
      </c>
    </row>
    <row r="145" spans="1:34">
      <c r="A145" s="884"/>
      <c r="B145" s="580" t="s">
        <v>131</v>
      </c>
      <c r="C145" s="806">
        <f t="shared" si="68"/>
        <v>0.11431973801726704</v>
      </c>
      <c r="D145" s="806">
        <f t="shared" si="66"/>
        <v>0.21105141980046047</v>
      </c>
      <c r="E145" s="806">
        <f t="shared" si="66"/>
        <v>0</v>
      </c>
      <c r="F145" s="806">
        <f t="shared" si="66"/>
        <v>0.21134020618556701</v>
      </c>
      <c r="G145" s="806">
        <f t="shared" si="66"/>
        <v>0.39366515837104071</v>
      </c>
      <c r="H145" s="806">
        <f t="shared" si="66"/>
        <v>0</v>
      </c>
      <c r="I145" s="624">
        <f t="shared" si="66"/>
        <v>0.15708594194649972</v>
      </c>
      <c r="J145" s="624">
        <f t="shared" si="66"/>
        <v>0</v>
      </c>
      <c r="K145" s="625">
        <f t="shared" si="66"/>
        <v>0</v>
      </c>
      <c r="L145" s="625">
        <f t="shared" si="66"/>
        <v>0</v>
      </c>
      <c r="M145" s="625">
        <f t="shared" si="66"/>
        <v>0</v>
      </c>
      <c r="N145" s="624">
        <f t="shared" si="69"/>
        <v>0.74410774410774416</v>
      </c>
      <c r="O145" s="624">
        <f t="shared" si="67"/>
        <v>0</v>
      </c>
      <c r="P145" s="626">
        <f t="shared" si="67"/>
        <v>0</v>
      </c>
      <c r="Q145" s="624">
        <f t="shared" si="67"/>
        <v>0.53059226627508571</v>
      </c>
      <c r="R145" s="357"/>
      <c r="S145" s="858">
        <v>384</v>
      </c>
      <c r="T145" s="858">
        <v>275</v>
      </c>
      <c r="U145" s="858">
        <v>0</v>
      </c>
      <c r="V145" s="858">
        <v>82</v>
      </c>
      <c r="W145" s="858">
        <v>87</v>
      </c>
      <c r="X145" s="858">
        <v>0</v>
      </c>
      <c r="Y145" s="859">
        <v>828</v>
      </c>
      <c r="Z145" s="859"/>
      <c r="AA145" s="858"/>
      <c r="AB145" s="858"/>
      <c r="AC145" s="858"/>
      <c r="AD145" s="858"/>
      <c r="AE145" s="859">
        <v>442</v>
      </c>
      <c r="AF145" s="859"/>
      <c r="AG145" s="858"/>
      <c r="AH145" s="859">
        <v>1084</v>
      </c>
    </row>
    <row r="146" spans="1:34">
      <c r="A146" s="885"/>
      <c r="B146" s="436" t="s">
        <v>59</v>
      </c>
      <c r="C146" s="807">
        <f t="shared" si="68"/>
        <v>1</v>
      </c>
      <c r="D146" s="808">
        <f t="shared" si="66"/>
        <v>1</v>
      </c>
      <c r="E146" s="808">
        <f t="shared" si="66"/>
        <v>0</v>
      </c>
      <c r="F146" s="808">
        <f t="shared" si="66"/>
        <v>1</v>
      </c>
      <c r="G146" s="808">
        <f t="shared" si="66"/>
        <v>1</v>
      </c>
      <c r="H146" s="809">
        <f t="shared" si="66"/>
        <v>0</v>
      </c>
      <c r="I146" s="577">
        <f t="shared" si="66"/>
        <v>1</v>
      </c>
      <c r="J146" s="577">
        <f t="shared" si="66"/>
        <v>0</v>
      </c>
      <c r="K146" s="578">
        <f t="shared" si="66"/>
        <v>0</v>
      </c>
      <c r="L146" s="578">
        <f t="shared" si="66"/>
        <v>0</v>
      </c>
      <c r="M146" s="578">
        <f t="shared" si="66"/>
        <v>0</v>
      </c>
      <c r="N146" s="577">
        <f t="shared" si="69"/>
        <v>1</v>
      </c>
      <c r="O146" s="577">
        <f t="shared" si="67"/>
        <v>0</v>
      </c>
      <c r="P146" s="579">
        <f t="shared" si="67"/>
        <v>0</v>
      </c>
      <c r="Q146" s="577">
        <f t="shared" si="67"/>
        <v>1</v>
      </c>
      <c r="R146" s="357"/>
      <c r="S146" s="858">
        <v>3359</v>
      </c>
      <c r="T146" s="858">
        <v>1303</v>
      </c>
      <c r="U146" s="858"/>
      <c r="V146" s="858">
        <v>388</v>
      </c>
      <c r="W146" s="858">
        <v>221</v>
      </c>
      <c r="X146" s="858"/>
      <c r="Y146" s="859">
        <v>5271</v>
      </c>
      <c r="Z146" s="859"/>
      <c r="AA146" s="858"/>
      <c r="AB146" s="858"/>
      <c r="AC146" s="858"/>
      <c r="AD146" s="858"/>
      <c r="AE146" s="859">
        <v>594</v>
      </c>
      <c r="AF146" s="859"/>
      <c r="AG146" s="858"/>
      <c r="AH146" s="859">
        <v>2043</v>
      </c>
    </row>
    <row r="147" spans="1:34">
      <c r="A147" s="882" t="s">
        <v>138</v>
      </c>
      <c r="B147" s="240" t="s">
        <v>53</v>
      </c>
      <c r="C147" s="806">
        <f>IF(S$152&gt;0,(S147/S$152),0)</f>
        <v>0.53644217988480281</v>
      </c>
      <c r="D147" s="806">
        <f t="shared" ref="D147:M152" si="70">IF(T$152&gt;0,(T147/T$152),0)</f>
        <v>0.42431761786600497</v>
      </c>
      <c r="E147" s="806">
        <f t="shared" si="70"/>
        <v>0.41090412562176926</v>
      </c>
      <c r="F147" s="806">
        <f t="shared" si="70"/>
        <v>0.2185430463576159</v>
      </c>
      <c r="G147" s="806">
        <f t="shared" si="70"/>
        <v>0</v>
      </c>
      <c r="H147" s="806">
        <f t="shared" si="70"/>
        <v>0.32203389830508472</v>
      </c>
      <c r="I147" s="613">
        <f t="shared" si="70"/>
        <v>0.46019277108433737</v>
      </c>
      <c r="J147" s="613">
        <f t="shared" si="70"/>
        <v>0</v>
      </c>
      <c r="K147" s="614">
        <f t="shared" si="70"/>
        <v>0</v>
      </c>
      <c r="L147" s="614">
        <f t="shared" si="70"/>
        <v>0</v>
      </c>
      <c r="M147" s="614">
        <f t="shared" si="70"/>
        <v>0</v>
      </c>
      <c r="N147" s="613">
        <f>IF(AE$152&gt;0,(AE147/AE$152),0)</f>
        <v>4.0494938132733409E-2</v>
      </c>
      <c r="O147" s="613">
        <f t="shared" ref="O147:Q152" si="71">IF(AF$152&gt;0,(AF147/AF$152),0)</f>
        <v>0</v>
      </c>
      <c r="P147" s="615">
        <f t="shared" si="71"/>
        <v>0</v>
      </c>
      <c r="Q147" s="613">
        <f t="shared" si="71"/>
        <v>0</v>
      </c>
      <c r="R147" s="799"/>
      <c r="S147" s="856">
        <v>4843</v>
      </c>
      <c r="T147" s="856">
        <v>342</v>
      </c>
      <c r="U147" s="856">
        <v>4213</v>
      </c>
      <c r="V147" s="856">
        <v>132</v>
      </c>
      <c r="W147" s="856"/>
      <c r="X147" s="856">
        <v>19</v>
      </c>
      <c r="Y147" s="857">
        <v>9549</v>
      </c>
      <c r="Z147" s="857"/>
      <c r="AA147" s="856"/>
      <c r="AB147" s="856"/>
      <c r="AC147" s="856"/>
      <c r="AD147" s="856"/>
      <c r="AE147" s="857">
        <v>540</v>
      </c>
      <c r="AF147" s="857"/>
      <c r="AG147" s="856"/>
      <c r="AH147" s="857"/>
    </row>
    <row r="148" spans="1:34">
      <c r="A148" s="883"/>
      <c r="B148" s="239" t="s">
        <v>93</v>
      </c>
      <c r="C148" s="806">
        <f t="shared" ref="C148:C152" si="72">IF(S$152&gt;0,(S148/S$152),0)</f>
        <v>0.19694284448382809</v>
      </c>
      <c r="D148" s="806">
        <f t="shared" si="70"/>
        <v>0.28163771712158808</v>
      </c>
      <c r="E148" s="806">
        <f t="shared" si="70"/>
        <v>0.23544328489222666</v>
      </c>
      <c r="F148" s="806">
        <f t="shared" si="70"/>
        <v>0.18874172185430463</v>
      </c>
      <c r="G148" s="806">
        <f t="shared" si="70"/>
        <v>0</v>
      </c>
      <c r="H148" s="806">
        <f t="shared" si="70"/>
        <v>0.13559322033898305</v>
      </c>
      <c r="I148" s="624">
        <f t="shared" si="70"/>
        <v>0.2188433734939759</v>
      </c>
      <c r="J148" s="624">
        <f t="shared" si="70"/>
        <v>0</v>
      </c>
      <c r="K148" s="625">
        <f t="shared" si="70"/>
        <v>0</v>
      </c>
      <c r="L148" s="625">
        <f t="shared" si="70"/>
        <v>0</v>
      </c>
      <c r="M148" s="625">
        <f t="shared" si="70"/>
        <v>0</v>
      </c>
      <c r="N148" s="624">
        <f t="shared" ref="N148:N152" si="73">IF(AE$152&gt;0,(AE148/AE$152),0)</f>
        <v>7.4240719910011249E-3</v>
      </c>
      <c r="O148" s="624">
        <f t="shared" si="71"/>
        <v>0</v>
      </c>
      <c r="P148" s="626">
        <f t="shared" si="71"/>
        <v>0</v>
      </c>
      <c r="Q148" s="624">
        <f t="shared" si="71"/>
        <v>0</v>
      </c>
      <c r="R148" s="357"/>
      <c r="S148" s="858">
        <v>1778</v>
      </c>
      <c r="T148" s="858">
        <v>227</v>
      </c>
      <c r="U148" s="858">
        <v>2414</v>
      </c>
      <c r="V148" s="858">
        <v>114</v>
      </c>
      <c r="W148" s="858"/>
      <c r="X148" s="858">
        <v>8</v>
      </c>
      <c r="Y148" s="859">
        <v>4541</v>
      </c>
      <c r="Z148" s="859"/>
      <c r="AA148" s="858"/>
      <c r="AB148" s="858"/>
      <c r="AC148" s="858"/>
      <c r="AD148" s="858"/>
      <c r="AE148" s="859">
        <v>99</v>
      </c>
      <c r="AF148" s="859"/>
      <c r="AG148" s="858"/>
      <c r="AH148" s="859"/>
    </row>
    <row r="149" spans="1:34">
      <c r="A149" s="883"/>
      <c r="B149" s="239" t="s">
        <v>55</v>
      </c>
      <c r="C149" s="806">
        <f t="shared" si="72"/>
        <v>0.15396544085068675</v>
      </c>
      <c r="D149" s="806">
        <f t="shared" si="70"/>
        <v>0.11290322580645161</v>
      </c>
      <c r="E149" s="806">
        <f t="shared" si="70"/>
        <v>0.16697551936018726</v>
      </c>
      <c r="F149" s="806">
        <f t="shared" si="70"/>
        <v>0.20695364238410596</v>
      </c>
      <c r="G149" s="806">
        <f t="shared" si="70"/>
        <v>0</v>
      </c>
      <c r="H149" s="806">
        <f t="shared" si="70"/>
        <v>0.33898305084745761</v>
      </c>
      <c r="I149" s="624">
        <f t="shared" si="70"/>
        <v>0.16086746987951808</v>
      </c>
      <c r="J149" s="624">
        <f t="shared" si="70"/>
        <v>0</v>
      </c>
      <c r="K149" s="625">
        <f t="shared" si="70"/>
        <v>0</v>
      </c>
      <c r="L149" s="625">
        <f t="shared" si="70"/>
        <v>0</v>
      </c>
      <c r="M149" s="625">
        <f t="shared" si="70"/>
        <v>0</v>
      </c>
      <c r="N149" s="624">
        <f t="shared" si="73"/>
        <v>6.5241844769403827E-3</v>
      </c>
      <c r="O149" s="624">
        <f t="shared" si="71"/>
        <v>0</v>
      </c>
      <c r="P149" s="626">
        <f t="shared" si="71"/>
        <v>0</v>
      </c>
      <c r="Q149" s="624">
        <f t="shared" si="71"/>
        <v>0</v>
      </c>
      <c r="R149" s="357"/>
      <c r="S149" s="858">
        <v>1390</v>
      </c>
      <c r="T149" s="858">
        <v>91</v>
      </c>
      <c r="U149" s="858">
        <v>1712</v>
      </c>
      <c r="V149" s="858">
        <v>125</v>
      </c>
      <c r="W149" s="858"/>
      <c r="X149" s="858">
        <v>20</v>
      </c>
      <c r="Y149" s="859">
        <v>3338</v>
      </c>
      <c r="Z149" s="859"/>
      <c r="AA149" s="858"/>
      <c r="AB149" s="858"/>
      <c r="AC149" s="858"/>
      <c r="AD149" s="858"/>
      <c r="AE149" s="859">
        <v>87</v>
      </c>
      <c r="AF149" s="859"/>
      <c r="AG149" s="858"/>
      <c r="AH149" s="859"/>
    </row>
    <row r="150" spans="1:34">
      <c r="A150" s="883"/>
      <c r="B150" s="239" t="s">
        <v>78</v>
      </c>
      <c r="C150" s="806">
        <f t="shared" si="72"/>
        <v>8.8613203367301726E-4</v>
      </c>
      <c r="D150" s="806">
        <f t="shared" si="70"/>
        <v>0</v>
      </c>
      <c r="E150" s="806">
        <f t="shared" si="70"/>
        <v>0</v>
      </c>
      <c r="F150" s="806">
        <f t="shared" si="70"/>
        <v>0</v>
      </c>
      <c r="G150" s="806">
        <f t="shared" si="70"/>
        <v>0</v>
      </c>
      <c r="H150" s="806">
        <f t="shared" si="70"/>
        <v>0</v>
      </c>
      <c r="I150" s="624">
        <f t="shared" si="70"/>
        <v>3.8554216867469878E-4</v>
      </c>
      <c r="J150" s="624">
        <f t="shared" si="70"/>
        <v>0</v>
      </c>
      <c r="K150" s="625">
        <f t="shared" si="70"/>
        <v>0</v>
      </c>
      <c r="L150" s="625">
        <f t="shared" si="70"/>
        <v>0</v>
      </c>
      <c r="M150" s="625">
        <f t="shared" si="70"/>
        <v>0</v>
      </c>
      <c r="N150" s="624">
        <f t="shared" si="73"/>
        <v>0.92373453318335208</v>
      </c>
      <c r="O150" s="624">
        <f t="shared" si="71"/>
        <v>0</v>
      </c>
      <c r="P150" s="626">
        <f t="shared" si="71"/>
        <v>0</v>
      </c>
      <c r="Q150" s="624">
        <f t="shared" si="71"/>
        <v>1</v>
      </c>
      <c r="R150" s="357"/>
      <c r="S150" s="858">
        <v>8</v>
      </c>
      <c r="T150" s="858"/>
      <c r="U150" s="858"/>
      <c r="V150" s="858"/>
      <c r="W150" s="858"/>
      <c r="X150" s="858"/>
      <c r="Y150" s="859">
        <v>8</v>
      </c>
      <c r="Z150" s="859"/>
      <c r="AA150" s="858"/>
      <c r="AB150" s="858"/>
      <c r="AC150" s="858"/>
      <c r="AD150" s="858"/>
      <c r="AE150" s="859">
        <v>12318</v>
      </c>
      <c r="AF150" s="859"/>
      <c r="AG150" s="858"/>
      <c r="AH150" s="859">
        <v>4550</v>
      </c>
    </row>
    <row r="151" spans="1:34">
      <c r="A151" s="884"/>
      <c r="B151" s="580" t="s">
        <v>131</v>
      </c>
      <c r="C151" s="806">
        <f t="shared" si="72"/>
        <v>0.1117634027470093</v>
      </c>
      <c r="D151" s="806">
        <f t="shared" si="70"/>
        <v>0.18114143920595532</v>
      </c>
      <c r="E151" s="806">
        <f t="shared" si="70"/>
        <v>0.18667707012581683</v>
      </c>
      <c r="F151" s="806">
        <f t="shared" si="70"/>
        <v>0.38576158940397354</v>
      </c>
      <c r="G151" s="806">
        <f t="shared" si="70"/>
        <v>0</v>
      </c>
      <c r="H151" s="806">
        <f t="shared" si="70"/>
        <v>0.20338983050847459</v>
      </c>
      <c r="I151" s="624">
        <f t="shared" si="70"/>
        <v>0.15971084337349398</v>
      </c>
      <c r="J151" s="624">
        <f t="shared" si="70"/>
        <v>0</v>
      </c>
      <c r="K151" s="625">
        <f t="shared" si="70"/>
        <v>0</v>
      </c>
      <c r="L151" s="625">
        <f t="shared" si="70"/>
        <v>0</v>
      </c>
      <c r="M151" s="625">
        <f t="shared" si="70"/>
        <v>0</v>
      </c>
      <c r="N151" s="624">
        <f t="shared" si="73"/>
        <v>2.1822272215973004E-2</v>
      </c>
      <c r="O151" s="624">
        <f t="shared" si="71"/>
        <v>0</v>
      </c>
      <c r="P151" s="626">
        <f t="shared" si="71"/>
        <v>0</v>
      </c>
      <c r="Q151" s="624">
        <f t="shared" si="71"/>
        <v>0</v>
      </c>
      <c r="R151" s="357"/>
      <c r="S151" s="858">
        <v>1009</v>
      </c>
      <c r="T151" s="858">
        <v>146</v>
      </c>
      <c r="U151" s="858">
        <v>1914</v>
      </c>
      <c r="V151" s="858">
        <v>233</v>
      </c>
      <c r="W151" s="858">
        <v>0</v>
      </c>
      <c r="X151" s="858">
        <v>12</v>
      </c>
      <c r="Y151" s="859">
        <v>3314</v>
      </c>
      <c r="Z151" s="859"/>
      <c r="AA151" s="858"/>
      <c r="AB151" s="858"/>
      <c r="AC151" s="858"/>
      <c r="AD151" s="858"/>
      <c r="AE151" s="859">
        <v>291</v>
      </c>
      <c r="AF151" s="859"/>
      <c r="AG151" s="858"/>
      <c r="AH151" s="859"/>
    </row>
    <row r="152" spans="1:34">
      <c r="A152" s="885"/>
      <c r="B152" s="436" t="s">
        <v>59</v>
      </c>
      <c r="C152" s="807">
        <f t="shared" si="72"/>
        <v>1</v>
      </c>
      <c r="D152" s="808">
        <f t="shared" si="70"/>
        <v>1</v>
      </c>
      <c r="E152" s="808">
        <f t="shared" si="70"/>
        <v>1</v>
      </c>
      <c r="F152" s="808">
        <f t="shared" si="70"/>
        <v>1</v>
      </c>
      <c r="G152" s="808">
        <f t="shared" si="70"/>
        <v>0</v>
      </c>
      <c r="H152" s="809">
        <f t="shared" si="70"/>
        <v>1</v>
      </c>
      <c r="I152" s="577">
        <f t="shared" si="70"/>
        <v>1</v>
      </c>
      <c r="J152" s="577">
        <f t="shared" si="70"/>
        <v>0</v>
      </c>
      <c r="K152" s="578">
        <f t="shared" si="70"/>
        <v>0</v>
      </c>
      <c r="L152" s="578">
        <f t="shared" si="70"/>
        <v>0</v>
      </c>
      <c r="M152" s="578">
        <f t="shared" si="70"/>
        <v>0</v>
      </c>
      <c r="N152" s="577">
        <f t="shared" si="73"/>
        <v>1</v>
      </c>
      <c r="O152" s="577">
        <f t="shared" si="71"/>
        <v>0</v>
      </c>
      <c r="P152" s="579">
        <f t="shared" si="71"/>
        <v>0</v>
      </c>
      <c r="Q152" s="577">
        <f t="shared" si="71"/>
        <v>1</v>
      </c>
      <c r="R152" s="357"/>
      <c r="S152" s="858">
        <v>9028</v>
      </c>
      <c r="T152" s="858">
        <v>806</v>
      </c>
      <c r="U152" s="858">
        <v>10253</v>
      </c>
      <c r="V152" s="858">
        <v>604</v>
      </c>
      <c r="W152" s="858"/>
      <c r="X152" s="858">
        <v>59</v>
      </c>
      <c r="Y152" s="859">
        <v>20750</v>
      </c>
      <c r="Z152" s="859"/>
      <c r="AA152" s="858"/>
      <c r="AB152" s="858"/>
      <c r="AC152" s="858"/>
      <c r="AD152" s="858"/>
      <c r="AE152" s="859">
        <v>13335</v>
      </c>
      <c r="AF152" s="859"/>
      <c r="AG152" s="858"/>
      <c r="AH152" s="859">
        <v>4550</v>
      </c>
    </row>
    <row r="153" spans="1:34">
      <c r="A153" s="882" t="s">
        <v>139</v>
      </c>
      <c r="B153" s="240" t="s">
        <v>53</v>
      </c>
      <c r="C153" s="806">
        <f>IF(S$158&gt;0,(S153/S$158),0)</f>
        <v>0.30358397751229799</v>
      </c>
      <c r="D153" s="806">
        <f t="shared" ref="D153:M158" si="74">IF(T$158&gt;0,(T153/T$158),0)</f>
        <v>0.23595505617977527</v>
      </c>
      <c r="E153" s="806">
        <f t="shared" si="74"/>
        <v>0.18961038961038962</v>
      </c>
      <c r="F153" s="806">
        <f t="shared" si="74"/>
        <v>0.28807947019867547</v>
      </c>
      <c r="G153" s="806">
        <f t="shared" si="74"/>
        <v>0.26276276276276278</v>
      </c>
      <c r="H153" s="806">
        <f t="shared" si="74"/>
        <v>0.25060827250608275</v>
      </c>
      <c r="I153" s="613">
        <f t="shared" si="74"/>
        <v>0.2719932716568545</v>
      </c>
      <c r="J153" s="613">
        <f t="shared" si="74"/>
        <v>0</v>
      </c>
      <c r="K153" s="614">
        <f t="shared" si="74"/>
        <v>0</v>
      </c>
      <c r="L153" s="614">
        <f t="shared" si="74"/>
        <v>0</v>
      </c>
      <c r="M153" s="614">
        <f t="shared" si="74"/>
        <v>0</v>
      </c>
      <c r="N153" s="613">
        <f>IF(AE$158&gt;0,(AE153/AE$158),0)</f>
        <v>0.13261648745519714</v>
      </c>
      <c r="O153" s="613">
        <f t="shared" ref="O153:Q158" si="75">IF(AF$158&gt;0,(AF153/AF$158),0)</f>
        <v>0</v>
      </c>
      <c r="P153" s="615">
        <f t="shared" si="75"/>
        <v>0</v>
      </c>
      <c r="Q153" s="613">
        <f t="shared" si="75"/>
        <v>0.55012531328320802</v>
      </c>
      <c r="R153" s="799"/>
      <c r="S153" s="856">
        <v>864</v>
      </c>
      <c r="T153" s="856">
        <v>315</v>
      </c>
      <c r="U153" s="856">
        <v>73</v>
      </c>
      <c r="V153" s="856">
        <v>87</v>
      </c>
      <c r="W153" s="856">
        <v>175</v>
      </c>
      <c r="X153" s="856">
        <v>103</v>
      </c>
      <c r="Y153" s="857">
        <v>1617</v>
      </c>
      <c r="Z153" s="857"/>
      <c r="AA153" s="856"/>
      <c r="AB153" s="856"/>
      <c r="AC153" s="856"/>
      <c r="AD153" s="856"/>
      <c r="AE153" s="857">
        <v>74</v>
      </c>
      <c r="AF153" s="857"/>
      <c r="AG153" s="856"/>
      <c r="AH153" s="857">
        <v>439</v>
      </c>
    </row>
    <row r="154" spans="1:34">
      <c r="A154" s="883"/>
      <c r="B154" s="239" t="s">
        <v>93</v>
      </c>
      <c r="C154" s="806">
        <f t="shared" ref="C154:C158" si="76">IF(S$158&gt;0,(S154/S$158),0)</f>
        <v>0.26001405481377371</v>
      </c>
      <c r="D154" s="806">
        <f t="shared" si="74"/>
        <v>0.26666666666666666</v>
      </c>
      <c r="E154" s="806">
        <f t="shared" si="74"/>
        <v>0.17402597402597403</v>
      </c>
      <c r="F154" s="806">
        <f t="shared" si="74"/>
        <v>0.23509933774834438</v>
      </c>
      <c r="G154" s="806">
        <f t="shared" si="74"/>
        <v>0.23873873873873874</v>
      </c>
      <c r="H154" s="806">
        <f t="shared" si="74"/>
        <v>0.19708029197080293</v>
      </c>
      <c r="I154" s="624">
        <f t="shared" si="74"/>
        <v>0.24793944491169051</v>
      </c>
      <c r="J154" s="624">
        <f t="shared" si="74"/>
        <v>0</v>
      </c>
      <c r="K154" s="625">
        <f t="shared" si="74"/>
        <v>0</v>
      </c>
      <c r="L154" s="625">
        <f t="shared" si="74"/>
        <v>0</v>
      </c>
      <c r="M154" s="625">
        <f t="shared" si="74"/>
        <v>0</v>
      </c>
      <c r="N154" s="624">
        <f t="shared" ref="N154:N158" si="77">IF(AE$158&gt;0,(AE154/AE$158),0)</f>
        <v>0.16666666666666666</v>
      </c>
      <c r="O154" s="624">
        <f t="shared" si="75"/>
        <v>0</v>
      </c>
      <c r="P154" s="626">
        <f t="shared" si="75"/>
        <v>0</v>
      </c>
      <c r="Q154" s="624">
        <f t="shared" si="75"/>
        <v>3.7593984962406013E-3</v>
      </c>
      <c r="R154" s="357"/>
      <c r="S154" s="858">
        <v>740</v>
      </c>
      <c r="T154" s="858">
        <v>356</v>
      </c>
      <c r="U154" s="858">
        <v>67</v>
      </c>
      <c r="V154" s="858">
        <v>71</v>
      </c>
      <c r="W154" s="858">
        <v>159</v>
      </c>
      <c r="X154" s="858">
        <v>81</v>
      </c>
      <c r="Y154" s="859">
        <v>1474</v>
      </c>
      <c r="Z154" s="859"/>
      <c r="AA154" s="858"/>
      <c r="AB154" s="858"/>
      <c r="AC154" s="858"/>
      <c r="AD154" s="858"/>
      <c r="AE154" s="859">
        <v>93</v>
      </c>
      <c r="AF154" s="859"/>
      <c r="AG154" s="858"/>
      <c r="AH154" s="859">
        <v>3</v>
      </c>
    </row>
    <row r="155" spans="1:34">
      <c r="A155" s="883"/>
      <c r="B155" s="239" t="s">
        <v>55</v>
      </c>
      <c r="C155" s="806">
        <f t="shared" si="76"/>
        <v>0.20590302178496134</v>
      </c>
      <c r="D155" s="806">
        <f t="shared" si="74"/>
        <v>0.27790262172284647</v>
      </c>
      <c r="E155" s="806">
        <f t="shared" si="74"/>
        <v>0.2</v>
      </c>
      <c r="F155" s="806">
        <f t="shared" si="74"/>
        <v>0.30463576158940397</v>
      </c>
      <c r="G155" s="806">
        <f t="shared" si="74"/>
        <v>0.2927927927927928</v>
      </c>
      <c r="H155" s="806">
        <f t="shared" si="74"/>
        <v>0.24330900243309003</v>
      </c>
      <c r="I155" s="624">
        <f t="shared" si="74"/>
        <v>0.23902439024390243</v>
      </c>
      <c r="J155" s="624">
        <f t="shared" si="74"/>
        <v>0</v>
      </c>
      <c r="K155" s="625">
        <f t="shared" si="74"/>
        <v>0</v>
      </c>
      <c r="L155" s="625">
        <f t="shared" si="74"/>
        <v>0</v>
      </c>
      <c r="M155" s="625">
        <f t="shared" si="74"/>
        <v>0</v>
      </c>
      <c r="N155" s="624">
        <f t="shared" si="77"/>
        <v>9.8566308243727599E-2</v>
      </c>
      <c r="O155" s="624">
        <f t="shared" si="75"/>
        <v>0</v>
      </c>
      <c r="P155" s="626">
        <f t="shared" si="75"/>
        <v>0</v>
      </c>
      <c r="Q155" s="624">
        <f t="shared" si="75"/>
        <v>2.5062656641604009E-3</v>
      </c>
      <c r="R155" s="357"/>
      <c r="S155" s="858">
        <v>586</v>
      </c>
      <c r="T155" s="858">
        <v>371</v>
      </c>
      <c r="U155" s="858">
        <v>77</v>
      </c>
      <c r="V155" s="858">
        <v>92</v>
      </c>
      <c r="W155" s="858">
        <v>195</v>
      </c>
      <c r="X155" s="858">
        <v>100</v>
      </c>
      <c r="Y155" s="859">
        <v>1421</v>
      </c>
      <c r="Z155" s="859"/>
      <c r="AA155" s="858"/>
      <c r="AB155" s="858"/>
      <c r="AC155" s="858"/>
      <c r="AD155" s="858"/>
      <c r="AE155" s="859">
        <v>55</v>
      </c>
      <c r="AF155" s="859"/>
      <c r="AG155" s="858"/>
      <c r="AH155" s="859">
        <v>2</v>
      </c>
    </row>
    <row r="156" spans="1:34">
      <c r="A156" s="883"/>
      <c r="B156" s="239" t="s">
        <v>78</v>
      </c>
      <c r="C156" s="806">
        <f t="shared" si="76"/>
        <v>0.17146872803935348</v>
      </c>
      <c r="D156" s="806">
        <f t="shared" si="74"/>
        <v>0.19250936329588014</v>
      </c>
      <c r="E156" s="806">
        <f t="shared" si="74"/>
        <v>0.43636363636363634</v>
      </c>
      <c r="F156" s="806">
        <f t="shared" si="74"/>
        <v>6.6225165562913907E-3</v>
      </c>
      <c r="G156" s="806">
        <f t="shared" si="74"/>
        <v>1.5015015015015015E-2</v>
      </c>
      <c r="H156" s="806">
        <f t="shared" si="74"/>
        <v>0.29683698296836986</v>
      </c>
      <c r="I156" s="624">
        <f t="shared" si="74"/>
        <v>0.1761143818334735</v>
      </c>
      <c r="J156" s="624">
        <f t="shared" si="74"/>
        <v>0</v>
      </c>
      <c r="K156" s="625">
        <f t="shared" si="74"/>
        <v>0</v>
      </c>
      <c r="L156" s="625">
        <f t="shared" si="74"/>
        <v>0</v>
      </c>
      <c r="M156" s="625">
        <f t="shared" si="74"/>
        <v>0</v>
      </c>
      <c r="N156" s="624">
        <f t="shared" si="77"/>
        <v>0.21505376344086022</v>
      </c>
      <c r="O156" s="624">
        <f t="shared" si="75"/>
        <v>0</v>
      </c>
      <c r="P156" s="626">
        <f t="shared" si="75"/>
        <v>0</v>
      </c>
      <c r="Q156" s="624">
        <f t="shared" si="75"/>
        <v>0.13784461152882205</v>
      </c>
      <c r="R156" s="357"/>
      <c r="S156" s="858">
        <v>488</v>
      </c>
      <c r="T156" s="858">
        <v>257</v>
      </c>
      <c r="U156" s="858">
        <v>168</v>
      </c>
      <c r="V156" s="858">
        <v>2</v>
      </c>
      <c r="W156" s="858">
        <v>10</v>
      </c>
      <c r="X156" s="858">
        <v>122</v>
      </c>
      <c r="Y156" s="859">
        <v>1047</v>
      </c>
      <c r="Z156" s="859"/>
      <c r="AA156" s="858"/>
      <c r="AB156" s="858"/>
      <c r="AC156" s="858"/>
      <c r="AD156" s="858"/>
      <c r="AE156" s="859">
        <v>120</v>
      </c>
      <c r="AF156" s="859"/>
      <c r="AG156" s="858"/>
      <c r="AH156" s="859">
        <v>110</v>
      </c>
    </row>
    <row r="157" spans="1:34">
      <c r="A157" s="884"/>
      <c r="B157" s="580" t="s">
        <v>131</v>
      </c>
      <c r="C157" s="806">
        <f t="shared" si="76"/>
        <v>5.9030217849613494E-2</v>
      </c>
      <c r="D157" s="806">
        <f t="shared" si="74"/>
        <v>2.6966292134831461E-2</v>
      </c>
      <c r="E157" s="806">
        <f t="shared" si="74"/>
        <v>0</v>
      </c>
      <c r="F157" s="806">
        <f t="shared" si="74"/>
        <v>0.16556291390728478</v>
      </c>
      <c r="G157" s="806">
        <f t="shared" si="74"/>
        <v>0.1906906906906907</v>
      </c>
      <c r="H157" s="806">
        <f t="shared" si="74"/>
        <v>1.2165450121654502E-2</v>
      </c>
      <c r="I157" s="624">
        <f t="shared" si="74"/>
        <v>6.4928511354079052E-2</v>
      </c>
      <c r="J157" s="624">
        <f t="shared" si="74"/>
        <v>0</v>
      </c>
      <c r="K157" s="625">
        <f t="shared" si="74"/>
        <v>0</v>
      </c>
      <c r="L157" s="625">
        <f t="shared" si="74"/>
        <v>0</v>
      </c>
      <c r="M157" s="625">
        <f t="shared" si="74"/>
        <v>0</v>
      </c>
      <c r="N157" s="624">
        <f t="shared" si="77"/>
        <v>0.38709677419354838</v>
      </c>
      <c r="O157" s="624">
        <f t="shared" si="75"/>
        <v>0</v>
      </c>
      <c r="P157" s="626">
        <f t="shared" si="75"/>
        <v>0</v>
      </c>
      <c r="Q157" s="624">
        <f t="shared" si="75"/>
        <v>0.30576441102756891</v>
      </c>
      <c r="R157" s="357"/>
      <c r="S157" s="858">
        <v>168</v>
      </c>
      <c r="T157" s="858">
        <v>36</v>
      </c>
      <c r="U157" s="858">
        <v>0</v>
      </c>
      <c r="V157" s="858">
        <v>50</v>
      </c>
      <c r="W157" s="858">
        <v>127</v>
      </c>
      <c r="X157" s="858">
        <v>5</v>
      </c>
      <c r="Y157" s="859">
        <v>386</v>
      </c>
      <c r="Z157" s="859"/>
      <c r="AA157" s="858"/>
      <c r="AB157" s="858"/>
      <c r="AC157" s="858"/>
      <c r="AD157" s="858"/>
      <c r="AE157" s="859">
        <v>216</v>
      </c>
      <c r="AF157" s="859"/>
      <c r="AG157" s="858"/>
      <c r="AH157" s="859">
        <v>244</v>
      </c>
    </row>
    <row r="158" spans="1:34">
      <c r="A158" s="885"/>
      <c r="B158" s="436" t="s">
        <v>59</v>
      </c>
      <c r="C158" s="807">
        <f t="shared" si="76"/>
        <v>1</v>
      </c>
      <c r="D158" s="808">
        <f t="shared" si="74"/>
        <v>1</v>
      </c>
      <c r="E158" s="808">
        <f t="shared" si="74"/>
        <v>1</v>
      </c>
      <c r="F158" s="808">
        <f t="shared" si="74"/>
        <v>1</v>
      </c>
      <c r="G158" s="808">
        <f t="shared" si="74"/>
        <v>1</v>
      </c>
      <c r="H158" s="809">
        <f t="shared" si="74"/>
        <v>1</v>
      </c>
      <c r="I158" s="577">
        <f t="shared" si="74"/>
        <v>1</v>
      </c>
      <c r="J158" s="577">
        <f t="shared" si="74"/>
        <v>0</v>
      </c>
      <c r="K158" s="578">
        <f t="shared" si="74"/>
        <v>0</v>
      </c>
      <c r="L158" s="578">
        <f t="shared" si="74"/>
        <v>0</v>
      </c>
      <c r="M158" s="578">
        <f t="shared" si="74"/>
        <v>0</v>
      </c>
      <c r="N158" s="577">
        <f t="shared" si="77"/>
        <v>1</v>
      </c>
      <c r="O158" s="577">
        <f t="shared" si="75"/>
        <v>0</v>
      </c>
      <c r="P158" s="579">
        <f t="shared" si="75"/>
        <v>0</v>
      </c>
      <c r="Q158" s="577">
        <f t="shared" si="75"/>
        <v>1</v>
      </c>
      <c r="R158" s="357"/>
      <c r="S158" s="858">
        <v>2846</v>
      </c>
      <c r="T158" s="858">
        <v>1335</v>
      </c>
      <c r="U158" s="858">
        <v>385</v>
      </c>
      <c r="V158" s="858">
        <v>302</v>
      </c>
      <c r="W158" s="858">
        <v>666</v>
      </c>
      <c r="X158" s="858">
        <v>411</v>
      </c>
      <c r="Y158" s="859">
        <v>5945</v>
      </c>
      <c r="Z158" s="859"/>
      <c r="AA158" s="858"/>
      <c r="AB158" s="858"/>
      <c r="AC158" s="858"/>
      <c r="AD158" s="858"/>
      <c r="AE158" s="859">
        <v>558</v>
      </c>
      <c r="AF158" s="859"/>
      <c r="AG158" s="858"/>
      <c r="AH158" s="859">
        <v>798</v>
      </c>
    </row>
    <row r="159" spans="1:34">
      <c r="A159" s="882" t="s">
        <v>141</v>
      </c>
      <c r="B159" s="240" t="s">
        <v>53</v>
      </c>
      <c r="C159" s="806">
        <f>IF(S$164&gt;0,(S159/S$164),0)</f>
        <v>0.37227550130775938</v>
      </c>
      <c r="D159" s="806">
        <f t="shared" ref="D159:M164" si="78">IF(T$164&gt;0,(T159/T$164),0)</f>
        <v>0</v>
      </c>
      <c r="E159" s="806">
        <f t="shared" si="78"/>
        <v>0</v>
      </c>
      <c r="F159" s="806">
        <f t="shared" si="78"/>
        <v>0.24434389140271492</v>
      </c>
      <c r="G159" s="806">
        <f t="shared" si="78"/>
        <v>0</v>
      </c>
      <c r="H159" s="806">
        <f t="shared" si="78"/>
        <v>0.33333333333333331</v>
      </c>
      <c r="I159" s="613">
        <f t="shared" si="78"/>
        <v>0.35091420534458512</v>
      </c>
      <c r="J159" s="613">
        <f t="shared" si="78"/>
        <v>0</v>
      </c>
      <c r="K159" s="614">
        <f t="shared" si="78"/>
        <v>0</v>
      </c>
      <c r="L159" s="614">
        <f t="shared" si="78"/>
        <v>0</v>
      </c>
      <c r="M159" s="614">
        <f t="shared" si="78"/>
        <v>0</v>
      </c>
      <c r="N159" s="613">
        <f>IF(AE$164&gt;0,(AE159/AE$164),0)</f>
        <v>0.22959889349930843</v>
      </c>
      <c r="O159" s="613">
        <f t="shared" ref="O159:Q164" si="79">IF(AF$164&gt;0,(AF159/AF$164),0)</f>
        <v>0</v>
      </c>
      <c r="P159" s="615">
        <f t="shared" si="79"/>
        <v>0</v>
      </c>
      <c r="Q159" s="613">
        <f t="shared" si="79"/>
        <v>0</v>
      </c>
      <c r="R159" s="799"/>
      <c r="S159" s="856">
        <v>427</v>
      </c>
      <c r="T159" s="856"/>
      <c r="U159" s="856"/>
      <c r="V159" s="856">
        <v>54</v>
      </c>
      <c r="W159" s="856"/>
      <c r="X159" s="856">
        <v>18</v>
      </c>
      <c r="Y159" s="857">
        <v>499</v>
      </c>
      <c r="Z159" s="857"/>
      <c r="AA159" s="856"/>
      <c r="AB159" s="856"/>
      <c r="AC159" s="856"/>
      <c r="AD159" s="856"/>
      <c r="AE159" s="857">
        <v>166</v>
      </c>
      <c r="AF159" s="857"/>
      <c r="AG159" s="856"/>
      <c r="AH159" s="857"/>
    </row>
    <row r="160" spans="1:34">
      <c r="A160" s="883"/>
      <c r="B160" s="239" t="s">
        <v>93</v>
      </c>
      <c r="C160" s="806">
        <f t="shared" ref="C160:C164" si="80">IF(S$164&gt;0,(S160/S$164),0)</f>
        <v>0.27550130775937226</v>
      </c>
      <c r="D160" s="806">
        <f t="shared" si="78"/>
        <v>0</v>
      </c>
      <c r="E160" s="806">
        <f t="shared" si="78"/>
        <v>0</v>
      </c>
      <c r="F160" s="806">
        <f t="shared" si="78"/>
        <v>0.3755656108597285</v>
      </c>
      <c r="G160" s="806">
        <f t="shared" si="78"/>
        <v>0</v>
      </c>
      <c r="H160" s="806">
        <f t="shared" si="78"/>
        <v>0.33333333333333331</v>
      </c>
      <c r="I160" s="624">
        <f t="shared" si="78"/>
        <v>0.29324894514767935</v>
      </c>
      <c r="J160" s="624">
        <f t="shared" si="78"/>
        <v>0</v>
      </c>
      <c r="K160" s="625">
        <f t="shared" si="78"/>
        <v>0</v>
      </c>
      <c r="L160" s="625">
        <f t="shared" si="78"/>
        <v>0</v>
      </c>
      <c r="M160" s="625">
        <f t="shared" si="78"/>
        <v>0</v>
      </c>
      <c r="N160" s="624">
        <f t="shared" ref="N160:N164" si="81">IF(AE$164&gt;0,(AE160/AE$164),0)</f>
        <v>0.15491009681881052</v>
      </c>
      <c r="O160" s="624">
        <f t="shared" si="79"/>
        <v>0</v>
      </c>
      <c r="P160" s="626">
        <f t="shared" si="79"/>
        <v>0</v>
      </c>
      <c r="Q160" s="624">
        <f t="shared" si="79"/>
        <v>0</v>
      </c>
      <c r="R160" s="357"/>
      <c r="S160" s="858">
        <v>316</v>
      </c>
      <c r="T160" s="858"/>
      <c r="U160" s="858"/>
      <c r="V160" s="858">
        <v>83</v>
      </c>
      <c r="W160" s="858"/>
      <c r="X160" s="858">
        <v>18</v>
      </c>
      <c r="Y160" s="859">
        <v>417</v>
      </c>
      <c r="Z160" s="859"/>
      <c r="AA160" s="858"/>
      <c r="AB160" s="858"/>
      <c r="AC160" s="858"/>
      <c r="AD160" s="858"/>
      <c r="AE160" s="859">
        <v>112</v>
      </c>
      <c r="AF160" s="859"/>
      <c r="AG160" s="858"/>
      <c r="AH160" s="859"/>
    </row>
    <row r="161" spans="1:34">
      <c r="A161" s="883"/>
      <c r="B161" s="239" t="s">
        <v>55</v>
      </c>
      <c r="C161" s="806">
        <f t="shared" si="80"/>
        <v>0.23452484742807322</v>
      </c>
      <c r="D161" s="806">
        <f t="shared" si="78"/>
        <v>0</v>
      </c>
      <c r="E161" s="806">
        <f t="shared" si="78"/>
        <v>0</v>
      </c>
      <c r="F161" s="806">
        <f t="shared" si="78"/>
        <v>0.24886877828054299</v>
      </c>
      <c r="G161" s="806">
        <f t="shared" si="78"/>
        <v>0</v>
      </c>
      <c r="H161" s="806">
        <f t="shared" si="78"/>
        <v>0.24074074074074073</v>
      </c>
      <c r="I161" s="624">
        <f t="shared" si="78"/>
        <v>0.2369901547116737</v>
      </c>
      <c r="J161" s="624">
        <f t="shared" si="78"/>
        <v>0</v>
      </c>
      <c r="K161" s="625">
        <f t="shared" si="78"/>
        <v>0</v>
      </c>
      <c r="L161" s="625">
        <f t="shared" si="78"/>
        <v>0</v>
      </c>
      <c r="M161" s="625">
        <f t="shared" si="78"/>
        <v>0</v>
      </c>
      <c r="N161" s="624">
        <f t="shared" si="81"/>
        <v>0.27800829875518673</v>
      </c>
      <c r="O161" s="624">
        <f t="shared" si="79"/>
        <v>0</v>
      </c>
      <c r="P161" s="626">
        <f t="shared" si="79"/>
        <v>0</v>
      </c>
      <c r="Q161" s="624">
        <f t="shared" si="79"/>
        <v>0</v>
      </c>
      <c r="R161" s="357"/>
      <c r="S161" s="858">
        <v>269</v>
      </c>
      <c r="T161" s="858"/>
      <c r="U161" s="858"/>
      <c r="V161" s="858">
        <v>55</v>
      </c>
      <c r="W161" s="858"/>
      <c r="X161" s="858">
        <v>13</v>
      </c>
      <c r="Y161" s="859">
        <v>337</v>
      </c>
      <c r="Z161" s="859"/>
      <c r="AA161" s="858"/>
      <c r="AB161" s="858"/>
      <c r="AC161" s="858"/>
      <c r="AD161" s="858"/>
      <c r="AE161" s="859">
        <v>201</v>
      </c>
      <c r="AF161" s="859"/>
      <c r="AG161" s="858"/>
      <c r="AH161" s="859"/>
    </row>
    <row r="162" spans="1:34">
      <c r="A162" s="883"/>
      <c r="B162" s="239" t="s">
        <v>78</v>
      </c>
      <c r="C162" s="806">
        <f t="shared" si="80"/>
        <v>0.11769834350479512</v>
      </c>
      <c r="D162" s="806">
        <f t="shared" si="78"/>
        <v>0</v>
      </c>
      <c r="E162" s="806">
        <f t="shared" si="78"/>
        <v>0</v>
      </c>
      <c r="F162" s="806">
        <f t="shared" si="78"/>
        <v>0.13122171945701358</v>
      </c>
      <c r="G162" s="806">
        <f t="shared" si="78"/>
        <v>0</v>
      </c>
      <c r="H162" s="806">
        <f t="shared" si="78"/>
        <v>9.2592592592592587E-2</v>
      </c>
      <c r="I162" s="624">
        <f t="shared" si="78"/>
        <v>0.11884669479606189</v>
      </c>
      <c r="J162" s="624">
        <f t="shared" si="78"/>
        <v>0</v>
      </c>
      <c r="K162" s="625">
        <f t="shared" si="78"/>
        <v>0</v>
      </c>
      <c r="L162" s="625">
        <f t="shared" si="78"/>
        <v>0</v>
      </c>
      <c r="M162" s="625">
        <f t="shared" si="78"/>
        <v>0</v>
      </c>
      <c r="N162" s="624">
        <f t="shared" si="81"/>
        <v>0.33748271092669435</v>
      </c>
      <c r="O162" s="624">
        <f t="shared" si="79"/>
        <v>0</v>
      </c>
      <c r="P162" s="626">
        <f t="shared" si="79"/>
        <v>0</v>
      </c>
      <c r="Q162" s="624">
        <f t="shared" si="79"/>
        <v>0</v>
      </c>
      <c r="R162" s="357"/>
      <c r="S162" s="858">
        <v>135</v>
      </c>
      <c r="T162" s="858"/>
      <c r="U162" s="858"/>
      <c r="V162" s="858">
        <v>29</v>
      </c>
      <c r="W162" s="858"/>
      <c r="X162" s="858">
        <v>5</v>
      </c>
      <c r="Y162" s="859">
        <v>169</v>
      </c>
      <c r="Z162" s="859"/>
      <c r="AA162" s="858"/>
      <c r="AB162" s="858"/>
      <c r="AC162" s="858"/>
      <c r="AD162" s="858"/>
      <c r="AE162" s="859">
        <v>244</v>
      </c>
      <c r="AF162" s="859"/>
      <c r="AG162" s="858"/>
      <c r="AH162" s="859"/>
    </row>
    <row r="163" spans="1:34">
      <c r="A163" s="884"/>
      <c r="B163" s="580" t="s">
        <v>131</v>
      </c>
      <c r="C163" s="806">
        <f t="shared" si="80"/>
        <v>0</v>
      </c>
      <c r="D163" s="806">
        <f t="shared" si="78"/>
        <v>0</v>
      </c>
      <c r="E163" s="806">
        <f t="shared" si="78"/>
        <v>0</v>
      </c>
      <c r="F163" s="806">
        <f t="shared" si="78"/>
        <v>0</v>
      </c>
      <c r="G163" s="806">
        <f t="shared" si="78"/>
        <v>0</v>
      </c>
      <c r="H163" s="806">
        <f t="shared" si="78"/>
        <v>0</v>
      </c>
      <c r="I163" s="624">
        <f t="shared" si="78"/>
        <v>0</v>
      </c>
      <c r="J163" s="624">
        <f t="shared" si="78"/>
        <v>0</v>
      </c>
      <c r="K163" s="625">
        <f t="shared" si="78"/>
        <v>0</v>
      </c>
      <c r="L163" s="625">
        <f t="shared" si="78"/>
        <v>0</v>
      </c>
      <c r="M163" s="625">
        <f t="shared" si="78"/>
        <v>0</v>
      </c>
      <c r="N163" s="624">
        <f t="shared" si="81"/>
        <v>0</v>
      </c>
      <c r="O163" s="624">
        <f t="shared" si="79"/>
        <v>0</v>
      </c>
      <c r="P163" s="626">
        <f t="shared" si="79"/>
        <v>0</v>
      </c>
      <c r="Q163" s="624">
        <f t="shared" si="79"/>
        <v>0</v>
      </c>
      <c r="R163" s="357"/>
      <c r="S163" s="858"/>
      <c r="T163" s="858"/>
      <c r="U163" s="858"/>
      <c r="V163" s="858"/>
      <c r="W163" s="858"/>
      <c r="X163" s="858"/>
      <c r="Y163" s="859"/>
      <c r="Z163" s="859"/>
      <c r="AA163" s="858"/>
      <c r="AB163" s="858"/>
      <c r="AC163" s="858"/>
      <c r="AD163" s="858"/>
      <c r="AE163" s="859"/>
      <c r="AF163" s="859"/>
      <c r="AG163" s="858"/>
      <c r="AH163" s="859"/>
    </row>
    <row r="164" spans="1:34">
      <c r="A164" s="885"/>
      <c r="B164" s="436" t="s">
        <v>59</v>
      </c>
      <c r="C164" s="807">
        <f t="shared" si="80"/>
        <v>1</v>
      </c>
      <c r="D164" s="808">
        <f t="shared" si="78"/>
        <v>0</v>
      </c>
      <c r="E164" s="808">
        <f t="shared" si="78"/>
        <v>0</v>
      </c>
      <c r="F164" s="808">
        <f t="shared" si="78"/>
        <v>1</v>
      </c>
      <c r="G164" s="808">
        <f t="shared" si="78"/>
        <v>0</v>
      </c>
      <c r="H164" s="809">
        <f t="shared" si="78"/>
        <v>1</v>
      </c>
      <c r="I164" s="577">
        <f t="shared" si="78"/>
        <v>1</v>
      </c>
      <c r="J164" s="577">
        <f t="shared" si="78"/>
        <v>0</v>
      </c>
      <c r="K164" s="578">
        <f t="shared" si="78"/>
        <v>0</v>
      </c>
      <c r="L164" s="578">
        <f t="shared" si="78"/>
        <v>0</v>
      </c>
      <c r="M164" s="578">
        <f t="shared" si="78"/>
        <v>0</v>
      </c>
      <c r="N164" s="577">
        <f t="shared" si="81"/>
        <v>1</v>
      </c>
      <c r="O164" s="577">
        <f t="shared" si="79"/>
        <v>0</v>
      </c>
      <c r="P164" s="579">
        <f t="shared" si="79"/>
        <v>0</v>
      </c>
      <c r="Q164" s="577">
        <f t="shared" si="79"/>
        <v>0</v>
      </c>
      <c r="R164" s="357"/>
      <c r="S164" s="858">
        <v>1147</v>
      </c>
      <c r="T164" s="858"/>
      <c r="U164" s="858"/>
      <c r="V164" s="858">
        <v>221</v>
      </c>
      <c r="W164" s="858"/>
      <c r="X164" s="858">
        <v>54</v>
      </c>
      <c r="Y164" s="859">
        <v>1422</v>
      </c>
      <c r="Z164" s="859"/>
      <c r="AA164" s="858"/>
      <c r="AB164" s="858"/>
      <c r="AC164" s="858"/>
      <c r="AD164" s="858"/>
      <c r="AE164" s="859">
        <v>723</v>
      </c>
      <c r="AF164" s="859"/>
      <c r="AG164" s="858"/>
      <c r="AH164" s="859"/>
    </row>
    <row r="165" spans="1:34">
      <c r="A165" s="882" t="s">
        <v>143</v>
      </c>
      <c r="B165" s="240" t="s">
        <v>53</v>
      </c>
      <c r="C165" s="806">
        <f>IF(S$170&gt;0,(S165/S$170),0)</f>
        <v>0</v>
      </c>
      <c r="D165" s="806">
        <f t="shared" ref="D165:M170" si="82">IF(T$170&gt;0,(T165/T$170),0)</f>
        <v>0.29026387625113742</v>
      </c>
      <c r="E165" s="806">
        <f t="shared" si="82"/>
        <v>0.2472952086553323</v>
      </c>
      <c r="F165" s="806">
        <f t="shared" si="82"/>
        <v>0</v>
      </c>
      <c r="G165" s="806">
        <f t="shared" si="82"/>
        <v>0</v>
      </c>
      <c r="H165" s="806">
        <f t="shared" si="82"/>
        <v>0.40251572327044027</v>
      </c>
      <c r="I165" s="613">
        <f t="shared" si="82"/>
        <v>0.28503937007874014</v>
      </c>
      <c r="J165" s="613">
        <f t="shared" si="82"/>
        <v>0</v>
      </c>
      <c r="K165" s="614">
        <f t="shared" si="82"/>
        <v>0</v>
      </c>
      <c r="L165" s="614">
        <f t="shared" si="82"/>
        <v>0</v>
      </c>
      <c r="M165" s="614">
        <f t="shared" si="82"/>
        <v>0</v>
      </c>
      <c r="N165" s="613">
        <f>IF(AE$170&gt;0,(AE165/AE$170),0)</f>
        <v>0.11725663716814159</v>
      </c>
      <c r="O165" s="613">
        <f t="shared" ref="O165:Q170" si="83">IF(AF$170&gt;0,(AF165/AF$170),0)</f>
        <v>0</v>
      </c>
      <c r="P165" s="615">
        <f t="shared" si="83"/>
        <v>0</v>
      </c>
      <c r="Q165" s="613">
        <f t="shared" si="83"/>
        <v>0</v>
      </c>
      <c r="R165" s="799"/>
      <c r="S165" s="856"/>
      <c r="T165" s="856">
        <v>319</v>
      </c>
      <c r="U165" s="856">
        <v>160</v>
      </c>
      <c r="V165" s="856"/>
      <c r="W165" s="856"/>
      <c r="X165" s="856">
        <v>64</v>
      </c>
      <c r="Y165" s="857">
        <v>543</v>
      </c>
      <c r="Z165" s="857"/>
      <c r="AA165" s="856"/>
      <c r="AB165" s="856"/>
      <c r="AC165" s="856"/>
      <c r="AD165" s="856"/>
      <c r="AE165" s="857">
        <v>53</v>
      </c>
      <c r="AF165" s="857"/>
      <c r="AG165" s="856"/>
      <c r="AH165" s="857"/>
    </row>
    <row r="166" spans="1:34">
      <c r="A166" s="883"/>
      <c r="B166" s="239" t="s">
        <v>93</v>
      </c>
      <c r="C166" s="806">
        <f t="shared" ref="C166:C170" si="84">IF(S$170&gt;0,(S166/S$170),0)</f>
        <v>0</v>
      </c>
      <c r="D166" s="806">
        <f t="shared" si="82"/>
        <v>0.22202001819836215</v>
      </c>
      <c r="E166" s="806">
        <f t="shared" si="82"/>
        <v>0.31066460587326122</v>
      </c>
      <c r="F166" s="806">
        <f t="shared" si="82"/>
        <v>0</v>
      </c>
      <c r="G166" s="806">
        <f t="shared" si="82"/>
        <v>0</v>
      </c>
      <c r="H166" s="806">
        <f t="shared" si="82"/>
        <v>0.19496855345911951</v>
      </c>
      <c r="I166" s="624">
        <f t="shared" si="82"/>
        <v>0.24986876640419947</v>
      </c>
      <c r="J166" s="624">
        <f t="shared" si="82"/>
        <v>0</v>
      </c>
      <c r="K166" s="625">
        <f t="shared" si="82"/>
        <v>0</v>
      </c>
      <c r="L166" s="625">
        <f t="shared" si="82"/>
        <v>0</v>
      </c>
      <c r="M166" s="625">
        <f t="shared" si="82"/>
        <v>0</v>
      </c>
      <c r="N166" s="624">
        <f t="shared" ref="N166:N170" si="85">IF(AE$170&gt;0,(AE166/AE$170),0)</f>
        <v>6.637168141592921E-2</v>
      </c>
      <c r="O166" s="624">
        <f t="shared" si="83"/>
        <v>0</v>
      </c>
      <c r="P166" s="626">
        <f t="shared" si="83"/>
        <v>0</v>
      </c>
      <c r="Q166" s="624">
        <f t="shared" si="83"/>
        <v>0</v>
      </c>
      <c r="R166" s="357"/>
      <c r="S166" s="858"/>
      <c r="T166" s="858">
        <v>244</v>
      </c>
      <c r="U166" s="858">
        <v>201</v>
      </c>
      <c r="V166" s="858"/>
      <c r="W166" s="858"/>
      <c r="X166" s="858">
        <v>31</v>
      </c>
      <c r="Y166" s="859">
        <v>476</v>
      </c>
      <c r="Z166" s="859"/>
      <c r="AA166" s="858"/>
      <c r="AB166" s="858"/>
      <c r="AC166" s="858"/>
      <c r="AD166" s="858"/>
      <c r="AE166" s="859">
        <v>30</v>
      </c>
      <c r="AF166" s="859"/>
      <c r="AG166" s="858"/>
      <c r="AH166" s="859"/>
    </row>
    <row r="167" spans="1:34">
      <c r="A167" s="883"/>
      <c r="B167" s="239" t="s">
        <v>55</v>
      </c>
      <c r="C167" s="806">
        <f t="shared" si="84"/>
        <v>0</v>
      </c>
      <c r="D167" s="806">
        <f t="shared" si="82"/>
        <v>0.25113739763421294</v>
      </c>
      <c r="E167" s="806">
        <f t="shared" si="82"/>
        <v>0.20092735703245751</v>
      </c>
      <c r="F167" s="806">
        <f t="shared" si="82"/>
        <v>0</v>
      </c>
      <c r="G167" s="806">
        <f t="shared" si="82"/>
        <v>0</v>
      </c>
      <c r="H167" s="806">
        <f t="shared" si="82"/>
        <v>0.26415094339622641</v>
      </c>
      <c r="I167" s="624">
        <f t="shared" si="82"/>
        <v>0.23517060367454068</v>
      </c>
      <c r="J167" s="624">
        <f t="shared" si="82"/>
        <v>0</v>
      </c>
      <c r="K167" s="625">
        <f t="shared" si="82"/>
        <v>0</v>
      </c>
      <c r="L167" s="625">
        <f t="shared" si="82"/>
        <v>0</v>
      </c>
      <c r="M167" s="625">
        <f t="shared" si="82"/>
        <v>0</v>
      </c>
      <c r="N167" s="624">
        <f t="shared" si="85"/>
        <v>0.19247787610619468</v>
      </c>
      <c r="O167" s="624">
        <f t="shared" si="83"/>
        <v>0</v>
      </c>
      <c r="P167" s="626">
        <f t="shared" si="83"/>
        <v>0</v>
      </c>
      <c r="Q167" s="624">
        <f t="shared" si="83"/>
        <v>0</v>
      </c>
      <c r="R167" s="357"/>
      <c r="S167" s="858"/>
      <c r="T167" s="858">
        <v>276</v>
      </c>
      <c r="U167" s="858">
        <v>130</v>
      </c>
      <c r="V167" s="858"/>
      <c r="W167" s="858"/>
      <c r="X167" s="858">
        <v>42</v>
      </c>
      <c r="Y167" s="859">
        <v>448</v>
      </c>
      <c r="Z167" s="859"/>
      <c r="AA167" s="858"/>
      <c r="AB167" s="858"/>
      <c r="AC167" s="858"/>
      <c r="AD167" s="858"/>
      <c r="AE167" s="859">
        <v>87</v>
      </c>
      <c r="AF167" s="859"/>
      <c r="AG167" s="858"/>
      <c r="AH167" s="859"/>
    </row>
    <row r="168" spans="1:34">
      <c r="A168" s="883"/>
      <c r="B168" s="239" t="s">
        <v>78</v>
      </c>
      <c r="C168" s="806">
        <f t="shared" si="84"/>
        <v>0</v>
      </c>
      <c r="D168" s="806">
        <f t="shared" si="82"/>
        <v>0.10373066424021839</v>
      </c>
      <c r="E168" s="806">
        <f t="shared" si="82"/>
        <v>0</v>
      </c>
      <c r="F168" s="806">
        <f t="shared" si="82"/>
        <v>0</v>
      </c>
      <c r="G168" s="806">
        <f t="shared" si="82"/>
        <v>0</v>
      </c>
      <c r="H168" s="806">
        <f t="shared" si="82"/>
        <v>0.11949685534591195</v>
      </c>
      <c r="I168" s="624">
        <f t="shared" si="82"/>
        <v>6.9816272965879264E-2</v>
      </c>
      <c r="J168" s="624">
        <f t="shared" si="82"/>
        <v>0</v>
      </c>
      <c r="K168" s="625">
        <f t="shared" si="82"/>
        <v>0</v>
      </c>
      <c r="L168" s="625">
        <f t="shared" si="82"/>
        <v>0</v>
      </c>
      <c r="M168" s="625">
        <f t="shared" si="82"/>
        <v>0</v>
      </c>
      <c r="N168" s="624">
        <f t="shared" si="85"/>
        <v>0.57079646017699115</v>
      </c>
      <c r="O168" s="624">
        <f t="shared" si="83"/>
        <v>0</v>
      </c>
      <c r="P168" s="626">
        <f t="shared" si="83"/>
        <v>0</v>
      </c>
      <c r="Q168" s="624">
        <f t="shared" si="83"/>
        <v>1</v>
      </c>
      <c r="R168" s="357"/>
      <c r="S168" s="858"/>
      <c r="T168" s="858">
        <v>114</v>
      </c>
      <c r="U168" s="858"/>
      <c r="V168" s="858"/>
      <c r="W168" s="858"/>
      <c r="X168" s="858">
        <v>19</v>
      </c>
      <c r="Y168" s="859">
        <v>133</v>
      </c>
      <c r="Z168" s="859"/>
      <c r="AA168" s="858"/>
      <c r="AB168" s="858"/>
      <c r="AC168" s="858"/>
      <c r="AD168" s="858"/>
      <c r="AE168" s="859">
        <v>258</v>
      </c>
      <c r="AF168" s="859"/>
      <c r="AG168" s="858"/>
      <c r="AH168" s="859">
        <v>34</v>
      </c>
    </row>
    <row r="169" spans="1:34">
      <c r="A169" s="884"/>
      <c r="B169" s="580" t="s">
        <v>131</v>
      </c>
      <c r="C169" s="806">
        <f t="shared" si="84"/>
        <v>0</v>
      </c>
      <c r="D169" s="806">
        <f t="shared" si="82"/>
        <v>0.13284804367606914</v>
      </c>
      <c r="E169" s="806">
        <f t="shared" si="82"/>
        <v>0.24111282843894899</v>
      </c>
      <c r="F169" s="806">
        <f t="shared" si="82"/>
        <v>0</v>
      </c>
      <c r="G169" s="806">
        <f t="shared" si="82"/>
        <v>0</v>
      </c>
      <c r="H169" s="806">
        <f t="shared" si="82"/>
        <v>1.8867924528301886E-2</v>
      </c>
      <c r="I169" s="624">
        <f t="shared" si="82"/>
        <v>0.16010498687664043</v>
      </c>
      <c r="J169" s="624">
        <f t="shared" si="82"/>
        <v>0</v>
      </c>
      <c r="K169" s="625">
        <f t="shared" si="82"/>
        <v>0</v>
      </c>
      <c r="L169" s="625">
        <f t="shared" si="82"/>
        <v>0</v>
      </c>
      <c r="M169" s="625">
        <f t="shared" si="82"/>
        <v>0</v>
      </c>
      <c r="N169" s="624">
        <f t="shared" si="85"/>
        <v>5.3097345132743362E-2</v>
      </c>
      <c r="O169" s="624">
        <f t="shared" si="83"/>
        <v>0</v>
      </c>
      <c r="P169" s="626">
        <f t="shared" si="83"/>
        <v>0</v>
      </c>
      <c r="Q169" s="624">
        <f t="shared" si="83"/>
        <v>0</v>
      </c>
      <c r="R169" s="357"/>
      <c r="S169" s="858">
        <v>0</v>
      </c>
      <c r="T169" s="858">
        <v>146</v>
      </c>
      <c r="U169" s="858">
        <v>156</v>
      </c>
      <c r="V169" s="858">
        <v>0</v>
      </c>
      <c r="W169" s="858">
        <v>0</v>
      </c>
      <c r="X169" s="858">
        <v>3</v>
      </c>
      <c r="Y169" s="859">
        <v>305</v>
      </c>
      <c r="Z169" s="859"/>
      <c r="AA169" s="858"/>
      <c r="AB169" s="858"/>
      <c r="AC169" s="858"/>
      <c r="AD169" s="858"/>
      <c r="AE169" s="859">
        <v>24</v>
      </c>
      <c r="AF169" s="859"/>
      <c r="AG169" s="858"/>
      <c r="AH169" s="859"/>
    </row>
    <row r="170" spans="1:34">
      <c r="A170" s="885"/>
      <c r="B170" s="436" t="s">
        <v>59</v>
      </c>
      <c r="C170" s="807">
        <f t="shared" si="84"/>
        <v>0</v>
      </c>
      <c r="D170" s="808">
        <f t="shared" si="82"/>
        <v>1</v>
      </c>
      <c r="E170" s="808">
        <f t="shared" si="82"/>
        <v>1</v>
      </c>
      <c r="F170" s="808">
        <f t="shared" si="82"/>
        <v>0</v>
      </c>
      <c r="G170" s="808">
        <f t="shared" si="82"/>
        <v>0</v>
      </c>
      <c r="H170" s="809">
        <f t="shared" si="82"/>
        <v>1</v>
      </c>
      <c r="I170" s="577">
        <f t="shared" si="82"/>
        <v>1</v>
      </c>
      <c r="J170" s="577">
        <f t="shared" si="82"/>
        <v>0</v>
      </c>
      <c r="K170" s="578">
        <f t="shared" si="82"/>
        <v>0</v>
      </c>
      <c r="L170" s="578">
        <f t="shared" si="82"/>
        <v>0</v>
      </c>
      <c r="M170" s="578">
        <f t="shared" si="82"/>
        <v>0</v>
      </c>
      <c r="N170" s="577">
        <f t="shared" si="85"/>
        <v>1</v>
      </c>
      <c r="O170" s="577">
        <f t="shared" si="83"/>
        <v>0</v>
      </c>
      <c r="P170" s="579">
        <f t="shared" si="83"/>
        <v>0</v>
      </c>
      <c r="Q170" s="577">
        <f t="shared" si="83"/>
        <v>1</v>
      </c>
      <c r="R170" s="357"/>
      <c r="S170" s="858"/>
      <c r="T170" s="858">
        <v>1099</v>
      </c>
      <c r="U170" s="858">
        <v>647</v>
      </c>
      <c r="V170" s="858"/>
      <c r="W170" s="858"/>
      <c r="X170" s="858">
        <v>159</v>
      </c>
      <c r="Y170" s="859">
        <v>1905</v>
      </c>
      <c r="Z170" s="859"/>
      <c r="AA170" s="858"/>
      <c r="AB170" s="858"/>
      <c r="AC170" s="858"/>
      <c r="AD170" s="858"/>
      <c r="AE170" s="859">
        <v>452</v>
      </c>
      <c r="AF170" s="859"/>
      <c r="AG170" s="858"/>
      <c r="AH170" s="859">
        <v>34</v>
      </c>
    </row>
    <row r="171" spans="1:34">
      <c r="A171" s="882" t="s">
        <v>152</v>
      </c>
      <c r="B171" s="240" t="s">
        <v>53</v>
      </c>
      <c r="C171" s="806">
        <f>IF(S$176&gt;0,(S171/S$176),0)</f>
        <v>0</v>
      </c>
      <c r="D171" s="806">
        <f t="shared" ref="D171:M176" si="86">IF(T$176&gt;0,(T171/T$176),0)</f>
        <v>0.36</v>
      </c>
      <c r="E171" s="806">
        <f t="shared" si="86"/>
        <v>0</v>
      </c>
      <c r="F171" s="806">
        <f t="shared" si="86"/>
        <v>0.23588039867109634</v>
      </c>
      <c r="G171" s="806">
        <f t="shared" si="86"/>
        <v>0</v>
      </c>
      <c r="H171" s="806">
        <f t="shared" si="86"/>
        <v>0.30215827338129497</v>
      </c>
      <c r="I171" s="613">
        <f t="shared" si="86"/>
        <v>0.33099041533546325</v>
      </c>
      <c r="J171" s="613">
        <f t="shared" si="86"/>
        <v>0</v>
      </c>
      <c r="K171" s="614">
        <f t="shared" si="86"/>
        <v>0</v>
      </c>
      <c r="L171" s="614">
        <f t="shared" si="86"/>
        <v>0</v>
      </c>
      <c r="M171" s="614">
        <f t="shared" si="86"/>
        <v>0</v>
      </c>
      <c r="N171" s="613">
        <f>IF(AE$176&gt;0,(AE171/AE$176),0)</f>
        <v>4.7169811320754715E-3</v>
      </c>
      <c r="O171" s="613">
        <f t="shared" ref="O171:Q176" si="87">IF(AF$176&gt;0,(AF171/AF$176),0)</f>
        <v>0</v>
      </c>
      <c r="P171" s="615">
        <f t="shared" si="87"/>
        <v>0</v>
      </c>
      <c r="Q171" s="613">
        <f t="shared" si="87"/>
        <v>0</v>
      </c>
      <c r="R171" s="799"/>
      <c r="S171" s="856"/>
      <c r="T171" s="856">
        <v>405</v>
      </c>
      <c r="U171" s="856"/>
      <c r="V171" s="856">
        <v>71</v>
      </c>
      <c r="W171" s="856"/>
      <c r="X171" s="856">
        <v>42</v>
      </c>
      <c r="Y171" s="857">
        <v>518</v>
      </c>
      <c r="Z171" s="857"/>
      <c r="AA171" s="856"/>
      <c r="AB171" s="856"/>
      <c r="AC171" s="856"/>
      <c r="AD171" s="856"/>
      <c r="AE171" s="857">
        <v>1</v>
      </c>
      <c r="AF171" s="857"/>
      <c r="AG171" s="856"/>
      <c r="AH171" s="857"/>
    </row>
    <row r="172" spans="1:34">
      <c r="A172" s="883"/>
      <c r="B172" s="239" t="s">
        <v>93</v>
      </c>
      <c r="C172" s="806">
        <f t="shared" ref="C172:C176" si="88">IF(S$176&gt;0,(S172/S$176),0)</f>
        <v>0</v>
      </c>
      <c r="D172" s="806">
        <f t="shared" si="86"/>
        <v>0.27111111111111114</v>
      </c>
      <c r="E172" s="806">
        <f t="shared" si="86"/>
        <v>0</v>
      </c>
      <c r="F172" s="806">
        <f t="shared" si="86"/>
        <v>0.17940199335548174</v>
      </c>
      <c r="G172" s="806">
        <f t="shared" si="86"/>
        <v>0</v>
      </c>
      <c r="H172" s="806">
        <f t="shared" si="86"/>
        <v>0.17985611510791366</v>
      </c>
      <c r="I172" s="624">
        <f t="shared" si="86"/>
        <v>0.24536741214057509</v>
      </c>
      <c r="J172" s="624">
        <f t="shared" si="86"/>
        <v>0</v>
      </c>
      <c r="K172" s="625">
        <f t="shared" si="86"/>
        <v>0</v>
      </c>
      <c r="L172" s="625">
        <f t="shared" si="86"/>
        <v>0</v>
      </c>
      <c r="M172" s="625">
        <f t="shared" si="86"/>
        <v>0</v>
      </c>
      <c r="N172" s="624">
        <f t="shared" ref="N172:N176" si="89">IF(AE$176&gt;0,(AE172/AE$176),0)</f>
        <v>0</v>
      </c>
      <c r="O172" s="624">
        <f t="shared" si="87"/>
        <v>0</v>
      </c>
      <c r="P172" s="626">
        <f t="shared" si="87"/>
        <v>0</v>
      </c>
      <c r="Q172" s="624">
        <f t="shared" si="87"/>
        <v>0</v>
      </c>
      <c r="R172" s="357"/>
      <c r="S172" s="858"/>
      <c r="T172" s="858">
        <v>305</v>
      </c>
      <c r="U172" s="858"/>
      <c r="V172" s="858">
        <v>54</v>
      </c>
      <c r="W172" s="858"/>
      <c r="X172" s="858">
        <v>25</v>
      </c>
      <c r="Y172" s="859">
        <v>384</v>
      </c>
      <c r="Z172" s="859"/>
      <c r="AA172" s="858"/>
      <c r="AB172" s="858"/>
      <c r="AC172" s="858"/>
      <c r="AD172" s="858"/>
      <c r="AE172" s="859"/>
      <c r="AF172" s="859"/>
      <c r="AG172" s="858"/>
      <c r="AH172" s="859"/>
    </row>
    <row r="173" spans="1:34">
      <c r="A173" s="883"/>
      <c r="B173" s="239" t="s">
        <v>55</v>
      </c>
      <c r="C173" s="806">
        <f t="shared" si="88"/>
        <v>0</v>
      </c>
      <c r="D173" s="806">
        <f t="shared" si="86"/>
        <v>0.19733333333333333</v>
      </c>
      <c r="E173" s="806">
        <f t="shared" si="86"/>
        <v>0</v>
      </c>
      <c r="F173" s="806">
        <f t="shared" si="86"/>
        <v>0.30232558139534882</v>
      </c>
      <c r="G173" s="806">
        <f t="shared" si="86"/>
        <v>0</v>
      </c>
      <c r="H173" s="806">
        <f t="shared" si="86"/>
        <v>0.2805755395683453</v>
      </c>
      <c r="I173" s="624">
        <f t="shared" si="86"/>
        <v>0.22492012779552717</v>
      </c>
      <c r="J173" s="624">
        <f t="shared" si="86"/>
        <v>0</v>
      </c>
      <c r="K173" s="625">
        <f t="shared" si="86"/>
        <v>0</v>
      </c>
      <c r="L173" s="625">
        <f t="shared" si="86"/>
        <v>0</v>
      </c>
      <c r="M173" s="625">
        <f t="shared" si="86"/>
        <v>0</v>
      </c>
      <c r="N173" s="624">
        <f t="shared" si="89"/>
        <v>0</v>
      </c>
      <c r="O173" s="624">
        <f t="shared" si="87"/>
        <v>0</v>
      </c>
      <c r="P173" s="626">
        <f t="shared" si="87"/>
        <v>0</v>
      </c>
      <c r="Q173" s="624">
        <f t="shared" si="87"/>
        <v>0</v>
      </c>
      <c r="R173" s="357"/>
      <c r="S173" s="858"/>
      <c r="T173" s="858">
        <v>222</v>
      </c>
      <c r="U173" s="858"/>
      <c r="V173" s="858">
        <v>91</v>
      </c>
      <c r="W173" s="858"/>
      <c r="X173" s="858">
        <v>39</v>
      </c>
      <c r="Y173" s="859">
        <v>352</v>
      </c>
      <c r="Z173" s="859"/>
      <c r="AA173" s="858"/>
      <c r="AB173" s="858"/>
      <c r="AC173" s="858"/>
      <c r="AD173" s="858"/>
      <c r="AE173" s="859"/>
      <c r="AF173" s="859"/>
      <c r="AG173" s="858"/>
      <c r="AH173" s="859"/>
    </row>
    <row r="174" spans="1:34">
      <c r="A174" s="883"/>
      <c r="B174" s="239" t="s">
        <v>78</v>
      </c>
      <c r="C174" s="806">
        <f t="shared" si="88"/>
        <v>0</v>
      </c>
      <c r="D174" s="806">
        <f t="shared" si="86"/>
        <v>9.6888888888888886E-2</v>
      </c>
      <c r="E174" s="806">
        <f t="shared" si="86"/>
        <v>0</v>
      </c>
      <c r="F174" s="806">
        <f t="shared" si="86"/>
        <v>0.2425249169435216</v>
      </c>
      <c r="G174" s="806">
        <f t="shared" si="86"/>
        <v>0</v>
      </c>
      <c r="H174" s="806">
        <f t="shared" si="86"/>
        <v>0.23741007194244604</v>
      </c>
      <c r="I174" s="624">
        <f t="shared" si="86"/>
        <v>0.13738019169329074</v>
      </c>
      <c r="J174" s="624">
        <f t="shared" si="86"/>
        <v>0</v>
      </c>
      <c r="K174" s="625">
        <f t="shared" si="86"/>
        <v>0</v>
      </c>
      <c r="L174" s="625">
        <f t="shared" si="86"/>
        <v>0</v>
      </c>
      <c r="M174" s="625">
        <f t="shared" si="86"/>
        <v>0</v>
      </c>
      <c r="N174" s="624">
        <f t="shared" si="89"/>
        <v>0.64622641509433965</v>
      </c>
      <c r="O174" s="624">
        <f t="shared" si="87"/>
        <v>0</v>
      </c>
      <c r="P174" s="626">
        <f t="shared" si="87"/>
        <v>0</v>
      </c>
      <c r="Q174" s="624">
        <f t="shared" si="87"/>
        <v>0</v>
      </c>
      <c r="R174" s="357"/>
      <c r="S174" s="858"/>
      <c r="T174" s="858">
        <v>109</v>
      </c>
      <c r="U174" s="858"/>
      <c r="V174" s="858">
        <v>73</v>
      </c>
      <c r="W174" s="858"/>
      <c r="X174" s="858">
        <v>33</v>
      </c>
      <c r="Y174" s="859">
        <v>215</v>
      </c>
      <c r="Z174" s="859"/>
      <c r="AA174" s="858"/>
      <c r="AB174" s="858"/>
      <c r="AC174" s="858"/>
      <c r="AD174" s="858"/>
      <c r="AE174" s="859">
        <v>137</v>
      </c>
      <c r="AF174" s="859"/>
      <c r="AG174" s="858"/>
      <c r="AH174" s="859"/>
    </row>
    <row r="175" spans="1:34">
      <c r="A175" s="884"/>
      <c r="B175" s="580" t="s">
        <v>131</v>
      </c>
      <c r="C175" s="806">
        <f t="shared" si="88"/>
        <v>0</v>
      </c>
      <c r="D175" s="806">
        <f t="shared" si="86"/>
        <v>7.4666666666666673E-2</v>
      </c>
      <c r="E175" s="806">
        <f t="shared" si="86"/>
        <v>0</v>
      </c>
      <c r="F175" s="806">
        <f t="shared" si="86"/>
        <v>3.9867109634551492E-2</v>
      </c>
      <c r="G175" s="806">
        <f t="shared" si="86"/>
        <v>0</v>
      </c>
      <c r="H175" s="806">
        <f t="shared" si="86"/>
        <v>0</v>
      </c>
      <c r="I175" s="624">
        <f t="shared" si="86"/>
        <v>6.1341853035143772E-2</v>
      </c>
      <c r="J175" s="624">
        <f t="shared" si="86"/>
        <v>0</v>
      </c>
      <c r="K175" s="625">
        <f t="shared" si="86"/>
        <v>0</v>
      </c>
      <c r="L175" s="625">
        <f t="shared" si="86"/>
        <v>0</v>
      </c>
      <c r="M175" s="625">
        <f t="shared" si="86"/>
        <v>0</v>
      </c>
      <c r="N175" s="624">
        <f t="shared" si="89"/>
        <v>0.34905660377358488</v>
      </c>
      <c r="O175" s="624">
        <f t="shared" si="87"/>
        <v>0</v>
      </c>
      <c r="P175" s="626">
        <f t="shared" si="87"/>
        <v>0</v>
      </c>
      <c r="Q175" s="624">
        <f t="shared" si="87"/>
        <v>0</v>
      </c>
      <c r="R175" s="357"/>
      <c r="S175" s="858">
        <v>0</v>
      </c>
      <c r="T175" s="858">
        <v>84</v>
      </c>
      <c r="U175" s="858">
        <v>0</v>
      </c>
      <c r="V175" s="858">
        <v>12</v>
      </c>
      <c r="W175" s="858">
        <v>0</v>
      </c>
      <c r="X175" s="858">
        <v>0</v>
      </c>
      <c r="Y175" s="859">
        <v>96</v>
      </c>
      <c r="Z175" s="859"/>
      <c r="AA175" s="858"/>
      <c r="AB175" s="858"/>
      <c r="AC175" s="858"/>
      <c r="AD175" s="858"/>
      <c r="AE175" s="859">
        <v>74</v>
      </c>
      <c r="AF175" s="859"/>
      <c r="AG175" s="858"/>
      <c r="AH175" s="859"/>
    </row>
    <row r="176" spans="1:34">
      <c r="A176" s="885"/>
      <c r="B176" s="436" t="s">
        <v>59</v>
      </c>
      <c r="C176" s="807">
        <f t="shared" si="88"/>
        <v>0</v>
      </c>
      <c r="D176" s="808">
        <f t="shared" si="86"/>
        <v>1</v>
      </c>
      <c r="E176" s="808">
        <f t="shared" si="86"/>
        <v>0</v>
      </c>
      <c r="F176" s="808">
        <f t="shared" si="86"/>
        <v>1</v>
      </c>
      <c r="G176" s="808">
        <f t="shared" si="86"/>
        <v>0</v>
      </c>
      <c r="H176" s="809">
        <f t="shared" si="86"/>
        <v>1</v>
      </c>
      <c r="I176" s="577">
        <f t="shared" si="86"/>
        <v>1</v>
      </c>
      <c r="J176" s="577">
        <f t="shared" si="86"/>
        <v>0</v>
      </c>
      <c r="K176" s="578">
        <f t="shared" si="86"/>
        <v>0</v>
      </c>
      <c r="L176" s="578">
        <f t="shared" si="86"/>
        <v>0</v>
      </c>
      <c r="M176" s="578">
        <f t="shared" si="86"/>
        <v>0</v>
      </c>
      <c r="N176" s="577">
        <f t="shared" si="89"/>
        <v>1</v>
      </c>
      <c r="O176" s="577">
        <f t="shared" si="87"/>
        <v>0</v>
      </c>
      <c r="P176" s="579">
        <f t="shared" si="87"/>
        <v>0</v>
      </c>
      <c r="Q176" s="577">
        <f t="shared" si="87"/>
        <v>0</v>
      </c>
      <c r="R176" s="357"/>
      <c r="S176" s="858"/>
      <c r="T176" s="858">
        <v>1125</v>
      </c>
      <c r="U176" s="858"/>
      <c r="V176" s="858">
        <v>301</v>
      </c>
      <c r="W176" s="858"/>
      <c r="X176" s="858">
        <v>139</v>
      </c>
      <c r="Y176" s="859">
        <v>1565</v>
      </c>
      <c r="Z176" s="859"/>
      <c r="AA176" s="858"/>
      <c r="AB176" s="858"/>
      <c r="AC176" s="858"/>
      <c r="AD176" s="858"/>
      <c r="AE176" s="859">
        <v>212</v>
      </c>
      <c r="AF176" s="859"/>
      <c r="AG176" s="858"/>
      <c r="AH176" s="859"/>
    </row>
    <row r="177" spans="1:34">
      <c r="A177" s="882" t="s">
        <v>158</v>
      </c>
      <c r="B177" s="240" t="s">
        <v>53</v>
      </c>
      <c r="C177" s="806">
        <f>IF(S$182&gt;0,(S177/S$182),0)</f>
        <v>0.29920739762219284</v>
      </c>
      <c r="D177" s="806">
        <f t="shared" ref="D177:M182" si="90">IF(T$182&gt;0,(T177/T$182),0)</f>
        <v>0</v>
      </c>
      <c r="E177" s="806">
        <f t="shared" si="90"/>
        <v>0</v>
      </c>
      <c r="F177" s="806">
        <f t="shared" si="90"/>
        <v>0</v>
      </c>
      <c r="G177" s="806">
        <f t="shared" si="90"/>
        <v>0</v>
      </c>
      <c r="H177" s="806">
        <f t="shared" si="90"/>
        <v>3.7037037037037035E-2</v>
      </c>
      <c r="I177" s="613">
        <f t="shared" si="90"/>
        <v>0.29017857142857145</v>
      </c>
      <c r="J177" s="613">
        <f t="shared" si="90"/>
        <v>0</v>
      </c>
      <c r="K177" s="614">
        <f t="shared" si="90"/>
        <v>0</v>
      </c>
      <c r="L177" s="614">
        <f t="shared" si="90"/>
        <v>0</v>
      </c>
      <c r="M177" s="614">
        <f t="shared" si="90"/>
        <v>0</v>
      </c>
      <c r="N177" s="613">
        <f>IF(AE$182&gt;0,(AE177/AE$182),0)</f>
        <v>0.65159574468085102</v>
      </c>
      <c r="O177" s="613">
        <f t="shared" ref="O177:Q182" si="91">IF(AF$182&gt;0,(AF177/AF$182),0)</f>
        <v>0</v>
      </c>
      <c r="P177" s="615">
        <f t="shared" si="91"/>
        <v>0</v>
      </c>
      <c r="Q177" s="613">
        <f t="shared" si="91"/>
        <v>0</v>
      </c>
      <c r="R177" s="799"/>
      <c r="S177" s="856">
        <v>453</v>
      </c>
      <c r="T177" s="856"/>
      <c r="U177" s="856"/>
      <c r="V177" s="856"/>
      <c r="W177" s="856"/>
      <c r="X177" s="856">
        <v>2</v>
      </c>
      <c r="Y177" s="857">
        <v>455</v>
      </c>
      <c r="Z177" s="857"/>
      <c r="AA177" s="856"/>
      <c r="AB177" s="856"/>
      <c r="AC177" s="856"/>
      <c r="AD177" s="856"/>
      <c r="AE177" s="857">
        <v>490</v>
      </c>
      <c r="AF177" s="857"/>
      <c r="AG177" s="856"/>
      <c r="AH177" s="857"/>
    </row>
    <row r="178" spans="1:34">
      <c r="A178" s="883"/>
      <c r="B178" s="239" t="s">
        <v>93</v>
      </c>
      <c r="C178" s="806">
        <f t="shared" ref="C178:C182" si="92">IF(S$182&gt;0,(S178/S$182),0)</f>
        <v>0.32826948480845441</v>
      </c>
      <c r="D178" s="806">
        <f t="shared" si="90"/>
        <v>0</v>
      </c>
      <c r="E178" s="806">
        <f t="shared" si="90"/>
        <v>0</v>
      </c>
      <c r="F178" s="806">
        <f t="shared" si="90"/>
        <v>0</v>
      </c>
      <c r="G178" s="806">
        <f t="shared" si="90"/>
        <v>0</v>
      </c>
      <c r="H178" s="806">
        <f t="shared" si="90"/>
        <v>0.22222222222222221</v>
      </c>
      <c r="I178" s="624">
        <f t="shared" si="90"/>
        <v>0.32461734693877553</v>
      </c>
      <c r="J178" s="624">
        <f t="shared" si="90"/>
        <v>0</v>
      </c>
      <c r="K178" s="625">
        <f t="shared" si="90"/>
        <v>0</v>
      </c>
      <c r="L178" s="625">
        <f t="shared" si="90"/>
        <v>0</v>
      </c>
      <c r="M178" s="625">
        <f t="shared" si="90"/>
        <v>0</v>
      </c>
      <c r="N178" s="624">
        <f t="shared" ref="N178:N182" si="93">IF(AE$182&gt;0,(AE178/AE$182),0)</f>
        <v>0</v>
      </c>
      <c r="O178" s="624">
        <f t="shared" si="91"/>
        <v>0</v>
      </c>
      <c r="P178" s="626">
        <f t="shared" si="91"/>
        <v>0</v>
      </c>
      <c r="Q178" s="624">
        <f t="shared" si="91"/>
        <v>0</v>
      </c>
      <c r="R178" s="357"/>
      <c r="S178" s="858">
        <v>497</v>
      </c>
      <c r="T178" s="858"/>
      <c r="U178" s="858"/>
      <c r="V178" s="858"/>
      <c r="W178" s="858"/>
      <c r="X178" s="858">
        <v>12</v>
      </c>
      <c r="Y178" s="859">
        <v>509</v>
      </c>
      <c r="Z178" s="859"/>
      <c r="AA178" s="858"/>
      <c r="AB178" s="858"/>
      <c r="AC178" s="858"/>
      <c r="AD178" s="858"/>
      <c r="AE178" s="859"/>
      <c r="AF178" s="859"/>
      <c r="AG178" s="858"/>
      <c r="AH178" s="859"/>
    </row>
    <row r="179" spans="1:34">
      <c r="A179" s="883"/>
      <c r="B179" s="239" t="s">
        <v>55</v>
      </c>
      <c r="C179" s="806">
        <f t="shared" si="92"/>
        <v>0.24900924702774108</v>
      </c>
      <c r="D179" s="806">
        <f t="shared" si="90"/>
        <v>0</v>
      </c>
      <c r="E179" s="806">
        <f t="shared" si="90"/>
        <v>0</v>
      </c>
      <c r="F179" s="806">
        <f t="shared" si="90"/>
        <v>0</v>
      </c>
      <c r="G179" s="806">
        <f t="shared" si="90"/>
        <v>0</v>
      </c>
      <c r="H179" s="806">
        <f t="shared" si="90"/>
        <v>0.37037037037037035</v>
      </c>
      <c r="I179" s="624">
        <f t="shared" si="90"/>
        <v>0.25318877551020408</v>
      </c>
      <c r="J179" s="624">
        <f t="shared" si="90"/>
        <v>0</v>
      </c>
      <c r="K179" s="625">
        <f t="shared" si="90"/>
        <v>0</v>
      </c>
      <c r="L179" s="625">
        <f t="shared" si="90"/>
        <v>0</v>
      </c>
      <c r="M179" s="625">
        <f t="shared" si="90"/>
        <v>0</v>
      </c>
      <c r="N179" s="624">
        <f t="shared" si="93"/>
        <v>0</v>
      </c>
      <c r="O179" s="624">
        <f t="shared" si="91"/>
        <v>0</v>
      </c>
      <c r="P179" s="626">
        <f t="shared" si="91"/>
        <v>0</v>
      </c>
      <c r="Q179" s="624">
        <f t="shared" si="91"/>
        <v>0</v>
      </c>
      <c r="R179" s="357"/>
      <c r="S179" s="858">
        <v>377</v>
      </c>
      <c r="T179" s="858"/>
      <c r="U179" s="858"/>
      <c r="V179" s="858"/>
      <c r="W179" s="858"/>
      <c r="X179" s="858">
        <v>20</v>
      </c>
      <c r="Y179" s="859">
        <v>397</v>
      </c>
      <c r="Z179" s="859"/>
      <c r="AA179" s="858"/>
      <c r="AB179" s="858"/>
      <c r="AC179" s="858"/>
      <c r="AD179" s="858"/>
      <c r="AE179" s="859"/>
      <c r="AF179" s="859"/>
      <c r="AG179" s="858"/>
      <c r="AH179" s="859"/>
    </row>
    <row r="180" spans="1:34">
      <c r="A180" s="883"/>
      <c r="B180" s="239" t="s">
        <v>78</v>
      </c>
      <c r="C180" s="806">
        <f t="shared" si="92"/>
        <v>7.1994715984147958E-2</v>
      </c>
      <c r="D180" s="806">
        <f t="shared" si="90"/>
        <v>0</v>
      </c>
      <c r="E180" s="806">
        <f t="shared" si="90"/>
        <v>0</v>
      </c>
      <c r="F180" s="806">
        <f t="shared" si="90"/>
        <v>0</v>
      </c>
      <c r="G180" s="806">
        <f t="shared" si="90"/>
        <v>0</v>
      </c>
      <c r="H180" s="806">
        <f t="shared" si="90"/>
        <v>0</v>
      </c>
      <c r="I180" s="624">
        <f t="shared" si="90"/>
        <v>6.951530612244898E-2</v>
      </c>
      <c r="J180" s="624">
        <f t="shared" si="90"/>
        <v>0</v>
      </c>
      <c r="K180" s="625">
        <f t="shared" si="90"/>
        <v>0</v>
      </c>
      <c r="L180" s="625">
        <f t="shared" si="90"/>
        <v>0</v>
      </c>
      <c r="M180" s="625">
        <f t="shared" si="90"/>
        <v>0</v>
      </c>
      <c r="N180" s="624">
        <f t="shared" si="93"/>
        <v>0.34840425531914893</v>
      </c>
      <c r="O180" s="624">
        <f t="shared" si="91"/>
        <v>0</v>
      </c>
      <c r="P180" s="626">
        <f t="shared" si="91"/>
        <v>0</v>
      </c>
      <c r="Q180" s="624">
        <f t="shared" si="91"/>
        <v>0</v>
      </c>
      <c r="R180" s="357"/>
      <c r="S180" s="858">
        <v>109</v>
      </c>
      <c r="T180" s="858"/>
      <c r="U180" s="858"/>
      <c r="V180" s="858"/>
      <c r="W180" s="858"/>
      <c r="X180" s="858"/>
      <c r="Y180" s="859">
        <v>109</v>
      </c>
      <c r="Z180" s="859"/>
      <c r="AA180" s="858"/>
      <c r="AB180" s="858"/>
      <c r="AC180" s="858"/>
      <c r="AD180" s="858"/>
      <c r="AE180" s="859">
        <v>262</v>
      </c>
      <c r="AF180" s="859"/>
      <c r="AG180" s="858"/>
      <c r="AH180" s="859"/>
    </row>
    <row r="181" spans="1:34">
      <c r="A181" s="884"/>
      <c r="B181" s="580" t="s">
        <v>131</v>
      </c>
      <c r="C181" s="806">
        <f t="shared" si="92"/>
        <v>5.151915455746367E-2</v>
      </c>
      <c r="D181" s="806">
        <f t="shared" si="90"/>
        <v>0</v>
      </c>
      <c r="E181" s="806">
        <f t="shared" si="90"/>
        <v>0</v>
      </c>
      <c r="F181" s="806">
        <f t="shared" si="90"/>
        <v>0</v>
      </c>
      <c r="G181" s="806">
        <f t="shared" si="90"/>
        <v>0</v>
      </c>
      <c r="H181" s="806">
        <f t="shared" si="90"/>
        <v>0.37037037037037035</v>
      </c>
      <c r="I181" s="624">
        <f t="shared" si="90"/>
        <v>6.25E-2</v>
      </c>
      <c r="J181" s="624">
        <f t="shared" si="90"/>
        <v>0</v>
      </c>
      <c r="K181" s="625">
        <f t="shared" si="90"/>
        <v>0</v>
      </c>
      <c r="L181" s="625">
        <f t="shared" si="90"/>
        <v>0</v>
      </c>
      <c r="M181" s="625">
        <f t="shared" si="90"/>
        <v>0</v>
      </c>
      <c r="N181" s="624">
        <f t="shared" si="93"/>
        <v>0</v>
      </c>
      <c r="O181" s="624">
        <f t="shared" si="91"/>
        <v>0</v>
      </c>
      <c r="P181" s="626">
        <f t="shared" si="91"/>
        <v>0</v>
      </c>
      <c r="Q181" s="624">
        <f t="shared" si="91"/>
        <v>0</v>
      </c>
      <c r="R181" s="357"/>
      <c r="S181" s="858">
        <v>78</v>
      </c>
      <c r="T181" s="858">
        <v>0</v>
      </c>
      <c r="U181" s="858">
        <v>0</v>
      </c>
      <c r="V181" s="858">
        <v>0</v>
      </c>
      <c r="W181" s="858">
        <v>0</v>
      </c>
      <c r="X181" s="858">
        <v>20</v>
      </c>
      <c r="Y181" s="859">
        <v>98</v>
      </c>
      <c r="Z181" s="859"/>
      <c r="AA181" s="858"/>
      <c r="AB181" s="858"/>
      <c r="AC181" s="858"/>
      <c r="AD181" s="858"/>
      <c r="AE181" s="859"/>
      <c r="AF181" s="859"/>
      <c r="AG181" s="858"/>
      <c r="AH181" s="859"/>
    </row>
    <row r="182" spans="1:34">
      <c r="A182" s="885"/>
      <c r="B182" s="436" t="s">
        <v>59</v>
      </c>
      <c r="C182" s="807">
        <f t="shared" si="92"/>
        <v>1</v>
      </c>
      <c r="D182" s="808">
        <f t="shared" si="90"/>
        <v>0</v>
      </c>
      <c r="E182" s="808">
        <f t="shared" si="90"/>
        <v>0</v>
      </c>
      <c r="F182" s="808">
        <f t="shared" si="90"/>
        <v>0</v>
      </c>
      <c r="G182" s="808">
        <f t="shared" si="90"/>
        <v>0</v>
      </c>
      <c r="H182" s="809">
        <f t="shared" si="90"/>
        <v>1</v>
      </c>
      <c r="I182" s="577">
        <f t="shared" si="90"/>
        <v>1</v>
      </c>
      <c r="J182" s="577">
        <f t="shared" si="90"/>
        <v>0</v>
      </c>
      <c r="K182" s="578">
        <f t="shared" si="90"/>
        <v>0</v>
      </c>
      <c r="L182" s="578">
        <f t="shared" si="90"/>
        <v>0</v>
      </c>
      <c r="M182" s="578">
        <f t="shared" si="90"/>
        <v>0</v>
      </c>
      <c r="N182" s="577">
        <f t="shared" si="93"/>
        <v>1</v>
      </c>
      <c r="O182" s="577">
        <f t="shared" si="91"/>
        <v>0</v>
      </c>
      <c r="P182" s="579">
        <f t="shared" si="91"/>
        <v>0</v>
      </c>
      <c r="Q182" s="577">
        <f t="shared" si="91"/>
        <v>0</v>
      </c>
      <c r="R182" s="357"/>
      <c r="S182" s="858">
        <v>1514</v>
      </c>
      <c r="T182" s="858"/>
      <c r="U182" s="858"/>
      <c r="V182" s="858"/>
      <c r="W182" s="858"/>
      <c r="X182" s="858">
        <v>54</v>
      </c>
      <c r="Y182" s="859">
        <v>1568</v>
      </c>
      <c r="Z182" s="859"/>
      <c r="AA182" s="858"/>
      <c r="AB182" s="858"/>
      <c r="AC182" s="858"/>
      <c r="AD182" s="858"/>
      <c r="AE182" s="859">
        <v>752</v>
      </c>
      <c r="AF182" s="859"/>
      <c r="AG182" s="858"/>
      <c r="AH182" s="859"/>
    </row>
    <row r="183" spans="1:34">
      <c r="A183" s="882" t="s">
        <v>157</v>
      </c>
      <c r="B183" s="240" t="s">
        <v>53</v>
      </c>
      <c r="C183" s="806">
        <f>IF(S$188&gt;0,(S183/S$188),0)</f>
        <v>0.44729503625209149</v>
      </c>
      <c r="D183" s="806">
        <f t="shared" ref="D183:M188" si="94">IF(T$188&gt;0,(T183/T$188),0)</f>
        <v>0</v>
      </c>
      <c r="E183" s="806">
        <f t="shared" si="94"/>
        <v>0.22058823529411764</v>
      </c>
      <c r="F183" s="806">
        <f t="shared" si="94"/>
        <v>0.25912408759124089</v>
      </c>
      <c r="G183" s="806">
        <f t="shared" si="94"/>
        <v>0</v>
      </c>
      <c r="H183" s="806">
        <f t="shared" si="94"/>
        <v>0</v>
      </c>
      <c r="I183" s="613">
        <f t="shared" si="94"/>
        <v>0.40989559691330002</v>
      </c>
      <c r="J183" s="613">
        <f t="shared" si="94"/>
        <v>0</v>
      </c>
      <c r="K183" s="614">
        <f t="shared" si="94"/>
        <v>0</v>
      </c>
      <c r="L183" s="614">
        <f t="shared" si="94"/>
        <v>0</v>
      </c>
      <c r="M183" s="614">
        <f t="shared" si="94"/>
        <v>0</v>
      </c>
      <c r="N183" s="613">
        <f>IF(AE$188&gt;0,(AE183/AE$188),0)</f>
        <v>0.20921985815602837</v>
      </c>
      <c r="O183" s="613">
        <f t="shared" ref="O183:Q188" si="95">IF(AF$188&gt;0,(AF183/AF$188),0)</f>
        <v>0</v>
      </c>
      <c r="P183" s="615">
        <f t="shared" si="95"/>
        <v>0</v>
      </c>
      <c r="Q183" s="613">
        <f t="shared" si="95"/>
        <v>1.6917293233082706E-2</v>
      </c>
      <c r="R183" s="799"/>
      <c r="S183" s="856">
        <v>802</v>
      </c>
      <c r="T183" s="856"/>
      <c r="U183" s="856">
        <v>30</v>
      </c>
      <c r="V183" s="856">
        <v>71</v>
      </c>
      <c r="W183" s="856"/>
      <c r="X183" s="856"/>
      <c r="Y183" s="857">
        <v>903</v>
      </c>
      <c r="Z183" s="857"/>
      <c r="AA183" s="856"/>
      <c r="AB183" s="856"/>
      <c r="AC183" s="856"/>
      <c r="AD183" s="856"/>
      <c r="AE183" s="857">
        <v>177</v>
      </c>
      <c r="AF183" s="857"/>
      <c r="AG183" s="856"/>
      <c r="AH183" s="857">
        <v>9</v>
      </c>
    </row>
    <row r="184" spans="1:34">
      <c r="A184" s="883"/>
      <c r="B184" s="239" t="s">
        <v>93</v>
      </c>
      <c r="C184" s="806">
        <f t="shared" ref="C184:C188" si="96">IF(S$188&gt;0,(S184/S$188),0)</f>
        <v>0.2799776910206358</v>
      </c>
      <c r="D184" s="806">
        <f t="shared" si="94"/>
        <v>0</v>
      </c>
      <c r="E184" s="806">
        <f t="shared" si="94"/>
        <v>0.28676470588235292</v>
      </c>
      <c r="F184" s="806">
        <f t="shared" si="94"/>
        <v>0.16058394160583941</v>
      </c>
      <c r="G184" s="806">
        <f t="shared" si="94"/>
        <v>0</v>
      </c>
      <c r="H184" s="806">
        <f t="shared" si="94"/>
        <v>0</v>
      </c>
      <c r="I184" s="624">
        <f t="shared" si="94"/>
        <v>0.265546981389015</v>
      </c>
      <c r="J184" s="624">
        <f t="shared" si="94"/>
        <v>0</v>
      </c>
      <c r="K184" s="625">
        <f t="shared" si="94"/>
        <v>0</v>
      </c>
      <c r="L184" s="625">
        <f t="shared" si="94"/>
        <v>0</v>
      </c>
      <c r="M184" s="625">
        <f t="shared" si="94"/>
        <v>0</v>
      </c>
      <c r="N184" s="624">
        <f t="shared" ref="N184:N188" si="97">IF(AE$188&gt;0,(AE184/AE$188),0)</f>
        <v>0.16075650118203311</v>
      </c>
      <c r="O184" s="624">
        <f t="shared" si="95"/>
        <v>0</v>
      </c>
      <c r="P184" s="626">
        <f t="shared" si="95"/>
        <v>0</v>
      </c>
      <c r="Q184" s="624">
        <f t="shared" si="95"/>
        <v>7.5187969924812026E-3</v>
      </c>
      <c r="R184" s="357"/>
      <c r="S184" s="858">
        <v>502</v>
      </c>
      <c r="T184" s="858"/>
      <c r="U184" s="858">
        <v>39</v>
      </c>
      <c r="V184" s="858">
        <v>44</v>
      </c>
      <c r="W184" s="858"/>
      <c r="X184" s="858"/>
      <c r="Y184" s="859">
        <v>585</v>
      </c>
      <c r="Z184" s="859"/>
      <c r="AA184" s="858"/>
      <c r="AB184" s="858"/>
      <c r="AC184" s="858"/>
      <c r="AD184" s="858"/>
      <c r="AE184" s="859">
        <v>136</v>
      </c>
      <c r="AF184" s="859"/>
      <c r="AG184" s="858"/>
      <c r="AH184" s="859">
        <v>4</v>
      </c>
    </row>
    <row r="185" spans="1:34">
      <c r="A185" s="883"/>
      <c r="B185" s="239" t="s">
        <v>55</v>
      </c>
      <c r="C185" s="806">
        <f t="shared" si="96"/>
        <v>0.12269938650306748</v>
      </c>
      <c r="D185" s="806">
        <f t="shared" si="94"/>
        <v>0</v>
      </c>
      <c r="E185" s="806">
        <f t="shared" si="94"/>
        <v>0.3235294117647059</v>
      </c>
      <c r="F185" s="806">
        <f t="shared" si="94"/>
        <v>0.43065693430656932</v>
      </c>
      <c r="G185" s="806">
        <f t="shared" si="94"/>
        <v>0</v>
      </c>
      <c r="H185" s="806">
        <f t="shared" si="94"/>
        <v>0</v>
      </c>
      <c r="I185" s="624">
        <f t="shared" si="94"/>
        <v>0.17339990921470722</v>
      </c>
      <c r="J185" s="624">
        <f t="shared" si="94"/>
        <v>0</v>
      </c>
      <c r="K185" s="625">
        <f t="shared" si="94"/>
        <v>0</v>
      </c>
      <c r="L185" s="625">
        <f t="shared" si="94"/>
        <v>0</v>
      </c>
      <c r="M185" s="625">
        <f t="shared" si="94"/>
        <v>0</v>
      </c>
      <c r="N185" s="624">
        <f t="shared" si="97"/>
        <v>0.30378250591016548</v>
      </c>
      <c r="O185" s="624">
        <f t="shared" si="95"/>
        <v>0</v>
      </c>
      <c r="P185" s="626">
        <f t="shared" si="95"/>
        <v>0</v>
      </c>
      <c r="Q185" s="624">
        <f t="shared" si="95"/>
        <v>3.7593984962406013E-3</v>
      </c>
      <c r="R185" s="357"/>
      <c r="S185" s="858">
        <v>220</v>
      </c>
      <c r="T185" s="858"/>
      <c r="U185" s="858">
        <v>44</v>
      </c>
      <c r="V185" s="858">
        <v>118</v>
      </c>
      <c r="W185" s="858"/>
      <c r="X185" s="858"/>
      <c r="Y185" s="859">
        <v>382</v>
      </c>
      <c r="Z185" s="859"/>
      <c r="AA185" s="858"/>
      <c r="AB185" s="858"/>
      <c r="AC185" s="858"/>
      <c r="AD185" s="858"/>
      <c r="AE185" s="859">
        <v>257</v>
      </c>
      <c r="AF185" s="859"/>
      <c r="AG185" s="858"/>
      <c r="AH185" s="859">
        <v>2</v>
      </c>
    </row>
    <row r="186" spans="1:34">
      <c r="A186" s="883"/>
      <c r="B186" s="239" t="s">
        <v>78</v>
      </c>
      <c r="C186" s="806">
        <f t="shared" si="96"/>
        <v>0.1388733965421082</v>
      </c>
      <c r="D186" s="806">
        <f t="shared" si="94"/>
        <v>0</v>
      </c>
      <c r="E186" s="806">
        <f t="shared" si="94"/>
        <v>8.8235294117647065E-2</v>
      </c>
      <c r="F186" s="806">
        <f t="shared" si="94"/>
        <v>0.145985401459854</v>
      </c>
      <c r="G186" s="806">
        <f t="shared" si="94"/>
        <v>0</v>
      </c>
      <c r="H186" s="806">
        <f t="shared" si="94"/>
        <v>0</v>
      </c>
      <c r="I186" s="624">
        <f t="shared" si="94"/>
        <v>0.13663186563776669</v>
      </c>
      <c r="J186" s="624">
        <f t="shared" si="94"/>
        <v>0</v>
      </c>
      <c r="K186" s="625">
        <f t="shared" si="94"/>
        <v>0</v>
      </c>
      <c r="L186" s="625">
        <f t="shared" si="94"/>
        <v>0</v>
      </c>
      <c r="M186" s="625">
        <f t="shared" si="94"/>
        <v>0</v>
      </c>
      <c r="N186" s="624">
        <f t="shared" si="97"/>
        <v>0.29669030732860519</v>
      </c>
      <c r="O186" s="624">
        <f t="shared" si="95"/>
        <v>0</v>
      </c>
      <c r="P186" s="626">
        <f t="shared" si="95"/>
        <v>0</v>
      </c>
      <c r="Q186" s="624">
        <f t="shared" si="95"/>
        <v>0.96616541353383456</v>
      </c>
      <c r="R186" s="357"/>
      <c r="S186" s="858">
        <v>249</v>
      </c>
      <c r="T186" s="858"/>
      <c r="U186" s="858">
        <v>12</v>
      </c>
      <c r="V186" s="858">
        <v>40</v>
      </c>
      <c r="W186" s="858"/>
      <c r="X186" s="858"/>
      <c r="Y186" s="859">
        <v>301</v>
      </c>
      <c r="Z186" s="859"/>
      <c r="AA186" s="858"/>
      <c r="AB186" s="858"/>
      <c r="AC186" s="858"/>
      <c r="AD186" s="858"/>
      <c r="AE186" s="859">
        <v>251</v>
      </c>
      <c r="AF186" s="859"/>
      <c r="AG186" s="858"/>
      <c r="AH186" s="859">
        <v>514</v>
      </c>
    </row>
    <row r="187" spans="1:34">
      <c r="A187" s="884"/>
      <c r="B187" s="580" t="s">
        <v>131</v>
      </c>
      <c r="C187" s="806">
        <f t="shared" si="96"/>
        <v>1.1154489682097044E-2</v>
      </c>
      <c r="D187" s="806">
        <f t="shared" si="94"/>
        <v>0</v>
      </c>
      <c r="E187" s="806">
        <f t="shared" si="94"/>
        <v>8.0882352941176475E-2</v>
      </c>
      <c r="F187" s="806">
        <f t="shared" si="94"/>
        <v>3.6496350364963502E-3</v>
      </c>
      <c r="G187" s="806">
        <f t="shared" si="94"/>
        <v>0</v>
      </c>
      <c r="H187" s="806">
        <f t="shared" si="94"/>
        <v>0</v>
      </c>
      <c r="I187" s="624">
        <f t="shared" si="94"/>
        <v>1.4525646845211076E-2</v>
      </c>
      <c r="J187" s="624">
        <f t="shared" si="94"/>
        <v>0</v>
      </c>
      <c r="K187" s="625">
        <f t="shared" si="94"/>
        <v>0</v>
      </c>
      <c r="L187" s="625">
        <f t="shared" si="94"/>
        <v>0</v>
      </c>
      <c r="M187" s="625">
        <f t="shared" si="94"/>
        <v>0</v>
      </c>
      <c r="N187" s="624">
        <f t="shared" si="97"/>
        <v>2.955082742316785E-2</v>
      </c>
      <c r="O187" s="624">
        <f t="shared" si="95"/>
        <v>0</v>
      </c>
      <c r="P187" s="626">
        <f t="shared" si="95"/>
        <v>0</v>
      </c>
      <c r="Q187" s="624">
        <f t="shared" si="95"/>
        <v>5.6390977443609019E-3</v>
      </c>
      <c r="R187" s="357"/>
      <c r="S187" s="858">
        <v>20</v>
      </c>
      <c r="T187" s="858">
        <v>0</v>
      </c>
      <c r="U187" s="858">
        <v>11</v>
      </c>
      <c r="V187" s="858">
        <v>1</v>
      </c>
      <c r="W187" s="858">
        <v>0</v>
      </c>
      <c r="X187" s="858">
        <v>0</v>
      </c>
      <c r="Y187" s="859">
        <v>32</v>
      </c>
      <c r="Z187" s="859"/>
      <c r="AA187" s="858"/>
      <c r="AB187" s="858"/>
      <c r="AC187" s="858"/>
      <c r="AD187" s="858"/>
      <c r="AE187" s="859">
        <v>25</v>
      </c>
      <c r="AF187" s="859"/>
      <c r="AG187" s="858"/>
      <c r="AH187" s="859">
        <v>3</v>
      </c>
    </row>
    <row r="188" spans="1:34">
      <c r="A188" s="885"/>
      <c r="B188" s="436" t="s">
        <v>59</v>
      </c>
      <c r="C188" s="807">
        <f t="shared" si="96"/>
        <v>1</v>
      </c>
      <c r="D188" s="808">
        <f t="shared" si="94"/>
        <v>0</v>
      </c>
      <c r="E188" s="808">
        <f t="shared" si="94"/>
        <v>1</v>
      </c>
      <c r="F188" s="808">
        <f t="shared" si="94"/>
        <v>1</v>
      </c>
      <c r="G188" s="808">
        <f t="shared" si="94"/>
        <v>0</v>
      </c>
      <c r="H188" s="809">
        <f t="shared" si="94"/>
        <v>0</v>
      </c>
      <c r="I188" s="577">
        <f t="shared" si="94"/>
        <v>1</v>
      </c>
      <c r="J188" s="577">
        <f t="shared" si="94"/>
        <v>0</v>
      </c>
      <c r="K188" s="578">
        <f t="shared" si="94"/>
        <v>0</v>
      </c>
      <c r="L188" s="578">
        <f t="shared" si="94"/>
        <v>0</v>
      </c>
      <c r="M188" s="578">
        <f t="shared" si="94"/>
        <v>0</v>
      </c>
      <c r="N188" s="577">
        <f t="shared" si="97"/>
        <v>1</v>
      </c>
      <c r="O188" s="577">
        <f t="shared" si="95"/>
        <v>0</v>
      </c>
      <c r="P188" s="579">
        <f t="shared" si="95"/>
        <v>0</v>
      </c>
      <c r="Q188" s="577">
        <f t="shared" si="95"/>
        <v>1</v>
      </c>
      <c r="R188" s="357"/>
      <c r="S188" s="858">
        <v>1793</v>
      </c>
      <c r="T188" s="858"/>
      <c r="U188" s="858">
        <v>136</v>
      </c>
      <c r="V188" s="858">
        <v>274</v>
      </c>
      <c r="W188" s="858"/>
      <c r="X188" s="858"/>
      <c r="Y188" s="859">
        <v>2203</v>
      </c>
      <c r="Z188" s="859"/>
      <c r="AA188" s="858"/>
      <c r="AB188" s="858"/>
      <c r="AC188" s="858"/>
      <c r="AD188" s="858"/>
      <c r="AE188" s="859">
        <v>846</v>
      </c>
      <c r="AF188" s="859"/>
      <c r="AG188" s="858"/>
      <c r="AH188" s="859">
        <v>532</v>
      </c>
    </row>
    <row r="189" spans="1:34">
      <c r="A189" s="882" t="s">
        <v>161</v>
      </c>
      <c r="B189" s="240" t="s">
        <v>53</v>
      </c>
      <c r="C189" s="806">
        <f>IF(S$194&gt;0,(S189/S$194),0)</f>
        <v>0.23179871520342613</v>
      </c>
      <c r="D189" s="806">
        <f t="shared" ref="D189:M194" si="98">IF(T$194&gt;0,(T189/T$194),0)</f>
        <v>0.29036635006784262</v>
      </c>
      <c r="E189" s="806">
        <f t="shared" si="98"/>
        <v>0.34841628959276016</v>
      </c>
      <c r="F189" s="806">
        <f t="shared" si="98"/>
        <v>0.36842105263157893</v>
      </c>
      <c r="G189" s="806">
        <f t="shared" si="98"/>
        <v>0.21100917431192662</v>
      </c>
      <c r="H189" s="806">
        <f t="shared" si="98"/>
        <v>0.27857142857142858</v>
      </c>
      <c r="I189" s="613">
        <f t="shared" si="98"/>
        <v>0.26278928136419</v>
      </c>
      <c r="J189" s="613">
        <f t="shared" si="98"/>
        <v>0</v>
      </c>
      <c r="K189" s="614">
        <f t="shared" si="98"/>
        <v>0</v>
      </c>
      <c r="L189" s="614">
        <f t="shared" si="98"/>
        <v>0</v>
      </c>
      <c r="M189" s="614">
        <f t="shared" si="98"/>
        <v>0</v>
      </c>
      <c r="N189" s="613">
        <f>IF(AE$194&gt;0,(AE189/AE$194),0)</f>
        <v>3.2091690544412604E-2</v>
      </c>
      <c r="O189" s="613">
        <f t="shared" ref="O189:Q194" si="99">IF(AF$194&gt;0,(AF189/AF$194),0)</f>
        <v>0</v>
      </c>
      <c r="P189" s="615">
        <f t="shared" si="99"/>
        <v>0</v>
      </c>
      <c r="Q189" s="613">
        <f t="shared" si="99"/>
        <v>0</v>
      </c>
      <c r="R189" s="799"/>
      <c r="S189" s="856">
        <v>433</v>
      </c>
      <c r="T189" s="856">
        <v>214</v>
      </c>
      <c r="U189" s="856">
        <v>77</v>
      </c>
      <c r="V189" s="856">
        <v>77</v>
      </c>
      <c r="W189" s="856">
        <v>23</v>
      </c>
      <c r="X189" s="856">
        <v>39</v>
      </c>
      <c r="Y189" s="857">
        <v>863</v>
      </c>
      <c r="Z189" s="857"/>
      <c r="AA189" s="856"/>
      <c r="AB189" s="856"/>
      <c r="AC189" s="856"/>
      <c r="AD189" s="856"/>
      <c r="AE189" s="857">
        <v>56</v>
      </c>
      <c r="AF189" s="857"/>
      <c r="AG189" s="856"/>
      <c r="AH189" s="857"/>
    </row>
    <row r="190" spans="1:34">
      <c r="A190" s="883"/>
      <c r="B190" s="239" t="s">
        <v>93</v>
      </c>
      <c r="C190" s="806">
        <f t="shared" ref="C190:C194" si="100">IF(S$194&gt;0,(S190/S$194),0)</f>
        <v>0.24785867237687367</v>
      </c>
      <c r="D190" s="806">
        <f t="shared" si="98"/>
        <v>0.24151967435549526</v>
      </c>
      <c r="E190" s="806">
        <f t="shared" si="98"/>
        <v>0.21266968325791855</v>
      </c>
      <c r="F190" s="806">
        <f t="shared" si="98"/>
        <v>0.22966507177033493</v>
      </c>
      <c r="G190" s="806">
        <f t="shared" si="98"/>
        <v>0.27522935779816515</v>
      </c>
      <c r="H190" s="806">
        <f t="shared" si="98"/>
        <v>0.25</v>
      </c>
      <c r="I190" s="624">
        <f t="shared" si="98"/>
        <v>0.24390986601705236</v>
      </c>
      <c r="J190" s="624">
        <f t="shared" si="98"/>
        <v>0</v>
      </c>
      <c r="K190" s="625">
        <f t="shared" si="98"/>
        <v>0</v>
      </c>
      <c r="L190" s="625">
        <f t="shared" si="98"/>
        <v>0</v>
      </c>
      <c r="M190" s="625">
        <f t="shared" si="98"/>
        <v>0</v>
      </c>
      <c r="N190" s="624">
        <f t="shared" ref="N190:N194" si="101">IF(AE$194&gt;0,(AE190/AE$194),0)</f>
        <v>2.0630372492836675E-2</v>
      </c>
      <c r="O190" s="624">
        <f t="shared" si="99"/>
        <v>0</v>
      </c>
      <c r="P190" s="626">
        <f t="shared" si="99"/>
        <v>0</v>
      </c>
      <c r="Q190" s="624">
        <f t="shared" si="99"/>
        <v>0</v>
      </c>
      <c r="R190" s="357"/>
      <c r="S190" s="858">
        <v>463</v>
      </c>
      <c r="T190" s="858">
        <v>178</v>
      </c>
      <c r="U190" s="858">
        <v>47</v>
      </c>
      <c r="V190" s="858">
        <v>48</v>
      </c>
      <c r="W190" s="858">
        <v>30</v>
      </c>
      <c r="X190" s="858">
        <v>35</v>
      </c>
      <c r="Y190" s="859">
        <v>801</v>
      </c>
      <c r="Z190" s="859"/>
      <c r="AA190" s="858"/>
      <c r="AB190" s="858"/>
      <c r="AC190" s="858"/>
      <c r="AD190" s="858"/>
      <c r="AE190" s="859">
        <v>36</v>
      </c>
      <c r="AF190" s="859"/>
      <c r="AG190" s="858"/>
      <c r="AH190" s="859"/>
    </row>
    <row r="191" spans="1:34">
      <c r="A191" s="883"/>
      <c r="B191" s="239" t="s">
        <v>55</v>
      </c>
      <c r="C191" s="806">
        <f t="shared" si="100"/>
        <v>0.24411134903640258</v>
      </c>
      <c r="D191" s="806">
        <f t="shared" si="98"/>
        <v>0.26729986431478969</v>
      </c>
      <c r="E191" s="806">
        <f t="shared" si="98"/>
        <v>0.23981900452488689</v>
      </c>
      <c r="F191" s="806">
        <f t="shared" si="98"/>
        <v>0.10047846889952153</v>
      </c>
      <c r="G191" s="806">
        <f t="shared" si="98"/>
        <v>0.33027522935779818</v>
      </c>
      <c r="H191" s="806">
        <f t="shared" si="98"/>
        <v>0.4</v>
      </c>
      <c r="I191" s="624">
        <f t="shared" si="98"/>
        <v>0.24939098660170525</v>
      </c>
      <c r="J191" s="624">
        <f t="shared" si="98"/>
        <v>0</v>
      </c>
      <c r="K191" s="625">
        <f t="shared" si="98"/>
        <v>0</v>
      </c>
      <c r="L191" s="625">
        <f t="shared" si="98"/>
        <v>0</v>
      </c>
      <c r="M191" s="625">
        <f t="shared" si="98"/>
        <v>0</v>
      </c>
      <c r="N191" s="624">
        <f t="shared" si="101"/>
        <v>3.0945558739255013E-2</v>
      </c>
      <c r="O191" s="624">
        <f t="shared" si="99"/>
        <v>0</v>
      </c>
      <c r="P191" s="626">
        <f t="shared" si="99"/>
        <v>0</v>
      </c>
      <c r="Q191" s="624">
        <f t="shared" si="99"/>
        <v>0</v>
      </c>
      <c r="R191" s="357"/>
      <c r="S191" s="858">
        <v>456</v>
      </c>
      <c r="T191" s="858">
        <v>197</v>
      </c>
      <c r="U191" s="858">
        <v>53</v>
      </c>
      <c r="V191" s="858">
        <v>21</v>
      </c>
      <c r="W191" s="858">
        <v>36</v>
      </c>
      <c r="X191" s="858">
        <v>56</v>
      </c>
      <c r="Y191" s="859">
        <v>819</v>
      </c>
      <c r="Z191" s="859"/>
      <c r="AA191" s="858"/>
      <c r="AB191" s="858"/>
      <c r="AC191" s="858"/>
      <c r="AD191" s="858"/>
      <c r="AE191" s="859">
        <v>54</v>
      </c>
      <c r="AF191" s="859"/>
      <c r="AG191" s="858"/>
      <c r="AH191" s="859"/>
    </row>
    <row r="192" spans="1:34">
      <c r="A192" s="883"/>
      <c r="B192" s="239" t="s">
        <v>78</v>
      </c>
      <c r="C192" s="806">
        <f t="shared" si="100"/>
        <v>0.24785867237687367</v>
      </c>
      <c r="D192" s="806">
        <f t="shared" si="98"/>
        <v>0.19674355495251017</v>
      </c>
      <c r="E192" s="806">
        <f t="shared" si="98"/>
        <v>0.17647058823529413</v>
      </c>
      <c r="F192" s="806">
        <f t="shared" si="98"/>
        <v>0.24401913875598086</v>
      </c>
      <c r="G192" s="806">
        <f t="shared" si="98"/>
        <v>0.12844036697247707</v>
      </c>
      <c r="H192" s="806">
        <f t="shared" si="98"/>
        <v>7.1428571428571425E-2</v>
      </c>
      <c r="I192" s="624">
        <f t="shared" si="98"/>
        <v>0.21985383678440926</v>
      </c>
      <c r="J192" s="624">
        <f t="shared" si="98"/>
        <v>0</v>
      </c>
      <c r="K192" s="625">
        <f t="shared" si="98"/>
        <v>0</v>
      </c>
      <c r="L192" s="625">
        <f t="shared" si="98"/>
        <v>0</v>
      </c>
      <c r="M192" s="625">
        <f t="shared" si="98"/>
        <v>0</v>
      </c>
      <c r="N192" s="624">
        <f t="shared" si="101"/>
        <v>0.39770773638968482</v>
      </c>
      <c r="O192" s="624">
        <f t="shared" si="99"/>
        <v>0</v>
      </c>
      <c r="P192" s="626">
        <f t="shared" si="99"/>
        <v>0</v>
      </c>
      <c r="Q192" s="624">
        <f t="shared" si="99"/>
        <v>0.72972972972972971</v>
      </c>
      <c r="R192" s="357"/>
      <c r="S192" s="858">
        <v>463</v>
      </c>
      <c r="T192" s="858">
        <v>145</v>
      </c>
      <c r="U192" s="858">
        <v>39</v>
      </c>
      <c r="V192" s="858">
        <v>51</v>
      </c>
      <c r="W192" s="858">
        <v>14</v>
      </c>
      <c r="X192" s="858">
        <v>10</v>
      </c>
      <c r="Y192" s="859">
        <v>722</v>
      </c>
      <c r="Z192" s="859"/>
      <c r="AA192" s="858"/>
      <c r="AB192" s="858"/>
      <c r="AC192" s="858"/>
      <c r="AD192" s="858"/>
      <c r="AE192" s="859">
        <v>694</v>
      </c>
      <c r="AF192" s="859"/>
      <c r="AG192" s="858"/>
      <c r="AH192" s="859">
        <v>27</v>
      </c>
    </row>
    <row r="193" spans="1:34">
      <c r="A193" s="884"/>
      <c r="B193" s="580" t="s">
        <v>131</v>
      </c>
      <c r="C193" s="806">
        <f t="shared" si="100"/>
        <v>2.8372591006423982E-2</v>
      </c>
      <c r="D193" s="806">
        <f t="shared" si="98"/>
        <v>4.0705563093622792E-3</v>
      </c>
      <c r="E193" s="806">
        <f t="shared" si="98"/>
        <v>2.2624434389140271E-2</v>
      </c>
      <c r="F193" s="806">
        <f t="shared" si="98"/>
        <v>5.7416267942583733E-2</v>
      </c>
      <c r="G193" s="806">
        <f t="shared" si="98"/>
        <v>5.5045871559633031E-2</v>
      </c>
      <c r="H193" s="806">
        <f t="shared" si="98"/>
        <v>0</v>
      </c>
      <c r="I193" s="624">
        <f t="shared" si="98"/>
        <v>2.405602923264312E-2</v>
      </c>
      <c r="J193" s="624">
        <f t="shared" si="98"/>
        <v>0</v>
      </c>
      <c r="K193" s="625">
        <f t="shared" si="98"/>
        <v>0</v>
      </c>
      <c r="L193" s="625">
        <f t="shared" si="98"/>
        <v>0</v>
      </c>
      <c r="M193" s="625">
        <f t="shared" si="98"/>
        <v>0</v>
      </c>
      <c r="N193" s="624">
        <f t="shared" si="101"/>
        <v>0.51862464183381085</v>
      </c>
      <c r="O193" s="624">
        <f t="shared" si="99"/>
        <v>0</v>
      </c>
      <c r="P193" s="626">
        <f t="shared" si="99"/>
        <v>0</v>
      </c>
      <c r="Q193" s="624">
        <f t="shared" si="99"/>
        <v>0.27027027027027029</v>
      </c>
      <c r="R193" s="357"/>
      <c r="S193" s="858">
        <v>53</v>
      </c>
      <c r="T193" s="858">
        <v>3</v>
      </c>
      <c r="U193" s="858">
        <v>5</v>
      </c>
      <c r="V193" s="858">
        <v>12</v>
      </c>
      <c r="W193" s="858">
        <v>6</v>
      </c>
      <c r="X193" s="858">
        <v>0</v>
      </c>
      <c r="Y193" s="859">
        <v>79</v>
      </c>
      <c r="Z193" s="859"/>
      <c r="AA193" s="858"/>
      <c r="AB193" s="858"/>
      <c r="AC193" s="858"/>
      <c r="AD193" s="858"/>
      <c r="AE193" s="859">
        <v>905</v>
      </c>
      <c r="AF193" s="859"/>
      <c r="AG193" s="858"/>
      <c r="AH193" s="859">
        <v>10</v>
      </c>
    </row>
    <row r="194" spans="1:34">
      <c r="A194" s="885"/>
      <c r="B194" s="436" t="s">
        <v>59</v>
      </c>
      <c r="C194" s="807">
        <f t="shared" si="100"/>
        <v>1</v>
      </c>
      <c r="D194" s="808">
        <f t="shared" si="98"/>
        <v>1</v>
      </c>
      <c r="E194" s="808">
        <f t="shared" si="98"/>
        <v>1</v>
      </c>
      <c r="F194" s="808">
        <f t="shared" si="98"/>
        <v>1</v>
      </c>
      <c r="G194" s="808">
        <f t="shared" si="98"/>
        <v>1</v>
      </c>
      <c r="H194" s="809">
        <f t="shared" si="98"/>
        <v>1</v>
      </c>
      <c r="I194" s="577">
        <f t="shared" si="98"/>
        <v>1</v>
      </c>
      <c r="J194" s="577">
        <f t="shared" si="98"/>
        <v>0</v>
      </c>
      <c r="K194" s="578">
        <f t="shared" si="98"/>
        <v>0</v>
      </c>
      <c r="L194" s="578">
        <f t="shared" si="98"/>
        <v>0</v>
      </c>
      <c r="M194" s="578">
        <f t="shared" si="98"/>
        <v>0</v>
      </c>
      <c r="N194" s="577">
        <f t="shared" si="101"/>
        <v>1</v>
      </c>
      <c r="O194" s="577">
        <f t="shared" si="99"/>
        <v>0</v>
      </c>
      <c r="P194" s="579">
        <f t="shared" si="99"/>
        <v>0</v>
      </c>
      <c r="Q194" s="577">
        <f t="shared" si="99"/>
        <v>1</v>
      </c>
      <c r="R194" s="357"/>
      <c r="S194" s="858">
        <v>1868</v>
      </c>
      <c r="T194" s="858">
        <v>737</v>
      </c>
      <c r="U194" s="858">
        <v>221</v>
      </c>
      <c r="V194" s="858">
        <v>209</v>
      </c>
      <c r="W194" s="858">
        <v>109</v>
      </c>
      <c r="X194" s="858">
        <v>140</v>
      </c>
      <c r="Y194" s="859">
        <v>3284</v>
      </c>
      <c r="Z194" s="859"/>
      <c r="AA194" s="858"/>
      <c r="AB194" s="858"/>
      <c r="AC194" s="858"/>
      <c r="AD194" s="858"/>
      <c r="AE194" s="859">
        <v>1745</v>
      </c>
      <c r="AF194" s="859"/>
      <c r="AG194" s="858"/>
      <c r="AH194" s="859">
        <v>37</v>
      </c>
    </row>
    <row r="195" spans="1:34">
      <c r="A195" s="882" t="s">
        <v>165</v>
      </c>
      <c r="B195" s="240" t="s">
        <v>53</v>
      </c>
      <c r="C195" s="806">
        <f>IF(S$200&gt;0,(S195/S$200),0)</f>
        <v>0.23177175061641422</v>
      </c>
      <c r="D195" s="806">
        <f t="shared" ref="D195:M200" si="102">IF(T$200&gt;0,(T195/T$200),0)</f>
        <v>0</v>
      </c>
      <c r="E195" s="806">
        <f t="shared" si="102"/>
        <v>0</v>
      </c>
      <c r="F195" s="806">
        <f t="shared" si="102"/>
        <v>0.27486910994764396</v>
      </c>
      <c r="G195" s="806">
        <f t="shared" si="102"/>
        <v>0.203125</v>
      </c>
      <c r="H195" s="806">
        <f t="shared" si="102"/>
        <v>0</v>
      </c>
      <c r="I195" s="613">
        <f t="shared" si="102"/>
        <v>0.2357023211294568</v>
      </c>
      <c r="J195" s="613">
        <f t="shared" si="102"/>
        <v>0</v>
      </c>
      <c r="K195" s="614">
        <f t="shared" si="102"/>
        <v>0</v>
      </c>
      <c r="L195" s="614">
        <f t="shared" si="102"/>
        <v>0</v>
      </c>
      <c r="M195" s="614">
        <f t="shared" si="102"/>
        <v>0</v>
      </c>
      <c r="N195" s="613">
        <f>IF(AE$200&gt;0,(AE195/AE$200),0)</f>
        <v>0.14308426073131955</v>
      </c>
      <c r="O195" s="613">
        <f t="shared" ref="O195:Q200" si="103">IF(AF$200&gt;0,(AF195/AF$200),0)</f>
        <v>0</v>
      </c>
      <c r="P195" s="615">
        <f t="shared" si="103"/>
        <v>0</v>
      </c>
      <c r="Q195" s="613">
        <f t="shared" si="103"/>
        <v>0</v>
      </c>
      <c r="R195" s="799"/>
      <c r="S195" s="856">
        <v>658</v>
      </c>
      <c r="T195" s="856"/>
      <c r="U195" s="856"/>
      <c r="V195" s="856">
        <v>210</v>
      </c>
      <c r="W195" s="856">
        <v>117</v>
      </c>
      <c r="X195" s="856"/>
      <c r="Y195" s="857">
        <v>985</v>
      </c>
      <c r="Z195" s="857"/>
      <c r="AA195" s="856"/>
      <c r="AB195" s="856"/>
      <c r="AC195" s="856"/>
      <c r="AD195" s="856"/>
      <c r="AE195" s="857">
        <v>90</v>
      </c>
      <c r="AF195" s="857"/>
      <c r="AG195" s="856"/>
      <c r="AH195" s="857"/>
    </row>
    <row r="196" spans="1:34">
      <c r="A196" s="883"/>
      <c r="B196" s="239" t="s">
        <v>93</v>
      </c>
      <c r="C196" s="806">
        <f t="shared" ref="C196:C200" si="104">IF(S$200&gt;0,(S196/S$200),0)</f>
        <v>0.20641070799577316</v>
      </c>
      <c r="D196" s="806">
        <f t="shared" si="102"/>
        <v>0</v>
      </c>
      <c r="E196" s="806">
        <f t="shared" si="102"/>
        <v>0</v>
      </c>
      <c r="F196" s="806">
        <f t="shared" si="102"/>
        <v>0.22251308900523561</v>
      </c>
      <c r="G196" s="806">
        <f t="shared" si="102"/>
        <v>0.359375</v>
      </c>
      <c r="H196" s="806">
        <f t="shared" si="102"/>
        <v>0</v>
      </c>
      <c r="I196" s="624">
        <f t="shared" si="102"/>
        <v>0.23043790380473797</v>
      </c>
      <c r="J196" s="624">
        <f t="shared" si="102"/>
        <v>0</v>
      </c>
      <c r="K196" s="625">
        <f t="shared" si="102"/>
        <v>0</v>
      </c>
      <c r="L196" s="625">
        <f t="shared" si="102"/>
        <v>0</v>
      </c>
      <c r="M196" s="625">
        <f t="shared" si="102"/>
        <v>0</v>
      </c>
      <c r="N196" s="624">
        <f t="shared" ref="N196:N200" si="105">IF(AE$200&gt;0,(AE196/AE$200),0)</f>
        <v>0.31955484896661368</v>
      </c>
      <c r="O196" s="624">
        <f t="shared" si="103"/>
        <v>0</v>
      </c>
      <c r="P196" s="626">
        <f t="shared" si="103"/>
        <v>0</v>
      </c>
      <c r="Q196" s="624">
        <f t="shared" si="103"/>
        <v>0</v>
      </c>
      <c r="R196" s="357"/>
      <c r="S196" s="858">
        <v>586</v>
      </c>
      <c r="T196" s="858"/>
      <c r="U196" s="858"/>
      <c r="V196" s="858">
        <v>170</v>
      </c>
      <c r="W196" s="858">
        <v>207</v>
      </c>
      <c r="X196" s="858"/>
      <c r="Y196" s="859">
        <v>963</v>
      </c>
      <c r="Z196" s="859"/>
      <c r="AA196" s="858"/>
      <c r="AB196" s="858"/>
      <c r="AC196" s="858"/>
      <c r="AD196" s="858"/>
      <c r="AE196" s="859">
        <v>201</v>
      </c>
      <c r="AF196" s="859"/>
      <c r="AG196" s="858"/>
      <c r="AH196" s="859"/>
    </row>
    <row r="197" spans="1:34">
      <c r="A197" s="883"/>
      <c r="B197" s="239" t="s">
        <v>55</v>
      </c>
      <c r="C197" s="806">
        <f t="shared" si="104"/>
        <v>0.16731243395561818</v>
      </c>
      <c r="D197" s="806">
        <f t="shared" si="102"/>
        <v>0</v>
      </c>
      <c r="E197" s="806">
        <f t="shared" si="102"/>
        <v>0</v>
      </c>
      <c r="F197" s="806">
        <f t="shared" si="102"/>
        <v>0.35602094240837695</v>
      </c>
      <c r="G197" s="806">
        <f t="shared" si="102"/>
        <v>0.30208333333333331</v>
      </c>
      <c r="H197" s="806">
        <f t="shared" si="102"/>
        <v>0</v>
      </c>
      <c r="I197" s="624">
        <f t="shared" si="102"/>
        <v>0.22038765254845658</v>
      </c>
      <c r="J197" s="624">
        <f t="shared" si="102"/>
        <v>0</v>
      </c>
      <c r="K197" s="625">
        <f t="shared" si="102"/>
        <v>0</v>
      </c>
      <c r="L197" s="625">
        <f t="shared" si="102"/>
        <v>0</v>
      </c>
      <c r="M197" s="625">
        <f t="shared" si="102"/>
        <v>0</v>
      </c>
      <c r="N197" s="624">
        <f t="shared" si="105"/>
        <v>0.29411764705882354</v>
      </c>
      <c r="O197" s="624">
        <f t="shared" si="103"/>
        <v>0</v>
      </c>
      <c r="P197" s="626">
        <f t="shared" si="103"/>
        <v>0</v>
      </c>
      <c r="Q197" s="624">
        <f t="shared" si="103"/>
        <v>0</v>
      </c>
      <c r="R197" s="357"/>
      <c r="S197" s="858">
        <v>475</v>
      </c>
      <c r="T197" s="858"/>
      <c r="U197" s="858"/>
      <c r="V197" s="858">
        <v>272</v>
      </c>
      <c r="W197" s="858">
        <v>174</v>
      </c>
      <c r="X197" s="858"/>
      <c r="Y197" s="859">
        <v>921</v>
      </c>
      <c r="Z197" s="859"/>
      <c r="AA197" s="858"/>
      <c r="AB197" s="858"/>
      <c r="AC197" s="858"/>
      <c r="AD197" s="858"/>
      <c r="AE197" s="859">
        <v>185</v>
      </c>
      <c r="AF197" s="859"/>
      <c r="AG197" s="858"/>
      <c r="AH197" s="859"/>
    </row>
    <row r="198" spans="1:34">
      <c r="A198" s="883"/>
      <c r="B198" s="239" t="s">
        <v>78</v>
      </c>
      <c r="C198" s="806">
        <f t="shared" si="104"/>
        <v>1.1623811201127158E-2</v>
      </c>
      <c r="D198" s="806">
        <f t="shared" si="102"/>
        <v>0</v>
      </c>
      <c r="E198" s="806">
        <f t="shared" si="102"/>
        <v>0</v>
      </c>
      <c r="F198" s="806">
        <f t="shared" si="102"/>
        <v>9.293193717277487E-2</v>
      </c>
      <c r="G198" s="806">
        <f t="shared" si="102"/>
        <v>1.2152777777777778E-2</v>
      </c>
      <c r="H198" s="806">
        <f t="shared" si="102"/>
        <v>0</v>
      </c>
      <c r="I198" s="624">
        <f t="shared" si="102"/>
        <v>2.6561378320172292E-2</v>
      </c>
      <c r="J198" s="624">
        <f t="shared" si="102"/>
        <v>0</v>
      </c>
      <c r="K198" s="625">
        <f t="shared" si="102"/>
        <v>0</v>
      </c>
      <c r="L198" s="625">
        <f t="shared" si="102"/>
        <v>0</v>
      </c>
      <c r="M198" s="625">
        <f t="shared" si="102"/>
        <v>0</v>
      </c>
      <c r="N198" s="624">
        <f t="shared" si="105"/>
        <v>0.23688394276629571</v>
      </c>
      <c r="O198" s="624">
        <f t="shared" si="103"/>
        <v>0</v>
      </c>
      <c r="P198" s="626">
        <f t="shared" si="103"/>
        <v>0</v>
      </c>
      <c r="Q198" s="624">
        <f t="shared" si="103"/>
        <v>0</v>
      </c>
      <c r="R198" s="357"/>
      <c r="S198" s="858">
        <v>33</v>
      </c>
      <c r="T198" s="858"/>
      <c r="U198" s="858"/>
      <c r="V198" s="858">
        <v>71</v>
      </c>
      <c r="W198" s="858">
        <v>7</v>
      </c>
      <c r="X198" s="858"/>
      <c r="Y198" s="859">
        <v>111</v>
      </c>
      <c r="Z198" s="859"/>
      <c r="AA198" s="858"/>
      <c r="AB198" s="858"/>
      <c r="AC198" s="858"/>
      <c r="AD198" s="858"/>
      <c r="AE198" s="859">
        <v>149</v>
      </c>
      <c r="AF198" s="859"/>
      <c r="AG198" s="858"/>
      <c r="AH198" s="859"/>
    </row>
    <row r="199" spans="1:34">
      <c r="A199" s="884"/>
      <c r="B199" s="580" t="s">
        <v>131</v>
      </c>
      <c r="C199" s="806">
        <f t="shared" si="104"/>
        <v>0.38288129623106726</v>
      </c>
      <c r="D199" s="806">
        <f t="shared" si="102"/>
        <v>0</v>
      </c>
      <c r="E199" s="806">
        <f t="shared" si="102"/>
        <v>0</v>
      </c>
      <c r="F199" s="806">
        <f t="shared" si="102"/>
        <v>5.3664921465968587E-2</v>
      </c>
      <c r="G199" s="806">
        <f t="shared" si="102"/>
        <v>0.1232638888888889</v>
      </c>
      <c r="H199" s="806">
        <f t="shared" si="102"/>
        <v>0</v>
      </c>
      <c r="I199" s="624">
        <f t="shared" si="102"/>
        <v>0.28691074419717638</v>
      </c>
      <c r="J199" s="624">
        <f t="shared" si="102"/>
        <v>0</v>
      </c>
      <c r="K199" s="625">
        <f t="shared" si="102"/>
        <v>0</v>
      </c>
      <c r="L199" s="625">
        <f t="shared" si="102"/>
        <v>0</v>
      </c>
      <c r="M199" s="625">
        <f t="shared" si="102"/>
        <v>0</v>
      </c>
      <c r="N199" s="624">
        <f t="shared" si="105"/>
        <v>6.3593004769475362E-3</v>
      </c>
      <c r="O199" s="624">
        <f t="shared" si="103"/>
        <v>0</v>
      </c>
      <c r="P199" s="626">
        <f t="shared" si="103"/>
        <v>0</v>
      </c>
      <c r="Q199" s="624">
        <f t="shared" si="103"/>
        <v>0</v>
      </c>
      <c r="R199" s="357"/>
      <c r="S199" s="858">
        <v>1087</v>
      </c>
      <c r="T199" s="858">
        <v>0</v>
      </c>
      <c r="U199" s="858">
        <v>0</v>
      </c>
      <c r="V199" s="858">
        <v>41</v>
      </c>
      <c r="W199" s="858">
        <v>71</v>
      </c>
      <c r="X199" s="858">
        <v>0</v>
      </c>
      <c r="Y199" s="859">
        <v>1199</v>
      </c>
      <c r="Z199" s="859"/>
      <c r="AA199" s="858"/>
      <c r="AB199" s="858"/>
      <c r="AC199" s="858"/>
      <c r="AD199" s="858"/>
      <c r="AE199" s="859">
        <v>4</v>
      </c>
      <c r="AF199" s="859"/>
      <c r="AG199" s="858"/>
      <c r="AH199" s="859"/>
    </row>
    <row r="200" spans="1:34">
      <c r="A200" s="885"/>
      <c r="B200" s="436" t="s">
        <v>59</v>
      </c>
      <c r="C200" s="807">
        <f t="shared" si="104"/>
        <v>1</v>
      </c>
      <c r="D200" s="808">
        <f t="shared" si="102"/>
        <v>0</v>
      </c>
      <c r="E200" s="808">
        <f t="shared" si="102"/>
        <v>0</v>
      </c>
      <c r="F200" s="808">
        <f t="shared" si="102"/>
        <v>1</v>
      </c>
      <c r="G200" s="808">
        <f t="shared" si="102"/>
        <v>1</v>
      </c>
      <c r="H200" s="809">
        <f t="shared" si="102"/>
        <v>0</v>
      </c>
      <c r="I200" s="577">
        <f t="shared" si="102"/>
        <v>1</v>
      </c>
      <c r="J200" s="577">
        <f t="shared" si="102"/>
        <v>0</v>
      </c>
      <c r="K200" s="578">
        <f t="shared" si="102"/>
        <v>0</v>
      </c>
      <c r="L200" s="578">
        <f t="shared" si="102"/>
        <v>0</v>
      </c>
      <c r="M200" s="578">
        <f t="shared" si="102"/>
        <v>0</v>
      </c>
      <c r="N200" s="577">
        <f t="shared" si="105"/>
        <v>1</v>
      </c>
      <c r="O200" s="577">
        <f t="shared" si="103"/>
        <v>0</v>
      </c>
      <c r="P200" s="579">
        <f t="shared" si="103"/>
        <v>0</v>
      </c>
      <c r="Q200" s="577">
        <f t="shared" si="103"/>
        <v>0</v>
      </c>
      <c r="R200" s="357"/>
      <c r="S200" s="858">
        <v>2839</v>
      </c>
      <c r="T200" s="858"/>
      <c r="U200" s="858"/>
      <c r="V200" s="858">
        <v>764</v>
      </c>
      <c r="W200" s="858">
        <v>576</v>
      </c>
      <c r="X200" s="858"/>
      <c r="Y200" s="859">
        <v>4179</v>
      </c>
      <c r="Z200" s="859"/>
      <c r="AA200" s="858"/>
      <c r="AB200" s="858"/>
      <c r="AC200" s="858"/>
      <c r="AD200" s="858"/>
      <c r="AE200" s="859">
        <v>629</v>
      </c>
      <c r="AF200" s="859"/>
      <c r="AG200" s="858"/>
      <c r="AH200" s="859"/>
    </row>
    <row r="201" spans="1:34">
      <c r="A201" s="882" t="s">
        <v>167</v>
      </c>
      <c r="B201" s="240" t="s">
        <v>53</v>
      </c>
      <c r="C201" s="806">
        <f>IF(S$206&gt;0,(S201/S$206),0)</f>
        <v>0.34108040201005024</v>
      </c>
      <c r="D201" s="806">
        <f t="shared" ref="D201:M206" si="106">IF(T$206&gt;0,(T201/T$206),0)</f>
        <v>0</v>
      </c>
      <c r="E201" s="806">
        <f t="shared" si="106"/>
        <v>0.32066344160331722</v>
      </c>
      <c r="F201" s="806">
        <f t="shared" si="106"/>
        <v>0.15320334261838439</v>
      </c>
      <c r="G201" s="806">
        <f t="shared" si="106"/>
        <v>0</v>
      </c>
      <c r="H201" s="806">
        <f t="shared" si="106"/>
        <v>0</v>
      </c>
      <c r="I201" s="613">
        <f t="shared" si="106"/>
        <v>0.31128782001551591</v>
      </c>
      <c r="J201" s="613">
        <f t="shared" si="106"/>
        <v>0</v>
      </c>
      <c r="K201" s="614">
        <f t="shared" si="106"/>
        <v>0</v>
      </c>
      <c r="L201" s="614">
        <f t="shared" si="106"/>
        <v>0</v>
      </c>
      <c r="M201" s="614">
        <f t="shared" si="106"/>
        <v>0</v>
      </c>
      <c r="N201" s="613">
        <f>IF(AE$206&gt;0,(AE201/AE$206),0)</f>
        <v>4.2391304347826085E-2</v>
      </c>
      <c r="O201" s="613">
        <f t="shared" ref="O201:Q206" si="107">IF(AF$206&gt;0,(AF201/AF$206),0)</f>
        <v>0</v>
      </c>
      <c r="P201" s="615">
        <f t="shared" si="107"/>
        <v>0</v>
      </c>
      <c r="Q201" s="613">
        <f t="shared" si="107"/>
        <v>1.321003963011889E-3</v>
      </c>
      <c r="R201" s="799"/>
      <c r="S201" s="856">
        <v>1086</v>
      </c>
      <c r="T201" s="856"/>
      <c r="U201" s="856">
        <v>464</v>
      </c>
      <c r="V201" s="856">
        <v>55</v>
      </c>
      <c r="W201" s="856"/>
      <c r="X201" s="856"/>
      <c r="Y201" s="857">
        <v>1605</v>
      </c>
      <c r="Z201" s="857"/>
      <c r="AA201" s="856"/>
      <c r="AB201" s="856"/>
      <c r="AC201" s="856"/>
      <c r="AD201" s="856"/>
      <c r="AE201" s="857">
        <v>117</v>
      </c>
      <c r="AF201" s="857"/>
      <c r="AG201" s="856"/>
      <c r="AH201" s="857">
        <v>1</v>
      </c>
    </row>
    <row r="202" spans="1:34">
      <c r="A202" s="883"/>
      <c r="B202" s="239" t="s">
        <v>93</v>
      </c>
      <c r="C202" s="806">
        <f t="shared" ref="C202:C206" si="108">IF(S$206&gt;0,(S202/S$206),0)</f>
        <v>0.23837939698492464</v>
      </c>
      <c r="D202" s="806">
        <f t="shared" si="106"/>
        <v>0</v>
      </c>
      <c r="E202" s="806">
        <f t="shared" si="106"/>
        <v>0.25846579129232894</v>
      </c>
      <c r="F202" s="806">
        <f t="shared" si="106"/>
        <v>0.2116991643454039</v>
      </c>
      <c r="G202" s="806">
        <f t="shared" si="106"/>
        <v>0</v>
      </c>
      <c r="H202" s="806">
        <f t="shared" si="106"/>
        <v>0</v>
      </c>
      <c r="I202" s="624">
        <f t="shared" si="106"/>
        <v>0.23448409619860358</v>
      </c>
      <c r="J202" s="624">
        <f t="shared" si="106"/>
        <v>0</v>
      </c>
      <c r="K202" s="625">
        <f t="shared" si="106"/>
        <v>0</v>
      </c>
      <c r="L202" s="625">
        <f t="shared" si="106"/>
        <v>0</v>
      </c>
      <c r="M202" s="625">
        <f t="shared" si="106"/>
        <v>0</v>
      </c>
      <c r="N202" s="624">
        <f t="shared" ref="N202:N206" si="109">IF(AE$206&gt;0,(AE202/AE$206),0)</f>
        <v>9.057971014492754E-3</v>
      </c>
      <c r="O202" s="624">
        <f t="shared" si="107"/>
        <v>0</v>
      </c>
      <c r="P202" s="626">
        <f t="shared" si="107"/>
        <v>0</v>
      </c>
      <c r="Q202" s="624">
        <f t="shared" si="107"/>
        <v>0</v>
      </c>
      <c r="R202" s="357"/>
      <c r="S202" s="858">
        <v>759</v>
      </c>
      <c r="T202" s="858"/>
      <c r="U202" s="858">
        <v>374</v>
      </c>
      <c r="V202" s="858">
        <v>76</v>
      </c>
      <c r="W202" s="858"/>
      <c r="X202" s="858"/>
      <c r="Y202" s="859">
        <v>1209</v>
      </c>
      <c r="Z202" s="859"/>
      <c r="AA202" s="858"/>
      <c r="AB202" s="858"/>
      <c r="AC202" s="858"/>
      <c r="AD202" s="858"/>
      <c r="AE202" s="859">
        <v>25</v>
      </c>
      <c r="AF202" s="859"/>
      <c r="AG202" s="858"/>
      <c r="AH202" s="859"/>
    </row>
    <row r="203" spans="1:34">
      <c r="A203" s="883"/>
      <c r="B203" s="239" t="s">
        <v>55</v>
      </c>
      <c r="C203" s="806">
        <f t="shared" si="108"/>
        <v>0.17650753768844221</v>
      </c>
      <c r="D203" s="806">
        <f t="shared" si="106"/>
        <v>0</v>
      </c>
      <c r="E203" s="806">
        <f t="shared" si="106"/>
        <v>0.18659295093296477</v>
      </c>
      <c r="F203" s="806">
        <f t="shared" si="106"/>
        <v>0.25905292479108633</v>
      </c>
      <c r="G203" s="806">
        <f t="shared" si="106"/>
        <v>0</v>
      </c>
      <c r="H203" s="806">
        <f t="shared" si="106"/>
        <v>0</v>
      </c>
      <c r="I203" s="624">
        <f t="shared" si="106"/>
        <v>0.17940263770364623</v>
      </c>
      <c r="J203" s="624">
        <f t="shared" si="106"/>
        <v>0</v>
      </c>
      <c r="K203" s="625">
        <f t="shared" si="106"/>
        <v>0</v>
      </c>
      <c r="L203" s="625">
        <f t="shared" si="106"/>
        <v>0</v>
      </c>
      <c r="M203" s="625">
        <f t="shared" si="106"/>
        <v>0</v>
      </c>
      <c r="N203" s="624">
        <f t="shared" si="109"/>
        <v>3.2608695652173911E-3</v>
      </c>
      <c r="O203" s="624">
        <f t="shared" si="107"/>
        <v>0</v>
      </c>
      <c r="P203" s="626">
        <f t="shared" si="107"/>
        <v>0</v>
      </c>
      <c r="Q203" s="624">
        <f t="shared" si="107"/>
        <v>7.5297225891677672E-2</v>
      </c>
      <c r="R203" s="357"/>
      <c r="S203" s="858">
        <v>562</v>
      </c>
      <c r="T203" s="858"/>
      <c r="U203" s="858">
        <v>270</v>
      </c>
      <c r="V203" s="858">
        <v>93</v>
      </c>
      <c r="W203" s="858"/>
      <c r="X203" s="858"/>
      <c r="Y203" s="859">
        <v>925</v>
      </c>
      <c r="Z203" s="859"/>
      <c r="AA203" s="858"/>
      <c r="AB203" s="858"/>
      <c r="AC203" s="858"/>
      <c r="AD203" s="858"/>
      <c r="AE203" s="859">
        <v>9</v>
      </c>
      <c r="AF203" s="859"/>
      <c r="AG203" s="858"/>
      <c r="AH203" s="859">
        <v>57</v>
      </c>
    </row>
    <row r="204" spans="1:34">
      <c r="A204" s="883"/>
      <c r="B204" s="239" t="s">
        <v>78</v>
      </c>
      <c r="C204" s="806">
        <f t="shared" si="108"/>
        <v>6.5954773869346728E-2</v>
      </c>
      <c r="D204" s="806">
        <f t="shared" si="106"/>
        <v>0</v>
      </c>
      <c r="E204" s="806">
        <f t="shared" si="106"/>
        <v>6.5653075328265378E-2</v>
      </c>
      <c r="F204" s="806">
        <f t="shared" si="106"/>
        <v>0</v>
      </c>
      <c r="G204" s="806">
        <f t="shared" si="106"/>
        <v>0</v>
      </c>
      <c r="H204" s="806">
        <f t="shared" si="106"/>
        <v>0</v>
      </c>
      <c r="I204" s="624">
        <f t="shared" si="106"/>
        <v>5.9154383242823898E-2</v>
      </c>
      <c r="J204" s="624">
        <f t="shared" si="106"/>
        <v>0</v>
      </c>
      <c r="K204" s="625">
        <f t="shared" si="106"/>
        <v>0</v>
      </c>
      <c r="L204" s="625">
        <f t="shared" si="106"/>
        <v>0</v>
      </c>
      <c r="M204" s="625">
        <f t="shared" si="106"/>
        <v>0</v>
      </c>
      <c r="N204" s="624">
        <f t="shared" si="109"/>
        <v>0.12572463768115941</v>
      </c>
      <c r="O204" s="624">
        <f t="shared" si="107"/>
        <v>0</v>
      </c>
      <c r="P204" s="626">
        <f t="shared" si="107"/>
        <v>0</v>
      </c>
      <c r="Q204" s="624">
        <f t="shared" si="107"/>
        <v>0.50594451783355354</v>
      </c>
      <c r="R204" s="357"/>
      <c r="S204" s="858">
        <v>210</v>
      </c>
      <c r="T204" s="858"/>
      <c r="U204" s="858">
        <v>95</v>
      </c>
      <c r="V204" s="858"/>
      <c r="W204" s="858"/>
      <c r="X204" s="858"/>
      <c r="Y204" s="859">
        <v>305</v>
      </c>
      <c r="Z204" s="859"/>
      <c r="AA204" s="858"/>
      <c r="AB204" s="858"/>
      <c r="AC204" s="858"/>
      <c r="AD204" s="858"/>
      <c r="AE204" s="859">
        <v>347</v>
      </c>
      <c r="AF204" s="859"/>
      <c r="AG204" s="858"/>
      <c r="AH204" s="859">
        <v>383</v>
      </c>
    </row>
    <row r="205" spans="1:34">
      <c r="A205" s="884"/>
      <c r="B205" s="580" t="s">
        <v>131</v>
      </c>
      <c r="C205" s="806">
        <f t="shared" si="108"/>
        <v>0.17807788944723618</v>
      </c>
      <c r="D205" s="806">
        <f t="shared" si="106"/>
        <v>0</v>
      </c>
      <c r="E205" s="806">
        <f t="shared" si="106"/>
        <v>0.1686247408431237</v>
      </c>
      <c r="F205" s="806">
        <f t="shared" si="106"/>
        <v>0.37604456824512533</v>
      </c>
      <c r="G205" s="806">
        <f t="shared" si="106"/>
        <v>1</v>
      </c>
      <c r="H205" s="806">
        <f t="shared" si="106"/>
        <v>0</v>
      </c>
      <c r="I205" s="624">
        <f t="shared" si="106"/>
        <v>0.2156710628394104</v>
      </c>
      <c r="J205" s="624">
        <f t="shared" si="106"/>
        <v>0</v>
      </c>
      <c r="K205" s="625">
        <f t="shared" si="106"/>
        <v>0</v>
      </c>
      <c r="L205" s="625">
        <f t="shared" si="106"/>
        <v>0</v>
      </c>
      <c r="M205" s="625">
        <f t="shared" si="106"/>
        <v>0</v>
      </c>
      <c r="N205" s="624">
        <f t="shared" si="109"/>
        <v>0.81956521739130439</v>
      </c>
      <c r="O205" s="624">
        <f t="shared" si="107"/>
        <v>0</v>
      </c>
      <c r="P205" s="626">
        <f t="shared" si="107"/>
        <v>0</v>
      </c>
      <c r="Q205" s="624">
        <f t="shared" si="107"/>
        <v>0.41743725231175693</v>
      </c>
      <c r="R205" s="357"/>
      <c r="S205" s="858">
        <v>567</v>
      </c>
      <c r="T205" s="858">
        <v>0</v>
      </c>
      <c r="U205" s="858">
        <v>244</v>
      </c>
      <c r="V205" s="858">
        <v>135</v>
      </c>
      <c r="W205" s="858">
        <v>166</v>
      </c>
      <c r="X205" s="858">
        <v>0</v>
      </c>
      <c r="Y205" s="859">
        <v>1112</v>
      </c>
      <c r="Z205" s="859"/>
      <c r="AA205" s="858"/>
      <c r="AB205" s="858"/>
      <c r="AC205" s="858"/>
      <c r="AD205" s="858"/>
      <c r="AE205" s="859">
        <v>2262</v>
      </c>
      <c r="AF205" s="859"/>
      <c r="AG205" s="858"/>
      <c r="AH205" s="859">
        <v>316</v>
      </c>
    </row>
    <row r="206" spans="1:34">
      <c r="A206" s="885"/>
      <c r="B206" s="436" t="s">
        <v>59</v>
      </c>
      <c r="C206" s="807">
        <f t="shared" si="108"/>
        <v>1</v>
      </c>
      <c r="D206" s="808">
        <f t="shared" si="106"/>
        <v>0</v>
      </c>
      <c r="E206" s="808">
        <f t="shared" si="106"/>
        <v>1</v>
      </c>
      <c r="F206" s="808">
        <f t="shared" si="106"/>
        <v>1</v>
      </c>
      <c r="G206" s="808">
        <f t="shared" si="106"/>
        <v>1</v>
      </c>
      <c r="H206" s="809">
        <f t="shared" si="106"/>
        <v>0</v>
      </c>
      <c r="I206" s="577">
        <f t="shared" si="106"/>
        <v>1</v>
      </c>
      <c r="J206" s="577">
        <f t="shared" si="106"/>
        <v>0</v>
      </c>
      <c r="K206" s="578">
        <f t="shared" si="106"/>
        <v>0</v>
      </c>
      <c r="L206" s="578">
        <f t="shared" si="106"/>
        <v>0</v>
      </c>
      <c r="M206" s="578">
        <f t="shared" si="106"/>
        <v>0</v>
      </c>
      <c r="N206" s="577">
        <f t="shared" si="109"/>
        <v>1</v>
      </c>
      <c r="O206" s="577">
        <f t="shared" si="107"/>
        <v>0</v>
      </c>
      <c r="P206" s="579">
        <f t="shared" si="107"/>
        <v>0</v>
      </c>
      <c r="Q206" s="577">
        <f t="shared" si="107"/>
        <v>1</v>
      </c>
      <c r="R206" s="357"/>
      <c r="S206" s="858">
        <v>3184</v>
      </c>
      <c r="T206" s="858"/>
      <c r="U206" s="858">
        <v>1447</v>
      </c>
      <c r="V206" s="858">
        <v>359</v>
      </c>
      <c r="W206" s="858">
        <v>166</v>
      </c>
      <c r="X206" s="858"/>
      <c r="Y206" s="859">
        <v>5156</v>
      </c>
      <c r="Z206" s="859"/>
      <c r="AA206" s="858"/>
      <c r="AB206" s="858"/>
      <c r="AC206" s="858"/>
      <c r="AD206" s="858"/>
      <c r="AE206" s="859">
        <v>2760</v>
      </c>
      <c r="AF206" s="859"/>
      <c r="AG206" s="858"/>
      <c r="AH206" s="859">
        <v>757</v>
      </c>
    </row>
    <row r="207" spans="1:34">
      <c r="A207" s="882" t="s">
        <v>169</v>
      </c>
      <c r="B207" s="240" t="s">
        <v>53</v>
      </c>
      <c r="C207" s="806">
        <f>IF(S$212&gt;0,(S207/S$212),0)</f>
        <v>0</v>
      </c>
      <c r="D207" s="806">
        <f t="shared" ref="D207:M212" si="110">IF(T$212&gt;0,(T207/T$212),0)</f>
        <v>0.28137384412153238</v>
      </c>
      <c r="E207" s="806">
        <f t="shared" si="110"/>
        <v>0</v>
      </c>
      <c r="F207" s="806">
        <f t="shared" si="110"/>
        <v>0</v>
      </c>
      <c r="G207" s="806">
        <f t="shared" si="110"/>
        <v>0</v>
      </c>
      <c r="H207" s="806">
        <f t="shared" si="110"/>
        <v>0</v>
      </c>
      <c r="I207" s="613">
        <f t="shared" si="110"/>
        <v>0.28137384412153238</v>
      </c>
      <c r="J207" s="613">
        <f t="shared" si="110"/>
        <v>0</v>
      </c>
      <c r="K207" s="614">
        <f t="shared" si="110"/>
        <v>0</v>
      </c>
      <c r="L207" s="614">
        <f t="shared" si="110"/>
        <v>0</v>
      </c>
      <c r="M207" s="614">
        <f t="shared" si="110"/>
        <v>0</v>
      </c>
      <c r="N207" s="613">
        <f>IF(AE$212&gt;0,(AE207/AE$212),0)</f>
        <v>5.0393700787401574E-2</v>
      </c>
      <c r="O207" s="613">
        <f t="shared" ref="O207:Q212" si="111">IF(AF$212&gt;0,(AF207/AF$212),0)</f>
        <v>0</v>
      </c>
      <c r="P207" s="615">
        <f t="shared" si="111"/>
        <v>0</v>
      </c>
      <c r="Q207" s="613">
        <f t="shared" si="111"/>
        <v>0</v>
      </c>
      <c r="R207" s="799"/>
      <c r="S207" s="856"/>
      <c r="T207" s="856">
        <v>213</v>
      </c>
      <c r="U207" s="856"/>
      <c r="V207" s="856"/>
      <c r="W207" s="856"/>
      <c r="X207" s="856"/>
      <c r="Y207" s="857">
        <v>213</v>
      </c>
      <c r="Z207" s="857"/>
      <c r="AA207" s="856"/>
      <c r="AB207" s="856"/>
      <c r="AC207" s="856"/>
      <c r="AD207" s="856"/>
      <c r="AE207" s="857">
        <v>32</v>
      </c>
      <c r="AF207" s="857"/>
      <c r="AG207" s="856"/>
      <c r="AH207" s="857"/>
    </row>
    <row r="208" spans="1:34">
      <c r="A208" s="883"/>
      <c r="B208" s="239" t="s">
        <v>93</v>
      </c>
      <c r="C208" s="806">
        <f t="shared" ref="C208:C212" si="112">IF(S$212&gt;0,(S208/S$212),0)</f>
        <v>0</v>
      </c>
      <c r="D208" s="806">
        <f t="shared" si="110"/>
        <v>0.2866578599735799</v>
      </c>
      <c r="E208" s="806">
        <f t="shared" si="110"/>
        <v>0</v>
      </c>
      <c r="F208" s="806">
        <f t="shared" si="110"/>
        <v>0</v>
      </c>
      <c r="G208" s="806">
        <f t="shared" si="110"/>
        <v>0</v>
      </c>
      <c r="H208" s="806">
        <f t="shared" si="110"/>
        <v>0</v>
      </c>
      <c r="I208" s="624">
        <f t="shared" si="110"/>
        <v>0.2866578599735799</v>
      </c>
      <c r="J208" s="624">
        <f t="shared" si="110"/>
        <v>0</v>
      </c>
      <c r="K208" s="625">
        <f t="shared" si="110"/>
        <v>0</v>
      </c>
      <c r="L208" s="625">
        <f t="shared" si="110"/>
        <v>0</v>
      </c>
      <c r="M208" s="625">
        <f t="shared" si="110"/>
        <v>0</v>
      </c>
      <c r="N208" s="624">
        <f t="shared" ref="N208:N212" si="113">IF(AE$212&gt;0,(AE208/AE$212),0)</f>
        <v>7.874015748031496E-2</v>
      </c>
      <c r="O208" s="624">
        <f t="shared" si="111"/>
        <v>0</v>
      </c>
      <c r="P208" s="626">
        <f t="shared" si="111"/>
        <v>0</v>
      </c>
      <c r="Q208" s="624">
        <f t="shared" si="111"/>
        <v>0</v>
      </c>
      <c r="R208" s="357"/>
      <c r="S208" s="858"/>
      <c r="T208" s="858">
        <v>217</v>
      </c>
      <c r="U208" s="858"/>
      <c r="V208" s="858"/>
      <c r="W208" s="858"/>
      <c r="X208" s="858"/>
      <c r="Y208" s="859">
        <v>217</v>
      </c>
      <c r="Z208" s="859"/>
      <c r="AA208" s="858"/>
      <c r="AB208" s="858"/>
      <c r="AC208" s="858"/>
      <c r="AD208" s="858"/>
      <c r="AE208" s="859">
        <v>50</v>
      </c>
      <c r="AF208" s="859"/>
      <c r="AG208" s="858"/>
      <c r="AH208" s="859"/>
    </row>
    <row r="209" spans="1:34">
      <c r="A209" s="883"/>
      <c r="B209" s="239" t="s">
        <v>55</v>
      </c>
      <c r="C209" s="806">
        <f t="shared" si="112"/>
        <v>0</v>
      </c>
      <c r="D209" s="806">
        <f t="shared" si="110"/>
        <v>0.22192866578599735</v>
      </c>
      <c r="E209" s="806">
        <f t="shared" si="110"/>
        <v>0</v>
      </c>
      <c r="F209" s="806">
        <f t="shared" si="110"/>
        <v>0</v>
      </c>
      <c r="G209" s="806">
        <f t="shared" si="110"/>
        <v>0</v>
      </c>
      <c r="H209" s="806">
        <f t="shared" si="110"/>
        <v>0</v>
      </c>
      <c r="I209" s="624">
        <f t="shared" si="110"/>
        <v>0.22192866578599735</v>
      </c>
      <c r="J209" s="624">
        <f t="shared" si="110"/>
        <v>0</v>
      </c>
      <c r="K209" s="625">
        <f t="shared" si="110"/>
        <v>0</v>
      </c>
      <c r="L209" s="625">
        <f t="shared" si="110"/>
        <v>0</v>
      </c>
      <c r="M209" s="625">
        <f t="shared" si="110"/>
        <v>0</v>
      </c>
      <c r="N209" s="624">
        <f t="shared" si="113"/>
        <v>0.11653543307086614</v>
      </c>
      <c r="O209" s="624">
        <f t="shared" si="111"/>
        <v>0</v>
      </c>
      <c r="P209" s="626">
        <f t="shared" si="111"/>
        <v>0</v>
      </c>
      <c r="Q209" s="624">
        <f t="shared" si="111"/>
        <v>0</v>
      </c>
      <c r="R209" s="357"/>
      <c r="S209" s="858"/>
      <c r="T209" s="858">
        <v>168</v>
      </c>
      <c r="U209" s="858"/>
      <c r="V209" s="858"/>
      <c r="W209" s="858"/>
      <c r="X209" s="858"/>
      <c r="Y209" s="859">
        <v>168</v>
      </c>
      <c r="Z209" s="859"/>
      <c r="AA209" s="858"/>
      <c r="AB209" s="858"/>
      <c r="AC209" s="858"/>
      <c r="AD209" s="858"/>
      <c r="AE209" s="859">
        <v>74</v>
      </c>
      <c r="AF209" s="859"/>
      <c r="AG209" s="858"/>
      <c r="AH209" s="859"/>
    </row>
    <row r="210" spans="1:34">
      <c r="A210" s="883"/>
      <c r="B210" s="239" t="s">
        <v>78</v>
      </c>
      <c r="C210" s="806">
        <f t="shared" si="112"/>
        <v>0</v>
      </c>
      <c r="D210" s="806">
        <f t="shared" si="110"/>
        <v>5.2840158520475562E-3</v>
      </c>
      <c r="E210" s="806">
        <f t="shared" si="110"/>
        <v>0</v>
      </c>
      <c r="F210" s="806">
        <f t="shared" si="110"/>
        <v>0</v>
      </c>
      <c r="G210" s="806">
        <f t="shared" si="110"/>
        <v>0</v>
      </c>
      <c r="H210" s="806">
        <f t="shared" si="110"/>
        <v>0</v>
      </c>
      <c r="I210" s="624">
        <f t="shared" si="110"/>
        <v>5.2840158520475562E-3</v>
      </c>
      <c r="J210" s="624">
        <f t="shared" si="110"/>
        <v>0</v>
      </c>
      <c r="K210" s="625">
        <f t="shared" si="110"/>
        <v>0</v>
      </c>
      <c r="L210" s="625">
        <f t="shared" si="110"/>
        <v>0</v>
      </c>
      <c r="M210" s="625">
        <f t="shared" si="110"/>
        <v>0</v>
      </c>
      <c r="N210" s="624">
        <f t="shared" si="113"/>
        <v>0.31181102362204727</v>
      </c>
      <c r="O210" s="624">
        <f t="shared" si="111"/>
        <v>0</v>
      </c>
      <c r="P210" s="626">
        <f t="shared" si="111"/>
        <v>0</v>
      </c>
      <c r="Q210" s="624">
        <f t="shared" si="111"/>
        <v>0</v>
      </c>
      <c r="R210" s="357"/>
      <c r="S210" s="858"/>
      <c r="T210" s="858">
        <v>4</v>
      </c>
      <c r="U210" s="858"/>
      <c r="V210" s="858"/>
      <c r="W210" s="858"/>
      <c r="X210" s="858"/>
      <c r="Y210" s="859">
        <v>4</v>
      </c>
      <c r="Z210" s="859"/>
      <c r="AA210" s="858"/>
      <c r="AB210" s="858"/>
      <c r="AC210" s="858"/>
      <c r="AD210" s="858"/>
      <c r="AE210" s="859">
        <v>198</v>
      </c>
      <c r="AF210" s="859"/>
      <c r="AG210" s="858"/>
      <c r="AH210" s="859"/>
    </row>
    <row r="211" spans="1:34">
      <c r="A211" s="884"/>
      <c r="B211" s="580" t="s">
        <v>131</v>
      </c>
      <c r="C211" s="806">
        <f t="shared" si="112"/>
        <v>0</v>
      </c>
      <c r="D211" s="806">
        <f t="shared" si="110"/>
        <v>0.2047556142668428</v>
      </c>
      <c r="E211" s="806">
        <f t="shared" si="110"/>
        <v>0</v>
      </c>
      <c r="F211" s="806">
        <f t="shared" si="110"/>
        <v>0</v>
      </c>
      <c r="G211" s="806">
        <f t="shared" si="110"/>
        <v>0</v>
      </c>
      <c r="H211" s="806">
        <f t="shared" si="110"/>
        <v>0</v>
      </c>
      <c r="I211" s="624">
        <f t="shared" si="110"/>
        <v>0.2047556142668428</v>
      </c>
      <c r="J211" s="624">
        <f t="shared" si="110"/>
        <v>0</v>
      </c>
      <c r="K211" s="625">
        <f t="shared" si="110"/>
        <v>0</v>
      </c>
      <c r="L211" s="625">
        <f t="shared" si="110"/>
        <v>0</v>
      </c>
      <c r="M211" s="625">
        <f t="shared" si="110"/>
        <v>0</v>
      </c>
      <c r="N211" s="624">
        <f t="shared" si="113"/>
        <v>0.44251968503937006</v>
      </c>
      <c r="O211" s="624">
        <f t="shared" si="111"/>
        <v>0</v>
      </c>
      <c r="P211" s="626">
        <f t="shared" si="111"/>
        <v>0</v>
      </c>
      <c r="Q211" s="624">
        <f t="shared" si="111"/>
        <v>0</v>
      </c>
      <c r="R211" s="357"/>
      <c r="S211" s="858"/>
      <c r="T211" s="858">
        <v>155</v>
      </c>
      <c r="U211" s="858"/>
      <c r="V211" s="858"/>
      <c r="W211" s="858"/>
      <c r="X211" s="858"/>
      <c r="Y211" s="859">
        <v>155</v>
      </c>
      <c r="Z211" s="859"/>
      <c r="AA211" s="858"/>
      <c r="AB211" s="858"/>
      <c r="AC211" s="858"/>
      <c r="AD211" s="858"/>
      <c r="AE211" s="859">
        <v>281</v>
      </c>
      <c r="AF211" s="859"/>
      <c r="AG211" s="858"/>
      <c r="AH211" s="859"/>
    </row>
    <row r="212" spans="1:34">
      <c r="A212" s="885"/>
      <c r="B212" s="436" t="s">
        <v>59</v>
      </c>
      <c r="C212" s="807">
        <f t="shared" si="112"/>
        <v>0</v>
      </c>
      <c r="D212" s="808">
        <f t="shared" si="110"/>
        <v>1</v>
      </c>
      <c r="E212" s="808">
        <f t="shared" si="110"/>
        <v>0</v>
      </c>
      <c r="F212" s="808">
        <f t="shared" si="110"/>
        <v>0</v>
      </c>
      <c r="G212" s="808">
        <f t="shared" si="110"/>
        <v>0</v>
      </c>
      <c r="H212" s="809">
        <f t="shared" si="110"/>
        <v>0</v>
      </c>
      <c r="I212" s="577">
        <f t="shared" si="110"/>
        <v>1</v>
      </c>
      <c r="J212" s="577">
        <f t="shared" si="110"/>
        <v>0</v>
      </c>
      <c r="K212" s="578">
        <f t="shared" si="110"/>
        <v>0</v>
      </c>
      <c r="L212" s="578">
        <f t="shared" si="110"/>
        <v>0</v>
      </c>
      <c r="M212" s="578">
        <f t="shared" si="110"/>
        <v>0</v>
      </c>
      <c r="N212" s="577">
        <f t="shared" si="113"/>
        <v>1</v>
      </c>
      <c r="O212" s="577">
        <f t="shared" si="111"/>
        <v>0</v>
      </c>
      <c r="P212" s="579">
        <f t="shared" si="111"/>
        <v>0</v>
      </c>
      <c r="Q212" s="577">
        <f t="shared" si="111"/>
        <v>0</v>
      </c>
      <c r="R212" s="357"/>
      <c r="S212" s="858"/>
      <c r="T212" s="858">
        <v>757</v>
      </c>
      <c r="U212" s="858"/>
      <c r="V212" s="858"/>
      <c r="W212" s="858"/>
      <c r="X212" s="858"/>
      <c r="Y212" s="859">
        <v>757</v>
      </c>
      <c r="Z212" s="859"/>
      <c r="AA212" s="858"/>
      <c r="AB212" s="858"/>
      <c r="AC212" s="858"/>
      <c r="AD212" s="858"/>
      <c r="AE212" s="859">
        <v>635</v>
      </c>
      <c r="AF212" s="859"/>
      <c r="AG212" s="858"/>
      <c r="AH212" s="859"/>
    </row>
    <row r="213" spans="1:34">
      <c r="A213" s="882" t="s">
        <v>172</v>
      </c>
      <c r="B213" s="240" t="s">
        <v>53</v>
      </c>
      <c r="C213" s="806">
        <f>IF(S$218&gt;0,(S213/S$218),0)</f>
        <v>0.34225211045929316</v>
      </c>
      <c r="D213" s="806">
        <f t="shared" ref="D213:M218" si="114">IF(T$218&gt;0,(T213/T$218),0)</f>
        <v>0.26004838835557637</v>
      </c>
      <c r="E213" s="806">
        <f t="shared" si="114"/>
        <v>0.27736541917337293</v>
      </c>
      <c r="F213" s="806">
        <f t="shared" si="114"/>
        <v>0.2587001430160496</v>
      </c>
      <c r="G213" s="806">
        <f t="shared" si="114"/>
        <v>0.30769230769230771</v>
      </c>
      <c r="H213" s="806">
        <f t="shared" si="114"/>
        <v>0.14947965941343425</v>
      </c>
      <c r="I213" s="613">
        <f t="shared" si="114"/>
        <v>0.30388712763830578</v>
      </c>
      <c r="J213" s="613">
        <f t="shared" si="114"/>
        <v>0</v>
      </c>
      <c r="K213" s="614">
        <f t="shared" si="114"/>
        <v>0</v>
      </c>
      <c r="L213" s="614">
        <f t="shared" si="114"/>
        <v>0</v>
      </c>
      <c r="M213" s="614">
        <f t="shared" si="114"/>
        <v>0</v>
      </c>
      <c r="N213" s="613">
        <f>IF(AE$218&gt;0,(AE213/AE$218),0)</f>
        <v>0.16550649350649352</v>
      </c>
      <c r="O213" s="613">
        <f t="shared" ref="O213:Q218" si="115">IF(AF$218&gt;0,(AF213/AF$218),0)</f>
        <v>0</v>
      </c>
      <c r="P213" s="615">
        <f t="shared" si="115"/>
        <v>0</v>
      </c>
      <c r="Q213" s="613">
        <f t="shared" si="115"/>
        <v>9.2833383731478675E-2</v>
      </c>
      <c r="R213" s="799"/>
      <c r="S213" s="860">
        <f>S219+S225+S231+S237+S243+S249+S255+S261+S267+S273+S279+S285</f>
        <v>11960</v>
      </c>
      <c r="T213" s="860">
        <f t="shared" ref="T213:AH218" si="116">T219+T225+T231+T237+T243+T249+T255+T261+T267+T273+T279+T285</f>
        <v>3332</v>
      </c>
      <c r="U213" s="860">
        <f t="shared" si="116"/>
        <v>3550</v>
      </c>
      <c r="V213" s="860">
        <f t="shared" si="116"/>
        <v>1628</v>
      </c>
      <c r="W213" s="860">
        <f t="shared" si="116"/>
        <v>652</v>
      </c>
      <c r="X213" s="860">
        <f t="shared" si="116"/>
        <v>158</v>
      </c>
      <c r="Y213" s="861">
        <f t="shared" si="116"/>
        <v>21280</v>
      </c>
      <c r="Z213" s="861">
        <f t="shared" si="116"/>
        <v>0</v>
      </c>
      <c r="AA213" s="860">
        <f t="shared" si="116"/>
        <v>0</v>
      </c>
      <c r="AB213" s="860">
        <f t="shared" si="116"/>
        <v>0</v>
      </c>
      <c r="AC213" s="860">
        <f t="shared" si="116"/>
        <v>0</v>
      </c>
      <c r="AD213" s="860">
        <f t="shared" si="116"/>
        <v>0</v>
      </c>
      <c r="AE213" s="861">
        <f t="shared" si="116"/>
        <v>3186</v>
      </c>
      <c r="AF213" s="861">
        <f t="shared" si="116"/>
        <v>0</v>
      </c>
      <c r="AG213" s="860">
        <f t="shared" si="116"/>
        <v>0</v>
      </c>
      <c r="AH213" s="861">
        <f t="shared" si="116"/>
        <v>614</v>
      </c>
    </row>
    <row r="214" spans="1:34">
      <c r="A214" s="883"/>
      <c r="B214" s="239" t="s">
        <v>93</v>
      </c>
      <c r="C214" s="806">
        <f t="shared" ref="C214:C218" si="117">IF(S$218&gt;0,(S214/S$218),0)</f>
        <v>0.27689225926455857</v>
      </c>
      <c r="D214" s="806">
        <f t="shared" si="114"/>
        <v>0.2883009443533911</v>
      </c>
      <c r="E214" s="806">
        <f t="shared" si="114"/>
        <v>0.2791624345652004</v>
      </c>
      <c r="F214" s="806">
        <f t="shared" si="114"/>
        <v>0.22739551883044654</v>
      </c>
      <c r="G214" s="806">
        <f t="shared" si="114"/>
        <v>0.24115148655025956</v>
      </c>
      <c r="H214" s="806">
        <f t="shared" si="114"/>
        <v>0.24976348155156103</v>
      </c>
      <c r="I214" s="624">
        <f t="shared" si="114"/>
        <v>0.27345557364407508</v>
      </c>
      <c r="J214" s="624">
        <f t="shared" si="114"/>
        <v>0</v>
      </c>
      <c r="K214" s="625">
        <f t="shared" si="114"/>
        <v>0</v>
      </c>
      <c r="L214" s="625">
        <f t="shared" si="114"/>
        <v>0</v>
      </c>
      <c r="M214" s="625">
        <f t="shared" si="114"/>
        <v>0</v>
      </c>
      <c r="N214" s="624">
        <f t="shared" ref="N214:N218" si="118">IF(AE$218&gt;0,(AE214/AE$218),0)</f>
        <v>0.13257142857142856</v>
      </c>
      <c r="O214" s="624">
        <f t="shared" si="115"/>
        <v>0</v>
      </c>
      <c r="P214" s="626">
        <f t="shared" si="115"/>
        <v>0</v>
      </c>
      <c r="Q214" s="624">
        <f t="shared" si="115"/>
        <v>5.53371635923798E-2</v>
      </c>
      <c r="R214" s="357"/>
      <c r="S214" s="862">
        <f t="shared" ref="S214:AE218" si="119">S220+S226+S232+S238+S244+S250+S256+S262+S268+S274+S280+S286</f>
        <v>9676</v>
      </c>
      <c r="T214" s="862">
        <f t="shared" si="119"/>
        <v>3694</v>
      </c>
      <c r="U214" s="862">
        <f t="shared" si="119"/>
        <v>3573</v>
      </c>
      <c r="V214" s="862">
        <f t="shared" si="119"/>
        <v>1431</v>
      </c>
      <c r="W214" s="862">
        <f t="shared" si="119"/>
        <v>511</v>
      </c>
      <c r="X214" s="862">
        <f t="shared" si="119"/>
        <v>264</v>
      </c>
      <c r="Y214" s="863">
        <f t="shared" si="119"/>
        <v>19149</v>
      </c>
      <c r="Z214" s="863">
        <f t="shared" si="119"/>
        <v>0</v>
      </c>
      <c r="AA214" s="862">
        <f t="shared" si="119"/>
        <v>0</v>
      </c>
      <c r="AB214" s="862">
        <f t="shared" si="119"/>
        <v>0</v>
      </c>
      <c r="AC214" s="862">
        <f t="shared" si="119"/>
        <v>0</v>
      </c>
      <c r="AD214" s="862">
        <f t="shared" si="119"/>
        <v>0</v>
      </c>
      <c r="AE214" s="863">
        <f t="shared" si="119"/>
        <v>2552</v>
      </c>
      <c r="AF214" s="863">
        <f t="shared" si="116"/>
        <v>0</v>
      </c>
      <c r="AG214" s="862">
        <f t="shared" si="116"/>
        <v>0</v>
      </c>
      <c r="AH214" s="863">
        <f t="shared" si="116"/>
        <v>366</v>
      </c>
    </row>
    <row r="215" spans="1:34">
      <c r="A215" s="883"/>
      <c r="B215" s="239" t="s">
        <v>55</v>
      </c>
      <c r="C215" s="806">
        <f t="shared" si="117"/>
        <v>0.22764343969094292</v>
      </c>
      <c r="D215" s="806">
        <f t="shared" si="114"/>
        <v>0.2565363302895497</v>
      </c>
      <c r="E215" s="806">
        <f t="shared" si="114"/>
        <v>0.23314321431361826</v>
      </c>
      <c r="F215" s="806">
        <f t="shared" si="114"/>
        <v>0.27951692356586683</v>
      </c>
      <c r="G215" s="806">
        <f t="shared" si="114"/>
        <v>0.29023124115148657</v>
      </c>
      <c r="H215" s="806">
        <f t="shared" si="114"/>
        <v>0.35856196783349104</v>
      </c>
      <c r="I215" s="624">
        <f t="shared" si="114"/>
        <v>0.24246708365464256</v>
      </c>
      <c r="J215" s="624">
        <f t="shared" si="114"/>
        <v>0</v>
      </c>
      <c r="K215" s="625">
        <f t="shared" si="114"/>
        <v>0</v>
      </c>
      <c r="L215" s="625">
        <f t="shared" si="114"/>
        <v>0</v>
      </c>
      <c r="M215" s="625">
        <f t="shared" si="114"/>
        <v>0</v>
      </c>
      <c r="N215" s="624">
        <f t="shared" si="118"/>
        <v>0.1455064935064935</v>
      </c>
      <c r="O215" s="624">
        <f t="shared" si="115"/>
        <v>0</v>
      </c>
      <c r="P215" s="626">
        <f t="shared" si="115"/>
        <v>0</v>
      </c>
      <c r="Q215" s="624">
        <f t="shared" si="115"/>
        <v>6.5164801935288785E-2</v>
      </c>
      <c r="R215" s="357"/>
      <c r="S215" s="862">
        <f t="shared" si="119"/>
        <v>7955</v>
      </c>
      <c r="T215" s="862">
        <f t="shared" si="119"/>
        <v>3287</v>
      </c>
      <c r="U215" s="862">
        <f t="shared" si="119"/>
        <v>2984</v>
      </c>
      <c r="V215" s="862">
        <f t="shared" si="119"/>
        <v>1759</v>
      </c>
      <c r="W215" s="862">
        <f t="shared" si="119"/>
        <v>615</v>
      </c>
      <c r="X215" s="862">
        <f t="shared" si="119"/>
        <v>379</v>
      </c>
      <c r="Y215" s="863">
        <f t="shared" si="119"/>
        <v>16979</v>
      </c>
      <c r="Z215" s="863">
        <f t="shared" si="119"/>
        <v>0</v>
      </c>
      <c r="AA215" s="862">
        <f t="shared" si="119"/>
        <v>0</v>
      </c>
      <c r="AB215" s="862">
        <f t="shared" si="119"/>
        <v>0</v>
      </c>
      <c r="AC215" s="862">
        <f t="shared" si="119"/>
        <v>0</v>
      </c>
      <c r="AD215" s="862">
        <f t="shared" si="119"/>
        <v>0</v>
      </c>
      <c r="AE215" s="863">
        <f t="shared" si="119"/>
        <v>2801</v>
      </c>
      <c r="AF215" s="863">
        <f t="shared" si="116"/>
        <v>0</v>
      </c>
      <c r="AG215" s="862">
        <f t="shared" si="116"/>
        <v>0</v>
      </c>
      <c r="AH215" s="863">
        <f t="shared" si="116"/>
        <v>431</v>
      </c>
    </row>
    <row r="216" spans="1:34">
      <c r="A216" s="883"/>
      <c r="B216" s="239" t="s">
        <v>78</v>
      </c>
      <c r="C216" s="806">
        <f t="shared" si="117"/>
        <v>2.9904135069394763E-2</v>
      </c>
      <c r="D216" s="806">
        <f t="shared" si="114"/>
        <v>8.8581908998673228E-2</v>
      </c>
      <c r="E216" s="806">
        <f t="shared" si="114"/>
        <v>0.12696304398781155</v>
      </c>
      <c r="F216" s="806">
        <f t="shared" si="114"/>
        <v>3.9091053551565232E-2</v>
      </c>
      <c r="G216" s="806">
        <f t="shared" si="114"/>
        <v>6.3709296838131188E-2</v>
      </c>
      <c r="H216" s="806">
        <f t="shared" si="114"/>
        <v>8.2308420056764434E-2</v>
      </c>
      <c r="I216" s="624">
        <f t="shared" si="114"/>
        <v>6.1020192499928599E-2</v>
      </c>
      <c r="J216" s="624">
        <f t="shared" si="114"/>
        <v>0</v>
      </c>
      <c r="K216" s="625">
        <f t="shared" si="114"/>
        <v>0</v>
      </c>
      <c r="L216" s="625">
        <f t="shared" si="114"/>
        <v>0</v>
      </c>
      <c r="M216" s="625">
        <f t="shared" si="114"/>
        <v>0</v>
      </c>
      <c r="N216" s="624">
        <f t="shared" si="118"/>
        <v>0.32</v>
      </c>
      <c r="O216" s="624">
        <f t="shared" si="115"/>
        <v>0</v>
      </c>
      <c r="P216" s="626">
        <f t="shared" si="115"/>
        <v>0</v>
      </c>
      <c r="Q216" s="624">
        <f t="shared" si="115"/>
        <v>0.63153915935893556</v>
      </c>
      <c r="R216" s="357"/>
      <c r="S216" s="862">
        <f t="shared" si="119"/>
        <v>1045</v>
      </c>
      <c r="T216" s="862">
        <f t="shared" si="119"/>
        <v>1135</v>
      </c>
      <c r="U216" s="862">
        <f t="shared" si="119"/>
        <v>1625</v>
      </c>
      <c r="V216" s="862">
        <f t="shared" si="119"/>
        <v>246</v>
      </c>
      <c r="W216" s="862">
        <f t="shared" si="119"/>
        <v>135</v>
      </c>
      <c r="X216" s="862">
        <f t="shared" si="119"/>
        <v>87</v>
      </c>
      <c r="Y216" s="863">
        <f t="shared" si="119"/>
        <v>4273</v>
      </c>
      <c r="Z216" s="863">
        <f t="shared" si="119"/>
        <v>0</v>
      </c>
      <c r="AA216" s="862">
        <f t="shared" si="119"/>
        <v>0</v>
      </c>
      <c r="AB216" s="862">
        <f t="shared" si="119"/>
        <v>0</v>
      </c>
      <c r="AC216" s="862">
        <f t="shared" si="119"/>
        <v>0</v>
      </c>
      <c r="AD216" s="862">
        <f t="shared" si="119"/>
        <v>0</v>
      </c>
      <c r="AE216" s="863">
        <f t="shared" si="119"/>
        <v>6160</v>
      </c>
      <c r="AF216" s="863">
        <f t="shared" si="116"/>
        <v>0</v>
      </c>
      <c r="AG216" s="862">
        <f t="shared" si="116"/>
        <v>0</v>
      </c>
      <c r="AH216" s="863">
        <f t="shared" si="116"/>
        <v>4177</v>
      </c>
    </row>
    <row r="217" spans="1:34">
      <c r="A217" s="884"/>
      <c r="B217" s="580" t="s">
        <v>131</v>
      </c>
      <c r="C217" s="806">
        <f t="shared" si="117"/>
        <v>0.12330805551581056</v>
      </c>
      <c r="D217" s="806">
        <f t="shared" si="114"/>
        <v>0.10653242800280964</v>
      </c>
      <c r="E217" s="806">
        <f t="shared" si="114"/>
        <v>8.3365887959996873E-2</v>
      </c>
      <c r="F217" s="806">
        <f t="shared" si="114"/>
        <v>0.19529636103607181</v>
      </c>
      <c r="G217" s="806">
        <f t="shared" si="114"/>
        <v>9.7215667767815012E-2</v>
      </c>
      <c r="H217" s="806">
        <f t="shared" si="114"/>
        <v>0.1598864711447493</v>
      </c>
      <c r="I217" s="624">
        <f t="shared" si="114"/>
        <v>0.11917002256304801</v>
      </c>
      <c r="J217" s="624">
        <f t="shared" si="114"/>
        <v>0</v>
      </c>
      <c r="K217" s="625">
        <f t="shared" si="114"/>
        <v>0</v>
      </c>
      <c r="L217" s="625">
        <f t="shared" si="114"/>
        <v>0</v>
      </c>
      <c r="M217" s="625">
        <f t="shared" si="114"/>
        <v>0</v>
      </c>
      <c r="N217" s="624">
        <f t="shared" si="118"/>
        <v>0.23641558441558441</v>
      </c>
      <c r="O217" s="624">
        <f t="shared" si="115"/>
        <v>0</v>
      </c>
      <c r="P217" s="626">
        <f t="shared" si="115"/>
        <v>0</v>
      </c>
      <c r="Q217" s="624">
        <f t="shared" si="115"/>
        <v>0.15512549138191714</v>
      </c>
      <c r="R217" s="357"/>
      <c r="S217" s="862">
        <f t="shared" si="119"/>
        <v>4309</v>
      </c>
      <c r="T217" s="862">
        <f t="shared" si="119"/>
        <v>1365</v>
      </c>
      <c r="U217" s="862">
        <f t="shared" si="119"/>
        <v>1067</v>
      </c>
      <c r="V217" s="862">
        <f t="shared" si="119"/>
        <v>1229</v>
      </c>
      <c r="W217" s="862">
        <f t="shared" si="119"/>
        <v>206</v>
      </c>
      <c r="X217" s="862">
        <f t="shared" si="119"/>
        <v>169</v>
      </c>
      <c r="Y217" s="863">
        <f t="shared" si="119"/>
        <v>8345</v>
      </c>
      <c r="Z217" s="863">
        <f t="shared" si="119"/>
        <v>0</v>
      </c>
      <c r="AA217" s="862">
        <f t="shared" si="119"/>
        <v>0</v>
      </c>
      <c r="AB217" s="862">
        <f t="shared" si="119"/>
        <v>0</v>
      </c>
      <c r="AC217" s="862">
        <f t="shared" si="119"/>
        <v>0</v>
      </c>
      <c r="AD217" s="862">
        <f t="shared" si="119"/>
        <v>0</v>
      </c>
      <c r="AE217" s="863">
        <f t="shared" si="119"/>
        <v>4551</v>
      </c>
      <c r="AF217" s="863">
        <f t="shared" si="116"/>
        <v>0</v>
      </c>
      <c r="AG217" s="862">
        <f t="shared" si="116"/>
        <v>0</v>
      </c>
      <c r="AH217" s="863">
        <f t="shared" si="116"/>
        <v>1026</v>
      </c>
    </row>
    <row r="218" spans="1:34">
      <c r="A218" s="885" t="s">
        <v>86</v>
      </c>
      <c r="B218" s="436" t="s">
        <v>59</v>
      </c>
      <c r="C218" s="807">
        <f t="shared" si="117"/>
        <v>1</v>
      </c>
      <c r="D218" s="808">
        <f t="shared" si="114"/>
        <v>1</v>
      </c>
      <c r="E218" s="808">
        <f t="shared" si="114"/>
        <v>1</v>
      </c>
      <c r="F218" s="808">
        <f t="shared" si="114"/>
        <v>1</v>
      </c>
      <c r="G218" s="808">
        <f t="shared" si="114"/>
        <v>1</v>
      </c>
      <c r="H218" s="809">
        <f t="shared" si="114"/>
        <v>1</v>
      </c>
      <c r="I218" s="577">
        <f t="shared" si="114"/>
        <v>1</v>
      </c>
      <c r="J218" s="577">
        <f t="shared" si="114"/>
        <v>0</v>
      </c>
      <c r="K218" s="578">
        <f t="shared" si="114"/>
        <v>0</v>
      </c>
      <c r="L218" s="578">
        <f t="shared" si="114"/>
        <v>0</v>
      </c>
      <c r="M218" s="578">
        <f t="shared" si="114"/>
        <v>0</v>
      </c>
      <c r="N218" s="577">
        <f t="shared" si="118"/>
        <v>1</v>
      </c>
      <c r="O218" s="577">
        <f t="shared" si="115"/>
        <v>0</v>
      </c>
      <c r="P218" s="579">
        <f t="shared" si="115"/>
        <v>0</v>
      </c>
      <c r="Q218" s="577">
        <f t="shared" si="115"/>
        <v>1</v>
      </c>
      <c r="R218" s="357"/>
      <c r="S218" s="862">
        <f t="shared" si="119"/>
        <v>34945</v>
      </c>
      <c r="T218" s="862">
        <f t="shared" si="119"/>
        <v>12813</v>
      </c>
      <c r="U218" s="862">
        <f t="shared" si="119"/>
        <v>12799</v>
      </c>
      <c r="V218" s="862">
        <f t="shared" si="119"/>
        <v>6293</v>
      </c>
      <c r="W218" s="862">
        <f t="shared" si="119"/>
        <v>2119</v>
      </c>
      <c r="X218" s="862">
        <f t="shared" si="119"/>
        <v>1057</v>
      </c>
      <c r="Y218" s="863">
        <f t="shared" si="119"/>
        <v>70026</v>
      </c>
      <c r="Z218" s="863">
        <f t="shared" si="119"/>
        <v>0</v>
      </c>
      <c r="AA218" s="862">
        <f t="shared" si="119"/>
        <v>0</v>
      </c>
      <c r="AB218" s="862">
        <f t="shared" si="119"/>
        <v>0</v>
      </c>
      <c r="AC218" s="862">
        <f t="shared" si="119"/>
        <v>0</v>
      </c>
      <c r="AD218" s="862">
        <f t="shared" si="119"/>
        <v>0</v>
      </c>
      <c r="AE218" s="863">
        <f t="shared" si="119"/>
        <v>19250</v>
      </c>
      <c r="AF218" s="863">
        <f t="shared" si="116"/>
        <v>0</v>
      </c>
      <c r="AG218" s="862">
        <f t="shared" si="116"/>
        <v>0</v>
      </c>
      <c r="AH218" s="863">
        <f t="shared" si="116"/>
        <v>6614</v>
      </c>
    </row>
    <row r="219" spans="1:34">
      <c r="A219" s="882" t="s">
        <v>144</v>
      </c>
      <c r="B219" s="240" t="s">
        <v>53</v>
      </c>
      <c r="C219" s="806">
        <f>IF(S$224&gt;0,(S219/S$224),0)</f>
        <v>0.30434782608695654</v>
      </c>
      <c r="D219" s="806">
        <f t="shared" ref="D219:M224" si="120">IF(T$224&gt;0,(T219/T$224),0)</f>
        <v>0.24915824915824916</v>
      </c>
      <c r="E219" s="806">
        <f t="shared" si="120"/>
        <v>0.23567310952865378</v>
      </c>
      <c r="F219" s="806">
        <f t="shared" si="120"/>
        <v>0</v>
      </c>
      <c r="G219" s="806">
        <f t="shared" si="120"/>
        <v>0</v>
      </c>
      <c r="H219" s="806">
        <f t="shared" si="120"/>
        <v>0</v>
      </c>
      <c r="I219" s="613">
        <f t="shared" si="120"/>
        <v>0.27128886935501595</v>
      </c>
      <c r="J219" s="613">
        <f t="shared" si="120"/>
        <v>0</v>
      </c>
      <c r="K219" s="614">
        <f t="shared" si="120"/>
        <v>0</v>
      </c>
      <c r="L219" s="614">
        <f t="shared" si="120"/>
        <v>0</v>
      </c>
      <c r="M219" s="614">
        <f t="shared" si="120"/>
        <v>0</v>
      </c>
      <c r="N219" s="613">
        <f>IF(AE$224&gt;0,(AE219/AE$224),0)</f>
        <v>0.25990717600856839</v>
      </c>
      <c r="O219" s="613">
        <f t="shared" ref="O219:Q224" si="121">IF(AF$224&gt;0,(AF219/AF$224),0)</f>
        <v>0</v>
      </c>
      <c r="P219" s="615">
        <f t="shared" si="121"/>
        <v>0</v>
      </c>
      <c r="Q219" s="613">
        <f t="shared" si="121"/>
        <v>0.24710830704521555</v>
      </c>
      <c r="R219" s="799"/>
      <c r="S219" s="856">
        <v>1330</v>
      </c>
      <c r="T219" s="856">
        <v>444</v>
      </c>
      <c r="U219" s="856">
        <v>695</v>
      </c>
      <c r="V219" s="856"/>
      <c r="W219" s="856"/>
      <c r="X219" s="856"/>
      <c r="Y219" s="857">
        <v>2469</v>
      </c>
      <c r="Z219" s="857"/>
      <c r="AA219" s="856"/>
      <c r="AB219" s="856"/>
      <c r="AC219" s="856"/>
      <c r="AD219" s="856"/>
      <c r="AE219" s="857">
        <v>728</v>
      </c>
      <c r="AF219" s="857"/>
      <c r="AG219" s="856"/>
      <c r="AH219" s="857">
        <v>470</v>
      </c>
    </row>
    <row r="220" spans="1:34">
      <c r="A220" s="883"/>
      <c r="B220" s="239" t="s">
        <v>93</v>
      </c>
      <c r="C220" s="806">
        <f t="shared" ref="C220:C224" si="122">IF(S$224&gt;0,(S220/S$224),0)</f>
        <v>0.27002288329519453</v>
      </c>
      <c r="D220" s="806">
        <f t="shared" si="120"/>
        <v>0.30639730639730639</v>
      </c>
      <c r="E220" s="806">
        <f t="shared" si="120"/>
        <v>0.26856561546286878</v>
      </c>
      <c r="F220" s="806">
        <f t="shared" si="120"/>
        <v>0</v>
      </c>
      <c r="G220" s="806">
        <f t="shared" si="120"/>
        <v>0</v>
      </c>
      <c r="H220" s="806">
        <f t="shared" si="120"/>
        <v>0</v>
      </c>
      <c r="I220" s="624">
        <f t="shared" si="120"/>
        <v>0.2766728930886716</v>
      </c>
      <c r="J220" s="624">
        <f t="shared" si="120"/>
        <v>0</v>
      </c>
      <c r="K220" s="625">
        <f t="shared" si="120"/>
        <v>0</v>
      </c>
      <c r="L220" s="625">
        <f t="shared" si="120"/>
        <v>0</v>
      </c>
      <c r="M220" s="625">
        <f t="shared" si="120"/>
        <v>0</v>
      </c>
      <c r="N220" s="624">
        <f t="shared" ref="N220:N224" si="123">IF(AE$224&gt;0,(AE220/AE$224),0)</f>
        <v>0.16529810781863621</v>
      </c>
      <c r="O220" s="624">
        <f t="shared" si="121"/>
        <v>0</v>
      </c>
      <c r="P220" s="626">
        <f t="shared" si="121"/>
        <v>0</v>
      </c>
      <c r="Q220" s="624">
        <f t="shared" si="121"/>
        <v>0.15878023133543639</v>
      </c>
      <c r="R220" s="357"/>
      <c r="S220" s="858">
        <v>1180</v>
      </c>
      <c r="T220" s="858">
        <v>546</v>
      </c>
      <c r="U220" s="858">
        <v>792</v>
      </c>
      <c r="V220" s="858"/>
      <c r="W220" s="858"/>
      <c r="X220" s="858"/>
      <c r="Y220" s="859">
        <v>2518</v>
      </c>
      <c r="Z220" s="859"/>
      <c r="AA220" s="858"/>
      <c r="AB220" s="858"/>
      <c r="AC220" s="858"/>
      <c r="AD220" s="858"/>
      <c r="AE220" s="859">
        <v>463</v>
      </c>
      <c r="AF220" s="859"/>
      <c r="AG220" s="858"/>
      <c r="AH220" s="859">
        <v>302</v>
      </c>
    </row>
    <row r="221" spans="1:34">
      <c r="A221" s="883"/>
      <c r="B221" s="239" t="s">
        <v>55</v>
      </c>
      <c r="C221" s="806">
        <f t="shared" si="122"/>
        <v>0.23890160183066361</v>
      </c>
      <c r="D221" s="806">
        <f t="shared" si="120"/>
        <v>0.31200897867564537</v>
      </c>
      <c r="E221" s="806">
        <f t="shared" si="120"/>
        <v>0.24652424550695151</v>
      </c>
      <c r="F221" s="806">
        <f t="shared" si="120"/>
        <v>0</v>
      </c>
      <c r="G221" s="806">
        <f t="shared" si="120"/>
        <v>0</v>
      </c>
      <c r="H221" s="806">
        <f t="shared" si="120"/>
        <v>0</v>
      </c>
      <c r="I221" s="624">
        <f t="shared" si="120"/>
        <v>0.25568618833095264</v>
      </c>
      <c r="J221" s="624">
        <f t="shared" si="120"/>
        <v>0</v>
      </c>
      <c r="K221" s="625">
        <f t="shared" si="120"/>
        <v>0</v>
      </c>
      <c r="L221" s="625">
        <f t="shared" si="120"/>
        <v>0</v>
      </c>
      <c r="M221" s="625">
        <f t="shared" si="120"/>
        <v>0</v>
      </c>
      <c r="N221" s="624">
        <f t="shared" si="123"/>
        <v>0.12424134237772225</v>
      </c>
      <c r="O221" s="624">
        <f t="shared" si="121"/>
        <v>0</v>
      </c>
      <c r="P221" s="626">
        <f t="shared" si="121"/>
        <v>0</v>
      </c>
      <c r="Q221" s="624">
        <f t="shared" si="121"/>
        <v>0.18874868559411145</v>
      </c>
      <c r="R221" s="357"/>
      <c r="S221" s="858">
        <v>1044</v>
      </c>
      <c r="T221" s="858">
        <v>556</v>
      </c>
      <c r="U221" s="858">
        <v>727</v>
      </c>
      <c r="V221" s="858"/>
      <c r="W221" s="858"/>
      <c r="X221" s="858"/>
      <c r="Y221" s="859">
        <v>2327</v>
      </c>
      <c r="Z221" s="859"/>
      <c r="AA221" s="858"/>
      <c r="AB221" s="858"/>
      <c r="AC221" s="858"/>
      <c r="AD221" s="858"/>
      <c r="AE221" s="859">
        <v>348</v>
      </c>
      <c r="AF221" s="859"/>
      <c r="AG221" s="858"/>
      <c r="AH221" s="859">
        <v>359</v>
      </c>
    </row>
    <row r="222" spans="1:34">
      <c r="A222" s="883"/>
      <c r="B222" s="239" t="s">
        <v>78</v>
      </c>
      <c r="C222" s="806">
        <f t="shared" si="122"/>
        <v>4.8741418764302061E-2</v>
      </c>
      <c r="D222" s="806">
        <f t="shared" si="120"/>
        <v>0.10044893378226712</v>
      </c>
      <c r="E222" s="806">
        <f t="shared" si="120"/>
        <v>0.18853848762292302</v>
      </c>
      <c r="F222" s="806">
        <f t="shared" si="120"/>
        <v>0</v>
      </c>
      <c r="G222" s="806">
        <f t="shared" si="120"/>
        <v>0</v>
      </c>
      <c r="H222" s="806">
        <f t="shared" si="120"/>
        <v>0</v>
      </c>
      <c r="I222" s="624">
        <f t="shared" si="120"/>
        <v>0.10416437754092957</v>
      </c>
      <c r="J222" s="624">
        <f t="shared" si="120"/>
        <v>0</v>
      </c>
      <c r="K222" s="625">
        <f t="shared" si="120"/>
        <v>0</v>
      </c>
      <c r="L222" s="625">
        <f t="shared" si="120"/>
        <v>0</v>
      </c>
      <c r="M222" s="625">
        <f t="shared" si="120"/>
        <v>0</v>
      </c>
      <c r="N222" s="624">
        <f t="shared" si="123"/>
        <v>0.18064976794002141</v>
      </c>
      <c r="O222" s="624">
        <f t="shared" si="121"/>
        <v>0</v>
      </c>
      <c r="P222" s="626">
        <f t="shared" si="121"/>
        <v>0</v>
      </c>
      <c r="Q222" s="624">
        <f t="shared" si="121"/>
        <v>0.3422712933753943</v>
      </c>
      <c r="R222" s="357"/>
      <c r="S222" s="858">
        <v>213</v>
      </c>
      <c r="T222" s="858">
        <v>179</v>
      </c>
      <c r="U222" s="858">
        <v>556</v>
      </c>
      <c r="V222" s="858"/>
      <c r="W222" s="858"/>
      <c r="X222" s="858"/>
      <c r="Y222" s="859">
        <v>948</v>
      </c>
      <c r="Z222" s="859"/>
      <c r="AA222" s="858"/>
      <c r="AB222" s="858"/>
      <c r="AC222" s="858"/>
      <c r="AD222" s="858"/>
      <c r="AE222" s="859">
        <v>506</v>
      </c>
      <c r="AF222" s="859"/>
      <c r="AG222" s="858"/>
      <c r="AH222" s="859">
        <v>651</v>
      </c>
    </row>
    <row r="223" spans="1:34">
      <c r="A223" s="884"/>
      <c r="B223" s="580" t="s">
        <v>131</v>
      </c>
      <c r="C223" s="806">
        <f t="shared" si="122"/>
        <v>0.1379862700228833</v>
      </c>
      <c r="D223" s="806">
        <f t="shared" si="120"/>
        <v>3.1986531986531987E-2</v>
      </c>
      <c r="E223" s="806">
        <f t="shared" si="120"/>
        <v>6.0698541878602914E-2</v>
      </c>
      <c r="F223" s="806">
        <f t="shared" si="120"/>
        <v>0</v>
      </c>
      <c r="G223" s="806">
        <f t="shared" si="120"/>
        <v>0</v>
      </c>
      <c r="H223" s="806">
        <f t="shared" si="120"/>
        <v>0</v>
      </c>
      <c r="I223" s="624">
        <f t="shared" si="120"/>
        <v>9.2187671684430289E-2</v>
      </c>
      <c r="J223" s="624">
        <f t="shared" si="120"/>
        <v>0</v>
      </c>
      <c r="K223" s="625">
        <f t="shared" si="120"/>
        <v>0</v>
      </c>
      <c r="L223" s="625">
        <f t="shared" si="120"/>
        <v>0</v>
      </c>
      <c r="M223" s="625">
        <f t="shared" si="120"/>
        <v>0</v>
      </c>
      <c r="N223" s="624">
        <f t="shared" si="123"/>
        <v>0.26990360585505174</v>
      </c>
      <c r="O223" s="624">
        <f t="shared" si="121"/>
        <v>0</v>
      </c>
      <c r="P223" s="626">
        <f t="shared" si="121"/>
        <v>0</v>
      </c>
      <c r="Q223" s="624">
        <f t="shared" si="121"/>
        <v>6.3091482649842268E-2</v>
      </c>
      <c r="R223" s="357"/>
      <c r="S223" s="858">
        <v>603</v>
      </c>
      <c r="T223" s="858">
        <v>57</v>
      </c>
      <c r="U223" s="858">
        <v>179</v>
      </c>
      <c r="V223" s="858">
        <v>0</v>
      </c>
      <c r="W223" s="858">
        <v>0</v>
      </c>
      <c r="X223" s="858">
        <v>0</v>
      </c>
      <c r="Y223" s="859">
        <v>839</v>
      </c>
      <c r="Z223" s="859"/>
      <c r="AA223" s="858"/>
      <c r="AB223" s="858"/>
      <c r="AC223" s="858"/>
      <c r="AD223" s="858"/>
      <c r="AE223" s="859">
        <v>756</v>
      </c>
      <c r="AF223" s="859"/>
      <c r="AG223" s="858"/>
      <c r="AH223" s="859">
        <v>120</v>
      </c>
    </row>
    <row r="224" spans="1:34">
      <c r="A224" s="885"/>
      <c r="B224" s="436" t="s">
        <v>59</v>
      </c>
      <c r="C224" s="807">
        <f t="shared" si="122"/>
        <v>1</v>
      </c>
      <c r="D224" s="808">
        <f t="shared" si="120"/>
        <v>1</v>
      </c>
      <c r="E224" s="808">
        <f t="shared" si="120"/>
        <v>1</v>
      </c>
      <c r="F224" s="808">
        <f t="shared" si="120"/>
        <v>0</v>
      </c>
      <c r="G224" s="808">
        <f t="shared" si="120"/>
        <v>0</v>
      </c>
      <c r="H224" s="809">
        <f t="shared" si="120"/>
        <v>0</v>
      </c>
      <c r="I224" s="577">
        <f t="shared" si="120"/>
        <v>1</v>
      </c>
      <c r="J224" s="577">
        <f t="shared" si="120"/>
        <v>0</v>
      </c>
      <c r="K224" s="578">
        <f t="shared" si="120"/>
        <v>0</v>
      </c>
      <c r="L224" s="578">
        <f t="shared" si="120"/>
        <v>0</v>
      </c>
      <c r="M224" s="578">
        <f t="shared" si="120"/>
        <v>0</v>
      </c>
      <c r="N224" s="577">
        <f t="shared" si="123"/>
        <v>1</v>
      </c>
      <c r="O224" s="577">
        <f t="shared" si="121"/>
        <v>0</v>
      </c>
      <c r="P224" s="579">
        <f t="shared" si="121"/>
        <v>0</v>
      </c>
      <c r="Q224" s="577">
        <f t="shared" si="121"/>
        <v>1</v>
      </c>
      <c r="R224" s="357"/>
      <c r="S224" s="858">
        <v>4370</v>
      </c>
      <c r="T224" s="858">
        <v>1782</v>
      </c>
      <c r="U224" s="858">
        <v>2949</v>
      </c>
      <c r="V224" s="858"/>
      <c r="W224" s="858"/>
      <c r="X224" s="858"/>
      <c r="Y224" s="859">
        <v>9101</v>
      </c>
      <c r="Z224" s="859"/>
      <c r="AA224" s="858"/>
      <c r="AB224" s="858"/>
      <c r="AC224" s="858"/>
      <c r="AD224" s="858"/>
      <c r="AE224" s="859">
        <v>2801</v>
      </c>
      <c r="AF224" s="859"/>
      <c r="AG224" s="858"/>
      <c r="AH224" s="859">
        <v>1902</v>
      </c>
    </row>
    <row r="225" spans="1:34">
      <c r="A225" s="882" t="s">
        <v>145</v>
      </c>
      <c r="B225" s="240" t="s">
        <v>53</v>
      </c>
      <c r="C225" s="806">
        <f>IF(S$230&gt;0,(S225/S$230),0)</f>
        <v>0.36462765957446808</v>
      </c>
      <c r="D225" s="806">
        <f t="shared" ref="D225:M230" si="124">IF(T$230&gt;0,(T225/T$230),0)</f>
        <v>0.22710004221190375</v>
      </c>
      <c r="E225" s="806">
        <f t="shared" si="124"/>
        <v>0.21376811594202899</v>
      </c>
      <c r="F225" s="806">
        <f t="shared" si="124"/>
        <v>0.12129032258064516</v>
      </c>
      <c r="G225" s="806">
        <f t="shared" si="124"/>
        <v>0.22500000000000001</v>
      </c>
      <c r="H225" s="806">
        <f t="shared" si="124"/>
        <v>8.7662337662337664E-2</v>
      </c>
      <c r="I225" s="613">
        <f t="shared" si="124"/>
        <v>0.27536413862380715</v>
      </c>
      <c r="J225" s="613">
        <f t="shared" si="124"/>
        <v>0</v>
      </c>
      <c r="K225" s="614">
        <f t="shared" si="124"/>
        <v>0</v>
      </c>
      <c r="L225" s="614">
        <f t="shared" si="124"/>
        <v>0</v>
      </c>
      <c r="M225" s="614">
        <f t="shared" si="124"/>
        <v>0</v>
      </c>
      <c r="N225" s="613">
        <f>IF(AE$230&gt;0,(AE225/AE$230),0)</f>
        <v>9.7576948264571056E-2</v>
      </c>
      <c r="O225" s="613">
        <f t="shared" ref="O225:Q230" si="125">IF(AF$230&gt;0,(AF225/AF$230),0)</f>
        <v>0</v>
      </c>
      <c r="P225" s="615">
        <f t="shared" si="125"/>
        <v>0</v>
      </c>
      <c r="Q225" s="613">
        <f t="shared" si="125"/>
        <v>0</v>
      </c>
      <c r="R225" s="799"/>
      <c r="S225" s="856">
        <v>1371</v>
      </c>
      <c r="T225" s="856">
        <v>538</v>
      </c>
      <c r="U225" s="856">
        <v>118</v>
      </c>
      <c r="V225" s="856">
        <v>94</v>
      </c>
      <c r="W225" s="856">
        <v>45</v>
      </c>
      <c r="X225" s="856">
        <v>27</v>
      </c>
      <c r="Y225" s="857">
        <v>2193</v>
      </c>
      <c r="Z225" s="857"/>
      <c r="AA225" s="856"/>
      <c r="AB225" s="856"/>
      <c r="AC225" s="856"/>
      <c r="AD225" s="856"/>
      <c r="AE225" s="857">
        <v>149</v>
      </c>
      <c r="AF225" s="857"/>
      <c r="AG225" s="856"/>
      <c r="AH225" s="857"/>
    </row>
    <row r="226" spans="1:34">
      <c r="A226" s="883"/>
      <c r="B226" s="239" t="s">
        <v>93</v>
      </c>
      <c r="C226" s="806">
        <f t="shared" ref="C226:C230" si="126">IF(S$230&gt;0,(S226/S$230),0)</f>
        <v>0.27845744680851064</v>
      </c>
      <c r="D226" s="806">
        <f t="shared" si="124"/>
        <v>0.27184466019417475</v>
      </c>
      <c r="E226" s="806">
        <f t="shared" si="124"/>
        <v>0.375</v>
      </c>
      <c r="F226" s="806">
        <f t="shared" si="124"/>
        <v>0.27870967741935482</v>
      </c>
      <c r="G226" s="806">
        <f t="shared" si="124"/>
        <v>0.22500000000000001</v>
      </c>
      <c r="H226" s="806">
        <f t="shared" si="124"/>
        <v>0.23701298701298701</v>
      </c>
      <c r="I226" s="624">
        <f t="shared" si="124"/>
        <v>0.28026117528879962</v>
      </c>
      <c r="J226" s="624">
        <f t="shared" si="124"/>
        <v>0</v>
      </c>
      <c r="K226" s="625">
        <f t="shared" si="124"/>
        <v>0</v>
      </c>
      <c r="L226" s="625">
        <f t="shared" si="124"/>
        <v>0</v>
      </c>
      <c r="M226" s="625">
        <f t="shared" si="124"/>
        <v>0</v>
      </c>
      <c r="N226" s="624">
        <f t="shared" ref="N226:N230" si="127">IF(AE$230&gt;0,(AE226/AE$230),0)</f>
        <v>0.24950884086444008</v>
      </c>
      <c r="O226" s="624">
        <f t="shared" si="125"/>
        <v>0</v>
      </c>
      <c r="P226" s="626">
        <f t="shared" si="125"/>
        <v>0</v>
      </c>
      <c r="Q226" s="624">
        <f t="shared" si="125"/>
        <v>0</v>
      </c>
      <c r="R226" s="357"/>
      <c r="S226" s="858">
        <v>1047</v>
      </c>
      <c r="T226" s="858">
        <v>644</v>
      </c>
      <c r="U226" s="858">
        <v>207</v>
      </c>
      <c r="V226" s="858">
        <v>216</v>
      </c>
      <c r="W226" s="858">
        <v>45</v>
      </c>
      <c r="X226" s="858">
        <v>73</v>
      </c>
      <c r="Y226" s="859">
        <v>2232</v>
      </c>
      <c r="Z226" s="859"/>
      <c r="AA226" s="858"/>
      <c r="AB226" s="858"/>
      <c r="AC226" s="858"/>
      <c r="AD226" s="858"/>
      <c r="AE226" s="859">
        <v>381</v>
      </c>
      <c r="AF226" s="859"/>
      <c r="AG226" s="858"/>
      <c r="AH226" s="859"/>
    </row>
    <row r="227" spans="1:34">
      <c r="A227" s="883"/>
      <c r="B227" s="239" t="s">
        <v>55</v>
      </c>
      <c r="C227" s="806">
        <f t="shared" si="126"/>
        <v>0.20904255319148937</v>
      </c>
      <c r="D227" s="806">
        <f t="shared" si="124"/>
        <v>0.27184466019417475</v>
      </c>
      <c r="E227" s="806">
        <f t="shared" si="124"/>
        <v>0.21557971014492755</v>
      </c>
      <c r="F227" s="806">
        <f t="shared" si="124"/>
        <v>0.33161290322580644</v>
      </c>
      <c r="G227" s="806">
        <f t="shared" si="124"/>
        <v>0.26</v>
      </c>
      <c r="H227" s="806">
        <f t="shared" si="124"/>
        <v>0.39285714285714285</v>
      </c>
      <c r="I227" s="624">
        <f t="shared" si="124"/>
        <v>0.24849321948769462</v>
      </c>
      <c r="J227" s="624">
        <f t="shared" si="124"/>
        <v>0</v>
      </c>
      <c r="K227" s="625">
        <f t="shared" si="124"/>
        <v>0</v>
      </c>
      <c r="L227" s="625">
        <f t="shared" si="124"/>
        <v>0</v>
      </c>
      <c r="M227" s="625">
        <f t="shared" si="124"/>
        <v>0</v>
      </c>
      <c r="N227" s="624">
        <f t="shared" si="127"/>
        <v>0.44073346430910282</v>
      </c>
      <c r="O227" s="624">
        <f t="shared" si="125"/>
        <v>0</v>
      </c>
      <c r="P227" s="626">
        <f t="shared" si="125"/>
        <v>0</v>
      </c>
      <c r="Q227" s="624">
        <f t="shared" si="125"/>
        <v>0</v>
      </c>
      <c r="R227" s="357"/>
      <c r="S227" s="858">
        <v>786</v>
      </c>
      <c r="T227" s="858">
        <v>644</v>
      </c>
      <c r="U227" s="858">
        <v>119</v>
      </c>
      <c r="V227" s="858">
        <v>257</v>
      </c>
      <c r="W227" s="858">
        <v>52</v>
      </c>
      <c r="X227" s="858">
        <v>121</v>
      </c>
      <c r="Y227" s="859">
        <v>1979</v>
      </c>
      <c r="Z227" s="859"/>
      <c r="AA227" s="858"/>
      <c r="AB227" s="858"/>
      <c r="AC227" s="858"/>
      <c r="AD227" s="858"/>
      <c r="AE227" s="859">
        <v>673</v>
      </c>
      <c r="AF227" s="859"/>
      <c r="AG227" s="858"/>
      <c r="AH227" s="859"/>
    </row>
    <row r="228" spans="1:34">
      <c r="A228" s="883"/>
      <c r="B228" s="239" t="s">
        <v>78</v>
      </c>
      <c r="C228" s="806">
        <f t="shared" si="126"/>
        <v>3.1914893617021275E-3</v>
      </c>
      <c r="D228" s="806">
        <f t="shared" si="124"/>
        <v>0.11608273533136344</v>
      </c>
      <c r="E228" s="806">
        <f t="shared" si="124"/>
        <v>6.8840579710144928E-2</v>
      </c>
      <c r="F228" s="806">
        <f t="shared" si="124"/>
        <v>0.12645161290322582</v>
      </c>
      <c r="G228" s="806">
        <f t="shared" si="124"/>
        <v>0</v>
      </c>
      <c r="H228" s="806">
        <f t="shared" si="124"/>
        <v>3.246753246753247E-3</v>
      </c>
      <c r="I228" s="624">
        <f t="shared" si="124"/>
        <v>5.3239578101456554E-2</v>
      </c>
      <c r="J228" s="624">
        <f t="shared" si="124"/>
        <v>0</v>
      </c>
      <c r="K228" s="625">
        <f t="shared" si="124"/>
        <v>0</v>
      </c>
      <c r="L228" s="625">
        <f t="shared" si="124"/>
        <v>0</v>
      </c>
      <c r="M228" s="625">
        <f t="shared" si="124"/>
        <v>0</v>
      </c>
      <c r="N228" s="624">
        <f t="shared" si="127"/>
        <v>0.18925998690242304</v>
      </c>
      <c r="O228" s="624">
        <f t="shared" si="125"/>
        <v>0</v>
      </c>
      <c r="P228" s="626">
        <f t="shared" si="125"/>
        <v>0</v>
      </c>
      <c r="Q228" s="624">
        <f t="shared" si="125"/>
        <v>0</v>
      </c>
      <c r="R228" s="357"/>
      <c r="S228" s="858">
        <v>12</v>
      </c>
      <c r="T228" s="858">
        <v>275</v>
      </c>
      <c r="U228" s="858">
        <v>38</v>
      </c>
      <c r="V228" s="858">
        <v>98</v>
      </c>
      <c r="W228" s="858"/>
      <c r="X228" s="858">
        <v>1</v>
      </c>
      <c r="Y228" s="859">
        <v>424</v>
      </c>
      <c r="Z228" s="859"/>
      <c r="AA228" s="858"/>
      <c r="AB228" s="858"/>
      <c r="AC228" s="858"/>
      <c r="AD228" s="858"/>
      <c r="AE228" s="859">
        <v>289</v>
      </c>
      <c r="AF228" s="859"/>
      <c r="AG228" s="858"/>
      <c r="AH228" s="859"/>
    </row>
    <row r="229" spans="1:34">
      <c r="A229" s="884"/>
      <c r="B229" s="580" t="s">
        <v>131</v>
      </c>
      <c r="C229" s="806">
        <f t="shared" si="126"/>
        <v>0.14468085106382977</v>
      </c>
      <c r="D229" s="806">
        <f t="shared" si="124"/>
        <v>0.11312790206838329</v>
      </c>
      <c r="E229" s="806">
        <f t="shared" si="124"/>
        <v>0.12681159420289856</v>
      </c>
      <c r="F229" s="806">
        <f t="shared" si="124"/>
        <v>0.14193548387096774</v>
      </c>
      <c r="G229" s="806">
        <f t="shared" si="124"/>
        <v>0.28999999999999998</v>
      </c>
      <c r="H229" s="806">
        <f t="shared" si="124"/>
        <v>0.2792207792207792</v>
      </c>
      <c r="I229" s="624">
        <f t="shared" si="124"/>
        <v>0.14264188849824208</v>
      </c>
      <c r="J229" s="624">
        <f t="shared" si="124"/>
        <v>0</v>
      </c>
      <c r="K229" s="625">
        <f t="shared" si="124"/>
        <v>0</v>
      </c>
      <c r="L229" s="625">
        <f t="shared" si="124"/>
        <v>0</v>
      </c>
      <c r="M229" s="625">
        <f t="shared" si="124"/>
        <v>0</v>
      </c>
      <c r="N229" s="624">
        <f t="shared" si="127"/>
        <v>2.2920759659463E-2</v>
      </c>
      <c r="O229" s="624">
        <f t="shared" si="125"/>
        <v>0</v>
      </c>
      <c r="P229" s="626">
        <f t="shared" si="125"/>
        <v>0</v>
      </c>
      <c r="Q229" s="624">
        <f t="shared" si="125"/>
        <v>0</v>
      </c>
      <c r="R229" s="357"/>
      <c r="S229" s="858">
        <v>544</v>
      </c>
      <c r="T229" s="858">
        <v>268</v>
      </c>
      <c r="U229" s="858">
        <v>70</v>
      </c>
      <c r="V229" s="858">
        <v>110</v>
      </c>
      <c r="W229" s="858">
        <v>58</v>
      </c>
      <c r="X229" s="858">
        <v>86</v>
      </c>
      <c r="Y229" s="859">
        <v>1136</v>
      </c>
      <c r="Z229" s="859"/>
      <c r="AA229" s="858"/>
      <c r="AB229" s="858"/>
      <c r="AC229" s="858"/>
      <c r="AD229" s="858"/>
      <c r="AE229" s="859">
        <v>35</v>
      </c>
      <c r="AF229" s="859"/>
      <c r="AG229" s="858"/>
      <c r="AH229" s="859"/>
    </row>
    <row r="230" spans="1:34">
      <c r="A230" s="885"/>
      <c r="B230" s="436" t="s">
        <v>59</v>
      </c>
      <c r="C230" s="807">
        <f t="shared" si="126"/>
        <v>1</v>
      </c>
      <c r="D230" s="808">
        <f t="shared" si="124"/>
        <v>1</v>
      </c>
      <c r="E230" s="808">
        <f t="shared" si="124"/>
        <v>1</v>
      </c>
      <c r="F230" s="808">
        <f t="shared" si="124"/>
        <v>1</v>
      </c>
      <c r="G230" s="808">
        <f t="shared" si="124"/>
        <v>1</v>
      </c>
      <c r="H230" s="809">
        <f t="shared" si="124"/>
        <v>1</v>
      </c>
      <c r="I230" s="577">
        <f t="shared" si="124"/>
        <v>1</v>
      </c>
      <c r="J230" s="577">
        <f t="shared" si="124"/>
        <v>0</v>
      </c>
      <c r="K230" s="578">
        <f t="shared" si="124"/>
        <v>0</v>
      </c>
      <c r="L230" s="578">
        <f t="shared" si="124"/>
        <v>0</v>
      </c>
      <c r="M230" s="578">
        <f t="shared" si="124"/>
        <v>0</v>
      </c>
      <c r="N230" s="577">
        <f t="shared" si="127"/>
        <v>1</v>
      </c>
      <c r="O230" s="577">
        <f t="shared" si="125"/>
        <v>0</v>
      </c>
      <c r="P230" s="579">
        <f t="shared" si="125"/>
        <v>0</v>
      </c>
      <c r="Q230" s="577">
        <f t="shared" si="125"/>
        <v>0</v>
      </c>
      <c r="R230" s="357"/>
      <c r="S230" s="858">
        <v>3760</v>
      </c>
      <c r="T230" s="858">
        <v>2369</v>
      </c>
      <c r="U230" s="858">
        <v>552</v>
      </c>
      <c r="V230" s="858">
        <v>775</v>
      </c>
      <c r="W230" s="858">
        <v>200</v>
      </c>
      <c r="X230" s="858">
        <v>308</v>
      </c>
      <c r="Y230" s="859">
        <v>7964</v>
      </c>
      <c r="Z230" s="859"/>
      <c r="AA230" s="858"/>
      <c r="AB230" s="858"/>
      <c r="AC230" s="858"/>
      <c r="AD230" s="858"/>
      <c r="AE230" s="859">
        <v>1527</v>
      </c>
      <c r="AF230" s="859"/>
      <c r="AG230" s="858"/>
      <c r="AH230" s="859"/>
    </row>
    <row r="231" spans="1:34">
      <c r="A231" s="882" t="s">
        <v>142</v>
      </c>
      <c r="B231" s="240" t="s">
        <v>53</v>
      </c>
      <c r="C231" s="806">
        <f>IF(S$236&gt;0,(S231/S$236),0)</f>
        <v>0.35424883470778057</v>
      </c>
      <c r="D231" s="806">
        <f t="shared" ref="D231:M236" si="128">IF(T$236&gt;0,(T231/T$236),0)</f>
        <v>0</v>
      </c>
      <c r="E231" s="806">
        <f t="shared" si="128"/>
        <v>0.28301886792452829</v>
      </c>
      <c r="F231" s="806">
        <f t="shared" si="128"/>
        <v>0</v>
      </c>
      <c r="G231" s="806">
        <f t="shared" si="128"/>
        <v>0</v>
      </c>
      <c r="H231" s="806">
        <f t="shared" si="128"/>
        <v>0</v>
      </c>
      <c r="I231" s="613">
        <f t="shared" si="128"/>
        <v>0.34287435974691172</v>
      </c>
      <c r="J231" s="613">
        <f t="shared" si="128"/>
        <v>0</v>
      </c>
      <c r="K231" s="614">
        <f t="shared" si="128"/>
        <v>0</v>
      </c>
      <c r="L231" s="614">
        <f t="shared" si="128"/>
        <v>0</v>
      </c>
      <c r="M231" s="614">
        <f t="shared" si="128"/>
        <v>0</v>
      </c>
      <c r="N231" s="613">
        <f>IF(AE$236&gt;0,(AE231/AE$236),0)</f>
        <v>0.2459292532285233</v>
      </c>
      <c r="O231" s="613">
        <f t="shared" ref="O231:Q236" si="129">IF(AF$236&gt;0,(AF231/AF$236),0)</f>
        <v>0</v>
      </c>
      <c r="P231" s="615">
        <f t="shared" si="129"/>
        <v>0</v>
      </c>
      <c r="Q231" s="613">
        <f t="shared" si="129"/>
        <v>0</v>
      </c>
      <c r="R231" s="799"/>
      <c r="S231" s="856">
        <v>988</v>
      </c>
      <c r="T231" s="856"/>
      <c r="U231" s="856">
        <v>150</v>
      </c>
      <c r="V231" s="856"/>
      <c r="W231" s="856"/>
      <c r="X231" s="856"/>
      <c r="Y231" s="857">
        <v>1138</v>
      </c>
      <c r="Z231" s="857"/>
      <c r="AA231" s="856"/>
      <c r="AB231" s="856"/>
      <c r="AC231" s="856"/>
      <c r="AD231" s="856"/>
      <c r="AE231" s="857">
        <v>438</v>
      </c>
      <c r="AF231" s="857"/>
      <c r="AG231" s="856"/>
      <c r="AH231" s="857"/>
    </row>
    <row r="232" spans="1:34">
      <c r="A232" s="883"/>
      <c r="B232" s="239" t="s">
        <v>93</v>
      </c>
      <c r="C232" s="806">
        <f t="shared" ref="C232:C236" si="130">IF(S$236&gt;0,(S232/S$236),0)</f>
        <v>0.28827536751523841</v>
      </c>
      <c r="D232" s="806">
        <f t="shared" si="128"/>
        <v>0</v>
      </c>
      <c r="E232" s="806">
        <f t="shared" si="128"/>
        <v>0.34339622641509432</v>
      </c>
      <c r="F232" s="806">
        <f t="shared" si="128"/>
        <v>0</v>
      </c>
      <c r="G232" s="806">
        <f t="shared" si="128"/>
        <v>0</v>
      </c>
      <c r="H232" s="806">
        <f t="shared" si="128"/>
        <v>0</v>
      </c>
      <c r="I232" s="624">
        <f t="shared" si="128"/>
        <v>0.29707743296173544</v>
      </c>
      <c r="J232" s="624">
        <f t="shared" si="128"/>
        <v>0</v>
      </c>
      <c r="K232" s="625">
        <f t="shared" si="128"/>
        <v>0</v>
      </c>
      <c r="L232" s="625">
        <f t="shared" si="128"/>
        <v>0</v>
      </c>
      <c r="M232" s="625">
        <f t="shared" si="128"/>
        <v>0</v>
      </c>
      <c r="N232" s="624">
        <f t="shared" ref="N232:N236" si="131">IF(AE$236&gt;0,(AE232/AE$236),0)</f>
        <v>9.9382369455362163E-2</v>
      </c>
      <c r="O232" s="624">
        <f t="shared" si="129"/>
        <v>0</v>
      </c>
      <c r="P232" s="626">
        <f t="shared" si="129"/>
        <v>0</v>
      </c>
      <c r="Q232" s="624">
        <f t="shared" si="129"/>
        <v>0</v>
      </c>
      <c r="R232" s="357"/>
      <c r="S232" s="858">
        <v>804</v>
      </c>
      <c r="T232" s="858"/>
      <c r="U232" s="858">
        <v>182</v>
      </c>
      <c r="V232" s="858"/>
      <c r="W232" s="858"/>
      <c r="X232" s="858"/>
      <c r="Y232" s="859">
        <v>986</v>
      </c>
      <c r="Z232" s="859"/>
      <c r="AA232" s="858"/>
      <c r="AB232" s="858"/>
      <c r="AC232" s="858"/>
      <c r="AD232" s="858"/>
      <c r="AE232" s="859">
        <v>177</v>
      </c>
      <c r="AF232" s="859"/>
      <c r="AG232" s="858"/>
      <c r="AH232" s="859"/>
    </row>
    <row r="233" spans="1:34">
      <c r="A233" s="883"/>
      <c r="B233" s="239" t="s">
        <v>55</v>
      </c>
      <c r="C233" s="806">
        <f t="shared" si="130"/>
        <v>0.22803872355683041</v>
      </c>
      <c r="D233" s="806">
        <f t="shared" si="128"/>
        <v>0</v>
      </c>
      <c r="E233" s="806">
        <f t="shared" si="128"/>
        <v>0.22075471698113208</v>
      </c>
      <c r="F233" s="806">
        <f t="shared" si="128"/>
        <v>0</v>
      </c>
      <c r="G233" s="806">
        <f t="shared" si="128"/>
        <v>0</v>
      </c>
      <c r="H233" s="806">
        <f t="shared" si="128"/>
        <v>0</v>
      </c>
      <c r="I233" s="624">
        <f t="shared" si="128"/>
        <v>0.22687556492919553</v>
      </c>
      <c r="J233" s="624">
        <f t="shared" si="128"/>
        <v>0</v>
      </c>
      <c r="K233" s="625">
        <f t="shared" si="128"/>
        <v>0</v>
      </c>
      <c r="L233" s="625">
        <f t="shared" si="128"/>
        <v>0</v>
      </c>
      <c r="M233" s="625">
        <f t="shared" si="128"/>
        <v>0</v>
      </c>
      <c r="N233" s="624">
        <f t="shared" si="131"/>
        <v>6.7939359910162825E-2</v>
      </c>
      <c r="O233" s="624">
        <f t="shared" si="129"/>
        <v>0</v>
      </c>
      <c r="P233" s="626">
        <f t="shared" si="129"/>
        <v>0</v>
      </c>
      <c r="Q233" s="624">
        <f t="shared" si="129"/>
        <v>0</v>
      </c>
      <c r="R233" s="357"/>
      <c r="S233" s="858">
        <v>636</v>
      </c>
      <c r="T233" s="858"/>
      <c r="U233" s="858">
        <v>117</v>
      </c>
      <c r="V233" s="858"/>
      <c r="W233" s="858"/>
      <c r="X233" s="858"/>
      <c r="Y233" s="859">
        <v>753</v>
      </c>
      <c r="Z233" s="859"/>
      <c r="AA233" s="858"/>
      <c r="AB233" s="858"/>
      <c r="AC233" s="858"/>
      <c r="AD233" s="858"/>
      <c r="AE233" s="859">
        <v>121</v>
      </c>
      <c r="AF233" s="859"/>
      <c r="AG233" s="858"/>
      <c r="AH233" s="859"/>
    </row>
    <row r="234" spans="1:34">
      <c r="A234" s="883"/>
      <c r="B234" s="239" t="s">
        <v>78</v>
      </c>
      <c r="C234" s="806">
        <f t="shared" si="130"/>
        <v>1.1832197920401577E-2</v>
      </c>
      <c r="D234" s="806">
        <f t="shared" si="128"/>
        <v>0</v>
      </c>
      <c r="E234" s="806">
        <f t="shared" si="128"/>
        <v>0.15283018867924528</v>
      </c>
      <c r="F234" s="806">
        <f t="shared" si="128"/>
        <v>0</v>
      </c>
      <c r="G234" s="806">
        <f t="shared" si="128"/>
        <v>0</v>
      </c>
      <c r="H234" s="806">
        <f t="shared" si="128"/>
        <v>0</v>
      </c>
      <c r="I234" s="624">
        <f t="shared" si="128"/>
        <v>3.4347695088882191E-2</v>
      </c>
      <c r="J234" s="624">
        <f t="shared" si="128"/>
        <v>0</v>
      </c>
      <c r="K234" s="625">
        <f t="shared" si="128"/>
        <v>0</v>
      </c>
      <c r="L234" s="625">
        <f t="shared" si="128"/>
        <v>0</v>
      </c>
      <c r="M234" s="625">
        <f t="shared" si="128"/>
        <v>0</v>
      </c>
      <c r="N234" s="624">
        <f t="shared" si="131"/>
        <v>0.28972487366647953</v>
      </c>
      <c r="O234" s="624">
        <f t="shared" si="129"/>
        <v>0</v>
      </c>
      <c r="P234" s="626">
        <f t="shared" si="129"/>
        <v>0</v>
      </c>
      <c r="Q234" s="624">
        <f t="shared" si="129"/>
        <v>1</v>
      </c>
      <c r="R234" s="357"/>
      <c r="S234" s="858">
        <v>33</v>
      </c>
      <c r="T234" s="858"/>
      <c r="U234" s="858">
        <v>81</v>
      </c>
      <c r="V234" s="858"/>
      <c r="W234" s="858"/>
      <c r="X234" s="858"/>
      <c r="Y234" s="859">
        <v>114</v>
      </c>
      <c r="Z234" s="859"/>
      <c r="AA234" s="858"/>
      <c r="AB234" s="858"/>
      <c r="AC234" s="858"/>
      <c r="AD234" s="858"/>
      <c r="AE234" s="859">
        <v>516</v>
      </c>
      <c r="AF234" s="859"/>
      <c r="AG234" s="858"/>
      <c r="AH234" s="859">
        <v>77</v>
      </c>
    </row>
    <row r="235" spans="1:34">
      <c r="A235" s="884"/>
      <c r="B235" s="580" t="s">
        <v>131</v>
      </c>
      <c r="C235" s="806">
        <f t="shared" si="130"/>
        <v>0.11760487629974901</v>
      </c>
      <c r="D235" s="806">
        <f t="shared" si="128"/>
        <v>0</v>
      </c>
      <c r="E235" s="806">
        <f t="shared" si="128"/>
        <v>0</v>
      </c>
      <c r="F235" s="806">
        <f t="shared" si="128"/>
        <v>0</v>
      </c>
      <c r="G235" s="806">
        <f t="shared" si="128"/>
        <v>0</v>
      </c>
      <c r="H235" s="806">
        <f t="shared" si="128"/>
        <v>0</v>
      </c>
      <c r="I235" s="624">
        <f t="shared" si="128"/>
        <v>9.8824947273275079E-2</v>
      </c>
      <c r="J235" s="624">
        <f t="shared" si="128"/>
        <v>0</v>
      </c>
      <c r="K235" s="625">
        <f t="shared" si="128"/>
        <v>0</v>
      </c>
      <c r="L235" s="625">
        <f t="shared" si="128"/>
        <v>0</v>
      </c>
      <c r="M235" s="625">
        <f t="shared" si="128"/>
        <v>0</v>
      </c>
      <c r="N235" s="624">
        <f t="shared" si="131"/>
        <v>0.29702414373947222</v>
      </c>
      <c r="O235" s="624">
        <f t="shared" si="129"/>
        <v>0</v>
      </c>
      <c r="P235" s="626">
        <f t="shared" si="129"/>
        <v>0</v>
      </c>
      <c r="Q235" s="624">
        <f t="shared" si="129"/>
        <v>0</v>
      </c>
      <c r="R235" s="357"/>
      <c r="S235" s="858">
        <v>328</v>
      </c>
      <c r="T235" s="858">
        <v>0</v>
      </c>
      <c r="U235" s="858">
        <v>0</v>
      </c>
      <c r="V235" s="858">
        <v>0</v>
      </c>
      <c r="W235" s="858">
        <v>0</v>
      </c>
      <c r="X235" s="858">
        <v>0</v>
      </c>
      <c r="Y235" s="859">
        <v>328</v>
      </c>
      <c r="Z235" s="859"/>
      <c r="AA235" s="858"/>
      <c r="AB235" s="858"/>
      <c r="AC235" s="858"/>
      <c r="AD235" s="858"/>
      <c r="AE235" s="859">
        <v>529</v>
      </c>
      <c r="AF235" s="859"/>
      <c r="AG235" s="858"/>
      <c r="AH235" s="859"/>
    </row>
    <row r="236" spans="1:34">
      <c r="A236" s="885"/>
      <c r="B236" s="436" t="s">
        <v>59</v>
      </c>
      <c r="C236" s="807">
        <f t="shared" si="130"/>
        <v>1</v>
      </c>
      <c r="D236" s="808">
        <f t="shared" si="128"/>
        <v>0</v>
      </c>
      <c r="E236" s="808">
        <f t="shared" si="128"/>
        <v>1</v>
      </c>
      <c r="F236" s="808">
        <f t="shared" si="128"/>
        <v>0</v>
      </c>
      <c r="G236" s="808">
        <f t="shared" si="128"/>
        <v>0</v>
      </c>
      <c r="H236" s="809">
        <f t="shared" si="128"/>
        <v>0</v>
      </c>
      <c r="I236" s="577">
        <f t="shared" si="128"/>
        <v>1</v>
      </c>
      <c r="J236" s="577">
        <f t="shared" si="128"/>
        <v>0</v>
      </c>
      <c r="K236" s="578">
        <f t="shared" si="128"/>
        <v>0</v>
      </c>
      <c r="L236" s="578">
        <f t="shared" si="128"/>
        <v>0</v>
      </c>
      <c r="M236" s="578">
        <f t="shared" si="128"/>
        <v>0</v>
      </c>
      <c r="N236" s="577">
        <f t="shared" si="131"/>
        <v>1</v>
      </c>
      <c r="O236" s="577">
        <f t="shared" si="129"/>
        <v>0</v>
      </c>
      <c r="P236" s="579">
        <f t="shared" si="129"/>
        <v>0</v>
      </c>
      <c r="Q236" s="577">
        <f t="shared" si="129"/>
        <v>1</v>
      </c>
      <c r="R236" s="357"/>
      <c r="S236" s="858">
        <v>2789</v>
      </c>
      <c r="T236" s="858"/>
      <c r="U236" s="858">
        <v>530</v>
      </c>
      <c r="V236" s="858"/>
      <c r="W236" s="858"/>
      <c r="X236" s="858"/>
      <c r="Y236" s="859">
        <v>3319</v>
      </c>
      <c r="Z236" s="859"/>
      <c r="AA236" s="858"/>
      <c r="AB236" s="858"/>
      <c r="AC236" s="858"/>
      <c r="AD236" s="858"/>
      <c r="AE236" s="859">
        <v>1781</v>
      </c>
      <c r="AF236" s="859"/>
      <c r="AG236" s="858"/>
      <c r="AH236" s="859">
        <v>77</v>
      </c>
    </row>
    <row r="237" spans="1:34">
      <c r="A237" s="882" t="s">
        <v>146</v>
      </c>
      <c r="B237" s="240" t="s">
        <v>53</v>
      </c>
      <c r="C237" s="806">
        <f>IF(S$242&gt;0,(S237/S$242),0)</f>
        <v>0.30500221336874722</v>
      </c>
      <c r="D237" s="806">
        <f t="shared" ref="D237:M242" si="132">IF(T$242&gt;0,(T237/T$242),0)</f>
        <v>0.27047619047619048</v>
      </c>
      <c r="E237" s="806">
        <f t="shared" si="132"/>
        <v>0.26168224299065418</v>
      </c>
      <c r="F237" s="806">
        <f t="shared" si="132"/>
        <v>0.26258992805755393</v>
      </c>
      <c r="G237" s="806">
        <f t="shared" si="132"/>
        <v>0</v>
      </c>
      <c r="H237" s="806">
        <f t="shared" si="132"/>
        <v>0</v>
      </c>
      <c r="I237" s="613">
        <f t="shared" si="132"/>
        <v>0.28790199081163859</v>
      </c>
      <c r="J237" s="613">
        <f t="shared" si="132"/>
        <v>0</v>
      </c>
      <c r="K237" s="614">
        <f t="shared" si="132"/>
        <v>0</v>
      </c>
      <c r="L237" s="614">
        <f t="shared" si="132"/>
        <v>0</v>
      </c>
      <c r="M237" s="614">
        <f t="shared" si="132"/>
        <v>0</v>
      </c>
      <c r="N237" s="613">
        <f>IF(AE$242&gt;0,(AE237/AE$242),0)</f>
        <v>0.301535974130962</v>
      </c>
      <c r="O237" s="613">
        <f t="shared" ref="O237:Q242" si="133">IF(AF$242&gt;0,(AF237/AF$242),0)</f>
        <v>0</v>
      </c>
      <c r="P237" s="615">
        <f t="shared" si="133"/>
        <v>0</v>
      </c>
      <c r="Q237" s="613">
        <f t="shared" si="133"/>
        <v>0.14885496183206107</v>
      </c>
      <c r="R237" s="799"/>
      <c r="S237" s="856">
        <v>689</v>
      </c>
      <c r="T237" s="856">
        <v>142</v>
      </c>
      <c r="U237" s="856">
        <v>224</v>
      </c>
      <c r="V237" s="856">
        <v>73</v>
      </c>
      <c r="W237" s="856"/>
      <c r="X237" s="856"/>
      <c r="Y237" s="857">
        <v>1128</v>
      </c>
      <c r="Z237" s="857"/>
      <c r="AA237" s="856"/>
      <c r="AB237" s="856"/>
      <c r="AC237" s="856"/>
      <c r="AD237" s="856"/>
      <c r="AE237" s="857">
        <v>373</v>
      </c>
      <c r="AF237" s="857"/>
      <c r="AG237" s="856"/>
      <c r="AH237" s="857">
        <v>78</v>
      </c>
    </row>
    <row r="238" spans="1:34">
      <c r="A238" s="883"/>
      <c r="B238" s="239" t="s">
        <v>93</v>
      </c>
      <c r="C238" s="806">
        <f t="shared" ref="C238:C242" si="134">IF(S$242&gt;0,(S238/S$242),0)</f>
        <v>0.31252766710934043</v>
      </c>
      <c r="D238" s="806">
        <f t="shared" si="132"/>
        <v>0.24761904761904763</v>
      </c>
      <c r="E238" s="806">
        <f t="shared" si="132"/>
        <v>0.25350467289719625</v>
      </c>
      <c r="F238" s="806">
        <f t="shared" si="132"/>
        <v>0.25539568345323743</v>
      </c>
      <c r="G238" s="806">
        <f t="shared" si="132"/>
        <v>0</v>
      </c>
      <c r="H238" s="806">
        <f t="shared" si="132"/>
        <v>0</v>
      </c>
      <c r="I238" s="624">
        <f t="shared" si="132"/>
        <v>0.28688106176620726</v>
      </c>
      <c r="J238" s="624">
        <f t="shared" si="132"/>
        <v>0</v>
      </c>
      <c r="K238" s="625">
        <f t="shared" si="132"/>
        <v>0</v>
      </c>
      <c r="L238" s="625">
        <f t="shared" si="132"/>
        <v>0</v>
      </c>
      <c r="M238" s="625">
        <f t="shared" si="132"/>
        <v>0</v>
      </c>
      <c r="N238" s="624">
        <f t="shared" ref="N238:N242" si="135">IF(AE$242&gt;0,(AE238/AE$242),0)</f>
        <v>0.12368633791430882</v>
      </c>
      <c r="O238" s="624">
        <f t="shared" si="133"/>
        <v>0</v>
      </c>
      <c r="P238" s="626">
        <f t="shared" si="133"/>
        <v>0</v>
      </c>
      <c r="Q238" s="624">
        <f t="shared" si="133"/>
        <v>1.3358778625954198E-2</v>
      </c>
      <c r="R238" s="357"/>
      <c r="S238" s="858">
        <v>706</v>
      </c>
      <c r="T238" s="858">
        <v>130</v>
      </c>
      <c r="U238" s="858">
        <v>217</v>
      </c>
      <c r="V238" s="858">
        <v>71</v>
      </c>
      <c r="W238" s="858"/>
      <c r="X238" s="858"/>
      <c r="Y238" s="859">
        <v>1124</v>
      </c>
      <c r="Z238" s="859"/>
      <c r="AA238" s="858"/>
      <c r="AB238" s="858"/>
      <c r="AC238" s="858"/>
      <c r="AD238" s="858"/>
      <c r="AE238" s="859">
        <v>153</v>
      </c>
      <c r="AF238" s="859"/>
      <c r="AG238" s="858"/>
      <c r="AH238" s="859">
        <v>7</v>
      </c>
    </row>
    <row r="239" spans="1:34">
      <c r="A239" s="883"/>
      <c r="B239" s="239" t="s">
        <v>55</v>
      </c>
      <c r="C239" s="806">
        <f t="shared" si="134"/>
        <v>0.23550243470562196</v>
      </c>
      <c r="D239" s="806">
        <f t="shared" si="132"/>
        <v>0.2419047619047619</v>
      </c>
      <c r="E239" s="806">
        <f t="shared" si="132"/>
        <v>0.25584112149532712</v>
      </c>
      <c r="F239" s="806">
        <f t="shared" si="132"/>
        <v>0.22661870503597123</v>
      </c>
      <c r="G239" s="806">
        <f t="shared" si="132"/>
        <v>0</v>
      </c>
      <c r="H239" s="806">
        <f t="shared" si="132"/>
        <v>0</v>
      </c>
      <c r="I239" s="624">
        <f t="shared" si="132"/>
        <v>0.24017355793772333</v>
      </c>
      <c r="J239" s="624">
        <f t="shared" si="132"/>
        <v>0</v>
      </c>
      <c r="K239" s="625">
        <f t="shared" si="132"/>
        <v>0</v>
      </c>
      <c r="L239" s="625">
        <f t="shared" si="132"/>
        <v>0</v>
      </c>
      <c r="M239" s="625">
        <f t="shared" si="132"/>
        <v>0</v>
      </c>
      <c r="N239" s="624">
        <f t="shared" si="135"/>
        <v>0.10024252223120453</v>
      </c>
      <c r="O239" s="624">
        <f t="shared" si="133"/>
        <v>0</v>
      </c>
      <c r="P239" s="626">
        <f t="shared" si="133"/>
        <v>0</v>
      </c>
      <c r="Q239" s="624">
        <f t="shared" si="133"/>
        <v>0</v>
      </c>
      <c r="R239" s="357"/>
      <c r="S239" s="858">
        <v>532</v>
      </c>
      <c r="T239" s="858">
        <v>127</v>
      </c>
      <c r="U239" s="858">
        <v>219</v>
      </c>
      <c r="V239" s="858">
        <v>63</v>
      </c>
      <c r="W239" s="858"/>
      <c r="X239" s="858"/>
      <c r="Y239" s="859">
        <v>941</v>
      </c>
      <c r="Z239" s="859"/>
      <c r="AA239" s="858"/>
      <c r="AB239" s="858"/>
      <c r="AC239" s="858"/>
      <c r="AD239" s="858"/>
      <c r="AE239" s="859">
        <v>124</v>
      </c>
      <c r="AF239" s="859"/>
      <c r="AG239" s="858"/>
      <c r="AH239" s="859"/>
    </row>
    <row r="240" spans="1:34">
      <c r="A240" s="883"/>
      <c r="B240" s="239" t="s">
        <v>78</v>
      </c>
      <c r="C240" s="806">
        <f t="shared" si="134"/>
        <v>9.2961487383798141E-2</v>
      </c>
      <c r="D240" s="806">
        <f t="shared" si="132"/>
        <v>5.7142857142857141E-2</v>
      </c>
      <c r="E240" s="806">
        <f t="shared" si="132"/>
        <v>0.22897196261682243</v>
      </c>
      <c r="F240" s="806">
        <f t="shared" si="132"/>
        <v>3.5971223021582736E-3</v>
      </c>
      <c r="G240" s="806">
        <f t="shared" si="132"/>
        <v>0</v>
      </c>
      <c r="H240" s="806">
        <f t="shared" si="132"/>
        <v>0</v>
      </c>
      <c r="I240" s="624">
        <f t="shared" si="132"/>
        <v>0.11153649821337418</v>
      </c>
      <c r="J240" s="624">
        <f t="shared" si="132"/>
        <v>0</v>
      </c>
      <c r="K240" s="625">
        <f t="shared" si="132"/>
        <v>0</v>
      </c>
      <c r="L240" s="625">
        <f t="shared" si="132"/>
        <v>0</v>
      </c>
      <c r="M240" s="625">
        <f t="shared" si="132"/>
        <v>0</v>
      </c>
      <c r="N240" s="624">
        <f t="shared" si="135"/>
        <v>0.41390460792239286</v>
      </c>
      <c r="O240" s="624">
        <f t="shared" si="133"/>
        <v>0</v>
      </c>
      <c r="P240" s="626">
        <f t="shared" si="133"/>
        <v>0</v>
      </c>
      <c r="Q240" s="624">
        <f t="shared" si="133"/>
        <v>0.71946564885496178</v>
      </c>
      <c r="R240" s="357"/>
      <c r="S240" s="858">
        <v>210</v>
      </c>
      <c r="T240" s="858">
        <v>30</v>
      </c>
      <c r="U240" s="858">
        <v>196</v>
      </c>
      <c r="V240" s="858">
        <v>1</v>
      </c>
      <c r="W240" s="858"/>
      <c r="X240" s="858"/>
      <c r="Y240" s="859">
        <v>437</v>
      </c>
      <c r="Z240" s="859"/>
      <c r="AA240" s="858"/>
      <c r="AB240" s="858"/>
      <c r="AC240" s="858"/>
      <c r="AD240" s="858"/>
      <c r="AE240" s="859">
        <v>512</v>
      </c>
      <c r="AF240" s="859"/>
      <c r="AG240" s="858"/>
      <c r="AH240" s="859">
        <v>377</v>
      </c>
    </row>
    <row r="241" spans="1:34">
      <c r="A241" s="884"/>
      <c r="B241" s="580" t="s">
        <v>131</v>
      </c>
      <c r="C241" s="806">
        <f t="shared" si="134"/>
        <v>5.4006197432492256E-2</v>
      </c>
      <c r="D241" s="806">
        <f t="shared" si="132"/>
        <v>0.18285714285714286</v>
      </c>
      <c r="E241" s="806">
        <f t="shared" si="132"/>
        <v>0</v>
      </c>
      <c r="F241" s="806">
        <f t="shared" si="132"/>
        <v>0.25179856115107913</v>
      </c>
      <c r="G241" s="806">
        <f t="shared" si="132"/>
        <v>0</v>
      </c>
      <c r="H241" s="806">
        <f t="shared" si="132"/>
        <v>0</v>
      </c>
      <c r="I241" s="624">
        <f t="shared" si="132"/>
        <v>7.3506891271056668E-2</v>
      </c>
      <c r="J241" s="624">
        <f t="shared" si="132"/>
        <v>0</v>
      </c>
      <c r="K241" s="625">
        <f t="shared" si="132"/>
        <v>0</v>
      </c>
      <c r="L241" s="625">
        <f t="shared" si="132"/>
        <v>0</v>
      </c>
      <c r="M241" s="625">
        <f t="shared" si="132"/>
        <v>0</v>
      </c>
      <c r="N241" s="624">
        <f t="shared" si="135"/>
        <v>6.0630557801131774E-2</v>
      </c>
      <c r="O241" s="624">
        <f t="shared" si="133"/>
        <v>0</v>
      </c>
      <c r="P241" s="626">
        <f t="shared" si="133"/>
        <v>0</v>
      </c>
      <c r="Q241" s="624">
        <f t="shared" si="133"/>
        <v>0.1183206106870229</v>
      </c>
      <c r="R241" s="357"/>
      <c r="S241" s="858">
        <v>122</v>
      </c>
      <c r="T241" s="858">
        <v>96</v>
      </c>
      <c r="U241" s="858">
        <v>0</v>
      </c>
      <c r="V241" s="858">
        <v>70</v>
      </c>
      <c r="W241" s="858">
        <v>0</v>
      </c>
      <c r="X241" s="858">
        <v>0</v>
      </c>
      <c r="Y241" s="859">
        <v>288</v>
      </c>
      <c r="Z241" s="859"/>
      <c r="AA241" s="858"/>
      <c r="AB241" s="858"/>
      <c r="AC241" s="858"/>
      <c r="AD241" s="858"/>
      <c r="AE241" s="859">
        <v>75</v>
      </c>
      <c r="AF241" s="859"/>
      <c r="AG241" s="858"/>
      <c r="AH241" s="859">
        <v>62</v>
      </c>
    </row>
    <row r="242" spans="1:34">
      <c r="A242" s="885"/>
      <c r="B242" s="436" t="s">
        <v>59</v>
      </c>
      <c r="C242" s="807">
        <f t="shared" si="134"/>
        <v>1</v>
      </c>
      <c r="D242" s="808">
        <f t="shared" si="132"/>
        <v>1</v>
      </c>
      <c r="E242" s="808">
        <f t="shared" si="132"/>
        <v>1</v>
      </c>
      <c r="F242" s="808">
        <f t="shared" si="132"/>
        <v>1</v>
      </c>
      <c r="G242" s="808">
        <f t="shared" si="132"/>
        <v>0</v>
      </c>
      <c r="H242" s="809">
        <f t="shared" si="132"/>
        <v>0</v>
      </c>
      <c r="I242" s="577">
        <f t="shared" si="132"/>
        <v>1</v>
      </c>
      <c r="J242" s="577">
        <f t="shared" si="132"/>
        <v>0</v>
      </c>
      <c r="K242" s="578">
        <f t="shared" si="132"/>
        <v>0</v>
      </c>
      <c r="L242" s="578">
        <f t="shared" si="132"/>
        <v>0</v>
      </c>
      <c r="M242" s="578">
        <f t="shared" si="132"/>
        <v>0</v>
      </c>
      <c r="N242" s="577">
        <f t="shared" si="135"/>
        <v>1</v>
      </c>
      <c r="O242" s="577">
        <f t="shared" si="133"/>
        <v>0</v>
      </c>
      <c r="P242" s="579">
        <f t="shared" si="133"/>
        <v>0</v>
      </c>
      <c r="Q242" s="577">
        <f t="shared" si="133"/>
        <v>1</v>
      </c>
      <c r="R242" s="357"/>
      <c r="S242" s="858">
        <v>2259</v>
      </c>
      <c r="T242" s="858">
        <v>525</v>
      </c>
      <c r="U242" s="858">
        <v>856</v>
      </c>
      <c r="V242" s="858">
        <v>278</v>
      </c>
      <c r="W242" s="858"/>
      <c r="X242" s="858"/>
      <c r="Y242" s="859">
        <v>3918</v>
      </c>
      <c r="Z242" s="859"/>
      <c r="AA242" s="858"/>
      <c r="AB242" s="858"/>
      <c r="AC242" s="858"/>
      <c r="AD242" s="858"/>
      <c r="AE242" s="859">
        <v>1237</v>
      </c>
      <c r="AF242" s="859"/>
      <c r="AG242" s="858"/>
      <c r="AH242" s="859">
        <v>524</v>
      </c>
    </row>
    <row r="243" spans="1:34">
      <c r="A243" s="882" t="s">
        <v>149</v>
      </c>
      <c r="B243" s="240" t="s">
        <v>53</v>
      </c>
      <c r="C243" s="806">
        <f>IF(S$248&gt;0,(S243/S$248),0)</f>
        <v>0.33773261185165632</v>
      </c>
      <c r="D243" s="806">
        <f t="shared" ref="D243:M248" si="136">IF(T$248&gt;0,(T243/T$248),0)</f>
        <v>0.29888432178508512</v>
      </c>
      <c r="E243" s="806">
        <f t="shared" si="136"/>
        <v>0.29416031918752267</v>
      </c>
      <c r="F243" s="806">
        <f t="shared" si="136"/>
        <v>0.21718931475029035</v>
      </c>
      <c r="G243" s="806">
        <f t="shared" si="136"/>
        <v>0</v>
      </c>
      <c r="H243" s="806">
        <f t="shared" si="136"/>
        <v>0.25892857142857145</v>
      </c>
      <c r="I243" s="613">
        <f t="shared" si="136"/>
        <v>0.31475787855495774</v>
      </c>
      <c r="J243" s="613">
        <f t="shared" si="136"/>
        <v>0</v>
      </c>
      <c r="K243" s="614">
        <f t="shared" si="136"/>
        <v>0</v>
      </c>
      <c r="L243" s="614">
        <f t="shared" si="136"/>
        <v>0</v>
      </c>
      <c r="M243" s="614">
        <f t="shared" si="136"/>
        <v>0</v>
      </c>
      <c r="N243" s="613">
        <f>IF(AE$248&gt;0,(AE243/AE$248),0)</f>
        <v>0.23022151898734178</v>
      </c>
      <c r="O243" s="613">
        <f t="shared" ref="O243:Q248" si="137">IF(AF$248&gt;0,(AF243/AF$248),0)</f>
        <v>0</v>
      </c>
      <c r="P243" s="615">
        <f t="shared" si="137"/>
        <v>0</v>
      </c>
      <c r="Q243" s="613">
        <f t="shared" si="137"/>
        <v>0.11304347826086956</v>
      </c>
      <c r="R243" s="799"/>
      <c r="S243" s="856">
        <v>2559</v>
      </c>
      <c r="T243" s="856">
        <v>509</v>
      </c>
      <c r="U243" s="856">
        <v>811</v>
      </c>
      <c r="V243" s="856">
        <v>187</v>
      </c>
      <c r="W243" s="856"/>
      <c r="X243" s="856">
        <v>29</v>
      </c>
      <c r="Y243" s="857">
        <v>4095</v>
      </c>
      <c r="Z243" s="857"/>
      <c r="AA243" s="856"/>
      <c r="AB243" s="856"/>
      <c r="AC243" s="856"/>
      <c r="AD243" s="856"/>
      <c r="AE243" s="857">
        <v>582</v>
      </c>
      <c r="AF243" s="857"/>
      <c r="AG243" s="856"/>
      <c r="AH243" s="857">
        <v>26</v>
      </c>
    </row>
    <row r="244" spans="1:34">
      <c r="A244" s="883"/>
      <c r="B244" s="239" t="s">
        <v>93</v>
      </c>
      <c r="C244" s="806">
        <f t="shared" ref="C244:C248" si="138">IF(S$248&gt;0,(S244/S$248),0)</f>
        <v>0.23003827372310942</v>
      </c>
      <c r="D244" s="806">
        <f t="shared" si="136"/>
        <v>0.27891955372871402</v>
      </c>
      <c r="E244" s="806">
        <f t="shared" si="136"/>
        <v>0.27421109902067464</v>
      </c>
      <c r="F244" s="806">
        <f t="shared" si="136"/>
        <v>0.1672473867595819</v>
      </c>
      <c r="G244" s="806">
        <f t="shared" si="136"/>
        <v>0</v>
      </c>
      <c r="H244" s="806">
        <f t="shared" si="136"/>
        <v>0.24107142857142858</v>
      </c>
      <c r="I244" s="624">
        <f t="shared" si="136"/>
        <v>0.24173712528823982</v>
      </c>
      <c r="J244" s="624">
        <f t="shared" si="136"/>
        <v>0</v>
      </c>
      <c r="K244" s="625">
        <f t="shared" si="136"/>
        <v>0</v>
      </c>
      <c r="L244" s="625">
        <f t="shared" si="136"/>
        <v>0</v>
      </c>
      <c r="M244" s="625">
        <f t="shared" si="136"/>
        <v>0</v>
      </c>
      <c r="N244" s="624">
        <f t="shared" ref="N244:N248" si="139">IF(AE$248&gt;0,(AE244/AE$248),0)</f>
        <v>6.2895569620253167E-2</v>
      </c>
      <c r="O244" s="624">
        <f t="shared" si="137"/>
        <v>0</v>
      </c>
      <c r="P244" s="626">
        <f t="shared" si="137"/>
        <v>0</v>
      </c>
      <c r="Q244" s="624">
        <f t="shared" si="137"/>
        <v>0</v>
      </c>
      <c r="R244" s="357"/>
      <c r="S244" s="858">
        <v>1743</v>
      </c>
      <c r="T244" s="858">
        <v>475</v>
      </c>
      <c r="U244" s="858">
        <v>756</v>
      </c>
      <c r="V244" s="858">
        <v>144</v>
      </c>
      <c r="W244" s="858"/>
      <c r="X244" s="858">
        <v>27</v>
      </c>
      <c r="Y244" s="859">
        <v>3145</v>
      </c>
      <c r="Z244" s="859"/>
      <c r="AA244" s="858"/>
      <c r="AB244" s="858"/>
      <c r="AC244" s="858"/>
      <c r="AD244" s="858"/>
      <c r="AE244" s="859">
        <v>159</v>
      </c>
      <c r="AF244" s="859"/>
      <c r="AG244" s="858"/>
      <c r="AH244" s="859"/>
    </row>
    <row r="245" spans="1:34">
      <c r="A245" s="883"/>
      <c r="B245" s="239" t="s">
        <v>55</v>
      </c>
      <c r="C245" s="806">
        <f t="shared" si="138"/>
        <v>0.20865778012405967</v>
      </c>
      <c r="D245" s="806">
        <f t="shared" si="136"/>
        <v>0.25190839694656486</v>
      </c>
      <c r="E245" s="806">
        <f t="shared" si="136"/>
        <v>0.23322451940515052</v>
      </c>
      <c r="F245" s="806">
        <f t="shared" si="136"/>
        <v>0.14866434378629501</v>
      </c>
      <c r="G245" s="806">
        <f t="shared" si="136"/>
        <v>0</v>
      </c>
      <c r="H245" s="806">
        <f t="shared" si="136"/>
        <v>0.39285714285714285</v>
      </c>
      <c r="I245" s="624">
        <f t="shared" si="136"/>
        <v>0.21714066102997695</v>
      </c>
      <c r="J245" s="624">
        <f t="shared" si="136"/>
        <v>0</v>
      </c>
      <c r="K245" s="625">
        <f t="shared" si="136"/>
        <v>0</v>
      </c>
      <c r="L245" s="625">
        <f t="shared" si="136"/>
        <v>0</v>
      </c>
      <c r="M245" s="625">
        <f t="shared" si="136"/>
        <v>0</v>
      </c>
      <c r="N245" s="624">
        <f t="shared" si="139"/>
        <v>6.091772151898734E-2</v>
      </c>
      <c r="O245" s="624">
        <f t="shared" si="137"/>
        <v>0</v>
      </c>
      <c r="P245" s="626">
        <f t="shared" si="137"/>
        <v>0</v>
      </c>
      <c r="Q245" s="624">
        <f t="shared" si="137"/>
        <v>0</v>
      </c>
      <c r="R245" s="357"/>
      <c r="S245" s="858">
        <v>1581</v>
      </c>
      <c r="T245" s="858">
        <v>429</v>
      </c>
      <c r="U245" s="858">
        <v>643</v>
      </c>
      <c r="V245" s="858">
        <v>128</v>
      </c>
      <c r="W245" s="858"/>
      <c r="X245" s="858">
        <v>44</v>
      </c>
      <c r="Y245" s="859">
        <v>2825</v>
      </c>
      <c r="Z245" s="859"/>
      <c r="AA245" s="858"/>
      <c r="AB245" s="858"/>
      <c r="AC245" s="858"/>
      <c r="AD245" s="858"/>
      <c r="AE245" s="859">
        <v>154</v>
      </c>
      <c r="AF245" s="859"/>
      <c r="AG245" s="858"/>
      <c r="AH245" s="859"/>
    </row>
    <row r="246" spans="1:34">
      <c r="A246" s="883"/>
      <c r="B246" s="239" t="s">
        <v>78</v>
      </c>
      <c r="C246" s="806">
        <f t="shared" si="138"/>
        <v>3.4974264220667808E-2</v>
      </c>
      <c r="D246" s="806">
        <f t="shared" si="136"/>
        <v>4.7563123899001761E-2</v>
      </c>
      <c r="E246" s="806">
        <f t="shared" si="136"/>
        <v>2.0674646354733407E-2</v>
      </c>
      <c r="F246" s="806">
        <f t="shared" si="136"/>
        <v>1.2775842044134728E-2</v>
      </c>
      <c r="G246" s="806">
        <f t="shared" si="136"/>
        <v>0</v>
      </c>
      <c r="H246" s="806">
        <f t="shared" si="136"/>
        <v>8.0357142857142863E-2</v>
      </c>
      <c r="I246" s="624">
        <f t="shared" si="136"/>
        <v>3.2513451191391235E-2</v>
      </c>
      <c r="J246" s="624">
        <f t="shared" si="136"/>
        <v>0</v>
      </c>
      <c r="K246" s="625">
        <f t="shared" si="136"/>
        <v>0</v>
      </c>
      <c r="L246" s="625">
        <f t="shared" si="136"/>
        <v>0</v>
      </c>
      <c r="M246" s="625">
        <f t="shared" si="136"/>
        <v>0</v>
      </c>
      <c r="N246" s="624">
        <f t="shared" si="139"/>
        <v>0.25751582278481011</v>
      </c>
      <c r="O246" s="624">
        <f t="shared" si="137"/>
        <v>0</v>
      </c>
      <c r="P246" s="626">
        <f t="shared" si="137"/>
        <v>0</v>
      </c>
      <c r="Q246" s="624">
        <f t="shared" si="137"/>
        <v>0.88695652173913042</v>
      </c>
      <c r="R246" s="357"/>
      <c r="S246" s="858">
        <v>265</v>
      </c>
      <c r="T246" s="858">
        <v>81</v>
      </c>
      <c r="U246" s="858">
        <v>57</v>
      </c>
      <c r="V246" s="858">
        <v>11</v>
      </c>
      <c r="W246" s="858"/>
      <c r="X246" s="858">
        <v>9</v>
      </c>
      <c r="Y246" s="859">
        <v>423</v>
      </c>
      <c r="Z246" s="859"/>
      <c r="AA246" s="858"/>
      <c r="AB246" s="858"/>
      <c r="AC246" s="858"/>
      <c r="AD246" s="858"/>
      <c r="AE246" s="859">
        <v>651</v>
      </c>
      <c r="AF246" s="859"/>
      <c r="AG246" s="858"/>
      <c r="AH246" s="859">
        <v>204</v>
      </c>
    </row>
    <row r="247" spans="1:34">
      <c r="A247" s="884"/>
      <c r="B247" s="580" t="s">
        <v>131</v>
      </c>
      <c r="C247" s="806">
        <f t="shared" si="138"/>
        <v>0.1885970700805068</v>
      </c>
      <c r="D247" s="806">
        <f t="shared" si="136"/>
        <v>0.12272460364063417</v>
      </c>
      <c r="E247" s="806">
        <f t="shared" si="136"/>
        <v>0.17772941603191875</v>
      </c>
      <c r="F247" s="806">
        <f t="shared" si="136"/>
        <v>0.45412311265969801</v>
      </c>
      <c r="G247" s="806">
        <f t="shared" si="136"/>
        <v>0</v>
      </c>
      <c r="H247" s="806">
        <f t="shared" si="136"/>
        <v>2.6785714285714284E-2</v>
      </c>
      <c r="I247" s="624">
        <f t="shared" si="136"/>
        <v>0.19385088393543429</v>
      </c>
      <c r="J247" s="624">
        <f t="shared" si="136"/>
        <v>0</v>
      </c>
      <c r="K247" s="625">
        <f t="shared" si="136"/>
        <v>0</v>
      </c>
      <c r="L247" s="625">
        <f t="shared" si="136"/>
        <v>0</v>
      </c>
      <c r="M247" s="625">
        <f t="shared" si="136"/>
        <v>0</v>
      </c>
      <c r="N247" s="624">
        <f t="shared" si="139"/>
        <v>0.38844936708860761</v>
      </c>
      <c r="O247" s="624">
        <f t="shared" si="137"/>
        <v>0</v>
      </c>
      <c r="P247" s="626">
        <f t="shared" si="137"/>
        <v>0</v>
      </c>
      <c r="Q247" s="624">
        <f t="shared" si="137"/>
        <v>0</v>
      </c>
      <c r="R247" s="357"/>
      <c r="S247" s="858">
        <v>1429</v>
      </c>
      <c r="T247" s="858">
        <v>209</v>
      </c>
      <c r="U247" s="858">
        <v>490</v>
      </c>
      <c r="V247" s="858">
        <v>391</v>
      </c>
      <c r="W247" s="858">
        <v>0</v>
      </c>
      <c r="X247" s="858">
        <v>3</v>
      </c>
      <c r="Y247" s="859">
        <v>2522</v>
      </c>
      <c r="Z247" s="859"/>
      <c r="AA247" s="858"/>
      <c r="AB247" s="858"/>
      <c r="AC247" s="858"/>
      <c r="AD247" s="858"/>
      <c r="AE247" s="859">
        <v>982</v>
      </c>
      <c r="AF247" s="859"/>
      <c r="AG247" s="858"/>
      <c r="AH247" s="859"/>
    </row>
    <row r="248" spans="1:34">
      <c r="A248" s="885"/>
      <c r="B248" s="436" t="s">
        <v>59</v>
      </c>
      <c r="C248" s="807">
        <f t="shared" si="138"/>
        <v>1</v>
      </c>
      <c r="D248" s="808">
        <f t="shared" si="136"/>
        <v>1</v>
      </c>
      <c r="E248" s="808">
        <f t="shared" si="136"/>
        <v>1</v>
      </c>
      <c r="F248" s="808">
        <f t="shared" si="136"/>
        <v>1</v>
      </c>
      <c r="G248" s="808">
        <f t="shared" si="136"/>
        <v>0</v>
      </c>
      <c r="H248" s="809">
        <f t="shared" si="136"/>
        <v>1</v>
      </c>
      <c r="I248" s="577">
        <f t="shared" si="136"/>
        <v>1</v>
      </c>
      <c r="J248" s="577">
        <f t="shared" si="136"/>
        <v>0</v>
      </c>
      <c r="K248" s="578">
        <f t="shared" si="136"/>
        <v>0</v>
      </c>
      <c r="L248" s="578">
        <f t="shared" si="136"/>
        <v>0</v>
      </c>
      <c r="M248" s="578">
        <f t="shared" si="136"/>
        <v>0</v>
      </c>
      <c r="N248" s="577">
        <f t="shared" si="139"/>
        <v>1</v>
      </c>
      <c r="O248" s="577">
        <f t="shared" si="137"/>
        <v>0</v>
      </c>
      <c r="P248" s="579">
        <f t="shared" si="137"/>
        <v>0</v>
      </c>
      <c r="Q248" s="577">
        <f t="shared" si="137"/>
        <v>1</v>
      </c>
      <c r="R248" s="357"/>
      <c r="S248" s="858">
        <v>7577</v>
      </c>
      <c r="T248" s="858">
        <v>1703</v>
      </c>
      <c r="U248" s="858">
        <v>2757</v>
      </c>
      <c r="V248" s="858">
        <v>861</v>
      </c>
      <c r="W248" s="858"/>
      <c r="X248" s="858">
        <v>112</v>
      </c>
      <c r="Y248" s="859">
        <v>13010</v>
      </c>
      <c r="Z248" s="859"/>
      <c r="AA248" s="858"/>
      <c r="AB248" s="858"/>
      <c r="AC248" s="858"/>
      <c r="AD248" s="858"/>
      <c r="AE248" s="859">
        <v>2528</v>
      </c>
      <c r="AF248" s="859"/>
      <c r="AG248" s="858"/>
      <c r="AH248" s="859">
        <v>230</v>
      </c>
    </row>
    <row r="249" spans="1:34">
      <c r="A249" s="882" t="s">
        <v>150</v>
      </c>
      <c r="B249" s="240" t="s">
        <v>53</v>
      </c>
      <c r="C249" s="806">
        <f>IF(S$254&gt;0,(S249/S$254),0)</f>
        <v>0.38387635756056809</v>
      </c>
      <c r="D249" s="806">
        <f t="shared" ref="D249:M254" si="140">IF(T$254&gt;0,(T249/T$254),0)</f>
        <v>0</v>
      </c>
      <c r="E249" s="806">
        <f t="shared" si="140"/>
        <v>0.30631276901004306</v>
      </c>
      <c r="F249" s="806">
        <f t="shared" si="140"/>
        <v>0.38301886792452833</v>
      </c>
      <c r="G249" s="806">
        <f t="shared" si="140"/>
        <v>0.38127853881278539</v>
      </c>
      <c r="H249" s="806">
        <f t="shared" si="140"/>
        <v>0.12376237623762376</v>
      </c>
      <c r="I249" s="613">
        <f t="shared" si="140"/>
        <v>0.35114965711980639</v>
      </c>
      <c r="J249" s="613">
        <f t="shared" si="140"/>
        <v>0</v>
      </c>
      <c r="K249" s="614">
        <f t="shared" si="140"/>
        <v>0</v>
      </c>
      <c r="L249" s="614">
        <f t="shared" si="140"/>
        <v>0</v>
      </c>
      <c r="M249" s="614">
        <f t="shared" si="140"/>
        <v>0</v>
      </c>
      <c r="N249" s="613">
        <f>IF(AE$254&gt;0,(AE249/AE$254),0)</f>
        <v>0</v>
      </c>
      <c r="O249" s="613">
        <f t="shared" ref="O249:Q254" si="141">IF(AF$254&gt;0,(AF249/AF$254),0)</f>
        <v>0</v>
      </c>
      <c r="P249" s="615">
        <f t="shared" si="141"/>
        <v>0</v>
      </c>
      <c r="Q249" s="613">
        <f t="shared" si="141"/>
        <v>0</v>
      </c>
      <c r="R249" s="799"/>
      <c r="S249" s="856">
        <v>919</v>
      </c>
      <c r="T249" s="856"/>
      <c r="U249" s="856">
        <v>427</v>
      </c>
      <c r="V249" s="856">
        <v>203</v>
      </c>
      <c r="W249" s="856">
        <v>167</v>
      </c>
      <c r="X249" s="856">
        <v>25</v>
      </c>
      <c r="Y249" s="857">
        <v>1741</v>
      </c>
      <c r="Z249" s="857"/>
      <c r="AA249" s="856"/>
      <c r="AB249" s="856"/>
      <c r="AC249" s="856"/>
      <c r="AD249" s="856"/>
      <c r="AE249" s="857"/>
      <c r="AF249" s="857"/>
      <c r="AG249" s="856"/>
      <c r="AH249" s="857"/>
    </row>
    <row r="250" spans="1:34">
      <c r="A250" s="883"/>
      <c r="B250" s="239" t="s">
        <v>93</v>
      </c>
      <c r="C250" s="806">
        <f t="shared" ref="C250:C254" si="142">IF(S$254&gt;0,(S250/S$254),0)</f>
        <v>0.26274018379281538</v>
      </c>
      <c r="D250" s="806">
        <f t="shared" si="140"/>
        <v>0</v>
      </c>
      <c r="E250" s="806">
        <f t="shared" si="140"/>
        <v>0.32281205164992827</v>
      </c>
      <c r="F250" s="806">
        <f t="shared" si="140"/>
        <v>0.26226415094339622</v>
      </c>
      <c r="G250" s="806">
        <f t="shared" si="140"/>
        <v>0.22602739726027396</v>
      </c>
      <c r="H250" s="806">
        <f t="shared" si="140"/>
        <v>0.31188118811881188</v>
      </c>
      <c r="I250" s="624">
        <f t="shared" si="140"/>
        <v>0.27833803953206937</v>
      </c>
      <c r="J250" s="624">
        <f t="shared" si="140"/>
        <v>0</v>
      </c>
      <c r="K250" s="625">
        <f t="shared" si="140"/>
        <v>0</v>
      </c>
      <c r="L250" s="625">
        <f t="shared" si="140"/>
        <v>0</v>
      </c>
      <c r="M250" s="625">
        <f t="shared" si="140"/>
        <v>0</v>
      </c>
      <c r="N250" s="624">
        <f t="shared" ref="N250:N254" si="143">IF(AE$254&gt;0,(AE250/AE$254),0)</f>
        <v>0</v>
      </c>
      <c r="O250" s="624">
        <f t="shared" si="141"/>
        <v>0</v>
      </c>
      <c r="P250" s="626">
        <f t="shared" si="141"/>
        <v>0</v>
      </c>
      <c r="Q250" s="624">
        <f t="shared" si="141"/>
        <v>0</v>
      </c>
      <c r="R250" s="357"/>
      <c r="S250" s="858">
        <v>629</v>
      </c>
      <c r="T250" s="858"/>
      <c r="U250" s="858">
        <v>450</v>
      </c>
      <c r="V250" s="858">
        <v>139</v>
      </c>
      <c r="W250" s="858">
        <v>99</v>
      </c>
      <c r="X250" s="858">
        <v>63</v>
      </c>
      <c r="Y250" s="859">
        <v>1380</v>
      </c>
      <c r="Z250" s="859"/>
      <c r="AA250" s="858"/>
      <c r="AB250" s="858"/>
      <c r="AC250" s="858"/>
      <c r="AD250" s="858"/>
      <c r="AE250" s="859"/>
      <c r="AF250" s="859"/>
      <c r="AG250" s="858"/>
      <c r="AH250" s="859"/>
    </row>
    <row r="251" spans="1:34">
      <c r="A251" s="883"/>
      <c r="B251" s="239" t="s">
        <v>55</v>
      </c>
      <c r="C251" s="806">
        <f t="shared" si="142"/>
        <v>0.18922305764411027</v>
      </c>
      <c r="D251" s="806">
        <f t="shared" si="140"/>
        <v>0</v>
      </c>
      <c r="E251" s="806">
        <f t="shared" si="140"/>
        <v>0.27977044476327118</v>
      </c>
      <c r="F251" s="806">
        <f t="shared" si="140"/>
        <v>0.330188679245283</v>
      </c>
      <c r="G251" s="806">
        <f t="shared" si="140"/>
        <v>0.31735159817351599</v>
      </c>
      <c r="H251" s="806">
        <f t="shared" si="140"/>
        <v>0.19306930693069307</v>
      </c>
      <c r="I251" s="624">
        <f t="shared" si="140"/>
        <v>0.24122630092779346</v>
      </c>
      <c r="J251" s="624">
        <f t="shared" si="140"/>
        <v>0</v>
      </c>
      <c r="K251" s="625">
        <f t="shared" si="140"/>
        <v>0</v>
      </c>
      <c r="L251" s="625">
        <f t="shared" si="140"/>
        <v>0</v>
      </c>
      <c r="M251" s="625">
        <f t="shared" si="140"/>
        <v>0</v>
      </c>
      <c r="N251" s="624">
        <f t="shared" si="143"/>
        <v>0</v>
      </c>
      <c r="O251" s="624">
        <f t="shared" si="141"/>
        <v>0</v>
      </c>
      <c r="P251" s="626">
        <f t="shared" si="141"/>
        <v>0</v>
      </c>
      <c r="Q251" s="624">
        <f t="shared" si="141"/>
        <v>0</v>
      </c>
      <c r="R251" s="357"/>
      <c r="S251" s="858">
        <v>453</v>
      </c>
      <c r="T251" s="858"/>
      <c r="U251" s="858">
        <v>390</v>
      </c>
      <c r="V251" s="858">
        <v>175</v>
      </c>
      <c r="W251" s="858">
        <v>139</v>
      </c>
      <c r="X251" s="858">
        <v>39</v>
      </c>
      <c r="Y251" s="859">
        <v>1196</v>
      </c>
      <c r="Z251" s="859"/>
      <c r="AA251" s="858"/>
      <c r="AB251" s="858"/>
      <c r="AC251" s="858"/>
      <c r="AD251" s="858"/>
      <c r="AE251" s="859"/>
      <c r="AF251" s="859"/>
      <c r="AG251" s="858"/>
      <c r="AH251" s="859"/>
    </row>
    <row r="252" spans="1:34">
      <c r="A252" s="883"/>
      <c r="B252" s="239" t="s">
        <v>78</v>
      </c>
      <c r="C252" s="806">
        <f t="shared" si="142"/>
        <v>5.8479532163742687E-3</v>
      </c>
      <c r="D252" s="806">
        <f t="shared" si="140"/>
        <v>0</v>
      </c>
      <c r="E252" s="806">
        <f t="shared" si="140"/>
        <v>8.9670014347202301E-2</v>
      </c>
      <c r="F252" s="806">
        <f t="shared" si="140"/>
        <v>2.4528301886792454E-2</v>
      </c>
      <c r="G252" s="806">
        <f t="shared" si="140"/>
        <v>7.5342465753424653E-2</v>
      </c>
      <c r="H252" s="806">
        <f t="shared" si="140"/>
        <v>3.9603960396039604E-2</v>
      </c>
      <c r="I252" s="624">
        <f t="shared" si="140"/>
        <v>3.8926986688180717E-2</v>
      </c>
      <c r="J252" s="624">
        <f t="shared" si="140"/>
        <v>0</v>
      </c>
      <c r="K252" s="625">
        <f t="shared" si="140"/>
        <v>0</v>
      </c>
      <c r="L252" s="625">
        <f t="shared" si="140"/>
        <v>0</v>
      </c>
      <c r="M252" s="625">
        <f t="shared" si="140"/>
        <v>0</v>
      </c>
      <c r="N252" s="624">
        <f t="shared" si="143"/>
        <v>1</v>
      </c>
      <c r="O252" s="624">
        <f t="shared" si="141"/>
        <v>0</v>
      </c>
      <c r="P252" s="626">
        <f t="shared" si="141"/>
        <v>0</v>
      </c>
      <c r="Q252" s="624">
        <f t="shared" si="141"/>
        <v>1</v>
      </c>
      <c r="R252" s="357"/>
      <c r="S252" s="858">
        <v>14</v>
      </c>
      <c r="T252" s="858"/>
      <c r="U252" s="858">
        <v>125</v>
      </c>
      <c r="V252" s="858">
        <v>13</v>
      </c>
      <c r="W252" s="858">
        <v>33</v>
      </c>
      <c r="X252" s="858">
        <v>8</v>
      </c>
      <c r="Y252" s="859">
        <v>193</v>
      </c>
      <c r="Z252" s="859"/>
      <c r="AA252" s="858"/>
      <c r="AB252" s="858"/>
      <c r="AC252" s="858"/>
      <c r="AD252" s="858"/>
      <c r="AE252" s="859">
        <v>1974</v>
      </c>
      <c r="AF252" s="859"/>
      <c r="AG252" s="858"/>
      <c r="AH252" s="859">
        <v>605</v>
      </c>
    </row>
    <row r="253" spans="1:34">
      <c r="A253" s="884"/>
      <c r="B253" s="580" t="s">
        <v>131</v>
      </c>
      <c r="C253" s="806">
        <f t="shared" si="142"/>
        <v>0.15831244778613199</v>
      </c>
      <c r="D253" s="806">
        <f t="shared" si="140"/>
        <v>0</v>
      </c>
      <c r="E253" s="806">
        <f t="shared" si="140"/>
        <v>1.4347202295552368E-3</v>
      </c>
      <c r="F253" s="806">
        <f t="shared" si="140"/>
        <v>0</v>
      </c>
      <c r="G253" s="806">
        <f t="shared" si="140"/>
        <v>0</v>
      </c>
      <c r="H253" s="806">
        <f t="shared" si="140"/>
        <v>0.3316831683168317</v>
      </c>
      <c r="I253" s="624">
        <f t="shared" si="140"/>
        <v>9.0359015732150064E-2</v>
      </c>
      <c r="J253" s="624">
        <f t="shared" si="140"/>
        <v>0</v>
      </c>
      <c r="K253" s="625">
        <f t="shared" si="140"/>
        <v>0</v>
      </c>
      <c r="L253" s="625">
        <f t="shared" si="140"/>
        <v>0</v>
      </c>
      <c r="M253" s="625">
        <f t="shared" si="140"/>
        <v>0</v>
      </c>
      <c r="N253" s="624">
        <f t="shared" si="143"/>
        <v>0</v>
      </c>
      <c r="O253" s="624">
        <f t="shared" si="141"/>
        <v>0</v>
      </c>
      <c r="P253" s="626">
        <f t="shared" si="141"/>
        <v>0</v>
      </c>
      <c r="Q253" s="624">
        <f t="shared" si="141"/>
        <v>0</v>
      </c>
      <c r="R253" s="357"/>
      <c r="S253" s="858">
        <v>379</v>
      </c>
      <c r="T253" s="858">
        <v>0</v>
      </c>
      <c r="U253" s="858">
        <v>2</v>
      </c>
      <c r="V253" s="858">
        <v>0</v>
      </c>
      <c r="W253" s="858">
        <v>0</v>
      </c>
      <c r="X253" s="858">
        <v>67</v>
      </c>
      <c r="Y253" s="859">
        <v>448</v>
      </c>
      <c r="Z253" s="859"/>
      <c r="AA253" s="858"/>
      <c r="AB253" s="858"/>
      <c r="AC253" s="858"/>
      <c r="AD253" s="858"/>
      <c r="AE253" s="859"/>
      <c r="AF253" s="859"/>
      <c r="AG253" s="858"/>
      <c r="AH253" s="859"/>
    </row>
    <row r="254" spans="1:34">
      <c r="A254" s="885"/>
      <c r="B254" s="436" t="s">
        <v>59</v>
      </c>
      <c r="C254" s="807">
        <f t="shared" si="142"/>
        <v>1</v>
      </c>
      <c r="D254" s="808">
        <f t="shared" si="140"/>
        <v>0</v>
      </c>
      <c r="E254" s="808">
        <f t="shared" si="140"/>
        <v>1</v>
      </c>
      <c r="F254" s="808">
        <f t="shared" si="140"/>
        <v>1</v>
      </c>
      <c r="G254" s="808">
        <f t="shared" si="140"/>
        <v>1</v>
      </c>
      <c r="H254" s="809">
        <f t="shared" si="140"/>
        <v>1</v>
      </c>
      <c r="I254" s="577">
        <f t="shared" si="140"/>
        <v>1</v>
      </c>
      <c r="J254" s="577">
        <f t="shared" si="140"/>
        <v>0</v>
      </c>
      <c r="K254" s="578">
        <f t="shared" si="140"/>
        <v>0</v>
      </c>
      <c r="L254" s="578">
        <f t="shared" si="140"/>
        <v>0</v>
      </c>
      <c r="M254" s="578">
        <f t="shared" si="140"/>
        <v>0</v>
      </c>
      <c r="N254" s="577">
        <f t="shared" si="143"/>
        <v>1</v>
      </c>
      <c r="O254" s="577">
        <f t="shared" si="141"/>
        <v>0</v>
      </c>
      <c r="P254" s="579">
        <f t="shared" si="141"/>
        <v>0</v>
      </c>
      <c r="Q254" s="577">
        <f t="shared" si="141"/>
        <v>1</v>
      </c>
      <c r="R254" s="357"/>
      <c r="S254" s="858">
        <v>2394</v>
      </c>
      <c r="T254" s="858"/>
      <c r="U254" s="858">
        <v>1394</v>
      </c>
      <c r="V254" s="858">
        <v>530</v>
      </c>
      <c r="W254" s="858">
        <v>438</v>
      </c>
      <c r="X254" s="858">
        <v>202</v>
      </c>
      <c r="Y254" s="859">
        <v>4958</v>
      </c>
      <c r="Z254" s="859"/>
      <c r="AA254" s="858"/>
      <c r="AB254" s="858"/>
      <c r="AC254" s="858"/>
      <c r="AD254" s="858"/>
      <c r="AE254" s="859">
        <v>1974</v>
      </c>
      <c r="AF254" s="859"/>
      <c r="AG254" s="858"/>
      <c r="AH254" s="859">
        <v>605</v>
      </c>
    </row>
    <row r="255" spans="1:34">
      <c r="A255" s="882" t="s">
        <v>151</v>
      </c>
      <c r="B255" s="240" t="s">
        <v>53</v>
      </c>
      <c r="C255" s="806">
        <f>IF(S$260&gt;0,(S255/S$260),0)</f>
        <v>0.30106761565836299</v>
      </c>
      <c r="D255" s="806">
        <f t="shared" ref="D255:M260" si="144">IF(T$260&gt;0,(T255/T$260),0)</f>
        <v>0.28476380572188953</v>
      </c>
      <c r="E255" s="806">
        <f t="shared" si="144"/>
        <v>0.31156613171001662</v>
      </c>
      <c r="F255" s="806">
        <f t="shared" si="144"/>
        <v>0.41786283891547049</v>
      </c>
      <c r="G255" s="806">
        <f t="shared" si="144"/>
        <v>0.36548223350253806</v>
      </c>
      <c r="H255" s="806">
        <f t="shared" si="144"/>
        <v>0.10869565217391304</v>
      </c>
      <c r="I255" s="613">
        <f t="shared" si="144"/>
        <v>0.31387645478961507</v>
      </c>
      <c r="J255" s="613">
        <f t="shared" si="144"/>
        <v>0</v>
      </c>
      <c r="K255" s="614">
        <f t="shared" si="144"/>
        <v>0</v>
      </c>
      <c r="L255" s="614">
        <f t="shared" si="144"/>
        <v>0</v>
      </c>
      <c r="M255" s="614">
        <f t="shared" si="144"/>
        <v>0</v>
      </c>
      <c r="N255" s="613">
        <f>IF(AE$260&gt;0,(AE255/AE$260),0)</f>
        <v>0.13854351687388988</v>
      </c>
      <c r="O255" s="613">
        <f t="shared" ref="O255:Q260" si="145">IF(AF$260&gt;0,(AF255/AF$260),0)</f>
        <v>0</v>
      </c>
      <c r="P255" s="615">
        <f t="shared" si="145"/>
        <v>0</v>
      </c>
      <c r="Q255" s="613">
        <f t="shared" si="145"/>
        <v>0</v>
      </c>
      <c r="R255" s="799"/>
      <c r="S255" s="856">
        <v>423</v>
      </c>
      <c r="T255" s="856">
        <v>428</v>
      </c>
      <c r="U255" s="856">
        <v>563</v>
      </c>
      <c r="V255" s="856">
        <v>262</v>
      </c>
      <c r="W255" s="856">
        <v>72</v>
      </c>
      <c r="X255" s="856">
        <v>5</v>
      </c>
      <c r="Y255" s="857">
        <v>1753</v>
      </c>
      <c r="Z255" s="857"/>
      <c r="AA255" s="856"/>
      <c r="AB255" s="856"/>
      <c r="AC255" s="856"/>
      <c r="AD255" s="856"/>
      <c r="AE255" s="857">
        <v>234</v>
      </c>
      <c r="AF255" s="857"/>
      <c r="AG255" s="856"/>
      <c r="AH255" s="857"/>
    </row>
    <row r="256" spans="1:34">
      <c r="A256" s="883"/>
      <c r="B256" s="239" t="s">
        <v>93</v>
      </c>
      <c r="C256" s="806">
        <f t="shared" ref="C256:C260" si="146">IF(S$260&gt;0,(S256/S$260),0)</f>
        <v>0.30889679715302493</v>
      </c>
      <c r="D256" s="806">
        <f t="shared" si="144"/>
        <v>0.3413173652694611</v>
      </c>
      <c r="E256" s="806">
        <f t="shared" si="144"/>
        <v>0.21748754842280021</v>
      </c>
      <c r="F256" s="806">
        <f t="shared" si="144"/>
        <v>0.20733652312599682</v>
      </c>
      <c r="G256" s="806">
        <f t="shared" si="144"/>
        <v>0.22842639593908629</v>
      </c>
      <c r="H256" s="806">
        <f t="shared" si="144"/>
        <v>6.5217391304347824E-2</v>
      </c>
      <c r="I256" s="624">
        <f t="shared" si="144"/>
        <v>0.27179946284691137</v>
      </c>
      <c r="J256" s="624">
        <f t="shared" si="144"/>
        <v>0</v>
      </c>
      <c r="K256" s="625">
        <f t="shared" si="144"/>
        <v>0</v>
      </c>
      <c r="L256" s="625">
        <f t="shared" si="144"/>
        <v>0</v>
      </c>
      <c r="M256" s="625">
        <f t="shared" si="144"/>
        <v>0</v>
      </c>
      <c r="N256" s="624">
        <f t="shared" ref="N256:N260" si="147">IF(AE$260&gt;0,(AE256/AE$260),0)</f>
        <v>0.11249259917110717</v>
      </c>
      <c r="O256" s="624">
        <f t="shared" si="145"/>
        <v>0</v>
      </c>
      <c r="P256" s="626">
        <f t="shared" si="145"/>
        <v>0</v>
      </c>
      <c r="Q256" s="624">
        <f t="shared" si="145"/>
        <v>0</v>
      </c>
      <c r="R256" s="357"/>
      <c r="S256" s="858">
        <v>434</v>
      </c>
      <c r="T256" s="858">
        <v>513</v>
      </c>
      <c r="U256" s="858">
        <v>393</v>
      </c>
      <c r="V256" s="858">
        <v>130</v>
      </c>
      <c r="W256" s="858">
        <v>45</v>
      </c>
      <c r="X256" s="858">
        <v>3</v>
      </c>
      <c r="Y256" s="859">
        <v>1518</v>
      </c>
      <c r="Z256" s="859"/>
      <c r="AA256" s="858"/>
      <c r="AB256" s="858"/>
      <c r="AC256" s="858"/>
      <c r="AD256" s="858"/>
      <c r="AE256" s="859">
        <v>190</v>
      </c>
      <c r="AF256" s="859"/>
      <c r="AG256" s="858"/>
      <c r="AH256" s="859"/>
    </row>
    <row r="257" spans="1:34">
      <c r="A257" s="883"/>
      <c r="B257" s="239" t="s">
        <v>55</v>
      </c>
      <c r="C257" s="806">
        <f t="shared" si="146"/>
        <v>0.27971530249110321</v>
      </c>
      <c r="D257" s="806">
        <f t="shared" si="144"/>
        <v>0.27944111776447106</v>
      </c>
      <c r="E257" s="806">
        <f t="shared" si="144"/>
        <v>0.19645821804095184</v>
      </c>
      <c r="F257" s="806">
        <f t="shared" si="144"/>
        <v>0.27432216905901119</v>
      </c>
      <c r="G257" s="806">
        <f t="shared" si="144"/>
        <v>0.32487309644670048</v>
      </c>
      <c r="H257" s="806">
        <f t="shared" si="144"/>
        <v>0.47826086956521741</v>
      </c>
      <c r="I257" s="624">
        <f t="shared" si="144"/>
        <v>0.25532676812891675</v>
      </c>
      <c r="J257" s="624">
        <f t="shared" si="144"/>
        <v>0</v>
      </c>
      <c r="K257" s="625">
        <f t="shared" si="144"/>
        <v>0</v>
      </c>
      <c r="L257" s="625">
        <f t="shared" si="144"/>
        <v>0</v>
      </c>
      <c r="M257" s="625">
        <f t="shared" si="144"/>
        <v>0</v>
      </c>
      <c r="N257" s="624">
        <f t="shared" si="147"/>
        <v>0.12788632326820604</v>
      </c>
      <c r="O257" s="624">
        <f t="shared" si="145"/>
        <v>0</v>
      </c>
      <c r="P257" s="626">
        <f t="shared" si="145"/>
        <v>0</v>
      </c>
      <c r="Q257" s="624">
        <f t="shared" si="145"/>
        <v>0</v>
      </c>
      <c r="R257" s="357"/>
      <c r="S257" s="858">
        <v>393</v>
      </c>
      <c r="T257" s="858">
        <v>420</v>
      </c>
      <c r="U257" s="858">
        <v>355</v>
      </c>
      <c r="V257" s="858">
        <v>172</v>
      </c>
      <c r="W257" s="858">
        <v>64</v>
      </c>
      <c r="X257" s="858">
        <v>22</v>
      </c>
      <c r="Y257" s="859">
        <v>1426</v>
      </c>
      <c r="Z257" s="859"/>
      <c r="AA257" s="858"/>
      <c r="AB257" s="858"/>
      <c r="AC257" s="858"/>
      <c r="AD257" s="858"/>
      <c r="AE257" s="859">
        <v>216</v>
      </c>
      <c r="AF257" s="859"/>
      <c r="AG257" s="858"/>
      <c r="AH257" s="859"/>
    </row>
    <row r="258" spans="1:34">
      <c r="A258" s="883"/>
      <c r="B258" s="239" t="s">
        <v>78</v>
      </c>
      <c r="C258" s="806">
        <f t="shared" si="146"/>
        <v>5.9786476868327401E-2</v>
      </c>
      <c r="D258" s="806">
        <f t="shared" si="144"/>
        <v>2.5282767797737856E-2</v>
      </c>
      <c r="E258" s="806">
        <f t="shared" si="144"/>
        <v>0.22246817930271168</v>
      </c>
      <c r="F258" s="806">
        <f t="shared" si="144"/>
        <v>9.8883572567783087E-2</v>
      </c>
      <c r="G258" s="806">
        <f t="shared" si="144"/>
        <v>8.1218274111675121E-2</v>
      </c>
      <c r="H258" s="806">
        <f t="shared" si="144"/>
        <v>0.34782608695652173</v>
      </c>
      <c r="I258" s="624">
        <f t="shared" si="144"/>
        <v>0.11065353625783349</v>
      </c>
      <c r="J258" s="624">
        <f t="shared" si="144"/>
        <v>0</v>
      </c>
      <c r="K258" s="625">
        <f t="shared" si="144"/>
        <v>0</v>
      </c>
      <c r="L258" s="625">
        <f t="shared" si="144"/>
        <v>0</v>
      </c>
      <c r="M258" s="625">
        <f t="shared" si="144"/>
        <v>0</v>
      </c>
      <c r="N258" s="624">
        <f t="shared" si="147"/>
        <v>0.24511545293072823</v>
      </c>
      <c r="O258" s="624">
        <f t="shared" si="145"/>
        <v>0</v>
      </c>
      <c r="P258" s="626">
        <f t="shared" si="145"/>
        <v>0</v>
      </c>
      <c r="Q258" s="624">
        <f t="shared" si="145"/>
        <v>0</v>
      </c>
      <c r="R258" s="357"/>
      <c r="S258" s="858">
        <v>84</v>
      </c>
      <c r="T258" s="858">
        <v>38</v>
      </c>
      <c r="U258" s="858">
        <v>402</v>
      </c>
      <c r="V258" s="858">
        <v>62</v>
      </c>
      <c r="W258" s="858">
        <v>16</v>
      </c>
      <c r="X258" s="858">
        <v>16</v>
      </c>
      <c r="Y258" s="859">
        <v>618</v>
      </c>
      <c r="Z258" s="859"/>
      <c r="AA258" s="858"/>
      <c r="AB258" s="858"/>
      <c r="AC258" s="858"/>
      <c r="AD258" s="858"/>
      <c r="AE258" s="859">
        <v>414</v>
      </c>
      <c r="AF258" s="859"/>
      <c r="AG258" s="858"/>
      <c r="AH258" s="859"/>
    </row>
    <row r="259" spans="1:34">
      <c r="A259" s="884"/>
      <c r="B259" s="580" t="s">
        <v>131</v>
      </c>
      <c r="C259" s="806">
        <f t="shared" si="146"/>
        <v>5.0533807829181494E-2</v>
      </c>
      <c r="D259" s="806">
        <f t="shared" si="144"/>
        <v>6.9194943446440449E-2</v>
      </c>
      <c r="E259" s="806">
        <f t="shared" si="144"/>
        <v>5.2019922523519647E-2</v>
      </c>
      <c r="F259" s="806">
        <f t="shared" si="144"/>
        <v>1.594896331738437E-3</v>
      </c>
      <c r="G259" s="806">
        <f t="shared" si="144"/>
        <v>0</v>
      </c>
      <c r="H259" s="806">
        <f t="shared" si="144"/>
        <v>0</v>
      </c>
      <c r="I259" s="624">
        <f t="shared" si="144"/>
        <v>4.8343777976723366E-2</v>
      </c>
      <c r="J259" s="624">
        <f t="shared" si="144"/>
        <v>0</v>
      </c>
      <c r="K259" s="625">
        <f t="shared" si="144"/>
        <v>0</v>
      </c>
      <c r="L259" s="625">
        <f t="shared" si="144"/>
        <v>0</v>
      </c>
      <c r="M259" s="625">
        <f t="shared" si="144"/>
        <v>0</v>
      </c>
      <c r="N259" s="624">
        <f t="shared" si="147"/>
        <v>0.3759621077560687</v>
      </c>
      <c r="O259" s="624">
        <f t="shared" si="145"/>
        <v>0</v>
      </c>
      <c r="P259" s="626">
        <f t="shared" si="145"/>
        <v>0</v>
      </c>
      <c r="Q259" s="624">
        <f t="shared" si="145"/>
        <v>0</v>
      </c>
      <c r="R259" s="357"/>
      <c r="S259" s="858">
        <v>71</v>
      </c>
      <c r="T259" s="858">
        <v>104</v>
      </c>
      <c r="U259" s="858">
        <v>94</v>
      </c>
      <c r="V259" s="858">
        <v>1</v>
      </c>
      <c r="W259" s="858">
        <v>0</v>
      </c>
      <c r="X259" s="858">
        <v>0</v>
      </c>
      <c r="Y259" s="859">
        <v>270</v>
      </c>
      <c r="Z259" s="859"/>
      <c r="AA259" s="858"/>
      <c r="AB259" s="858"/>
      <c r="AC259" s="858"/>
      <c r="AD259" s="858"/>
      <c r="AE259" s="859">
        <v>635</v>
      </c>
      <c r="AF259" s="859"/>
      <c r="AG259" s="858"/>
      <c r="AH259" s="859"/>
    </row>
    <row r="260" spans="1:34">
      <c r="A260" s="885"/>
      <c r="B260" s="436" t="s">
        <v>59</v>
      </c>
      <c r="C260" s="807">
        <f t="shared" si="146"/>
        <v>1</v>
      </c>
      <c r="D260" s="808">
        <f t="shared" si="144"/>
        <v>1</v>
      </c>
      <c r="E260" s="808">
        <f t="shared" si="144"/>
        <v>1</v>
      </c>
      <c r="F260" s="808">
        <f t="shared" si="144"/>
        <v>1</v>
      </c>
      <c r="G260" s="808">
        <f t="shared" si="144"/>
        <v>1</v>
      </c>
      <c r="H260" s="809">
        <f t="shared" si="144"/>
        <v>1</v>
      </c>
      <c r="I260" s="577">
        <f t="shared" si="144"/>
        <v>1</v>
      </c>
      <c r="J260" s="577">
        <f t="shared" si="144"/>
        <v>0</v>
      </c>
      <c r="K260" s="578">
        <f t="shared" si="144"/>
        <v>0</v>
      </c>
      <c r="L260" s="578">
        <f t="shared" si="144"/>
        <v>0</v>
      </c>
      <c r="M260" s="578">
        <f t="shared" si="144"/>
        <v>0</v>
      </c>
      <c r="N260" s="577">
        <f t="shared" si="147"/>
        <v>1</v>
      </c>
      <c r="O260" s="577">
        <f t="shared" si="145"/>
        <v>0</v>
      </c>
      <c r="P260" s="579">
        <f t="shared" si="145"/>
        <v>0</v>
      </c>
      <c r="Q260" s="577">
        <f t="shared" si="145"/>
        <v>0</v>
      </c>
      <c r="R260" s="357"/>
      <c r="S260" s="858">
        <v>1405</v>
      </c>
      <c r="T260" s="858">
        <v>1503</v>
      </c>
      <c r="U260" s="858">
        <v>1807</v>
      </c>
      <c r="V260" s="858">
        <v>627</v>
      </c>
      <c r="W260" s="858">
        <v>197</v>
      </c>
      <c r="X260" s="858">
        <v>46</v>
      </c>
      <c r="Y260" s="859">
        <v>5585</v>
      </c>
      <c r="Z260" s="859"/>
      <c r="AA260" s="858"/>
      <c r="AB260" s="858"/>
      <c r="AC260" s="858"/>
      <c r="AD260" s="858"/>
      <c r="AE260" s="859">
        <v>1689</v>
      </c>
      <c r="AF260" s="859"/>
      <c r="AG260" s="858"/>
      <c r="AH260" s="859"/>
    </row>
    <row r="261" spans="1:34">
      <c r="A261" s="882" t="s">
        <v>154</v>
      </c>
      <c r="B261" s="240" t="s">
        <v>53</v>
      </c>
      <c r="C261" s="806">
        <f>IF(S$266&gt;0,(S261/S$266),0)</f>
        <v>0.39610389610389612</v>
      </c>
      <c r="D261" s="806">
        <f t="shared" ref="D261:M266" si="148">IF(T$266&gt;0,(T261/T$266),0)</f>
        <v>0</v>
      </c>
      <c r="E261" s="806">
        <f t="shared" si="148"/>
        <v>0.29843561973525873</v>
      </c>
      <c r="F261" s="806">
        <f t="shared" si="148"/>
        <v>0.36363636363636365</v>
      </c>
      <c r="G261" s="806">
        <f t="shared" si="148"/>
        <v>0.44571428571428573</v>
      </c>
      <c r="H261" s="806">
        <f t="shared" si="148"/>
        <v>0</v>
      </c>
      <c r="I261" s="613">
        <f t="shared" si="148"/>
        <v>0.36371453138435084</v>
      </c>
      <c r="J261" s="613">
        <f t="shared" si="148"/>
        <v>0</v>
      </c>
      <c r="K261" s="614">
        <f t="shared" si="148"/>
        <v>0</v>
      </c>
      <c r="L261" s="614">
        <f t="shared" si="148"/>
        <v>0</v>
      </c>
      <c r="M261" s="614">
        <f t="shared" si="148"/>
        <v>0</v>
      </c>
      <c r="N261" s="613">
        <f>IF(AE$266&gt;0,(AE261/AE$266),0)</f>
        <v>0</v>
      </c>
      <c r="O261" s="613">
        <f t="shared" ref="O261:Q266" si="149">IF(AF$266&gt;0,(AF261/AF$266),0)</f>
        <v>0</v>
      </c>
      <c r="P261" s="615">
        <f t="shared" si="149"/>
        <v>0</v>
      </c>
      <c r="Q261" s="613">
        <f t="shared" si="149"/>
        <v>0</v>
      </c>
      <c r="R261" s="799"/>
      <c r="S261" s="856">
        <v>488</v>
      </c>
      <c r="T261" s="856"/>
      <c r="U261" s="856">
        <v>248</v>
      </c>
      <c r="V261" s="856">
        <v>32</v>
      </c>
      <c r="W261" s="856">
        <v>78</v>
      </c>
      <c r="X261" s="856"/>
      <c r="Y261" s="857">
        <v>846</v>
      </c>
      <c r="Z261" s="857"/>
      <c r="AA261" s="856"/>
      <c r="AB261" s="856"/>
      <c r="AC261" s="856"/>
      <c r="AD261" s="856"/>
      <c r="AE261" s="857"/>
      <c r="AF261" s="857"/>
      <c r="AG261" s="856"/>
      <c r="AH261" s="857"/>
    </row>
    <row r="262" spans="1:34">
      <c r="A262" s="883"/>
      <c r="B262" s="239" t="s">
        <v>93</v>
      </c>
      <c r="C262" s="806">
        <f t="shared" ref="C262:C266" si="150">IF(S$266&gt;0,(S262/S$266),0)</f>
        <v>0.25892857142857145</v>
      </c>
      <c r="D262" s="806">
        <f t="shared" si="148"/>
        <v>0</v>
      </c>
      <c r="E262" s="806">
        <f t="shared" si="148"/>
        <v>0.28399518652226236</v>
      </c>
      <c r="F262" s="806">
        <f t="shared" si="148"/>
        <v>0.28409090909090912</v>
      </c>
      <c r="G262" s="806">
        <f t="shared" si="148"/>
        <v>0.19428571428571428</v>
      </c>
      <c r="H262" s="806">
        <f t="shared" si="148"/>
        <v>0</v>
      </c>
      <c r="I262" s="624">
        <f t="shared" si="148"/>
        <v>0.26397248495270853</v>
      </c>
      <c r="J262" s="624">
        <f t="shared" si="148"/>
        <v>0</v>
      </c>
      <c r="K262" s="625">
        <f t="shared" si="148"/>
        <v>0</v>
      </c>
      <c r="L262" s="625">
        <f t="shared" si="148"/>
        <v>0</v>
      </c>
      <c r="M262" s="625">
        <f t="shared" si="148"/>
        <v>0</v>
      </c>
      <c r="N262" s="624">
        <f t="shared" ref="N262:N266" si="151">IF(AE$266&gt;0,(AE262/AE$266),0)</f>
        <v>0</v>
      </c>
      <c r="O262" s="624">
        <f t="shared" si="149"/>
        <v>0</v>
      </c>
      <c r="P262" s="626">
        <f t="shared" si="149"/>
        <v>0</v>
      </c>
      <c r="Q262" s="624">
        <f t="shared" si="149"/>
        <v>0</v>
      </c>
      <c r="R262" s="357"/>
      <c r="S262" s="858">
        <v>319</v>
      </c>
      <c r="T262" s="858"/>
      <c r="U262" s="858">
        <v>236</v>
      </c>
      <c r="V262" s="858">
        <v>25</v>
      </c>
      <c r="W262" s="858">
        <v>34</v>
      </c>
      <c r="X262" s="858"/>
      <c r="Y262" s="859">
        <v>614</v>
      </c>
      <c r="Z262" s="859"/>
      <c r="AA262" s="858"/>
      <c r="AB262" s="858"/>
      <c r="AC262" s="858"/>
      <c r="AD262" s="858"/>
      <c r="AE262" s="859"/>
      <c r="AF262" s="859"/>
      <c r="AG262" s="858"/>
      <c r="AH262" s="859"/>
    </row>
    <row r="263" spans="1:34">
      <c r="A263" s="883"/>
      <c r="B263" s="239" t="s">
        <v>55</v>
      </c>
      <c r="C263" s="806">
        <f t="shared" si="150"/>
        <v>0.18668831168831168</v>
      </c>
      <c r="D263" s="806">
        <f t="shared" si="148"/>
        <v>0</v>
      </c>
      <c r="E263" s="806">
        <f t="shared" si="148"/>
        <v>0.22382671480144403</v>
      </c>
      <c r="F263" s="806">
        <f t="shared" si="148"/>
        <v>0.27272727272727271</v>
      </c>
      <c r="G263" s="806">
        <f t="shared" si="148"/>
        <v>0.23428571428571429</v>
      </c>
      <c r="H263" s="806">
        <f t="shared" si="148"/>
        <v>0</v>
      </c>
      <c r="I263" s="624">
        <f t="shared" si="148"/>
        <v>0.20679277730008599</v>
      </c>
      <c r="J263" s="624">
        <f t="shared" si="148"/>
        <v>0</v>
      </c>
      <c r="K263" s="625">
        <f t="shared" si="148"/>
        <v>0</v>
      </c>
      <c r="L263" s="625">
        <f t="shared" si="148"/>
        <v>0</v>
      </c>
      <c r="M263" s="625">
        <f t="shared" si="148"/>
        <v>0</v>
      </c>
      <c r="N263" s="624">
        <f t="shared" si="151"/>
        <v>0</v>
      </c>
      <c r="O263" s="624">
        <f t="shared" si="149"/>
        <v>0</v>
      </c>
      <c r="P263" s="626">
        <f t="shared" si="149"/>
        <v>0</v>
      </c>
      <c r="Q263" s="624">
        <f t="shared" si="149"/>
        <v>0</v>
      </c>
      <c r="R263" s="357"/>
      <c r="S263" s="858">
        <v>230</v>
      </c>
      <c r="T263" s="858"/>
      <c r="U263" s="858">
        <v>186</v>
      </c>
      <c r="V263" s="858">
        <v>24</v>
      </c>
      <c r="W263" s="858">
        <v>41</v>
      </c>
      <c r="X263" s="858"/>
      <c r="Y263" s="859">
        <v>481</v>
      </c>
      <c r="Z263" s="859"/>
      <c r="AA263" s="858"/>
      <c r="AB263" s="858"/>
      <c r="AC263" s="858"/>
      <c r="AD263" s="858"/>
      <c r="AE263" s="859"/>
      <c r="AF263" s="859"/>
      <c r="AG263" s="858"/>
      <c r="AH263" s="859"/>
    </row>
    <row r="264" spans="1:34">
      <c r="A264" s="883"/>
      <c r="B264" s="239" t="s">
        <v>78</v>
      </c>
      <c r="C264" s="806">
        <f t="shared" si="150"/>
        <v>0</v>
      </c>
      <c r="D264" s="806">
        <f t="shared" si="148"/>
        <v>0</v>
      </c>
      <c r="E264" s="806">
        <f t="shared" si="148"/>
        <v>6.8592057761732855E-2</v>
      </c>
      <c r="F264" s="806">
        <f t="shared" si="148"/>
        <v>5.6818181818181816E-2</v>
      </c>
      <c r="G264" s="806">
        <f t="shared" si="148"/>
        <v>9.1428571428571428E-2</v>
      </c>
      <c r="H264" s="806">
        <f t="shared" si="148"/>
        <v>0</v>
      </c>
      <c r="I264" s="624">
        <f t="shared" si="148"/>
        <v>3.3533963886500429E-2</v>
      </c>
      <c r="J264" s="624">
        <f t="shared" si="148"/>
        <v>0</v>
      </c>
      <c r="K264" s="625">
        <f t="shared" si="148"/>
        <v>0</v>
      </c>
      <c r="L264" s="625">
        <f t="shared" si="148"/>
        <v>0</v>
      </c>
      <c r="M264" s="625">
        <f t="shared" si="148"/>
        <v>0</v>
      </c>
      <c r="N264" s="624">
        <f t="shared" si="151"/>
        <v>0.31660692951015534</v>
      </c>
      <c r="O264" s="624">
        <f t="shared" si="149"/>
        <v>0</v>
      </c>
      <c r="P264" s="626">
        <f t="shared" si="149"/>
        <v>0</v>
      </c>
      <c r="Q264" s="624">
        <f t="shared" si="149"/>
        <v>0</v>
      </c>
      <c r="R264" s="357"/>
      <c r="S264" s="858"/>
      <c r="T264" s="858"/>
      <c r="U264" s="858">
        <v>57</v>
      </c>
      <c r="V264" s="858">
        <v>5</v>
      </c>
      <c r="W264" s="858">
        <v>16</v>
      </c>
      <c r="X264" s="858"/>
      <c r="Y264" s="859">
        <v>78</v>
      </c>
      <c r="Z264" s="859"/>
      <c r="AA264" s="858"/>
      <c r="AB264" s="858"/>
      <c r="AC264" s="858"/>
      <c r="AD264" s="858"/>
      <c r="AE264" s="859">
        <v>265</v>
      </c>
      <c r="AF264" s="859"/>
      <c r="AG264" s="858"/>
      <c r="AH264" s="859"/>
    </row>
    <row r="265" spans="1:34">
      <c r="A265" s="884"/>
      <c r="B265" s="580" t="s">
        <v>131</v>
      </c>
      <c r="C265" s="806">
        <f t="shared" si="150"/>
        <v>0.15827922077922077</v>
      </c>
      <c r="D265" s="806">
        <f t="shared" si="148"/>
        <v>0</v>
      </c>
      <c r="E265" s="806">
        <f t="shared" si="148"/>
        <v>0.12515042117930206</v>
      </c>
      <c r="F265" s="806">
        <f t="shared" si="148"/>
        <v>2.2727272727272728E-2</v>
      </c>
      <c r="G265" s="806">
        <f t="shared" si="148"/>
        <v>3.4285714285714287E-2</v>
      </c>
      <c r="H265" s="806">
        <f t="shared" si="148"/>
        <v>0</v>
      </c>
      <c r="I265" s="624">
        <f t="shared" si="148"/>
        <v>0.13198624247635427</v>
      </c>
      <c r="J265" s="624">
        <f t="shared" si="148"/>
        <v>0</v>
      </c>
      <c r="K265" s="625">
        <f t="shared" si="148"/>
        <v>0</v>
      </c>
      <c r="L265" s="625">
        <f t="shared" si="148"/>
        <v>0</v>
      </c>
      <c r="M265" s="625">
        <f t="shared" si="148"/>
        <v>0</v>
      </c>
      <c r="N265" s="624">
        <f t="shared" si="151"/>
        <v>0.68339307048984466</v>
      </c>
      <c r="O265" s="624">
        <f t="shared" si="149"/>
        <v>0</v>
      </c>
      <c r="P265" s="626">
        <f t="shared" si="149"/>
        <v>0</v>
      </c>
      <c r="Q265" s="624">
        <f t="shared" si="149"/>
        <v>1</v>
      </c>
      <c r="R265" s="357"/>
      <c r="S265" s="858">
        <v>195</v>
      </c>
      <c r="T265" s="858">
        <v>0</v>
      </c>
      <c r="U265" s="858">
        <v>104</v>
      </c>
      <c r="V265" s="858">
        <v>2</v>
      </c>
      <c r="W265" s="858">
        <v>6</v>
      </c>
      <c r="X265" s="858">
        <v>0</v>
      </c>
      <c r="Y265" s="859">
        <v>307</v>
      </c>
      <c r="Z265" s="859"/>
      <c r="AA265" s="858"/>
      <c r="AB265" s="858"/>
      <c r="AC265" s="858"/>
      <c r="AD265" s="858"/>
      <c r="AE265" s="859">
        <v>572</v>
      </c>
      <c r="AF265" s="859"/>
      <c r="AG265" s="858"/>
      <c r="AH265" s="859">
        <v>175</v>
      </c>
    </row>
    <row r="266" spans="1:34">
      <c r="A266" s="885"/>
      <c r="B266" s="436" t="s">
        <v>59</v>
      </c>
      <c r="C266" s="807">
        <f t="shared" si="150"/>
        <v>1</v>
      </c>
      <c r="D266" s="808">
        <f t="shared" si="148"/>
        <v>0</v>
      </c>
      <c r="E266" s="808">
        <f t="shared" si="148"/>
        <v>1</v>
      </c>
      <c r="F266" s="808">
        <f t="shared" si="148"/>
        <v>1</v>
      </c>
      <c r="G266" s="808">
        <f t="shared" si="148"/>
        <v>1</v>
      </c>
      <c r="H266" s="809">
        <f t="shared" si="148"/>
        <v>0</v>
      </c>
      <c r="I266" s="577">
        <f t="shared" si="148"/>
        <v>1</v>
      </c>
      <c r="J266" s="577">
        <f t="shared" si="148"/>
        <v>0</v>
      </c>
      <c r="K266" s="578">
        <f t="shared" si="148"/>
        <v>0</v>
      </c>
      <c r="L266" s="578">
        <f t="shared" si="148"/>
        <v>0</v>
      </c>
      <c r="M266" s="578">
        <f t="shared" si="148"/>
        <v>0</v>
      </c>
      <c r="N266" s="577">
        <f t="shared" si="151"/>
        <v>1</v>
      </c>
      <c r="O266" s="577">
        <f t="shared" si="149"/>
        <v>0</v>
      </c>
      <c r="P266" s="579">
        <f t="shared" si="149"/>
        <v>0</v>
      </c>
      <c r="Q266" s="577">
        <f t="shared" si="149"/>
        <v>1</v>
      </c>
      <c r="R266" s="357"/>
      <c r="S266" s="858">
        <v>1232</v>
      </c>
      <c r="T266" s="858"/>
      <c r="U266" s="858">
        <v>831</v>
      </c>
      <c r="V266" s="858">
        <v>88</v>
      </c>
      <c r="W266" s="858">
        <v>175</v>
      </c>
      <c r="X266" s="858"/>
      <c r="Y266" s="859">
        <v>2326</v>
      </c>
      <c r="Z266" s="859"/>
      <c r="AA266" s="858"/>
      <c r="AB266" s="858"/>
      <c r="AC266" s="858"/>
      <c r="AD266" s="858"/>
      <c r="AE266" s="859">
        <v>837</v>
      </c>
      <c r="AF266" s="859"/>
      <c r="AG266" s="858"/>
      <c r="AH266" s="859">
        <v>175</v>
      </c>
    </row>
    <row r="267" spans="1:34">
      <c r="A267" s="882" t="s">
        <v>153</v>
      </c>
      <c r="B267" s="240" t="s">
        <v>53</v>
      </c>
      <c r="C267" s="806">
        <f>IF(S$272&gt;0,(S267/S$272),0)</f>
        <v>0</v>
      </c>
      <c r="D267" s="806">
        <f t="shared" ref="D267:M272" si="152">IF(T$272&gt;0,(T267/T$272),0)</f>
        <v>0.22289156626506024</v>
      </c>
      <c r="E267" s="806">
        <f t="shared" si="152"/>
        <v>0</v>
      </c>
      <c r="F267" s="806">
        <f t="shared" si="152"/>
        <v>0.17676767676767677</v>
      </c>
      <c r="G267" s="806">
        <f t="shared" si="152"/>
        <v>0.13432835820895522</v>
      </c>
      <c r="H267" s="806">
        <f t="shared" si="152"/>
        <v>0.19402985074626866</v>
      </c>
      <c r="I267" s="613">
        <f t="shared" si="152"/>
        <v>0.21076233183856502</v>
      </c>
      <c r="J267" s="613">
        <f t="shared" si="152"/>
        <v>0</v>
      </c>
      <c r="K267" s="614">
        <f t="shared" si="152"/>
        <v>0</v>
      </c>
      <c r="L267" s="614">
        <f t="shared" si="152"/>
        <v>0</v>
      </c>
      <c r="M267" s="614">
        <f t="shared" si="152"/>
        <v>0</v>
      </c>
      <c r="N267" s="613">
        <f>IF(AE$272&gt;0,(AE267/AE$272),0)</f>
        <v>3.6269430051813469E-2</v>
      </c>
      <c r="O267" s="613">
        <f t="shared" ref="O267:Q272" si="153">IF(AF$272&gt;0,(AF267/AF$272),0)</f>
        <v>0</v>
      </c>
      <c r="P267" s="615">
        <f t="shared" si="153"/>
        <v>0</v>
      </c>
      <c r="Q267" s="613">
        <f t="shared" si="153"/>
        <v>0</v>
      </c>
      <c r="R267" s="799"/>
      <c r="S267" s="856"/>
      <c r="T267" s="856">
        <v>259</v>
      </c>
      <c r="U267" s="856"/>
      <c r="V267" s="856">
        <v>35</v>
      </c>
      <c r="W267" s="856">
        <v>9</v>
      </c>
      <c r="X267" s="856">
        <v>26</v>
      </c>
      <c r="Y267" s="857">
        <v>329</v>
      </c>
      <c r="Z267" s="857"/>
      <c r="AA267" s="856"/>
      <c r="AB267" s="856"/>
      <c r="AC267" s="856"/>
      <c r="AD267" s="856"/>
      <c r="AE267" s="857">
        <v>14</v>
      </c>
      <c r="AF267" s="857"/>
      <c r="AG267" s="856"/>
      <c r="AH267" s="857"/>
    </row>
    <row r="268" spans="1:34">
      <c r="A268" s="883"/>
      <c r="B268" s="239" t="s">
        <v>93</v>
      </c>
      <c r="C268" s="806">
        <f t="shared" ref="C268:C272" si="154">IF(S$272&gt;0,(S268/S$272),0)</f>
        <v>0</v>
      </c>
      <c r="D268" s="806">
        <f t="shared" si="152"/>
        <v>0.29518072289156627</v>
      </c>
      <c r="E268" s="806">
        <f t="shared" si="152"/>
        <v>0</v>
      </c>
      <c r="F268" s="806">
        <f t="shared" si="152"/>
        <v>0.15656565656565657</v>
      </c>
      <c r="G268" s="806">
        <f t="shared" si="152"/>
        <v>0.16417910447761194</v>
      </c>
      <c r="H268" s="806">
        <f t="shared" si="152"/>
        <v>0.15671641791044777</v>
      </c>
      <c r="I268" s="624">
        <f t="shared" si="152"/>
        <v>0.26008968609865468</v>
      </c>
      <c r="J268" s="624">
        <f t="shared" si="152"/>
        <v>0</v>
      </c>
      <c r="K268" s="625">
        <f t="shared" si="152"/>
        <v>0</v>
      </c>
      <c r="L268" s="625">
        <f t="shared" si="152"/>
        <v>0</v>
      </c>
      <c r="M268" s="625">
        <f t="shared" si="152"/>
        <v>0</v>
      </c>
      <c r="N268" s="624">
        <f t="shared" ref="N268:N272" si="155">IF(AE$272&gt;0,(AE268/AE$272),0)</f>
        <v>0.36269430051813473</v>
      </c>
      <c r="O268" s="624">
        <f t="shared" si="153"/>
        <v>0</v>
      </c>
      <c r="P268" s="626">
        <f t="shared" si="153"/>
        <v>0</v>
      </c>
      <c r="Q268" s="624">
        <f t="shared" si="153"/>
        <v>0</v>
      </c>
      <c r="R268" s="357"/>
      <c r="S268" s="858"/>
      <c r="T268" s="858">
        <v>343</v>
      </c>
      <c r="U268" s="858"/>
      <c r="V268" s="858">
        <v>31</v>
      </c>
      <c r="W268" s="858">
        <v>11</v>
      </c>
      <c r="X268" s="858">
        <v>21</v>
      </c>
      <c r="Y268" s="859">
        <v>406</v>
      </c>
      <c r="Z268" s="859"/>
      <c r="AA268" s="858"/>
      <c r="AB268" s="858"/>
      <c r="AC268" s="858"/>
      <c r="AD268" s="858"/>
      <c r="AE268" s="859">
        <v>140</v>
      </c>
      <c r="AF268" s="859"/>
      <c r="AG268" s="858"/>
      <c r="AH268" s="859"/>
    </row>
    <row r="269" spans="1:34">
      <c r="A269" s="883"/>
      <c r="B269" s="239" t="s">
        <v>55</v>
      </c>
      <c r="C269" s="806">
        <f t="shared" si="154"/>
        <v>0</v>
      </c>
      <c r="D269" s="806">
        <f t="shared" si="152"/>
        <v>0.32099827882960413</v>
      </c>
      <c r="E269" s="806">
        <f t="shared" si="152"/>
        <v>0</v>
      </c>
      <c r="F269" s="806">
        <f t="shared" si="152"/>
        <v>0.32828282828282829</v>
      </c>
      <c r="G269" s="806">
        <f t="shared" si="152"/>
        <v>0.44776119402985076</v>
      </c>
      <c r="H269" s="806">
        <f t="shared" si="152"/>
        <v>0.47761194029850745</v>
      </c>
      <c r="I269" s="624">
        <f t="shared" si="152"/>
        <v>0.34080717488789236</v>
      </c>
      <c r="J269" s="624">
        <f t="shared" si="152"/>
        <v>0</v>
      </c>
      <c r="K269" s="625">
        <f t="shared" si="152"/>
        <v>0</v>
      </c>
      <c r="L269" s="625">
        <f t="shared" si="152"/>
        <v>0</v>
      </c>
      <c r="M269" s="625">
        <f t="shared" si="152"/>
        <v>0</v>
      </c>
      <c r="N269" s="624">
        <f t="shared" si="155"/>
        <v>0.24093264248704663</v>
      </c>
      <c r="O269" s="624">
        <f t="shared" si="153"/>
        <v>0</v>
      </c>
      <c r="P269" s="626">
        <f t="shared" si="153"/>
        <v>0</v>
      </c>
      <c r="Q269" s="624">
        <f t="shared" si="153"/>
        <v>0</v>
      </c>
      <c r="R269" s="357"/>
      <c r="S269" s="858"/>
      <c r="T269" s="858">
        <v>373</v>
      </c>
      <c r="U269" s="858"/>
      <c r="V269" s="858">
        <v>65</v>
      </c>
      <c r="W269" s="858">
        <v>30</v>
      </c>
      <c r="X269" s="858">
        <v>64</v>
      </c>
      <c r="Y269" s="859">
        <v>532</v>
      </c>
      <c r="Z269" s="859"/>
      <c r="AA269" s="858"/>
      <c r="AB269" s="858"/>
      <c r="AC269" s="858"/>
      <c r="AD269" s="858"/>
      <c r="AE269" s="859">
        <v>93</v>
      </c>
      <c r="AF269" s="859"/>
      <c r="AG269" s="858"/>
      <c r="AH269" s="859"/>
    </row>
    <row r="270" spans="1:34">
      <c r="A270" s="883"/>
      <c r="B270" s="239" t="s">
        <v>78</v>
      </c>
      <c r="C270" s="806">
        <f t="shared" si="154"/>
        <v>0</v>
      </c>
      <c r="D270" s="806">
        <f t="shared" si="152"/>
        <v>2.323580034423408E-2</v>
      </c>
      <c r="E270" s="806">
        <f t="shared" si="152"/>
        <v>0</v>
      </c>
      <c r="F270" s="806">
        <f t="shared" si="152"/>
        <v>0.16666666666666666</v>
      </c>
      <c r="G270" s="806">
        <f t="shared" si="152"/>
        <v>0.20895522388059701</v>
      </c>
      <c r="H270" s="806">
        <f t="shared" si="152"/>
        <v>0.1417910447761194</v>
      </c>
      <c r="I270" s="624">
        <f t="shared" si="152"/>
        <v>5.9577194106342088E-2</v>
      </c>
      <c r="J270" s="624">
        <f t="shared" si="152"/>
        <v>0</v>
      </c>
      <c r="K270" s="625">
        <f t="shared" si="152"/>
        <v>0</v>
      </c>
      <c r="L270" s="625">
        <f t="shared" si="152"/>
        <v>0</v>
      </c>
      <c r="M270" s="625">
        <f t="shared" si="152"/>
        <v>0</v>
      </c>
      <c r="N270" s="624">
        <f t="shared" si="155"/>
        <v>0.24611398963730569</v>
      </c>
      <c r="O270" s="624">
        <f t="shared" si="153"/>
        <v>0</v>
      </c>
      <c r="P270" s="626">
        <f t="shared" si="153"/>
        <v>0</v>
      </c>
      <c r="Q270" s="624">
        <f t="shared" si="153"/>
        <v>0</v>
      </c>
      <c r="R270" s="357"/>
      <c r="S270" s="858"/>
      <c r="T270" s="858">
        <v>27</v>
      </c>
      <c r="U270" s="858"/>
      <c r="V270" s="858">
        <v>33</v>
      </c>
      <c r="W270" s="858">
        <v>14</v>
      </c>
      <c r="X270" s="858">
        <v>19</v>
      </c>
      <c r="Y270" s="859">
        <v>93</v>
      </c>
      <c r="Z270" s="859"/>
      <c r="AA270" s="858"/>
      <c r="AB270" s="858"/>
      <c r="AC270" s="858"/>
      <c r="AD270" s="858"/>
      <c r="AE270" s="859">
        <v>95</v>
      </c>
      <c r="AF270" s="859"/>
      <c r="AG270" s="858"/>
      <c r="AH270" s="859"/>
    </row>
    <row r="271" spans="1:34">
      <c r="A271" s="884"/>
      <c r="B271" s="580" t="s">
        <v>131</v>
      </c>
      <c r="C271" s="806">
        <f t="shared" si="154"/>
        <v>0</v>
      </c>
      <c r="D271" s="806">
        <f t="shared" si="152"/>
        <v>0.13769363166953527</v>
      </c>
      <c r="E271" s="806">
        <f t="shared" si="152"/>
        <v>0</v>
      </c>
      <c r="F271" s="806">
        <f t="shared" si="152"/>
        <v>0.17171717171717171</v>
      </c>
      <c r="G271" s="806">
        <f t="shared" si="152"/>
        <v>4.4776119402985072E-2</v>
      </c>
      <c r="H271" s="806">
        <f t="shared" si="152"/>
        <v>2.9850746268656716E-2</v>
      </c>
      <c r="I271" s="624">
        <f t="shared" si="152"/>
        <v>0.12876361306854581</v>
      </c>
      <c r="J271" s="624">
        <f t="shared" si="152"/>
        <v>0</v>
      </c>
      <c r="K271" s="625">
        <f t="shared" si="152"/>
        <v>0</v>
      </c>
      <c r="L271" s="625">
        <f t="shared" si="152"/>
        <v>0</v>
      </c>
      <c r="M271" s="625">
        <f t="shared" si="152"/>
        <v>0</v>
      </c>
      <c r="N271" s="624">
        <f t="shared" si="155"/>
        <v>0.11398963730569948</v>
      </c>
      <c r="O271" s="624">
        <f t="shared" si="153"/>
        <v>0</v>
      </c>
      <c r="P271" s="626">
        <f t="shared" si="153"/>
        <v>0</v>
      </c>
      <c r="Q271" s="624">
        <f t="shared" si="153"/>
        <v>0</v>
      </c>
      <c r="R271" s="357"/>
      <c r="S271" s="858">
        <v>0</v>
      </c>
      <c r="T271" s="858">
        <v>160</v>
      </c>
      <c r="U271" s="858">
        <v>0</v>
      </c>
      <c r="V271" s="858">
        <v>34</v>
      </c>
      <c r="W271" s="858">
        <v>3</v>
      </c>
      <c r="X271" s="858">
        <v>4</v>
      </c>
      <c r="Y271" s="859">
        <v>201</v>
      </c>
      <c r="Z271" s="859"/>
      <c r="AA271" s="858"/>
      <c r="AB271" s="858"/>
      <c r="AC271" s="858"/>
      <c r="AD271" s="858"/>
      <c r="AE271" s="859">
        <v>44</v>
      </c>
      <c r="AF271" s="859"/>
      <c r="AG271" s="858"/>
      <c r="AH271" s="859"/>
    </row>
    <row r="272" spans="1:34">
      <c r="A272" s="885"/>
      <c r="B272" s="436" t="s">
        <v>59</v>
      </c>
      <c r="C272" s="807">
        <f t="shared" si="154"/>
        <v>0</v>
      </c>
      <c r="D272" s="808">
        <f t="shared" si="152"/>
        <v>1</v>
      </c>
      <c r="E272" s="808">
        <f t="shared" si="152"/>
        <v>0</v>
      </c>
      <c r="F272" s="808">
        <f t="shared" si="152"/>
        <v>1</v>
      </c>
      <c r="G272" s="808">
        <f t="shared" si="152"/>
        <v>1</v>
      </c>
      <c r="H272" s="809">
        <f t="shared" si="152"/>
        <v>1</v>
      </c>
      <c r="I272" s="577">
        <f t="shared" si="152"/>
        <v>1</v>
      </c>
      <c r="J272" s="577">
        <f t="shared" si="152"/>
        <v>0</v>
      </c>
      <c r="K272" s="578">
        <f t="shared" si="152"/>
        <v>0</v>
      </c>
      <c r="L272" s="578">
        <f t="shared" si="152"/>
        <v>0</v>
      </c>
      <c r="M272" s="578">
        <f t="shared" si="152"/>
        <v>0</v>
      </c>
      <c r="N272" s="577">
        <f t="shared" si="155"/>
        <v>1</v>
      </c>
      <c r="O272" s="577">
        <f t="shared" si="153"/>
        <v>0</v>
      </c>
      <c r="P272" s="579">
        <f t="shared" si="153"/>
        <v>0</v>
      </c>
      <c r="Q272" s="577">
        <f t="shared" si="153"/>
        <v>0</v>
      </c>
      <c r="R272" s="357"/>
      <c r="S272" s="858"/>
      <c r="T272" s="858">
        <v>1162</v>
      </c>
      <c r="U272" s="858"/>
      <c r="V272" s="858">
        <v>198</v>
      </c>
      <c r="W272" s="858">
        <v>67</v>
      </c>
      <c r="X272" s="858">
        <v>134</v>
      </c>
      <c r="Y272" s="859">
        <v>1561</v>
      </c>
      <c r="Z272" s="859"/>
      <c r="AA272" s="858"/>
      <c r="AB272" s="858"/>
      <c r="AC272" s="858"/>
      <c r="AD272" s="858"/>
      <c r="AE272" s="859">
        <v>386</v>
      </c>
      <c r="AF272" s="859"/>
      <c r="AG272" s="858"/>
      <c r="AH272" s="859"/>
    </row>
    <row r="273" spans="1:34">
      <c r="A273" s="882" t="s">
        <v>160</v>
      </c>
      <c r="B273" s="240" t="s">
        <v>53</v>
      </c>
      <c r="C273" s="806">
        <f>IF(S$278&gt;0,(S273/S$278),0)</f>
        <v>0.30749789385004211</v>
      </c>
      <c r="D273" s="806">
        <f t="shared" ref="D273:M278" si="156">IF(T$278&gt;0,(T273/T$278),0)</f>
        <v>0.26837725381414701</v>
      </c>
      <c r="E273" s="806">
        <f t="shared" si="156"/>
        <v>0.27960819234194123</v>
      </c>
      <c r="F273" s="806">
        <f t="shared" si="156"/>
        <v>0</v>
      </c>
      <c r="G273" s="806">
        <f t="shared" si="156"/>
        <v>0</v>
      </c>
      <c r="H273" s="806">
        <f t="shared" si="156"/>
        <v>0.1803921568627451</v>
      </c>
      <c r="I273" s="613">
        <f t="shared" si="156"/>
        <v>0.29018338727076592</v>
      </c>
      <c r="J273" s="613">
        <f t="shared" si="156"/>
        <v>0</v>
      </c>
      <c r="K273" s="614">
        <f t="shared" si="156"/>
        <v>0</v>
      </c>
      <c r="L273" s="614">
        <f t="shared" si="156"/>
        <v>0</v>
      </c>
      <c r="M273" s="614">
        <f t="shared" si="156"/>
        <v>0</v>
      </c>
      <c r="N273" s="613">
        <f>IF(AE$278&gt;0,(AE273/AE$278),0)</f>
        <v>0.18301369863013697</v>
      </c>
      <c r="O273" s="613">
        <f t="shared" ref="O273:Q278" si="157">IF(AF$278&gt;0,(AF273/AF$278),0)</f>
        <v>0</v>
      </c>
      <c r="P273" s="615">
        <f t="shared" si="157"/>
        <v>0</v>
      </c>
      <c r="Q273" s="613">
        <f t="shared" si="157"/>
        <v>0.11661807580174927</v>
      </c>
      <c r="R273" s="799"/>
      <c r="S273" s="856">
        <v>1825</v>
      </c>
      <c r="T273" s="856">
        <v>774</v>
      </c>
      <c r="U273" s="856">
        <v>314</v>
      </c>
      <c r="V273" s="856"/>
      <c r="W273" s="856"/>
      <c r="X273" s="856">
        <v>46</v>
      </c>
      <c r="Y273" s="857">
        <v>2959</v>
      </c>
      <c r="Z273" s="857"/>
      <c r="AA273" s="856"/>
      <c r="AB273" s="856"/>
      <c r="AC273" s="856"/>
      <c r="AD273" s="856"/>
      <c r="AE273" s="857">
        <v>668</v>
      </c>
      <c r="AF273" s="857"/>
      <c r="AG273" s="856"/>
      <c r="AH273" s="857">
        <v>40</v>
      </c>
    </row>
    <row r="274" spans="1:34">
      <c r="A274" s="883"/>
      <c r="B274" s="239" t="s">
        <v>93</v>
      </c>
      <c r="C274" s="806">
        <f t="shared" ref="C274:C278" si="158">IF(S$278&gt;0,(S274/S$278),0)</f>
        <v>0.3464195450716091</v>
      </c>
      <c r="D274" s="806">
        <f t="shared" si="156"/>
        <v>0.30166435506241329</v>
      </c>
      <c r="E274" s="806">
        <f t="shared" si="156"/>
        <v>0.3027604630454141</v>
      </c>
      <c r="F274" s="806">
        <f t="shared" si="156"/>
        <v>0</v>
      </c>
      <c r="G274" s="806">
        <f t="shared" si="156"/>
        <v>0</v>
      </c>
      <c r="H274" s="806">
        <f t="shared" si="156"/>
        <v>0.30196078431372547</v>
      </c>
      <c r="I274" s="624">
        <f t="shared" si="156"/>
        <v>0.32784152201627931</v>
      </c>
      <c r="J274" s="624">
        <f t="shared" si="156"/>
        <v>0</v>
      </c>
      <c r="K274" s="625">
        <f t="shared" si="156"/>
        <v>0</v>
      </c>
      <c r="L274" s="625">
        <f t="shared" si="156"/>
        <v>0</v>
      </c>
      <c r="M274" s="625">
        <f t="shared" si="156"/>
        <v>0</v>
      </c>
      <c r="N274" s="624">
        <f t="shared" ref="N274:N278" si="159">IF(AE$278&gt;0,(AE274/AE$278),0)</f>
        <v>0.24356164383561643</v>
      </c>
      <c r="O274" s="624">
        <f t="shared" si="157"/>
        <v>0</v>
      </c>
      <c r="P274" s="626">
        <f t="shared" si="157"/>
        <v>0</v>
      </c>
      <c r="Q274" s="624">
        <f t="shared" si="157"/>
        <v>0.16618075801749271</v>
      </c>
      <c r="R274" s="357"/>
      <c r="S274" s="858">
        <v>2056</v>
      </c>
      <c r="T274" s="858">
        <v>870</v>
      </c>
      <c r="U274" s="858">
        <v>340</v>
      </c>
      <c r="V274" s="858"/>
      <c r="W274" s="858"/>
      <c r="X274" s="858">
        <v>77</v>
      </c>
      <c r="Y274" s="859">
        <v>3343</v>
      </c>
      <c r="Z274" s="859"/>
      <c r="AA274" s="858"/>
      <c r="AB274" s="858"/>
      <c r="AC274" s="858"/>
      <c r="AD274" s="858"/>
      <c r="AE274" s="859">
        <v>889</v>
      </c>
      <c r="AF274" s="859"/>
      <c r="AG274" s="858"/>
      <c r="AH274" s="859">
        <v>57</v>
      </c>
    </row>
    <row r="275" spans="1:34">
      <c r="A275" s="883"/>
      <c r="B275" s="239" t="s">
        <v>55</v>
      </c>
      <c r="C275" s="806">
        <f t="shared" si="158"/>
        <v>0.26166807076663856</v>
      </c>
      <c r="D275" s="806">
        <f t="shared" si="156"/>
        <v>0.17337031900138697</v>
      </c>
      <c r="E275" s="806">
        <f t="shared" si="156"/>
        <v>0.20302760463045413</v>
      </c>
      <c r="F275" s="806">
        <f t="shared" si="156"/>
        <v>0</v>
      </c>
      <c r="G275" s="806">
        <f t="shared" si="156"/>
        <v>0</v>
      </c>
      <c r="H275" s="806">
        <f t="shared" si="156"/>
        <v>0.34901960784313724</v>
      </c>
      <c r="I275" s="624">
        <f t="shared" si="156"/>
        <v>0.23242130038246542</v>
      </c>
      <c r="J275" s="624">
        <f t="shared" si="156"/>
        <v>0</v>
      </c>
      <c r="K275" s="625">
        <f t="shared" si="156"/>
        <v>0</v>
      </c>
      <c r="L275" s="625">
        <f t="shared" si="156"/>
        <v>0</v>
      </c>
      <c r="M275" s="625">
        <f t="shared" si="156"/>
        <v>0</v>
      </c>
      <c r="N275" s="624">
        <f t="shared" si="159"/>
        <v>0.29369863013698633</v>
      </c>
      <c r="O275" s="624">
        <f t="shared" si="157"/>
        <v>0</v>
      </c>
      <c r="P275" s="626">
        <f t="shared" si="157"/>
        <v>0</v>
      </c>
      <c r="Q275" s="624">
        <f t="shared" si="157"/>
        <v>0.2099125364431487</v>
      </c>
      <c r="R275" s="357"/>
      <c r="S275" s="858">
        <v>1553</v>
      </c>
      <c r="T275" s="858">
        <v>500</v>
      </c>
      <c r="U275" s="858">
        <v>228</v>
      </c>
      <c r="V275" s="858"/>
      <c r="W275" s="858"/>
      <c r="X275" s="858">
        <v>89</v>
      </c>
      <c r="Y275" s="859">
        <v>2370</v>
      </c>
      <c r="Z275" s="859"/>
      <c r="AA275" s="858"/>
      <c r="AB275" s="858"/>
      <c r="AC275" s="858"/>
      <c r="AD275" s="858"/>
      <c r="AE275" s="859">
        <v>1072</v>
      </c>
      <c r="AF275" s="859"/>
      <c r="AG275" s="858"/>
      <c r="AH275" s="859">
        <v>72</v>
      </c>
    </row>
    <row r="276" spans="1:34">
      <c r="A276" s="883"/>
      <c r="B276" s="239" t="s">
        <v>78</v>
      </c>
      <c r="C276" s="806">
        <f t="shared" si="158"/>
        <v>2.9823083403538331E-2</v>
      </c>
      <c r="D276" s="806">
        <f t="shared" si="156"/>
        <v>0.11061026352288489</v>
      </c>
      <c r="E276" s="806">
        <f t="shared" si="156"/>
        <v>0.10062333036509349</v>
      </c>
      <c r="F276" s="806">
        <f t="shared" si="156"/>
        <v>0</v>
      </c>
      <c r="G276" s="806">
        <f t="shared" si="156"/>
        <v>0</v>
      </c>
      <c r="H276" s="806">
        <f t="shared" si="156"/>
        <v>0.13333333333333333</v>
      </c>
      <c r="I276" s="624">
        <f t="shared" si="156"/>
        <v>6.3057762086888305E-2</v>
      </c>
      <c r="J276" s="624">
        <f t="shared" si="156"/>
        <v>0</v>
      </c>
      <c r="K276" s="625">
        <f t="shared" si="156"/>
        <v>0</v>
      </c>
      <c r="L276" s="625">
        <f t="shared" si="156"/>
        <v>0</v>
      </c>
      <c r="M276" s="625">
        <f t="shared" si="156"/>
        <v>0</v>
      </c>
      <c r="N276" s="624">
        <f t="shared" si="159"/>
        <v>0.14958904109589041</v>
      </c>
      <c r="O276" s="624">
        <f t="shared" si="157"/>
        <v>0</v>
      </c>
      <c r="P276" s="626">
        <f t="shared" si="157"/>
        <v>0</v>
      </c>
      <c r="Q276" s="624">
        <f t="shared" si="157"/>
        <v>0.37026239067055394</v>
      </c>
      <c r="R276" s="357"/>
      <c r="S276" s="858">
        <v>177</v>
      </c>
      <c r="T276" s="858">
        <v>319</v>
      </c>
      <c r="U276" s="858">
        <v>113</v>
      </c>
      <c r="V276" s="858"/>
      <c r="W276" s="858"/>
      <c r="X276" s="858">
        <v>34</v>
      </c>
      <c r="Y276" s="859">
        <v>643</v>
      </c>
      <c r="Z276" s="859"/>
      <c r="AA276" s="858"/>
      <c r="AB276" s="858"/>
      <c r="AC276" s="858"/>
      <c r="AD276" s="858"/>
      <c r="AE276" s="859">
        <v>546</v>
      </c>
      <c r="AF276" s="859"/>
      <c r="AG276" s="858"/>
      <c r="AH276" s="859">
        <v>127</v>
      </c>
    </row>
    <row r="277" spans="1:34">
      <c r="A277" s="884"/>
      <c r="B277" s="580" t="s">
        <v>131</v>
      </c>
      <c r="C277" s="806">
        <f t="shared" si="158"/>
        <v>5.4591406908171859E-2</v>
      </c>
      <c r="D277" s="806">
        <f t="shared" si="156"/>
        <v>0.14597780859916781</v>
      </c>
      <c r="E277" s="806">
        <f t="shared" si="156"/>
        <v>0.11398040961709706</v>
      </c>
      <c r="F277" s="806">
        <f t="shared" si="156"/>
        <v>0</v>
      </c>
      <c r="G277" s="806">
        <f t="shared" si="156"/>
        <v>0</v>
      </c>
      <c r="H277" s="806">
        <f t="shared" si="156"/>
        <v>3.5294117647058823E-2</v>
      </c>
      <c r="I277" s="624">
        <f t="shared" si="156"/>
        <v>8.6496028243601059E-2</v>
      </c>
      <c r="J277" s="624">
        <f t="shared" si="156"/>
        <v>0</v>
      </c>
      <c r="K277" s="625">
        <f t="shared" si="156"/>
        <v>0</v>
      </c>
      <c r="L277" s="625">
        <f t="shared" si="156"/>
        <v>0</v>
      </c>
      <c r="M277" s="625">
        <f t="shared" si="156"/>
        <v>0</v>
      </c>
      <c r="N277" s="624">
        <f t="shared" si="159"/>
        <v>0.13013698630136986</v>
      </c>
      <c r="O277" s="624">
        <f t="shared" si="157"/>
        <v>0</v>
      </c>
      <c r="P277" s="626">
        <f t="shared" si="157"/>
        <v>0</v>
      </c>
      <c r="Q277" s="624">
        <f t="shared" si="157"/>
        <v>0.13702623906705538</v>
      </c>
      <c r="R277" s="357"/>
      <c r="S277" s="858">
        <v>324</v>
      </c>
      <c r="T277" s="858">
        <v>421</v>
      </c>
      <c r="U277" s="858">
        <v>128</v>
      </c>
      <c r="V277" s="858">
        <v>0</v>
      </c>
      <c r="W277" s="858">
        <v>0</v>
      </c>
      <c r="X277" s="858">
        <v>9</v>
      </c>
      <c r="Y277" s="859">
        <v>882</v>
      </c>
      <c r="Z277" s="859"/>
      <c r="AA277" s="858"/>
      <c r="AB277" s="858"/>
      <c r="AC277" s="858"/>
      <c r="AD277" s="858"/>
      <c r="AE277" s="859">
        <v>475</v>
      </c>
      <c r="AF277" s="859"/>
      <c r="AG277" s="858"/>
      <c r="AH277" s="859">
        <v>47</v>
      </c>
    </row>
    <row r="278" spans="1:34">
      <c r="A278" s="885"/>
      <c r="B278" s="436" t="s">
        <v>59</v>
      </c>
      <c r="C278" s="807">
        <f t="shared" si="158"/>
        <v>1</v>
      </c>
      <c r="D278" s="808">
        <f t="shared" si="156"/>
        <v>1</v>
      </c>
      <c r="E278" s="808">
        <f t="shared" si="156"/>
        <v>1</v>
      </c>
      <c r="F278" s="808">
        <f t="shared" si="156"/>
        <v>0</v>
      </c>
      <c r="G278" s="808">
        <f t="shared" si="156"/>
        <v>0</v>
      </c>
      <c r="H278" s="809">
        <f t="shared" si="156"/>
        <v>1</v>
      </c>
      <c r="I278" s="577">
        <f t="shared" si="156"/>
        <v>1</v>
      </c>
      <c r="J278" s="577">
        <f t="shared" si="156"/>
        <v>0</v>
      </c>
      <c r="K278" s="578">
        <f t="shared" si="156"/>
        <v>0</v>
      </c>
      <c r="L278" s="578">
        <f t="shared" si="156"/>
        <v>0</v>
      </c>
      <c r="M278" s="578">
        <f t="shared" si="156"/>
        <v>0</v>
      </c>
      <c r="N278" s="577">
        <f t="shared" si="159"/>
        <v>1</v>
      </c>
      <c r="O278" s="577">
        <f t="shared" si="157"/>
        <v>0</v>
      </c>
      <c r="P278" s="579">
        <f t="shared" si="157"/>
        <v>0</v>
      </c>
      <c r="Q278" s="577">
        <f t="shared" si="157"/>
        <v>1</v>
      </c>
      <c r="R278" s="357"/>
      <c r="S278" s="858">
        <v>5935</v>
      </c>
      <c r="T278" s="858">
        <v>2884</v>
      </c>
      <c r="U278" s="858">
        <v>1123</v>
      </c>
      <c r="V278" s="858"/>
      <c r="W278" s="858"/>
      <c r="X278" s="858">
        <v>255</v>
      </c>
      <c r="Y278" s="859">
        <v>10197</v>
      </c>
      <c r="Z278" s="859"/>
      <c r="AA278" s="858"/>
      <c r="AB278" s="858"/>
      <c r="AC278" s="858"/>
      <c r="AD278" s="858"/>
      <c r="AE278" s="859">
        <v>3650</v>
      </c>
      <c r="AF278" s="859"/>
      <c r="AG278" s="858"/>
      <c r="AH278" s="859">
        <v>343</v>
      </c>
    </row>
    <row r="279" spans="1:34">
      <c r="A279" s="882" t="s">
        <v>164</v>
      </c>
      <c r="B279" s="240" t="s">
        <v>53</v>
      </c>
      <c r="C279" s="806">
        <f>IF(S$284&gt;0,(S279/S$284),0)</f>
        <v>0</v>
      </c>
      <c r="D279" s="806">
        <f t="shared" ref="D279:M284" si="160">IF(T$284&gt;0,(T279/T$284),0)</f>
        <v>0.26892655367231638</v>
      </c>
      <c r="E279" s="806">
        <f t="shared" si="160"/>
        <v>0</v>
      </c>
      <c r="F279" s="806">
        <f t="shared" si="160"/>
        <v>0</v>
      </c>
      <c r="G279" s="806">
        <f t="shared" si="160"/>
        <v>0.25165562913907286</v>
      </c>
      <c r="H279" s="806">
        <f t="shared" si="160"/>
        <v>0</v>
      </c>
      <c r="I279" s="613">
        <f t="shared" si="160"/>
        <v>0.26453243470935128</v>
      </c>
      <c r="J279" s="613">
        <f t="shared" si="160"/>
        <v>0</v>
      </c>
      <c r="K279" s="614">
        <f t="shared" si="160"/>
        <v>0</v>
      </c>
      <c r="L279" s="614">
        <f t="shared" si="160"/>
        <v>0</v>
      </c>
      <c r="M279" s="614">
        <f t="shared" si="160"/>
        <v>0</v>
      </c>
      <c r="N279" s="613">
        <f>IF(AE$284&gt;0,(AE279/AE$284),0)</f>
        <v>0</v>
      </c>
      <c r="O279" s="613">
        <f t="shared" ref="O279:Q284" si="161">IF(AF$284&gt;0,(AF279/AF$284),0)</f>
        <v>0</v>
      </c>
      <c r="P279" s="615">
        <f t="shared" si="161"/>
        <v>0</v>
      </c>
      <c r="Q279" s="613">
        <f t="shared" si="161"/>
        <v>0</v>
      </c>
      <c r="R279" s="799"/>
      <c r="S279" s="856"/>
      <c r="T279" s="856">
        <v>238</v>
      </c>
      <c r="U279" s="856"/>
      <c r="V279" s="856"/>
      <c r="W279" s="856">
        <v>76</v>
      </c>
      <c r="X279" s="856"/>
      <c r="Y279" s="857">
        <v>314</v>
      </c>
      <c r="Z279" s="857"/>
      <c r="AA279" s="856"/>
      <c r="AB279" s="856"/>
      <c r="AC279" s="856"/>
      <c r="AD279" s="856"/>
      <c r="AE279" s="857"/>
      <c r="AF279" s="857"/>
      <c r="AG279" s="856"/>
      <c r="AH279" s="857"/>
    </row>
    <row r="280" spans="1:34">
      <c r="A280" s="883"/>
      <c r="B280" s="239" t="s">
        <v>93</v>
      </c>
      <c r="C280" s="806">
        <f t="shared" ref="C280:C284" si="162">IF(S$284&gt;0,(S280/S$284),0)</f>
        <v>0</v>
      </c>
      <c r="D280" s="806">
        <f t="shared" si="160"/>
        <v>0.19548022598870057</v>
      </c>
      <c r="E280" s="806">
        <f t="shared" si="160"/>
        <v>0</v>
      </c>
      <c r="F280" s="806">
        <f t="shared" si="160"/>
        <v>0</v>
      </c>
      <c r="G280" s="806">
        <f t="shared" si="160"/>
        <v>0.23509933774834438</v>
      </c>
      <c r="H280" s="806">
        <f t="shared" si="160"/>
        <v>0</v>
      </c>
      <c r="I280" s="624">
        <f t="shared" si="160"/>
        <v>0.2055602358887953</v>
      </c>
      <c r="J280" s="624">
        <f t="shared" si="160"/>
        <v>0</v>
      </c>
      <c r="K280" s="625">
        <f t="shared" si="160"/>
        <v>0</v>
      </c>
      <c r="L280" s="625">
        <f t="shared" si="160"/>
        <v>0</v>
      </c>
      <c r="M280" s="625">
        <f t="shared" si="160"/>
        <v>0</v>
      </c>
      <c r="N280" s="624">
        <f t="shared" ref="N280:N284" si="163">IF(AE$284&gt;0,(AE280/AE$284),0)</f>
        <v>0</v>
      </c>
      <c r="O280" s="624">
        <f t="shared" si="161"/>
        <v>0</v>
      </c>
      <c r="P280" s="626">
        <f t="shared" si="161"/>
        <v>0</v>
      </c>
      <c r="Q280" s="624">
        <f t="shared" si="161"/>
        <v>0</v>
      </c>
      <c r="R280" s="357"/>
      <c r="S280" s="858"/>
      <c r="T280" s="858">
        <v>173</v>
      </c>
      <c r="U280" s="858"/>
      <c r="V280" s="858"/>
      <c r="W280" s="858">
        <v>71</v>
      </c>
      <c r="X280" s="858"/>
      <c r="Y280" s="859">
        <v>244</v>
      </c>
      <c r="Z280" s="859"/>
      <c r="AA280" s="858"/>
      <c r="AB280" s="858"/>
      <c r="AC280" s="858"/>
      <c r="AD280" s="858"/>
      <c r="AE280" s="859"/>
      <c r="AF280" s="859"/>
      <c r="AG280" s="858"/>
      <c r="AH280" s="859"/>
    </row>
    <row r="281" spans="1:34">
      <c r="A281" s="883"/>
      <c r="B281" s="239" t="s">
        <v>55</v>
      </c>
      <c r="C281" s="806">
        <f t="shared" si="162"/>
        <v>0</v>
      </c>
      <c r="D281" s="806">
        <f t="shared" si="160"/>
        <v>0.26892655367231638</v>
      </c>
      <c r="E281" s="806">
        <f t="shared" si="160"/>
        <v>0</v>
      </c>
      <c r="F281" s="806">
        <f t="shared" si="160"/>
        <v>0</v>
      </c>
      <c r="G281" s="806">
        <f t="shared" si="160"/>
        <v>0.31456953642384106</v>
      </c>
      <c r="H281" s="806">
        <f t="shared" si="160"/>
        <v>0</v>
      </c>
      <c r="I281" s="624">
        <f t="shared" si="160"/>
        <v>0.28053917438921649</v>
      </c>
      <c r="J281" s="624">
        <f t="shared" si="160"/>
        <v>0</v>
      </c>
      <c r="K281" s="625">
        <f t="shared" si="160"/>
        <v>0</v>
      </c>
      <c r="L281" s="625">
        <f t="shared" si="160"/>
        <v>0</v>
      </c>
      <c r="M281" s="625">
        <f t="shared" si="160"/>
        <v>0</v>
      </c>
      <c r="N281" s="624">
        <f t="shared" si="163"/>
        <v>0</v>
      </c>
      <c r="O281" s="624">
        <f t="shared" si="161"/>
        <v>0</v>
      </c>
      <c r="P281" s="626">
        <f t="shared" si="161"/>
        <v>0</v>
      </c>
      <c r="Q281" s="624">
        <f t="shared" si="161"/>
        <v>0</v>
      </c>
      <c r="R281" s="357"/>
      <c r="S281" s="858"/>
      <c r="T281" s="858">
        <v>238</v>
      </c>
      <c r="U281" s="858"/>
      <c r="V281" s="858"/>
      <c r="W281" s="858">
        <v>95</v>
      </c>
      <c r="X281" s="858"/>
      <c r="Y281" s="859">
        <v>333</v>
      </c>
      <c r="Z281" s="859"/>
      <c r="AA281" s="858"/>
      <c r="AB281" s="858"/>
      <c r="AC281" s="858"/>
      <c r="AD281" s="858"/>
      <c r="AE281" s="859"/>
      <c r="AF281" s="859"/>
      <c r="AG281" s="858"/>
      <c r="AH281" s="859"/>
    </row>
    <row r="282" spans="1:34">
      <c r="A282" s="883"/>
      <c r="B282" s="239" t="s">
        <v>78</v>
      </c>
      <c r="C282" s="806">
        <f t="shared" si="162"/>
        <v>0</v>
      </c>
      <c r="D282" s="806">
        <f t="shared" si="160"/>
        <v>0.21016949152542372</v>
      </c>
      <c r="E282" s="806">
        <f t="shared" si="160"/>
        <v>0</v>
      </c>
      <c r="F282" s="806">
        <f t="shared" si="160"/>
        <v>0</v>
      </c>
      <c r="G282" s="806">
        <f t="shared" si="160"/>
        <v>0.17880794701986755</v>
      </c>
      <c r="H282" s="806">
        <f t="shared" si="160"/>
        <v>0</v>
      </c>
      <c r="I282" s="624">
        <f t="shared" si="160"/>
        <v>0.20219039595619209</v>
      </c>
      <c r="J282" s="624">
        <f t="shared" si="160"/>
        <v>0</v>
      </c>
      <c r="K282" s="625">
        <f t="shared" si="160"/>
        <v>0</v>
      </c>
      <c r="L282" s="625">
        <f t="shared" si="160"/>
        <v>0</v>
      </c>
      <c r="M282" s="625">
        <f t="shared" si="160"/>
        <v>0</v>
      </c>
      <c r="N282" s="624">
        <f t="shared" si="163"/>
        <v>0.95443037974683542</v>
      </c>
      <c r="O282" s="624">
        <f t="shared" si="161"/>
        <v>0</v>
      </c>
      <c r="P282" s="626">
        <f t="shared" si="161"/>
        <v>0</v>
      </c>
      <c r="Q282" s="624">
        <f t="shared" si="161"/>
        <v>0</v>
      </c>
      <c r="R282" s="357"/>
      <c r="S282" s="858"/>
      <c r="T282" s="858">
        <v>186</v>
      </c>
      <c r="U282" s="858"/>
      <c r="V282" s="858"/>
      <c r="W282" s="858">
        <v>54</v>
      </c>
      <c r="X282" s="858"/>
      <c r="Y282" s="859">
        <v>240</v>
      </c>
      <c r="Z282" s="859"/>
      <c r="AA282" s="858"/>
      <c r="AB282" s="858"/>
      <c r="AC282" s="858"/>
      <c r="AD282" s="858"/>
      <c r="AE282" s="859">
        <v>377</v>
      </c>
      <c r="AF282" s="859"/>
      <c r="AG282" s="858"/>
      <c r="AH282" s="859"/>
    </row>
    <row r="283" spans="1:34">
      <c r="A283" s="884"/>
      <c r="B283" s="580" t="s">
        <v>131</v>
      </c>
      <c r="C283" s="806">
        <f t="shared" si="162"/>
        <v>0</v>
      </c>
      <c r="D283" s="806">
        <f t="shared" si="160"/>
        <v>5.6497175141242938E-2</v>
      </c>
      <c r="E283" s="806">
        <f t="shared" si="160"/>
        <v>0</v>
      </c>
      <c r="F283" s="806">
        <f t="shared" si="160"/>
        <v>0</v>
      </c>
      <c r="G283" s="806">
        <f t="shared" si="160"/>
        <v>1.9867549668874173E-2</v>
      </c>
      <c r="H283" s="806">
        <f t="shared" si="160"/>
        <v>0</v>
      </c>
      <c r="I283" s="624">
        <f t="shared" si="160"/>
        <v>4.7177759056444821E-2</v>
      </c>
      <c r="J283" s="624">
        <f t="shared" si="160"/>
        <v>0</v>
      </c>
      <c r="K283" s="625">
        <f t="shared" si="160"/>
        <v>0</v>
      </c>
      <c r="L283" s="625">
        <f t="shared" si="160"/>
        <v>0</v>
      </c>
      <c r="M283" s="625">
        <f t="shared" si="160"/>
        <v>0</v>
      </c>
      <c r="N283" s="624">
        <f t="shared" si="163"/>
        <v>4.5569620253164557E-2</v>
      </c>
      <c r="O283" s="624">
        <f t="shared" si="161"/>
        <v>0</v>
      </c>
      <c r="P283" s="626">
        <f t="shared" si="161"/>
        <v>0</v>
      </c>
      <c r="Q283" s="624">
        <f t="shared" si="161"/>
        <v>0</v>
      </c>
      <c r="R283" s="357"/>
      <c r="S283" s="858"/>
      <c r="T283" s="858">
        <v>50</v>
      </c>
      <c r="U283" s="858"/>
      <c r="V283" s="858"/>
      <c r="W283" s="858">
        <v>6</v>
      </c>
      <c r="X283" s="858"/>
      <c r="Y283" s="859">
        <v>56</v>
      </c>
      <c r="Z283" s="859"/>
      <c r="AA283" s="858"/>
      <c r="AB283" s="858"/>
      <c r="AC283" s="858"/>
      <c r="AD283" s="858"/>
      <c r="AE283" s="859">
        <v>18</v>
      </c>
      <c r="AF283" s="859"/>
      <c r="AG283" s="858"/>
      <c r="AH283" s="859"/>
    </row>
    <row r="284" spans="1:34">
      <c r="A284" s="885"/>
      <c r="B284" s="436" t="s">
        <v>59</v>
      </c>
      <c r="C284" s="807">
        <f t="shared" si="162"/>
        <v>0</v>
      </c>
      <c r="D284" s="808">
        <f t="shared" si="160"/>
        <v>1</v>
      </c>
      <c r="E284" s="808">
        <f t="shared" si="160"/>
        <v>0</v>
      </c>
      <c r="F284" s="808">
        <f t="shared" si="160"/>
        <v>0</v>
      </c>
      <c r="G284" s="808">
        <f t="shared" si="160"/>
        <v>1</v>
      </c>
      <c r="H284" s="809">
        <f t="shared" si="160"/>
        <v>0</v>
      </c>
      <c r="I284" s="577">
        <f t="shared" si="160"/>
        <v>1</v>
      </c>
      <c r="J284" s="577">
        <f t="shared" si="160"/>
        <v>0</v>
      </c>
      <c r="K284" s="578">
        <f t="shared" si="160"/>
        <v>0</v>
      </c>
      <c r="L284" s="578">
        <f t="shared" si="160"/>
        <v>0</v>
      </c>
      <c r="M284" s="578">
        <f t="shared" si="160"/>
        <v>0</v>
      </c>
      <c r="N284" s="577">
        <f t="shared" si="163"/>
        <v>1</v>
      </c>
      <c r="O284" s="577">
        <f t="shared" si="161"/>
        <v>0</v>
      </c>
      <c r="P284" s="579">
        <f t="shared" si="161"/>
        <v>0</v>
      </c>
      <c r="Q284" s="577">
        <f t="shared" si="161"/>
        <v>0</v>
      </c>
      <c r="R284" s="357"/>
      <c r="S284" s="858"/>
      <c r="T284" s="858">
        <v>885</v>
      </c>
      <c r="U284" s="858"/>
      <c r="V284" s="858"/>
      <c r="W284" s="858">
        <v>302</v>
      </c>
      <c r="X284" s="858"/>
      <c r="Y284" s="859">
        <v>1187</v>
      </c>
      <c r="Z284" s="859"/>
      <c r="AA284" s="858"/>
      <c r="AB284" s="858"/>
      <c r="AC284" s="858"/>
      <c r="AD284" s="858"/>
      <c r="AE284" s="859">
        <v>395</v>
      </c>
      <c r="AF284" s="859"/>
      <c r="AG284" s="858"/>
      <c r="AH284" s="859"/>
    </row>
    <row r="285" spans="1:34">
      <c r="A285" s="882" t="s">
        <v>168</v>
      </c>
      <c r="B285" s="240" t="s">
        <v>53</v>
      </c>
      <c r="C285" s="806">
        <f>IF(S$290&gt;0,(S285/S$290),0)</f>
        <v>0.42431761786600497</v>
      </c>
      <c r="D285" s="806">
        <f t="shared" ref="D285:M290" si="164">IF(T$290&gt;0,(T285/T$290),0)</f>
        <v>0</v>
      </c>
      <c r="E285" s="806">
        <f t="shared" si="164"/>
        <v>0</v>
      </c>
      <c r="F285" s="806">
        <f t="shared" si="164"/>
        <v>0.25272479564032696</v>
      </c>
      <c r="G285" s="806">
        <f t="shared" si="164"/>
        <v>0.27702702702702703</v>
      </c>
      <c r="H285" s="806">
        <f t="shared" si="164"/>
        <v>0</v>
      </c>
      <c r="I285" s="613">
        <f t="shared" si="164"/>
        <v>0.33550724637681162</v>
      </c>
      <c r="J285" s="613">
        <f t="shared" si="164"/>
        <v>0</v>
      </c>
      <c r="K285" s="614">
        <f t="shared" si="164"/>
        <v>0</v>
      </c>
      <c r="L285" s="614">
        <f t="shared" si="164"/>
        <v>0</v>
      </c>
      <c r="M285" s="614">
        <f t="shared" si="164"/>
        <v>0</v>
      </c>
      <c r="N285" s="613">
        <f>IF(AE$290&gt;0,(AE285/AE$290),0)</f>
        <v>0</v>
      </c>
      <c r="O285" s="613">
        <f t="shared" ref="O285:Q290" si="165">IF(AF$290&gt;0,(AF285/AF$290),0)</f>
        <v>0</v>
      </c>
      <c r="P285" s="615">
        <f t="shared" si="165"/>
        <v>0</v>
      </c>
      <c r="Q285" s="613">
        <f t="shared" si="165"/>
        <v>0</v>
      </c>
      <c r="R285" s="799"/>
      <c r="S285" s="856">
        <v>1368</v>
      </c>
      <c r="T285" s="856"/>
      <c r="U285" s="856"/>
      <c r="V285" s="856">
        <v>742</v>
      </c>
      <c r="W285" s="856">
        <v>205</v>
      </c>
      <c r="X285" s="856"/>
      <c r="Y285" s="857">
        <v>2315</v>
      </c>
      <c r="Z285" s="857"/>
      <c r="AA285" s="856"/>
      <c r="AB285" s="856"/>
      <c r="AC285" s="856"/>
      <c r="AD285" s="856"/>
      <c r="AE285" s="857"/>
      <c r="AF285" s="857"/>
      <c r="AG285" s="856"/>
      <c r="AH285" s="857"/>
    </row>
    <row r="286" spans="1:34">
      <c r="A286" s="883"/>
      <c r="B286" s="239" t="s">
        <v>93</v>
      </c>
      <c r="C286" s="806">
        <f t="shared" ref="C286:C290" si="166">IF(S$290&gt;0,(S286/S$290),0)</f>
        <v>0.23511166253101737</v>
      </c>
      <c r="D286" s="806">
        <f t="shared" si="164"/>
        <v>0</v>
      </c>
      <c r="E286" s="806">
        <f t="shared" si="164"/>
        <v>0</v>
      </c>
      <c r="F286" s="806">
        <f t="shared" si="164"/>
        <v>0.22990463215258855</v>
      </c>
      <c r="G286" s="806">
        <f t="shared" si="164"/>
        <v>0.27837837837837837</v>
      </c>
      <c r="H286" s="806">
        <f t="shared" si="164"/>
        <v>0</v>
      </c>
      <c r="I286" s="624">
        <f t="shared" si="164"/>
        <v>0.23753623188405798</v>
      </c>
      <c r="J286" s="624">
        <f t="shared" si="164"/>
        <v>0</v>
      </c>
      <c r="K286" s="625">
        <f t="shared" si="164"/>
        <v>0</v>
      </c>
      <c r="L286" s="625">
        <f t="shared" si="164"/>
        <v>0</v>
      </c>
      <c r="M286" s="625">
        <f t="shared" si="164"/>
        <v>0</v>
      </c>
      <c r="N286" s="624">
        <f t="shared" ref="N286:N290" si="167">IF(AE$290&gt;0,(AE286/AE$290),0)</f>
        <v>0</v>
      </c>
      <c r="O286" s="624">
        <f t="shared" si="165"/>
        <v>0</v>
      </c>
      <c r="P286" s="626">
        <f t="shared" si="165"/>
        <v>0</v>
      </c>
      <c r="Q286" s="624">
        <f t="shared" si="165"/>
        <v>0</v>
      </c>
      <c r="R286" s="357"/>
      <c r="S286" s="858">
        <v>758</v>
      </c>
      <c r="T286" s="858"/>
      <c r="U286" s="858"/>
      <c r="V286" s="858">
        <v>675</v>
      </c>
      <c r="W286" s="858">
        <v>206</v>
      </c>
      <c r="X286" s="858"/>
      <c r="Y286" s="859">
        <v>1639</v>
      </c>
      <c r="Z286" s="859"/>
      <c r="AA286" s="858"/>
      <c r="AB286" s="858"/>
      <c r="AC286" s="858"/>
      <c r="AD286" s="858"/>
      <c r="AE286" s="859"/>
      <c r="AF286" s="859"/>
      <c r="AG286" s="858"/>
      <c r="AH286" s="859"/>
    </row>
    <row r="287" spans="1:34">
      <c r="A287" s="883"/>
      <c r="B287" s="239" t="s">
        <v>55</v>
      </c>
      <c r="C287" s="806">
        <f t="shared" si="166"/>
        <v>0.23169975186104219</v>
      </c>
      <c r="D287" s="806">
        <f t="shared" si="164"/>
        <v>0</v>
      </c>
      <c r="E287" s="806">
        <f t="shared" si="164"/>
        <v>0</v>
      </c>
      <c r="F287" s="806">
        <f t="shared" si="164"/>
        <v>0.29802452316076294</v>
      </c>
      <c r="G287" s="806">
        <f t="shared" si="164"/>
        <v>0.26216216216216215</v>
      </c>
      <c r="H287" s="806">
        <f t="shared" si="164"/>
        <v>0</v>
      </c>
      <c r="I287" s="624">
        <f t="shared" si="164"/>
        <v>0.26318840579710145</v>
      </c>
      <c r="J287" s="624">
        <f t="shared" si="164"/>
        <v>0</v>
      </c>
      <c r="K287" s="625">
        <f t="shared" si="164"/>
        <v>0</v>
      </c>
      <c r="L287" s="625">
        <f t="shared" si="164"/>
        <v>0</v>
      </c>
      <c r="M287" s="625">
        <f t="shared" si="164"/>
        <v>0</v>
      </c>
      <c r="N287" s="624">
        <f t="shared" si="167"/>
        <v>0</v>
      </c>
      <c r="O287" s="624">
        <f t="shared" si="165"/>
        <v>0</v>
      </c>
      <c r="P287" s="626">
        <f t="shared" si="165"/>
        <v>0</v>
      </c>
      <c r="Q287" s="624">
        <f t="shared" si="165"/>
        <v>0</v>
      </c>
      <c r="R287" s="357"/>
      <c r="S287" s="858">
        <v>747</v>
      </c>
      <c r="T287" s="858"/>
      <c r="U287" s="858"/>
      <c r="V287" s="858">
        <v>875</v>
      </c>
      <c r="W287" s="858">
        <v>194</v>
      </c>
      <c r="X287" s="858"/>
      <c r="Y287" s="859">
        <v>1816</v>
      </c>
      <c r="Z287" s="859"/>
      <c r="AA287" s="858"/>
      <c r="AB287" s="858"/>
      <c r="AC287" s="858"/>
      <c r="AD287" s="858"/>
      <c r="AE287" s="859"/>
      <c r="AF287" s="859"/>
      <c r="AG287" s="858"/>
      <c r="AH287" s="859"/>
    </row>
    <row r="288" spans="1:34">
      <c r="A288" s="883"/>
      <c r="B288" s="239" t="s">
        <v>78</v>
      </c>
      <c r="C288" s="806">
        <f t="shared" si="166"/>
        <v>1.1476426799007445E-2</v>
      </c>
      <c r="D288" s="806">
        <f t="shared" si="164"/>
        <v>0</v>
      </c>
      <c r="E288" s="806">
        <f t="shared" si="164"/>
        <v>0</v>
      </c>
      <c r="F288" s="806">
        <f t="shared" si="164"/>
        <v>7.8337874659400539E-3</v>
      </c>
      <c r="G288" s="806">
        <f t="shared" si="164"/>
        <v>2.7027027027027029E-3</v>
      </c>
      <c r="H288" s="806">
        <f t="shared" si="164"/>
        <v>0</v>
      </c>
      <c r="I288" s="624">
        <f t="shared" si="164"/>
        <v>8.9855072463768115E-3</v>
      </c>
      <c r="J288" s="624">
        <f t="shared" si="164"/>
        <v>0</v>
      </c>
      <c r="K288" s="625">
        <f t="shared" si="164"/>
        <v>0</v>
      </c>
      <c r="L288" s="625">
        <f t="shared" si="164"/>
        <v>0</v>
      </c>
      <c r="M288" s="625">
        <f t="shared" si="164"/>
        <v>0</v>
      </c>
      <c r="N288" s="624">
        <f t="shared" si="167"/>
        <v>3.3707865168539325E-2</v>
      </c>
      <c r="O288" s="624">
        <f t="shared" si="165"/>
        <v>0</v>
      </c>
      <c r="P288" s="626">
        <f t="shared" si="165"/>
        <v>0</v>
      </c>
      <c r="Q288" s="624">
        <f t="shared" si="165"/>
        <v>0.77447425670775927</v>
      </c>
      <c r="R288" s="357"/>
      <c r="S288" s="858">
        <v>37</v>
      </c>
      <c r="T288" s="858"/>
      <c r="U288" s="858"/>
      <c r="V288" s="858">
        <v>23</v>
      </c>
      <c r="W288" s="858">
        <v>2</v>
      </c>
      <c r="X288" s="858"/>
      <c r="Y288" s="859">
        <v>62</v>
      </c>
      <c r="Z288" s="859"/>
      <c r="AA288" s="858"/>
      <c r="AB288" s="858"/>
      <c r="AC288" s="858"/>
      <c r="AD288" s="858"/>
      <c r="AE288" s="859">
        <v>15</v>
      </c>
      <c r="AF288" s="859"/>
      <c r="AG288" s="858"/>
      <c r="AH288" s="859">
        <v>2136</v>
      </c>
    </row>
    <row r="289" spans="1:34">
      <c r="A289" s="884"/>
      <c r="B289" s="580" t="s">
        <v>131</v>
      </c>
      <c r="C289" s="806">
        <f t="shared" si="166"/>
        <v>9.7394540942928043E-2</v>
      </c>
      <c r="D289" s="806">
        <f t="shared" si="164"/>
        <v>0</v>
      </c>
      <c r="E289" s="806">
        <f t="shared" si="164"/>
        <v>0</v>
      </c>
      <c r="F289" s="806">
        <f t="shared" si="164"/>
        <v>0.21151226158038147</v>
      </c>
      <c r="G289" s="806">
        <f t="shared" si="164"/>
        <v>0.17972972972972973</v>
      </c>
      <c r="H289" s="806">
        <f t="shared" si="164"/>
        <v>0</v>
      </c>
      <c r="I289" s="624">
        <f t="shared" si="164"/>
        <v>0.15478260869565216</v>
      </c>
      <c r="J289" s="624">
        <f t="shared" si="164"/>
        <v>0</v>
      </c>
      <c r="K289" s="625">
        <f t="shared" si="164"/>
        <v>0</v>
      </c>
      <c r="L289" s="625">
        <f t="shared" si="164"/>
        <v>0</v>
      </c>
      <c r="M289" s="625">
        <f t="shared" si="164"/>
        <v>0</v>
      </c>
      <c r="N289" s="624">
        <f t="shared" si="167"/>
        <v>0.9662921348314607</v>
      </c>
      <c r="O289" s="624">
        <f t="shared" si="165"/>
        <v>0</v>
      </c>
      <c r="P289" s="626">
        <f t="shared" si="165"/>
        <v>0</v>
      </c>
      <c r="Q289" s="624">
        <f t="shared" si="165"/>
        <v>0.22552574329224076</v>
      </c>
      <c r="R289" s="357"/>
      <c r="S289" s="858">
        <v>314</v>
      </c>
      <c r="T289" s="858">
        <v>0</v>
      </c>
      <c r="U289" s="858">
        <v>0</v>
      </c>
      <c r="V289" s="858">
        <v>621</v>
      </c>
      <c r="W289" s="858">
        <v>133</v>
      </c>
      <c r="X289" s="858">
        <v>0</v>
      </c>
      <c r="Y289" s="859">
        <v>1068</v>
      </c>
      <c r="Z289" s="859"/>
      <c r="AA289" s="858"/>
      <c r="AB289" s="858"/>
      <c r="AC289" s="858"/>
      <c r="AD289" s="858"/>
      <c r="AE289" s="859">
        <v>430</v>
      </c>
      <c r="AF289" s="859"/>
      <c r="AG289" s="858"/>
      <c r="AH289" s="859">
        <v>622</v>
      </c>
    </row>
    <row r="290" spans="1:34">
      <c r="A290" s="885"/>
      <c r="B290" s="436" t="s">
        <v>59</v>
      </c>
      <c r="C290" s="807">
        <f t="shared" si="166"/>
        <v>1</v>
      </c>
      <c r="D290" s="808">
        <f t="shared" si="164"/>
        <v>0</v>
      </c>
      <c r="E290" s="808">
        <f t="shared" si="164"/>
        <v>0</v>
      </c>
      <c r="F290" s="808">
        <f t="shared" si="164"/>
        <v>1</v>
      </c>
      <c r="G290" s="808">
        <f t="shared" si="164"/>
        <v>1</v>
      </c>
      <c r="H290" s="809">
        <f t="shared" si="164"/>
        <v>0</v>
      </c>
      <c r="I290" s="577">
        <f t="shared" si="164"/>
        <v>1</v>
      </c>
      <c r="J290" s="577">
        <f t="shared" si="164"/>
        <v>0</v>
      </c>
      <c r="K290" s="578">
        <f t="shared" si="164"/>
        <v>0</v>
      </c>
      <c r="L290" s="578">
        <f t="shared" si="164"/>
        <v>0</v>
      </c>
      <c r="M290" s="578">
        <f t="shared" si="164"/>
        <v>0</v>
      </c>
      <c r="N290" s="577">
        <f t="shared" si="167"/>
        <v>1</v>
      </c>
      <c r="O290" s="577">
        <f t="shared" si="165"/>
        <v>0</v>
      </c>
      <c r="P290" s="579">
        <f t="shared" si="165"/>
        <v>0</v>
      </c>
      <c r="Q290" s="577">
        <f t="shared" si="165"/>
        <v>1</v>
      </c>
      <c r="R290" s="357"/>
      <c r="S290" s="858">
        <v>3224</v>
      </c>
      <c r="T290" s="858"/>
      <c r="U290" s="858"/>
      <c r="V290" s="858">
        <v>2936</v>
      </c>
      <c r="W290" s="858">
        <v>740</v>
      </c>
      <c r="X290" s="858"/>
      <c r="Y290" s="859">
        <v>6900</v>
      </c>
      <c r="Z290" s="859"/>
      <c r="AA290" s="858"/>
      <c r="AB290" s="858"/>
      <c r="AC290" s="858"/>
      <c r="AD290" s="858"/>
      <c r="AE290" s="859">
        <v>445</v>
      </c>
      <c r="AF290" s="859"/>
      <c r="AG290" s="858"/>
      <c r="AH290" s="859">
        <v>2758</v>
      </c>
    </row>
    <row r="291" spans="1:34">
      <c r="A291" s="882" t="s">
        <v>173</v>
      </c>
      <c r="B291" s="240" t="s">
        <v>53</v>
      </c>
      <c r="C291" s="806">
        <f>IF(S$296&gt;0,(S291/S$296),0)</f>
        <v>0.32262156448202961</v>
      </c>
      <c r="D291" s="806">
        <f t="shared" ref="D291:M296" si="168">IF(T$296&gt;0,(T291/T$296),0)</f>
        <v>0.3353938185443669</v>
      </c>
      <c r="E291" s="806">
        <f t="shared" si="168"/>
        <v>0.32154006243496358</v>
      </c>
      <c r="F291" s="806">
        <f t="shared" si="168"/>
        <v>0.31482205709816191</v>
      </c>
      <c r="G291" s="806">
        <f t="shared" si="168"/>
        <v>0.27684463107378526</v>
      </c>
      <c r="H291" s="806">
        <f t="shared" si="168"/>
        <v>0.19624217118997914</v>
      </c>
      <c r="I291" s="613">
        <f t="shared" si="168"/>
        <v>0.30934693685645775</v>
      </c>
      <c r="J291" s="613">
        <f t="shared" si="168"/>
        <v>0</v>
      </c>
      <c r="K291" s="614">
        <f t="shared" si="168"/>
        <v>0</v>
      </c>
      <c r="L291" s="614">
        <f t="shared" si="168"/>
        <v>0</v>
      </c>
      <c r="M291" s="614">
        <f t="shared" si="168"/>
        <v>0</v>
      </c>
      <c r="N291" s="613">
        <f>IF(AE$296&gt;0,(AE291/AE$296),0)</f>
        <v>0.31851346743948178</v>
      </c>
      <c r="O291" s="613">
        <f t="shared" ref="O291:Q296" si="169">IF(AF$296&gt;0,(AF291/AF$296),0)</f>
        <v>0</v>
      </c>
      <c r="P291" s="615">
        <f t="shared" si="169"/>
        <v>0</v>
      </c>
      <c r="Q291" s="613">
        <f t="shared" si="169"/>
        <v>0.17142857142857143</v>
      </c>
      <c r="R291" s="799"/>
      <c r="S291" s="860">
        <f>S297+S303+S309+S315+S321+S327+S333+S339+S345</f>
        <v>4578</v>
      </c>
      <c r="T291" s="860">
        <f t="shared" ref="T291:AE291" si="170">T297+T303+T309+T315+T321+T327+T333+T339+T345</f>
        <v>1682</v>
      </c>
      <c r="U291" s="860">
        <f t="shared" si="170"/>
        <v>3708</v>
      </c>
      <c r="V291" s="860">
        <f t="shared" si="170"/>
        <v>1610</v>
      </c>
      <c r="W291" s="860">
        <f t="shared" si="170"/>
        <v>923</v>
      </c>
      <c r="X291" s="860">
        <f t="shared" si="170"/>
        <v>658</v>
      </c>
      <c r="Y291" s="861">
        <f t="shared" si="170"/>
        <v>13159</v>
      </c>
      <c r="Z291" s="861">
        <f t="shared" si="170"/>
        <v>0</v>
      </c>
      <c r="AA291" s="860">
        <f t="shared" si="170"/>
        <v>0</v>
      </c>
      <c r="AB291" s="860">
        <f t="shared" si="170"/>
        <v>0</v>
      </c>
      <c r="AC291" s="860">
        <f t="shared" si="170"/>
        <v>0</v>
      </c>
      <c r="AD291" s="860">
        <f t="shared" si="170"/>
        <v>0</v>
      </c>
      <c r="AE291" s="861">
        <f t="shared" si="170"/>
        <v>4671</v>
      </c>
      <c r="AF291" s="861"/>
      <c r="AG291" s="860"/>
      <c r="AH291" s="861">
        <f t="shared" ref="AH291" si="171">AH297+AH303+AH309+AH315+AH321+AH327+AH333+AH339+AH345</f>
        <v>30</v>
      </c>
    </row>
    <row r="292" spans="1:34">
      <c r="A292" s="883"/>
      <c r="B292" s="239" t="s">
        <v>93</v>
      </c>
      <c r="C292" s="806">
        <f t="shared" ref="C292:C296" si="172">IF(S$296&gt;0,(S292/S$296),0)</f>
        <v>0.26116983791402398</v>
      </c>
      <c r="D292" s="806">
        <f t="shared" si="168"/>
        <v>0.30069790628115656</v>
      </c>
      <c r="E292" s="806">
        <f t="shared" si="168"/>
        <v>0.31625043357613597</v>
      </c>
      <c r="F292" s="806">
        <f t="shared" si="168"/>
        <v>0.30269847477512712</v>
      </c>
      <c r="G292" s="806">
        <f t="shared" si="168"/>
        <v>0.32153569286142769</v>
      </c>
      <c r="H292" s="806">
        <f t="shared" si="168"/>
        <v>0.26573218013719058</v>
      </c>
      <c r="I292" s="624">
        <f t="shared" si="168"/>
        <v>0.29084583196201041</v>
      </c>
      <c r="J292" s="624">
        <f t="shared" si="168"/>
        <v>0</v>
      </c>
      <c r="K292" s="625">
        <f t="shared" si="168"/>
        <v>0</v>
      </c>
      <c r="L292" s="625">
        <f t="shared" si="168"/>
        <v>0</v>
      </c>
      <c r="M292" s="625">
        <f t="shared" si="168"/>
        <v>0</v>
      </c>
      <c r="N292" s="624">
        <f t="shared" ref="N292:N296" si="173">IF(AE$296&gt;0,(AE292/AE$296),0)</f>
        <v>0.21766109785202864</v>
      </c>
      <c r="O292" s="624">
        <f t="shared" si="169"/>
        <v>0</v>
      </c>
      <c r="P292" s="626">
        <f t="shared" si="169"/>
        <v>0</v>
      </c>
      <c r="Q292" s="624">
        <f t="shared" si="169"/>
        <v>6.2857142857142861E-2</v>
      </c>
      <c r="R292" s="357"/>
      <c r="S292" s="862">
        <f t="shared" ref="S292:AE296" si="174">S298+S304+S310+S316+S322+S328+S334+S340+S346</f>
        <v>3706</v>
      </c>
      <c r="T292" s="862">
        <f t="shared" si="174"/>
        <v>1508</v>
      </c>
      <c r="U292" s="862">
        <f t="shared" si="174"/>
        <v>3647</v>
      </c>
      <c r="V292" s="862">
        <f t="shared" si="174"/>
        <v>1548</v>
      </c>
      <c r="W292" s="862">
        <f t="shared" si="174"/>
        <v>1072</v>
      </c>
      <c r="X292" s="862">
        <f t="shared" si="174"/>
        <v>891</v>
      </c>
      <c r="Y292" s="863">
        <f t="shared" si="174"/>
        <v>12372</v>
      </c>
      <c r="Z292" s="863">
        <f t="shared" si="174"/>
        <v>0</v>
      </c>
      <c r="AA292" s="862">
        <f t="shared" si="174"/>
        <v>0</v>
      </c>
      <c r="AB292" s="862">
        <f t="shared" si="174"/>
        <v>0</v>
      </c>
      <c r="AC292" s="862">
        <f t="shared" si="174"/>
        <v>0</v>
      </c>
      <c r="AD292" s="862">
        <f t="shared" si="174"/>
        <v>0</v>
      </c>
      <c r="AE292" s="863">
        <f t="shared" si="174"/>
        <v>3192</v>
      </c>
      <c r="AF292" s="859"/>
      <c r="AG292" s="858"/>
      <c r="AH292" s="863">
        <f t="shared" ref="AH292" si="175">AH298+AH304+AH310+AH316+AH322+AH328+AH334+AH340+AH346</f>
        <v>11</v>
      </c>
    </row>
    <row r="293" spans="1:34">
      <c r="A293" s="883"/>
      <c r="B293" s="239" t="s">
        <v>55</v>
      </c>
      <c r="C293" s="806">
        <f t="shared" si="172"/>
        <v>0.26272022551092317</v>
      </c>
      <c r="D293" s="806">
        <f t="shared" si="168"/>
        <v>0.1992023928215354</v>
      </c>
      <c r="E293" s="806">
        <f t="shared" si="168"/>
        <v>0.26933749566423865</v>
      </c>
      <c r="F293" s="806">
        <f t="shared" si="168"/>
        <v>0.27825576847868594</v>
      </c>
      <c r="G293" s="806">
        <f t="shared" si="168"/>
        <v>0.3110377924415117</v>
      </c>
      <c r="H293" s="806">
        <f t="shared" si="168"/>
        <v>0.3065911124366239</v>
      </c>
      <c r="I293" s="624">
        <f t="shared" si="168"/>
        <v>0.26613851144858713</v>
      </c>
      <c r="J293" s="624">
        <f t="shared" si="168"/>
        <v>0</v>
      </c>
      <c r="K293" s="625">
        <f t="shared" si="168"/>
        <v>0</v>
      </c>
      <c r="L293" s="625">
        <f t="shared" si="168"/>
        <v>0</v>
      </c>
      <c r="M293" s="625">
        <f t="shared" si="168"/>
        <v>0</v>
      </c>
      <c r="N293" s="624">
        <f t="shared" si="173"/>
        <v>0.28100920559154452</v>
      </c>
      <c r="O293" s="624">
        <f t="shared" si="169"/>
        <v>0</v>
      </c>
      <c r="P293" s="626">
        <f t="shared" si="169"/>
        <v>0</v>
      </c>
      <c r="Q293" s="624">
        <f t="shared" si="169"/>
        <v>3.4285714285714287E-2</v>
      </c>
      <c r="R293" s="357"/>
      <c r="S293" s="862">
        <f t="shared" si="174"/>
        <v>3728</v>
      </c>
      <c r="T293" s="862">
        <f t="shared" si="174"/>
        <v>999</v>
      </c>
      <c r="U293" s="862">
        <f t="shared" si="174"/>
        <v>3106</v>
      </c>
      <c r="V293" s="862">
        <f t="shared" si="174"/>
        <v>1423</v>
      </c>
      <c r="W293" s="862">
        <f t="shared" si="174"/>
        <v>1037</v>
      </c>
      <c r="X293" s="862">
        <f t="shared" si="174"/>
        <v>1028</v>
      </c>
      <c r="Y293" s="863">
        <f t="shared" si="174"/>
        <v>11321</v>
      </c>
      <c r="Z293" s="863">
        <f t="shared" si="174"/>
        <v>0</v>
      </c>
      <c r="AA293" s="862">
        <f t="shared" si="174"/>
        <v>0</v>
      </c>
      <c r="AB293" s="862">
        <f t="shared" si="174"/>
        <v>0</v>
      </c>
      <c r="AC293" s="862">
        <f t="shared" si="174"/>
        <v>0</v>
      </c>
      <c r="AD293" s="862">
        <f t="shared" si="174"/>
        <v>0</v>
      </c>
      <c r="AE293" s="863">
        <f t="shared" si="174"/>
        <v>4121</v>
      </c>
      <c r="AF293" s="859"/>
      <c r="AG293" s="858"/>
      <c r="AH293" s="863">
        <f t="shared" ref="AH293" si="176">AH299+AH305+AH311+AH317+AH323+AH329+AH335+AH341+AH347</f>
        <v>6</v>
      </c>
    </row>
    <row r="294" spans="1:34">
      <c r="A294" s="883"/>
      <c r="B294" s="239" t="s">
        <v>78</v>
      </c>
      <c r="C294" s="806">
        <f t="shared" si="172"/>
        <v>5.7082452431289642E-2</v>
      </c>
      <c r="D294" s="806">
        <f t="shared" si="168"/>
        <v>3.1106679960119642E-2</v>
      </c>
      <c r="E294" s="806">
        <f t="shared" si="168"/>
        <v>3.6073534512660425E-2</v>
      </c>
      <c r="F294" s="806">
        <f t="shared" si="168"/>
        <v>5.8858036761830268E-2</v>
      </c>
      <c r="G294" s="806">
        <f t="shared" si="168"/>
        <v>2.7294541091781643E-2</v>
      </c>
      <c r="H294" s="806">
        <f t="shared" si="168"/>
        <v>0.14047121980316135</v>
      </c>
      <c r="I294" s="624">
        <f t="shared" si="168"/>
        <v>5.27763411537919E-2</v>
      </c>
      <c r="J294" s="624">
        <f t="shared" si="168"/>
        <v>0</v>
      </c>
      <c r="K294" s="625">
        <f t="shared" si="168"/>
        <v>0</v>
      </c>
      <c r="L294" s="625">
        <f t="shared" si="168"/>
        <v>0</v>
      </c>
      <c r="M294" s="625">
        <f t="shared" si="168"/>
        <v>0</v>
      </c>
      <c r="N294" s="624">
        <f t="shared" si="173"/>
        <v>0.12212751449028299</v>
      </c>
      <c r="O294" s="624">
        <f t="shared" si="169"/>
        <v>0</v>
      </c>
      <c r="P294" s="626">
        <f t="shared" si="169"/>
        <v>0</v>
      </c>
      <c r="Q294" s="624">
        <f t="shared" si="169"/>
        <v>0.7142857142857143</v>
      </c>
      <c r="R294" s="357"/>
      <c r="S294" s="862">
        <f t="shared" si="174"/>
        <v>810</v>
      </c>
      <c r="T294" s="862">
        <f t="shared" si="174"/>
        <v>156</v>
      </c>
      <c r="U294" s="862">
        <f t="shared" si="174"/>
        <v>416</v>
      </c>
      <c r="V294" s="862">
        <f t="shared" si="174"/>
        <v>301</v>
      </c>
      <c r="W294" s="862">
        <f t="shared" si="174"/>
        <v>91</v>
      </c>
      <c r="X294" s="862">
        <f t="shared" si="174"/>
        <v>471</v>
      </c>
      <c r="Y294" s="863">
        <f t="shared" si="174"/>
        <v>2245</v>
      </c>
      <c r="Z294" s="863">
        <f t="shared" si="174"/>
        <v>0</v>
      </c>
      <c r="AA294" s="862">
        <f t="shared" si="174"/>
        <v>0</v>
      </c>
      <c r="AB294" s="862">
        <f t="shared" si="174"/>
        <v>0</v>
      </c>
      <c r="AC294" s="862">
        <f t="shared" si="174"/>
        <v>0</v>
      </c>
      <c r="AD294" s="862">
        <f t="shared" si="174"/>
        <v>0</v>
      </c>
      <c r="AE294" s="863">
        <f t="shared" si="174"/>
        <v>1791</v>
      </c>
      <c r="AF294" s="859"/>
      <c r="AG294" s="858"/>
      <c r="AH294" s="863">
        <f t="shared" ref="AH294" si="177">AH300+AH306+AH312+AH318+AH324+AH330+AH336+AH342+AH348</f>
        <v>125</v>
      </c>
    </row>
    <row r="295" spans="1:34">
      <c r="A295" s="884"/>
      <c r="B295" s="580" t="s">
        <v>131</v>
      </c>
      <c r="C295" s="806">
        <f t="shared" si="172"/>
        <v>9.6405919661733619E-2</v>
      </c>
      <c r="D295" s="806">
        <f t="shared" si="168"/>
        <v>0.13359920239282153</v>
      </c>
      <c r="E295" s="806">
        <f t="shared" si="168"/>
        <v>5.6798473812001385E-2</v>
      </c>
      <c r="F295" s="806">
        <f t="shared" si="168"/>
        <v>4.5365662886194758E-2</v>
      </c>
      <c r="G295" s="806">
        <f t="shared" si="168"/>
        <v>6.3287342531493707E-2</v>
      </c>
      <c r="H295" s="806">
        <f t="shared" si="168"/>
        <v>9.0963316433045033E-2</v>
      </c>
      <c r="I295" s="624">
        <f t="shared" si="168"/>
        <v>8.0892378579152754E-2</v>
      </c>
      <c r="J295" s="624">
        <f t="shared" si="168"/>
        <v>0</v>
      </c>
      <c r="K295" s="625">
        <f t="shared" si="168"/>
        <v>0</v>
      </c>
      <c r="L295" s="625">
        <f t="shared" si="168"/>
        <v>0</v>
      </c>
      <c r="M295" s="625">
        <f t="shared" si="168"/>
        <v>0</v>
      </c>
      <c r="N295" s="624">
        <f t="shared" si="173"/>
        <v>6.0688714626662123E-2</v>
      </c>
      <c r="O295" s="624">
        <f t="shared" si="169"/>
        <v>0</v>
      </c>
      <c r="P295" s="626">
        <f t="shared" si="169"/>
        <v>0</v>
      </c>
      <c r="Q295" s="624">
        <f t="shared" si="169"/>
        <v>1.7142857142857144E-2</v>
      </c>
      <c r="R295" s="357"/>
      <c r="S295" s="862">
        <f t="shared" si="174"/>
        <v>1368</v>
      </c>
      <c r="T295" s="862">
        <f t="shared" si="174"/>
        <v>670</v>
      </c>
      <c r="U295" s="862">
        <f t="shared" si="174"/>
        <v>655</v>
      </c>
      <c r="V295" s="862">
        <f t="shared" si="174"/>
        <v>232</v>
      </c>
      <c r="W295" s="862">
        <f t="shared" si="174"/>
        <v>211</v>
      </c>
      <c r="X295" s="862">
        <f t="shared" si="174"/>
        <v>305</v>
      </c>
      <c r="Y295" s="863">
        <f t="shared" si="174"/>
        <v>3441</v>
      </c>
      <c r="Z295" s="863">
        <f t="shared" si="174"/>
        <v>0</v>
      </c>
      <c r="AA295" s="862">
        <f t="shared" si="174"/>
        <v>0</v>
      </c>
      <c r="AB295" s="862">
        <f t="shared" si="174"/>
        <v>0</v>
      </c>
      <c r="AC295" s="862">
        <f t="shared" si="174"/>
        <v>0</v>
      </c>
      <c r="AD295" s="862">
        <f t="shared" si="174"/>
        <v>0</v>
      </c>
      <c r="AE295" s="863">
        <f t="shared" si="174"/>
        <v>890</v>
      </c>
      <c r="AF295" s="859"/>
      <c r="AG295" s="858"/>
      <c r="AH295" s="863">
        <f t="shared" ref="AH295" si="178">AH301+AH307+AH313+AH319+AH325+AH331+AH337+AH343+AH349</f>
        <v>3</v>
      </c>
    </row>
    <row r="296" spans="1:34">
      <c r="A296" s="885" t="s">
        <v>86</v>
      </c>
      <c r="B296" s="436" t="s">
        <v>59</v>
      </c>
      <c r="C296" s="807">
        <f t="shared" si="172"/>
        <v>1</v>
      </c>
      <c r="D296" s="808">
        <f t="shared" si="168"/>
        <v>1</v>
      </c>
      <c r="E296" s="808">
        <f t="shared" si="168"/>
        <v>1</v>
      </c>
      <c r="F296" s="808">
        <f t="shared" si="168"/>
        <v>1</v>
      </c>
      <c r="G296" s="808">
        <f t="shared" si="168"/>
        <v>1</v>
      </c>
      <c r="H296" s="809">
        <f t="shared" si="168"/>
        <v>1</v>
      </c>
      <c r="I296" s="577">
        <f t="shared" si="168"/>
        <v>1</v>
      </c>
      <c r="J296" s="577">
        <f t="shared" si="168"/>
        <v>0</v>
      </c>
      <c r="K296" s="578">
        <f t="shared" si="168"/>
        <v>0</v>
      </c>
      <c r="L296" s="578">
        <f t="shared" si="168"/>
        <v>0</v>
      </c>
      <c r="M296" s="578">
        <f t="shared" si="168"/>
        <v>0</v>
      </c>
      <c r="N296" s="577">
        <f t="shared" si="173"/>
        <v>1</v>
      </c>
      <c r="O296" s="577">
        <f t="shared" si="169"/>
        <v>0</v>
      </c>
      <c r="P296" s="579">
        <f t="shared" si="169"/>
        <v>0</v>
      </c>
      <c r="Q296" s="577">
        <f t="shared" si="169"/>
        <v>1</v>
      </c>
      <c r="R296" s="357"/>
      <c r="S296" s="862">
        <f t="shared" si="174"/>
        <v>14190</v>
      </c>
      <c r="T296" s="862">
        <f t="shared" si="174"/>
        <v>5015</v>
      </c>
      <c r="U296" s="862">
        <f t="shared" si="174"/>
        <v>11532</v>
      </c>
      <c r="V296" s="862">
        <f t="shared" si="174"/>
        <v>5114</v>
      </c>
      <c r="W296" s="862">
        <f t="shared" si="174"/>
        <v>3334</v>
      </c>
      <c r="X296" s="862">
        <f t="shared" si="174"/>
        <v>3353</v>
      </c>
      <c r="Y296" s="863">
        <f t="shared" si="174"/>
        <v>42538</v>
      </c>
      <c r="Z296" s="863">
        <f t="shared" si="174"/>
        <v>0</v>
      </c>
      <c r="AA296" s="862">
        <f t="shared" si="174"/>
        <v>0</v>
      </c>
      <c r="AB296" s="862">
        <f t="shared" si="174"/>
        <v>0</v>
      </c>
      <c r="AC296" s="862">
        <f t="shared" si="174"/>
        <v>0</v>
      </c>
      <c r="AD296" s="862">
        <f t="shared" si="174"/>
        <v>0</v>
      </c>
      <c r="AE296" s="863">
        <f t="shared" si="174"/>
        <v>14665</v>
      </c>
      <c r="AF296" s="859"/>
      <c r="AG296" s="858"/>
      <c r="AH296" s="863">
        <f t="shared" ref="AH296" si="179">AH302+AH308+AH314+AH320+AH326+AH332+AH338+AH344+AH350</f>
        <v>175</v>
      </c>
    </row>
    <row r="297" spans="1:34">
      <c r="A297" s="882" t="s">
        <v>140</v>
      </c>
      <c r="B297" s="240" t="s">
        <v>53</v>
      </c>
      <c r="C297" s="806">
        <f>IF(S$302&gt;0,(S297/S$302),0)</f>
        <v>0.33962264150943394</v>
      </c>
      <c r="D297" s="806">
        <f t="shared" ref="D297:M302" si="180">IF(T$302&gt;0,(T297/T$302),0)</f>
        <v>0</v>
      </c>
      <c r="E297" s="806">
        <f t="shared" si="180"/>
        <v>0.43932267168391348</v>
      </c>
      <c r="F297" s="806">
        <f t="shared" si="180"/>
        <v>0</v>
      </c>
      <c r="G297" s="806">
        <f t="shared" si="180"/>
        <v>0.44776119402985076</v>
      </c>
      <c r="H297" s="806">
        <f t="shared" si="180"/>
        <v>0</v>
      </c>
      <c r="I297" s="613">
        <f t="shared" si="180"/>
        <v>0.38609898107714702</v>
      </c>
      <c r="J297" s="613">
        <f t="shared" si="180"/>
        <v>0</v>
      </c>
      <c r="K297" s="614">
        <f t="shared" si="180"/>
        <v>0</v>
      </c>
      <c r="L297" s="614">
        <f t="shared" si="180"/>
        <v>0</v>
      </c>
      <c r="M297" s="614">
        <f t="shared" si="180"/>
        <v>0</v>
      </c>
      <c r="N297" s="613">
        <f>IF(AE$302&gt;0,(AE297/AE$302),0)</f>
        <v>0.5142150803461063</v>
      </c>
      <c r="O297" s="613">
        <f t="shared" ref="O297:Q302" si="181">IF(AF$302&gt;0,(AF297/AF$302),0)</f>
        <v>0</v>
      </c>
      <c r="P297" s="615">
        <f t="shared" si="181"/>
        <v>0</v>
      </c>
      <c r="Q297" s="613">
        <f t="shared" si="181"/>
        <v>0.33333333333333331</v>
      </c>
      <c r="R297" s="799"/>
      <c r="S297" s="856">
        <v>504</v>
      </c>
      <c r="T297" s="856"/>
      <c r="U297" s="856">
        <v>467</v>
      </c>
      <c r="V297" s="856"/>
      <c r="W297" s="856">
        <v>90</v>
      </c>
      <c r="X297" s="856"/>
      <c r="Y297" s="857">
        <v>1061</v>
      </c>
      <c r="Z297" s="857"/>
      <c r="AA297" s="856"/>
      <c r="AB297" s="856"/>
      <c r="AC297" s="856"/>
      <c r="AD297" s="856"/>
      <c r="AE297" s="857">
        <v>416</v>
      </c>
      <c r="AF297" s="857"/>
      <c r="AG297" s="856"/>
      <c r="AH297" s="857">
        <v>9</v>
      </c>
    </row>
    <row r="298" spans="1:34">
      <c r="A298" s="883"/>
      <c r="B298" s="239" t="s">
        <v>93</v>
      </c>
      <c r="C298" s="806">
        <f t="shared" ref="C298:C302" si="182">IF(S$302&gt;0,(S298/S$302),0)</f>
        <v>0.31199460916442051</v>
      </c>
      <c r="D298" s="806">
        <f t="shared" si="180"/>
        <v>0</v>
      </c>
      <c r="E298" s="806">
        <f t="shared" si="180"/>
        <v>0.29915333960489182</v>
      </c>
      <c r="F298" s="806">
        <f t="shared" si="180"/>
        <v>0</v>
      </c>
      <c r="G298" s="806">
        <f t="shared" si="180"/>
        <v>0.25870646766169153</v>
      </c>
      <c r="H298" s="806">
        <f t="shared" si="180"/>
        <v>0</v>
      </c>
      <c r="I298" s="624">
        <f t="shared" si="180"/>
        <v>0.30312954876273651</v>
      </c>
      <c r="J298" s="624">
        <f t="shared" si="180"/>
        <v>0</v>
      </c>
      <c r="K298" s="625">
        <f t="shared" si="180"/>
        <v>0</v>
      </c>
      <c r="L298" s="625">
        <f t="shared" si="180"/>
        <v>0</v>
      </c>
      <c r="M298" s="625">
        <f t="shared" si="180"/>
        <v>0</v>
      </c>
      <c r="N298" s="624">
        <f t="shared" ref="N298:N302" si="183">IF(AE$302&gt;0,(AE298/AE$302),0)</f>
        <v>0.19035846724351049</v>
      </c>
      <c r="O298" s="624">
        <f t="shared" si="181"/>
        <v>0</v>
      </c>
      <c r="P298" s="626">
        <f t="shared" si="181"/>
        <v>0</v>
      </c>
      <c r="Q298" s="624">
        <f t="shared" si="181"/>
        <v>0.18518518518518517</v>
      </c>
      <c r="R298" s="357"/>
      <c r="S298" s="858">
        <v>463</v>
      </c>
      <c r="T298" s="858"/>
      <c r="U298" s="858">
        <v>318</v>
      </c>
      <c r="V298" s="858"/>
      <c r="W298" s="858">
        <v>52</v>
      </c>
      <c r="X298" s="858"/>
      <c r="Y298" s="859">
        <v>833</v>
      </c>
      <c r="Z298" s="859"/>
      <c r="AA298" s="858"/>
      <c r="AB298" s="858"/>
      <c r="AC298" s="858"/>
      <c r="AD298" s="858"/>
      <c r="AE298" s="859">
        <v>154</v>
      </c>
      <c r="AF298" s="859"/>
      <c r="AG298" s="858"/>
      <c r="AH298" s="859">
        <v>5</v>
      </c>
    </row>
    <row r="299" spans="1:34">
      <c r="A299" s="883"/>
      <c r="B299" s="239" t="s">
        <v>55</v>
      </c>
      <c r="C299" s="806">
        <f t="shared" si="182"/>
        <v>0.28234501347708896</v>
      </c>
      <c r="D299" s="806">
        <f t="shared" si="180"/>
        <v>0</v>
      </c>
      <c r="E299" s="806">
        <f t="shared" si="180"/>
        <v>0.2361241768579492</v>
      </c>
      <c r="F299" s="806">
        <f t="shared" si="180"/>
        <v>0</v>
      </c>
      <c r="G299" s="806">
        <f t="shared" si="180"/>
        <v>0.26865671641791045</v>
      </c>
      <c r="H299" s="806">
        <f t="shared" si="180"/>
        <v>0</v>
      </c>
      <c r="I299" s="624">
        <f t="shared" si="180"/>
        <v>0.26346433770014555</v>
      </c>
      <c r="J299" s="624">
        <f t="shared" si="180"/>
        <v>0</v>
      </c>
      <c r="K299" s="625">
        <f t="shared" si="180"/>
        <v>0</v>
      </c>
      <c r="L299" s="625">
        <f t="shared" si="180"/>
        <v>0</v>
      </c>
      <c r="M299" s="625">
        <f t="shared" si="180"/>
        <v>0</v>
      </c>
      <c r="N299" s="624">
        <f t="shared" si="183"/>
        <v>0.15203955500618047</v>
      </c>
      <c r="O299" s="624">
        <f t="shared" si="181"/>
        <v>0</v>
      </c>
      <c r="P299" s="626">
        <f t="shared" si="181"/>
        <v>0</v>
      </c>
      <c r="Q299" s="624">
        <f t="shared" si="181"/>
        <v>0.22222222222222221</v>
      </c>
      <c r="R299" s="357"/>
      <c r="S299" s="858">
        <v>419</v>
      </c>
      <c r="T299" s="858"/>
      <c r="U299" s="858">
        <v>251</v>
      </c>
      <c r="V299" s="858"/>
      <c r="W299" s="858">
        <v>54</v>
      </c>
      <c r="X299" s="858"/>
      <c r="Y299" s="859">
        <v>724</v>
      </c>
      <c r="Z299" s="859"/>
      <c r="AA299" s="858"/>
      <c r="AB299" s="858"/>
      <c r="AC299" s="858"/>
      <c r="AD299" s="858"/>
      <c r="AE299" s="859">
        <v>123</v>
      </c>
      <c r="AF299" s="859"/>
      <c r="AG299" s="858"/>
      <c r="AH299" s="859">
        <v>6</v>
      </c>
    </row>
    <row r="300" spans="1:34">
      <c r="A300" s="883"/>
      <c r="B300" s="239" t="s">
        <v>78</v>
      </c>
      <c r="C300" s="806">
        <f t="shared" si="182"/>
        <v>2.358490566037736E-2</v>
      </c>
      <c r="D300" s="806">
        <f t="shared" si="180"/>
        <v>0</v>
      </c>
      <c r="E300" s="806">
        <f t="shared" si="180"/>
        <v>2.5399811853245531E-2</v>
      </c>
      <c r="F300" s="806">
        <f t="shared" si="180"/>
        <v>0</v>
      </c>
      <c r="G300" s="806">
        <f t="shared" si="180"/>
        <v>2.4875621890547265E-2</v>
      </c>
      <c r="H300" s="806">
        <f t="shared" si="180"/>
        <v>0</v>
      </c>
      <c r="I300" s="624">
        <f t="shared" si="180"/>
        <v>2.438136826783115E-2</v>
      </c>
      <c r="J300" s="624">
        <f t="shared" si="180"/>
        <v>0</v>
      </c>
      <c r="K300" s="625">
        <f t="shared" si="180"/>
        <v>0</v>
      </c>
      <c r="L300" s="625">
        <f t="shared" si="180"/>
        <v>0</v>
      </c>
      <c r="M300" s="625">
        <f t="shared" si="180"/>
        <v>0</v>
      </c>
      <c r="N300" s="624">
        <f t="shared" si="183"/>
        <v>8.034610630407911E-2</v>
      </c>
      <c r="O300" s="624">
        <f t="shared" si="181"/>
        <v>0</v>
      </c>
      <c r="P300" s="626">
        <f t="shared" si="181"/>
        <v>0</v>
      </c>
      <c r="Q300" s="624">
        <f t="shared" si="181"/>
        <v>0.14814814814814814</v>
      </c>
      <c r="R300" s="357"/>
      <c r="S300" s="858">
        <v>35</v>
      </c>
      <c r="T300" s="858"/>
      <c r="U300" s="858">
        <v>27</v>
      </c>
      <c r="V300" s="858"/>
      <c r="W300" s="858">
        <v>5</v>
      </c>
      <c r="X300" s="858"/>
      <c r="Y300" s="859">
        <v>67</v>
      </c>
      <c r="Z300" s="859"/>
      <c r="AA300" s="858"/>
      <c r="AB300" s="858"/>
      <c r="AC300" s="858"/>
      <c r="AD300" s="858"/>
      <c r="AE300" s="859">
        <v>65</v>
      </c>
      <c r="AF300" s="859"/>
      <c r="AG300" s="858"/>
      <c r="AH300" s="859">
        <v>4</v>
      </c>
    </row>
    <row r="301" spans="1:34">
      <c r="A301" s="884"/>
      <c r="B301" s="580" t="s">
        <v>131</v>
      </c>
      <c r="C301" s="806">
        <f t="shared" si="182"/>
        <v>4.2452830188679243E-2</v>
      </c>
      <c r="D301" s="806">
        <f t="shared" si="180"/>
        <v>0</v>
      </c>
      <c r="E301" s="806">
        <f t="shared" si="180"/>
        <v>0</v>
      </c>
      <c r="F301" s="806">
        <f t="shared" si="180"/>
        <v>0</v>
      </c>
      <c r="G301" s="806">
        <f t="shared" si="180"/>
        <v>0</v>
      </c>
      <c r="H301" s="806">
        <f t="shared" si="180"/>
        <v>0</v>
      </c>
      <c r="I301" s="624">
        <f t="shared" si="180"/>
        <v>2.2925764192139739E-2</v>
      </c>
      <c r="J301" s="624">
        <f t="shared" si="180"/>
        <v>0</v>
      </c>
      <c r="K301" s="625">
        <f t="shared" si="180"/>
        <v>0</v>
      </c>
      <c r="L301" s="625">
        <f t="shared" si="180"/>
        <v>0</v>
      </c>
      <c r="M301" s="625">
        <f t="shared" si="180"/>
        <v>0</v>
      </c>
      <c r="N301" s="624">
        <f t="shared" si="183"/>
        <v>6.3040791100123603E-2</v>
      </c>
      <c r="O301" s="624">
        <f t="shared" si="181"/>
        <v>0</v>
      </c>
      <c r="P301" s="626">
        <f t="shared" si="181"/>
        <v>0</v>
      </c>
      <c r="Q301" s="624">
        <f t="shared" si="181"/>
        <v>0.1111111111111111</v>
      </c>
      <c r="R301" s="357"/>
      <c r="S301" s="858">
        <v>63</v>
      </c>
      <c r="T301" s="858"/>
      <c r="U301" s="858"/>
      <c r="V301" s="858"/>
      <c r="W301" s="858"/>
      <c r="X301" s="858"/>
      <c r="Y301" s="859">
        <v>63</v>
      </c>
      <c r="Z301" s="859"/>
      <c r="AA301" s="858"/>
      <c r="AB301" s="858"/>
      <c r="AC301" s="858"/>
      <c r="AD301" s="858"/>
      <c r="AE301" s="859">
        <v>51</v>
      </c>
      <c r="AF301" s="859"/>
      <c r="AG301" s="858"/>
      <c r="AH301" s="859">
        <v>3</v>
      </c>
    </row>
    <row r="302" spans="1:34">
      <c r="A302" s="885"/>
      <c r="B302" s="436" t="s">
        <v>59</v>
      </c>
      <c r="C302" s="807">
        <f t="shared" si="182"/>
        <v>1</v>
      </c>
      <c r="D302" s="808">
        <f t="shared" si="180"/>
        <v>0</v>
      </c>
      <c r="E302" s="808">
        <f t="shared" si="180"/>
        <v>1</v>
      </c>
      <c r="F302" s="808">
        <f t="shared" si="180"/>
        <v>0</v>
      </c>
      <c r="G302" s="808">
        <f t="shared" si="180"/>
        <v>1</v>
      </c>
      <c r="H302" s="809">
        <f t="shared" si="180"/>
        <v>0</v>
      </c>
      <c r="I302" s="577">
        <f t="shared" si="180"/>
        <v>1</v>
      </c>
      <c r="J302" s="577">
        <f t="shared" si="180"/>
        <v>0</v>
      </c>
      <c r="K302" s="578">
        <f t="shared" si="180"/>
        <v>0</v>
      </c>
      <c r="L302" s="578">
        <f t="shared" si="180"/>
        <v>0</v>
      </c>
      <c r="M302" s="578">
        <f t="shared" si="180"/>
        <v>0</v>
      </c>
      <c r="N302" s="577">
        <f t="shared" si="183"/>
        <v>1</v>
      </c>
      <c r="O302" s="577">
        <f t="shared" si="181"/>
        <v>0</v>
      </c>
      <c r="P302" s="579">
        <f t="shared" si="181"/>
        <v>0</v>
      </c>
      <c r="Q302" s="577">
        <f t="shared" si="181"/>
        <v>1</v>
      </c>
      <c r="R302" s="357"/>
      <c r="S302" s="858">
        <v>1484</v>
      </c>
      <c r="T302" s="858"/>
      <c r="U302" s="858">
        <v>1063</v>
      </c>
      <c r="V302" s="858"/>
      <c r="W302" s="858">
        <v>201</v>
      </c>
      <c r="X302" s="858"/>
      <c r="Y302" s="859">
        <v>2748</v>
      </c>
      <c r="Z302" s="859"/>
      <c r="AA302" s="858"/>
      <c r="AB302" s="858"/>
      <c r="AC302" s="858"/>
      <c r="AD302" s="858"/>
      <c r="AE302" s="859">
        <v>809</v>
      </c>
      <c r="AF302" s="859"/>
      <c r="AG302" s="858"/>
      <c r="AH302" s="859">
        <v>27</v>
      </c>
    </row>
    <row r="303" spans="1:34">
      <c r="A303" s="882" t="s">
        <v>148</v>
      </c>
      <c r="B303" s="240" t="s">
        <v>53</v>
      </c>
      <c r="C303" s="806">
        <f>IF(S$308&gt;0,(S303/S$308),0)</f>
        <v>0</v>
      </c>
      <c r="D303" s="806">
        <f t="shared" ref="D303:M308" si="184">IF(T$308&gt;0,(T303/T$308),0)</f>
        <v>0.3987730061349693</v>
      </c>
      <c r="E303" s="806">
        <f t="shared" si="184"/>
        <v>0.35350318471337577</v>
      </c>
      <c r="F303" s="806">
        <f t="shared" si="184"/>
        <v>0</v>
      </c>
      <c r="G303" s="806">
        <f t="shared" si="184"/>
        <v>0</v>
      </c>
      <c r="H303" s="806">
        <f t="shared" si="184"/>
        <v>0.27142857142857141</v>
      </c>
      <c r="I303" s="613">
        <f t="shared" si="184"/>
        <v>0.34778837814397223</v>
      </c>
      <c r="J303" s="613">
        <f t="shared" si="184"/>
        <v>0</v>
      </c>
      <c r="K303" s="614">
        <f t="shared" si="184"/>
        <v>0</v>
      </c>
      <c r="L303" s="614">
        <f t="shared" si="184"/>
        <v>0</v>
      </c>
      <c r="M303" s="614">
        <f t="shared" si="184"/>
        <v>0</v>
      </c>
      <c r="N303" s="613">
        <f>IF(AE$308&gt;0,(AE303/AE$308),0)</f>
        <v>0.10344827586206896</v>
      </c>
      <c r="O303" s="613">
        <f t="shared" ref="O303:Q308" si="185">IF(AF$308&gt;0,(AF303/AF$308),0)</f>
        <v>0</v>
      </c>
      <c r="P303" s="615">
        <f t="shared" si="185"/>
        <v>0</v>
      </c>
      <c r="Q303" s="613">
        <f t="shared" si="185"/>
        <v>0</v>
      </c>
      <c r="R303" s="799"/>
      <c r="S303" s="856"/>
      <c r="T303" s="856">
        <v>195</v>
      </c>
      <c r="U303" s="856">
        <v>111</v>
      </c>
      <c r="V303" s="856"/>
      <c r="W303" s="856"/>
      <c r="X303" s="856">
        <v>95</v>
      </c>
      <c r="Y303" s="857">
        <v>401</v>
      </c>
      <c r="Z303" s="857"/>
      <c r="AA303" s="856"/>
      <c r="AB303" s="856"/>
      <c r="AC303" s="856"/>
      <c r="AD303" s="856"/>
      <c r="AE303" s="857">
        <v>39</v>
      </c>
      <c r="AF303" s="857"/>
      <c r="AG303" s="856"/>
      <c r="AH303" s="857"/>
    </row>
    <row r="304" spans="1:34">
      <c r="A304" s="883"/>
      <c r="B304" s="239" t="s">
        <v>93</v>
      </c>
      <c r="C304" s="806">
        <f t="shared" ref="C304:C308" si="186">IF(S$308&gt;0,(S304/S$308),0)</f>
        <v>0</v>
      </c>
      <c r="D304" s="806">
        <f t="shared" si="184"/>
        <v>0.31901840490797545</v>
      </c>
      <c r="E304" s="806">
        <f t="shared" si="184"/>
        <v>0.4426751592356688</v>
      </c>
      <c r="F304" s="806">
        <f t="shared" si="184"/>
        <v>0</v>
      </c>
      <c r="G304" s="806">
        <f t="shared" si="184"/>
        <v>0</v>
      </c>
      <c r="H304" s="806">
        <f t="shared" si="184"/>
        <v>0.24857142857142858</v>
      </c>
      <c r="I304" s="624">
        <f t="shared" si="184"/>
        <v>0.3313096270598439</v>
      </c>
      <c r="J304" s="624">
        <f t="shared" si="184"/>
        <v>0</v>
      </c>
      <c r="K304" s="625">
        <f t="shared" si="184"/>
        <v>0</v>
      </c>
      <c r="L304" s="625">
        <f t="shared" si="184"/>
        <v>0</v>
      </c>
      <c r="M304" s="625">
        <f t="shared" si="184"/>
        <v>0</v>
      </c>
      <c r="N304" s="624">
        <f t="shared" ref="N304:N308" si="187">IF(AE$308&gt;0,(AE304/AE$308),0)</f>
        <v>0.10079575596816977</v>
      </c>
      <c r="O304" s="624">
        <f t="shared" si="185"/>
        <v>0</v>
      </c>
      <c r="P304" s="626">
        <f t="shared" si="185"/>
        <v>0</v>
      </c>
      <c r="Q304" s="624">
        <f t="shared" si="185"/>
        <v>0</v>
      </c>
      <c r="R304" s="357"/>
      <c r="S304" s="858"/>
      <c r="T304" s="858">
        <v>156</v>
      </c>
      <c r="U304" s="858">
        <v>139</v>
      </c>
      <c r="V304" s="858"/>
      <c r="W304" s="858"/>
      <c r="X304" s="858">
        <v>87</v>
      </c>
      <c r="Y304" s="859">
        <v>382</v>
      </c>
      <c r="Z304" s="859"/>
      <c r="AA304" s="858"/>
      <c r="AB304" s="858"/>
      <c r="AC304" s="858"/>
      <c r="AD304" s="858"/>
      <c r="AE304" s="859">
        <v>38</v>
      </c>
      <c r="AF304" s="859"/>
      <c r="AG304" s="858"/>
      <c r="AH304" s="859"/>
    </row>
    <row r="305" spans="1:34">
      <c r="A305" s="883"/>
      <c r="B305" s="239" t="s">
        <v>55</v>
      </c>
      <c r="C305" s="806">
        <f t="shared" si="186"/>
        <v>0</v>
      </c>
      <c r="D305" s="806">
        <f t="shared" si="184"/>
        <v>0.14519427402862986</v>
      </c>
      <c r="E305" s="806">
        <f t="shared" si="184"/>
        <v>9.2356687898089165E-2</v>
      </c>
      <c r="F305" s="806">
        <f t="shared" si="184"/>
        <v>0</v>
      </c>
      <c r="G305" s="806">
        <f t="shared" si="184"/>
        <v>0</v>
      </c>
      <c r="H305" s="806">
        <f t="shared" si="184"/>
        <v>0.18285714285714286</v>
      </c>
      <c r="I305" s="624">
        <f t="shared" si="184"/>
        <v>0.14223764093668689</v>
      </c>
      <c r="J305" s="624">
        <f t="shared" si="184"/>
        <v>0</v>
      </c>
      <c r="K305" s="625">
        <f t="shared" si="184"/>
        <v>0</v>
      </c>
      <c r="L305" s="625">
        <f t="shared" si="184"/>
        <v>0</v>
      </c>
      <c r="M305" s="625">
        <f t="shared" si="184"/>
        <v>0</v>
      </c>
      <c r="N305" s="624">
        <f t="shared" si="187"/>
        <v>0.11140583554376658</v>
      </c>
      <c r="O305" s="624">
        <f t="shared" si="185"/>
        <v>0</v>
      </c>
      <c r="P305" s="626">
        <f t="shared" si="185"/>
        <v>0</v>
      </c>
      <c r="Q305" s="624">
        <f t="shared" si="185"/>
        <v>0</v>
      </c>
      <c r="R305" s="357"/>
      <c r="S305" s="858"/>
      <c r="T305" s="858">
        <v>71</v>
      </c>
      <c r="U305" s="858">
        <v>29</v>
      </c>
      <c r="V305" s="858"/>
      <c r="W305" s="858"/>
      <c r="X305" s="858">
        <v>64</v>
      </c>
      <c r="Y305" s="859">
        <v>164</v>
      </c>
      <c r="Z305" s="859"/>
      <c r="AA305" s="858"/>
      <c r="AB305" s="858"/>
      <c r="AC305" s="858"/>
      <c r="AD305" s="858"/>
      <c r="AE305" s="859">
        <v>42</v>
      </c>
      <c r="AF305" s="859"/>
      <c r="AG305" s="858"/>
      <c r="AH305" s="859"/>
    </row>
    <row r="306" spans="1:34">
      <c r="A306" s="883"/>
      <c r="B306" s="239" t="s">
        <v>78</v>
      </c>
      <c r="C306" s="806">
        <f t="shared" si="186"/>
        <v>0</v>
      </c>
      <c r="D306" s="806">
        <f t="shared" si="184"/>
        <v>1.6359918200408999E-2</v>
      </c>
      <c r="E306" s="806">
        <f t="shared" si="184"/>
        <v>9.5541401273885346E-3</v>
      </c>
      <c r="F306" s="806">
        <f t="shared" si="184"/>
        <v>0</v>
      </c>
      <c r="G306" s="806">
        <f t="shared" si="184"/>
        <v>0</v>
      </c>
      <c r="H306" s="806">
        <f t="shared" si="184"/>
        <v>3.1428571428571431E-2</v>
      </c>
      <c r="I306" s="624">
        <f t="shared" si="184"/>
        <v>1.9080659150043366E-2</v>
      </c>
      <c r="J306" s="624">
        <f t="shared" si="184"/>
        <v>0</v>
      </c>
      <c r="K306" s="625">
        <f t="shared" si="184"/>
        <v>0</v>
      </c>
      <c r="L306" s="625">
        <f t="shared" si="184"/>
        <v>0</v>
      </c>
      <c r="M306" s="625">
        <f t="shared" si="184"/>
        <v>0</v>
      </c>
      <c r="N306" s="624">
        <f t="shared" si="187"/>
        <v>0.28116710875331563</v>
      </c>
      <c r="O306" s="624">
        <f t="shared" si="185"/>
        <v>0</v>
      </c>
      <c r="P306" s="626">
        <f t="shared" si="185"/>
        <v>0</v>
      </c>
      <c r="Q306" s="624">
        <f t="shared" si="185"/>
        <v>1</v>
      </c>
      <c r="R306" s="357"/>
      <c r="S306" s="858"/>
      <c r="T306" s="858">
        <v>8</v>
      </c>
      <c r="U306" s="858">
        <v>3</v>
      </c>
      <c r="V306" s="858"/>
      <c r="W306" s="858"/>
      <c r="X306" s="858">
        <v>11</v>
      </c>
      <c r="Y306" s="859">
        <v>22</v>
      </c>
      <c r="Z306" s="859"/>
      <c r="AA306" s="858"/>
      <c r="AB306" s="858"/>
      <c r="AC306" s="858"/>
      <c r="AD306" s="858"/>
      <c r="AE306" s="859">
        <v>106</v>
      </c>
      <c r="AF306" s="859"/>
      <c r="AG306" s="858"/>
      <c r="AH306" s="859">
        <v>22</v>
      </c>
    </row>
    <row r="307" spans="1:34">
      <c r="A307" s="884"/>
      <c r="B307" s="580" t="s">
        <v>131</v>
      </c>
      <c r="C307" s="806">
        <f t="shared" si="186"/>
        <v>0</v>
      </c>
      <c r="D307" s="806">
        <f t="shared" si="184"/>
        <v>0.12065439672801637</v>
      </c>
      <c r="E307" s="806">
        <f t="shared" si="184"/>
        <v>0.10191082802547771</v>
      </c>
      <c r="F307" s="806">
        <f t="shared" si="184"/>
        <v>0</v>
      </c>
      <c r="G307" s="806">
        <f t="shared" si="184"/>
        <v>0</v>
      </c>
      <c r="H307" s="806">
        <f t="shared" si="184"/>
        <v>0.26571428571428574</v>
      </c>
      <c r="I307" s="624">
        <f t="shared" si="184"/>
        <v>0.15958369470945361</v>
      </c>
      <c r="J307" s="624">
        <f t="shared" si="184"/>
        <v>0</v>
      </c>
      <c r="K307" s="625">
        <f t="shared" si="184"/>
        <v>0</v>
      </c>
      <c r="L307" s="625">
        <f t="shared" si="184"/>
        <v>0</v>
      </c>
      <c r="M307" s="625">
        <f t="shared" si="184"/>
        <v>0</v>
      </c>
      <c r="N307" s="624">
        <f t="shared" si="187"/>
        <v>0.40318302387267907</v>
      </c>
      <c r="O307" s="624">
        <f t="shared" si="185"/>
        <v>0</v>
      </c>
      <c r="P307" s="626">
        <f t="shared" si="185"/>
        <v>0</v>
      </c>
      <c r="Q307" s="624">
        <f t="shared" si="185"/>
        <v>0</v>
      </c>
      <c r="R307" s="357"/>
      <c r="S307" s="858">
        <v>0</v>
      </c>
      <c r="T307" s="858">
        <v>59</v>
      </c>
      <c r="U307" s="858">
        <v>32</v>
      </c>
      <c r="V307" s="858">
        <v>0</v>
      </c>
      <c r="W307" s="858">
        <v>0</v>
      </c>
      <c r="X307" s="858">
        <v>93</v>
      </c>
      <c r="Y307" s="859">
        <v>184</v>
      </c>
      <c r="Z307" s="859"/>
      <c r="AA307" s="858"/>
      <c r="AB307" s="858"/>
      <c r="AC307" s="858"/>
      <c r="AD307" s="858"/>
      <c r="AE307" s="859">
        <v>152</v>
      </c>
      <c r="AF307" s="859"/>
      <c r="AG307" s="858"/>
      <c r="AH307" s="859"/>
    </row>
    <row r="308" spans="1:34">
      <c r="A308" s="885"/>
      <c r="B308" s="436" t="s">
        <v>59</v>
      </c>
      <c r="C308" s="807">
        <f t="shared" si="186"/>
        <v>0</v>
      </c>
      <c r="D308" s="808">
        <f t="shared" si="184"/>
        <v>1</v>
      </c>
      <c r="E308" s="808">
        <f t="shared" si="184"/>
        <v>1</v>
      </c>
      <c r="F308" s="808">
        <f t="shared" si="184"/>
        <v>0</v>
      </c>
      <c r="G308" s="808">
        <f t="shared" si="184"/>
        <v>0</v>
      </c>
      <c r="H308" s="809">
        <f t="shared" si="184"/>
        <v>1</v>
      </c>
      <c r="I308" s="577">
        <f t="shared" si="184"/>
        <v>1</v>
      </c>
      <c r="J308" s="577">
        <f t="shared" si="184"/>
        <v>0</v>
      </c>
      <c r="K308" s="578">
        <f t="shared" si="184"/>
        <v>0</v>
      </c>
      <c r="L308" s="578">
        <f t="shared" si="184"/>
        <v>0</v>
      </c>
      <c r="M308" s="578">
        <f t="shared" si="184"/>
        <v>0</v>
      </c>
      <c r="N308" s="577">
        <f t="shared" si="187"/>
        <v>1</v>
      </c>
      <c r="O308" s="577">
        <f t="shared" si="185"/>
        <v>0</v>
      </c>
      <c r="P308" s="579">
        <f t="shared" si="185"/>
        <v>0</v>
      </c>
      <c r="Q308" s="577">
        <f t="shared" si="185"/>
        <v>1</v>
      </c>
      <c r="R308" s="357"/>
      <c r="S308" s="858"/>
      <c r="T308" s="858">
        <v>489</v>
      </c>
      <c r="U308" s="858">
        <v>314</v>
      </c>
      <c r="V308" s="858"/>
      <c r="W308" s="858"/>
      <c r="X308" s="858">
        <v>350</v>
      </c>
      <c r="Y308" s="859">
        <v>1153</v>
      </c>
      <c r="Z308" s="859"/>
      <c r="AA308" s="858"/>
      <c r="AB308" s="858"/>
      <c r="AC308" s="858"/>
      <c r="AD308" s="858"/>
      <c r="AE308" s="859">
        <v>377</v>
      </c>
      <c r="AF308" s="859"/>
      <c r="AG308" s="858"/>
      <c r="AH308" s="859">
        <v>22</v>
      </c>
    </row>
    <row r="309" spans="1:34">
      <c r="A309" s="882" t="s">
        <v>147</v>
      </c>
      <c r="B309" s="240" t="s">
        <v>53</v>
      </c>
      <c r="C309" s="806">
        <f>IF(S$314&gt;0,(S309/S$314),0)</f>
        <v>0.37063492063492065</v>
      </c>
      <c r="D309" s="806">
        <f t="shared" ref="D309:M314" si="188">IF(T$314&gt;0,(T309/T$314),0)</f>
        <v>0.26071741032370954</v>
      </c>
      <c r="E309" s="806">
        <f t="shared" si="188"/>
        <v>0.35016465422612514</v>
      </c>
      <c r="F309" s="806">
        <f t="shared" si="188"/>
        <v>0.34676564156945916</v>
      </c>
      <c r="G309" s="806">
        <f t="shared" si="188"/>
        <v>0.46875</v>
      </c>
      <c r="H309" s="806">
        <f t="shared" si="188"/>
        <v>0</v>
      </c>
      <c r="I309" s="613">
        <f t="shared" si="188"/>
        <v>0.33642743943853293</v>
      </c>
      <c r="J309" s="613">
        <f t="shared" si="188"/>
        <v>0</v>
      </c>
      <c r="K309" s="614">
        <f t="shared" si="188"/>
        <v>0</v>
      </c>
      <c r="L309" s="614">
        <f t="shared" si="188"/>
        <v>0</v>
      </c>
      <c r="M309" s="614">
        <f t="shared" si="188"/>
        <v>0</v>
      </c>
      <c r="N309" s="613">
        <f>IF(AE$314&gt;0,(AE309/AE$314),0)</f>
        <v>0.57590657652120469</v>
      </c>
      <c r="O309" s="613">
        <f t="shared" ref="O309:Q314" si="189">IF(AF$314&gt;0,(AF309/AF$314),0)</f>
        <v>0</v>
      </c>
      <c r="P309" s="615">
        <f t="shared" si="189"/>
        <v>0</v>
      </c>
      <c r="Q309" s="613">
        <f t="shared" si="189"/>
        <v>0</v>
      </c>
      <c r="R309" s="799"/>
      <c r="S309" s="856">
        <v>467</v>
      </c>
      <c r="T309" s="856">
        <v>298</v>
      </c>
      <c r="U309" s="856">
        <v>319</v>
      </c>
      <c r="V309" s="856">
        <v>327</v>
      </c>
      <c r="W309" s="856">
        <v>75</v>
      </c>
      <c r="X309" s="856"/>
      <c r="Y309" s="857">
        <v>1486</v>
      </c>
      <c r="Z309" s="857"/>
      <c r="AA309" s="856"/>
      <c r="AB309" s="856"/>
      <c r="AC309" s="856"/>
      <c r="AD309" s="856"/>
      <c r="AE309" s="857">
        <v>937</v>
      </c>
      <c r="AF309" s="857"/>
      <c r="AG309" s="856"/>
      <c r="AH309" s="857"/>
    </row>
    <row r="310" spans="1:34">
      <c r="A310" s="883"/>
      <c r="B310" s="239" t="s">
        <v>93</v>
      </c>
      <c r="C310" s="806">
        <f t="shared" ref="C310:C314" si="190">IF(S$314&gt;0,(S310/S$314),0)</f>
        <v>0.23095238095238096</v>
      </c>
      <c r="D310" s="806">
        <f t="shared" si="188"/>
        <v>0.2904636920384952</v>
      </c>
      <c r="E310" s="806">
        <f t="shared" si="188"/>
        <v>0.29088913282107576</v>
      </c>
      <c r="F310" s="806">
        <f t="shared" si="188"/>
        <v>0.25026511134676566</v>
      </c>
      <c r="G310" s="806">
        <f t="shared" si="188"/>
        <v>0.23749999999999999</v>
      </c>
      <c r="H310" s="806">
        <f t="shared" si="188"/>
        <v>0</v>
      </c>
      <c r="I310" s="624">
        <f t="shared" si="188"/>
        <v>0.26307448494453251</v>
      </c>
      <c r="J310" s="624">
        <f t="shared" si="188"/>
        <v>0</v>
      </c>
      <c r="K310" s="625">
        <f t="shared" si="188"/>
        <v>0</v>
      </c>
      <c r="L310" s="625">
        <f t="shared" si="188"/>
        <v>0</v>
      </c>
      <c r="M310" s="625">
        <f t="shared" si="188"/>
        <v>0</v>
      </c>
      <c r="N310" s="624">
        <f t="shared" ref="N310:N314" si="191">IF(AE$314&gt;0,(AE310/AE$314),0)</f>
        <v>0.14935464044253227</v>
      </c>
      <c r="O310" s="624">
        <f t="shared" si="189"/>
        <v>0</v>
      </c>
      <c r="P310" s="626">
        <f t="shared" si="189"/>
        <v>0</v>
      </c>
      <c r="Q310" s="624">
        <f t="shared" si="189"/>
        <v>0</v>
      </c>
      <c r="R310" s="357"/>
      <c r="S310" s="858">
        <v>291</v>
      </c>
      <c r="T310" s="858">
        <v>332</v>
      </c>
      <c r="U310" s="858">
        <v>265</v>
      </c>
      <c r="V310" s="858">
        <v>236</v>
      </c>
      <c r="W310" s="858">
        <v>38</v>
      </c>
      <c r="X310" s="858"/>
      <c r="Y310" s="859">
        <v>1162</v>
      </c>
      <c r="Z310" s="859"/>
      <c r="AA310" s="858"/>
      <c r="AB310" s="858"/>
      <c r="AC310" s="858"/>
      <c r="AD310" s="858"/>
      <c r="AE310" s="859">
        <v>243</v>
      </c>
      <c r="AF310" s="859"/>
      <c r="AG310" s="858"/>
      <c r="AH310" s="859"/>
    </row>
    <row r="311" spans="1:34">
      <c r="A311" s="883"/>
      <c r="B311" s="239" t="s">
        <v>55</v>
      </c>
      <c r="C311" s="806">
        <f t="shared" si="190"/>
        <v>0.2253968253968254</v>
      </c>
      <c r="D311" s="806">
        <f t="shared" si="188"/>
        <v>0.2230971128608924</v>
      </c>
      <c r="E311" s="806">
        <f t="shared" si="188"/>
        <v>0.25686059275521406</v>
      </c>
      <c r="F311" s="806">
        <f t="shared" si="188"/>
        <v>0.35949098621421</v>
      </c>
      <c r="G311" s="806">
        <f t="shared" si="188"/>
        <v>0.26250000000000001</v>
      </c>
      <c r="H311" s="806">
        <f t="shared" si="188"/>
        <v>0</v>
      </c>
      <c r="I311" s="624">
        <f t="shared" si="188"/>
        <v>0.26126330088295224</v>
      </c>
      <c r="J311" s="624">
        <f t="shared" si="188"/>
        <v>0</v>
      </c>
      <c r="K311" s="625">
        <f t="shared" si="188"/>
        <v>0</v>
      </c>
      <c r="L311" s="625">
        <f t="shared" si="188"/>
        <v>0</v>
      </c>
      <c r="M311" s="625">
        <f t="shared" si="188"/>
        <v>0</v>
      </c>
      <c r="N311" s="624">
        <f t="shared" si="191"/>
        <v>0.19114935464044253</v>
      </c>
      <c r="O311" s="624">
        <f t="shared" si="189"/>
        <v>0</v>
      </c>
      <c r="P311" s="626">
        <f t="shared" si="189"/>
        <v>0</v>
      </c>
      <c r="Q311" s="624">
        <f t="shared" si="189"/>
        <v>0</v>
      </c>
      <c r="R311" s="357"/>
      <c r="S311" s="858">
        <v>284</v>
      </c>
      <c r="T311" s="858">
        <v>255</v>
      </c>
      <c r="U311" s="858">
        <v>234</v>
      </c>
      <c r="V311" s="858">
        <v>339</v>
      </c>
      <c r="W311" s="858">
        <v>42</v>
      </c>
      <c r="X311" s="858"/>
      <c r="Y311" s="859">
        <v>1154</v>
      </c>
      <c r="Z311" s="859"/>
      <c r="AA311" s="858"/>
      <c r="AB311" s="858"/>
      <c r="AC311" s="858"/>
      <c r="AD311" s="858"/>
      <c r="AE311" s="859">
        <v>311</v>
      </c>
      <c r="AF311" s="859"/>
      <c r="AG311" s="858"/>
      <c r="AH311" s="859"/>
    </row>
    <row r="312" spans="1:34">
      <c r="A312" s="883"/>
      <c r="B312" s="239" t="s">
        <v>78</v>
      </c>
      <c r="C312" s="806">
        <f t="shared" si="190"/>
        <v>0</v>
      </c>
      <c r="D312" s="806">
        <f t="shared" si="188"/>
        <v>0</v>
      </c>
      <c r="E312" s="806">
        <f t="shared" si="188"/>
        <v>2.0856201975850714E-2</v>
      </c>
      <c r="F312" s="806">
        <f t="shared" si="188"/>
        <v>4.3478260869565216E-2</v>
      </c>
      <c r="G312" s="806">
        <f t="shared" si="188"/>
        <v>3.125E-2</v>
      </c>
      <c r="H312" s="806">
        <f t="shared" si="188"/>
        <v>0</v>
      </c>
      <c r="I312" s="624">
        <f t="shared" si="188"/>
        <v>1.4715870500339597E-2</v>
      </c>
      <c r="J312" s="624">
        <f t="shared" si="188"/>
        <v>0</v>
      </c>
      <c r="K312" s="625">
        <f t="shared" si="188"/>
        <v>0</v>
      </c>
      <c r="L312" s="625">
        <f t="shared" si="188"/>
        <v>0</v>
      </c>
      <c r="M312" s="625">
        <f t="shared" si="188"/>
        <v>0</v>
      </c>
      <c r="N312" s="624">
        <f t="shared" si="191"/>
        <v>7.8672403196066373E-2</v>
      </c>
      <c r="O312" s="624">
        <f t="shared" si="189"/>
        <v>0</v>
      </c>
      <c r="P312" s="626">
        <f t="shared" si="189"/>
        <v>0</v>
      </c>
      <c r="Q312" s="624">
        <f t="shared" si="189"/>
        <v>0</v>
      </c>
      <c r="R312" s="357"/>
      <c r="S312" s="858"/>
      <c r="T312" s="858"/>
      <c r="U312" s="858">
        <v>19</v>
      </c>
      <c r="V312" s="858">
        <v>41</v>
      </c>
      <c r="W312" s="858">
        <v>5</v>
      </c>
      <c r="X312" s="858"/>
      <c r="Y312" s="859">
        <v>65</v>
      </c>
      <c r="Z312" s="859"/>
      <c r="AA312" s="858"/>
      <c r="AB312" s="858"/>
      <c r="AC312" s="858"/>
      <c r="AD312" s="858"/>
      <c r="AE312" s="859">
        <v>128</v>
      </c>
      <c r="AF312" s="859"/>
      <c r="AG312" s="858"/>
      <c r="AH312" s="859"/>
    </row>
    <row r="313" spans="1:34">
      <c r="A313" s="884"/>
      <c r="B313" s="580" t="s">
        <v>131</v>
      </c>
      <c r="C313" s="806">
        <f t="shared" si="190"/>
        <v>0.17301587301587301</v>
      </c>
      <c r="D313" s="806">
        <f t="shared" si="188"/>
        <v>0.22572178477690288</v>
      </c>
      <c r="E313" s="806">
        <f t="shared" si="188"/>
        <v>8.1229418221734365E-2</v>
      </c>
      <c r="F313" s="806">
        <f t="shared" si="188"/>
        <v>0</v>
      </c>
      <c r="G313" s="806">
        <f t="shared" si="188"/>
        <v>0</v>
      </c>
      <c r="H313" s="806">
        <f t="shared" si="188"/>
        <v>0</v>
      </c>
      <c r="I313" s="624">
        <f t="shared" si="188"/>
        <v>0.12451890423364274</v>
      </c>
      <c r="J313" s="624">
        <f t="shared" si="188"/>
        <v>0</v>
      </c>
      <c r="K313" s="625">
        <f t="shared" si="188"/>
        <v>0</v>
      </c>
      <c r="L313" s="625">
        <f t="shared" si="188"/>
        <v>0</v>
      </c>
      <c r="M313" s="625">
        <f t="shared" si="188"/>
        <v>0</v>
      </c>
      <c r="N313" s="624">
        <f t="shared" si="191"/>
        <v>4.9170251997541483E-3</v>
      </c>
      <c r="O313" s="624">
        <f t="shared" si="189"/>
        <v>0</v>
      </c>
      <c r="P313" s="626">
        <f t="shared" si="189"/>
        <v>0</v>
      </c>
      <c r="Q313" s="624">
        <f t="shared" si="189"/>
        <v>0</v>
      </c>
      <c r="R313" s="357"/>
      <c r="S313" s="858">
        <v>218</v>
      </c>
      <c r="T313" s="858">
        <v>258</v>
      </c>
      <c r="U313" s="858">
        <v>74</v>
      </c>
      <c r="V313" s="858">
        <v>0</v>
      </c>
      <c r="W313" s="858">
        <v>0</v>
      </c>
      <c r="X313" s="858">
        <v>0</v>
      </c>
      <c r="Y313" s="859">
        <v>550</v>
      </c>
      <c r="Z313" s="859"/>
      <c r="AA313" s="858"/>
      <c r="AB313" s="858"/>
      <c r="AC313" s="858"/>
      <c r="AD313" s="858"/>
      <c r="AE313" s="859">
        <v>8</v>
      </c>
      <c r="AF313" s="859"/>
      <c r="AG313" s="858"/>
      <c r="AH313" s="859"/>
    </row>
    <row r="314" spans="1:34">
      <c r="A314" s="885"/>
      <c r="B314" s="436" t="s">
        <v>59</v>
      </c>
      <c r="C314" s="807">
        <f t="shared" si="190"/>
        <v>1</v>
      </c>
      <c r="D314" s="808">
        <f t="shared" si="188"/>
        <v>1</v>
      </c>
      <c r="E314" s="808">
        <f t="shared" si="188"/>
        <v>1</v>
      </c>
      <c r="F314" s="808">
        <f t="shared" si="188"/>
        <v>1</v>
      </c>
      <c r="G314" s="808">
        <f t="shared" si="188"/>
        <v>1</v>
      </c>
      <c r="H314" s="809">
        <f t="shared" si="188"/>
        <v>0</v>
      </c>
      <c r="I314" s="577">
        <f t="shared" si="188"/>
        <v>1</v>
      </c>
      <c r="J314" s="577">
        <f t="shared" si="188"/>
        <v>0</v>
      </c>
      <c r="K314" s="578">
        <f t="shared" si="188"/>
        <v>0</v>
      </c>
      <c r="L314" s="578">
        <f t="shared" si="188"/>
        <v>0</v>
      </c>
      <c r="M314" s="578">
        <f t="shared" si="188"/>
        <v>0</v>
      </c>
      <c r="N314" s="577">
        <f t="shared" si="191"/>
        <v>1</v>
      </c>
      <c r="O314" s="577">
        <f t="shared" si="189"/>
        <v>0</v>
      </c>
      <c r="P314" s="579">
        <f t="shared" si="189"/>
        <v>0</v>
      </c>
      <c r="Q314" s="577">
        <f t="shared" si="189"/>
        <v>0</v>
      </c>
      <c r="R314" s="357"/>
      <c r="S314" s="858">
        <v>1260</v>
      </c>
      <c r="T314" s="858">
        <v>1143</v>
      </c>
      <c r="U314" s="858">
        <v>911</v>
      </c>
      <c r="V314" s="858">
        <v>943</v>
      </c>
      <c r="W314" s="858">
        <v>160</v>
      </c>
      <c r="X314" s="858"/>
      <c r="Y314" s="859">
        <v>4417</v>
      </c>
      <c r="Z314" s="859"/>
      <c r="AA314" s="858"/>
      <c r="AB314" s="858"/>
      <c r="AC314" s="858"/>
      <c r="AD314" s="858"/>
      <c r="AE314" s="859">
        <v>1627</v>
      </c>
      <c r="AF314" s="859"/>
      <c r="AG314" s="858"/>
      <c r="AH314" s="859"/>
    </row>
    <row r="315" spans="1:34">
      <c r="A315" s="882" t="s">
        <v>155</v>
      </c>
      <c r="B315" s="240" t="s">
        <v>53</v>
      </c>
      <c r="C315" s="806">
        <f>IF(S$320&gt;0,(S315/S$320),0)</f>
        <v>0</v>
      </c>
      <c r="D315" s="806">
        <f t="shared" ref="D315:M320" si="192">IF(T$320&gt;0,(T315/T$320),0)</f>
        <v>0.37244897959183676</v>
      </c>
      <c r="E315" s="806">
        <f t="shared" si="192"/>
        <v>0</v>
      </c>
      <c r="F315" s="806">
        <f t="shared" si="192"/>
        <v>0.41450777202072536</v>
      </c>
      <c r="G315" s="806">
        <f t="shared" si="192"/>
        <v>0</v>
      </c>
      <c r="H315" s="806">
        <f t="shared" si="192"/>
        <v>0.36734693877551022</v>
      </c>
      <c r="I315" s="613">
        <f t="shared" si="192"/>
        <v>0.37693798449612403</v>
      </c>
      <c r="J315" s="613">
        <f t="shared" si="192"/>
        <v>0</v>
      </c>
      <c r="K315" s="614">
        <f t="shared" si="192"/>
        <v>0</v>
      </c>
      <c r="L315" s="614">
        <f t="shared" si="192"/>
        <v>0</v>
      </c>
      <c r="M315" s="614">
        <f t="shared" si="192"/>
        <v>0</v>
      </c>
      <c r="N315" s="613">
        <f>IF(AE$320&gt;0,(AE315/AE$320),0)</f>
        <v>0.74333333333333329</v>
      </c>
      <c r="O315" s="613">
        <f t="shared" ref="O315:Q320" si="193">IF(AF$320&gt;0,(AF315/AF$320),0)</f>
        <v>0</v>
      </c>
      <c r="P315" s="615">
        <f t="shared" si="193"/>
        <v>0</v>
      </c>
      <c r="Q315" s="613">
        <f t="shared" si="193"/>
        <v>0.77777777777777779</v>
      </c>
      <c r="R315" s="799"/>
      <c r="S315" s="856"/>
      <c r="T315" s="856">
        <v>219</v>
      </c>
      <c r="U315" s="856"/>
      <c r="V315" s="856">
        <v>80</v>
      </c>
      <c r="W315" s="856"/>
      <c r="X315" s="856">
        <v>90</v>
      </c>
      <c r="Y315" s="857">
        <v>389</v>
      </c>
      <c r="Z315" s="857"/>
      <c r="AA315" s="856"/>
      <c r="AB315" s="856"/>
      <c r="AC315" s="856"/>
      <c r="AD315" s="856"/>
      <c r="AE315" s="857">
        <v>223</v>
      </c>
      <c r="AF315" s="857"/>
      <c r="AG315" s="856"/>
      <c r="AH315" s="857">
        <v>21</v>
      </c>
    </row>
    <row r="316" spans="1:34">
      <c r="A316" s="883"/>
      <c r="B316" s="239" t="s">
        <v>93</v>
      </c>
      <c r="C316" s="806">
        <f t="shared" ref="C316:C320" si="194">IF(S$320&gt;0,(S316/S$320),0)</f>
        <v>0</v>
      </c>
      <c r="D316" s="806">
        <f t="shared" si="192"/>
        <v>0.40816326530612246</v>
      </c>
      <c r="E316" s="806">
        <f t="shared" si="192"/>
        <v>0</v>
      </c>
      <c r="F316" s="806">
        <f t="shared" si="192"/>
        <v>0.24352331606217617</v>
      </c>
      <c r="G316" s="806">
        <f t="shared" si="192"/>
        <v>0</v>
      </c>
      <c r="H316" s="806">
        <f t="shared" si="192"/>
        <v>0.31428571428571428</v>
      </c>
      <c r="I316" s="624">
        <f t="shared" si="192"/>
        <v>0.35271317829457366</v>
      </c>
      <c r="J316" s="624">
        <f t="shared" si="192"/>
        <v>0</v>
      </c>
      <c r="K316" s="625">
        <f t="shared" si="192"/>
        <v>0</v>
      </c>
      <c r="L316" s="625">
        <f t="shared" si="192"/>
        <v>0</v>
      </c>
      <c r="M316" s="625">
        <f t="shared" si="192"/>
        <v>0</v>
      </c>
      <c r="N316" s="624">
        <f t="shared" ref="N316:N320" si="195">IF(AE$320&gt;0,(AE316/AE$320),0)</f>
        <v>0.18</v>
      </c>
      <c r="O316" s="624">
        <f t="shared" si="193"/>
        <v>0</v>
      </c>
      <c r="P316" s="626">
        <f t="shared" si="193"/>
        <v>0</v>
      </c>
      <c r="Q316" s="624">
        <f t="shared" si="193"/>
        <v>0.22222222222222221</v>
      </c>
      <c r="R316" s="357"/>
      <c r="S316" s="858"/>
      <c r="T316" s="858">
        <v>240</v>
      </c>
      <c r="U316" s="858"/>
      <c r="V316" s="858">
        <v>47</v>
      </c>
      <c r="W316" s="858"/>
      <c r="X316" s="858">
        <v>77</v>
      </c>
      <c r="Y316" s="859">
        <v>364</v>
      </c>
      <c r="Z316" s="859"/>
      <c r="AA316" s="858"/>
      <c r="AB316" s="858"/>
      <c r="AC316" s="858"/>
      <c r="AD316" s="858"/>
      <c r="AE316" s="859">
        <v>54</v>
      </c>
      <c r="AF316" s="859"/>
      <c r="AG316" s="858"/>
      <c r="AH316" s="859">
        <v>6</v>
      </c>
    </row>
    <row r="317" spans="1:34">
      <c r="A317" s="883"/>
      <c r="B317" s="239" t="s">
        <v>55</v>
      </c>
      <c r="C317" s="806">
        <f t="shared" si="194"/>
        <v>0</v>
      </c>
      <c r="D317" s="806">
        <f t="shared" si="192"/>
        <v>0.21768707482993196</v>
      </c>
      <c r="E317" s="806">
        <f t="shared" si="192"/>
        <v>0</v>
      </c>
      <c r="F317" s="806">
        <f t="shared" si="192"/>
        <v>0.21243523316062177</v>
      </c>
      <c r="G317" s="806">
        <f t="shared" si="192"/>
        <v>0</v>
      </c>
      <c r="H317" s="806">
        <f t="shared" si="192"/>
        <v>0.24081632653061225</v>
      </c>
      <c r="I317" s="624">
        <f t="shared" si="192"/>
        <v>0.22093023255813954</v>
      </c>
      <c r="J317" s="624">
        <f t="shared" si="192"/>
        <v>0</v>
      </c>
      <c r="K317" s="625">
        <f t="shared" si="192"/>
        <v>0</v>
      </c>
      <c r="L317" s="625">
        <f t="shared" si="192"/>
        <v>0</v>
      </c>
      <c r="M317" s="625">
        <f t="shared" si="192"/>
        <v>0</v>
      </c>
      <c r="N317" s="624">
        <f t="shared" si="195"/>
        <v>0.06</v>
      </c>
      <c r="O317" s="624">
        <f t="shared" si="193"/>
        <v>0</v>
      </c>
      <c r="P317" s="626">
        <f t="shared" si="193"/>
        <v>0</v>
      </c>
      <c r="Q317" s="624">
        <f t="shared" si="193"/>
        <v>0</v>
      </c>
      <c r="R317" s="357"/>
      <c r="S317" s="858"/>
      <c r="T317" s="858">
        <v>128</v>
      </c>
      <c r="U317" s="858"/>
      <c r="V317" s="858">
        <v>41</v>
      </c>
      <c r="W317" s="858"/>
      <c r="X317" s="858">
        <v>59</v>
      </c>
      <c r="Y317" s="859">
        <v>228</v>
      </c>
      <c r="Z317" s="859"/>
      <c r="AA317" s="858"/>
      <c r="AB317" s="858"/>
      <c r="AC317" s="858"/>
      <c r="AD317" s="858"/>
      <c r="AE317" s="859">
        <v>18</v>
      </c>
      <c r="AF317" s="859"/>
      <c r="AG317" s="858"/>
      <c r="AH317" s="859"/>
    </row>
    <row r="318" spans="1:34">
      <c r="A318" s="883"/>
      <c r="B318" s="239" t="s">
        <v>78</v>
      </c>
      <c r="C318" s="806">
        <f t="shared" si="194"/>
        <v>0</v>
      </c>
      <c r="D318" s="806">
        <f t="shared" si="192"/>
        <v>0</v>
      </c>
      <c r="E318" s="806">
        <f t="shared" si="192"/>
        <v>0</v>
      </c>
      <c r="F318" s="806">
        <f t="shared" si="192"/>
        <v>0</v>
      </c>
      <c r="G318" s="806">
        <f t="shared" si="192"/>
        <v>0</v>
      </c>
      <c r="H318" s="806">
        <f t="shared" si="192"/>
        <v>3.2653061224489799E-2</v>
      </c>
      <c r="I318" s="624">
        <f t="shared" si="192"/>
        <v>7.7519379844961239E-3</v>
      </c>
      <c r="J318" s="624">
        <f t="shared" si="192"/>
        <v>0</v>
      </c>
      <c r="K318" s="625">
        <f t="shared" si="192"/>
        <v>0</v>
      </c>
      <c r="L318" s="625">
        <f t="shared" si="192"/>
        <v>0</v>
      </c>
      <c r="M318" s="625">
        <f t="shared" si="192"/>
        <v>0</v>
      </c>
      <c r="N318" s="624">
        <f t="shared" si="195"/>
        <v>1.6666666666666666E-2</v>
      </c>
      <c r="O318" s="624">
        <f t="shared" si="193"/>
        <v>0</v>
      </c>
      <c r="P318" s="626">
        <f t="shared" si="193"/>
        <v>0</v>
      </c>
      <c r="Q318" s="624">
        <f t="shared" si="193"/>
        <v>0</v>
      </c>
      <c r="R318" s="357"/>
      <c r="S318" s="858"/>
      <c r="T318" s="858"/>
      <c r="U318" s="858"/>
      <c r="V318" s="858"/>
      <c r="W318" s="858"/>
      <c r="X318" s="858">
        <v>8</v>
      </c>
      <c r="Y318" s="859">
        <v>8</v>
      </c>
      <c r="Z318" s="859"/>
      <c r="AA318" s="858"/>
      <c r="AB318" s="858"/>
      <c r="AC318" s="858"/>
      <c r="AD318" s="858"/>
      <c r="AE318" s="859">
        <v>5</v>
      </c>
      <c r="AF318" s="859"/>
      <c r="AG318" s="858"/>
      <c r="AH318" s="859"/>
    </row>
    <row r="319" spans="1:34">
      <c r="A319" s="884"/>
      <c r="B319" s="580" t="s">
        <v>131</v>
      </c>
      <c r="C319" s="806">
        <f t="shared" si="194"/>
        <v>0</v>
      </c>
      <c r="D319" s="806">
        <f t="shared" si="192"/>
        <v>1.7006802721088435E-3</v>
      </c>
      <c r="E319" s="806">
        <f t="shared" si="192"/>
        <v>0</v>
      </c>
      <c r="F319" s="806">
        <f t="shared" si="192"/>
        <v>0.12953367875647667</v>
      </c>
      <c r="G319" s="806">
        <f t="shared" si="192"/>
        <v>1</v>
      </c>
      <c r="H319" s="806">
        <f t="shared" si="192"/>
        <v>4.4897959183673466E-2</v>
      </c>
      <c r="I319" s="624">
        <f t="shared" si="192"/>
        <v>4.1666666666666664E-2</v>
      </c>
      <c r="J319" s="624">
        <f t="shared" si="192"/>
        <v>0</v>
      </c>
      <c r="K319" s="625">
        <f t="shared" si="192"/>
        <v>0</v>
      </c>
      <c r="L319" s="625">
        <f t="shared" si="192"/>
        <v>0</v>
      </c>
      <c r="M319" s="625">
        <f t="shared" si="192"/>
        <v>0</v>
      </c>
      <c r="N319" s="624">
        <f t="shared" si="195"/>
        <v>0</v>
      </c>
      <c r="O319" s="624">
        <f t="shared" si="193"/>
        <v>0</v>
      </c>
      <c r="P319" s="626">
        <f t="shared" si="193"/>
        <v>0</v>
      </c>
      <c r="Q319" s="624">
        <f t="shared" si="193"/>
        <v>0</v>
      </c>
      <c r="R319" s="357"/>
      <c r="S319" s="858"/>
      <c r="T319" s="858">
        <v>1</v>
      </c>
      <c r="U319" s="858"/>
      <c r="V319" s="858">
        <v>25</v>
      </c>
      <c r="W319" s="858">
        <v>6</v>
      </c>
      <c r="X319" s="858">
        <v>11</v>
      </c>
      <c r="Y319" s="859">
        <v>43</v>
      </c>
      <c r="Z319" s="859"/>
      <c r="AA319" s="858"/>
      <c r="AB319" s="858"/>
      <c r="AC319" s="858"/>
      <c r="AD319" s="858"/>
      <c r="AE319" s="859"/>
      <c r="AF319" s="859"/>
      <c r="AG319" s="858"/>
      <c r="AH319" s="859"/>
    </row>
    <row r="320" spans="1:34">
      <c r="A320" s="885"/>
      <c r="B320" s="436" t="s">
        <v>59</v>
      </c>
      <c r="C320" s="807">
        <f t="shared" si="194"/>
        <v>0</v>
      </c>
      <c r="D320" s="808">
        <f t="shared" si="192"/>
        <v>1</v>
      </c>
      <c r="E320" s="808">
        <f t="shared" si="192"/>
        <v>0</v>
      </c>
      <c r="F320" s="808">
        <f t="shared" si="192"/>
        <v>1</v>
      </c>
      <c r="G320" s="808">
        <f t="shared" si="192"/>
        <v>1</v>
      </c>
      <c r="H320" s="809">
        <f t="shared" si="192"/>
        <v>1</v>
      </c>
      <c r="I320" s="577">
        <f t="shared" si="192"/>
        <v>1</v>
      </c>
      <c r="J320" s="577">
        <f t="shared" si="192"/>
        <v>0</v>
      </c>
      <c r="K320" s="578">
        <f t="shared" si="192"/>
        <v>0</v>
      </c>
      <c r="L320" s="578">
        <f t="shared" si="192"/>
        <v>0</v>
      </c>
      <c r="M320" s="578">
        <f t="shared" si="192"/>
        <v>0</v>
      </c>
      <c r="N320" s="577">
        <f t="shared" si="195"/>
        <v>1</v>
      </c>
      <c r="O320" s="577">
        <f t="shared" si="193"/>
        <v>0</v>
      </c>
      <c r="P320" s="579">
        <f t="shared" si="193"/>
        <v>0</v>
      </c>
      <c r="Q320" s="577">
        <f t="shared" si="193"/>
        <v>1</v>
      </c>
      <c r="R320" s="357"/>
      <c r="S320" s="858"/>
      <c r="T320" s="858">
        <v>588</v>
      </c>
      <c r="U320" s="858"/>
      <c r="V320" s="858">
        <v>193</v>
      </c>
      <c r="W320" s="858">
        <v>6</v>
      </c>
      <c r="X320" s="858">
        <v>245</v>
      </c>
      <c r="Y320" s="859">
        <v>1032</v>
      </c>
      <c r="Z320" s="859"/>
      <c r="AA320" s="858"/>
      <c r="AB320" s="858"/>
      <c r="AC320" s="858"/>
      <c r="AD320" s="858"/>
      <c r="AE320" s="859">
        <v>300</v>
      </c>
      <c r="AF320" s="859"/>
      <c r="AG320" s="858"/>
      <c r="AH320" s="859">
        <v>27</v>
      </c>
    </row>
    <row r="321" spans="1:34">
      <c r="A321" s="882" t="s">
        <v>156</v>
      </c>
      <c r="B321" s="240" t="s">
        <v>53</v>
      </c>
      <c r="C321" s="806">
        <f>IF(S$326&gt;0,(S321/S$326),0)</f>
        <v>0.37756563245823388</v>
      </c>
      <c r="D321" s="806">
        <f t="shared" ref="D321:M326" si="196">IF(T$326&gt;0,(T321/T$326),0)</f>
        <v>0.35451505016722407</v>
      </c>
      <c r="E321" s="806">
        <f t="shared" si="196"/>
        <v>0.32951717272274761</v>
      </c>
      <c r="F321" s="806">
        <f t="shared" si="196"/>
        <v>0.28813559322033899</v>
      </c>
      <c r="G321" s="806">
        <f t="shared" si="196"/>
        <v>0.27886323268206037</v>
      </c>
      <c r="H321" s="806">
        <f t="shared" si="196"/>
        <v>0</v>
      </c>
      <c r="I321" s="613">
        <f t="shared" si="196"/>
        <v>0.34142739950779327</v>
      </c>
      <c r="J321" s="613">
        <f t="shared" si="196"/>
        <v>0</v>
      </c>
      <c r="K321" s="614">
        <f t="shared" si="196"/>
        <v>0</v>
      </c>
      <c r="L321" s="614">
        <f t="shared" si="196"/>
        <v>0</v>
      </c>
      <c r="M321" s="614">
        <f t="shared" si="196"/>
        <v>0</v>
      </c>
      <c r="N321" s="613">
        <f>IF(AE$326&gt;0,(AE321/AE$326),0)</f>
        <v>0.23679577464788731</v>
      </c>
      <c r="O321" s="613">
        <f t="shared" ref="O321:Q326" si="197">IF(AF$326&gt;0,(AF321/AF$326),0)</f>
        <v>0</v>
      </c>
      <c r="P321" s="615">
        <f t="shared" si="197"/>
        <v>0</v>
      </c>
      <c r="Q321" s="613">
        <f t="shared" si="197"/>
        <v>0</v>
      </c>
      <c r="R321" s="799"/>
      <c r="S321" s="856">
        <v>791</v>
      </c>
      <c r="T321" s="856">
        <v>318</v>
      </c>
      <c r="U321" s="856">
        <v>662</v>
      </c>
      <c r="V321" s="856">
        <v>153</v>
      </c>
      <c r="W321" s="856">
        <v>157</v>
      </c>
      <c r="X321" s="856"/>
      <c r="Y321" s="857">
        <v>2081</v>
      </c>
      <c r="Z321" s="857"/>
      <c r="AA321" s="856"/>
      <c r="AB321" s="856"/>
      <c r="AC321" s="856"/>
      <c r="AD321" s="856"/>
      <c r="AE321" s="857">
        <v>538</v>
      </c>
      <c r="AF321" s="857"/>
      <c r="AG321" s="856"/>
      <c r="AH321" s="857"/>
    </row>
    <row r="322" spans="1:34">
      <c r="A322" s="883"/>
      <c r="B322" s="239" t="s">
        <v>93</v>
      </c>
      <c r="C322" s="806">
        <f t="shared" ref="C322:C326" si="198">IF(S$326&gt;0,(S322/S$326),0)</f>
        <v>0.24486873508353221</v>
      </c>
      <c r="D322" s="806">
        <f t="shared" si="196"/>
        <v>0.23634336677814938</v>
      </c>
      <c r="E322" s="806">
        <f t="shared" si="196"/>
        <v>0.320059731209557</v>
      </c>
      <c r="F322" s="806">
        <f t="shared" si="196"/>
        <v>0.40112994350282488</v>
      </c>
      <c r="G322" s="806">
        <f t="shared" si="196"/>
        <v>0.39076376554174069</v>
      </c>
      <c r="H322" s="806">
        <f t="shared" si="196"/>
        <v>0</v>
      </c>
      <c r="I322" s="624">
        <f t="shared" si="196"/>
        <v>0.29548810500410172</v>
      </c>
      <c r="J322" s="624">
        <f t="shared" si="196"/>
        <v>0</v>
      </c>
      <c r="K322" s="625">
        <f t="shared" si="196"/>
        <v>0</v>
      </c>
      <c r="L322" s="625">
        <f t="shared" si="196"/>
        <v>0</v>
      </c>
      <c r="M322" s="625">
        <f t="shared" si="196"/>
        <v>0</v>
      </c>
      <c r="N322" s="624">
        <f t="shared" ref="N322:N326" si="199">IF(AE$326&gt;0,(AE322/AE$326),0)</f>
        <v>0.25220070422535212</v>
      </c>
      <c r="O322" s="624">
        <f t="shared" si="197"/>
        <v>0</v>
      </c>
      <c r="P322" s="626">
        <f t="shared" si="197"/>
        <v>0</v>
      </c>
      <c r="Q322" s="624">
        <f t="shared" si="197"/>
        <v>0</v>
      </c>
      <c r="R322" s="357"/>
      <c r="S322" s="858">
        <v>513</v>
      </c>
      <c r="T322" s="858">
        <v>212</v>
      </c>
      <c r="U322" s="858">
        <v>643</v>
      </c>
      <c r="V322" s="858">
        <v>213</v>
      </c>
      <c r="W322" s="858">
        <v>220</v>
      </c>
      <c r="X322" s="858"/>
      <c r="Y322" s="859">
        <v>1801</v>
      </c>
      <c r="Z322" s="859"/>
      <c r="AA322" s="858"/>
      <c r="AB322" s="858"/>
      <c r="AC322" s="858"/>
      <c r="AD322" s="858"/>
      <c r="AE322" s="859">
        <v>573</v>
      </c>
      <c r="AF322" s="859"/>
      <c r="AG322" s="858"/>
      <c r="AH322" s="859"/>
    </row>
    <row r="323" spans="1:34">
      <c r="A323" s="883"/>
      <c r="B323" s="239" t="s">
        <v>55</v>
      </c>
      <c r="C323" s="806">
        <f t="shared" si="198"/>
        <v>0.21336515513126492</v>
      </c>
      <c r="D323" s="806">
        <f t="shared" si="196"/>
        <v>0.17502787068004461</v>
      </c>
      <c r="E323" s="806">
        <f t="shared" si="196"/>
        <v>0.2777501244400199</v>
      </c>
      <c r="F323" s="806">
        <f t="shared" si="196"/>
        <v>0.29943502824858759</v>
      </c>
      <c r="G323" s="806">
        <f t="shared" si="196"/>
        <v>0.31616341030195383</v>
      </c>
      <c r="H323" s="806">
        <f t="shared" si="196"/>
        <v>0</v>
      </c>
      <c r="I323" s="624">
        <f t="shared" si="196"/>
        <v>0.24593929450369156</v>
      </c>
      <c r="J323" s="624">
        <f t="shared" si="196"/>
        <v>0</v>
      </c>
      <c r="K323" s="625">
        <f t="shared" si="196"/>
        <v>0</v>
      </c>
      <c r="L323" s="625">
        <f t="shared" si="196"/>
        <v>0</v>
      </c>
      <c r="M323" s="625">
        <f t="shared" si="196"/>
        <v>0</v>
      </c>
      <c r="N323" s="624">
        <f t="shared" si="199"/>
        <v>0.29665492957746481</v>
      </c>
      <c r="O323" s="624">
        <f t="shared" si="197"/>
        <v>0</v>
      </c>
      <c r="P323" s="626">
        <f t="shared" si="197"/>
        <v>0</v>
      </c>
      <c r="Q323" s="624">
        <f t="shared" si="197"/>
        <v>0</v>
      </c>
      <c r="R323" s="357"/>
      <c r="S323" s="858">
        <v>447</v>
      </c>
      <c r="T323" s="858">
        <v>157</v>
      </c>
      <c r="U323" s="858">
        <v>558</v>
      </c>
      <c r="V323" s="858">
        <v>159</v>
      </c>
      <c r="W323" s="858">
        <v>178</v>
      </c>
      <c r="X323" s="858"/>
      <c r="Y323" s="859">
        <v>1499</v>
      </c>
      <c r="Z323" s="859"/>
      <c r="AA323" s="858"/>
      <c r="AB323" s="858"/>
      <c r="AC323" s="858"/>
      <c r="AD323" s="858"/>
      <c r="AE323" s="859">
        <v>674</v>
      </c>
      <c r="AF323" s="859"/>
      <c r="AG323" s="858"/>
      <c r="AH323" s="859"/>
    </row>
    <row r="324" spans="1:34">
      <c r="A324" s="883"/>
      <c r="B324" s="239" t="s">
        <v>78</v>
      </c>
      <c r="C324" s="806">
        <f t="shared" si="198"/>
        <v>0.12744630071599045</v>
      </c>
      <c r="D324" s="806">
        <f t="shared" si="196"/>
        <v>8.4726867335562991E-2</v>
      </c>
      <c r="E324" s="806">
        <f t="shared" si="196"/>
        <v>4.2309606769537086E-2</v>
      </c>
      <c r="F324" s="806">
        <f t="shared" si="196"/>
        <v>1.1299435028248588E-2</v>
      </c>
      <c r="G324" s="806">
        <f t="shared" si="196"/>
        <v>1.4209591474245116E-2</v>
      </c>
      <c r="H324" s="806">
        <f t="shared" si="196"/>
        <v>0</v>
      </c>
      <c r="I324" s="624">
        <f t="shared" si="196"/>
        <v>7.2518457752255946E-2</v>
      </c>
      <c r="J324" s="624">
        <f t="shared" si="196"/>
        <v>0</v>
      </c>
      <c r="K324" s="625">
        <f t="shared" si="196"/>
        <v>0</v>
      </c>
      <c r="L324" s="625">
        <f t="shared" si="196"/>
        <v>0</v>
      </c>
      <c r="M324" s="625">
        <f t="shared" si="196"/>
        <v>0</v>
      </c>
      <c r="N324" s="624">
        <f t="shared" si="199"/>
        <v>0.12676056338028169</v>
      </c>
      <c r="O324" s="624">
        <f t="shared" si="197"/>
        <v>0</v>
      </c>
      <c r="P324" s="626">
        <f t="shared" si="197"/>
        <v>0</v>
      </c>
      <c r="Q324" s="624">
        <f t="shared" si="197"/>
        <v>0</v>
      </c>
      <c r="R324" s="357"/>
      <c r="S324" s="858">
        <v>267</v>
      </c>
      <c r="T324" s="858">
        <v>76</v>
      </c>
      <c r="U324" s="858">
        <v>85</v>
      </c>
      <c r="V324" s="858">
        <v>6</v>
      </c>
      <c r="W324" s="858">
        <v>8</v>
      </c>
      <c r="X324" s="858"/>
      <c r="Y324" s="859">
        <v>442</v>
      </c>
      <c r="Z324" s="859"/>
      <c r="AA324" s="858"/>
      <c r="AB324" s="858"/>
      <c r="AC324" s="858"/>
      <c r="AD324" s="858"/>
      <c r="AE324" s="859">
        <v>288</v>
      </c>
      <c r="AF324" s="859"/>
      <c r="AG324" s="858"/>
      <c r="AH324" s="859"/>
    </row>
    <row r="325" spans="1:34">
      <c r="A325" s="884"/>
      <c r="B325" s="580" t="s">
        <v>131</v>
      </c>
      <c r="C325" s="806">
        <f t="shared" si="198"/>
        <v>3.6754176610978517E-2</v>
      </c>
      <c r="D325" s="806">
        <f t="shared" si="196"/>
        <v>0.14938684503901895</v>
      </c>
      <c r="E325" s="806">
        <f t="shared" si="196"/>
        <v>3.0363364858138377E-2</v>
      </c>
      <c r="F325" s="806">
        <f t="shared" si="196"/>
        <v>0</v>
      </c>
      <c r="G325" s="806">
        <f t="shared" si="196"/>
        <v>0</v>
      </c>
      <c r="H325" s="806">
        <f t="shared" si="196"/>
        <v>0</v>
      </c>
      <c r="I325" s="624">
        <f t="shared" si="196"/>
        <v>4.4626743232157505E-2</v>
      </c>
      <c r="J325" s="624">
        <f t="shared" si="196"/>
        <v>0</v>
      </c>
      <c r="K325" s="625">
        <f t="shared" si="196"/>
        <v>0</v>
      </c>
      <c r="L325" s="625">
        <f t="shared" si="196"/>
        <v>0</v>
      </c>
      <c r="M325" s="625">
        <f t="shared" si="196"/>
        <v>0</v>
      </c>
      <c r="N325" s="624">
        <f t="shared" si="199"/>
        <v>8.7588028169014079E-2</v>
      </c>
      <c r="O325" s="624">
        <f t="shared" si="197"/>
        <v>0</v>
      </c>
      <c r="P325" s="626">
        <f t="shared" si="197"/>
        <v>0</v>
      </c>
      <c r="Q325" s="624">
        <f t="shared" si="197"/>
        <v>0</v>
      </c>
      <c r="R325" s="357"/>
      <c r="S325" s="858">
        <v>77</v>
      </c>
      <c r="T325" s="858">
        <v>134</v>
      </c>
      <c r="U325" s="858">
        <v>61</v>
      </c>
      <c r="V325" s="858">
        <v>0</v>
      </c>
      <c r="W325" s="858">
        <v>0</v>
      </c>
      <c r="X325" s="858">
        <v>0</v>
      </c>
      <c r="Y325" s="859">
        <v>272</v>
      </c>
      <c r="Z325" s="859"/>
      <c r="AA325" s="858"/>
      <c r="AB325" s="858"/>
      <c r="AC325" s="858"/>
      <c r="AD325" s="858"/>
      <c r="AE325" s="859">
        <v>199</v>
      </c>
      <c r="AF325" s="859"/>
      <c r="AG325" s="858"/>
      <c r="AH325" s="859"/>
    </row>
    <row r="326" spans="1:34">
      <c r="A326" s="885"/>
      <c r="B326" s="436" t="s">
        <v>59</v>
      </c>
      <c r="C326" s="807">
        <f t="shared" si="198"/>
        <v>1</v>
      </c>
      <c r="D326" s="808">
        <f t="shared" si="196"/>
        <v>1</v>
      </c>
      <c r="E326" s="808">
        <f t="shared" si="196"/>
        <v>1</v>
      </c>
      <c r="F326" s="808">
        <f t="shared" si="196"/>
        <v>1</v>
      </c>
      <c r="G326" s="808">
        <f t="shared" si="196"/>
        <v>1</v>
      </c>
      <c r="H326" s="809">
        <f t="shared" si="196"/>
        <v>0</v>
      </c>
      <c r="I326" s="577">
        <f t="shared" si="196"/>
        <v>1</v>
      </c>
      <c r="J326" s="577">
        <f t="shared" si="196"/>
        <v>0</v>
      </c>
      <c r="K326" s="578">
        <f t="shared" si="196"/>
        <v>0</v>
      </c>
      <c r="L326" s="578">
        <f t="shared" si="196"/>
        <v>0</v>
      </c>
      <c r="M326" s="578">
        <f t="shared" si="196"/>
        <v>0</v>
      </c>
      <c r="N326" s="577">
        <f t="shared" si="199"/>
        <v>1</v>
      </c>
      <c r="O326" s="577">
        <f t="shared" si="197"/>
        <v>0</v>
      </c>
      <c r="P326" s="579">
        <f t="shared" si="197"/>
        <v>0</v>
      </c>
      <c r="Q326" s="577">
        <f t="shared" si="197"/>
        <v>0</v>
      </c>
      <c r="R326" s="357"/>
      <c r="S326" s="858">
        <v>2095</v>
      </c>
      <c r="T326" s="858">
        <v>897</v>
      </c>
      <c r="U326" s="858">
        <v>2009</v>
      </c>
      <c r="V326" s="858">
        <v>531</v>
      </c>
      <c r="W326" s="858">
        <v>563</v>
      </c>
      <c r="X326" s="858"/>
      <c r="Y326" s="859">
        <v>6095</v>
      </c>
      <c r="Z326" s="859"/>
      <c r="AA326" s="858"/>
      <c r="AB326" s="858"/>
      <c r="AC326" s="858"/>
      <c r="AD326" s="858"/>
      <c r="AE326" s="859">
        <v>2272</v>
      </c>
      <c r="AF326" s="859"/>
      <c r="AG326" s="858"/>
      <c r="AH326" s="859"/>
    </row>
    <row r="327" spans="1:34">
      <c r="A327" s="882" t="s">
        <v>159</v>
      </c>
      <c r="B327" s="240" t="s">
        <v>53</v>
      </c>
      <c r="C327" s="806">
        <f>IF(S$332&gt;0,(S327/S$332),0)</f>
        <v>0.33861671469740634</v>
      </c>
      <c r="D327" s="806">
        <f t="shared" ref="D327:M332" si="200">IF(T$332&gt;0,(T327/T$332),0)</f>
        <v>0</v>
      </c>
      <c r="E327" s="806">
        <f t="shared" si="200"/>
        <v>0.31007917825807835</v>
      </c>
      <c r="F327" s="806">
        <f t="shared" si="200"/>
        <v>0.29983434566537825</v>
      </c>
      <c r="G327" s="806">
        <f t="shared" si="200"/>
        <v>0.23651452282157676</v>
      </c>
      <c r="H327" s="806">
        <f t="shared" si="200"/>
        <v>0.23308823529411765</v>
      </c>
      <c r="I327" s="613">
        <f t="shared" si="200"/>
        <v>0.29866933312822092</v>
      </c>
      <c r="J327" s="613">
        <f t="shared" si="200"/>
        <v>0</v>
      </c>
      <c r="K327" s="614">
        <f t="shared" si="200"/>
        <v>0</v>
      </c>
      <c r="L327" s="614">
        <f t="shared" si="200"/>
        <v>0</v>
      </c>
      <c r="M327" s="614">
        <f t="shared" si="200"/>
        <v>0</v>
      </c>
      <c r="N327" s="613">
        <f>IF(AE$332&gt;0,(AE327/AE$332),0)</f>
        <v>0.27002360346184107</v>
      </c>
      <c r="O327" s="613">
        <f t="shared" ref="O327:Q332" si="201">IF(AF$332&gt;0,(AF327/AF$332),0)</f>
        <v>0</v>
      </c>
      <c r="P327" s="615">
        <f t="shared" si="201"/>
        <v>0</v>
      </c>
      <c r="Q327" s="613">
        <f t="shared" si="201"/>
        <v>0</v>
      </c>
      <c r="R327" s="799"/>
      <c r="S327" s="856">
        <v>1175</v>
      </c>
      <c r="T327" s="856"/>
      <c r="U327" s="856">
        <v>1449</v>
      </c>
      <c r="V327" s="856">
        <v>543</v>
      </c>
      <c r="W327" s="856">
        <v>399</v>
      </c>
      <c r="X327" s="856">
        <v>317</v>
      </c>
      <c r="Y327" s="857">
        <v>3883</v>
      </c>
      <c r="Z327" s="857"/>
      <c r="AA327" s="856"/>
      <c r="AB327" s="856"/>
      <c r="AC327" s="856"/>
      <c r="AD327" s="856"/>
      <c r="AE327" s="857">
        <v>1716</v>
      </c>
      <c r="AF327" s="857"/>
      <c r="AG327" s="856"/>
      <c r="AH327" s="857"/>
    </row>
    <row r="328" spans="1:34">
      <c r="A328" s="883"/>
      <c r="B328" s="239" t="s">
        <v>93</v>
      </c>
      <c r="C328" s="806">
        <f t="shared" ref="C328:C332" si="202">IF(S$332&gt;0,(S328/S$332),0)</f>
        <v>0.30461095100864555</v>
      </c>
      <c r="D328" s="806">
        <f t="shared" si="200"/>
        <v>0</v>
      </c>
      <c r="E328" s="806">
        <f t="shared" si="200"/>
        <v>0.31072116413438905</v>
      </c>
      <c r="F328" s="806">
        <f t="shared" si="200"/>
        <v>0.33020430701270015</v>
      </c>
      <c r="G328" s="806">
        <f t="shared" si="200"/>
        <v>0.33728512151748669</v>
      </c>
      <c r="H328" s="806">
        <f t="shared" si="200"/>
        <v>0.23897058823529413</v>
      </c>
      <c r="I328" s="624">
        <f t="shared" si="200"/>
        <v>0.30774555803399739</v>
      </c>
      <c r="J328" s="624">
        <f t="shared" si="200"/>
        <v>0</v>
      </c>
      <c r="K328" s="625">
        <f t="shared" si="200"/>
        <v>0</v>
      </c>
      <c r="L328" s="625">
        <f t="shared" si="200"/>
        <v>0</v>
      </c>
      <c r="M328" s="625">
        <f t="shared" si="200"/>
        <v>0</v>
      </c>
      <c r="N328" s="624">
        <f t="shared" ref="N328:N332" si="203">IF(AE$332&gt;0,(AE328/AE$332),0)</f>
        <v>0.22344610542879623</v>
      </c>
      <c r="O328" s="624">
        <f t="shared" si="201"/>
        <v>0</v>
      </c>
      <c r="P328" s="626">
        <f t="shared" si="201"/>
        <v>0</v>
      </c>
      <c r="Q328" s="624">
        <f t="shared" si="201"/>
        <v>0</v>
      </c>
      <c r="R328" s="357"/>
      <c r="S328" s="858">
        <v>1057</v>
      </c>
      <c r="T328" s="858"/>
      <c r="U328" s="858">
        <v>1452</v>
      </c>
      <c r="V328" s="858">
        <v>598</v>
      </c>
      <c r="W328" s="858">
        <v>569</v>
      </c>
      <c r="X328" s="858">
        <v>325</v>
      </c>
      <c r="Y328" s="859">
        <v>4001</v>
      </c>
      <c r="Z328" s="859"/>
      <c r="AA328" s="858"/>
      <c r="AB328" s="858"/>
      <c r="AC328" s="858"/>
      <c r="AD328" s="858"/>
      <c r="AE328" s="859">
        <v>1420</v>
      </c>
      <c r="AF328" s="859"/>
      <c r="AG328" s="858"/>
      <c r="AH328" s="859"/>
    </row>
    <row r="329" spans="1:34">
      <c r="A329" s="883"/>
      <c r="B329" s="239" t="s">
        <v>55</v>
      </c>
      <c r="C329" s="806">
        <f t="shared" si="202"/>
        <v>0.26138328530259364</v>
      </c>
      <c r="D329" s="806">
        <f t="shared" si="200"/>
        <v>0</v>
      </c>
      <c r="E329" s="806">
        <f t="shared" si="200"/>
        <v>0.27263000213995292</v>
      </c>
      <c r="F329" s="806">
        <f t="shared" si="200"/>
        <v>0.23909442297073441</v>
      </c>
      <c r="G329" s="806">
        <f t="shared" si="200"/>
        <v>0.33847065797273268</v>
      </c>
      <c r="H329" s="806">
        <f t="shared" si="200"/>
        <v>0.39558823529411763</v>
      </c>
      <c r="I329" s="624">
        <f t="shared" si="200"/>
        <v>0.28636258749326976</v>
      </c>
      <c r="J329" s="624">
        <f t="shared" si="200"/>
        <v>0</v>
      </c>
      <c r="K329" s="625">
        <f t="shared" si="200"/>
        <v>0</v>
      </c>
      <c r="L329" s="625">
        <f t="shared" si="200"/>
        <v>0</v>
      </c>
      <c r="M329" s="625">
        <f t="shared" si="200"/>
        <v>0</v>
      </c>
      <c r="N329" s="624">
        <f t="shared" si="203"/>
        <v>0.31439811172305271</v>
      </c>
      <c r="O329" s="624">
        <f t="shared" si="201"/>
        <v>0</v>
      </c>
      <c r="P329" s="626">
        <f t="shared" si="201"/>
        <v>0</v>
      </c>
      <c r="Q329" s="624">
        <f t="shared" si="201"/>
        <v>0</v>
      </c>
      <c r="R329" s="357"/>
      <c r="S329" s="858">
        <v>907</v>
      </c>
      <c r="T329" s="858"/>
      <c r="U329" s="858">
        <v>1274</v>
      </c>
      <c r="V329" s="858">
        <v>433</v>
      </c>
      <c r="W329" s="858">
        <v>571</v>
      </c>
      <c r="X329" s="858">
        <v>538</v>
      </c>
      <c r="Y329" s="859">
        <v>3723</v>
      </c>
      <c r="Z329" s="859"/>
      <c r="AA329" s="858"/>
      <c r="AB329" s="858"/>
      <c r="AC329" s="858"/>
      <c r="AD329" s="858"/>
      <c r="AE329" s="859">
        <v>1998</v>
      </c>
      <c r="AF329" s="859"/>
      <c r="AG329" s="858"/>
      <c r="AH329" s="859"/>
    </row>
    <row r="330" spans="1:34">
      <c r="A330" s="883"/>
      <c r="B330" s="239" t="s">
        <v>78</v>
      </c>
      <c r="C330" s="806">
        <f t="shared" si="202"/>
        <v>1.1239193083573486E-2</v>
      </c>
      <c r="D330" s="806">
        <f t="shared" si="200"/>
        <v>0</v>
      </c>
      <c r="E330" s="806">
        <f t="shared" si="200"/>
        <v>9.8437834367643903E-3</v>
      </c>
      <c r="F330" s="806">
        <f t="shared" si="200"/>
        <v>1.6565433462175594E-2</v>
      </c>
      <c r="G330" s="806">
        <f t="shared" si="200"/>
        <v>2.9045643153526972E-2</v>
      </c>
      <c r="H330" s="806">
        <f t="shared" si="200"/>
        <v>4.4852941176470588E-2</v>
      </c>
      <c r="I330" s="624">
        <f t="shared" si="200"/>
        <v>1.7306361049150065E-2</v>
      </c>
      <c r="J330" s="624">
        <f t="shared" si="200"/>
        <v>0</v>
      </c>
      <c r="K330" s="625">
        <f t="shared" si="200"/>
        <v>0</v>
      </c>
      <c r="L330" s="625">
        <f t="shared" si="200"/>
        <v>0</v>
      </c>
      <c r="M330" s="625">
        <f t="shared" si="200"/>
        <v>0</v>
      </c>
      <c r="N330" s="624">
        <f t="shared" si="203"/>
        <v>0.12069236821400472</v>
      </c>
      <c r="O330" s="624">
        <f t="shared" si="201"/>
        <v>0</v>
      </c>
      <c r="P330" s="626">
        <f t="shared" si="201"/>
        <v>0</v>
      </c>
      <c r="Q330" s="624">
        <f t="shared" si="201"/>
        <v>0</v>
      </c>
      <c r="R330" s="357"/>
      <c r="S330" s="858">
        <v>39</v>
      </c>
      <c r="T330" s="858"/>
      <c r="U330" s="858">
        <v>46</v>
      </c>
      <c r="V330" s="858">
        <v>30</v>
      </c>
      <c r="W330" s="858">
        <v>49</v>
      </c>
      <c r="X330" s="858">
        <v>61</v>
      </c>
      <c r="Y330" s="859">
        <v>225</v>
      </c>
      <c r="Z330" s="859"/>
      <c r="AA330" s="858"/>
      <c r="AB330" s="858"/>
      <c r="AC330" s="858"/>
      <c r="AD330" s="858"/>
      <c r="AE330" s="859">
        <v>767</v>
      </c>
      <c r="AF330" s="859"/>
      <c r="AG330" s="858"/>
      <c r="AH330" s="859"/>
    </row>
    <row r="331" spans="1:34">
      <c r="A331" s="884"/>
      <c r="B331" s="580" t="s">
        <v>131</v>
      </c>
      <c r="C331" s="806">
        <f t="shared" si="202"/>
        <v>8.4149855907780985E-2</v>
      </c>
      <c r="D331" s="806">
        <f t="shared" si="200"/>
        <v>0</v>
      </c>
      <c r="E331" s="806">
        <f t="shared" si="200"/>
        <v>9.6725872030815327E-2</v>
      </c>
      <c r="F331" s="806">
        <f t="shared" si="200"/>
        <v>0.11430149088901159</v>
      </c>
      <c r="G331" s="806">
        <f t="shared" si="200"/>
        <v>5.8684054534676941E-2</v>
      </c>
      <c r="H331" s="806">
        <f t="shared" si="200"/>
        <v>8.7499999999999994E-2</v>
      </c>
      <c r="I331" s="624">
        <f t="shared" si="200"/>
        <v>8.9916160295361897E-2</v>
      </c>
      <c r="J331" s="624">
        <f t="shared" si="200"/>
        <v>0</v>
      </c>
      <c r="K331" s="625">
        <f t="shared" si="200"/>
        <v>0</v>
      </c>
      <c r="L331" s="625">
        <f t="shared" si="200"/>
        <v>0</v>
      </c>
      <c r="M331" s="625">
        <f t="shared" si="200"/>
        <v>0</v>
      </c>
      <c r="N331" s="624">
        <f t="shared" si="203"/>
        <v>7.1439811172305273E-2</v>
      </c>
      <c r="O331" s="624">
        <f t="shared" si="201"/>
        <v>0</v>
      </c>
      <c r="P331" s="626">
        <f t="shared" si="201"/>
        <v>0</v>
      </c>
      <c r="Q331" s="624">
        <f t="shared" si="201"/>
        <v>0</v>
      </c>
      <c r="R331" s="357"/>
      <c r="S331" s="858">
        <v>292</v>
      </c>
      <c r="T331" s="858"/>
      <c r="U331" s="858">
        <v>452</v>
      </c>
      <c r="V331" s="858">
        <v>207</v>
      </c>
      <c r="W331" s="858">
        <v>99</v>
      </c>
      <c r="X331" s="858">
        <v>119</v>
      </c>
      <c r="Y331" s="859">
        <v>1169</v>
      </c>
      <c r="Z331" s="859"/>
      <c r="AA331" s="858"/>
      <c r="AB331" s="858"/>
      <c r="AC331" s="858"/>
      <c r="AD331" s="858"/>
      <c r="AE331" s="859">
        <v>454</v>
      </c>
      <c r="AF331" s="859"/>
      <c r="AG331" s="858"/>
      <c r="AH331" s="859"/>
    </row>
    <row r="332" spans="1:34">
      <c r="A332" s="885"/>
      <c r="B332" s="436" t="s">
        <v>59</v>
      </c>
      <c r="C332" s="807">
        <f t="shared" si="202"/>
        <v>1</v>
      </c>
      <c r="D332" s="808">
        <f t="shared" si="200"/>
        <v>0</v>
      </c>
      <c r="E332" s="808">
        <f t="shared" si="200"/>
        <v>1</v>
      </c>
      <c r="F332" s="808">
        <f t="shared" si="200"/>
        <v>1</v>
      </c>
      <c r="G332" s="808">
        <f t="shared" si="200"/>
        <v>1</v>
      </c>
      <c r="H332" s="809">
        <f t="shared" si="200"/>
        <v>1</v>
      </c>
      <c r="I332" s="577">
        <f t="shared" si="200"/>
        <v>1</v>
      </c>
      <c r="J332" s="577">
        <f t="shared" si="200"/>
        <v>0</v>
      </c>
      <c r="K332" s="578">
        <f t="shared" si="200"/>
        <v>0</v>
      </c>
      <c r="L332" s="578">
        <f t="shared" si="200"/>
        <v>0</v>
      </c>
      <c r="M332" s="578">
        <f t="shared" si="200"/>
        <v>0</v>
      </c>
      <c r="N332" s="577">
        <f t="shared" si="203"/>
        <v>1</v>
      </c>
      <c r="O332" s="577">
        <f t="shared" si="201"/>
        <v>0</v>
      </c>
      <c r="P332" s="579">
        <f t="shared" si="201"/>
        <v>0</v>
      </c>
      <c r="Q332" s="577">
        <f t="shared" si="201"/>
        <v>0</v>
      </c>
      <c r="R332" s="357"/>
      <c r="S332" s="858">
        <v>3470</v>
      </c>
      <c r="T332" s="858"/>
      <c r="U332" s="858">
        <v>4673</v>
      </c>
      <c r="V332" s="858">
        <v>1811</v>
      </c>
      <c r="W332" s="858">
        <v>1687</v>
      </c>
      <c r="X332" s="858">
        <v>1360</v>
      </c>
      <c r="Y332" s="859">
        <v>13001</v>
      </c>
      <c r="Z332" s="859"/>
      <c r="AA332" s="858"/>
      <c r="AB332" s="858"/>
      <c r="AC332" s="858"/>
      <c r="AD332" s="858"/>
      <c r="AE332" s="859">
        <v>6355</v>
      </c>
      <c r="AF332" s="859"/>
      <c r="AG332" s="858"/>
      <c r="AH332" s="859"/>
    </row>
    <row r="333" spans="1:34">
      <c r="A333" s="882" t="s">
        <v>162</v>
      </c>
      <c r="B333" s="240" t="s">
        <v>53</v>
      </c>
      <c r="C333" s="806">
        <f>IF(S338&gt;0,(S333/S338),0)</f>
        <v>0.27903417786090801</v>
      </c>
      <c r="D333" s="806">
        <f t="shared" ref="D333:M333" si="204">IF(T338&gt;0,(T333/T338),0)</f>
        <v>0.32013201320132012</v>
      </c>
      <c r="E333" s="806">
        <f t="shared" si="204"/>
        <v>0.25906040268456376</v>
      </c>
      <c r="F333" s="806">
        <f t="shared" si="204"/>
        <v>0.30990220048899758</v>
      </c>
      <c r="G333" s="806">
        <f t="shared" si="204"/>
        <v>0.22956521739130434</v>
      </c>
      <c r="H333" s="806">
        <f t="shared" si="204"/>
        <v>0.10119047619047619</v>
      </c>
      <c r="I333" s="613">
        <f t="shared" si="204"/>
        <v>0.25975401156634359</v>
      </c>
      <c r="J333" s="613">
        <f t="shared" si="204"/>
        <v>0</v>
      </c>
      <c r="K333" s="614">
        <f t="shared" si="204"/>
        <v>0</v>
      </c>
      <c r="L333" s="614">
        <f t="shared" si="204"/>
        <v>0</v>
      </c>
      <c r="M333" s="614">
        <f t="shared" si="204"/>
        <v>0</v>
      </c>
      <c r="N333" s="613">
        <f>IF(AE338&gt;0,(AE333/AE338),0)</f>
        <v>0.25308396339037009</v>
      </c>
      <c r="O333" s="613">
        <f t="shared" ref="O333:Q333" si="205">IF(AF338&gt;0,(AF333/AF338),0)</f>
        <v>0</v>
      </c>
      <c r="P333" s="615">
        <f t="shared" si="205"/>
        <v>0</v>
      </c>
      <c r="Q333" s="613">
        <f t="shared" si="205"/>
        <v>0</v>
      </c>
      <c r="R333" s="799"/>
      <c r="S333" s="856">
        <v>1641</v>
      </c>
      <c r="T333" s="856">
        <v>194</v>
      </c>
      <c r="U333" s="856">
        <v>579</v>
      </c>
      <c r="V333" s="856">
        <v>507</v>
      </c>
      <c r="W333" s="856">
        <v>132</v>
      </c>
      <c r="X333" s="856">
        <v>136</v>
      </c>
      <c r="Y333" s="857">
        <v>3189</v>
      </c>
      <c r="Z333" s="857"/>
      <c r="AA333" s="856"/>
      <c r="AB333" s="856"/>
      <c r="AC333" s="856"/>
      <c r="AD333" s="856"/>
      <c r="AE333" s="857">
        <v>636</v>
      </c>
      <c r="AF333" s="857"/>
      <c r="AG333" s="856"/>
      <c r="AH333" s="857"/>
    </row>
    <row r="334" spans="1:34">
      <c r="A334" s="883"/>
      <c r="B334" s="239" t="s">
        <v>93</v>
      </c>
      <c r="C334" s="806">
        <f>IF(S338&gt;0,(S334/S338),0)</f>
        <v>0.23499404863118517</v>
      </c>
      <c r="D334" s="806">
        <f t="shared" ref="D334:M334" si="206">IF(T338&gt;0,(T334/T338),0)</f>
        <v>0.29702970297029702</v>
      </c>
      <c r="E334" s="806">
        <f t="shared" si="206"/>
        <v>0.31856823266219242</v>
      </c>
      <c r="F334" s="806">
        <f t="shared" si="206"/>
        <v>0.27750611246943763</v>
      </c>
      <c r="G334" s="806">
        <f t="shared" si="206"/>
        <v>0.29217391304347828</v>
      </c>
      <c r="H334" s="806">
        <f t="shared" si="206"/>
        <v>0.28720238095238093</v>
      </c>
      <c r="I334" s="624">
        <f t="shared" si="206"/>
        <v>0.26732915207298202</v>
      </c>
      <c r="J334" s="624">
        <f t="shared" si="206"/>
        <v>0</v>
      </c>
      <c r="K334" s="625">
        <f t="shared" si="206"/>
        <v>0</v>
      </c>
      <c r="L334" s="625">
        <f t="shared" si="206"/>
        <v>0</v>
      </c>
      <c r="M334" s="625">
        <f t="shared" si="206"/>
        <v>0</v>
      </c>
      <c r="N334" s="624">
        <f>IF(AE338&gt;0,(AE334/AE338),0)</f>
        <v>0.24791086350974931</v>
      </c>
      <c r="O334" s="624">
        <f t="shared" ref="O334:Q334" si="207">IF(AF338&gt;0,(AF334/AF338),0)</f>
        <v>0</v>
      </c>
      <c r="P334" s="626">
        <f t="shared" si="207"/>
        <v>0</v>
      </c>
      <c r="Q334" s="624">
        <f t="shared" si="207"/>
        <v>0</v>
      </c>
      <c r="R334" s="357"/>
      <c r="S334" s="858">
        <v>1382</v>
      </c>
      <c r="T334" s="858">
        <v>180</v>
      </c>
      <c r="U334" s="858">
        <v>712</v>
      </c>
      <c r="V334" s="858">
        <v>454</v>
      </c>
      <c r="W334" s="858">
        <v>168</v>
      </c>
      <c r="X334" s="858">
        <v>386</v>
      </c>
      <c r="Y334" s="859">
        <v>3282</v>
      </c>
      <c r="Z334" s="859"/>
      <c r="AA334" s="858"/>
      <c r="AB334" s="858"/>
      <c r="AC334" s="858"/>
      <c r="AD334" s="858"/>
      <c r="AE334" s="859">
        <v>623</v>
      </c>
      <c r="AF334" s="859"/>
      <c r="AG334" s="858"/>
      <c r="AH334" s="859"/>
    </row>
    <row r="335" spans="1:34">
      <c r="A335" s="883"/>
      <c r="B335" s="239" t="s">
        <v>55</v>
      </c>
      <c r="C335" s="806">
        <f>IF(S338&gt;0,(S335/S338),0)</f>
        <v>0.28413535113076005</v>
      </c>
      <c r="D335" s="806">
        <f t="shared" ref="D335:M335" si="208">IF(T338&gt;0,(T335/T338),0)</f>
        <v>0.29042904290429045</v>
      </c>
      <c r="E335" s="806">
        <f t="shared" si="208"/>
        <v>0.30067114093959729</v>
      </c>
      <c r="F335" s="806">
        <f t="shared" si="208"/>
        <v>0.27567237163814179</v>
      </c>
      <c r="G335" s="806">
        <f t="shared" si="208"/>
        <v>0.25217391304347825</v>
      </c>
      <c r="H335" s="806">
        <f t="shared" si="208"/>
        <v>0.26041666666666669</v>
      </c>
      <c r="I335" s="624">
        <f t="shared" si="208"/>
        <v>0.282235073715077</v>
      </c>
      <c r="J335" s="624">
        <f t="shared" si="208"/>
        <v>0</v>
      </c>
      <c r="K335" s="625">
        <f t="shared" si="208"/>
        <v>0</v>
      </c>
      <c r="L335" s="625">
        <f t="shared" si="208"/>
        <v>0</v>
      </c>
      <c r="M335" s="625">
        <f t="shared" si="208"/>
        <v>0</v>
      </c>
      <c r="N335" s="624">
        <f>IF(AE338&gt;0,(AE335/AE338),0)</f>
        <v>0.31754874651810583</v>
      </c>
      <c r="O335" s="624">
        <f t="shared" ref="O335:Q335" si="209">IF(AF338&gt;0,(AF335/AF338),0)</f>
        <v>0</v>
      </c>
      <c r="P335" s="626">
        <f t="shared" si="209"/>
        <v>0</v>
      </c>
      <c r="Q335" s="624">
        <f t="shared" si="209"/>
        <v>0</v>
      </c>
      <c r="R335" s="357"/>
      <c r="S335" s="858">
        <v>1671</v>
      </c>
      <c r="T335" s="858">
        <v>176</v>
      </c>
      <c r="U335" s="858">
        <v>672</v>
      </c>
      <c r="V335" s="858">
        <v>451</v>
      </c>
      <c r="W335" s="858">
        <v>145</v>
      </c>
      <c r="X335" s="858">
        <v>350</v>
      </c>
      <c r="Y335" s="859">
        <v>3465</v>
      </c>
      <c r="Z335" s="859"/>
      <c r="AA335" s="858"/>
      <c r="AB335" s="858"/>
      <c r="AC335" s="858"/>
      <c r="AD335" s="858"/>
      <c r="AE335" s="859">
        <v>798</v>
      </c>
      <c r="AF335" s="859"/>
      <c r="AG335" s="858"/>
      <c r="AH335" s="859"/>
    </row>
    <row r="336" spans="1:34">
      <c r="A336" s="883"/>
      <c r="B336" s="239" t="s">
        <v>78</v>
      </c>
      <c r="C336" s="806">
        <f>IF(S338&gt;0,(S336/S338),0)</f>
        <v>7.9748342118687296E-2</v>
      </c>
      <c r="D336" s="806">
        <f t="shared" ref="D336:M336" si="210">IF(T338&gt;0,(T336/T338),0)</f>
        <v>9.2409240924092403E-2</v>
      </c>
      <c r="E336" s="806">
        <f t="shared" si="210"/>
        <v>0.10559284116331097</v>
      </c>
      <c r="F336" s="806">
        <f t="shared" si="210"/>
        <v>0.13691931540342298</v>
      </c>
      <c r="G336" s="806">
        <f t="shared" si="210"/>
        <v>4.1739130434782612E-2</v>
      </c>
      <c r="H336" s="806">
        <f t="shared" si="210"/>
        <v>0.29017857142857145</v>
      </c>
      <c r="I336" s="624">
        <f t="shared" si="210"/>
        <v>0.11395292009448563</v>
      </c>
      <c r="J336" s="624">
        <f t="shared" si="210"/>
        <v>0</v>
      </c>
      <c r="K336" s="625">
        <f t="shared" si="210"/>
        <v>0</v>
      </c>
      <c r="L336" s="625">
        <f t="shared" si="210"/>
        <v>0</v>
      </c>
      <c r="M336" s="625">
        <f t="shared" si="210"/>
        <v>0</v>
      </c>
      <c r="N336" s="624">
        <f>IF(AE338&gt;0,(AE336/AE338),0)</f>
        <v>0.17111022682053323</v>
      </c>
      <c r="O336" s="624">
        <f t="shared" ref="O336:Q336" si="211">IF(AF338&gt;0,(AF336/AF338),0)</f>
        <v>0</v>
      </c>
      <c r="P336" s="626">
        <f t="shared" si="211"/>
        <v>0</v>
      </c>
      <c r="Q336" s="624">
        <f t="shared" si="211"/>
        <v>1</v>
      </c>
      <c r="R336" s="357"/>
      <c r="S336" s="858">
        <v>469</v>
      </c>
      <c r="T336" s="858">
        <v>56</v>
      </c>
      <c r="U336" s="858">
        <v>236</v>
      </c>
      <c r="V336" s="858">
        <v>224</v>
      </c>
      <c r="W336" s="858">
        <v>24</v>
      </c>
      <c r="X336" s="858">
        <v>390</v>
      </c>
      <c r="Y336" s="859">
        <v>1399</v>
      </c>
      <c r="Z336" s="859"/>
      <c r="AA336" s="858"/>
      <c r="AB336" s="858"/>
      <c r="AC336" s="858"/>
      <c r="AD336" s="858"/>
      <c r="AE336" s="859">
        <v>430</v>
      </c>
      <c r="AF336" s="859"/>
      <c r="AG336" s="858"/>
      <c r="AH336" s="859">
        <v>99</v>
      </c>
    </row>
    <row r="337" spans="1:34">
      <c r="A337" s="884"/>
      <c r="B337" s="580" t="s">
        <v>131</v>
      </c>
      <c r="C337" s="806">
        <f>IF(S338&gt;0,(S337/S338),0)</f>
        <v>0.12208808025845945</v>
      </c>
      <c r="D337" s="806">
        <f t="shared" ref="D337:M337" si="212">IF(T338&gt;0,(T337/T338),0)</f>
        <v>0</v>
      </c>
      <c r="E337" s="806">
        <f t="shared" si="212"/>
        <v>1.6107382550335572E-2</v>
      </c>
      <c r="F337" s="806">
        <f t="shared" si="212"/>
        <v>0</v>
      </c>
      <c r="G337" s="806">
        <f t="shared" si="212"/>
        <v>0.18434782608695652</v>
      </c>
      <c r="H337" s="806">
        <f t="shared" si="212"/>
        <v>6.101190476190476E-2</v>
      </c>
      <c r="I337" s="624">
        <f t="shared" si="212"/>
        <v>7.6728842551111828E-2</v>
      </c>
      <c r="J337" s="624">
        <f t="shared" si="212"/>
        <v>0</v>
      </c>
      <c r="K337" s="625">
        <f t="shared" si="212"/>
        <v>0</v>
      </c>
      <c r="L337" s="625">
        <f t="shared" si="212"/>
        <v>0</v>
      </c>
      <c r="M337" s="625">
        <f t="shared" si="212"/>
        <v>0</v>
      </c>
      <c r="N337" s="624">
        <f>IF(AE338&gt;0,(AE337/AE338),0)</f>
        <v>1.0346199761241544E-2</v>
      </c>
      <c r="O337" s="624">
        <f t="shared" ref="O337:Q337" si="213">IF(AF338&gt;0,(AF337/AF338),0)</f>
        <v>0</v>
      </c>
      <c r="P337" s="626">
        <f t="shared" si="213"/>
        <v>0</v>
      </c>
      <c r="Q337" s="624">
        <f t="shared" si="213"/>
        <v>0</v>
      </c>
      <c r="R337" s="357"/>
      <c r="S337" s="858">
        <v>718</v>
      </c>
      <c r="T337" s="858">
        <v>0</v>
      </c>
      <c r="U337" s="858">
        <v>36</v>
      </c>
      <c r="V337" s="858">
        <v>0</v>
      </c>
      <c r="W337" s="858">
        <v>106</v>
      </c>
      <c r="X337" s="858">
        <v>82</v>
      </c>
      <c r="Y337" s="859">
        <v>942</v>
      </c>
      <c r="Z337" s="859"/>
      <c r="AA337" s="858"/>
      <c r="AB337" s="858"/>
      <c r="AC337" s="858"/>
      <c r="AD337" s="858"/>
      <c r="AE337" s="859">
        <v>26</v>
      </c>
      <c r="AF337" s="859"/>
      <c r="AG337" s="858"/>
      <c r="AH337" s="859"/>
    </row>
    <row r="338" spans="1:34">
      <c r="A338" s="885"/>
      <c r="B338" s="436" t="s">
        <v>59</v>
      </c>
      <c r="C338" s="807">
        <f>IF(S338&gt;0,(S338/S338),0)</f>
        <v>1</v>
      </c>
      <c r="D338" s="808">
        <f t="shared" ref="D338:M338" si="214">IF(T338&gt;0,(T338/T338),0)</f>
        <v>1</v>
      </c>
      <c r="E338" s="808">
        <f t="shared" si="214"/>
        <v>1</v>
      </c>
      <c r="F338" s="808">
        <f t="shared" si="214"/>
        <v>1</v>
      </c>
      <c r="G338" s="808">
        <f t="shared" si="214"/>
        <v>1</v>
      </c>
      <c r="H338" s="809">
        <f t="shared" si="214"/>
        <v>1</v>
      </c>
      <c r="I338" s="577">
        <f t="shared" si="214"/>
        <v>1</v>
      </c>
      <c r="J338" s="577">
        <f t="shared" si="214"/>
        <v>0</v>
      </c>
      <c r="K338" s="578">
        <f t="shared" si="214"/>
        <v>0</v>
      </c>
      <c r="L338" s="578">
        <f t="shared" si="214"/>
        <v>0</v>
      </c>
      <c r="M338" s="578">
        <f t="shared" si="214"/>
        <v>0</v>
      </c>
      <c r="N338" s="577">
        <f>IF(AE338&gt;0,(AE338/AE338),0)</f>
        <v>1</v>
      </c>
      <c r="O338" s="577">
        <f t="shared" ref="O338:Q338" si="215">IF(AF338&gt;0,(AF338/AF338),0)</f>
        <v>0</v>
      </c>
      <c r="P338" s="579">
        <f t="shared" si="215"/>
        <v>0</v>
      </c>
      <c r="Q338" s="577">
        <f t="shared" si="215"/>
        <v>1</v>
      </c>
      <c r="R338" s="357"/>
      <c r="S338" s="858">
        <v>5881</v>
      </c>
      <c r="T338" s="858">
        <v>606</v>
      </c>
      <c r="U338" s="858">
        <v>2235</v>
      </c>
      <c r="V338" s="858">
        <v>1636</v>
      </c>
      <c r="W338" s="858">
        <v>575</v>
      </c>
      <c r="X338" s="858">
        <v>1344</v>
      </c>
      <c r="Y338" s="859">
        <v>12277</v>
      </c>
      <c r="Z338" s="859"/>
      <c r="AA338" s="858"/>
      <c r="AB338" s="858"/>
      <c r="AC338" s="858"/>
      <c r="AD338" s="858"/>
      <c r="AE338" s="859">
        <v>2513</v>
      </c>
      <c r="AF338" s="859"/>
      <c r="AG338" s="858"/>
      <c r="AH338" s="859">
        <v>99</v>
      </c>
    </row>
    <row r="339" spans="1:34">
      <c r="A339" s="882" t="s">
        <v>163</v>
      </c>
      <c r="B339" s="240" t="s">
        <v>53</v>
      </c>
      <c r="C339" s="806">
        <f>IF(S344&gt;0,(S339/S344),0)</f>
        <v>0</v>
      </c>
      <c r="D339" s="806">
        <f t="shared" ref="D339:M339" si="216">IF(T344&gt;0,(T339/T344),0)</f>
        <v>0.42318840579710143</v>
      </c>
      <c r="E339" s="806">
        <f t="shared" si="216"/>
        <v>0.37003058103975534</v>
      </c>
      <c r="F339" s="806">
        <f t="shared" si="216"/>
        <v>0</v>
      </c>
      <c r="G339" s="806">
        <f t="shared" si="216"/>
        <v>0</v>
      </c>
      <c r="H339" s="806">
        <f t="shared" si="216"/>
        <v>0</v>
      </c>
      <c r="I339" s="613">
        <f t="shared" si="216"/>
        <v>0.40609636184857423</v>
      </c>
      <c r="J339" s="613">
        <f t="shared" si="216"/>
        <v>0</v>
      </c>
      <c r="K339" s="614">
        <f t="shared" si="216"/>
        <v>0</v>
      </c>
      <c r="L339" s="614">
        <f t="shared" si="216"/>
        <v>0</v>
      </c>
      <c r="M339" s="614">
        <f t="shared" si="216"/>
        <v>0</v>
      </c>
      <c r="N339" s="613">
        <f>IF(AE344&gt;0,(AE339/AE344),0)</f>
        <v>0.41284403669724773</v>
      </c>
      <c r="O339" s="613">
        <f t="shared" ref="O339:Q339" si="217">IF(AF344&gt;0,(AF339/AF344),0)</f>
        <v>0</v>
      </c>
      <c r="P339" s="615">
        <f t="shared" si="217"/>
        <v>0</v>
      </c>
      <c r="Q339" s="613">
        <f t="shared" si="217"/>
        <v>0</v>
      </c>
      <c r="R339" s="799"/>
      <c r="S339" s="856"/>
      <c r="T339" s="856">
        <v>292</v>
      </c>
      <c r="U339" s="856">
        <v>121</v>
      </c>
      <c r="V339" s="856"/>
      <c r="W339" s="856"/>
      <c r="X339" s="856"/>
      <c r="Y339" s="857">
        <v>413</v>
      </c>
      <c r="Z339" s="857"/>
      <c r="AA339" s="856"/>
      <c r="AB339" s="856"/>
      <c r="AC339" s="856"/>
      <c r="AD339" s="856"/>
      <c r="AE339" s="857">
        <v>135</v>
      </c>
      <c r="AF339" s="857"/>
      <c r="AG339" s="856"/>
      <c r="AH339" s="857"/>
    </row>
    <row r="340" spans="1:34">
      <c r="A340" s="883"/>
      <c r="B340" s="239" t="s">
        <v>93</v>
      </c>
      <c r="C340" s="806">
        <f>IF(S344&gt;0,(S340/S344),0)</f>
        <v>0</v>
      </c>
      <c r="D340" s="806">
        <f t="shared" ref="D340:M340" si="218">IF(T344&gt;0,(T340/T344),0)</f>
        <v>0.25797101449275361</v>
      </c>
      <c r="E340" s="806">
        <f t="shared" si="218"/>
        <v>0.36085626911314983</v>
      </c>
      <c r="F340" s="806">
        <f t="shared" si="218"/>
        <v>0</v>
      </c>
      <c r="G340" s="806">
        <f t="shared" si="218"/>
        <v>0</v>
      </c>
      <c r="H340" s="806">
        <f t="shared" si="218"/>
        <v>0</v>
      </c>
      <c r="I340" s="624">
        <f t="shared" si="218"/>
        <v>0.2910521140609636</v>
      </c>
      <c r="J340" s="624">
        <f t="shared" si="218"/>
        <v>0</v>
      </c>
      <c r="K340" s="625">
        <f t="shared" si="218"/>
        <v>0</v>
      </c>
      <c r="L340" s="625">
        <f t="shared" si="218"/>
        <v>0</v>
      </c>
      <c r="M340" s="625">
        <f t="shared" si="218"/>
        <v>0</v>
      </c>
      <c r="N340" s="624">
        <f>IF(AE344&gt;0,(AE340/AE344),0)</f>
        <v>0.20489296636085627</v>
      </c>
      <c r="O340" s="624">
        <f t="shared" ref="O340:Q340" si="219">IF(AF344&gt;0,(AF340/AF344),0)</f>
        <v>0</v>
      </c>
      <c r="P340" s="626">
        <f t="shared" si="219"/>
        <v>0</v>
      </c>
      <c r="Q340" s="624">
        <f t="shared" si="219"/>
        <v>0</v>
      </c>
      <c r="R340" s="357"/>
      <c r="S340" s="858"/>
      <c r="T340" s="858">
        <v>178</v>
      </c>
      <c r="U340" s="858">
        <v>118</v>
      </c>
      <c r="V340" s="858"/>
      <c r="W340" s="858"/>
      <c r="X340" s="858"/>
      <c r="Y340" s="859">
        <v>296</v>
      </c>
      <c r="Z340" s="859"/>
      <c r="AA340" s="858"/>
      <c r="AB340" s="858"/>
      <c r="AC340" s="858"/>
      <c r="AD340" s="858"/>
      <c r="AE340" s="859">
        <v>67</v>
      </c>
      <c r="AF340" s="859"/>
      <c r="AG340" s="858"/>
      <c r="AH340" s="859"/>
    </row>
    <row r="341" spans="1:34">
      <c r="A341" s="883"/>
      <c r="B341" s="239" t="s">
        <v>55</v>
      </c>
      <c r="C341" s="806">
        <f>IF(S344&gt;0,(S341/S344),0)</f>
        <v>0</v>
      </c>
      <c r="D341" s="806">
        <f t="shared" ref="D341:M341" si="220">IF(T344&gt;0,(T341/T344),0)</f>
        <v>0.16231884057971013</v>
      </c>
      <c r="E341" s="806">
        <f t="shared" si="220"/>
        <v>0.26911314984709478</v>
      </c>
      <c r="F341" s="806">
        <f t="shared" si="220"/>
        <v>0</v>
      </c>
      <c r="G341" s="806">
        <f t="shared" si="220"/>
        <v>0</v>
      </c>
      <c r="H341" s="806">
        <f t="shared" si="220"/>
        <v>0</v>
      </c>
      <c r="I341" s="624">
        <f t="shared" si="220"/>
        <v>0.19665683382497542</v>
      </c>
      <c r="J341" s="624">
        <f t="shared" si="220"/>
        <v>0</v>
      </c>
      <c r="K341" s="625">
        <f t="shared" si="220"/>
        <v>0</v>
      </c>
      <c r="L341" s="625">
        <f t="shared" si="220"/>
        <v>0</v>
      </c>
      <c r="M341" s="625">
        <f t="shared" si="220"/>
        <v>0</v>
      </c>
      <c r="N341" s="624">
        <f>IF(AE344&gt;0,(AE341/AE344),0)</f>
        <v>0.37920489296636084</v>
      </c>
      <c r="O341" s="624">
        <f t="shared" ref="O341:Q341" si="221">IF(AF344&gt;0,(AF341/AF344),0)</f>
        <v>0</v>
      </c>
      <c r="P341" s="626">
        <f t="shared" si="221"/>
        <v>0</v>
      </c>
      <c r="Q341" s="624">
        <f t="shared" si="221"/>
        <v>0</v>
      </c>
      <c r="R341" s="357"/>
      <c r="S341" s="858"/>
      <c r="T341" s="858">
        <v>112</v>
      </c>
      <c r="U341" s="858">
        <v>88</v>
      </c>
      <c r="V341" s="858"/>
      <c r="W341" s="858"/>
      <c r="X341" s="858"/>
      <c r="Y341" s="859">
        <v>200</v>
      </c>
      <c r="Z341" s="859"/>
      <c r="AA341" s="858"/>
      <c r="AB341" s="858"/>
      <c r="AC341" s="858"/>
      <c r="AD341" s="858"/>
      <c r="AE341" s="859">
        <v>124</v>
      </c>
      <c r="AF341" s="859"/>
      <c r="AG341" s="858"/>
      <c r="AH341" s="859"/>
    </row>
    <row r="342" spans="1:34">
      <c r="A342" s="883"/>
      <c r="B342" s="239" t="s">
        <v>78</v>
      </c>
      <c r="C342" s="806">
        <f>IF(S344&gt;0,(S342/S344),0)</f>
        <v>0</v>
      </c>
      <c r="D342" s="806">
        <f t="shared" ref="D342:M342" si="222">IF(T344&gt;0,(T342/T344),0)</f>
        <v>1.1594202898550725E-2</v>
      </c>
      <c r="E342" s="806">
        <f t="shared" si="222"/>
        <v>0</v>
      </c>
      <c r="F342" s="806">
        <f t="shared" si="222"/>
        <v>0</v>
      </c>
      <c r="G342" s="806">
        <f t="shared" si="222"/>
        <v>0</v>
      </c>
      <c r="H342" s="806">
        <f t="shared" si="222"/>
        <v>0</v>
      </c>
      <c r="I342" s="624">
        <f t="shared" si="222"/>
        <v>7.8662733529990172E-3</v>
      </c>
      <c r="J342" s="624">
        <f t="shared" si="222"/>
        <v>0</v>
      </c>
      <c r="K342" s="625">
        <f t="shared" si="222"/>
        <v>0</v>
      </c>
      <c r="L342" s="625">
        <f t="shared" si="222"/>
        <v>0</v>
      </c>
      <c r="M342" s="625">
        <f t="shared" si="222"/>
        <v>0</v>
      </c>
      <c r="N342" s="624">
        <f>IF(AE344&gt;0,(AE342/AE344),0)</f>
        <v>3.0581039755351682E-3</v>
      </c>
      <c r="O342" s="624">
        <f t="shared" ref="O342:Q342" si="223">IF(AF344&gt;0,(AF342/AF344),0)</f>
        <v>0</v>
      </c>
      <c r="P342" s="626">
        <f t="shared" si="223"/>
        <v>0</v>
      </c>
      <c r="Q342" s="624">
        <f t="shared" si="223"/>
        <v>0</v>
      </c>
      <c r="R342" s="357"/>
      <c r="S342" s="858"/>
      <c r="T342" s="858">
        <v>8</v>
      </c>
      <c r="U342" s="858"/>
      <c r="V342" s="858"/>
      <c r="W342" s="858"/>
      <c r="X342" s="858"/>
      <c r="Y342" s="859">
        <v>8</v>
      </c>
      <c r="Z342" s="859"/>
      <c r="AA342" s="858"/>
      <c r="AB342" s="858"/>
      <c r="AC342" s="858"/>
      <c r="AD342" s="858"/>
      <c r="AE342" s="859">
        <v>1</v>
      </c>
      <c r="AF342" s="859"/>
      <c r="AG342" s="858"/>
      <c r="AH342" s="859"/>
    </row>
    <row r="343" spans="1:34">
      <c r="A343" s="884"/>
      <c r="B343" s="580" t="s">
        <v>131</v>
      </c>
      <c r="C343" s="806">
        <f>IF(S344&gt;0,(S343/S344),0)</f>
        <v>0</v>
      </c>
      <c r="D343" s="806">
        <f t="shared" ref="D343:M343" si="224">IF(T344&gt;0,(T343/T344),0)</f>
        <v>0.14492753623188406</v>
      </c>
      <c r="E343" s="806">
        <f t="shared" si="224"/>
        <v>0</v>
      </c>
      <c r="F343" s="806">
        <f t="shared" si="224"/>
        <v>0</v>
      </c>
      <c r="G343" s="806">
        <f t="shared" si="224"/>
        <v>0</v>
      </c>
      <c r="H343" s="806">
        <f t="shared" si="224"/>
        <v>0</v>
      </c>
      <c r="I343" s="624">
        <f t="shared" si="224"/>
        <v>9.8328416912487712E-2</v>
      </c>
      <c r="J343" s="624">
        <f t="shared" si="224"/>
        <v>0</v>
      </c>
      <c r="K343" s="625">
        <f t="shared" si="224"/>
        <v>0</v>
      </c>
      <c r="L343" s="625">
        <f t="shared" si="224"/>
        <v>0</v>
      </c>
      <c r="M343" s="625">
        <f t="shared" si="224"/>
        <v>0</v>
      </c>
      <c r="N343" s="624">
        <f>IF(AE344&gt;0,(AE343/AE344),0)</f>
        <v>0</v>
      </c>
      <c r="O343" s="624">
        <f t="shared" ref="O343:Q343" si="225">IF(AF344&gt;0,(AF343/AF344),0)</f>
        <v>0</v>
      </c>
      <c r="P343" s="626">
        <f t="shared" si="225"/>
        <v>0</v>
      </c>
      <c r="Q343" s="624">
        <f t="shared" si="225"/>
        <v>0</v>
      </c>
      <c r="R343" s="357"/>
      <c r="S343" s="858"/>
      <c r="T343" s="858">
        <v>100</v>
      </c>
      <c r="U343" s="858"/>
      <c r="V343" s="858"/>
      <c r="W343" s="858"/>
      <c r="X343" s="858"/>
      <c r="Y343" s="859">
        <v>100</v>
      </c>
      <c r="Z343" s="859"/>
      <c r="AA343" s="858"/>
      <c r="AB343" s="858"/>
      <c r="AC343" s="858"/>
      <c r="AD343" s="858"/>
      <c r="AE343" s="859"/>
      <c r="AF343" s="859"/>
      <c r="AG343" s="858"/>
      <c r="AH343" s="859"/>
    </row>
    <row r="344" spans="1:34">
      <c r="A344" s="885"/>
      <c r="B344" s="436" t="s">
        <v>59</v>
      </c>
      <c r="C344" s="807">
        <f>IF(S344&gt;0,(S344/S344),0)</f>
        <v>0</v>
      </c>
      <c r="D344" s="808">
        <f t="shared" ref="D344:M344" si="226">IF(T344&gt;0,(T344/T344),0)</f>
        <v>1</v>
      </c>
      <c r="E344" s="808">
        <f t="shared" si="226"/>
        <v>1</v>
      </c>
      <c r="F344" s="808">
        <f t="shared" si="226"/>
        <v>0</v>
      </c>
      <c r="G344" s="808">
        <f t="shared" si="226"/>
        <v>0</v>
      </c>
      <c r="H344" s="809">
        <f t="shared" si="226"/>
        <v>0</v>
      </c>
      <c r="I344" s="577">
        <f t="shared" si="226"/>
        <v>1</v>
      </c>
      <c r="J344" s="577">
        <f t="shared" si="226"/>
        <v>0</v>
      </c>
      <c r="K344" s="578">
        <f t="shared" si="226"/>
        <v>0</v>
      </c>
      <c r="L344" s="578">
        <f t="shared" si="226"/>
        <v>0</v>
      </c>
      <c r="M344" s="578">
        <f t="shared" si="226"/>
        <v>0</v>
      </c>
      <c r="N344" s="577">
        <f>IF(AE344&gt;0,(AE344/AE344),0)</f>
        <v>1</v>
      </c>
      <c r="O344" s="577">
        <f t="shared" ref="O344:Q344" si="227">IF(AF344&gt;0,(AF344/AF344),0)</f>
        <v>0</v>
      </c>
      <c r="P344" s="579">
        <f t="shared" si="227"/>
        <v>0</v>
      </c>
      <c r="Q344" s="577">
        <f t="shared" si="227"/>
        <v>0</v>
      </c>
      <c r="R344" s="357"/>
      <c r="S344" s="858"/>
      <c r="T344" s="858">
        <v>690</v>
      </c>
      <c r="U344" s="858">
        <v>327</v>
      </c>
      <c r="V344" s="858"/>
      <c r="W344" s="858"/>
      <c r="X344" s="858"/>
      <c r="Y344" s="859">
        <v>1017</v>
      </c>
      <c r="Z344" s="859"/>
      <c r="AA344" s="858"/>
      <c r="AB344" s="858"/>
      <c r="AC344" s="858"/>
      <c r="AD344" s="858"/>
      <c r="AE344" s="859">
        <v>327</v>
      </c>
      <c r="AF344" s="859"/>
      <c r="AG344" s="858"/>
      <c r="AH344" s="859"/>
    </row>
    <row r="345" spans="1:34">
      <c r="A345" s="882" t="s">
        <v>166</v>
      </c>
      <c r="B345" s="240" t="s">
        <v>53</v>
      </c>
      <c r="C345" s="806">
        <f>IF(S350&gt;0,(S345/S350),0)</f>
        <v>0</v>
      </c>
      <c r="D345" s="806">
        <f t="shared" ref="D345:M345" si="228">IF(T350&gt;0,(T345/T350),0)</f>
        <v>0.27574750830564781</v>
      </c>
      <c r="E345" s="806">
        <f t="shared" si="228"/>
        <v>0</v>
      </c>
      <c r="F345" s="806">
        <f t="shared" si="228"/>
        <v>0</v>
      </c>
      <c r="G345" s="806">
        <f t="shared" si="228"/>
        <v>0.49295774647887325</v>
      </c>
      <c r="H345" s="806">
        <f t="shared" si="228"/>
        <v>0.37037037037037035</v>
      </c>
      <c r="I345" s="613">
        <f t="shared" si="228"/>
        <v>0.32080200501253131</v>
      </c>
      <c r="J345" s="613">
        <f t="shared" si="228"/>
        <v>0</v>
      </c>
      <c r="K345" s="614">
        <f t="shared" si="228"/>
        <v>0</v>
      </c>
      <c r="L345" s="614">
        <f t="shared" si="228"/>
        <v>0</v>
      </c>
      <c r="M345" s="614">
        <f t="shared" si="228"/>
        <v>0</v>
      </c>
      <c r="N345" s="613">
        <f>IF(AE350&gt;0,(AE345/AE350),0)</f>
        <v>0.36470588235294116</v>
      </c>
      <c r="O345" s="613">
        <f t="shared" ref="O345:Q345" si="229">IF(AF350&gt;0,(AF345/AF350),0)</f>
        <v>0</v>
      </c>
      <c r="P345" s="615">
        <f t="shared" si="229"/>
        <v>0</v>
      </c>
      <c r="Q345" s="613">
        <f t="shared" si="229"/>
        <v>0</v>
      </c>
      <c r="R345" s="799"/>
      <c r="S345" s="856"/>
      <c r="T345" s="856">
        <v>166</v>
      </c>
      <c r="U345" s="856"/>
      <c r="V345" s="856"/>
      <c r="W345" s="856">
        <v>70</v>
      </c>
      <c r="X345" s="856">
        <v>20</v>
      </c>
      <c r="Y345" s="857">
        <v>256</v>
      </c>
      <c r="Z345" s="857"/>
      <c r="AA345" s="856"/>
      <c r="AB345" s="856"/>
      <c r="AC345" s="856"/>
      <c r="AD345" s="856"/>
      <c r="AE345" s="857">
        <v>31</v>
      </c>
      <c r="AF345" s="857"/>
      <c r="AG345" s="856"/>
      <c r="AH345" s="857"/>
    </row>
    <row r="346" spans="1:34">
      <c r="A346" s="883"/>
      <c r="B346" s="239" t="s">
        <v>93</v>
      </c>
      <c r="C346" s="806">
        <f>IF(S350&gt;0,(S346/S350),0)</f>
        <v>0</v>
      </c>
      <c r="D346" s="806">
        <f t="shared" ref="D346:M346" si="230">IF(T350&gt;0,(T346/T350),0)</f>
        <v>0.34883720930232559</v>
      </c>
      <c r="E346" s="806">
        <f t="shared" si="230"/>
        <v>0</v>
      </c>
      <c r="F346" s="806">
        <f t="shared" si="230"/>
        <v>0</v>
      </c>
      <c r="G346" s="806">
        <f t="shared" si="230"/>
        <v>0.176056338028169</v>
      </c>
      <c r="H346" s="806">
        <f t="shared" si="230"/>
        <v>0.29629629629629628</v>
      </c>
      <c r="I346" s="624">
        <f t="shared" si="230"/>
        <v>0.31453634085213034</v>
      </c>
      <c r="J346" s="624">
        <f t="shared" si="230"/>
        <v>0</v>
      </c>
      <c r="K346" s="625">
        <f t="shared" si="230"/>
        <v>0</v>
      </c>
      <c r="L346" s="625">
        <f t="shared" si="230"/>
        <v>0</v>
      </c>
      <c r="M346" s="625">
        <f t="shared" si="230"/>
        <v>0</v>
      </c>
      <c r="N346" s="624">
        <f>IF(AE350&gt;0,(AE346/AE350),0)</f>
        <v>0.23529411764705882</v>
      </c>
      <c r="O346" s="624">
        <f t="shared" ref="O346:Q346" si="231">IF(AF350&gt;0,(AF346/AF350),0)</f>
        <v>0</v>
      </c>
      <c r="P346" s="626">
        <f t="shared" si="231"/>
        <v>0</v>
      </c>
      <c r="Q346" s="624">
        <f t="shared" si="231"/>
        <v>0</v>
      </c>
      <c r="R346" s="357"/>
      <c r="S346" s="858"/>
      <c r="T346" s="858">
        <v>210</v>
      </c>
      <c r="U346" s="858"/>
      <c r="V346" s="858"/>
      <c r="W346" s="858">
        <v>25</v>
      </c>
      <c r="X346" s="858">
        <v>16</v>
      </c>
      <c r="Y346" s="859">
        <v>251</v>
      </c>
      <c r="Z346" s="859"/>
      <c r="AA346" s="858"/>
      <c r="AB346" s="858"/>
      <c r="AC346" s="858"/>
      <c r="AD346" s="858"/>
      <c r="AE346" s="859">
        <v>20</v>
      </c>
      <c r="AF346" s="859"/>
      <c r="AG346" s="858"/>
      <c r="AH346" s="859"/>
    </row>
    <row r="347" spans="1:34">
      <c r="A347" s="883"/>
      <c r="B347" s="239" t="s">
        <v>55</v>
      </c>
      <c r="C347" s="806">
        <f>IF(S350&gt;0,(S347/S350),0)</f>
        <v>0</v>
      </c>
      <c r="D347" s="806">
        <f t="shared" ref="D347:M347" si="232">IF(T350&gt;0,(T347/T350),0)</f>
        <v>0.16611295681063123</v>
      </c>
      <c r="E347" s="806">
        <f t="shared" si="232"/>
        <v>0</v>
      </c>
      <c r="F347" s="806">
        <f t="shared" si="232"/>
        <v>0</v>
      </c>
      <c r="G347" s="806">
        <f t="shared" si="232"/>
        <v>0.33098591549295775</v>
      </c>
      <c r="H347" s="806">
        <f t="shared" si="232"/>
        <v>0.31481481481481483</v>
      </c>
      <c r="I347" s="624">
        <f t="shared" si="232"/>
        <v>0.20551378446115287</v>
      </c>
      <c r="J347" s="624">
        <f t="shared" si="232"/>
        <v>0</v>
      </c>
      <c r="K347" s="625">
        <f t="shared" si="232"/>
        <v>0</v>
      </c>
      <c r="L347" s="625">
        <f t="shared" si="232"/>
        <v>0</v>
      </c>
      <c r="M347" s="625">
        <f t="shared" si="232"/>
        <v>0</v>
      </c>
      <c r="N347" s="624">
        <f>IF(AE350&gt;0,(AE347/AE350),0)</f>
        <v>0.38823529411764707</v>
      </c>
      <c r="O347" s="624">
        <f t="shared" ref="O347:Q347" si="233">IF(AF350&gt;0,(AF347/AF350),0)</f>
        <v>0</v>
      </c>
      <c r="P347" s="626">
        <f t="shared" si="233"/>
        <v>0</v>
      </c>
      <c r="Q347" s="624">
        <f t="shared" si="233"/>
        <v>0</v>
      </c>
      <c r="R347" s="357"/>
      <c r="S347" s="858"/>
      <c r="T347" s="858">
        <v>100</v>
      </c>
      <c r="U347" s="858"/>
      <c r="V347" s="858"/>
      <c r="W347" s="858">
        <v>47</v>
      </c>
      <c r="X347" s="858">
        <v>17</v>
      </c>
      <c r="Y347" s="859">
        <v>164</v>
      </c>
      <c r="Z347" s="859"/>
      <c r="AA347" s="858"/>
      <c r="AB347" s="858"/>
      <c r="AC347" s="858"/>
      <c r="AD347" s="858"/>
      <c r="AE347" s="859">
        <v>33</v>
      </c>
      <c r="AF347" s="859"/>
      <c r="AG347" s="858"/>
      <c r="AH347" s="859"/>
    </row>
    <row r="348" spans="1:34">
      <c r="A348" s="883"/>
      <c r="B348" s="239" t="s">
        <v>78</v>
      </c>
      <c r="C348" s="806">
        <f>IF(S350&gt;0,(S348/S350),0)</f>
        <v>0</v>
      </c>
      <c r="D348" s="806">
        <f t="shared" ref="D348:M348" si="234">IF(T350&gt;0,(T348/T350),0)</f>
        <v>1.3289036544850499E-2</v>
      </c>
      <c r="E348" s="806">
        <f t="shared" si="234"/>
        <v>0</v>
      </c>
      <c r="F348" s="806">
        <f t="shared" si="234"/>
        <v>0</v>
      </c>
      <c r="G348" s="806">
        <f t="shared" si="234"/>
        <v>0</v>
      </c>
      <c r="H348" s="806">
        <f t="shared" si="234"/>
        <v>1.8518518518518517E-2</v>
      </c>
      <c r="I348" s="624">
        <f t="shared" si="234"/>
        <v>1.1278195488721804E-2</v>
      </c>
      <c r="J348" s="624">
        <f t="shared" si="234"/>
        <v>0</v>
      </c>
      <c r="K348" s="625">
        <f t="shared" si="234"/>
        <v>0</v>
      </c>
      <c r="L348" s="625">
        <f t="shared" si="234"/>
        <v>0</v>
      </c>
      <c r="M348" s="625">
        <f t="shared" si="234"/>
        <v>0</v>
      </c>
      <c r="N348" s="624">
        <f>IF(AE350&gt;0,(AE348/AE350),0)</f>
        <v>1.1764705882352941E-2</v>
      </c>
      <c r="O348" s="624">
        <f t="shared" ref="O348:Q348" si="235">IF(AF350&gt;0,(AF348/AF350),0)</f>
        <v>0</v>
      </c>
      <c r="P348" s="626">
        <f t="shared" si="235"/>
        <v>0</v>
      </c>
      <c r="Q348" s="624">
        <f t="shared" si="235"/>
        <v>0</v>
      </c>
      <c r="R348" s="357"/>
      <c r="S348" s="858"/>
      <c r="T348" s="858">
        <v>8</v>
      </c>
      <c r="U348" s="858"/>
      <c r="V348" s="858"/>
      <c r="W348" s="858"/>
      <c r="X348" s="858">
        <v>1</v>
      </c>
      <c r="Y348" s="859">
        <v>9</v>
      </c>
      <c r="Z348" s="859"/>
      <c r="AA348" s="858"/>
      <c r="AB348" s="858"/>
      <c r="AC348" s="858"/>
      <c r="AD348" s="858"/>
      <c r="AE348" s="859">
        <v>1</v>
      </c>
      <c r="AF348" s="859"/>
      <c r="AG348" s="858"/>
      <c r="AH348" s="859"/>
    </row>
    <row r="349" spans="1:34">
      <c r="A349" s="884"/>
      <c r="B349" s="580" t="s">
        <v>131</v>
      </c>
      <c r="C349" s="806">
        <f>IF(S350&gt;0,(S349/S350),0)</f>
        <v>0</v>
      </c>
      <c r="D349" s="806">
        <f t="shared" ref="D349:M349" si="236">IF(T350&gt;0,(T349/T350),0)</f>
        <v>0.19601328903654486</v>
      </c>
      <c r="E349" s="806">
        <f t="shared" si="236"/>
        <v>0</v>
      </c>
      <c r="F349" s="806">
        <f t="shared" si="236"/>
        <v>0</v>
      </c>
      <c r="G349" s="806">
        <f t="shared" si="236"/>
        <v>0</v>
      </c>
      <c r="H349" s="806">
        <f t="shared" si="236"/>
        <v>0</v>
      </c>
      <c r="I349" s="624">
        <f t="shared" si="236"/>
        <v>0.14786967418546365</v>
      </c>
      <c r="J349" s="624">
        <f t="shared" si="236"/>
        <v>0</v>
      </c>
      <c r="K349" s="625">
        <f t="shared" si="236"/>
        <v>0</v>
      </c>
      <c r="L349" s="625">
        <f t="shared" si="236"/>
        <v>0</v>
      </c>
      <c r="M349" s="625">
        <f t="shared" si="236"/>
        <v>0</v>
      </c>
      <c r="N349" s="624">
        <f>IF(AE350&gt;0,(AE349/AE350),0)</f>
        <v>0</v>
      </c>
      <c r="O349" s="624">
        <f t="shared" ref="O349:Q349" si="237">IF(AF350&gt;0,(AF349/AF350),0)</f>
        <v>0</v>
      </c>
      <c r="P349" s="626">
        <f t="shared" si="237"/>
        <v>0</v>
      </c>
      <c r="Q349" s="624">
        <f t="shared" si="237"/>
        <v>0</v>
      </c>
      <c r="R349" s="357"/>
      <c r="S349" s="858"/>
      <c r="T349" s="858">
        <v>118</v>
      </c>
      <c r="U349" s="858"/>
      <c r="V349" s="858"/>
      <c r="W349" s="858"/>
      <c r="X349" s="858"/>
      <c r="Y349" s="859">
        <v>118</v>
      </c>
      <c r="Z349" s="859"/>
      <c r="AA349" s="858"/>
      <c r="AB349" s="858"/>
      <c r="AC349" s="858"/>
      <c r="AD349" s="858"/>
      <c r="AE349" s="859"/>
      <c r="AF349" s="859"/>
      <c r="AG349" s="858"/>
      <c r="AH349" s="859"/>
    </row>
    <row r="350" spans="1:34">
      <c r="A350" s="885"/>
      <c r="B350" s="436" t="s">
        <v>59</v>
      </c>
      <c r="C350" s="807">
        <f>IF(S350&gt;0,(S350/S350),0)</f>
        <v>0</v>
      </c>
      <c r="D350" s="808">
        <f t="shared" ref="D350:M350" si="238">IF(T350&gt;0,(T350/T350),0)</f>
        <v>1</v>
      </c>
      <c r="E350" s="808">
        <f t="shared" si="238"/>
        <v>0</v>
      </c>
      <c r="F350" s="808">
        <f t="shared" si="238"/>
        <v>0</v>
      </c>
      <c r="G350" s="808">
        <f t="shared" si="238"/>
        <v>1</v>
      </c>
      <c r="H350" s="809">
        <f t="shared" si="238"/>
        <v>1</v>
      </c>
      <c r="I350" s="577">
        <f t="shared" si="238"/>
        <v>1</v>
      </c>
      <c r="J350" s="577">
        <f t="shared" si="238"/>
        <v>0</v>
      </c>
      <c r="K350" s="578">
        <f t="shared" si="238"/>
        <v>0</v>
      </c>
      <c r="L350" s="578">
        <f t="shared" si="238"/>
        <v>0</v>
      </c>
      <c r="M350" s="578">
        <f t="shared" si="238"/>
        <v>0</v>
      </c>
      <c r="N350" s="577">
        <f>IF(AE350&gt;0,(AE350/AE350),0)</f>
        <v>1</v>
      </c>
      <c r="O350" s="577">
        <f t="shared" ref="O350:Q350" si="239">IF(AF350&gt;0,(AF350/AF350),0)</f>
        <v>0</v>
      </c>
      <c r="P350" s="579">
        <f t="shared" si="239"/>
        <v>0</v>
      </c>
      <c r="Q350" s="577">
        <f t="shared" si="239"/>
        <v>0</v>
      </c>
      <c r="R350" s="357"/>
      <c r="S350" s="858"/>
      <c r="T350" s="858">
        <v>602</v>
      </c>
      <c r="U350" s="858"/>
      <c r="V350" s="858"/>
      <c r="W350" s="858">
        <v>142</v>
      </c>
      <c r="X350" s="858">
        <v>54</v>
      </c>
      <c r="Y350" s="859">
        <v>798</v>
      </c>
      <c r="Z350" s="859"/>
      <c r="AA350" s="858"/>
      <c r="AB350" s="858"/>
      <c r="AC350" s="858"/>
      <c r="AD350" s="858"/>
      <c r="AE350" s="859">
        <v>85</v>
      </c>
      <c r="AF350" s="859"/>
      <c r="AG350" s="858"/>
      <c r="AH350" s="859"/>
    </row>
    <row r="351" spans="1:34">
      <c r="A351" s="882" t="s">
        <v>170</v>
      </c>
      <c r="B351" s="240" t="s">
        <v>53</v>
      </c>
      <c r="C351" s="806">
        <f>IF(S356&gt;0,(S351/S356),0)</f>
        <v>0</v>
      </c>
      <c r="D351" s="806">
        <f t="shared" ref="D351:M351" si="240">IF(T356&gt;0,(T351/T356),0)</f>
        <v>0</v>
      </c>
      <c r="E351" s="806">
        <f t="shared" si="240"/>
        <v>0</v>
      </c>
      <c r="F351" s="806">
        <f t="shared" si="240"/>
        <v>0.28352490421455939</v>
      </c>
      <c r="G351" s="806">
        <f t="shared" si="240"/>
        <v>0</v>
      </c>
      <c r="H351" s="806">
        <f t="shared" si="240"/>
        <v>0</v>
      </c>
      <c r="I351" s="613">
        <f t="shared" si="240"/>
        <v>0.28352490421455939</v>
      </c>
      <c r="J351" s="613">
        <f t="shared" si="240"/>
        <v>0</v>
      </c>
      <c r="K351" s="614">
        <f t="shared" si="240"/>
        <v>0</v>
      </c>
      <c r="L351" s="614">
        <f t="shared" si="240"/>
        <v>0</v>
      </c>
      <c r="M351" s="614">
        <f t="shared" si="240"/>
        <v>0</v>
      </c>
      <c r="N351" s="613">
        <f>IF(AE356&gt;0,(AE351/AE356),0)</f>
        <v>0</v>
      </c>
      <c r="O351" s="613">
        <f t="shared" ref="O351:Q351" si="241">IF(AF356&gt;0,(AF351/AF356),0)</f>
        <v>0</v>
      </c>
      <c r="P351" s="615">
        <f t="shared" si="241"/>
        <v>0</v>
      </c>
      <c r="Q351" s="613">
        <f t="shared" si="241"/>
        <v>0</v>
      </c>
      <c r="R351" s="799"/>
      <c r="S351" s="856"/>
      <c r="T351" s="856"/>
      <c r="U351" s="856"/>
      <c r="V351" s="856">
        <v>74</v>
      </c>
      <c r="W351" s="856"/>
      <c r="X351" s="856"/>
      <c r="Y351" s="857">
        <v>74</v>
      </c>
      <c r="Z351" s="857"/>
      <c r="AA351" s="856"/>
      <c r="AB351" s="856"/>
      <c r="AC351" s="856"/>
      <c r="AD351" s="856"/>
      <c r="AE351" s="857"/>
      <c r="AF351" s="857"/>
      <c r="AG351" s="856"/>
      <c r="AH351" s="857"/>
    </row>
    <row r="352" spans="1:34">
      <c r="A352" s="883"/>
      <c r="B352" s="239" t="s">
        <v>93</v>
      </c>
      <c r="C352" s="806">
        <f>IF(S356&gt;0,(S352/S356),0)</f>
        <v>0</v>
      </c>
      <c r="D352" s="806">
        <f t="shared" ref="D352:M352" si="242">IF(T356&gt;0,(T352/T356),0)</f>
        <v>0</v>
      </c>
      <c r="E352" s="806">
        <f t="shared" si="242"/>
        <v>0</v>
      </c>
      <c r="F352" s="806">
        <f t="shared" si="242"/>
        <v>0.2988505747126437</v>
      </c>
      <c r="G352" s="806">
        <f t="shared" si="242"/>
        <v>0</v>
      </c>
      <c r="H352" s="806">
        <f t="shared" si="242"/>
        <v>0</v>
      </c>
      <c r="I352" s="624">
        <f t="shared" si="242"/>
        <v>0.2988505747126437</v>
      </c>
      <c r="J352" s="624">
        <f t="shared" si="242"/>
        <v>0</v>
      </c>
      <c r="K352" s="625">
        <f t="shared" si="242"/>
        <v>0</v>
      </c>
      <c r="L352" s="625">
        <f t="shared" si="242"/>
        <v>0</v>
      </c>
      <c r="M352" s="625">
        <f t="shared" si="242"/>
        <v>0</v>
      </c>
      <c r="N352" s="624">
        <f>IF(AE356&gt;0,(AE352/AE356),0)</f>
        <v>0</v>
      </c>
      <c r="O352" s="624">
        <f t="shared" ref="O352:Q352" si="243">IF(AF356&gt;0,(AF352/AF356),0)</f>
        <v>0</v>
      </c>
      <c r="P352" s="626">
        <f t="shared" si="243"/>
        <v>0</v>
      </c>
      <c r="Q352" s="624">
        <f t="shared" si="243"/>
        <v>0</v>
      </c>
      <c r="R352" s="357"/>
      <c r="S352" s="858"/>
      <c r="T352" s="858"/>
      <c r="U352" s="858"/>
      <c r="V352" s="858">
        <v>78</v>
      </c>
      <c r="W352" s="858"/>
      <c r="X352" s="858"/>
      <c r="Y352" s="859">
        <v>78</v>
      </c>
      <c r="Z352" s="859"/>
      <c r="AA352" s="858"/>
      <c r="AB352" s="858"/>
      <c r="AC352" s="858"/>
      <c r="AD352" s="858"/>
      <c r="AE352" s="859"/>
      <c r="AF352" s="859"/>
      <c r="AG352" s="858"/>
      <c r="AH352" s="859"/>
    </row>
    <row r="353" spans="1:34">
      <c r="A353" s="883"/>
      <c r="B353" s="239" t="s">
        <v>55</v>
      </c>
      <c r="C353" s="806">
        <f>IF(S356&gt;0,(S353/S356),0)</f>
        <v>0</v>
      </c>
      <c r="D353" s="806">
        <f t="shared" ref="D353:M353" si="244">IF(T356&gt;0,(T353/T356),0)</f>
        <v>0</v>
      </c>
      <c r="E353" s="806">
        <f t="shared" si="244"/>
        <v>0</v>
      </c>
      <c r="F353" s="806">
        <f t="shared" si="244"/>
        <v>0.3065134099616858</v>
      </c>
      <c r="G353" s="806">
        <f t="shared" si="244"/>
        <v>0</v>
      </c>
      <c r="H353" s="806">
        <f t="shared" si="244"/>
        <v>0</v>
      </c>
      <c r="I353" s="624">
        <f t="shared" si="244"/>
        <v>0.3065134099616858</v>
      </c>
      <c r="J353" s="624">
        <f t="shared" si="244"/>
        <v>0</v>
      </c>
      <c r="K353" s="625">
        <f t="shared" si="244"/>
        <v>0</v>
      </c>
      <c r="L353" s="625">
        <f t="shared" si="244"/>
        <v>0</v>
      </c>
      <c r="M353" s="625">
        <f t="shared" si="244"/>
        <v>0</v>
      </c>
      <c r="N353" s="624">
        <f>IF(AE356&gt;0,(AE353/AE356),0)</f>
        <v>0</v>
      </c>
      <c r="O353" s="624">
        <f t="shared" ref="O353:Q353" si="245">IF(AF356&gt;0,(AF353/AF356),0)</f>
        <v>0</v>
      </c>
      <c r="P353" s="626">
        <f t="shared" si="245"/>
        <v>0</v>
      </c>
      <c r="Q353" s="624">
        <f t="shared" si="245"/>
        <v>0</v>
      </c>
      <c r="R353" s="357"/>
      <c r="S353" s="858"/>
      <c r="T353" s="858"/>
      <c r="U353" s="858"/>
      <c r="V353" s="858">
        <v>80</v>
      </c>
      <c r="W353" s="858"/>
      <c r="X353" s="858"/>
      <c r="Y353" s="859">
        <v>80</v>
      </c>
      <c r="Z353" s="859"/>
      <c r="AA353" s="858"/>
      <c r="AB353" s="858"/>
      <c r="AC353" s="858"/>
      <c r="AD353" s="858"/>
      <c r="AE353" s="859"/>
      <c r="AF353" s="859"/>
      <c r="AG353" s="858"/>
      <c r="AH353" s="859"/>
    </row>
    <row r="354" spans="1:34">
      <c r="A354" s="883"/>
      <c r="B354" s="239" t="s">
        <v>78</v>
      </c>
      <c r="C354" s="806">
        <f>IF(S356&gt;0,(S354/S356),0)</f>
        <v>0</v>
      </c>
      <c r="D354" s="806">
        <f t="shared" ref="D354:M354" si="246">IF(T356&gt;0,(T354/T356),0)</f>
        <v>0</v>
      </c>
      <c r="E354" s="806">
        <f t="shared" si="246"/>
        <v>0</v>
      </c>
      <c r="F354" s="806">
        <f t="shared" si="246"/>
        <v>6.5134099616858232E-2</v>
      </c>
      <c r="G354" s="806">
        <f t="shared" si="246"/>
        <v>0</v>
      </c>
      <c r="H354" s="806">
        <f t="shared" si="246"/>
        <v>0</v>
      </c>
      <c r="I354" s="624">
        <f t="shared" si="246"/>
        <v>6.5134099616858232E-2</v>
      </c>
      <c r="J354" s="624">
        <f t="shared" si="246"/>
        <v>0</v>
      </c>
      <c r="K354" s="625">
        <f t="shared" si="246"/>
        <v>0</v>
      </c>
      <c r="L354" s="625">
        <f t="shared" si="246"/>
        <v>0</v>
      </c>
      <c r="M354" s="625">
        <f t="shared" si="246"/>
        <v>0</v>
      </c>
      <c r="N354" s="624">
        <f>IF(AE356&gt;0,(AE354/AE356),0)</f>
        <v>0</v>
      </c>
      <c r="O354" s="624">
        <f t="shared" ref="O354:Q354" si="247">IF(AF356&gt;0,(AF354/AF356),0)</f>
        <v>0</v>
      </c>
      <c r="P354" s="626">
        <f t="shared" si="247"/>
        <v>0</v>
      </c>
      <c r="Q354" s="624">
        <f t="shared" si="247"/>
        <v>0</v>
      </c>
      <c r="R354" s="357"/>
      <c r="S354" s="858"/>
      <c r="T354" s="858"/>
      <c r="U354" s="858"/>
      <c r="V354" s="858">
        <v>17</v>
      </c>
      <c r="W354" s="858"/>
      <c r="X354" s="858"/>
      <c r="Y354" s="859">
        <v>17</v>
      </c>
      <c r="Z354" s="859"/>
      <c r="AA354" s="858"/>
      <c r="AB354" s="858"/>
      <c r="AC354" s="858"/>
      <c r="AD354" s="858"/>
      <c r="AE354" s="859"/>
      <c r="AF354" s="859"/>
      <c r="AG354" s="858"/>
      <c r="AH354" s="859"/>
    </row>
    <row r="355" spans="1:34">
      <c r="A355" s="884"/>
      <c r="B355" s="580" t="s">
        <v>131</v>
      </c>
      <c r="C355" s="806">
        <f>IF(S356&gt;0,(S355/S356),0)</f>
        <v>0</v>
      </c>
      <c r="D355" s="806">
        <f t="shared" ref="D355:M355" si="248">IF(T356&gt;0,(T355/T356),0)</f>
        <v>0</v>
      </c>
      <c r="E355" s="806">
        <f t="shared" si="248"/>
        <v>0</v>
      </c>
      <c r="F355" s="806">
        <f t="shared" si="248"/>
        <v>4.5977011494252873E-2</v>
      </c>
      <c r="G355" s="806">
        <f t="shared" si="248"/>
        <v>0</v>
      </c>
      <c r="H355" s="806">
        <f t="shared" si="248"/>
        <v>0</v>
      </c>
      <c r="I355" s="624">
        <f t="shared" si="248"/>
        <v>4.5977011494252873E-2</v>
      </c>
      <c r="J355" s="624">
        <f t="shared" si="248"/>
        <v>0</v>
      </c>
      <c r="K355" s="625">
        <f t="shared" si="248"/>
        <v>0</v>
      </c>
      <c r="L355" s="625">
        <f t="shared" si="248"/>
        <v>0</v>
      </c>
      <c r="M355" s="625">
        <f t="shared" si="248"/>
        <v>0</v>
      </c>
      <c r="N355" s="624">
        <f>IF(AE356&gt;0,(AE355/AE356),0)</f>
        <v>0</v>
      </c>
      <c r="O355" s="624">
        <f t="shared" ref="O355:Q355" si="249">IF(AF356&gt;0,(AF355/AF356),0)</f>
        <v>0</v>
      </c>
      <c r="P355" s="626">
        <f t="shared" si="249"/>
        <v>0</v>
      </c>
      <c r="Q355" s="624">
        <f t="shared" si="249"/>
        <v>0</v>
      </c>
      <c r="R355" s="357"/>
      <c r="S355" s="858"/>
      <c r="T355" s="858"/>
      <c r="U355" s="858"/>
      <c r="V355" s="858">
        <v>12</v>
      </c>
      <c r="W355" s="858"/>
      <c r="X355" s="858"/>
      <c r="Y355" s="859">
        <v>12</v>
      </c>
      <c r="Z355" s="859"/>
      <c r="AA355" s="858"/>
      <c r="AB355" s="858"/>
      <c r="AC355" s="858"/>
      <c r="AD355" s="858"/>
      <c r="AE355" s="859"/>
      <c r="AF355" s="859"/>
      <c r="AG355" s="858"/>
      <c r="AH355" s="859"/>
    </row>
    <row r="356" spans="1:34">
      <c r="A356" s="885"/>
      <c r="B356" s="436" t="s">
        <v>59</v>
      </c>
      <c r="C356" s="806">
        <f>IF(S356&gt;0,(S356/S356),0)</f>
        <v>0</v>
      </c>
      <c r="D356" s="806">
        <f t="shared" ref="D356:M356" si="250">IF(T356&gt;0,(T356/T356),0)</f>
        <v>0</v>
      </c>
      <c r="E356" s="806">
        <f t="shared" si="250"/>
        <v>0</v>
      </c>
      <c r="F356" s="806">
        <f t="shared" si="250"/>
        <v>1</v>
      </c>
      <c r="G356" s="806">
        <f t="shared" si="250"/>
        <v>0</v>
      </c>
      <c r="H356" s="806">
        <f t="shared" si="250"/>
        <v>0</v>
      </c>
      <c r="I356" s="577">
        <f t="shared" si="250"/>
        <v>1</v>
      </c>
      <c r="J356" s="577">
        <f t="shared" si="250"/>
        <v>0</v>
      </c>
      <c r="K356" s="578">
        <f t="shared" si="250"/>
        <v>0</v>
      </c>
      <c r="L356" s="578">
        <f t="shared" si="250"/>
        <v>0</v>
      </c>
      <c r="M356" s="578">
        <f t="shared" si="250"/>
        <v>0</v>
      </c>
      <c r="N356" s="577">
        <f>IF(AE356&gt;0,(AE356/AE356),0)</f>
        <v>0</v>
      </c>
      <c r="O356" s="577">
        <f t="shared" ref="O356:Q356" si="251">IF(AF356&gt;0,(AF356/AF356),0)</f>
        <v>0</v>
      </c>
      <c r="P356" s="579">
        <f t="shared" si="251"/>
        <v>0</v>
      </c>
      <c r="Q356" s="577">
        <f t="shared" si="251"/>
        <v>0</v>
      </c>
      <c r="R356" s="357"/>
      <c r="S356" s="858"/>
      <c r="T356" s="858"/>
      <c r="U356" s="858"/>
      <c r="V356" s="858">
        <v>261</v>
      </c>
      <c r="W356" s="858"/>
      <c r="X356" s="858"/>
      <c r="Y356" s="864">
        <v>261</v>
      </c>
      <c r="Z356" s="864"/>
      <c r="AA356" s="858"/>
      <c r="AB356" s="858"/>
      <c r="AC356" s="858"/>
      <c r="AD356" s="858"/>
      <c r="AE356" s="864"/>
      <c r="AF356" s="864"/>
      <c r="AG356" s="858"/>
      <c r="AH356" s="864"/>
    </row>
    <row r="358" spans="1:34">
      <c r="A358" s="890" t="s">
        <v>229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J358"/>
  <sheetViews>
    <sheetView workbookViewId="0">
      <pane xSplit="2" ySplit="3" topLeftCell="D4" activePane="bottomRight" state="frozen"/>
      <selection pane="topRight" activeCell="C1" sqref="C1"/>
      <selection pane="bottomLeft" activeCell="A4" sqref="A4"/>
      <selection pane="bottomRight" activeCell="O133" sqref="O133"/>
    </sheetView>
  </sheetViews>
  <sheetFormatPr defaultRowHeight="15"/>
  <cols>
    <col min="2" max="2" width="14.77734375" customWidth="1"/>
    <col min="3" max="17" width="8.88671875" customWidth="1"/>
  </cols>
  <sheetData>
    <row r="1" spans="1:36">
      <c r="A1" s="846"/>
      <c r="B1" s="360"/>
      <c r="C1" s="361" t="s">
        <v>95</v>
      </c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3"/>
      <c r="S1" s="361" t="s">
        <v>52</v>
      </c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</row>
    <row r="2" spans="1:36">
      <c r="A2" s="365"/>
      <c r="B2" s="366"/>
      <c r="C2" s="367" t="s">
        <v>96</v>
      </c>
      <c r="D2" s="368"/>
      <c r="E2" s="368"/>
      <c r="F2" s="368"/>
      <c r="G2" s="368"/>
      <c r="H2" s="368"/>
      <c r="I2" s="368"/>
      <c r="J2" s="369" t="s">
        <v>97</v>
      </c>
      <c r="K2" s="370"/>
      <c r="L2" s="370"/>
      <c r="M2" s="370"/>
      <c r="N2" s="372"/>
      <c r="O2" s="369" t="s">
        <v>110</v>
      </c>
      <c r="P2" s="370"/>
      <c r="Q2" s="368"/>
      <c r="R2" s="357"/>
      <c r="S2" s="367" t="s">
        <v>96</v>
      </c>
      <c r="T2" s="373"/>
      <c r="U2" s="373"/>
      <c r="V2" s="373"/>
      <c r="W2" s="373"/>
      <c r="X2" s="373"/>
      <c r="Y2" s="373"/>
      <c r="Z2" s="374" t="s">
        <v>97</v>
      </c>
      <c r="AA2" s="375"/>
      <c r="AB2" s="375"/>
      <c r="AC2" s="375"/>
      <c r="AD2" s="375"/>
      <c r="AE2" s="377"/>
      <c r="AF2" s="374" t="s">
        <v>110</v>
      </c>
      <c r="AG2" s="375"/>
      <c r="AH2" s="373"/>
    </row>
    <row r="3" spans="1:36" ht="25.5">
      <c r="A3" s="378"/>
      <c r="B3" s="379"/>
      <c r="C3" s="380">
        <v>1</v>
      </c>
      <c r="D3" s="381">
        <v>2</v>
      </c>
      <c r="E3" s="381">
        <v>3</v>
      </c>
      <c r="F3" s="381">
        <v>4</v>
      </c>
      <c r="G3" s="381">
        <v>5</v>
      </c>
      <c r="H3" s="381">
        <v>6</v>
      </c>
      <c r="I3" s="382" t="s">
        <v>119</v>
      </c>
      <c r="J3" s="383" t="s">
        <v>111</v>
      </c>
      <c r="K3" s="381">
        <v>1</v>
      </c>
      <c r="L3" s="381">
        <v>2</v>
      </c>
      <c r="M3" s="381">
        <v>3</v>
      </c>
      <c r="N3" s="382" t="s">
        <v>121</v>
      </c>
      <c r="O3" s="383">
        <v>1</v>
      </c>
      <c r="P3" s="383">
        <v>2</v>
      </c>
      <c r="Q3" s="384" t="s">
        <v>113</v>
      </c>
      <c r="R3" s="385"/>
      <c r="S3" s="386">
        <v>1</v>
      </c>
      <c r="T3" s="387">
        <v>2</v>
      </c>
      <c r="U3" s="387">
        <v>3</v>
      </c>
      <c r="V3" s="387">
        <v>4</v>
      </c>
      <c r="W3" s="387">
        <v>5</v>
      </c>
      <c r="X3" s="387">
        <v>6</v>
      </c>
      <c r="Y3" s="388" t="s">
        <v>98</v>
      </c>
      <c r="Z3" s="389" t="s">
        <v>111</v>
      </c>
      <c r="AA3" s="387">
        <v>1</v>
      </c>
      <c r="AB3" s="387">
        <v>2</v>
      </c>
      <c r="AC3" s="387">
        <v>3</v>
      </c>
      <c r="AD3" s="389" t="s">
        <v>216</v>
      </c>
      <c r="AE3" s="388" t="s">
        <v>113</v>
      </c>
      <c r="AF3" s="389">
        <v>1</v>
      </c>
      <c r="AG3" s="389">
        <v>2</v>
      </c>
      <c r="AH3" s="390" t="s">
        <v>113</v>
      </c>
    </row>
    <row r="4" spans="1:36">
      <c r="A4" s="240" t="s">
        <v>128</v>
      </c>
      <c r="B4" s="240" t="s">
        <v>53</v>
      </c>
      <c r="C4" s="613">
        <f>IF(S9&gt;0,(S4/S9),0)</f>
        <v>0.34282798446782381</v>
      </c>
      <c r="D4" s="614">
        <f t="shared" ref="D4:M4" si="0">IF(T9&gt;0,(T4/T9),0)</f>
        <v>0.27243391507784981</v>
      </c>
      <c r="E4" s="614">
        <f t="shared" si="0"/>
        <v>0.29071996043154347</v>
      </c>
      <c r="F4" s="614">
        <f t="shared" si="0"/>
        <v>0.26267356162710209</v>
      </c>
      <c r="G4" s="614">
        <f t="shared" si="0"/>
        <v>0.23555435175153486</v>
      </c>
      <c r="H4" s="615">
        <f t="shared" si="0"/>
        <v>0.20356256646579227</v>
      </c>
      <c r="I4" s="613">
        <f t="shared" si="0"/>
        <v>0.30303570367730054</v>
      </c>
      <c r="J4" s="613">
        <f t="shared" si="0"/>
        <v>4.7834174860483657E-2</v>
      </c>
      <c r="K4" s="614">
        <f t="shared" si="0"/>
        <v>0.1582036582036582</v>
      </c>
      <c r="L4" s="614">
        <f t="shared" si="0"/>
        <v>0.1021361653029552</v>
      </c>
      <c r="M4" s="614">
        <f t="shared" si="0"/>
        <v>4.9351251158480075E-2</v>
      </c>
      <c r="N4" s="613">
        <f>IF(AE9&gt;0,(AE4/AE9),0)</f>
        <v>0.13739850162770384</v>
      </c>
      <c r="O4" s="613">
        <f t="shared" ref="O4:Q4" si="1">IF(AF9&gt;0,(AF4/AF9),0)</f>
        <v>1.5923566878980892E-2</v>
      </c>
      <c r="P4" s="615">
        <f t="shared" si="1"/>
        <v>0</v>
      </c>
      <c r="Q4" s="613">
        <f t="shared" si="1"/>
        <v>5.7291666666666664E-2</v>
      </c>
      <c r="R4" s="391"/>
      <c r="S4" s="797">
        <f>S10+S129+S213+S291+S351</f>
        <v>41319</v>
      </c>
      <c r="T4" s="797">
        <f t="shared" ref="T4:AH4" si="2">T10+T129+T213+T291+T351</f>
        <v>10131</v>
      </c>
      <c r="U4" s="797">
        <f t="shared" si="2"/>
        <v>18809</v>
      </c>
      <c r="V4" s="797">
        <f t="shared" si="2"/>
        <v>6451</v>
      </c>
      <c r="W4" s="797">
        <f t="shared" si="2"/>
        <v>2609</v>
      </c>
      <c r="X4" s="797">
        <f t="shared" si="2"/>
        <v>2297</v>
      </c>
      <c r="Y4" s="797">
        <f t="shared" si="2"/>
        <v>81616</v>
      </c>
      <c r="Z4" s="797">
        <f t="shared" si="2"/>
        <v>180</v>
      </c>
      <c r="AA4" s="797">
        <f t="shared" si="2"/>
        <v>3477</v>
      </c>
      <c r="AB4" s="797">
        <f t="shared" si="2"/>
        <v>1257</v>
      </c>
      <c r="AC4" s="797">
        <f t="shared" si="2"/>
        <v>213</v>
      </c>
      <c r="AD4" s="797">
        <f t="shared" si="2"/>
        <v>447</v>
      </c>
      <c r="AE4" s="797">
        <f t="shared" si="2"/>
        <v>15840</v>
      </c>
      <c r="AF4" s="797">
        <f t="shared" si="2"/>
        <v>50</v>
      </c>
      <c r="AG4" s="797">
        <f t="shared" si="2"/>
        <v>0</v>
      </c>
      <c r="AH4" s="797">
        <f t="shared" si="2"/>
        <v>308</v>
      </c>
    </row>
    <row r="5" spans="1:36">
      <c r="A5" s="239"/>
      <c r="B5" s="239" t="s">
        <v>93</v>
      </c>
      <c r="C5" s="624">
        <f>IF(S9&gt;0,(S5/S9),0)</f>
        <v>0.26435398758753442</v>
      </c>
      <c r="D5" s="625">
        <f t="shared" ref="D5:M5" si="3">IF(T9&gt;0,(T5/T9),0)</f>
        <v>0.29034339957512034</v>
      </c>
      <c r="E5" s="625">
        <f t="shared" si="3"/>
        <v>0.26830813935515779</v>
      </c>
      <c r="F5" s="625">
        <f t="shared" si="3"/>
        <v>0.25888676249032944</v>
      </c>
      <c r="G5" s="625">
        <f t="shared" si="3"/>
        <v>0.26778620440592271</v>
      </c>
      <c r="H5" s="626">
        <f t="shared" si="3"/>
        <v>0.25903934774902515</v>
      </c>
      <c r="I5" s="624">
        <f t="shared" si="3"/>
        <v>0.26831224380680807</v>
      </c>
      <c r="J5" s="624">
        <f t="shared" si="3"/>
        <v>5.5275046505447782E-2</v>
      </c>
      <c r="K5" s="625">
        <f t="shared" si="3"/>
        <v>9.8052598052598056E-2</v>
      </c>
      <c r="L5" s="625">
        <f t="shared" si="3"/>
        <v>9.9373532351244395E-2</v>
      </c>
      <c r="M5" s="625">
        <f t="shared" si="3"/>
        <v>4.911955514365153E-2</v>
      </c>
      <c r="N5" s="624">
        <f>IF(AE9&gt;0,(AE5/AE9),0)</f>
        <v>9.4964570443188234E-2</v>
      </c>
      <c r="O5" s="624">
        <f t="shared" ref="O5:Q5" si="4">IF(AF9&gt;0,(AF5/AF9),0)</f>
        <v>1.6242038216560509E-2</v>
      </c>
      <c r="P5" s="626">
        <f t="shared" si="4"/>
        <v>0</v>
      </c>
      <c r="Q5" s="624">
        <f t="shared" si="4"/>
        <v>3.4040178571428568E-2</v>
      </c>
      <c r="R5" s="391"/>
      <c r="S5" s="797">
        <f t="shared" ref="S5:AH7" si="5">S11+S130+S214+S292+S352</f>
        <v>31861</v>
      </c>
      <c r="T5" s="797">
        <f t="shared" si="5"/>
        <v>10797</v>
      </c>
      <c r="U5" s="797">
        <f t="shared" si="5"/>
        <v>17359</v>
      </c>
      <c r="V5" s="797">
        <f t="shared" si="5"/>
        <v>6358</v>
      </c>
      <c r="W5" s="797">
        <f t="shared" si="5"/>
        <v>2966</v>
      </c>
      <c r="X5" s="797">
        <f t="shared" si="5"/>
        <v>2923</v>
      </c>
      <c r="Y5" s="797">
        <f t="shared" si="5"/>
        <v>72264</v>
      </c>
      <c r="Z5" s="797">
        <f t="shared" si="5"/>
        <v>208</v>
      </c>
      <c r="AA5" s="797">
        <f t="shared" si="5"/>
        <v>2155</v>
      </c>
      <c r="AB5" s="797">
        <f t="shared" si="5"/>
        <v>1223</v>
      </c>
      <c r="AC5" s="797">
        <f t="shared" si="5"/>
        <v>212</v>
      </c>
      <c r="AD5" s="797">
        <f t="shared" si="5"/>
        <v>720</v>
      </c>
      <c r="AE5" s="797">
        <f t="shared" si="5"/>
        <v>10948</v>
      </c>
      <c r="AF5" s="797">
        <f t="shared" si="5"/>
        <v>51</v>
      </c>
      <c r="AG5" s="797">
        <f t="shared" si="5"/>
        <v>0</v>
      </c>
      <c r="AH5" s="797">
        <f t="shared" si="5"/>
        <v>183</v>
      </c>
    </row>
    <row r="6" spans="1:36">
      <c r="A6" s="239"/>
      <c r="B6" s="239" t="s">
        <v>55</v>
      </c>
      <c r="C6" s="624">
        <f>IF(S9&gt;0,(S6/S9),0)</f>
        <v>0.22241213368291793</v>
      </c>
      <c r="D6" s="625">
        <f t="shared" ref="D6:M6" si="6">IF(T9&gt;0,(T6/T9),0)</f>
        <v>0.24180493183101623</v>
      </c>
      <c r="E6" s="625">
        <f t="shared" si="6"/>
        <v>0.25051779034900618</v>
      </c>
      <c r="F6" s="625">
        <f t="shared" si="6"/>
        <v>0.28869253634105624</v>
      </c>
      <c r="G6" s="625">
        <f t="shared" si="6"/>
        <v>0.30435175153485011</v>
      </c>
      <c r="H6" s="626">
        <f t="shared" si="6"/>
        <v>0.33179723502304148</v>
      </c>
      <c r="I6" s="624">
        <f t="shared" si="6"/>
        <v>0.24583778886710628</v>
      </c>
      <c r="J6" s="624">
        <f t="shared" si="6"/>
        <v>7.8660643103906455E-2</v>
      </c>
      <c r="K6" s="625">
        <f t="shared" si="6"/>
        <v>8.0398580398580402E-2</v>
      </c>
      <c r="L6" s="625">
        <f t="shared" si="6"/>
        <v>9.5229582923678197E-2</v>
      </c>
      <c r="M6" s="625">
        <f t="shared" si="6"/>
        <v>7.854494902687674E-2</v>
      </c>
      <c r="N6" s="624">
        <f>IF(AE9&gt;0,(AE6/AE9),0)</f>
        <v>0.10551233420450691</v>
      </c>
      <c r="O6" s="624">
        <f t="shared" ref="O6:Q6" si="7">IF(AF9&gt;0,(AF6/AF9),0)</f>
        <v>3.4713375796178343E-2</v>
      </c>
      <c r="P6" s="626">
        <f t="shared" si="7"/>
        <v>0</v>
      </c>
      <c r="Q6" s="624">
        <f t="shared" si="7"/>
        <v>3.4226190476190479E-2</v>
      </c>
      <c r="R6" s="391"/>
      <c r="S6" s="797">
        <f t="shared" si="5"/>
        <v>26806</v>
      </c>
      <c r="T6" s="797">
        <f t="shared" si="5"/>
        <v>8992</v>
      </c>
      <c r="U6" s="797">
        <f t="shared" si="5"/>
        <v>16208</v>
      </c>
      <c r="V6" s="797">
        <f t="shared" si="5"/>
        <v>7090</v>
      </c>
      <c r="W6" s="797">
        <f t="shared" si="5"/>
        <v>3371</v>
      </c>
      <c r="X6" s="797">
        <f t="shared" si="5"/>
        <v>3744</v>
      </c>
      <c r="Y6" s="797">
        <f t="shared" si="5"/>
        <v>66211</v>
      </c>
      <c r="Z6" s="797">
        <f t="shared" si="5"/>
        <v>296</v>
      </c>
      <c r="AA6" s="797">
        <f t="shared" si="5"/>
        <v>1767</v>
      </c>
      <c r="AB6" s="797">
        <f t="shared" si="5"/>
        <v>1172</v>
      </c>
      <c r="AC6" s="797">
        <f t="shared" si="5"/>
        <v>339</v>
      </c>
      <c r="AD6" s="797">
        <f t="shared" si="5"/>
        <v>741</v>
      </c>
      <c r="AE6" s="797">
        <f t="shared" si="5"/>
        <v>12164</v>
      </c>
      <c r="AF6" s="797">
        <f t="shared" si="5"/>
        <v>109</v>
      </c>
      <c r="AG6" s="797">
        <f t="shared" si="5"/>
        <v>0</v>
      </c>
      <c r="AH6" s="797">
        <f t="shared" si="5"/>
        <v>184</v>
      </c>
    </row>
    <row r="7" spans="1:36">
      <c r="A7" s="239"/>
      <c r="B7" s="239" t="s">
        <v>78</v>
      </c>
      <c r="C7" s="624">
        <f>IF(S9&gt;0,(S7/S9),0)</f>
        <v>5.6154790747071123E-2</v>
      </c>
      <c r="D7" s="625">
        <f t="shared" ref="D7:M7" si="8">IF(T9&gt;0,(T7/T9),0)</f>
        <v>8.5621319278242403E-2</v>
      </c>
      <c r="E7" s="625">
        <f t="shared" si="8"/>
        <v>7.9940647315218397E-2</v>
      </c>
      <c r="F7" s="625">
        <f t="shared" si="8"/>
        <v>7.7771896249847303E-2</v>
      </c>
      <c r="G7" s="625">
        <f t="shared" si="8"/>
        <v>8.6222462983026368E-2</v>
      </c>
      <c r="H7" s="626">
        <f t="shared" si="8"/>
        <v>0.14064161644806805</v>
      </c>
      <c r="I7" s="624">
        <f t="shared" si="8"/>
        <v>7.2684607615992394E-2</v>
      </c>
      <c r="J7" s="624">
        <f t="shared" si="8"/>
        <v>0.15785277703959608</v>
      </c>
      <c r="K7" s="625">
        <f t="shared" si="8"/>
        <v>0.16134316134316135</v>
      </c>
      <c r="L7" s="625">
        <f t="shared" si="8"/>
        <v>0.22092938222651964</v>
      </c>
      <c r="M7" s="625">
        <f t="shared" si="8"/>
        <v>0.23609823911028729</v>
      </c>
      <c r="N7" s="624">
        <f>IF(AE9&gt;0,(AE7/AE9),0)</f>
        <v>0.36165991962534622</v>
      </c>
      <c r="O7" s="624">
        <f t="shared" ref="O7:Q7" si="9">IF(AF9&gt;0,(AF7/AF9),0)</f>
        <v>0.10159235668789809</v>
      </c>
      <c r="P7" s="626">
        <f t="shared" si="9"/>
        <v>0</v>
      </c>
      <c r="Q7" s="624">
        <f t="shared" si="9"/>
        <v>0.12704613095238096</v>
      </c>
      <c r="R7" s="391"/>
      <c r="S7" s="797">
        <f t="shared" si="5"/>
        <v>6768</v>
      </c>
      <c r="T7" s="797">
        <f t="shared" si="5"/>
        <v>3184</v>
      </c>
      <c r="U7" s="797">
        <f t="shared" si="5"/>
        <v>5172</v>
      </c>
      <c r="V7" s="797">
        <f t="shared" si="5"/>
        <v>1910</v>
      </c>
      <c r="W7" s="797">
        <f t="shared" si="5"/>
        <v>955</v>
      </c>
      <c r="X7" s="797">
        <f t="shared" si="5"/>
        <v>1587</v>
      </c>
      <c r="Y7" s="797">
        <f t="shared" si="5"/>
        <v>19576</v>
      </c>
      <c r="Z7" s="797">
        <f t="shared" si="5"/>
        <v>594</v>
      </c>
      <c r="AA7" s="797">
        <f t="shared" si="5"/>
        <v>3546</v>
      </c>
      <c r="AB7" s="797">
        <f t="shared" si="5"/>
        <v>2719</v>
      </c>
      <c r="AC7" s="797">
        <f t="shared" si="5"/>
        <v>1019</v>
      </c>
      <c r="AD7" s="797">
        <f t="shared" si="5"/>
        <v>558</v>
      </c>
      <c r="AE7" s="797">
        <f t="shared" si="5"/>
        <v>41694</v>
      </c>
      <c r="AF7" s="797">
        <f t="shared" si="5"/>
        <v>319</v>
      </c>
      <c r="AG7" s="797">
        <f t="shared" si="5"/>
        <v>0</v>
      </c>
      <c r="AH7" s="797">
        <f t="shared" si="5"/>
        <v>683</v>
      </c>
    </row>
    <row r="8" spans="1:36">
      <c r="A8" s="580"/>
      <c r="B8" s="580" t="s">
        <v>131</v>
      </c>
      <c r="C8" s="624">
        <f>IF(S9&gt;0,(S8/S9),0)</f>
        <v>0.11425110351465269</v>
      </c>
      <c r="D8" s="625">
        <f t="shared" ref="D8:M8" si="10">IF(T9&gt;0,(T8/T9),0)</f>
        <v>0.10979643423777126</v>
      </c>
      <c r="E8" s="625">
        <f t="shared" si="10"/>
        <v>0.11054437540573124</v>
      </c>
      <c r="F8" s="625">
        <f t="shared" si="10"/>
        <v>0.11189380675108922</v>
      </c>
      <c r="G8" s="625">
        <f t="shared" si="10"/>
        <v>0.10581437342000723</v>
      </c>
      <c r="H8" s="626">
        <f t="shared" si="10"/>
        <v>6.5225097483162006E-2</v>
      </c>
      <c r="I8" s="624">
        <f t="shared" si="10"/>
        <v>0.11012965603279273</v>
      </c>
      <c r="J8" s="624">
        <f t="shared" si="10"/>
        <v>0.660377358490566</v>
      </c>
      <c r="K8" s="625">
        <f t="shared" si="10"/>
        <v>0.50200200200200196</v>
      </c>
      <c r="L8" s="625">
        <f t="shared" si="10"/>
        <v>0.48233133719560256</v>
      </c>
      <c r="M8" s="625">
        <f t="shared" si="10"/>
        <v>0.58688600556070436</v>
      </c>
      <c r="N8" s="624">
        <f>IF(AE9&gt;0,(AE8/AE9),0)</f>
        <v>0.30046467409925476</v>
      </c>
      <c r="O8" s="624">
        <f t="shared" ref="O8:Q8" si="11">IF(AF9&gt;0,(AF8/AF9),0)</f>
        <v>0.83152866242038215</v>
      </c>
      <c r="P8" s="626">
        <f t="shared" si="11"/>
        <v>1</v>
      </c>
      <c r="Q8" s="624">
        <f t="shared" si="11"/>
        <v>0.74739583333333337</v>
      </c>
      <c r="R8" s="391"/>
      <c r="S8" s="797">
        <f>S14+S15+S133+S217+S295+S355</f>
        <v>13770</v>
      </c>
      <c r="T8" s="797">
        <f t="shared" ref="T8:AH8" si="12">T14+T15+T133+T217+T295+T355</f>
        <v>4083</v>
      </c>
      <c r="U8" s="797">
        <f t="shared" si="12"/>
        <v>7152</v>
      </c>
      <c r="V8" s="797">
        <f>V14+V15+V133+V217+V295+V355</f>
        <v>2748</v>
      </c>
      <c r="W8" s="797">
        <f t="shared" si="12"/>
        <v>1172</v>
      </c>
      <c r="X8" s="797">
        <f t="shared" si="12"/>
        <v>736</v>
      </c>
      <c r="Y8" s="797">
        <f t="shared" si="12"/>
        <v>29661</v>
      </c>
      <c r="Z8" s="797">
        <f t="shared" si="12"/>
        <v>2485</v>
      </c>
      <c r="AA8" s="797">
        <f t="shared" si="12"/>
        <v>11033</v>
      </c>
      <c r="AB8" s="797">
        <f t="shared" si="12"/>
        <v>5936.1</v>
      </c>
      <c r="AC8" s="797">
        <f t="shared" si="12"/>
        <v>2533</v>
      </c>
      <c r="AD8" s="797">
        <f t="shared" si="12"/>
        <v>25</v>
      </c>
      <c r="AE8" s="797">
        <f t="shared" si="12"/>
        <v>34639.1</v>
      </c>
      <c r="AF8" s="797">
        <f t="shared" si="12"/>
        <v>2611</v>
      </c>
      <c r="AG8" s="797">
        <f t="shared" si="12"/>
        <v>1399</v>
      </c>
      <c r="AH8" s="797">
        <f t="shared" si="12"/>
        <v>4018</v>
      </c>
    </row>
    <row r="9" spans="1:36">
      <c r="A9" s="436" t="s">
        <v>86</v>
      </c>
      <c r="B9" s="436" t="s">
        <v>59</v>
      </c>
      <c r="C9" s="577">
        <f>IF(S9&gt;0,(S9/S9),0)</f>
        <v>1</v>
      </c>
      <c r="D9" s="578">
        <f t="shared" ref="D9:M9" si="13">IF(T9&gt;0,(T9/T9),0)</f>
        <v>1</v>
      </c>
      <c r="E9" s="578">
        <f t="shared" si="13"/>
        <v>1</v>
      </c>
      <c r="F9" s="578">
        <f t="shared" si="13"/>
        <v>1</v>
      </c>
      <c r="G9" s="578">
        <f t="shared" si="13"/>
        <v>1</v>
      </c>
      <c r="H9" s="579">
        <f t="shared" si="13"/>
        <v>1</v>
      </c>
      <c r="I9" s="577">
        <f t="shared" si="13"/>
        <v>1</v>
      </c>
      <c r="J9" s="577">
        <f t="shared" si="13"/>
        <v>1</v>
      </c>
      <c r="K9" s="578">
        <f t="shared" si="13"/>
        <v>1</v>
      </c>
      <c r="L9" s="578">
        <f t="shared" si="13"/>
        <v>1</v>
      </c>
      <c r="M9" s="578">
        <f t="shared" si="13"/>
        <v>1</v>
      </c>
      <c r="N9" s="577">
        <f>IF(AE9&gt;0,(AE9/AE9),0)</f>
        <v>1</v>
      </c>
      <c r="O9" s="577">
        <f t="shared" ref="O9:Q9" si="14">IF(AF9&gt;0,(AF9/AF9),0)</f>
        <v>1</v>
      </c>
      <c r="P9" s="579">
        <f t="shared" si="14"/>
        <v>1</v>
      </c>
      <c r="Q9" s="577">
        <f t="shared" si="14"/>
        <v>1</v>
      </c>
      <c r="R9" s="391"/>
      <c r="S9" s="797">
        <f>S16+S134+S218+S296+S356</f>
        <v>120524</v>
      </c>
      <c r="T9" s="797">
        <f t="shared" ref="T9:AH9" si="15">T16+T134+T218+T296+T356</f>
        <v>37187</v>
      </c>
      <c r="U9" s="797">
        <f t="shared" si="15"/>
        <v>64698</v>
      </c>
      <c r="V9" s="797">
        <f t="shared" si="15"/>
        <v>24559</v>
      </c>
      <c r="W9" s="797">
        <f t="shared" si="15"/>
        <v>11076</v>
      </c>
      <c r="X9" s="797">
        <f t="shared" si="15"/>
        <v>11284</v>
      </c>
      <c r="Y9" s="797">
        <f t="shared" si="15"/>
        <v>269328</v>
      </c>
      <c r="Z9" s="797">
        <f t="shared" si="15"/>
        <v>3763</v>
      </c>
      <c r="AA9" s="797">
        <f t="shared" si="15"/>
        <v>21978</v>
      </c>
      <c r="AB9" s="797">
        <f t="shared" si="15"/>
        <v>12307.1</v>
      </c>
      <c r="AC9" s="797">
        <f t="shared" si="15"/>
        <v>4316</v>
      </c>
      <c r="AD9" s="797">
        <f t="shared" si="15"/>
        <v>2491</v>
      </c>
      <c r="AE9" s="797">
        <f t="shared" si="15"/>
        <v>115285.1</v>
      </c>
      <c r="AF9" s="797">
        <f t="shared" si="15"/>
        <v>3140</v>
      </c>
      <c r="AG9" s="797">
        <f t="shared" si="15"/>
        <v>1399</v>
      </c>
      <c r="AH9" s="797">
        <f t="shared" si="15"/>
        <v>5376</v>
      </c>
    </row>
    <row r="10" spans="1:36">
      <c r="A10" s="239" t="s">
        <v>3</v>
      </c>
      <c r="B10" s="240" t="s">
        <v>53</v>
      </c>
      <c r="C10" s="613">
        <f t="shared" ref="C10:M16" si="16">IF(S$16&gt;0,(S10/S$16),0)</f>
        <v>0.31989569532942191</v>
      </c>
      <c r="D10" s="614">
        <f t="shared" si="16"/>
        <v>0.2458001768346596</v>
      </c>
      <c r="E10" s="614">
        <f t="shared" si="16"/>
        <v>0.24058986175115207</v>
      </c>
      <c r="F10" s="614">
        <f t="shared" si="16"/>
        <v>0.21853127430285524</v>
      </c>
      <c r="G10" s="614">
        <f t="shared" si="16"/>
        <v>0.20040941658137154</v>
      </c>
      <c r="H10" s="615">
        <f t="shared" si="16"/>
        <v>0.17790841584158415</v>
      </c>
      <c r="I10" s="613">
        <f t="shared" si="16"/>
        <v>0.27165977531970414</v>
      </c>
      <c r="J10" s="613">
        <f t="shared" si="16"/>
        <v>4.7834174860483657E-2</v>
      </c>
      <c r="K10" s="614">
        <f t="shared" si="16"/>
        <v>0.1582036582036582</v>
      </c>
      <c r="L10" s="614">
        <f t="shared" si="16"/>
        <v>0.1021361653029552</v>
      </c>
      <c r="M10" s="614">
        <f t="shared" si="16"/>
        <v>4.9351251158480075E-2</v>
      </c>
      <c r="N10" s="613">
        <f t="shared" ref="N10:Q16" si="17">IF(AE$16&gt;0,(AE10/AE$16),0)</f>
        <v>0.12426680578128239</v>
      </c>
      <c r="O10" s="788">
        <f t="shared" si="17"/>
        <v>1.5923566878980892E-2</v>
      </c>
      <c r="P10" s="789">
        <f t="shared" si="17"/>
        <v>0</v>
      </c>
      <c r="Q10" s="788">
        <f t="shared" si="17"/>
        <v>1.1015642211940957E-2</v>
      </c>
      <c r="R10" s="244"/>
      <c r="S10" s="245">
        <v>15212</v>
      </c>
      <c r="T10" s="246">
        <v>3058</v>
      </c>
      <c r="U10" s="246">
        <v>6526</v>
      </c>
      <c r="V10" s="246">
        <v>1967</v>
      </c>
      <c r="W10" s="246">
        <v>979</v>
      </c>
      <c r="X10" s="246">
        <v>575</v>
      </c>
      <c r="Y10" s="247">
        <v>28317</v>
      </c>
      <c r="Z10" s="245">
        <v>180</v>
      </c>
      <c r="AA10" s="246">
        <v>3477</v>
      </c>
      <c r="AB10" s="246">
        <v>1257</v>
      </c>
      <c r="AC10" s="246">
        <v>213</v>
      </c>
      <c r="AD10" s="246">
        <v>447</v>
      </c>
      <c r="AE10" s="247">
        <v>5574</v>
      </c>
      <c r="AF10" s="245">
        <v>50</v>
      </c>
      <c r="AG10" s="246">
        <v>0</v>
      </c>
      <c r="AH10" s="245">
        <v>50</v>
      </c>
      <c r="AJ10" t="s">
        <v>223</v>
      </c>
    </row>
    <row r="11" spans="1:36">
      <c r="A11" s="249"/>
      <c r="B11" s="239" t="s">
        <v>93</v>
      </c>
      <c r="C11" s="624">
        <f t="shared" si="16"/>
        <v>0.27245389355035432</v>
      </c>
      <c r="D11" s="625">
        <f t="shared" si="16"/>
        <v>0.28824049513704686</v>
      </c>
      <c r="E11" s="625">
        <f t="shared" si="16"/>
        <v>0.26068202764976961</v>
      </c>
      <c r="F11" s="625">
        <f t="shared" si="16"/>
        <v>0.26208199088990114</v>
      </c>
      <c r="G11" s="625">
        <f t="shared" si="16"/>
        <v>0.26264073694984647</v>
      </c>
      <c r="H11" s="626">
        <f t="shared" si="16"/>
        <v>0.26051980198019803</v>
      </c>
      <c r="I11" s="624">
        <f t="shared" si="16"/>
        <v>0.26954920037990349</v>
      </c>
      <c r="J11" s="624">
        <f t="shared" si="16"/>
        <v>5.5275046505447782E-2</v>
      </c>
      <c r="K11" s="625">
        <f t="shared" si="16"/>
        <v>9.8052598052598056E-2</v>
      </c>
      <c r="L11" s="625">
        <f t="shared" si="16"/>
        <v>9.9373532351244395E-2</v>
      </c>
      <c r="M11" s="625">
        <f t="shared" si="16"/>
        <v>4.911955514365153E-2</v>
      </c>
      <c r="N11" s="624">
        <f t="shared" si="17"/>
        <v>0.10072433235016755</v>
      </c>
      <c r="O11" s="624">
        <f t="shared" si="17"/>
        <v>1.6242038216560509E-2</v>
      </c>
      <c r="P11" s="625">
        <f t="shared" si="17"/>
        <v>0</v>
      </c>
      <c r="Q11" s="624">
        <f t="shared" si="17"/>
        <v>1.1235955056179775E-2</v>
      </c>
      <c r="R11" s="253"/>
      <c r="S11" s="254">
        <v>12956</v>
      </c>
      <c r="T11" s="255">
        <v>3586</v>
      </c>
      <c r="U11" s="255">
        <v>7071</v>
      </c>
      <c r="V11" s="255">
        <v>2359</v>
      </c>
      <c r="W11" s="255">
        <v>1283</v>
      </c>
      <c r="X11" s="255">
        <v>842</v>
      </c>
      <c r="Y11" s="256">
        <v>28097</v>
      </c>
      <c r="Z11" s="254">
        <v>208</v>
      </c>
      <c r="AA11" s="255">
        <v>2155</v>
      </c>
      <c r="AB11" s="255">
        <v>1223</v>
      </c>
      <c r="AC11" s="255">
        <v>212</v>
      </c>
      <c r="AD11" s="255">
        <v>720</v>
      </c>
      <c r="AE11" s="256">
        <v>4518</v>
      </c>
      <c r="AF11" s="254">
        <v>51</v>
      </c>
      <c r="AG11" s="255">
        <v>0</v>
      </c>
      <c r="AH11" s="254">
        <v>51</v>
      </c>
    </row>
    <row r="12" spans="1:36">
      <c r="A12" s="249"/>
      <c r="B12" s="239" t="s">
        <v>55</v>
      </c>
      <c r="C12" s="624">
        <f t="shared" si="16"/>
        <v>0.22221521249973714</v>
      </c>
      <c r="D12" s="625">
        <f t="shared" si="16"/>
        <v>0.25094445784100955</v>
      </c>
      <c r="E12" s="625">
        <f t="shared" si="16"/>
        <v>0.27399078341013827</v>
      </c>
      <c r="F12" s="625">
        <f t="shared" si="16"/>
        <v>0.32085323852905234</v>
      </c>
      <c r="G12" s="625">
        <f t="shared" si="16"/>
        <v>0.30890481064483111</v>
      </c>
      <c r="H12" s="626">
        <f t="shared" si="16"/>
        <v>0.36664603960396042</v>
      </c>
      <c r="I12" s="624">
        <f t="shared" si="16"/>
        <v>0.25617583007953032</v>
      </c>
      <c r="J12" s="624">
        <f t="shared" si="16"/>
        <v>7.8660643103906455E-2</v>
      </c>
      <c r="K12" s="625">
        <f t="shared" si="16"/>
        <v>8.0398580398580402E-2</v>
      </c>
      <c r="L12" s="625">
        <f t="shared" si="16"/>
        <v>9.5229582923678197E-2</v>
      </c>
      <c r="M12" s="625">
        <f t="shared" si="16"/>
        <v>7.854494902687674E-2</v>
      </c>
      <c r="N12" s="624">
        <f t="shared" si="17"/>
        <v>9.6198648537178605E-2</v>
      </c>
      <c r="O12" s="624">
        <f t="shared" si="17"/>
        <v>3.4713375796178343E-2</v>
      </c>
      <c r="P12" s="625">
        <f t="shared" si="17"/>
        <v>0</v>
      </c>
      <c r="Q12" s="624">
        <f t="shared" si="17"/>
        <v>2.4014100022031283E-2</v>
      </c>
      <c r="R12" s="253"/>
      <c r="S12" s="254">
        <v>10567</v>
      </c>
      <c r="T12" s="255">
        <v>3122</v>
      </c>
      <c r="U12" s="255">
        <v>7432</v>
      </c>
      <c r="V12" s="255">
        <v>2888</v>
      </c>
      <c r="W12" s="255">
        <v>1509</v>
      </c>
      <c r="X12" s="255">
        <v>1185</v>
      </c>
      <c r="Y12" s="256">
        <v>26703</v>
      </c>
      <c r="Z12" s="254">
        <v>296</v>
      </c>
      <c r="AA12" s="255">
        <v>1767</v>
      </c>
      <c r="AB12" s="255">
        <v>1172</v>
      </c>
      <c r="AC12" s="255">
        <v>339</v>
      </c>
      <c r="AD12" s="255">
        <v>741</v>
      </c>
      <c r="AE12" s="256">
        <v>4315</v>
      </c>
      <c r="AF12" s="254">
        <v>109</v>
      </c>
      <c r="AG12" s="255">
        <v>0</v>
      </c>
      <c r="AH12" s="254">
        <v>109</v>
      </c>
    </row>
    <row r="13" spans="1:36">
      <c r="A13" s="249"/>
      <c r="B13" s="239" t="s">
        <v>78</v>
      </c>
      <c r="C13" s="624">
        <f t="shared" si="16"/>
        <v>7.4653544466174587E-2</v>
      </c>
      <c r="D13" s="625">
        <f t="shared" si="16"/>
        <v>9.147174664416044E-2</v>
      </c>
      <c r="E13" s="625">
        <f t="shared" si="16"/>
        <v>0.10429493087557604</v>
      </c>
      <c r="F13" s="625">
        <f t="shared" si="16"/>
        <v>0.11243195200533274</v>
      </c>
      <c r="G13" s="625">
        <f t="shared" si="16"/>
        <v>0.12917093142272262</v>
      </c>
      <c r="H13" s="626">
        <f t="shared" si="16"/>
        <v>0.14727722772277227</v>
      </c>
      <c r="I13" s="624">
        <f t="shared" si="16"/>
        <v>9.2443182363268317E-2</v>
      </c>
      <c r="J13" s="624">
        <f t="shared" si="16"/>
        <v>0.15785277703959608</v>
      </c>
      <c r="K13" s="625">
        <f t="shared" si="16"/>
        <v>0.16134316134316135</v>
      </c>
      <c r="L13" s="625">
        <f t="shared" si="16"/>
        <v>0.22092938222651964</v>
      </c>
      <c r="M13" s="625">
        <f t="shared" si="16"/>
        <v>0.23609823911028729</v>
      </c>
      <c r="N13" s="624">
        <f t="shared" si="17"/>
        <v>0.18807225934174709</v>
      </c>
      <c r="O13" s="624">
        <f t="shared" si="17"/>
        <v>0.10159235668789809</v>
      </c>
      <c r="P13" s="625">
        <f t="shared" si="17"/>
        <v>0</v>
      </c>
      <c r="Q13" s="624">
        <f t="shared" si="17"/>
        <v>7.0279797312183298E-2</v>
      </c>
      <c r="R13" s="253"/>
      <c r="S13" s="254">
        <v>3550</v>
      </c>
      <c r="T13" s="255">
        <v>1138</v>
      </c>
      <c r="U13" s="255">
        <v>2829</v>
      </c>
      <c r="V13" s="255">
        <v>1012</v>
      </c>
      <c r="W13" s="255">
        <v>631</v>
      </c>
      <c r="X13" s="255">
        <v>476</v>
      </c>
      <c r="Y13" s="256">
        <v>9636</v>
      </c>
      <c r="Z13" s="254">
        <v>594</v>
      </c>
      <c r="AA13" s="255">
        <v>3546</v>
      </c>
      <c r="AB13" s="255">
        <v>2719</v>
      </c>
      <c r="AC13" s="255">
        <v>1019</v>
      </c>
      <c r="AD13" s="255">
        <v>558</v>
      </c>
      <c r="AE13" s="256">
        <v>8436</v>
      </c>
      <c r="AF13" s="254">
        <v>319</v>
      </c>
      <c r="AG13" s="255">
        <v>0</v>
      </c>
      <c r="AH13" s="254">
        <v>319</v>
      </c>
    </row>
    <row r="14" spans="1:36">
      <c r="A14" s="249"/>
      <c r="B14" s="239" t="s">
        <v>32</v>
      </c>
      <c r="C14" s="624">
        <f t="shared" si="16"/>
        <v>0.11078165415431203</v>
      </c>
      <c r="D14" s="625">
        <f t="shared" si="16"/>
        <v>0.12354312354312354</v>
      </c>
      <c r="E14" s="625">
        <f t="shared" si="16"/>
        <v>0.12044239631336405</v>
      </c>
      <c r="F14" s="625">
        <f t="shared" si="16"/>
        <v>8.6101544272858571E-2</v>
      </c>
      <c r="G14" s="625">
        <f t="shared" si="16"/>
        <v>9.8874104401228249E-2</v>
      </c>
      <c r="H14" s="626">
        <f t="shared" si="16"/>
        <v>4.7648514851485149E-2</v>
      </c>
      <c r="I14" s="624">
        <f t="shared" si="16"/>
        <v>0.11017201185759375</v>
      </c>
      <c r="J14" s="624">
        <f t="shared" si="16"/>
        <v>5.8463991496146691E-3</v>
      </c>
      <c r="K14" s="625">
        <f t="shared" si="16"/>
        <v>0.16607516607516606</v>
      </c>
      <c r="L14" s="625">
        <f t="shared" si="16"/>
        <v>0.18176499744050181</v>
      </c>
      <c r="M14" s="625">
        <f t="shared" si="16"/>
        <v>0.23772011121408712</v>
      </c>
      <c r="N14" s="624">
        <f t="shared" si="17"/>
        <v>0.15516630215962066</v>
      </c>
      <c r="O14" s="624">
        <f t="shared" si="17"/>
        <v>4.2038216560509552E-2</v>
      </c>
      <c r="P14" s="790">
        <f t="shared" si="17"/>
        <v>0</v>
      </c>
      <c r="Q14" s="791">
        <f t="shared" si="17"/>
        <v>2.9081295439524125E-2</v>
      </c>
      <c r="R14" s="253"/>
      <c r="S14" s="254">
        <v>5268</v>
      </c>
      <c r="T14" s="255">
        <v>1537</v>
      </c>
      <c r="U14" s="255">
        <v>3267</v>
      </c>
      <c r="V14" s="255">
        <v>775</v>
      </c>
      <c r="W14" s="255">
        <v>483</v>
      </c>
      <c r="X14" s="255">
        <v>154</v>
      </c>
      <c r="Y14" s="256">
        <v>11484</v>
      </c>
      <c r="Z14" s="254">
        <v>22</v>
      </c>
      <c r="AA14" s="255">
        <v>3650</v>
      </c>
      <c r="AB14" s="255">
        <v>2237</v>
      </c>
      <c r="AC14" s="255">
        <v>1026</v>
      </c>
      <c r="AD14" s="255">
        <v>25</v>
      </c>
      <c r="AE14" s="256">
        <v>6960</v>
      </c>
      <c r="AF14" s="254">
        <v>132</v>
      </c>
      <c r="AG14" s="255">
        <v>0</v>
      </c>
      <c r="AH14" s="254">
        <v>132</v>
      </c>
    </row>
    <row r="15" spans="1:36">
      <c r="A15" s="249"/>
      <c r="B15" s="239" t="s">
        <v>58</v>
      </c>
      <c r="C15" s="624">
        <f t="shared" si="16"/>
        <v>0</v>
      </c>
      <c r="D15" s="790">
        <f t="shared" si="16"/>
        <v>0</v>
      </c>
      <c r="E15" s="625">
        <f t="shared" si="16"/>
        <v>0</v>
      </c>
      <c r="F15" s="790">
        <f t="shared" si="16"/>
        <v>0</v>
      </c>
      <c r="G15" s="790">
        <f t="shared" si="16"/>
        <v>0</v>
      </c>
      <c r="H15" s="626">
        <f t="shared" si="16"/>
        <v>0</v>
      </c>
      <c r="I15" s="624">
        <f t="shared" si="16"/>
        <v>0</v>
      </c>
      <c r="J15" s="624">
        <f t="shared" si="16"/>
        <v>0.6545309593409514</v>
      </c>
      <c r="K15" s="625">
        <f t="shared" si="16"/>
        <v>0.33592683592683592</v>
      </c>
      <c r="L15" s="625">
        <f t="shared" si="16"/>
        <v>0.30056633975510072</v>
      </c>
      <c r="M15" s="625">
        <f t="shared" si="16"/>
        <v>0.34916589434661721</v>
      </c>
      <c r="N15" s="624">
        <f t="shared" si="17"/>
        <v>0.33557165183000376</v>
      </c>
      <c r="O15" s="624">
        <f t="shared" si="17"/>
        <v>0.7894904458598726</v>
      </c>
      <c r="P15" s="625">
        <f t="shared" si="17"/>
        <v>1</v>
      </c>
      <c r="Q15" s="624">
        <f t="shared" si="17"/>
        <v>0.85437320995814059</v>
      </c>
      <c r="R15" s="253"/>
      <c r="S15" s="254">
        <v>0</v>
      </c>
      <c r="T15" s="255">
        <v>0</v>
      </c>
      <c r="U15" s="255">
        <v>0</v>
      </c>
      <c r="V15" s="255">
        <v>0</v>
      </c>
      <c r="W15" s="255">
        <v>0</v>
      </c>
      <c r="X15" s="255">
        <v>0</v>
      </c>
      <c r="Y15" s="256">
        <v>0</v>
      </c>
      <c r="Z15" s="254">
        <v>2463</v>
      </c>
      <c r="AA15" s="255">
        <v>7383</v>
      </c>
      <c r="AB15" s="255">
        <v>3699.1</v>
      </c>
      <c r="AC15" s="255">
        <v>1507</v>
      </c>
      <c r="AD15" s="255">
        <v>0</v>
      </c>
      <c r="AE15" s="256">
        <v>15052.1</v>
      </c>
      <c r="AF15" s="254">
        <v>2479</v>
      </c>
      <c r="AG15" s="255">
        <v>1399</v>
      </c>
      <c r="AH15" s="254">
        <v>3878</v>
      </c>
    </row>
    <row r="16" spans="1:36">
      <c r="A16" s="435" t="s">
        <v>86</v>
      </c>
      <c r="B16" s="436" t="s">
        <v>59</v>
      </c>
      <c r="C16" s="577">
        <f>IF(S$16&gt;0,(S16/S$16),0)</f>
        <v>1</v>
      </c>
      <c r="D16" s="578">
        <f t="shared" si="16"/>
        <v>1</v>
      </c>
      <c r="E16" s="578">
        <f t="shared" si="16"/>
        <v>1</v>
      </c>
      <c r="F16" s="578">
        <f t="shared" si="16"/>
        <v>1</v>
      </c>
      <c r="G16" s="578">
        <f t="shared" si="16"/>
        <v>1</v>
      </c>
      <c r="H16" s="579">
        <f t="shared" si="16"/>
        <v>1</v>
      </c>
      <c r="I16" s="577">
        <f t="shared" si="16"/>
        <v>1</v>
      </c>
      <c r="J16" s="577">
        <f t="shared" si="16"/>
        <v>1</v>
      </c>
      <c r="K16" s="578">
        <f t="shared" si="16"/>
        <v>1</v>
      </c>
      <c r="L16" s="578">
        <f t="shared" si="16"/>
        <v>1</v>
      </c>
      <c r="M16" s="578">
        <f t="shared" si="16"/>
        <v>1</v>
      </c>
      <c r="N16" s="577">
        <f t="shared" si="17"/>
        <v>1</v>
      </c>
      <c r="O16" s="577">
        <f t="shared" si="17"/>
        <v>1</v>
      </c>
      <c r="P16" s="578">
        <f t="shared" si="17"/>
        <v>1</v>
      </c>
      <c r="Q16" s="577">
        <f t="shared" si="17"/>
        <v>1</v>
      </c>
      <c r="R16" s="264"/>
      <c r="S16" s="265">
        <v>47553</v>
      </c>
      <c r="T16" s="266">
        <v>12441</v>
      </c>
      <c r="U16" s="266">
        <v>27125</v>
      </c>
      <c r="V16" s="266">
        <v>9001</v>
      </c>
      <c r="W16" s="266">
        <v>4885</v>
      </c>
      <c r="X16" s="266">
        <v>3232</v>
      </c>
      <c r="Y16" s="267">
        <v>104237</v>
      </c>
      <c r="Z16" s="265">
        <v>3763</v>
      </c>
      <c r="AA16" s="266">
        <v>21978</v>
      </c>
      <c r="AB16" s="266">
        <v>12307.1</v>
      </c>
      <c r="AC16" s="266">
        <v>4316</v>
      </c>
      <c r="AD16" s="266">
        <v>2491</v>
      </c>
      <c r="AE16" s="267">
        <v>44855.1</v>
      </c>
      <c r="AF16" s="265">
        <v>3140</v>
      </c>
      <c r="AG16" s="266">
        <v>1399</v>
      </c>
      <c r="AH16" s="265">
        <v>4539</v>
      </c>
    </row>
    <row r="17" spans="1:34">
      <c r="A17" s="239" t="s">
        <v>4</v>
      </c>
      <c r="B17" s="240" t="s">
        <v>53</v>
      </c>
      <c r="C17" s="613">
        <f t="shared" ref="C17:M23" si="18">IF(S$23&gt;0,(S17/S$23),0)</f>
        <v>0.32126696832579188</v>
      </c>
      <c r="D17" s="614">
        <f t="shared" si="18"/>
        <v>0.25792630676949441</v>
      </c>
      <c r="E17" s="614">
        <f t="shared" si="18"/>
        <v>0.22905759162303665</v>
      </c>
      <c r="F17" s="614">
        <f t="shared" si="18"/>
        <v>0.2655367231638418</v>
      </c>
      <c r="G17" s="614">
        <f t="shared" si="18"/>
        <v>0.22813688212927757</v>
      </c>
      <c r="H17" s="615">
        <f t="shared" si="18"/>
        <v>0.22727272727272727</v>
      </c>
      <c r="I17" s="613">
        <f t="shared" si="18"/>
        <v>0.274858528698464</v>
      </c>
      <c r="J17" s="613">
        <f t="shared" si="18"/>
        <v>0</v>
      </c>
      <c r="K17" s="614">
        <f t="shared" si="18"/>
        <v>0</v>
      </c>
      <c r="L17" s="614">
        <f t="shared" si="18"/>
        <v>0</v>
      </c>
      <c r="M17" s="614">
        <f t="shared" si="18"/>
        <v>0</v>
      </c>
      <c r="N17" s="613">
        <f t="shared" ref="N17:Q23" si="19">IF(AE$23&gt;0,(AE17/AE$23),0)</f>
        <v>0</v>
      </c>
      <c r="O17" s="788">
        <f t="shared" si="19"/>
        <v>0</v>
      </c>
      <c r="P17" s="614">
        <f t="shared" si="19"/>
        <v>0</v>
      </c>
      <c r="Q17" s="788">
        <f t="shared" si="19"/>
        <v>0</v>
      </c>
      <c r="R17" s="244"/>
      <c r="S17" s="847">
        <v>781</v>
      </c>
      <c r="T17" s="848">
        <v>301</v>
      </c>
      <c r="U17" s="848">
        <v>350</v>
      </c>
      <c r="V17" s="848">
        <v>188</v>
      </c>
      <c r="W17" s="848">
        <v>60</v>
      </c>
      <c r="X17" s="848">
        <v>20</v>
      </c>
      <c r="Y17" s="849">
        <v>1700</v>
      </c>
      <c r="Z17" s="847"/>
      <c r="AA17" s="848">
        <v>0</v>
      </c>
      <c r="AB17" s="848">
        <v>0</v>
      </c>
      <c r="AC17" s="848">
        <v>0</v>
      </c>
      <c r="AD17" s="848"/>
      <c r="AE17" s="849">
        <v>0</v>
      </c>
      <c r="AF17" s="847">
        <v>0</v>
      </c>
      <c r="AG17" s="848">
        <v>0</v>
      </c>
      <c r="AH17" s="847">
        <v>0</v>
      </c>
    </row>
    <row r="18" spans="1:34">
      <c r="A18" s="249"/>
      <c r="B18" s="239" t="s">
        <v>93</v>
      </c>
      <c r="C18" s="624">
        <f t="shared" si="18"/>
        <v>0.29041546688605513</v>
      </c>
      <c r="D18" s="625">
        <f t="shared" si="18"/>
        <v>0.29562982005141386</v>
      </c>
      <c r="E18" s="625">
        <f t="shared" si="18"/>
        <v>0.24410994764397906</v>
      </c>
      <c r="F18" s="625">
        <f t="shared" si="18"/>
        <v>0.25988700564971751</v>
      </c>
      <c r="G18" s="625">
        <f t="shared" si="18"/>
        <v>0.2585551330798479</v>
      </c>
      <c r="H18" s="626">
        <f t="shared" si="18"/>
        <v>0.29545454545454547</v>
      </c>
      <c r="I18" s="624">
        <f t="shared" si="18"/>
        <v>0.2751818916734034</v>
      </c>
      <c r="J18" s="624">
        <f t="shared" si="18"/>
        <v>0</v>
      </c>
      <c r="K18" s="625">
        <f t="shared" si="18"/>
        <v>0</v>
      </c>
      <c r="L18" s="625">
        <f t="shared" si="18"/>
        <v>0</v>
      </c>
      <c r="M18" s="625">
        <f t="shared" si="18"/>
        <v>0</v>
      </c>
      <c r="N18" s="624">
        <f t="shared" si="19"/>
        <v>0</v>
      </c>
      <c r="O18" s="624">
        <f t="shared" si="19"/>
        <v>0</v>
      </c>
      <c r="P18" s="625">
        <f t="shared" si="19"/>
        <v>0</v>
      </c>
      <c r="Q18" s="624">
        <f t="shared" si="19"/>
        <v>0</v>
      </c>
      <c r="R18" s="253"/>
      <c r="S18" s="850">
        <v>706</v>
      </c>
      <c r="T18" s="851">
        <v>345</v>
      </c>
      <c r="U18" s="851">
        <v>373</v>
      </c>
      <c r="V18" s="851">
        <v>184</v>
      </c>
      <c r="W18" s="851">
        <v>68</v>
      </c>
      <c r="X18" s="851">
        <v>26</v>
      </c>
      <c r="Y18" s="852">
        <v>1702</v>
      </c>
      <c r="Z18" s="850"/>
      <c r="AA18" s="851">
        <v>0</v>
      </c>
      <c r="AB18" s="851">
        <v>0</v>
      </c>
      <c r="AC18" s="851">
        <v>0</v>
      </c>
      <c r="AD18" s="851"/>
      <c r="AE18" s="852">
        <v>0</v>
      </c>
      <c r="AF18" s="850">
        <v>0</v>
      </c>
      <c r="AG18" s="851">
        <v>0</v>
      </c>
      <c r="AH18" s="850">
        <v>0</v>
      </c>
    </row>
    <row r="19" spans="1:34">
      <c r="A19" s="249"/>
      <c r="B19" s="239" t="s">
        <v>55</v>
      </c>
      <c r="C19" s="624">
        <f t="shared" si="18"/>
        <v>0.2369395310571781</v>
      </c>
      <c r="D19" s="625">
        <f t="shared" si="18"/>
        <v>0.31705227077977721</v>
      </c>
      <c r="E19" s="625">
        <f t="shared" si="18"/>
        <v>0.30890052356020942</v>
      </c>
      <c r="F19" s="625">
        <f t="shared" si="18"/>
        <v>0.32203389830508472</v>
      </c>
      <c r="G19" s="625">
        <f t="shared" si="18"/>
        <v>0.4220532319391635</v>
      </c>
      <c r="H19" s="626">
        <f t="shared" si="18"/>
        <v>0.44318181818181818</v>
      </c>
      <c r="I19" s="624">
        <f t="shared" si="18"/>
        <v>0.29037995149555373</v>
      </c>
      <c r="J19" s="624">
        <f t="shared" si="18"/>
        <v>0</v>
      </c>
      <c r="K19" s="625">
        <f t="shared" si="18"/>
        <v>0</v>
      </c>
      <c r="L19" s="625">
        <f t="shared" si="18"/>
        <v>0</v>
      </c>
      <c r="M19" s="625">
        <f t="shared" si="18"/>
        <v>0</v>
      </c>
      <c r="N19" s="624">
        <f t="shared" si="19"/>
        <v>0</v>
      </c>
      <c r="O19" s="624">
        <f t="shared" si="19"/>
        <v>0</v>
      </c>
      <c r="P19" s="625">
        <f t="shared" si="19"/>
        <v>0</v>
      </c>
      <c r="Q19" s="624">
        <f t="shared" si="19"/>
        <v>0</v>
      </c>
      <c r="R19" s="253"/>
      <c r="S19" s="850">
        <v>576</v>
      </c>
      <c r="T19" s="851">
        <v>370</v>
      </c>
      <c r="U19" s="851">
        <v>472</v>
      </c>
      <c r="V19" s="851">
        <v>228</v>
      </c>
      <c r="W19" s="851">
        <v>111</v>
      </c>
      <c r="X19" s="851">
        <v>39</v>
      </c>
      <c r="Y19" s="852">
        <v>1796</v>
      </c>
      <c r="Z19" s="850"/>
      <c r="AA19" s="851">
        <v>0</v>
      </c>
      <c r="AB19" s="851">
        <v>0</v>
      </c>
      <c r="AC19" s="851">
        <v>0</v>
      </c>
      <c r="AD19" s="851"/>
      <c r="AE19" s="852">
        <v>0</v>
      </c>
      <c r="AF19" s="850">
        <v>0</v>
      </c>
      <c r="AG19" s="851">
        <v>0</v>
      </c>
      <c r="AH19" s="850">
        <v>0</v>
      </c>
    </row>
    <row r="20" spans="1:34">
      <c r="A20" s="249"/>
      <c r="B20" s="239" t="s">
        <v>78</v>
      </c>
      <c r="C20" s="624">
        <f t="shared" si="18"/>
        <v>0.14356232003290828</v>
      </c>
      <c r="D20" s="625">
        <f t="shared" si="18"/>
        <v>9.4258783204798635E-2</v>
      </c>
      <c r="E20" s="625">
        <f t="shared" si="18"/>
        <v>0.16753926701570682</v>
      </c>
      <c r="F20" s="625">
        <f t="shared" si="18"/>
        <v>0.14689265536723164</v>
      </c>
      <c r="G20" s="625">
        <f t="shared" si="18"/>
        <v>7.6045627376425853E-2</v>
      </c>
      <c r="H20" s="626">
        <f t="shared" si="18"/>
        <v>3.4090909090909088E-2</v>
      </c>
      <c r="I20" s="624">
        <f t="shared" si="18"/>
        <v>0.13613581244947454</v>
      </c>
      <c r="J20" s="624">
        <f t="shared" si="18"/>
        <v>0</v>
      </c>
      <c r="K20" s="625">
        <f t="shared" si="18"/>
        <v>0</v>
      </c>
      <c r="L20" s="625">
        <f t="shared" si="18"/>
        <v>0</v>
      </c>
      <c r="M20" s="625">
        <f t="shared" si="18"/>
        <v>0</v>
      </c>
      <c r="N20" s="624">
        <f t="shared" si="19"/>
        <v>0</v>
      </c>
      <c r="O20" s="624">
        <f t="shared" si="19"/>
        <v>0</v>
      </c>
      <c r="P20" s="625">
        <f t="shared" si="19"/>
        <v>0</v>
      </c>
      <c r="Q20" s="624">
        <f t="shared" si="19"/>
        <v>0</v>
      </c>
      <c r="R20" s="253"/>
      <c r="S20" s="850">
        <v>349</v>
      </c>
      <c r="T20" s="851">
        <v>110</v>
      </c>
      <c r="U20" s="851">
        <v>256</v>
      </c>
      <c r="V20" s="851">
        <v>104</v>
      </c>
      <c r="W20" s="851">
        <v>20</v>
      </c>
      <c r="X20" s="851">
        <v>3</v>
      </c>
      <c r="Y20" s="852">
        <v>842</v>
      </c>
      <c r="Z20" s="850"/>
      <c r="AA20" s="851">
        <v>0</v>
      </c>
      <c r="AB20" s="851">
        <v>0</v>
      </c>
      <c r="AC20" s="851">
        <v>0</v>
      </c>
      <c r="AD20" s="851"/>
      <c r="AE20" s="852">
        <v>0</v>
      </c>
      <c r="AF20" s="850">
        <v>0</v>
      </c>
      <c r="AG20" s="851">
        <v>0</v>
      </c>
      <c r="AH20" s="850">
        <v>0</v>
      </c>
    </row>
    <row r="21" spans="1:34">
      <c r="A21" s="249"/>
      <c r="B21" s="239" t="s">
        <v>32</v>
      </c>
      <c r="C21" s="624">
        <f t="shared" si="18"/>
        <v>7.8157136980666394E-3</v>
      </c>
      <c r="D21" s="625">
        <f t="shared" si="18"/>
        <v>3.5132819194515851E-2</v>
      </c>
      <c r="E21" s="625">
        <f t="shared" si="18"/>
        <v>5.039267015706806E-2</v>
      </c>
      <c r="F21" s="790">
        <f t="shared" si="18"/>
        <v>5.6497175141242938E-3</v>
      </c>
      <c r="G21" s="625">
        <f t="shared" si="18"/>
        <v>1.5209125475285171E-2</v>
      </c>
      <c r="H21" s="626">
        <f t="shared" si="18"/>
        <v>0</v>
      </c>
      <c r="I21" s="624">
        <f t="shared" si="18"/>
        <v>2.3443815683104285E-2</v>
      </c>
      <c r="J21" s="624">
        <f t="shared" si="18"/>
        <v>0</v>
      </c>
      <c r="K21" s="625">
        <f t="shared" si="18"/>
        <v>0</v>
      </c>
      <c r="L21" s="625">
        <f t="shared" si="18"/>
        <v>0</v>
      </c>
      <c r="M21" s="625">
        <f t="shared" si="18"/>
        <v>0</v>
      </c>
      <c r="N21" s="624">
        <f t="shared" si="19"/>
        <v>0</v>
      </c>
      <c r="O21" s="624">
        <f t="shared" si="19"/>
        <v>0</v>
      </c>
      <c r="P21" s="625">
        <f t="shared" si="19"/>
        <v>0</v>
      </c>
      <c r="Q21" s="624">
        <f t="shared" si="19"/>
        <v>0</v>
      </c>
      <c r="R21" s="253"/>
      <c r="S21" s="850">
        <v>19</v>
      </c>
      <c r="T21" s="851">
        <v>41</v>
      </c>
      <c r="U21" s="851">
        <v>77</v>
      </c>
      <c r="V21" s="851">
        <v>4</v>
      </c>
      <c r="W21" s="851">
        <v>4</v>
      </c>
      <c r="X21" s="851">
        <v>0</v>
      </c>
      <c r="Y21" s="852">
        <v>145</v>
      </c>
      <c r="Z21" s="850"/>
      <c r="AA21" s="851">
        <v>0</v>
      </c>
      <c r="AB21" s="851">
        <v>0</v>
      </c>
      <c r="AC21" s="851">
        <v>0</v>
      </c>
      <c r="AD21" s="851"/>
      <c r="AE21" s="852">
        <v>0</v>
      </c>
      <c r="AF21" s="850">
        <v>0</v>
      </c>
      <c r="AG21" s="851">
        <v>0</v>
      </c>
      <c r="AH21" s="850">
        <v>0</v>
      </c>
    </row>
    <row r="22" spans="1:34">
      <c r="A22" s="249"/>
      <c r="B22" s="239" t="s">
        <v>58</v>
      </c>
      <c r="C22" s="624">
        <f t="shared" si="18"/>
        <v>0</v>
      </c>
      <c r="D22" s="625">
        <f t="shared" si="18"/>
        <v>0</v>
      </c>
      <c r="E22" s="792">
        <f t="shared" si="18"/>
        <v>0</v>
      </c>
      <c r="F22" s="625">
        <f t="shared" si="18"/>
        <v>0</v>
      </c>
      <c r="G22" s="790">
        <f t="shared" si="18"/>
        <v>0</v>
      </c>
      <c r="H22" s="626">
        <f t="shared" si="18"/>
        <v>0</v>
      </c>
      <c r="I22" s="793">
        <f t="shared" si="18"/>
        <v>0</v>
      </c>
      <c r="J22" s="624">
        <f t="shared" si="18"/>
        <v>0</v>
      </c>
      <c r="K22" s="625">
        <f t="shared" si="18"/>
        <v>1</v>
      </c>
      <c r="L22" s="625">
        <f t="shared" si="18"/>
        <v>1</v>
      </c>
      <c r="M22" s="625">
        <f t="shared" si="18"/>
        <v>1</v>
      </c>
      <c r="N22" s="624">
        <f t="shared" si="19"/>
        <v>1</v>
      </c>
      <c r="O22" s="624">
        <f t="shared" si="19"/>
        <v>1</v>
      </c>
      <c r="P22" s="625">
        <f t="shared" si="19"/>
        <v>1</v>
      </c>
      <c r="Q22" s="624">
        <f t="shared" si="19"/>
        <v>1</v>
      </c>
      <c r="R22" s="253"/>
      <c r="S22" s="850">
        <v>0</v>
      </c>
      <c r="T22" s="851">
        <v>0</v>
      </c>
      <c r="U22" s="851">
        <v>0</v>
      </c>
      <c r="V22" s="851">
        <v>0</v>
      </c>
      <c r="W22" s="851">
        <v>0</v>
      </c>
      <c r="X22" s="851">
        <v>0</v>
      </c>
      <c r="Y22" s="852">
        <v>0</v>
      </c>
      <c r="Z22" s="850"/>
      <c r="AA22" s="851">
        <v>517</v>
      </c>
      <c r="AB22" s="851">
        <v>933</v>
      </c>
      <c r="AC22" s="851">
        <v>258</v>
      </c>
      <c r="AD22" s="851"/>
      <c r="AE22" s="852">
        <v>1708</v>
      </c>
      <c r="AF22" s="850">
        <v>64</v>
      </c>
      <c r="AG22" s="851">
        <v>89</v>
      </c>
      <c r="AH22" s="850">
        <v>153</v>
      </c>
    </row>
    <row r="23" spans="1:34">
      <c r="A23" s="435"/>
      <c r="B23" s="436" t="s">
        <v>59</v>
      </c>
      <c r="C23" s="577">
        <f t="shared" si="18"/>
        <v>1</v>
      </c>
      <c r="D23" s="578">
        <f t="shared" si="18"/>
        <v>1</v>
      </c>
      <c r="E23" s="578">
        <f t="shared" si="18"/>
        <v>1</v>
      </c>
      <c r="F23" s="578">
        <f t="shared" si="18"/>
        <v>1</v>
      </c>
      <c r="G23" s="578">
        <f t="shared" si="18"/>
        <v>1</v>
      </c>
      <c r="H23" s="579">
        <f t="shared" si="18"/>
        <v>1</v>
      </c>
      <c r="I23" s="577">
        <f t="shared" si="18"/>
        <v>1</v>
      </c>
      <c r="J23" s="577">
        <f t="shared" si="18"/>
        <v>0</v>
      </c>
      <c r="K23" s="578">
        <f t="shared" si="18"/>
        <v>1</v>
      </c>
      <c r="L23" s="578">
        <f t="shared" si="18"/>
        <v>1</v>
      </c>
      <c r="M23" s="578">
        <f t="shared" si="18"/>
        <v>1</v>
      </c>
      <c r="N23" s="577">
        <f t="shared" si="19"/>
        <v>1</v>
      </c>
      <c r="O23" s="577">
        <f t="shared" si="19"/>
        <v>1</v>
      </c>
      <c r="P23" s="578">
        <f t="shared" si="19"/>
        <v>1</v>
      </c>
      <c r="Q23" s="577">
        <f t="shared" si="19"/>
        <v>1</v>
      </c>
      <c r="R23" s="264"/>
      <c r="S23" s="853">
        <v>2431</v>
      </c>
      <c r="T23" s="854">
        <v>1167</v>
      </c>
      <c r="U23" s="854">
        <v>1528</v>
      </c>
      <c r="V23" s="854">
        <v>708</v>
      </c>
      <c r="W23" s="854">
        <v>263</v>
      </c>
      <c r="X23" s="854">
        <v>88</v>
      </c>
      <c r="Y23" s="855">
        <v>6185</v>
      </c>
      <c r="Z23" s="853"/>
      <c r="AA23" s="854">
        <v>517</v>
      </c>
      <c r="AB23" s="854">
        <v>933</v>
      </c>
      <c r="AC23" s="854">
        <v>258</v>
      </c>
      <c r="AD23" s="854"/>
      <c r="AE23" s="855">
        <v>1708</v>
      </c>
      <c r="AF23" s="853">
        <v>64</v>
      </c>
      <c r="AG23" s="854">
        <v>89</v>
      </c>
      <c r="AH23" s="853">
        <v>153</v>
      </c>
    </row>
    <row r="24" spans="1:34">
      <c r="A24" s="239" t="s">
        <v>5</v>
      </c>
      <c r="B24" s="240" t="s">
        <v>53</v>
      </c>
      <c r="C24" s="613">
        <f t="shared" ref="C24:M30" si="20">IF(S$30&gt;0,(S24/S$30),0)</f>
        <v>0.35019083969465647</v>
      </c>
      <c r="D24" s="614">
        <f t="shared" si="20"/>
        <v>0</v>
      </c>
      <c r="E24" s="614">
        <f t="shared" si="20"/>
        <v>0.21679064824654623</v>
      </c>
      <c r="F24" s="614">
        <f t="shared" si="20"/>
        <v>0.26190476190476192</v>
      </c>
      <c r="G24" s="614">
        <f t="shared" si="20"/>
        <v>0.12582781456953643</v>
      </c>
      <c r="H24" s="615">
        <f t="shared" si="20"/>
        <v>0.10194174757281553</v>
      </c>
      <c r="I24" s="613">
        <f t="shared" si="20"/>
        <v>0.24131627056672761</v>
      </c>
      <c r="J24" s="613">
        <f t="shared" si="20"/>
        <v>0</v>
      </c>
      <c r="K24" s="614">
        <f t="shared" si="20"/>
        <v>0</v>
      </c>
      <c r="L24" s="614">
        <f t="shared" si="20"/>
        <v>4.4052863436123352E-3</v>
      </c>
      <c r="M24" s="614">
        <f t="shared" si="20"/>
        <v>1.698754246885617E-2</v>
      </c>
      <c r="N24" s="788">
        <f t="shared" ref="N24:Q30" si="21">IF(AE$30&gt;0,(AE24/AE$30),0)</f>
        <v>1.1188811188811189E-2</v>
      </c>
      <c r="O24" s="788">
        <f t="shared" si="21"/>
        <v>0</v>
      </c>
      <c r="P24" s="614">
        <f t="shared" si="21"/>
        <v>0</v>
      </c>
      <c r="Q24" s="788">
        <f t="shared" si="21"/>
        <v>0</v>
      </c>
      <c r="R24" s="244"/>
      <c r="S24" s="245">
        <v>367</v>
      </c>
      <c r="T24" s="246"/>
      <c r="U24" s="246">
        <v>408</v>
      </c>
      <c r="V24" s="246">
        <v>88</v>
      </c>
      <c r="W24" s="246">
        <v>19</v>
      </c>
      <c r="X24" s="246">
        <v>42</v>
      </c>
      <c r="Y24" s="247">
        <v>924</v>
      </c>
      <c r="Z24" s="245"/>
      <c r="AA24" s="246">
        <v>0</v>
      </c>
      <c r="AB24" s="246">
        <v>1</v>
      </c>
      <c r="AC24" s="246">
        <v>15</v>
      </c>
      <c r="AD24" s="246"/>
      <c r="AE24" s="247">
        <v>16</v>
      </c>
      <c r="AF24" s="245">
        <v>0</v>
      </c>
      <c r="AG24" s="246">
        <v>0</v>
      </c>
      <c r="AH24" s="245">
        <v>0</v>
      </c>
    </row>
    <row r="25" spans="1:34">
      <c r="A25" s="249"/>
      <c r="B25" s="239" t="s">
        <v>93</v>
      </c>
      <c r="C25" s="624">
        <f t="shared" si="20"/>
        <v>0.20801526717557253</v>
      </c>
      <c r="D25" s="625">
        <f t="shared" si="20"/>
        <v>0</v>
      </c>
      <c r="E25" s="625">
        <f t="shared" si="20"/>
        <v>0.25185972369819343</v>
      </c>
      <c r="F25" s="625">
        <f t="shared" si="20"/>
        <v>0.21726190476190477</v>
      </c>
      <c r="G25" s="625">
        <f t="shared" si="20"/>
        <v>0.32450331125827814</v>
      </c>
      <c r="H25" s="626">
        <f t="shared" si="20"/>
        <v>0.22815533980582525</v>
      </c>
      <c r="I25" s="624">
        <f t="shared" si="20"/>
        <v>0.23713763384695744</v>
      </c>
      <c r="J25" s="624">
        <f t="shared" si="20"/>
        <v>0</v>
      </c>
      <c r="K25" s="625">
        <f t="shared" si="20"/>
        <v>0</v>
      </c>
      <c r="L25" s="625">
        <f t="shared" si="20"/>
        <v>4.405286343612335E-2</v>
      </c>
      <c r="M25" s="625">
        <f t="shared" si="20"/>
        <v>3.3975084937712344E-3</v>
      </c>
      <c r="N25" s="624">
        <f t="shared" si="21"/>
        <v>9.0909090909090905E-3</v>
      </c>
      <c r="O25" s="624">
        <f t="shared" si="21"/>
        <v>0</v>
      </c>
      <c r="P25" s="625">
        <f t="shared" si="21"/>
        <v>0</v>
      </c>
      <c r="Q25" s="624">
        <f t="shared" si="21"/>
        <v>0</v>
      </c>
      <c r="R25" s="253"/>
      <c r="S25" s="254">
        <v>218</v>
      </c>
      <c r="T25" s="255"/>
      <c r="U25" s="255">
        <v>474</v>
      </c>
      <c r="V25" s="255">
        <v>73</v>
      </c>
      <c r="W25" s="255">
        <v>49</v>
      </c>
      <c r="X25" s="255">
        <v>94</v>
      </c>
      <c r="Y25" s="256">
        <v>908</v>
      </c>
      <c r="Z25" s="254"/>
      <c r="AA25" s="255">
        <v>0</v>
      </c>
      <c r="AB25" s="255">
        <v>10</v>
      </c>
      <c r="AC25" s="255">
        <v>3</v>
      </c>
      <c r="AD25" s="255"/>
      <c r="AE25" s="256">
        <v>13</v>
      </c>
      <c r="AF25" s="254">
        <v>0</v>
      </c>
      <c r="AG25" s="255">
        <v>0</v>
      </c>
      <c r="AH25" s="254">
        <v>0</v>
      </c>
    </row>
    <row r="26" spans="1:34">
      <c r="A26" s="249"/>
      <c r="B26" s="239" t="s">
        <v>55</v>
      </c>
      <c r="C26" s="624">
        <f t="shared" si="20"/>
        <v>0.18606870229007633</v>
      </c>
      <c r="D26" s="625">
        <f t="shared" si="20"/>
        <v>0</v>
      </c>
      <c r="E26" s="625">
        <f t="shared" si="20"/>
        <v>0.27683315621679067</v>
      </c>
      <c r="F26" s="625">
        <f t="shared" si="20"/>
        <v>0.29761904761904762</v>
      </c>
      <c r="G26" s="625">
        <f t="shared" si="20"/>
        <v>0.13907284768211919</v>
      </c>
      <c r="H26" s="626">
        <f t="shared" si="20"/>
        <v>0.36165048543689321</v>
      </c>
      <c r="I26" s="624">
        <f t="shared" si="20"/>
        <v>0.25750848785583702</v>
      </c>
      <c r="J26" s="624">
        <f t="shared" si="20"/>
        <v>0</v>
      </c>
      <c r="K26" s="625">
        <f t="shared" si="20"/>
        <v>0</v>
      </c>
      <c r="L26" s="625">
        <f t="shared" si="20"/>
        <v>0.15859030837004406</v>
      </c>
      <c r="M26" s="625">
        <f t="shared" si="20"/>
        <v>5.6625141562853906E-2</v>
      </c>
      <c r="N26" s="624">
        <f t="shared" si="21"/>
        <v>6.0139860139860141E-2</v>
      </c>
      <c r="O26" s="624">
        <f t="shared" si="21"/>
        <v>0</v>
      </c>
      <c r="P26" s="625">
        <f t="shared" si="21"/>
        <v>0</v>
      </c>
      <c r="Q26" s="624">
        <f t="shared" si="21"/>
        <v>0</v>
      </c>
      <c r="R26" s="253"/>
      <c r="S26" s="254">
        <v>195</v>
      </c>
      <c r="T26" s="255"/>
      <c r="U26" s="255">
        <v>521</v>
      </c>
      <c r="V26" s="255">
        <v>100</v>
      </c>
      <c r="W26" s="255">
        <v>21</v>
      </c>
      <c r="X26" s="255">
        <v>149</v>
      </c>
      <c r="Y26" s="256">
        <v>986</v>
      </c>
      <c r="Z26" s="254"/>
      <c r="AA26" s="255">
        <v>0</v>
      </c>
      <c r="AB26" s="255">
        <v>36</v>
      </c>
      <c r="AC26" s="255">
        <v>50</v>
      </c>
      <c r="AD26" s="255"/>
      <c r="AE26" s="256">
        <v>86</v>
      </c>
      <c r="AF26" s="254">
        <v>0</v>
      </c>
      <c r="AG26" s="255">
        <v>0</v>
      </c>
      <c r="AH26" s="254">
        <v>0</v>
      </c>
    </row>
    <row r="27" spans="1:34">
      <c r="A27" s="249"/>
      <c r="B27" s="239" t="s">
        <v>78</v>
      </c>
      <c r="C27" s="624">
        <f t="shared" si="20"/>
        <v>0.17366412213740459</v>
      </c>
      <c r="D27" s="625">
        <f t="shared" si="20"/>
        <v>0</v>
      </c>
      <c r="E27" s="625">
        <f t="shared" si="20"/>
        <v>0.1689691817215728</v>
      </c>
      <c r="F27" s="625">
        <f t="shared" si="20"/>
        <v>0.21726190476190477</v>
      </c>
      <c r="G27" s="625">
        <f t="shared" si="20"/>
        <v>0.41059602649006621</v>
      </c>
      <c r="H27" s="626">
        <f t="shared" si="20"/>
        <v>0.28155339805825241</v>
      </c>
      <c r="I27" s="624">
        <f t="shared" si="20"/>
        <v>0.1961347610342126</v>
      </c>
      <c r="J27" s="624">
        <f t="shared" si="20"/>
        <v>0</v>
      </c>
      <c r="K27" s="625">
        <f t="shared" si="20"/>
        <v>0</v>
      </c>
      <c r="L27" s="625">
        <f t="shared" si="20"/>
        <v>0.36123348017621143</v>
      </c>
      <c r="M27" s="625">
        <f t="shared" si="20"/>
        <v>0.11325028312570781</v>
      </c>
      <c r="N27" s="624">
        <f t="shared" si="21"/>
        <v>0.12727272727272726</v>
      </c>
      <c r="O27" s="624">
        <f t="shared" si="21"/>
        <v>0</v>
      </c>
      <c r="P27" s="625">
        <f t="shared" si="21"/>
        <v>0</v>
      </c>
      <c r="Q27" s="624">
        <f t="shared" si="21"/>
        <v>0</v>
      </c>
      <c r="R27" s="253"/>
      <c r="S27" s="254">
        <v>182</v>
      </c>
      <c r="T27" s="255"/>
      <c r="U27" s="255">
        <v>318</v>
      </c>
      <c r="V27" s="255">
        <v>73</v>
      </c>
      <c r="W27" s="255">
        <v>62</v>
      </c>
      <c r="X27" s="255">
        <v>116</v>
      </c>
      <c r="Y27" s="256">
        <v>751</v>
      </c>
      <c r="Z27" s="254"/>
      <c r="AA27" s="255">
        <v>0</v>
      </c>
      <c r="AB27" s="255">
        <v>82</v>
      </c>
      <c r="AC27" s="255">
        <v>100</v>
      </c>
      <c r="AD27" s="255"/>
      <c r="AE27" s="256">
        <v>182</v>
      </c>
      <c r="AF27" s="254">
        <v>0</v>
      </c>
      <c r="AG27" s="255">
        <v>0</v>
      </c>
      <c r="AH27" s="254">
        <v>0</v>
      </c>
    </row>
    <row r="28" spans="1:34">
      <c r="A28" s="249"/>
      <c r="B28" s="239" t="s">
        <v>32</v>
      </c>
      <c r="C28" s="624">
        <f t="shared" si="20"/>
        <v>8.2061068702290074E-2</v>
      </c>
      <c r="D28" s="625">
        <f t="shared" si="20"/>
        <v>0</v>
      </c>
      <c r="E28" s="625">
        <f t="shared" si="20"/>
        <v>8.5547290116896921E-2</v>
      </c>
      <c r="F28" s="625">
        <f t="shared" si="20"/>
        <v>5.9523809523809521E-3</v>
      </c>
      <c r="G28" s="625">
        <f t="shared" si="20"/>
        <v>0</v>
      </c>
      <c r="H28" s="626">
        <f t="shared" si="20"/>
        <v>2.6699029126213591E-2</v>
      </c>
      <c r="I28" s="624">
        <f t="shared" si="20"/>
        <v>6.790284669626534E-2</v>
      </c>
      <c r="J28" s="624">
        <f t="shared" si="20"/>
        <v>0</v>
      </c>
      <c r="K28" s="625">
        <f t="shared" si="20"/>
        <v>0</v>
      </c>
      <c r="L28" s="625">
        <f t="shared" si="20"/>
        <v>0</v>
      </c>
      <c r="M28" s="625">
        <f t="shared" si="20"/>
        <v>0</v>
      </c>
      <c r="N28" s="624">
        <f t="shared" si="21"/>
        <v>0</v>
      </c>
      <c r="O28" s="624">
        <f t="shared" si="21"/>
        <v>0</v>
      </c>
      <c r="P28" s="625">
        <f t="shared" si="21"/>
        <v>0</v>
      </c>
      <c r="Q28" s="624">
        <f t="shared" si="21"/>
        <v>0</v>
      </c>
      <c r="R28" s="253"/>
      <c r="S28" s="254">
        <v>86</v>
      </c>
      <c r="T28" s="255"/>
      <c r="U28" s="255">
        <v>161</v>
      </c>
      <c r="V28" s="255">
        <v>2</v>
      </c>
      <c r="W28" s="255">
        <v>0</v>
      </c>
      <c r="X28" s="255">
        <v>11</v>
      </c>
      <c r="Y28" s="256">
        <v>260</v>
      </c>
      <c r="Z28" s="254"/>
      <c r="AA28" s="255">
        <v>0</v>
      </c>
      <c r="AB28" s="255">
        <v>0</v>
      </c>
      <c r="AC28" s="255">
        <v>0</v>
      </c>
      <c r="AD28" s="255"/>
      <c r="AE28" s="256">
        <v>0</v>
      </c>
      <c r="AF28" s="254">
        <v>0</v>
      </c>
      <c r="AG28" s="255">
        <v>0</v>
      </c>
      <c r="AH28" s="254">
        <v>0</v>
      </c>
    </row>
    <row r="29" spans="1:34">
      <c r="A29" s="249"/>
      <c r="B29" s="239" t="s">
        <v>58</v>
      </c>
      <c r="C29" s="624">
        <f t="shared" si="20"/>
        <v>0</v>
      </c>
      <c r="D29" s="625">
        <f t="shared" si="20"/>
        <v>0</v>
      </c>
      <c r="E29" s="792">
        <f t="shared" si="20"/>
        <v>0</v>
      </c>
      <c r="F29" s="625">
        <f t="shared" si="20"/>
        <v>0</v>
      </c>
      <c r="G29" s="792">
        <f t="shared" si="20"/>
        <v>0</v>
      </c>
      <c r="H29" s="626">
        <f t="shared" si="20"/>
        <v>0</v>
      </c>
      <c r="I29" s="793">
        <f t="shared" si="20"/>
        <v>0</v>
      </c>
      <c r="J29" s="624">
        <f t="shared" si="20"/>
        <v>0</v>
      </c>
      <c r="K29" s="625">
        <f t="shared" si="20"/>
        <v>1</v>
      </c>
      <c r="L29" s="625">
        <f t="shared" si="20"/>
        <v>0.43171806167400884</v>
      </c>
      <c r="M29" s="625">
        <f t="shared" si="20"/>
        <v>0.80973952434881091</v>
      </c>
      <c r="N29" s="624">
        <f t="shared" si="21"/>
        <v>0.79230769230769227</v>
      </c>
      <c r="O29" s="624">
        <f t="shared" si="21"/>
        <v>0</v>
      </c>
      <c r="P29" s="625">
        <f t="shared" si="21"/>
        <v>0</v>
      </c>
      <c r="Q29" s="624">
        <f t="shared" si="21"/>
        <v>0</v>
      </c>
      <c r="R29" s="253"/>
      <c r="S29" s="254">
        <v>0</v>
      </c>
      <c r="T29" s="255"/>
      <c r="U29" s="255">
        <v>0</v>
      </c>
      <c r="V29" s="255">
        <v>0</v>
      </c>
      <c r="W29" s="255">
        <v>0</v>
      </c>
      <c r="X29" s="255">
        <v>0</v>
      </c>
      <c r="Y29" s="256">
        <v>0</v>
      </c>
      <c r="Z29" s="254"/>
      <c r="AA29" s="255">
        <v>320</v>
      </c>
      <c r="AB29" s="255">
        <v>98</v>
      </c>
      <c r="AC29" s="255">
        <v>715</v>
      </c>
      <c r="AD29" s="255"/>
      <c r="AE29" s="256">
        <v>1133</v>
      </c>
      <c r="AF29" s="254">
        <v>0</v>
      </c>
      <c r="AG29" s="255">
        <v>0</v>
      </c>
      <c r="AH29" s="254">
        <v>0</v>
      </c>
    </row>
    <row r="30" spans="1:34">
      <c r="A30" s="435"/>
      <c r="B30" s="436" t="s">
        <v>59</v>
      </c>
      <c r="C30" s="577">
        <f t="shared" si="20"/>
        <v>1</v>
      </c>
      <c r="D30" s="578">
        <f t="shared" si="20"/>
        <v>0</v>
      </c>
      <c r="E30" s="578">
        <f t="shared" si="20"/>
        <v>1</v>
      </c>
      <c r="F30" s="578">
        <f t="shared" si="20"/>
        <v>1</v>
      </c>
      <c r="G30" s="578">
        <f t="shared" si="20"/>
        <v>1</v>
      </c>
      <c r="H30" s="579">
        <f t="shared" si="20"/>
        <v>1</v>
      </c>
      <c r="I30" s="577">
        <f t="shared" si="20"/>
        <v>1</v>
      </c>
      <c r="J30" s="577">
        <f t="shared" si="20"/>
        <v>0</v>
      </c>
      <c r="K30" s="578">
        <f t="shared" si="20"/>
        <v>1</v>
      </c>
      <c r="L30" s="578">
        <f t="shared" si="20"/>
        <v>1</v>
      </c>
      <c r="M30" s="578">
        <f t="shared" si="20"/>
        <v>1</v>
      </c>
      <c r="N30" s="577">
        <f t="shared" si="21"/>
        <v>1</v>
      </c>
      <c r="O30" s="577">
        <f t="shared" si="21"/>
        <v>0</v>
      </c>
      <c r="P30" s="578">
        <f t="shared" si="21"/>
        <v>0</v>
      </c>
      <c r="Q30" s="577">
        <f t="shared" si="21"/>
        <v>0</v>
      </c>
      <c r="R30" s="264"/>
      <c r="S30" s="265">
        <v>1048</v>
      </c>
      <c r="T30" s="266"/>
      <c r="U30" s="266">
        <v>1882</v>
      </c>
      <c r="V30" s="266">
        <v>336</v>
      </c>
      <c r="W30" s="266">
        <v>151</v>
      </c>
      <c r="X30" s="266">
        <v>412</v>
      </c>
      <c r="Y30" s="267">
        <v>3829</v>
      </c>
      <c r="Z30" s="265"/>
      <c r="AA30" s="266">
        <v>320</v>
      </c>
      <c r="AB30" s="266">
        <v>227</v>
      </c>
      <c r="AC30" s="266">
        <v>883</v>
      </c>
      <c r="AD30" s="266"/>
      <c r="AE30" s="267">
        <v>1430</v>
      </c>
      <c r="AF30" s="265">
        <v>0</v>
      </c>
      <c r="AG30" s="266">
        <v>0</v>
      </c>
      <c r="AH30" s="265">
        <v>0</v>
      </c>
    </row>
    <row r="31" spans="1:34">
      <c r="A31" s="239" t="s">
        <v>82</v>
      </c>
      <c r="B31" s="240" t="s">
        <v>53</v>
      </c>
      <c r="C31" s="613">
        <f t="shared" ref="C31:M37" si="22">IF(S$37&gt;0,(S31/S$37),0)</f>
        <v>0.34436493738819318</v>
      </c>
      <c r="D31" s="614">
        <f t="shared" si="22"/>
        <v>0</v>
      </c>
      <c r="E31" s="614">
        <f t="shared" si="22"/>
        <v>0.20218579234972678</v>
      </c>
      <c r="F31" s="614">
        <f t="shared" si="22"/>
        <v>0</v>
      </c>
      <c r="G31" s="614">
        <f t="shared" si="22"/>
        <v>0</v>
      </c>
      <c r="H31" s="615">
        <f t="shared" si="22"/>
        <v>0</v>
      </c>
      <c r="I31" s="613">
        <f t="shared" si="22"/>
        <v>0.32436587240584164</v>
      </c>
      <c r="J31" s="613">
        <f t="shared" si="22"/>
        <v>0</v>
      </c>
      <c r="K31" s="614">
        <f t="shared" si="22"/>
        <v>0</v>
      </c>
      <c r="L31" s="614">
        <f t="shared" si="22"/>
        <v>0</v>
      </c>
      <c r="M31" s="614">
        <f t="shared" si="22"/>
        <v>0</v>
      </c>
      <c r="N31" s="613">
        <f t="shared" ref="N31:Q37" si="23">IF(AE$37&gt;0,(AE31/AE$37),0)</f>
        <v>0</v>
      </c>
      <c r="O31" s="788">
        <f t="shared" si="23"/>
        <v>0</v>
      </c>
      <c r="P31" s="614">
        <f t="shared" si="23"/>
        <v>0</v>
      </c>
      <c r="Q31" s="788">
        <f t="shared" si="23"/>
        <v>0</v>
      </c>
      <c r="R31" s="244"/>
      <c r="S31" s="245">
        <v>385</v>
      </c>
      <c r="T31" s="246"/>
      <c r="U31" s="246">
        <v>37</v>
      </c>
      <c r="V31" s="246"/>
      <c r="W31" s="246"/>
      <c r="X31" s="246"/>
      <c r="Y31" s="247">
        <v>422</v>
      </c>
      <c r="Z31" s="245"/>
      <c r="AA31" s="246">
        <v>0</v>
      </c>
      <c r="AB31" s="246">
        <v>0</v>
      </c>
      <c r="AC31" s="246"/>
      <c r="AD31" s="246"/>
      <c r="AE31" s="247">
        <v>0</v>
      </c>
      <c r="AF31" s="245">
        <v>0</v>
      </c>
      <c r="AG31" s="246">
        <v>0</v>
      </c>
      <c r="AH31" s="245">
        <v>0</v>
      </c>
    </row>
    <row r="32" spans="1:34">
      <c r="A32" s="249"/>
      <c r="B32" s="239" t="s">
        <v>93</v>
      </c>
      <c r="C32" s="624">
        <f t="shared" si="22"/>
        <v>0.3032200357781753</v>
      </c>
      <c r="D32" s="625">
        <f t="shared" si="22"/>
        <v>0</v>
      </c>
      <c r="E32" s="625">
        <f t="shared" si="22"/>
        <v>0.45901639344262296</v>
      </c>
      <c r="F32" s="625">
        <f t="shared" si="22"/>
        <v>0</v>
      </c>
      <c r="G32" s="625">
        <f t="shared" si="22"/>
        <v>0</v>
      </c>
      <c r="H32" s="626">
        <f t="shared" si="22"/>
        <v>0</v>
      </c>
      <c r="I32" s="624">
        <f t="shared" si="22"/>
        <v>0.32513451191391235</v>
      </c>
      <c r="J32" s="624">
        <f t="shared" si="22"/>
        <v>0</v>
      </c>
      <c r="K32" s="625">
        <f t="shared" si="22"/>
        <v>0</v>
      </c>
      <c r="L32" s="625">
        <f t="shared" si="22"/>
        <v>0</v>
      </c>
      <c r="M32" s="625">
        <f t="shared" si="22"/>
        <v>0</v>
      </c>
      <c r="N32" s="624">
        <f t="shared" si="23"/>
        <v>0</v>
      </c>
      <c r="O32" s="624">
        <f t="shared" si="23"/>
        <v>0</v>
      </c>
      <c r="P32" s="625">
        <f t="shared" si="23"/>
        <v>0</v>
      </c>
      <c r="Q32" s="624">
        <f t="shared" si="23"/>
        <v>0</v>
      </c>
      <c r="R32" s="253"/>
      <c r="S32" s="254">
        <v>339</v>
      </c>
      <c r="T32" s="255"/>
      <c r="U32" s="255">
        <v>84</v>
      </c>
      <c r="V32" s="255"/>
      <c r="W32" s="255"/>
      <c r="X32" s="255"/>
      <c r="Y32" s="256">
        <v>423</v>
      </c>
      <c r="Z32" s="254"/>
      <c r="AA32" s="255">
        <v>0</v>
      </c>
      <c r="AB32" s="255">
        <v>0</v>
      </c>
      <c r="AC32" s="255"/>
      <c r="AD32" s="255"/>
      <c r="AE32" s="256">
        <v>0</v>
      </c>
      <c r="AF32" s="254">
        <v>0</v>
      </c>
      <c r="AG32" s="255">
        <v>0</v>
      </c>
      <c r="AH32" s="254">
        <v>0</v>
      </c>
    </row>
    <row r="33" spans="1:34">
      <c r="A33" s="249"/>
      <c r="B33" s="239" t="s">
        <v>55</v>
      </c>
      <c r="C33" s="624">
        <f t="shared" si="22"/>
        <v>0.26565295169946335</v>
      </c>
      <c r="D33" s="625">
        <f t="shared" si="22"/>
        <v>0</v>
      </c>
      <c r="E33" s="625">
        <f t="shared" si="22"/>
        <v>0.33879781420765026</v>
      </c>
      <c r="F33" s="625">
        <f t="shared" si="22"/>
        <v>0</v>
      </c>
      <c r="G33" s="625">
        <f t="shared" si="22"/>
        <v>0</v>
      </c>
      <c r="H33" s="626">
        <f t="shared" si="22"/>
        <v>0</v>
      </c>
      <c r="I33" s="624">
        <f t="shared" si="22"/>
        <v>0.27594158339738661</v>
      </c>
      <c r="J33" s="624">
        <f t="shared" si="22"/>
        <v>0</v>
      </c>
      <c r="K33" s="625">
        <f t="shared" si="22"/>
        <v>0</v>
      </c>
      <c r="L33" s="625">
        <f t="shared" si="22"/>
        <v>0</v>
      </c>
      <c r="M33" s="625">
        <f t="shared" si="22"/>
        <v>0</v>
      </c>
      <c r="N33" s="624">
        <f t="shared" si="23"/>
        <v>0</v>
      </c>
      <c r="O33" s="624">
        <f t="shared" si="23"/>
        <v>0</v>
      </c>
      <c r="P33" s="625">
        <f t="shared" si="23"/>
        <v>0</v>
      </c>
      <c r="Q33" s="624">
        <f t="shared" si="23"/>
        <v>0</v>
      </c>
      <c r="R33" s="253"/>
      <c r="S33" s="254">
        <v>297</v>
      </c>
      <c r="T33" s="255"/>
      <c r="U33" s="255">
        <v>62</v>
      </c>
      <c r="V33" s="255"/>
      <c r="W33" s="255"/>
      <c r="X33" s="255"/>
      <c r="Y33" s="256">
        <v>359</v>
      </c>
      <c r="Z33" s="254"/>
      <c r="AA33" s="255">
        <v>0</v>
      </c>
      <c r="AB33" s="255">
        <v>0</v>
      </c>
      <c r="AC33" s="255"/>
      <c r="AD33" s="255"/>
      <c r="AE33" s="256">
        <v>0</v>
      </c>
      <c r="AF33" s="254">
        <v>0</v>
      </c>
      <c r="AG33" s="255">
        <v>0</v>
      </c>
      <c r="AH33" s="254">
        <v>0</v>
      </c>
    </row>
    <row r="34" spans="1:34">
      <c r="A34" s="249"/>
      <c r="B34" s="239" t="s">
        <v>78</v>
      </c>
      <c r="C34" s="624">
        <f t="shared" si="22"/>
        <v>8.6762075134168157E-2</v>
      </c>
      <c r="D34" s="625">
        <f t="shared" si="22"/>
        <v>0</v>
      </c>
      <c r="E34" s="625">
        <f t="shared" si="22"/>
        <v>0</v>
      </c>
      <c r="F34" s="625">
        <f t="shared" si="22"/>
        <v>0</v>
      </c>
      <c r="G34" s="625">
        <f t="shared" si="22"/>
        <v>0</v>
      </c>
      <c r="H34" s="626">
        <f t="shared" si="22"/>
        <v>0</v>
      </c>
      <c r="I34" s="624">
        <f t="shared" si="22"/>
        <v>7.4558032282859343E-2</v>
      </c>
      <c r="J34" s="624">
        <f t="shared" si="22"/>
        <v>0</v>
      </c>
      <c r="K34" s="625">
        <f t="shared" si="22"/>
        <v>0</v>
      </c>
      <c r="L34" s="625">
        <f t="shared" si="22"/>
        <v>0</v>
      </c>
      <c r="M34" s="625">
        <f t="shared" si="22"/>
        <v>0</v>
      </c>
      <c r="N34" s="624">
        <f t="shared" si="23"/>
        <v>0</v>
      </c>
      <c r="O34" s="624">
        <f t="shared" si="23"/>
        <v>0</v>
      </c>
      <c r="P34" s="625">
        <f t="shared" si="23"/>
        <v>0</v>
      </c>
      <c r="Q34" s="624">
        <f t="shared" si="23"/>
        <v>0</v>
      </c>
      <c r="R34" s="253"/>
      <c r="S34" s="254">
        <v>97</v>
      </c>
      <c r="T34" s="255"/>
      <c r="U34" s="255">
        <v>0</v>
      </c>
      <c r="V34" s="255"/>
      <c r="W34" s="255"/>
      <c r="X34" s="255"/>
      <c r="Y34" s="256">
        <v>97</v>
      </c>
      <c r="Z34" s="254"/>
      <c r="AA34" s="255">
        <v>0</v>
      </c>
      <c r="AB34" s="255">
        <v>0</v>
      </c>
      <c r="AC34" s="255"/>
      <c r="AD34" s="255"/>
      <c r="AE34" s="256">
        <v>0</v>
      </c>
      <c r="AF34" s="254">
        <v>0</v>
      </c>
      <c r="AG34" s="255">
        <v>0</v>
      </c>
      <c r="AH34" s="254">
        <v>0</v>
      </c>
    </row>
    <row r="35" spans="1:34">
      <c r="A35" s="249"/>
      <c r="B35" s="239" t="s">
        <v>32</v>
      </c>
      <c r="C35" s="791">
        <f t="shared" si="22"/>
        <v>0</v>
      </c>
      <c r="D35" s="625">
        <f t="shared" si="22"/>
        <v>0</v>
      </c>
      <c r="E35" s="625">
        <f t="shared" si="22"/>
        <v>0</v>
      </c>
      <c r="F35" s="625">
        <f t="shared" si="22"/>
        <v>0</v>
      </c>
      <c r="G35" s="625">
        <f t="shared" si="22"/>
        <v>0</v>
      </c>
      <c r="H35" s="626">
        <f t="shared" si="22"/>
        <v>0</v>
      </c>
      <c r="I35" s="791">
        <f t="shared" si="22"/>
        <v>0</v>
      </c>
      <c r="J35" s="624">
        <f t="shared" si="22"/>
        <v>0</v>
      </c>
      <c r="K35" s="625">
        <f t="shared" si="22"/>
        <v>0</v>
      </c>
      <c r="L35" s="625">
        <f t="shared" si="22"/>
        <v>0</v>
      </c>
      <c r="M35" s="625">
        <f t="shared" si="22"/>
        <v>0</v>
      </c>
      <c r="N35" s="624">
        <f t="shared" si="23"/>
        <v>0</v>
      </c>
      <c r="O35" s="624">
        <f t="shared" si="23"/>
        <v>0</v>
      </c>
      <c r="P35" s="625">
        <f t="shared" si="23"/>
        <v>0</v>
      </c>
      <c r="Q35" s="624">
        <f t="shared" si="23"/>
        <v>0</v>
      </c>
      <c r="R35" s="253"/>
      <c r="S35" s="254">
        <v>0</v>
      </c>
      <c r="T35" s="255"/>
      <c r="U35" s="255">
        <v>0</v>
      </c>
      <c r="V35" s="255"/>
      <c r="W35" s="255"/>
      <c r="X35" s="255"/>
      <c r="Y35" s="256">
        <v>0</v>
      </c>
      <c r="Z35" s="254"/>
      <c r="AA35" s="255">
        <v>0</v>
      </c>
      <c r="AB35" s="255">
        <v>0</v>
      </c>
      <c r="AC35" s="255"/>
      <c r="AD35" s="255"/>
      <c r="AE35" s="256">
        <v>0</v>
      </c>
      <c r="AF35" s="254">
        <v>0</v>
      </c>
      <c r="AG35" s="255">
        <v>0</v>
      </c>
      <c r="AH35" s="254">
        <v>0</v>
      </c>
    </row>
    <row r="36" spans="1:34">
      <c r="A36" s="249"/>
      <c r="B36" s="239" t="s">
        <v>58</v>
      </c>
      <c r="C36" s="624">
        <f t="shared" si="22"/>
        <v>0</v>
      </c>
      <c r="D36" s="625">
        <f t="shared" si="22"/>
        <v>0</v>
      </c>
      <c r="E36" s="792">
        <f t="shared" si="22"/>
        <v>0</v>
      </c>
      <c r="F36" s="625">
        <f t="shared" si="22"/>
        <v>0</v>
      </c>
      <c r="G36" s="792">
        <f t="shared" si="22"/>
        <v>0</v>
      </c>
      <c r="H36" s="626">
        <f t="shared" si="22"/>
        <v>0</v>
      </c>
      <c r="I36" s="793">
        <f t="shared" si="22"/>
        <v>0</v>
      </c>
      <c r="J36" s="624">
        <f t="shared" si="22"/>
        <v>0</v>
      </c>
      <c r="K36" s="625">
        <f t="shared" si="22"/>
        <v>1</v>
      </c>
      <c r="L36" s="625">
        <f t="shared" si="22"/>
        <v>1</v>
      </c>
      <c r="M36" s="625">
        <f t="shared" si="22"/>
        <v>0</v>
      </c>
      <c r="N36" s="624">
        <f t="shared" si="23"/>
        <v>1</v>
      </c>
      <c r="O36" s="624">
        <f t="shared" si="23"/>
        <v>0</v>
      </c>
      <c r="P36" s="625">
        <f t="shared" si="23"/>
        <v>0</v>
      </c>
      <c r="Q36" s="624">
        <f t="shared" si="23"/>
        <v>0</v>
      </c>
      <c r="R36" s="253"/>
      <c r="S36" s="254">
        <v>0</v>
      </c>
      <c r="T36" s="255"/>
      <c r="U36" s="255">
        <v>0</v>
      </c>
      <c r="V36" s="255"/>
      <c r="W36" s="255"/>
      <c r="X36" s="255"/>
      <c r="Y36" s="256">
        <v>0</v>
      </c>
      <c r="Z36" s="254"/>
      <c r="AA36" s="255">
        <v>109</v>
      </c>
      <c r="AB36" s="255">
        <v>207</v>
      </c>
      <c r="AC36" s="255"/>
      <c r="AD36" s="255"/>
      <c r="AE36" s="256">
        <v>316</v>
      </c>
      <c r="AF36" s="254">
        <v>0</v>
      </c>
      <c r="AG36" s="255">
        <v>0</v>
      </c>
      <c r="AH36" s="254">
        <v>0</v>
      </c>
    </row>
    <row r="37" spans="1:34">
      <c r="A37" s="435"/>
      <c r="B37" s="436" t="s">
        <v>59</v>
      </c>
      <c r="C37" s="577">
        <f t="shared" si="22"/>
        <v>1</v>
      </c>
      <c r="D37" s="578">
        <f t="shared" si="22"/>
        <v>0</v>
      </c>
      <c r="E37" s="578">
        <f t="shared" si="22"/>
        <v>1</v>
      </c>
      <c r="F37" s="578">
        <f t="shared" si="22"/>
        <v>0</v>
      </c>
      <c r="G37" s="578">
        <f t="shared" si="22"/>
        <v>0</v>
      </c>
      <c r="H37" s="579">
        <f t="shared" si="22"/>
        <v>0</v>
      </c>
      <c r="I37" s="577">
        <f t="shared" si="22"/>
        <v>1</v>
      </c>
      <c r="J37" s="577">
        <f t="shared" si="22"/>
        <v>0</v>
      </c>
      <c r="K37" s="578">
        <f t="shared" si="22"/>
        <v>1</v>
      </c>
      <c r="L37" s="578">
        <f t="shared" si="22"/>
        <v>1</v>
      </c>
      <c r="M37" s="578">
        <f t="shared" si="22"/>
        <v>0</v>
      </c>
      <c r="N37" s="577">
        <f t="shared" si="23"/>
        <v>1</v>
      </c>
      <c r="O37" s="577">
        <f t="shared" si="23"/>
        <v>0</v>
      </c>
      <c r="P37" s="578">
        <f t="shared" si="23"/>
        <v>0</v>
      </c>
      <c r="Q37" s="577">
        <f t="shared" si="23"/>
        <v>0</v>
      </c>
      <c r="R37" s="264"/>
      <c r="S37" s="265">
        <v>1118</v>
      </c>
      <c r="T37" s="266"/>
      <c r="U37" s="266">
        <v>183</v>
      </c>
      <c r="V37" s="266"/>
      <c r="W37" s="266"/>
      <c r="X37" s="266"/>
      <c r="Y37" s="267">
        <v>1301</v>
      </c>
      <c r="Z37" s="265"/>
      <c r="AA37" s="266">
        <v>109</v>
      </c>
      <c r="AB37" s="266">
        <v>207</v>
      </c>
      <c r="AC37" s="266"/>
      <c r="AD37" s="266"/>
      <c r="AE37" s="267">
        <v>316</v>
      </c>
      <c r="AF37" s="265">
        <v>0</v>
      </c>
      <c r="AG37" s="266">
        <v>0</v>
      </c>
      <c r="AH37" s="265">
        <v>0</v>
      </c>
    </row>
    <row r="38" spans="1:34">
      <c r="A38" s="239" t="s">
        <v>6</v>
      </c>
      <c r="B38" s="240" t="s">
        <v>53</v>
      </c>
      <c r="C38" s="613">
        <f t="shared" ref="C38:M44" si="24">IF(S$44&gt;0,(S38/S$44),0)</f>
        <v>0.28873447664104079</v>
      </c>
      <c r="D38" s="614">
        <f t="shared" si="24"/>
        <v>0.26712328767123289</v>
      </c>
      <c r="E38" s="614">
        <f t="shared" si="24"/>
        <v>0.22049689440993789</v>
      </c>
      <c r="F38" s="614">
        <f t="shared" si="24"/>
        <v>0.17840375586854459</v>
      </c>
      <c r="G38" s="614">
        <f t="shared" si="24"/>
        <v>0</v>
      </c>
      <c r="H38" s="615">
        <f t="shared" si="24"/>
        <v>0.4264705882352941</v>
      </c>
      <c r="I38" s="613">
        <f t="shared" si="24"/>
        <v>0.27350150927123762</v>
      </c>
      <c r="J38" s="613">
        <f t="shared" si="24"/>
        <v>0</v>
      </c>
      <c r="K38" s="614">
        <f t="shared" si="24"/>
        <v>0</v>
      </c>
      <c r="L38" s="614">
        <f t="shared" si="24"/>
        <v>0</v>
      </c>
      <c r="M38" s="614">
        <f t="shared" si="24"/>
        <v>0</v>
      </c>
      <c r="N38" s="613">
        <f t="shared" ref="N38:Q44" si="25">IF(AE$44&gt;0,(AE38/AE$44),0)</f>
        <v>0</v>
      </c>
      <c r="O38" s="788">
        <f t="shared" si="25"/>
        <v>0</v>
      </c>
      <c r="P38" s="614">
        <f t="shared" si="25"/>
        <v>0</v>
      </c>
      <c r="Q38" s="788">
        <f t="shared" si="25"/>
        <v>0</v>
      </c>
      <c r="R38" s="244"/>
      <c r="S38" s="245">
        <v>1953</v>
      </c>
      <c r="T38" s="246">
        <v>195</v>
      </c>
      <c r="U38" s="246">
        <v>284</v>
      </c>
      <c r="V38" s="246">
        <v>76</v>
      </c>
      <c r="W38" s="246"/>
      <c r="X38" s="246">
        <v>29</v>
      </c>
      <c r="Y38" s="247">
        <v>2537</v>
      </c>
      <c r="Z38" s="245">
        <v>0</v>
      </c>
      <c r="AA38" s="246">
        <v>0</v>
      </c>
      <c r="AB38" s="246">
        <v>0</v>
      </c>
      <c r="AC38" s="246">
        <v>0</v>
      </c>
      <c r="AD38" s="246"/>
      <c r="AE38" s="247">
        <v>0</v>
      </c>
      <c r="AF38" s="245">
        <v>0</v>
      </c>
      <c r="AG38" s="246">
        <v>0</v>
      </c>
      <c r="AH38" s="245">
        <v>0</v>
      </c>
    </row>
    <row r="39" spans="1:34">
      <c r="A39" s="249"/>
      <c r="B39" s="239" t="s">
        <v>93</v>
      </c>
      <c r="C39" s="624">
        <f t="shared" si="24"/>
        <v>0.28548196333530457</v>
      </c>
      <c r="D39" s="625">
        <f t="shared" si="24"/>
        <v>0.31780821917808222</v>
      </c>
      <c r="E39" s="625">
        <f t="shared" si="24"/>
        <v>0.30900621118012422</v>
      </c>
      <c r="F39" s="625">
        <f t="shared" si="24"/>
        <v>0.23708920187793428</v>
      </c>
      <c r="G39" s="625">
        <f t="shared" si="24"/>
        <v>0</v>
      </c>
      <c r="H39" s="626">
        <f t="shared" si="24"/>
        <v>0.29411764705882354</v>
      </c>
      <c r="I39" s="624">
        <f t="shared" si="24"/>
        <v>0.28913324708926263</v>
      </c>
      <c r="J39" s="624">
        <f t="shared" si="24"/>
        <v>0</v>
      </c>
      <c r="K39" s="625">
        <f t="shared" si="24"/>
        <v>0</v>
      </c>
      <c r="L39" s="625">
        <f t="shared" si="24"/>
        <v>0</v>
      </c>
      <c r="M39" s="625">
        <f t="shared" si="24"/>
        <v>0</v>
      </c>
      <c r="N39" s="624">
        <f t="shared" si="25"/>
        <v>0</v>
      </c>
      <c r="O39" s="624">
        <f t="shared" si="25"/>
        <v>0</v>
      </c>
      <c r="P39" s="625">
        <f t="shared" si="25"/>
        <v>0</v>
      </c>
      <c r="Q39" s="624">
        <f t="shared" si="25"/>
        <v>0</v>
      </c>
      <c r="R39" s="253"/>
      <c r="S39" s="254">
        <v>1931</v>
      </c>
      <c r="T39" s="255">
        <v>232</v>
      </c>
      <c r="U39" s="255">
        <v>398</v>
      </c>
      <c r="V39" s="255">
        <v>101</v>
      </c>
      <c r="W39" s="255"/>
      <c r="X39" s="255">
        <v>20</v>
      </c>
      <c r="Y39" s="256">
        <v>2682</v>
      </c>
      <c r="Z39" s="254">
        <v>0</v>
      </c>
      <c r="AA39" s="255">
        <v>0</v>
      </c>
      <c r="AB39" s="255">
        <v>0</v>
      </c>
      <c r="AC39" s="255">
        <v>0</v>
      </c>
      <c r="AD39" s="255"/>
      <c r="AE39" s="256">
        <v>0</v>
      </c>
      <c r="AF39" s="254">
        <v>0</v>
      </c>
      <c r="AG39" s="255">
        <v>0</v>
      </c>
      <c r="AH39" s="254">
        <v>0</v>
      </c>
    </row>
    <row r="40" spans="1:34">
      <c r="A40" s="249"/>
      <c r="B40" s="239" t="s">
        <v>55</v>
      </c>
      <c r="C40" s="624">
        <f t="shared" si="24"/>
        <v>0.22250147841513898</v>
      </c>
      <c r="D40" s="625">
        <f t="shared" si="24"/>
        <v>0.17534246575342466</v>
      </c>
      <c r="E40" s="625">
        <f t="shared" si="24"/>
        <v>0.29425465838509318</v>
      </c>
      <c r="F40" s="625">
        <f t="shared" si="24"/>
        <v>0.33098591549295775</v>
      </c>
      <c r="G40" s="625">
        <f t="shared" si="24"/>
        <v>0</v>
      </c>
      <c r="H40" s="626">
        <f t="shared" si="24"/>
        <v>0.26470588235294118</v>
      </c>
      <c r="I40" s="624">
        <f t="shared" si="24"/>
        <v>0.23404484691677446</v>
      </c>
      <c r="J40" s="624">
        <f t="shared" si="24"/>
        <v>0</v>
      </c>
      <c r="K40" s="625">
        <f t="shared" si="24"/>
        <v>0</v>
      </c>
      <c r="L40" s="625">
        <f t="shared" si="24"/>
        <v>0</v>
      </c>
      <c r="M40" s="625">
        <f t="shared" si="24"/>
        <v>0</v>
      </c>
      <c r="N40" s="624">
        <f t="shared" si="25"/>
        <v>0</v>
      </c>
      <c r="O40" s="624">
        <f t="shared" si="25"/>
        <v>0</v>
      </c>
      <c r="P40" s="625">
        <f t="shared" si="25"/>
        <v>0</v>
      </c>
      <c r="Q40" s="624">
        <f t="shared" si="25"/>
        <v>0</v>
      </c>
      <c r="R40" s="253"/>
      <c r="S40" s="254">
        <v>1505</v>
      </c>
      <c r="T40" s="255">
        <v>128</v>
      </c>
      <c r="U40" s="255">
        <v>379</v>
      </c>
      <c r="V40" s="255">
        <v>141</v>
      </c>
      <c r="W40" s="255"/>
      <c r="X40" s="255">
        <v>18</v>
      </c>
      <c r="Y40" s="256">
        <v>2171</v>
      </c>
      <c r="Z40" s="254">
        <v>0</v>
      </c>
      <c r="AA40" s="255">
        <v>0</v>
      </c>
      <c r="AB40" s="255">
        <v>0</v>
      </c>
      <c r="AC40" s="255">
        <v>0</v>
      </c>
      <c r="AD40" s="255"/>
      <c r="AE40" s="256">
        <v>0</v>
      </c>
      <c r="AF40" s="254">
        <v>0</v>
      </c>
      <c r="AG40" s="255">
        <v>0</v>
      </c>
      <c r="AH40" s="254">
        <v>0</v>
      </c>
    </row>
    <row r="41" spans="1:34">
      <c r="A41" s="249"/>
      <c r="B41" s="239" t="s">
        <v>78</v>
      </c>
      <c r="C41" s="624">
        <f t="shared" si="24"/>
        <v>0.11309875813128327</v>
      </c>
      <c r="D41" s="625">
        <f t="shared" si="24"/>
        <v>0.23698630136986301</v>
      </c>
      <c r="E41" s="625">
        <f t="shared" si="24"/>
        <v>0.15217391304347827</v>
      </c>
      <c r="F41" s="625">
        <f t="shared" si="24"/>
        <v>0.25117370892018781</v>
      </c>
      <c r="G41" s="625">
        <f t="shared" si="24"/>
        <v>0</v>
      </c>
      <c r="H41" s="626">
        <f t="shared" si="24"/>
        <v>1.4705882352941176E-2</v>
      </c>
      <c r="I41" s="624">
        <f t="shared" si="24"/>
        <v>0.13389391979301424</v>
      </c>
      <c r="J41" s="624">
        <f t="shared" si="24"/>
        <v>0</v>
      </c>
      <c r="K41" s="625">
        <f t="shared" si="24"/>
        <v>0</v>
      </c>
      <c r="L41" s="625">
        <f t="shared" si="24"/>
        <v>0</v>
      </c>
      <c r="M41" s="625">
        <f t="shared" si="24"/>
        <v>0</v>
      </c>
      <c r="N41" s="624">
        <f t="shared" si="25"/>
        <v>0</v>
      </c>
      <c r="O41" s="624">
        <f t="shared" si="25"/>
        <v>0</v>
      </c>
      <c r="P41" s="625">
        <f t="shared" si="25"/>
        <v>0</v>
      </c>
      <c r="Q41" s="624">
        <f t="shared" si="25"/>
        <v>0</v>
      </c>
      <c r="R41" s="253"/>
      <c r="S41" s="254">
        <v>765</v>
      </c>
      <c r="T41" s="255">
        <v>173</v>
      </c>
      <c r="U41" s="255">
        <v>196</v>
      </c>
      <c r="V41" s="255">
        <v>107</v>
      </c>
      <c r="W41" s="255"/>
      <c r="X41" s="255">
        <v>1</v>
      </c>
      <c r="Y41" s="256">
        <v>1242</v>
      </c>
      <c r="Z41" s="254">
        <v>0</v>
      </c>
      <c r="AA41" s="255">
        <v>0</v>
      </c>
      <c r="AB41" s="255">
        <v>0</v>
      </c>
      <c r="AC41" s="255">
        <v>0</v>
      </c>
      <c r="AD41" s="255"/>
      <c r="AE41" s="256">
        <v>0</v>
      </c>
      <c r="AF41" s="254">
        <v>0</v>
      </c>
      <c r="AG41" s="255">
        <v>0</v>
      </c>
      <c r="AH41" s="254">
        <v>0</v>
      </c>
    </row>
    <row r="42" spans="1:34">
      <c r="A42" s="249"/>
      <c r="B42" s="239" t="s">
        <v>32</v>
      </c>
      <c r="C42" s="624">
        <f t="shared" si="24"/>
        <v>9.0183323477232402E-2</v>
      </c>
      <c r="D42" s="625">
        <f t="shared" si="24"/>
        <v>2.7397260273972603E-3</v>
      </c>
      <c r="E42" s="625">
        <f t="shared" si="24"/>
        <v>2.406832298136646E-2</v>
      </c>
      <c r="F42" s="625">
        <f t="shared" si="24"/>
        <v>2.3474178403755869E-3</v>
      </c>
      <c r="G42" s="790">
        <f t="shared" si="24"/>
        <v>0</v>
      </c>
      <c r="H42" s="626">
        <f t="shared" si="24"/>
        <v>0</v>
      </c>
      <c r="I42" s="624">
        <f t="shared" si="24"/>
        <v>6.9426476929711087E-2</v>
      </c>
      <c r="J42" s="624">
        <f t="shared" si="24"/>
        <v>0</v>
      </c>
      <c r="K42" s="625">
        <f t="shared" si="24"/>
        <v>0</v>
      </c>
      <c r="L42" s="625">
        <f t="shared" si="24"/>
        <v>0</v>
      </c>
      <c r="M42" s="625">
        <f t="shared" si="24"/>
        <v>0</v>
      </c>
      <c r="N42" s="624">
        <f t="shared" si="25"/>
        <v>0</v>
      </c>
      <c r="O42" s="624">
        <f t="shared" si="25"/>
        <v>0</v>
      </c>
      <c r="P42" s="625">
        <f t="shared" si="25"/>
        <v>0</v>
      </c>
      <c r="Q42" s="624">
        <f t="shared" si="25"/>
        <v>0</v>
      </c>
      <c r="R42" s="253"/>
      <c r="S42" s="254">
        <v>610</v>
      </c>
      <c r="T42" s="255">
        <v>2</v>
      </c>
      <c r="U42" s="255">
        <v>31</v>
      </c>
      <c r="V42" s="255">
        <v>1</v>
      </c>
      <c r="W42" s="255"/>
      <c r="X42" s="255">
        <v>0</v>
      </c>
      <c r="Y42" s="256">
        <v>644</v>
      </c>
      <c r="Z42" s="254">
        <v>0</v>
      </c>
      <c r="AA42" s="255">
        <v>0</v>
      </c>
      <c r="AB42" s="255">
        <v>0</v>
      </c>
      <c r="AC42" s="255">
        <v>0</v>
      </c>
      <c r="AD42" s="255"/>
      <c r="AE42" s="256">
        <v>0</v>
      </c>
      <c r="AF42" s="254">
        <v>0</v>
      </c>
      <c r="AG42" s="255">
        <v>0</v>
      </c>
      <c r="AH42" s="254">
        <v>0</v>
      </c>
    </row>
    <row r="43" spans="1:34">
      <c r="A43" s="249"/>
      <c r="B43" s="239" t="s">
        <v>58</v>
      </c>
      <c r="C43" s="624">
        <f t="shared" si="24"/>
        <v>0</v>
      </c>
      <c r="D43" s="625">
        <f t="shared" si="24"/>
        <v>0</v>
      </c>
      <c r="E43" s="792">
        <f t="shared" si="24"/>
        <v>0</v>
      </c>
      <c r="F43" s="625">
        <f t="shared" si="24"/>
        <v>0</v>
      </c>
      <c r="G43" s="792">
        <f t="shared" si="24"/>
        <v>0</v>
      </c>
      <c r="H43" s="626">
        <f t="shared" si="24"/>
        <v>0</v>
      </c>
      <c r="I43" s="793">
        <f t="shared" si="24"/>
        <v>0</v>
      </c>
      <c r="J43" s="624">
        <f t="shared" si="24"/>
        <v>1</v>
      </c>
      <c r="K43" s="625">
        <f t="shared" si="24"/>
        <v>1</v>
      </c>
      <c r="L43" s="625">
        <f t="shared" si="24"/>
        <v>1</v>
      </c>
      <c r="M43" s="625">
        <f t="shared" si="24"/>
        <v>1</v>
      </c>
      <c r="N43" s="624">
        <f t="shared" si="25"/>
        <v>1</v>
      </c>
      <c r="O43" s="624">
        <f t="shared" si="25"/>
        <v>0</v>
      </c>
      <c r="P43" s="625">
        <f t="shared" si="25"/>
        <v>0</v>
      </c>
      <c r="Q43" s="624">
        <f t="shared" si="25"/>
        <v>0</v>
      </c>
      <c r="R43" s="253"/>
      <c r="S43" s="254">
        <v>0</v>
      </c>
      <c r="T43" s="255">
        <v>0</v>
      </c>
      <c r="U43" s="255">
        <v>0</v>
      </c>
      <c r="V43" s="255">
        <v>0</v>
      </c>
      <c r="W43" s="255"/>
      <c r="X43" s="255">
        <v>0</v>
      </c>
      <c r="Y43" s="256">
        <v>0</v>
      </c>
      <c r="Z43" s="254">
        <v>2252</v>
      </c>
      <c r="AA43" s="255">
        <v>2980</v>
      </c>
      <c r="AB43" s="255">
        <v>434</v>
      </c>
      <c r="AC43" s="255">
        <v>59</v>
      </c>
      <c r="AD43" s="255"/>
      <c r="AE43" s="256">
        <v>5725</v>
      </c>
      <c r="AF43" s="254">
        <v>0</v>
      </c>
      <c r="AG43" s="255">
        <v>0</v>
      </c>
      <c r="AH43" s="254">
        <v>0</v>
      </c>
    </row>
    <row r="44" spans="1:34">
      <c r="A44" s="435"/>
      <c r="B44" s="436" t="s">
        <v>59</v>
      </c>
      <c r="C44" s="577">
        <f t="shared" si="24"/>
        <v>1</v>
      </c>
      <c r="D44" s="578">
        <f t="shared" si="24"/>
        <v>1</v>
      </c>
      <c r="E44" s="578">
        <f t="shared" si="24"/>
        <v>1</v>
      </c>
      <c r="F44" s="578">
        <f t="shared" si="24"/>
        <v>1</v>
      </c>
      <c r="G44" s="578">
        <f t="shared" si="24"/>
        <v>0</v>
      </c>
      <c r="H44" s="579">
        <f t="shared" si="24"/>
        <v>1</v>
      </c>
      <c r="I44" s="577">
        <f t="shared" si="24"/>
        <v>1</v>
      </c>
      <c r="J44" s="577">
        <f t="shared" si="24"/>
        <v>1</v>
      </c>
      <c r="K44" s="578">
        <f t="shared" si="24"/>
        <v>1</v>
      </c>
      <c r="L44" s="578">
        <f t="shared" si="24"/>
        <v>1</v>
      </c>
      <c r="M44" s="578">
        <f t="shared" si="24"/>
        <v>1</v>
      </c>
      <c r="N44" s="577">
        <f t="shared" si="25"/>
        <v>1</v>
      </c>
      <c r="O44" s="577">
        <f t="shared" si="25"/>
        <v>0</v>
      </c>
      <c r="P44" s="578">
        <f t="shared" si="25"/>
        <v>0</v>
      </c>
      <c r="Q44" s="577">
        <f t="shared" si="25"/>
        <v>0</v>
      </c>
      <c r="R44" s="264"/>
      <c r="S44" s="265">
        <v>6764</v>
      </c>
      <c r="T44" s="266">
        <v>730</v>
      </c>
      <c r="U44" s="266">
        <v>1288</v>
      </c>
      <c r="V44" s="266">
        <v>426</v>
      </c>
      <c r="W44" s="266"/>
      <c r="X44" s="266">
        <v>68</v>
      </c>
      <c r="Y44" s="267">
        <v>9276</v>
      </c>
      <c r="Z44" s="265">
        <v>2252</v>
      </c>
      <c r="AA44" s="266">
        <v>2980</v>
      </c>
      <c r="AB44" s="266">
        <v>434</v>
      </c>
      <c r="AC44" s="266">
        <v>59</v>
      </c>
      <c r="AD44" s="266"/>
      <c r="AE44" s="267">
        <v>5725</v>
      </c>
      <c r="AF44" s="265">
        <v>0</v>
      </c>
      <c r="AG44" s="266">
        <v>0</v>
      </c>
      <c r="AH44" s="265">
        <v>0</v>
      </c>
    </row>
    <row r="45" spans="1:34">
      <c r="A45" s="239" t="s">
        <v>7</v>
      </c>
      <c r="B45" s="240" t="s">
        <v>53</v>
      </c>
      <c r="C45" s="613">
        <f t="shared" ref="C45:M51" si="26">IF(S$51&gt;0,(S45/S$51),0)</f>
        <v>0.3192346424974824</v>
      </c>
      <c r="D45" s="614">
        <f t="shared" si="26"/>
        <v>0.41131351869606902</v>
      </c>
      <c r="E45" s="614">
        <f t="shared" si="26"/>
        <v>0.22511848341232227</v>
      </c>
      <c r="F45" s="614">
        <f t="shared" si="26"/>
        <v>0.20194986072423399</v>
      </c>
      <c r="G45" s="614">
        <f t="shared" si="26"/>
        <v>0.14766355140186915</v>
      </c>
      <c r="H45" s="615">
        <f t="shared" si="26"/>
        <v>6.1776061776061778E-2</v>
      </c>
      <c r="I45" s="613">
        <f t="shared" si="26"/>
        <v>0.25860715487271502</v>
      </c>
      <c r="J45" s="613">
        <f t="shared" si="26"/>
        <v>0.15489749430523919</v>
      </c>
      <c r="K45" s="614">
        <f t="shared" si="26"/>
        <v>7.7868852459016397E-2</v>
      </c>
      <c r="L45" s="614">
        <f t="shared" si="26"/>
        <v>7.7247191011235949E-2</v>
      </c>
      <c r="M45" s="614">
        <f t="shared" si="26"/>
        <v>6.5573770491803282E-2</v>
      </c>
      <c r="N45" s="613">
        <f t="shared" ref="N45:Q51" si="27">IF(AE$51&gt;0,(AE45/AE$51),0)</f>
        <v>9.7058823529411767E-2</v>
      </c>
      <c r="O45" s="788">
        <f t="shared" si="27"/>
        <v>0</v>
      </c>
      <c r="P45" s="614">
        <f t="shared" si="27"/>
        <v>0</v>
      </c>
      <c r="Q45" s="788">
        <f t="shared" si="27"/>
        <v>0</v>
      </c>
      <c r="R45" s="244"/>
      <c r="S45" s="245">
        <v>951</v>
      </c>
      <c r="T45" s="246">
        <v>429</v>
      </c>
      <c r="U45" s="246">
        <v>380</v>
      </c>
      <c r="V45" s="246">
        <v>435</v>
      </c>
      <c r="W45" s="246">
        <v>79</v>
      </c>
      <c r="X45" s="246">
        <v>32</v>
      </c>
      <c r="Y45" s="247">
        <v>2306</v>
      </c>
      <c r="Z45" s="245">
        <v>68</v>
      </c>
      <c r="AA45" s="246">
        <v>38</v>
      </c>
      <c r="AB45" s="246">
        <v>55</v>
      </c>
      <c r="AC45" s="246">
        <v>4</v>
      </c>
      <c r="AD45" s="246"/>
      <c r="AE45" s="247">
        <v>165</v>
      </c>
      <c r="AF45" s="245">
        <v>0</v>
      </c>
      <c r="AG45" s="246"/>
      <c r="AH45" s="245">
        <v>0</v>
      </c>
    </row>
    <row r="46" spans="1:34">
      <c r="A46" s="249"/>
      <c r="B46" s="239" t="s">
        <v>93</v>
      </c>
      <c r="C46" s="624">
        <f t="shared" si="26"/>
        <v>0.28163813360187984</v>
      </c>
      <c r="D46" s="625">
        <f t="shared" si="26"/>
        <v>0.25215723873441992</v>
      </c>
      <c r="E46" s="625">
        <f t="shared" si="26"/>
        <v>0.2381516587677725</v>
      </c>
      <c r="F46" s="625">
        <f t="shared" si="26"/>
        <v>0.24048282265552459</v>
      </c>
      <c r="G46" s="625">
        <f t="shared" si="26"/>
        <v>0.2691588785046729</v>
      </c>
      <c r="H46" s="626">
        <f t="shared" si="26"/>
        <v>0.24324324324324326</v>
      </c>
      <c r="I46" s="624">
        <f t="shared" si="26"/>
        <v>0.2570371201076595</v>
      </c>
      <c r="J46" s="624">
        <f t="shared" si="26"/>
        <v>0.28018223234624146</v>
      </c>
      <c r="K46" s="625">
        <f t="shared" si="26"/>
        <v>0.23975409836065573</v>
      </c>
      <c r="L46" s="625">
        <f t="shared" si="26"/>
        <v>0.21769662921348315</v>
      </c>
      <c r="M46" s="625">
        <f t="shared" si="26"/>
        <v>0.31147540983606559</v>
      </c>
      <c r="N46" s="624">
        <f t="shared" si="27"/>
        <v>0.24352941176470588</v>
      </c>
      <c r="O46" s="624">
        <f t="shared" si="27"/>
        <v>0</v>
      </c>
      <c r="P46" s="625">
        <f t="shared" si="27"/>
        <v>0</v>
      </c>
      <c r="Q46" s="624">
        <f t="shared" si="27"/>
        <v>0</v>
      </c>
      <c r="R46" s="253"/>
      <c r="S46" s="254">
        <v>839</v>
      </c>
      <c r="T46" s="255">
        <v>263</v>
      </c>
      <c r="U46" s="255">
        <v>402</v>
      </c>
      <c r="V46" s="255">
        <v>518</v>
      </c>
      <c r="W46" s="255">
        <v>144</v>
      </c>
      <c r="X46" s="255">
        <v>126</v>
      </c>
      <c r="Y46" s="256">
        <v>2292</v>
      </c>
      <c r="Z46" s="254">
        <v>123</v>
      </c>
      <c r="AA46" s="255">
        <v>117</v>
      </c>
      <c r="AB46" s="255">
        <v>155</v>
      </c>
      <c r="AC46" s="255">
        <v>19</v>
      </c>
      <c r="AD46" s="255"/>
      <c r="AE46" s="256">
        <v>414</v>
      </c>
      <c r="AF46" s="254">
        <v>0</v>
      </c>
      <c r="AG46" s="255"/>
      <c r="AH46" s="254">
        <v>0</v>
      </c>
    </row>
    <row r="47" spans="1:34">
      <c r="A47" s="249"/>
      <c r="B47" s="239" t="s">
        <v>55</v>
      </c>
      <c r="C47" s="624">
        <f t="shared" si="26"/>
        <v>0.2534407519301779</v>
      </c>
      <c r="D47" s="625">
        <f t="shared" si="26"/>
        <v>0.20709491850431447</v>
      </c>
      <c r="E47" s="625">
        <f t="shared" si="26"/>
        <v>0.3246445497630332</v>
      </c>
      <c r="F47" s="625">
        <f t="shared" si="26"/>
        <v>0.35793871866295263</v>
      </c>
      <c r="G47" s="625">
        <f t="shared" si="26"/>
        <v>0.3663551401869159</v>
      </c>
      <c r="H47" s="626">
        <f t="shared" si="26"/>
        <v>0.65057915057915061</v>
      </c>
      <c r="I47" s="624">
        <f t="shared" si="26"/>
        <v>0.31658629583940789</v>
      </c>
      <c r="J47" s="624">
        <f t="shared" si="26"/>
        <v>0.4191343963553531</v>
      </c>
      <c r="K47" s="625">
        <f t="shared" si="26"/>
        <v>0.25204918032786883</v>
      </c>
      <c r="L47" s="625">
        <f t="shared" si="26"/>
        <v>0.4297752808988764</v>
      </c>
      <c r="M47" s="625">
        <f t="shared" si="26"/>
        <v>0.26229508196721313</v>
      </c>
      <c r="N47" s="624">
        <f t="shared" si="27"/>
        <v>0.37</v>
      </c>
      <c r="O47" s="624">
        <f t="shared" si="27"/>
        <v>0</v>
      </c>
      <c r="P47" s="625">
        <f t="shared" si="27"/>
        <v>0</v>
      </c>
      <c r="Q47" s="624">
        <f t="shared" si="27"/>
        <v>0</v>
      </c>
      <c r="R47" s="253"/>
      <c r="S47" s="254">
        <v>755</v>
      </c>
      <c r="T47" s="255">
        <v>216</v>
      </c>
      <c r="U47" s="255">
        <v>548</v>
      </c>
      <c r="V47" s="255">
        <v>771</v>
      </c>
      <c r="W47" s="255">
        <v>196</v>
      </c>
      <c r="X47" s="255">
        <v>337</v>
      </c>
      <c r="Y47" s="256">
        <v>2823</v>
      </c>
      <c r="Z47" s="254">
        <v>184</v>
      </c>
      <c r="AA47" s="255">
        <v>123</v>
      </c>
      <c r="AB47" s="255">
        <v>306</v>
      </c>
      <c r="AC47" s="255">
        <v>16</v>
      </c>
      <c r="AD47" s="255"/>
      <c r="AE47" s="256">
        <v>629</v>
      </c>
      <c r="AF47" s="254">
        <v>0</v>
      </c>
      <c r="AG47" s="255"/>
      <c r="AH47" s="254">
        <v>0</v>
      </c>
    </row>
    <row r="48" spans="1:34">
      <c r="A48" s="249"/>
      <c r="B48" s="239" t="s">
        <v>78</v>
      </c>
      <c r="C48" s="624">
        <f t="shared" si="26"/>
        <v>3.4239677744209468E-2</v>
      </c>
      <c r="D48" s="625">
        <f t="shared" si="26"/>
        <v>4.6021093000958774E-2</v>
      </c>
      <c r="E48" s="625">
        <f t="shared" si="26"/>
        <v>0.14040284360189573</v>
      </c>
      <c r="F48" s="625">
        <f t="shared" si="26"/>
        <v>9.610027855153204E-2</v>
      </c>
      <c r="G48" s="625">
        <f t="shared" si="26"/>
        <v>0.12336448598130841</v>
      </c>
      <c r="H48" s="626">
        <f t="shared" si="26"/>
        <v>7.7220077220077222E-3</v>
      </c>
      <c r="I48" s="624">
        <f t="shared" si="26"/>
        <v>7.4464505999775707E-2</v>
      </c>
      <c r="J48" s="624">
        <f t="shared" si="26"/>
        <v>0.12300683371298406</v>
      </c>
      <c r="K48" s="625">
        <f t="shared" si="26"/>
        <v>0.40368852459016391</v>
      </c>
      <c r="L48" s="625">
        <f t="shared" si="26"/>
        <v>0.2148876404494382</v>
      </c>
      <c r="M48" s="625">
        <f t="shared" si="26"/>
        <v>0.27868852459016391</v>
      </c>
      <c r="N48" s="624">
        <f t="shared" si="27"/>
        <v>0.24764705882352941</v>
      </c>
      <c r="O48" s="624">
        <f t="shared" si="27"/>
        <v>0</v>
      </c>
      <c r="P48" s="625">
        <f t="shared" si="27"/>
        <v>0</v>
      </c>
      <c r="Q48" s="624">
        <f t="shared" si="27"/>
        <v>0</v>
      </c>
      <c r="R48" s="253"/>
      <c r="S48" s="254">
        <v>102</v>
      </c>
      <c r="T48" s="255">
        <v>48</v>
      </c>
      <c r="U48" s="255">
        <v>237</v>
      </c>
      <c r="V48" s="255">
        <v>207</v>
      </c>
      <c r="W48" s="255">
        <v>66</v>
      </c>
      <c r="X48" s="255">
        <v>4</v>
      </c>
      <c r="Y48" s="256">
        <v>664</v>
      </c>
      <c r="Z48" s="254">
        <v>54</v>
      </c>
      <c r="AA48" s="255">
        <v>197</v>
      </c>
      <c r="AB48" s="255">
        <v>153</v>
      </c>
      <c r="AC48" s="255">
        <v>17</v>
      </c>
      <c r="AD48" s="255"/>
      <c r="AE48" s="256">
        <v>421</v>
      </c>
      <c r="AF48" s="254">
        <v>0</v>
      </c>
      <c r="AG48" s="255"/>
      <c r="AH48" s="254">
        <v>0</v>
      </c>
    </row>
    <row r="49" spans="1:34">
      <c r="A49" s="249"/>
      <c r="B49" s="239" t="s">
        <v>32</v>
      </c>
      <c r="C49" s="624">
        <f t="shared" si="26"/>
        <v>0.11144679422625042</v>
      </c>
      <c r="D49" s="625">
        <f t="shared" si="26"/>
        <v>8.3413231064237772E-2</v>
      </c>
      <c r="E49" s="790">
        <f t="shared" si="26"/>
        <v>7.1682464454976308E-2</v>
      </c>
      <c r="F49" s="625">
        <f t="shared" si="26"/>
        <v>0.10352831940575673</v>
      </c>
      <c r="G49" s="625">
        <f t="shared" si="26"/>
        <v>9.3457943925233641E-2</v>
      </c>
      <c r="H49" s="794">
        <f t="shared" si="26"/>
        <v>3.6679536679536683E-2</v>
      </c>
      <c r="I49" s="624">
        <f t="shared" si="26"/>
        <v>9.3304923180441854E-2</v>
      </c>
      <c r="J49" s="624">
        <f t="shared" si="26"/>
        <v>2.2779043280182234E-2</v>
      </c>
      <c r="K49" s="625">
        <f t="shared" si="26"/>
        <v>2.663934426229508E-2</v>
      </c>
      <c r="L49" s="625">
        <f t="shared" si="26"/>
        <v>6.0393258426966294E-2</v>
      </c>
      <c r="M49" s="625">
        <f t="shared" si="26"/>
        <v>8.1967213114754092E-2</v>
      </c>
      <c r="N49" s="624">
        <f t="shared" si="27"/>
        <v>4.176470588235294E-2</v>
      </c>
      <c r="O49" s="624">
        <f t="shared" si="27"/>
        <v>0</v>
      </c>
      <c r="P49" s="625">
        <f t="shared" si="27"/>
        <v>0</v>
      </c>
      <c r="Q49" s="624">
        <f t="shared" si="27"/>
        <v>0</v>
      </c>
      <c r="R49" s="253"/>
      <c r="S49" s="254">
        <v>332</v>
      </c>
      <c r="T49" s="255">
        <v>87</v>
      </c>
      <c r="U49" s="255">
        <v>121</v>
      </c>
      <c r="V49" s="255">
        <v>223</v>
      </c>
      <c r="W49" s="255">
        <v>50</v>
      </c>
      <c r="X49" s="255">
        <v>19</v>
      </c>
      <c r="Y49" s="256">
        <v>832</v>
      </c>
      <c r="Z49" s="254">
        <v>10</v>
      </c>
      <c r="AA49" s="255">
        <v>13</v>
      </c>
      <c r="AB49" s="255">
        <v>43</v>
      </c>
      <c r="AC49" s="255">
        <v>5</v>
      </c>
      <c r="AD49" s="255"/>
      <c r="AE49" s="256">
        <v>71</v>
      </c>
      <c r="AF49" s="254">
        <v>0</v>
      </c>
      <c r="AG49" s="255"/>
      <c r="AH49" s="254">
        <v>0</v>
      </c>
    </row>
    <row r="50" spans="1:34">
      <c r="A50" s="249"/>
      <c r="B50" s="239" t="s">
        <v>58</v>
      </c>
      <c r="C50" s="624">
        <f t="shared" si="26"/>
        <v>0</v>
      </c>
      <c r="D50" s="625">
        <f t="shared" si="26"/>
        <v>0</v>
      </c>
      <c r="E50" s="792">
        <f t="shared" si="26"/>
        <v>0</v>
      </c>
      <c r="F50" s="625">
        <f t="shared" si="26"/>
        <v>0</v>
      </c>
      <c r="G50" s="792">
        <f t="shared" si="26"/>
        <v>0</v>
      </c>
      <c r="H50" s="626">
        <f t="shared" si="26"/>
        <v>0</v>
      </c>
      <c r="I50" s="793">
        <f t="shared" si="26"/>
        <v>0</v>
      </c>
      <c r="J50" s="624">
        <f t="shared" si="26"/>
        <v>0</v>
      </c>
      <c r="K50" s="625">
        <f t="shared" si="26"/>
        <v>0</v>
      </c>
      <c r="L50" s="625">
        <f t="shared" si="26"/>
        <v>0</v>
      </c>
      <c r="M50" s="625">
        <f t="shared" si="26"/>
        <v>0</v>
      </c>
      <c r="N50" s="624">
        <f t="shared" si="27"/>
        <v>0</v>
      </c>
      <c r="O50" s="624">
        <f t="shared" si="27"/>
        <v>1</v>
      </c>
      <c r="P50" s="625">
        <f t="shared" si="27"/>
        <v>0</v>
      </c>
      <c r="Q50" s="624">
        <f t="shared" si="27"/>
        <v>1</v>
      </c>
      <c r="R50" s="253"/>
      <c r="S50" s="254">
        <v>0</v>
      </c>
      <c r="T50" s="255">
        <v>0</v>
      </c>
      <c r="U50" s="255">
        <v>0</v>
      </c>
      <c r="V50" s="255">
        <v>0</v>
      </c>
      <c r="W50" s="255">
        <v>0</v>
      </c>
      <c r="X50" s="255">
        <v>0</v>
      </c>
      <c r="Y50" s="256">
        <v>0</v>
      </c>
      <c r="Z50" s="254">
        <v>0</v>
      </c>
      <c r="AA50" s="255">
        <v>0</v>
      </c>
      <c r="AB50" s="255">
        <v>0</v>
      </c>
      <c r="AC50" s="255">
        <v>0</v>
      </c>
      <c r="AD50" s="255"/>
      <c r="AE50" s="256">
        <v>0</v>
      </c>
      <c r="AF50" s="254">
        <v>2167</v>
      </c>
      <c r="AG50" s="255"/>
      <c r="AH50" s="254">
        <v>2167</v>
      </c>
    </row>
    <row r="51" spans="1:34">
      <c r="A51" s="435"/>
      <c r="B51" s="436" t="s">
        <v>59</v>
      </c>
      <c r="C51" s="577">
        <f t="shared" si="26"/>
        <v>1</v>
      </c>
      <c r="D51" s="578">
        <f t="shared" si="26"/>
        <v>1</v>
      </c>
      <c r="E51" s="578">
        <f t="shared" si="26"/>
        <v>1</v>
      </c>
      <c r="F51" s="578">
        <f t="shared" si="26"/>
        <v>1</v>
      </c>
      <c r="G51" s="578">
        <f t="shared" si="26"/>
        <v>1</v>
      </c>
      <c r="H51" s="579">
        <f t="shared" si="26"/>
        <v>1</v>
      </c>
      <c r="I51" s="577">
        <f t="shared" si="26"/>
        <v>1</v>
      </c>
      <c r="J51" s="577">
        <f t="shared" si="26"/>
        <v>1</v>
      </c>
      <c r="K51" s="578">
        <f t="shared" si="26"/>
        <v>1</v>
      </c>
      <c r="L51" s="578">
        <f t="shared" si="26"/>
        <v>1</v>
      </c>
      <c r="M51" s="578">
        <f t="shared" si="26"/>
        <v>1</v>
      </c>
      <c r="N51" s="577">
        <f t="shared" si="27"/>
        <v>1</v>
      </c>
      <c r="O51" s="577">
        <f t="shared" si="27"/>
        <v>1</v>
      </c>
      <c r="P51" s="578">
        <f t="shared" si="27"/>
        <v>0</v>
      </c>
      <c r="Q51" s="577">
        <f t="shared" si="27"/>
        <v>1</v>
      </c>
      <c r="R51" s="264"/>
      <c r="S51" s="265">
        <v>2979</v>
      </c>
      <c r="T51" s="266">
        <v>1043</v>
      </c>
      <c r="U51" s="266">
        <v>1688</v>
      </c>
      <c r="V51" s="266">
        <v>2154</v>
      </c>
      <c r="W51" s="266">
        <v>535</v>
      </c>
      <c r="X51" s="266">
        <v>518</v>
      </c>
      <c r="Y51" s="267">
        <v>8917</v>
      </c>
      <c r="Z51" s="265">
        <v>439</v>
      </c>
      <c r="AA51" s="266">
        <v>488</v>
      </c>
      <c r="AB51" s="266">
        <v>712</v>
      </c>
      <c r="AC51" s="266">
        <v>61</v>
      </c>
      <c r="AD51" s="266"/>
      <c r="AE51" s="267">
        <v>1700</v>
      </c>
      <c r="AF51" s="265">
        <v>2167</v>
      </c>
      <c r="AG51" s="266"/>
      <c r="AH51" s="265">
        <v>2167</v>
      </c>
    </row>
    <row r="52" spans="1:34">
      <c r="A52" s="239" t="s">
        <v>8</v>
      </c>
      <c r="B52" s="240" t="s">
        <v>53</v>
      </c>
      <c r="C52" s="613">
        <f t="shared" ref="C52:M58" si="28">IF(S$58&gt;0,(S52/S$58),0)</f>
        <v>0.34784520668425684</v>
      </c>
      <c r="D52" s="614">
        <f t="shared" si="28"/>
        <v>0</v>
      </c>
      <c r="E52" s="614">
        <f t="shared" si="28"/>
        <v>0.22262118491921004</v>
      </c>
      <c r="F52" s="614">
        <f t="shared" si="28"/>
        <v>0.16765578635014836</v>
      </c>
      <c r="G52" s="614">
        <f t="shared" si="28"/>
        <v>0</v>
      </c>
      <c r="H52" s="615">
        <f t="shared" si="28"/>
        <v>0</v>
      </c>
      <c r="I52" s="613">
        <f t="shared" si="28"/>
        <v>0.27047913446676969</v>
      </c>
      <c r="J52" s="613">
        <f t="shared" si="28"/>
        <v>0</v>
      </c>
      <c r="K52" s="614">
        <f t="shared" si="28"/>
        <v>0.28421052631578947</v>
      </c>
      <c r="L52" s="614">
        <f t="shared" si="28"/>
        <v>0.33516915814319431</v>
      </c>
      <c r="M52" s="614">
        <f t="shared" si="28"/>
        <v>0.49019607843137253</v>
      </c>
      <c r="N52" s="613">
        <f t="shared" ref="N52:Q58" si="29">IF(AE$58&gt;0,(AE52/AE$58),0)</f>
        <v>0.32399577167019028</v>
      </c>
      <c r="O52" s="613">
        <f t="shared" si="29"/>
        <v>8.5227272727272721E-2</v>
      </c>
      <c r="P52" s="614">
        <f t="shared" si="29"/>
        <v>0</v>
      </c>
      <c r="Q52" s="613">
        <f t="shared" si="29"/>
        <v>8.5227272727272721E-2</v>
      </c>
      <c r="R52" s="244"/>
      <c r="S52" s="245">
        <v>791</v>
      </c>
      <c r="T52" s="246"/>
      <c r="U52" s="246">
        <v>496</v>
      </c>
      <c r="V52" s="246">
        <v>113</v>
      </c>
      <c r="W52" s="246"/>
      <c r="X52" s="246"/>
      <c r="Y52" s="247">
        <v>1400</v>
      </c>
      <c r="Z52" s="245"/>
      <c r="AA52" s="246">
        <v>162</v>
      </c>
      <c r="AB52" s="246">
        <v>426</v>
      </c>
      <c r="AC52" s="246">
        <v>25</v>
      </c>
      <c r="AD52" s="246"/>
      <c r="AE52" s="247">
        <v>613</v>
      </c>
      <c r="AF52" s="245">
        <v>15</v>
      </c>
      <c r="AG52" s="246"/>
      <c r="AH52" s="245">
        <v>15</v>
      </c>
    </row>
    <row r="53" spans="1:34">
      <c r="A53" s="249"/>
      <c r="B53" s="239" t="s">
        <v>93</v>
      </c>
      <c r="C53" s="624">
        <f t="shared" si="28"/>
        <v>0.2752858399296394</v>
      </c>
      <c r="D53" s="625">
        <f t="shared" si="28"/>
        <v>0</v>
      </c>
      <c r="E53" s="625">
        <f t="shared" si="28"/>
        <v>0.29488330341113106</v>
      </c>
      <c r="F53" s="625">
        <f t="shared" si="28"/>
        <v>0.30415430267062316</v>
      </c>
      <c r="G53" s="625">
        <f t="shared" si="28"/>
        <v>0</v>
      </c>
      <c r="H53" s="626">
        <f t="shared" si="28"/>
        <v>0</v>
      </c>
      <c r="I53" s="624">
        <f t="shared" si="28"/>
        <v>0.28748068006182381</v>
      </c>
      <c r="J53" s="624">
        <f t="shared" si="28"/>
        <v>0</v>
      </c>
      <c r="K53" s="625">
        <f t="shared" si="28"/>
        <v>0.37017543859649121</v>
      </c>
      <c r="L53" s="625">
        <f t="shared" si="28"/>
        <v>0.26671911880409127</v>
      </c>
      <c r="M53" s="625">
        <f t="shared" si="28"/>
        <v>0.21568627450980393</v>
      </c>
      <c r="N53" s="624">
        <f t="shared" si="29"/>
        <v>0.29651162790697677</v>
      </c>
      <c r="O53" s="624">
        <f t="shared" si="29"/>
        <v>0.22727272727272727</v>
      </c>
      <c r="P53" s="625">
        <f t="shared" si="29"/>
        <v>0</v>
      </c>
      <c r="Q53" s="624">
        <f t="shared" si="29"/>
        <v>0.22727272727272727</v>
      </c>
      <c r="R53" s="253"/>
      <c r="S53" s="254">
        <v>626</v>
      </c>
      <c r="T53" s="255"/>
      <c r="U53" s="255">
        <v>657</v>
      </c>
      <c r="V53" s="255">
        <v>205</v>
      </c>
      <c r="W53" s="255"/>
      <c r="X53" s="255"/>
      <c r="Y53" s="256">
        <v>1488</v>
      </c>
      <c r="Z53" s="254"/>
      <c r="AA53" s="255">
        <v>211</v>
      </c>
      <c r="AB53" s="255">
        <v>339</v>
      </c>
      <c r="AC53" s="255">
        <v>11</v>
      </c>
      <c r="AD53" s="255"/>
      <c r="AE53" s="256">
        <v>561</v>
      </c>
      <c r="AF53" s="254">
        <v>40</v>
      </c>
      <c r="AG53" s="255"/>
      <c r="AH53" s="254">
        <v>40</v>
      </c>
    </row>
    <row r="54" spans="1:34">
      <c r="A54" s="249"/>
      <c r="B54" s="239" t="s">
        <v>55</v>
      </c>
      <c r="C54" s="624">
        <f t="shared" si="28"/>
        <v>0.25461741424802109</v>
      </c>
      <c r="D54" s="625">
        <f t="shared" si="28"/>
        <v>0</v>
      </c>
      <c r="E54" s="625">
        <f t="shared" si="28"/>
        <v>0.28590664272890487</v>
      </c>
      <c r="F54" s="625">
        <f t="shared" si="28"/>
        <v>0.25964391691394662</v>
      </c>
      <c r="G54" s="625">
        <f t="shared" si="28"/>
        <v>0</v>
      </c>
      <c r="H54" s="626">
        <f t="shared" si="28"/>
        <v>0</v>
      </c>
      <c r="I54" s="624">
        <f t="shared" si="28"/>
        <v>0.26874034003091191</v>
      </c>
      <c r="J54" s="624">
        <f t="shared" si="28"/>
        <v>0</v>
      </c>
      <c r="K54" s="625">
        <f t="shared" si="28"/>
        <v>0.1</v>
      </c>
      <c r="L54" s="625">
        <f t="shared" si="28"/>
        <v>0.15106215578284815</v>
      </c>
      <c r="M54" s="625">
        <f t="shared" si="28"/>
        <v>9.8039215686274508E-2</v>
      </c>
      <c r="N54" s="624">
        <f t="shared" si="29"/>
        <v>0.13424947145877378</v>
      </c>
      <c r="O54" s="624">
        <f t="shared" si="29"/>
        <v>0.32386363636363635</v>
      </c>
      <c r="P54" s="625">
        <f t="shared" si="29"/>
        <v>0</v>
      </c>
      <c r="Q54" s="624">
        <f t="shared" si="29"/>
        <v>0.32386363636363635</v>
      </c>
      <c r="R54" s="253"/>
      <c r="S54" s="254">
        <v>579</v>
      </c>
      <c r="T54" s="255"/>
      <c r="U54" s="255">
        <v>637</v>
      </c>
      <c r="V54" s="255">
        <v>175</v>
      </c>
      <c r="W54" s="255"/>
      <c r="X54" s="255"/>
      <c r="Y54" s="256">
        <v>1391</v>
      </c>
      <c r="Z54" s="254"/>
      <c r="AA54" s="255">
        <v>57</v>
      </c>
      <c r="AB54" s="255">
        <v>192</v>
      </c>
      <c r="AC54" s="255">
        <v>5</v>
      </c>
      <c r="AD54" s="255"/>
      <c r="AE54" s="256">
        <v>254</v>
      </c>
      <c r="AF54" s="254">
        <v>57</v>
      </c>
      <c r="AG54" s="255"/>
      <c r="AH54" s="254">
        <v>57</v>
      </c>
    </row>
    <row r="55" spans="1:34">
      <c r="A55" s="249"/>
      <c r="B55" s="239" t="s">
        <v>78</v>
      </c>
      <c r="C55" s="791">
        <f t="shared" si="28"/>
        <v>3.8698328935795952E-2</v>
      </c>
      <c r="D55" s="625">
        <f t="shared" si="28"/>
        <v>0</v>
      </c>
      <c r="E55" s="625">
        <f t="shared" si="28"/>
        <v>0.11490125673249552</v>
      </c>
      <c r="F55" s="625">
        <f t="shared" si="28"/>
        <v>3.1157270029673591E-2</v>
      </c>
      <c r="G55" s="625">
        <f t="shared" si="28"/>
        <v>0</v>
      </c>
      <c r="H55" s="626">
        <f t="shared" si="28"/>
        <v>0</v>
      </c>
      <c r="I55" s="624">
        <f t="shared" si="28"/>
        <v>7.0517774343122105E-2</v>
      </c>
      <c r="J55" s="624">
        <f t="shared" si="28"/>
        <v>0</v>
      </c>
      <c r="K55" s="625">
        <f t="shared" si="28"/>
        <v>0.20877192982456141</v>
      </c>
      <c r="L55" s="625">
        <f t="shared" si="28"/>
        <v>0.22738001573564123</v>
      </c>
      <c r="M55" s="625">
        <f t="shared" si="28"/>
        <v>0.17647058823529413</v>
      </c>
      <c r="N55" s="624">
        <f t="shared" si="29"/>
        <v>0.22040169133192389</v>
      </c>
      <c r="O55" s="624">
        <f t="shared" si="29"/>
        <v>0.36363636363636365</v>
      </c>
      <c r="P55" s="625">
        <f t="shared" si="29"/>
        <v>0</v>
      </c>
      <c r="Q55" s="624">
        <f t="shared" si="29"/>
        <v>0.36363636363636365</v>
      </c>
      <c r="R55" s="253"/>
      <c r="S55" s="254">
        <v>88</v>
      </c>
      <c r="T55" s="255"/>
      <c r="U55" s="255">
        <v>256</v>
      </c>
      <c r="V55" s="255">
        <v>21</v>
      </c>
      <c r="W55" s="255"/>
      <c r="X55" s="255"/>
      <c r="Y55" s="256">
        <v>365</v>
      </c>
      <c r="Z55" s="254"/>
      <c r="AA55" s="255">
        <v>119</v>
      </c>
      <c r="AB55" s="255">
        <v>289</v>
      </c>
      <c r="AC55" s="255">
        <v>9</v>
      </c>
      <c r="AD55" s="255"/>
      <c r="AE55" s="256">
        <v>417</v>
      </c>
      <c r="AF55" s="254">
        <v>64</v>
      </c>
      <c r="AG55" s="255"/>
      <c r="AH55" s="254">
        <v>64</v>
      </c>
    </row>
    <row r="56" spans="1:34">
      <c r="A56" s="249"/>
      <c r="B56" s="239" t="s">
        <v>32</v>
      </c>
      <c r="C56" s="624">
        <f t="shared" si="28"/>
        <v>8.3553210202286718E-2</v>
      </c>
      <c r="D56" s="790">
        <f t="shared" si="28"/>
        <v>0</v>
      </c>
      <c r="E56" s="625">
        <f t="shared" si="28"/>
        <v>8.1687612208258528E-2</v>
      </c>
      <c r="F56" s="625">
        <f t="shared" si="28"/>
        <v>0.23738872403560832</v>
      </c>
      <c r="G56" s="625">
        <f t="shared" si="28"/>
        <v>0</v>
      </c>
      <c r="H56" s="626">
        <f t="shared" si="28"/>
        <v>0</v>
      </c>
      <c r="I56" s="624">
        <f t="shared" si="28"/>
        <v>0.10278207109737249</v>
      </c>
      <c r="J56" s="624">
        <f t="shared" si="28"/>
        <v>0</v>
      </c>
      <c r="K56" s="625">
        <f t="shared" si="28"/>
        <v>3.6842105263157891E-2</v>
      </c>
      <c r="L56" s="625">
        <f t="shared" si="28"/>
        <v>1.9669551534225019E-2</v>
      </c>
      <c r="M56" s="625">
        <f t="shared" si="28"/>
        <v>1.9607843137254902E-2</v>
      </c>
      <c r="N56" s="624">
        <f t="shared" si="29"/>
        <v>2.4841437632135307E-2</v>
      </c>
      <c r="O56" s="624">
        <f t="shared" si="29"/>
        <v>0</v>
      </c>
      <c r="P56" s="625">
        <f t="shared" si="29"/>
        <v>0</v>
      </c>
      <c r="Q56" s="624">
        <f t="shared" si="29"/>
        <v>0</v>
      </c>
      <c r="R56" s="253"/>
      <c r="S56" s="254">
        <v>190</v>
      </c>
      <c r="T56" s="255"/>
      <c r="U56" s="255">
        <v>182</v>
      </c>
      <c r="V56" s="255">
        <v>160</v>
      </c>
      <c r="W56" s="255"/>
      <c r="X56" s="255"/>
      <c r="Y56" s="256">
        <v>532</v>
      </c>
      <c r="Z56" s="254"/>
      <c r="AA56" s="255">
        <v>21</v>
      </c>
      <c r="AB56" s="255">
        <v>25</v>
      </c>
      <c r="AC56" s="255">
        <v>1</v>
      </c>
      <c r="AD56" s="255"/>
      <c r="AE56" s="256">
        <v>47</v>
      </c>
      <c r="AF56" s="254">
        <v>0</v>
      </c>
      <c r="AG56" s="255"/>
      <c r="AH56" s="254">
        <v>0</v>
      </c>
    </row>
    <row r="57" spans="1:34">
      <c r="A57" s="249"/>
      <c r="B57" s="239" t="s">
        <v>58</v>
      </c>
      <c r="C57" s="624">
        <f t="shared" si="28"/>
        <v>0</v>
      </c>
      <c r="D57" s="625">
        <f t="shared" si="28"/>
        <v>0</v>
      </c>
      <c r="E57" s="792">
        <f t="shared" si="28"/>
        <v>0</v>
      </c>
      <c r="F57" s="625">
        <f t="shared" si="28"/>
        <v>0</v>
      </c>
      <c r="G57" s="792">
        <f t="shared" si="28"/>
        <v>0</v>
      </c>
      <c r="H57" s="626">
        <f t="shared" si="28"/>
        <v>0</v>
      </c>
      <c r="I57" s="793">
        <f t="shared" si="28"/>
        <v>0</v>
      </c>
      <c r="J57" s="624">
        <f t="shared" si="28"/>
        <v>0</v>
      </c>
      <c r="K57" s="625">
        <f t="shared" si="28"/>
        <v>0</v>
      </c>
      <c r="L57" s="625">
        <f t="shared" si="28"/>
        <v>0</v>
      </c>
      <c r="M57" s="625">
        <f t="shared" si="28"/>
        <v>0</v>
      </c>
      <c r="N57" s="624">
        <f t="shared" si="29"/>
        <v>0</v>
      </c>
      <c r="O57" s="624">
        <f t="shared" si="29"/>
        <v>0</v>
      </c>
      <c r="P57" s="625">
        <f t="shared" si="29"/>
        <v>0</v>
      </c>
      <c r="Q57" s="624">
        <f t="shared" si="29"/>
        <v>0</v>
      </c>
      <c r="R57" s="253"/>
      <c r="S57" s="254">
        <v>0</v>
      </c>
      <c r="T57" s="255"/>
      <c r="U57" s="255">
        <v>0</v>
      </c>
      <c r="V57" s="255">
        <v>0</v>
      </c>
      <c r="W57" s="255"/>
      <c r="X57" s="255"/>
      <c r="Y57" s="256">
        <v>0</v>
      </c>
      <c r="Z57" s="254"/>
      <c r="AA57" s="255">
        <v>0</v>
      </c>
      <c r="AB57" s="255">
        <v>0</v>
      </c>
      <c r="AC57" s="255">
        <v>0</v>
      </c>
      <c r="AD57" s="255"/>
      <c r="AE57" s="256">
        <v>0</v>
      </c>
      <c r="AF57" s="254">
        <v>0</v>
      </c>
      <c r="AG57" s="255"/>
      <c r="AH57" s="254">
        <v>0</v>
      </c>
    </row>
    <row r="58" spans="1:34">
      <c r="A58" s="435"/>
      <c r="B58" s="436" t="s">
        <v>59</v>
      </c>
      <c r="C58" s="577">
        <f t="shared" si="28"/>
        <v>1</v>
      </c>
      <c r="D58" s="578">
        <f t="shared" si="28"/>
        <v>0</v>
      </c>
      <c r="E58" s="578">
        <f t="shared" si="28"/>
        <v>1</v>
      </c>
      <c r="F58" s="578">
        <f t="shared" si="28"/>
        <v>1</v>
      </c>
      <c r="G58" s="578">
        <f t="shared" si="28"/>
        <v>0</v>
      </c>
      <c r="H58" s="579">
        <f t="shared" si="28"/>
        <v>0</v>
      </c>
      <c r="I58" s="577">
        <f t="shared" si="28"/>
        <v>1</v>
      </c>
      <c r="J58" s="577">
        <f t="shared" si="28"/>
        <v>0</v>
      </c>
      <c r="K58" s="578">
        <f t="shared" si="28"/>
        <v>1</v>
      </c>
      <c r="L58" s="578">
        <f t="shared" si="28"/>
        <v>1</v>
      </c>
      <c r="M58" s="578">
        <f t="shared" si="28"/>
        <v>1</v>
      </c>
      <c r="N58" s="577">
        <f t="shared" si="29"/>
        <v>1</v>
      </c>
      <c r="O58" s="577">
        <f t="shared" si="29"/>
        <v>1</v>
      </c>
      <c r="P58" s="578">
        <f t="shared" si="29"/>
        <v>0</v>
      </c>
      <c r="Q58" s="577">
        <f t="shared" si="29"/>
        <v>1</v>
      </c>
      <c r="R58" s="264"/>
      <c r="S58" s="265">
        <v>2274</v>
      </c>
      <c r="T58" s="266"/>
      <c r="U58" s="266">
        <v>2228</v>
      </c>
      <c r="V58" s="266">
        <v>674</v>
      </c>
      <c r="W58" s="266"/>
      <c r="X58" s="266"/>
      <c r="Y58" s="267">
        <v>5176</v>
      </c>
      <c r="Z58" s="265"/>
      <c r="AA58" s="266">
        <v>570</v>
      </c>
      <c r="AB58" s="266">
        <v>1271</v>
      </c>
      <c r="AC58" s="266">
        <v>51</v>
      </c>
      <c r="AD58" s="266"/>
      <c r="AE58" s="267">
        <v>1892</v>
      </c>
      <c r="AF58" s="265">
        <v>176</v>
      </c>
      <c r="AG58" s="266"/>
      <c r="AH58" s="265">
        <v>176</v>
      </c>
    </row>
    <row r="59" spans="1:34">
      <c r="A59" s="239" t="s">
        <v>9</v>
      </c>
      <c r="B59" s="240" t="s">
        <v>53</v>
      </c>
      <c r="C59" s="613">
        <f t="shared" ref="C59:M65" si="30">IF(S$65&gt;0,(S59/S$65),0)</f>
        <v>0.33983739837398375</v>
      </c>
      <c r="D59" s="614">
        <f t="shared" si="30"/>
        <v>0.25346687211093993</v>
      </c>
      <c r="E59" s="614">
        <f t="shared" si="30"/>
        <v>0.21785714285714286</v>
      </c>
      <c r="F59" s="614">
        <f t="shared" si="30"/>
        <v>0.19584332533972823</v>
      </c>
      <c r="G59" s="614">
        <f t="shared" si="30"/>
        <v>0</v>
      </c>
      <c r="H59" s="615">
        <f t="shared" si="30"/>
        <v>0.18604651162790697</v>
      </c>
      <c r="I59" s="613">
        <f t="shared" si="30"/>
        <v>0.25115346038114345</v>
      </c>
      <c r="J59" s="613">
        <f t="shared" si="30"/>
        <v>0</v>
      </c>
      <c r="K59" s="614">
        <f t="shared" si="30"/>
        <v>0.13392857142857142</v>
      </c>
      <c r="L59" s="614">
        <f t="shared" si="30"/>
        <v>0.13942307692307693</v>
      </c>
      <c r="M59" s="614">
        <f t="shared" si="30"/>
        <v>7.2727272727272724E-2</v>
      </c>
      <c r="N59" s="613">
        <f t="shared" ref="N59:Q65" si="31">IF(AE$65&gt;0,(AE59/AE$65),0)</f>
        <v>0.12154696132596685</v>
      </c>
      <c r="O59" s="788">
        <f t="shared" si="31"/>
        <v>7.2164948453608241E-2</v>
      </c>
      <c r="P59" s="614">
        <f t="shared" si="31"/>
        <v>0</v>
      </c>
      <c r="Q59" s="788">
        <f t="shared" si="31"/>
        <v>7.2164948453608241E-2</v>
      </c>
      <c r="R59" s="244"/>
      <c r="S59" s="245">
        <v>418</v>
      </c>
      <c r="T59" s="246">
        <v>329</v>
      </c>
      <c r="U59" s="246">
        <v>244</v>
      </c>
      <c r="V59" s="246">
        <v>245</v>
      </c>
      <c r="W59" s="246"/>
      <c r="X59" s="246">
        <v>16</v>
      </c>
      <c r="Y59" s="247">
        <v>1252</v>
      </c>
      <c r="Z59" s="245"/>
      <c r="AA59" s="246">
        <v>105</v>
      </c>
      <c r="AB59" s="246">
        <v>29</v>
      </c>
      <c r="AC59" s="246">
        <v>20</v>
      </c>
      <c r="AD59" s="246"/>
      <c r="AE59" s="247">
        <v>154</v>
      </c>
      <c r="AF59" s="245">
        <v>35</v>
      </c>
      <c r="AG59" s="246"/>
      <c r="AH59" s="245">
        <v>35</v>
      </c>
    </row>
    <row r="60" spans="1:34">
      <c r="A60" s="249"/>
      <c r="B60" s="239" t="s">
        <v>93</v>
      </c>
      <c r="C60" s="624">
        <f t="shared" si="30"/>
        <v>0.25365853658536586</v>
      </c>
      <c r="D60" s="625">
        <f t="shared" si="30"/>
        <v>0.24345146379044685</v>
      </c>
      <c r="E60" s="625">
        <f t="shared" si="30"/>
        <v>0.2294642857142857</v>
      </c>
      <c r="F60" s="625">
        <f t="shared" si="30"/>
        <v>0.23661071143085532</v>
      </c>
      <c r="G60" s="625">
        <f t="shared" si="30"/>
        <v>0</v>
      </c>
      <c r="H60" s="626">
        <f t="shared" si="30"/>
        <v>0.37209302325581395</v>
      </c>
      <c r="I60" s="624">
        <f t="shared" si="30"/>
        <v>0.24332998996990973</v>
      </c>
      <c r="J60" s="624">
        <f t="shared" si="30"/>
        <v>0</v>
      </c>
      <c r="K60" s="625">
        <f t="shared" si="30"/>
        <v>0.14795918367346939</v>
      </c>
      <c r="L60" s="625">
        <f t="shared" si="30"/>
        <v>9.6153846153846159E-2</v>
      </c>
      <c r="M60" s="625">
        <f t="shared" si="30"/>
        <v>0.13818181818181818</v>
      </c>
      <c r="N60" s="624">
        <f t="shared" si="31"/>
        <v>0.13733228097868982</v>
      </c>
      <c r="O60" s="624">
        <f t="shared" si="31"/>
        <v>2.268041237113402E-2</v>
      </c>
      <c r="P60" s="625">
        <f t="shared" si="31"/>
        <v>0</v>
      </c>
      <c r="Q60" s="624">
        <f t="shared" si="31"/>
        <v>2.268041237113402E-2</v>
      </c>
      <c r="R60" s="253"/>
      <c r="S60" s="254">
        <v>312</v>
      </c>
      <c r="T60" s="255">
        <v>316</v>
      </c>
      <c r="U60" s="255">
        <v>257</v>
      </c>
      <c r="V60" s="255">
        <v>296</v>
      </c>
      <c r="W60" s="255"/>
      <c r="X60" s="255">
        <v>32</v>
      </c>
      <c r="Y60" s="256">
        <v>1213</v>
      </c>
      <c r="Z60" s="254"/>
      <c r="AA60" s="255">
        <v>116</v>
      </c>
      <c r="AB60" s="255">
        <v>20</v>
      </c>
      <c r="AC60" s="255">
        <v>38</v>
      </c>
      <c r="AD60" s="255"/>
      <c r="AE60" s="256">
        <v>174</v>
      </c>
      <c r="AF60" s="254">
        <v>11</v>
      </c>
      <c r="AG60" s="255"/>
      <c r="AH60" s="254">
        <v>11</v>
      </c>
    </row>
    <row r="61" spans="1:34">
      <c r="A61" s="249"/>
      <c r="B61" s="239" t="s">
        <v>55</v>
      </c>
      <c r="C61" s="624">
        <f t="shared" si="30"/>
        <v>0.21463414634146341</v>
      </c>
      <c r="D61" s="625">
        <f t="shared" si="30"/>
        <v>0.26656394453004623</v>
      </c>
      <c r="E61" s="625">
        <f t="shared" si="30"/>
        <v>0.23035714285714284</v>
      </c>
      <c r="F61" s="625">
        <f t="shared" si="30"/>
        <v>0.35331734612310151</v>
      </c>
      <c r="G61" s="625">
        <f t="shared" si="30"/>
        <v>0</v>
      </c>
      <c r="H61" s="626">
        <f t="shared" si="30"/>
        <v>0.31395348837209303</v>
      </c>
      <c r="I61" s="624">
        <f t="shared" si="30"/>
        <v>0.26820461384152455</v>
      </c>
      <c r="J61" s="624">
        <f t="shared" si="30"/>
        <v>0</v>
      </c>
      <c r="K61" s="625">
        <f t="shared" si="30"/>
        <v>0.20408163265306123</v>
      </c>
      <c r="L61" s="625">
        <f t="shared" si="30"/>
        <v>7.6923076923076927E-2</v>
      </c>
      <c r="M61" s="625">
        <f t="shared" si="30"/>
        <v>0.21818181818181817</v>
      </c>
      <c r="N61" s="624">
        <f t="shared" si="31"/>
        <v>0.18626677190213101</v>
      </c>
      <c r="O61" s="624">
        <f t="shared" si="31"/>
        <v>0.10721649484536082</v>
      </c>
      <c r="P61" s="625">
        <f t="shared" si="31"/>
        <v>0</v>
      </c>
      <c r="Q61" s="624">
        <f t="shared" si="31"/>
        <v>0.10721649484536082</v>
      </c>
      <c r="R61" s="253"/>
      <c r="S61" s="254">
        <v>264</v>
      </c>
      <c r="T61" s="255">
        <v>346</v>
      </c>
      <c r="U61" s="255">
        <v>258</v>
      </c>
      <c r="V61" s="255">
        <v>442</v>
      </c>
      <c r="W61" s="255"/>
      <c r="X61" s="255">
        <v>27</v>
      </c>
      <c r="Y61" s="256">
        <v>1337</v>
      </c>
      <c r="Z61" s="254"/>
      <c r="AA61" s="255">
        <v>160</v>
      </c>
      <c r="AB61" s="255">
        <v>16</v>
      </c>
      <c r="AC61" s="255">
        <v>60</v>
      </c>
      <c r="AD61" s="255"/>
      <c r="AE61" s="256">
        <v>236</v>
      </c>
      <c r="AF61" s="254">
        <v>52</v>
      </c>
      <c r="AG61" s="255"/>
      <c r="AH61" s="254">
        <v>52</v>
      </c>
    </row>
    <row r="62" spans="1:34">
      <c r="A62" s="249"/>
      <c r="B62" s="239" t="s">
        <v>78</v>
      </c>
      <c r="C62" s="624">
        <f t="shared" si="30"/>
        <v>0.17479674796747968</v>
      </c>
      <c r="D62" s="625">
        <f t="shared" si="30"/>
        <v>0.22342064714946072</v>
      </c>
      <c r="E62" s="625">
        <f t="shared" si="30"/>
        <v>0.23749999999999999</v>
      </c>
      <c r="F62" s="625">
        <f t="shared" si="30"/>
        <v>0.17745803357314149</v>
      </c>
      <c r="G62" s="625">
        <f t="shared" si="30"/>
        <v>0</v>
      </c>
      <c r="H62" s="626">
        <f t="shared" si="30"/>
        <v>0.12790697674418605</v>
      </c>
      <c r="I62" s="624">
        <f t="shared" si="30"/>
        <v>0.20140421263791375</v>
      </c>
      <c r="J62" s="624">
        <f t="shared" si="30"/>
        <v>0</v>
      </c>
      <c r="K62" s="625">
        <f t="shared" si="30"/>
        <v>0.51020408163265307</v>
      </c>
      <c r="L62" s="625">
        <f t="shared" si="30"/>
        <v>0.67788461538461542</v>
      </c>
      <c r="M62" s="625">
        <f t="shared" si="30"/>
        <v>0.55636363636363639</v>
      </c>
      <c r="N62" s="624">
        <f t="shared" si="31"/>
        <v>0.54775059194948694</v>
      </c>
      <c r="O62" s="624">
        <f t="shared" si="31"/>
        <v>0.52577319587628868</v>
      </c>
      <c r="P62" s="625">
        <f t="shared" si="31"/>
        <v>0</v>
      </c>
      <c r="Q62" s="624">
        <f t="shared" si="31"/>
        <v>0.52577319587628868</v>
      </c>
      <c r="R62" s="253"/>
      <c r="S62" s="254">
        <v>215</v>
      </c>
      <c r="T62" s="255">
        <v>290</v>
      </c>
      <c r="U62" s="255">
        <v>266</v>
      </c>
      <c r="V62" s="255">
        <v>222</v>
      </c>
      <c r="W62" s="255"/>
      <c r="X62" s="255">
        <v>11</v>
      </c>
      <c r="Y62" s="256">
        <v>1004</v>
      </c>
      <c r="Z62" s="254"/>
      <c r="AA62" s="255">
        <v>400</v>
      </c>
      <c r="AB62" s="255">
        <v>141</v>
      </c>
      <c r="AC62" s="255">
        <v>153</v>
      </c>
      <c r="AD62" s="255"/>
      <c r="AE62" s="256">
        <v>694</v>
      </c>
      <c r="AF62" s="254">
        <v>255</v>
      </c>
      <c r="AG62" s="255"/>
      <c r="AH62" s="254">
        <v>255</v>
      </c>
    </row>
    <row r="63" spans="1:34">
      <c r="A63" s="249"/>
      <c r="B63" s="239" t="s">
        <v>32</v>
      </c>
      <c r="C63" s="624">
        <f t="shared" si="30"/>
        <v>1.7073170731707318E-2</v>
      </c>
      <c r="D63" s="625">
        <f t="shared" si="30"/>
        <v>1.3097072419106317E-2</v>
      </c>
      <c r="E63" s="625">
        <f t="shared" si="30"/>
        <v>8.4821428571428575E-2</v>
      </c>
      <c r="F63" s="790">
        <f t="shared" si="30"/>
        <v>3.6770583533173459E-2</v>
      </c>
      <c r="G63" s="625">
        <f t="shared" si="30"/>
        <v>0</v>
      </c>
      <c r="H63" s="626">
        <f t="shared" si="30"/>
        <v>0</v>
      </c>
      <c r="I63" s="624">
        <f t="shared" si="30"/>
        <v>3.5907723169508528E-2</v>
      </c>
      <c r="J63" s="624">
        <f t="shared" si="30"/>
        <v>0</v>
      </c>
      <c r="K63" s="625">
        <f t="shared" si="30"/>
        <v>3.8265306122448979E-3</v>
      </c>
      <c r="L63" s="625">
        <f t="shared" si="30"/>
        <v>9.6153846153846159E-3</v>
      </c>
      <c r="M63" s="625">
        <f t="shared" si="30"/>
        <v>1.4545454545454545E-2</v>
      </c>
      <c r="N63" s="624">
        <f t="shared" si="31"/>
        <v>7.1033938437253356E-3</v>
      </c>
      <c r="O63" s="624">
        <f t="shared" si="31"/>
        <v>0.27216494845360822</v>
      </c>
      <c r="P63" s="625">
        <f t="shared" si="31"/>
        <v>0</v>
      </c>
      <c r="Q63" s="791">
        <f t="shared" si="31"/>
        <v>0.27216494845360822</v>
      </c>
      <c r="R63" s="253"/>
      <c r="S63" s="254">
        <v>21</v>
      </c>
      <c r="T63" s="255">
        <v>17</v>
      </c>
      <c r="U63" s="255">
        <v>95</v>
      </c>
      <c r="V63" s="255">
        <v>46</v>
      </c>
      <c r="W63" s="255"/>
      <c r="X63" s="255">
        <v>0</v>
      </c>
      <c r="Y63" s="256">
        <v>179</v>
      </c>
      <c r="Z63" s="254"/>
      <c r="AA63" s="255">
        <v>3</v>
      </c>
      <c r="AB63" s="255">
        <v>2</v>
      </c>
      <c r="AC63" s="255">
        <v>4</v>
      </c>
      <c r="AD63" s="255"/>
      <c r="AE63" s="256">
        <v>9</v>
      </c>
      <c r="AF63" s="254">
        <v>132</v>
      </c>
      <c r="AG63" s="255"/>
      <c r="AH63" s="254">
        <v>132</v>
      </c>
    </row>
    <row r="64" spans="1:34">
      <c r="A64" s="249"/>
      <c r="B64" s="239" t="s">
        <v>58</v>
      </c>
      <c r="C64" s="624">
        <f t="shared" si="30"/>
        <v>0</v>
      </c>
      <c r="D64" s="625">
        <f t="shared" si="30"/>
        <v>0</v>
      </c>
      <c r="E64" s="625">
        <f t="shared" si="30"/>
        <v>0</v>
      </c>
      <c r="F64" s="790">
        <f t="shared" si="30"/>
        <v>0</v>
      </c>
      <c r="G64" s="792">
        <f t="shared" si="30"/>
        <v>0</v>
      </c>
      <c r="H64" s="626">
        <f t="shared" si="30"/>
        <v>0</v>
      </c>
      <c r="I64" s="624">
        <f t="shared" si="30"/>
        <v>0</v>
      </c>
      <c r="J64" s="624">
        <f t="shared" si="30"/>
        <v>0</v>
      </c>
      <c r="K64" s="625">
        <f t="shared" si="30"/>
        <v>0</v>
      </c>
      <c r="L64" s="625">
        <f t="shared" si="30"/>
        <v>0</v>
      </c>
      <c r="M64" s="625">
        <f t="shared" si="30"/>
        <v>0</v>
      </c>
      <c r="N64" s="624">
        <f t="shared" si="31"/>
        <v>0</v>
      </c>
      <c r="O64" s="624">
        <f t="shared" si="31"/>
        <v>0</v>
      </c>
      <c r="P64" s="625">
        <f t="shared" si="31"/>
        <v>0</v>
      </c>
      <c r="Q64" s="624">
        <f t="shared" si="31"/>
        <v>0</v>
      </c>
      <c r="R64" s="253"/>
      <c r="S64" s="254">
        <v>0</v>
      </c>
      <c r="T64" s="255">
        <v>0</v>
      </c>
      <c r="U64" s="255">
        <v>0</v>
      </c>
      <c r="V64" s="255">
        <v>0</v>
      </c>
      <c r="W64" s="255"/>
      <c r="X64" s="255">
        <v>0</v>
      </c>
      <c r="Y64" s="256">
        <v>0</v>
      </c>
      <c r="Z64" s="254"/>
      <c r="AA64" s="255">
        <v>0</v>
      </c>
      <c r="AB64" s="255">
        <v>0</v>
      </c>
      <c r="AC64" s="255">
        <v>0</v>
      </c>
      <c r="AD64" s="255"/>
      <c r="AE64" s="256">
        <v>0</v>
      </c>
      <c r="AF64" s="254">
        <v>0</v>
      </c>
      <c r="AG64" s="255"/>
      <c r="AH64" s="254">
        <v>0</v>
      </c>
    </row>
    <row r="65" spans="1:34">
      <c r="A65" s="435"/>
      <c r="B65" s="436" t="s">
        <v>59</v>
      </c>
      <c r="C65" s="577">
        <f t="shared" si="30"/>
        <v>1</v>
      </c>
      <c r="D65" s="578">
        <f t="shared" si="30"/>
        <v>1</v>
      </c>
      <c r="E65" s="578">
        <f t="shared" si="30"/>
        <v>1</v>
      </c>
      <c r="F65" s="578">
        <f t="shared" si="30"/>
        <v>1</v>
      </c>
      <c r="G65" s="578">
        <f t="shared" si="30"/>
        <v>0</v>
      </c>
      <c r="H65" s="579">
        <f t="shared" si="30"/>
        <v>1</v>
      </c>
      <c r="I65" s="577">
        <f t="shared" si="30"/>
        <v>1</v>
      </c>
      <c r="J65" s="577">
        <f t="shared" si="30"/>
        <v>0</v>
      </c>
      <c r="K65" s="578">
        <f t="shared" si="30"/>
        <v>1</v>
      </c>
      <c r="L65" s="578">
        <f t="shared" si="30"/>
        <v>1</v>
      </c>
      <c r="M65" s="578">
        <f t="shared" si="30"/>
        <v>1</v>
      </c>
      <c r="N65" s="577">
        <f t="shared" si="31"/>
        <v>1</v>
      </c>
      <c r="O65" s="577">
        <f t="shared" si="31"/>
        <v>1</v>
      </c>
      <c r="P65" s="578">
        <f t="shared" si="31"/>
        <v>0</v>
      </c>
      <c r="Q65" s="577">
        <f t="shared" si="31"/>
        <v>1</v>
      </c>
      <c r="R65" s="264"/>
      <c r="S65" s="265">
        <v>1230</v>
      </c>
      <c r="T65" s="266">
        <v>1298</v>
      </c>
      <c r="U65" s="266">
        <v>1120</v>
      </c>
      <c r="V65" s="266">
        <v>1251</v>
      </c>
      <c r="W65" s="266"/>
      <c r="X65" s="266">
        <v>86</v>
      </c>
      <c r="Y65" s="267">
        <v>4985</v>
      </c>
      <c r="Z65" s="265"/>
      <c r="AA65" s="266">
        <v>784</v>
      </c>
      <c r="AB65" s="266">
        <v>208</v>
      </c>
      <c r="AC65" s="266">
        <v>275</v>
      </c>
      <c r="AD65" s="266"/>
      <c r="AE65" s="267">
        <v>1267</v>
      </c>
      <c r="AF65" s="265">
        <v>485</v>
      </c>
      <c r="AG65" s="266"/>
      <c r="AH65" s="265">
        <v>485</v>
      </c>
    </row>
    <row r="66" spans="1:34">
      <c r="A66" s="239" t="s">
        <v>10</v>
      </c>
      <c r="B66" s="240" t="s">
        <v>53</v>
      </c>
      <c r="C66" s="613">
        <f t="shared" ref="C66:M72" si="32">IF(S$72&gt;0,(S66/S$72),0)</f>
        <v>0.38961813842482101</v>
      </c>
      <c r="D66" s="614">
        <f t="shared" si="32"/>
        <v>0.21762208067940553</v>
      </c>
      <c r="E66" s="614">
        <f t="shared" si="32"/>
        <v>0.23231132075471697</v>
      </c>
      <c r="F66" s="614">
        <f t="shared" si="32"/>
        <v>0.2445141065830721</v>
      </c>
      <c r="G66" s="614">
        <f t="shared" si="32"/>
        <v>0.15584415584415584</v>
      </c>
      <c r="H66" s="615">
        <f t="shared" si="32"/>
        <v>0.29333333333333333</v>
      </c>
      <c r="I66" s="613">
        <f t="shared" si="32"/>
        <v>0.28438367023384858</v>
      </c>
      <c r="J66" s="613">
        <f t="shared" si="32"/>
        <v>0</v>
      </c>
      <c r="K66" s="614">
        <f t="shared" si="32"/>
        <v>0.38565782044042912</v>
      </c>
      <c r="L66" s="614">
        <f t="shared" si="32"/>
        <v>0.19753086419753085</v>
      </c>
      <c r="M66" s="614">
        <f t="shared" si="32"/>
        <v>0.25600000000000001</v>
      </c>
      <c r="N66" s="613">
        <f t="shared" ref="N66:Q72" si="33">IF(AE$72&gt;0,(AE66/AE$72),0)</f>
        <v>0.33136792452830188</v>
      </c>
      <c r="O66" s="788">
        <f t="shared" si="33"/>
        <v>0</v>
      </c>
      <c r="P66" s="614">
        <f t="shared" si="33"/>
        <v>0</v>
      </c>
      <c r="Q66" s="788">
        <f t="shared" si="33"/>
        <v>0</v>
      </c>
      <c r="R66" s="244"/>
      <c r="S66" s="245">
        <v>653</v>
      </c>
      <c r="T66" s="246">
        <v>205</v>
      </c>
      <c r="U66" s="246">
        <v>197</v>
      </c>
      <c r="V66" s="246">
        <v>312</v>
      </c>
      <c r="W66" s="246">
        <v>24</v>
      </c>
      <c r="X66" s="246">
        <v>44</v>
      </c>
      <c r="Y66" s="247">
        <v>1435</v>
      </c>
      <c r="Z66" s="245"/>
      <c r="AA66" s="246">
        <v>683</v>
      </c>
      <c r="AB66" s="246">
        <v>128</v>
      </c>
      <c r="AC66" s="246">
        <v>32</v>
      </c>
      <c r="AD66" s="246"/>
      <c r="AE66" s="247">
        <v>843</v>
      </c>
      <c r="AF66" s="245">
        <v>0</v>
      </c>
      <c r="AG66" s="246">
        <v>0</v>
      </c>
      <c r="AH66" s="245">
        <v>0</v>
      </c>
    </row>
    <row r="67" spans="1:34">
      <c r="A67" s="249"/>
      <c r="B67" s="239" t="s">
        <v>93</v>
      </c>
      <c r="C67" s="624">
        <f t="shared" si="32"/>
        <v>0.25715990453460619</v>
      </c>
      <c r="D67" s="625">
        <f t="shared" si="32"/>
        <v>0.3067940552016985</v>
      </c>
      <c r="E67" s="625">
        <f t="shared" si="32"/>
        <v>0.2099056603773585</v>
      </c>
      <c r="F67" s="625">
        <f t="shared" si="32"/>
        <v>0.2554858934169279</v>
      </c>
      <c r="G67" s="625">
        <f t="shared" si="32"/>
        <v>0.21428571428571427</v>
      </c>
      <c r="H67" s="626">
        <f t="shared" si="32"/>
        <v>0.36</v>
      </c>
      <c r="I67" s="624">
        <f t="shared" si="32"/>
        <v>0.25980975029726516</v>
      </c>
      <c r="J67" s="624">
        <f t="shared" si="32"/>
        <v>0</v>
      </c>
      <c r="K67" s="625">
        <f t="shared" si="32"/>
        <v>0.28063241106719367</v>
      </c>
      <c r="L67" s="625">
        <f t="shared" si="32"/>
        <v>0.22530864197530864</v>
      </c>
      <c r="M67" s="625">
        <f t="shared" si="32"/>
        <v>0.32</v>
      </c>
      <c r="N67" s="624">
        <f t="shared" si="33"/>
        <v>0.26847484276729561</v>
      </c>
      <c r="O67" s="624">
        <f t="shared" si="33"/>
        <v>0</v>
      </c>
      <c r="P67" s="625">
        <f t="shared" si="33"/>
        <v>0</v>
      </c>
      <c r="Q67" s="624">
        <f t="shared" si="33"/>
        <v>0</v>
      </c>
      <c r="R67" s="253"/>
      <c r="S67" s="254">
        <v>431</v>
      </c>
      <c r="T67" s="255">
        <v>289</v>
      </c>
      <c r="U67" s="255">
        <v>178</v>
      </c>
      <c r="V67" s="255">
        <v>326</v>
      </c>
      <c r="W67" s="255">
        <v>33</v>
      </c>
      <c r="X67" s="255">
        <v>54</v>
      </c>
      <c r="Y67" s="256">
        <v>1311</v>
      </c>
      <c r="Z67" s="254"/>
      <c r="AA67" s="255">
        <v>497</v>
      </c>
      <c r="AB67" s="255">
        <v>146</v>
      </c>
      <c r="AC67" s="255">
        <v>40</v>
      </c>
      <c r="AD67" s="255"/>
      <c r="AE67" s="256">
        <v>683</v>
      </c>
      <c r="AF67" s="254">
        <v>0</v>
      </c>
      <c r="AG67" s="255">
        <v>0</v>
      </c>
      <c r="AH67" s="254">
        <v>0</v>
      </c>
    </row>
    <row r="68" spans="1:34">
      <c r="A68" s="249"/>
      <c r="B68" s="239" t="s">
        <v>55</v>
      </c>
      <c r="C68" s="624">
        <f t="shared" si="32"/>
        <v>0.18914081145584727</v>
      </c>
      <c r="D68" s="625">
        <f t="shared" si="32"/>
        <v>0.19957537154989385</v>
      </c>
      <c r="E68" s="625">
        <f t="shared" si="32"/>
        <v>0.32311320754716982</v>
      </c>
      <c r="F68" s="625">
        <f t="shared" si="32"/>
        <v>0.28526645768025077</v>
      </c>
      <c r="G68" s="625">
        <f t="shared" si="32"/>
        <v>0.4935064935064935</v>
      </c>
      <c r="H68" s="626">
        <f t="shared" si="32"/>
        <v>0.32</v>
      </c>
      <c r="I68" s="624">
        <f t="shared" si="32"/>
        <v>0.2510899722552517</v>
      </c>
      <c r="J68" s="624">
        <f t="shared" si="32"/>
        <v>0</v>
      </c>
      <c r="K68" s="625">
        <f t="shared" si="32"/>
        <v>0.26708074534161491</v>
      </c>
      <c r="L68" s="625">
        <f t="shared" si="32"/>
        <v>0.39969135802469136</v>
      </c>
      <c r="M68" s="625">
        <f t="shared" si="32"/>
        <v>0.30399999999999999</v>
      </c>
      <c r="N68" s="624">
        <f t="shared" si="33"/>
        <v>0.30267295597484278</v>
      </c>
      <c r="O68" s="624">
        <f t="shared" si="33"/>
        <v>0</v>
      </c>
      <c r="P68" s="625">
        <f t="shared" si="33"/>
        <v>0</v>
      </c>
      <c r="Q68" s="624">
        <f t="shared" si="33"/>
        <v>0</v>
      </c>
      <c r="R68" s="253"/>
      <c r="S68" s="254">
        <v>317</v>
      </c>
      <c r="T68" s="255">
        <v>188</v>
      </c>
      <c r="U68" s="255">
        <v>274</v>
      </c>
      <c r="V68" s="255">
        <v>364</v>
      </c>
      <c r="W68" s="255">
        <v>76</v>
      </c>
      <c r="X68" s="255">
        <v>48</v>
      </c>
      <c r="Y68" s="256">
        <v>1267</v>
      </c>
      <c r="Z68" s="254"/>
      <c r="AA68" s="255">
        <v>473</v>
      </c>
      <c r="AB68" s="255">
        <v>259</v>
      </c>
      <c r="AC68" s="255">
        <v>38</v>
      </c>
      <c r="AD68" s="255"/>
      <c r="AE68" s="256">
        <v>770</v>
      </c>
      <c r="AF68" s="254">
        <v>0</v>
      </c>
      <c r="AG68" s="255">
        <v>0</v>
      </c>
      <c r="AH68" s="254">
        <v>0</v>
      </c>
    </row>
    <row r="69" spans="1:34">
      <c r="A69" s="249"/>
      <c r="B69" s="239" t="s">
        <v>78</v>
      </c>
      <c r="C69" s="624">
        <f t="shared" si="32"/>
        <v>7.1599045346062056E-3</v>
      </c>
      <c r="D69" s="625">
        <f t="shared" si="32"/>
        <v>1.6985138004246284E-2</v>
      </c>
      <c r="E69" s="625">
        <f t="shared" si="32"/>
        <v>2.9481132075471699E-2</v>
      </c>
      <c r="F69" s="625">
        <f t="shared" si="32"/>
        <v>1.7241379310344827E-2</v>
      </c>
      <c r="G69" s="625">
        <f t="shared" si="32"/>
        <v>1.948051948051948E-2</v>
      </c>
      <c r="H69" s="626">
        <f t="shared" si="32"/>
        <v>0.02</v>
      </c>
      <c r="I69" s="624">
        <f t="shared" si="32"/>
        <v>1.6052318668252082E-2</v>
      </c>
      <c r="J69" s="624">
        <f t="shared" si="32"/>
        <v>0</v>
      </c>
      <c r="K69" s="625">
        <f t="shared" si="32"/>
        <v>5.9288537549407112E-2</v>
      </c>
      <c r="L69" s="625">
        <f t="shared" si="32"/>
        <v>0.10802469135802469</v>
      </c>
      <c r="M69" s="625">
        <f t="shared" si="32"/>
        <v>0.104</v>
      </c>
      <c r="N69" s="624">
        <f t="shared" si="33"/>
        <v>7.3899371069182387E-2</v>
      </c>
      <c r="O69" s="624">
        <f t="shared" si="33"/>
        <v>0</v>
      </c>
      <c r="P69" s="625">
        <f t="shared" si="33"/>
        <v>0</v>
      </c>
      <c r="Q69" s="624">
        <f t="shared" si="33"/>
        <v>0</v>
      </c>
      <c r="R69" s="253"/>
      <c r="S69" s="254">
        <v>12</v>
      </c>
      <c r="T69" s="255">
        <v>16</v>
      </c>
      <c r="U69" s="255">
        <v>25</v>
      </c>
      <c r="V69" s="255">
        <v>22</v>
      </c>
      <c r="W69" s="255">
        <v>3</v>
      </c>
      <c r="X69" s="255">
        <v>3</v>
      </c>
      <c r="Y69" s="256">
        <v>81</v>
      </c>
      <c r="Z69" s="254"/>
      <c r="AA69" s="255">
        <v>105</v>
      </c>
      <c r="AB69" s="255">
        <v>70</v>
      </c>
      <c r="AC69" s="255">
        <v>13</v>
      </c>
      <c r="AD69" s="255"/>
      <c r="AE69" s="256">
        <v>188</v>
      </c>
      <c r="AF69" s="254">
        <v>0</v>
      </c>
      <c r="AG69" s="255">
        <v>0</v>
      </c>
      <c r="AH69" s="254">
        <v>0</v>
      </c>
    </row>
    <row r="70" spans="1:34">
      <c r="A70" s="249"/>
      <c r="B70" s="239" t="s">
        <v>32</v>
      </c>
      <c r="C70" s="624">
        <f t="shared" si="32"/>
        <v>0.15692124105011934</v>
      </c>
      <c r="D70" s="625">
        <f t="shared" si="32"/>
        <v>0.25902335456475584</v>
      </c>
      <c r="E70" s="625">
        <f t="shared" si="32"/>
        <v>0.20518867924528303</v>
      </c>
      <c r="F70" s="625">
        <f t="shared" si="32"/>
        <v>0.19749216300940439</v>
      </c>
      <c r="G70" s="625">
        <f t="shared" si="32"/>
        <v>0.11688311688311688</v>
      </c>
      <c r="H70" s="626">
        <f t="shared" si="32"/>
        <v>6.6666666666666671E-3</v>
      </c>
      <c r="I70" s="624">
        <f t="shared" si="32"/>
        <v>0.18866428854538247</v>
      </c>
      <c r="J70" s="624">
        <f t="shared" si="32"/>
        <v>0</v>
      </c>
      <c r="K70" s="625">
        <f t="shared" si="32"/>
        <v>7.3404856013551669E-3</v>
      </c>
      <c r="L70" s="625">
        <f t="shared" si="32"/>
        <v>6.9444444444444448E-2</v>
      </c>
      <c r="M70" s="790">
        <f t="shared" si="32"/>
        <v>1.6E-2</v>
      </c>
      <c r="N70" s="791">
        <f t="shared" si="33"/>
        <v>2.358490566037736E-2</v>
      </c>
      <c r="O70" s="624">
        <f t="shared" si="33"/>
        <v>0</v>
      </c>
      <c r="P70" s="625">
        <f t="shared" si="33"/>
        <v>0</v>
      </c>
      <c r="Q70" s="624">
        <f t="shared" si="33"/>
        <v>0</v>
      </c>
      <c r="R70" s="253"/>
      <c r="S70" s="254">
        <v>263</v>
      </c>
      <c r="T70" s="255">
        <v>244</v>
      </c>
      <c r="U70" s="255">
        <v>174</v>
      </c>
      <c r="V70" s="255">
        <v>252</v>
      </c>
      <c r="W70" s="255">
        <v>18</v>
      </c>
      <c r="X70" s="255">
        <v>1</v>
      </c>
      <c r="Y70" s="256">
        <v>952</v>
      </c>
      <c r="Z70" s="254"/>
      <c r="AA70" s="255">
        <v>13</v>
      </c>
      <c r="AB70" s="255">
        <v>45</v>
      </c>
      <c r="AC70" s="255">
        <v>2</v>
      </c>
      <c r="AD70" s="255"/>
      <c r="AE70" s="256">
        <v>60</v>
      </c>
      <c r="AF70" s="254">
        <v>0</v>
      </c>
      <c r="AG70" s="255">
        <v>0</v>
      </c>
      <c r="AH70" s="254">
        <v>0</v>
      </c>
    </row>
    <row r="71" spans="1:34">
      <c r="A71" s="249"/>
      <c r="B71" s="239" t="s">
        <v>58</v>
      </c>
      <c r="C71" s="624">
        <f t="shared" si="32"/>
        <v>0</v>
      </c>
      <c r="D71" s="625">
        <f t="shared" si="32"/>
        <v>0</v>
      </c>
      <c r="E71" s="792">
        <f t="shared" si="32"/>
        <v>0</v>
      </c>
      <c r="F71" s="625">
        <f t="shared" si="32"/>
        <v>0</v>
      </c>
      <c r="G71" s="792">
        <f t="shared" si="32"/>
        <v>0</v>
      </c>
      <c r="H71" s="626">
        <f t="shared" si="32"/>
        <v>0</v>
      </c>
      <c r="I71" s="793">
        <f t="shared" si="32"/>
        <v>0</v>
      </c>
      <c r="J71" s="624">
        <f t="shared" si="32"/>
        <v>0</v>
      </c>
      <c r="K71" s="625">
        <f t="shared" si="32"/>
        <v>0</v>
      </c>
      <c r="L71" s="625">
        <f t="shared" si="32"/>
        <v>0</v>
      </c>
      <c r="M71" s="625">
        <f t="shared" si="32"/>
        <v>0</v>
      </c>
      <c r="N71" s="624">
        <f t="shared" si="33"/>
        <v>0</v>
      </c>
      <c r="O71" s="624">
        <f t="shared" si="33"/>
        <v>0</v>
      </c>
      <c r="P71" s="625">
        <f t="shared" si="33"/>
        <v>0</v>
      </c>
      <c r="Q71" s="624">
        <f t="shared" si="33"/>
        <v>0</v>
      </c>
      <c r="R71" s="253"/>
      <c r="S71" s="254">
        <v>0</v>
      </c>
      <c r="T71" s="255">
        <v>0</v>
      </c>
      <c r="U71" s="255">
        <v>0</v>
      </c>
      <c r="V71" s="255">
        <v>0</v>
      </c>
      <c r="W71" s="255">
        <v>0</v>
      </c>
      <c r="X71" s="255">
        <v>0</v>
      </c>
      <c r="Y71" s="256">
        <v>0</v>
      </c>
      <c r="Z71" s="254"/>
      <c r="AA71" s="255">
        <v>0</v>
      </c>
      <c r="AB71" s="255">
        <v>0</v>
      </c>
      <c r="AC71" s="255">
        <v>0</v>
      </c>
      <c r="AD71" s="255"/>
      <c r="AE71" s="256">
        <v>0</v>
      </c>
      <c r="AF71" s="254">
        <v>0</v>
      </c>
      <c r="AG71" s="255">
        <v>0</v>
      </c>
      <c r="AH71" s="254">
        <v>0</v>
      </c>
    </row>
    <row r="72" spans="1:34">
      <c r="A72" s="435"/>
      <c r="B72" s="436" t="s">
        <v>59</v>
      </c>
      <c r="C72" s="577">
        <f t="shared" si="32"/>
        <v>1</v>
      </c>
      <c r="D72" s="578">
        <f t="shared" si="32"/>
        <v>1</v>
      </c>
      <c r="E72" s="578">
        <f t="shared" si="32"/>
        <v>1</v>
      </c>
      <c r="F72" s="578">
        <f t="shared" si="32"/>
        <v>1</v>
      </c>
      <c r="G72" s="578">
        <f t="shared" si="32"/>
        <v>1</v>
      </c>
      <c r="H72" s="579">
        <f t="shared" si="32"/>
        <v>1</v>
      </c>
      <c r="I72" s="577">
        <f t="shared" si="32"/>
        <v>1</v>
      </c>
      <c r="J72" s="577">
        <f t="shared" si="32"/>
        <v>0</v>
      </c>
      <c r="K72" s="578">
        <f t="shared" si="32"/>
        <v>1</v>
      </c>
      <c r="L72" s="578">
        <f t="shared" si="32"/>
        <v>1</v>
      </c>
      <c r="M72" s="578">
        <f t="shared" si="32"/>
        <v>1</v>
      </c>
      <c r="N72" s="577">
        <f t="shared" si="33"/>
        <v>1</v>
      </c>
      <c r="O72" s="577">
        <f t="shared" si="33"/>
        <v>0</v>
      </c>
      <c r="P72" s="578">
        <f t="shared" si="33"/>
        <v>0</v>
      </c>
      <c r="Q72" s="577">
        <f t="shared" si="33"/>
        <v>0</v>
      </c>
      <c r="R72" s="264"/>
      <c r="S72" s="265">
        <v>1676</v>
      </c>
      <c r="T72" s="266">
        <v>942</v>
      </c>
      <c r="U72" s="266">
        <v>848</v>
      </c>
      <c r="V72" s="266">
        <v>1276</v>
      </c>
      <c r="W72" s="266">
        <v>154</v>
      </c>
      <c r="X72" s="266">
        <v>150</v>
      </c>
      <c r="Y72" s="267">
        <v>5046</v>
      </c>
      <c r="Z72" s="265"/>
      <c r="AA72" s="266">
        <v>1771</v>
      </c>
      <c r="AB72" s="266">
        <v>648</v>
      </c>
      <c r="AC72" s="266">
        <v>125</v>
      </c>
      <c r="AD72" s="266"/>
      <c r="AE72" s="267">
        <v>2544</v>
      </c>
      <c r="AF72" s="265">
        <v>0</v>
      </c>
      <c r="AG72" s="266">
        <v>0</v>
      </c>
      <c r="AH72" s="265">
        <v>0</v>
      </c>
    </row>
    <row r="73" spans="1:34">
      <c r="A73" s="239" t="s">
        <v>11</v>
      </c>
      <c r="B73" s="240" t="s">
        <v>53</v>
      </c>
      <c r="C73" s="613">
        <f t="shared" ref="C73:M79" si="34">IF(S$79&gt;0,(S73/S$79),0)</f>
        <v>0.22496909765142151</v>
      </c>
      <c r="D73" s="614">
        <f t="shared" si="34"/>
        <v>0.21021276595744681</v>
      </c>
      <c r="E73" s="614">
        <f t="shared" si="34"/>
        <v>0</v>
      </c>
      <c r="F73" s="614">
        <f t="shared" si="34"/>
        <v>0.16907216494845362</v>
      </c>
      <c r="G73" s="614">
        <f t="shared" si="34"/>
        <v>0.25384615384615383</v>
      </c>
      <c r="H73" s="615">
        <f t="shared" si="34"/>
        <v>0</v>
      </c>
      <c r="I73" s="613">
        <f t="shared" si="34"/>
        <v>0.2130281690140845</v>
      </c>
      <c r="J73" s="613">
        <f t="shared" si="34"/>
        <v>0</v>
      </c>
      <c r="K73" s="614">
        <f t="shared" si="34"/>
        <v>0</v>
      </c>
      <c r="L73" s="614">
        <f t="shared" si="34"/>
        <v>0</v>
      </c>
      <c r="M73" s="614">
        <f t="shared" si="34"/>
        <v>0</v>
      </c>
      <c r="N73" s="613">
        <f t="shared" ref="N73:Q79" si="35">IF(AE$79&gt;0,(AE73/AE$79),0)</f>
        <v>0</v>
      </c>
      <c r="O73" s="788">
        <f t="shared" si="35"/>
        <v>0</v>
      </c>
      <c r="P73" s="614">
        <f t="shared" si="35"/>
        <v>0</v>
      </c>
      <c r="Q73" s="788">
        <f t="shared" si="35"/>
        <v>0</v>
      </c>
      <c r="R73" s="244"/>
      <c r="S73" s="245">
        <v>364</v>
      </c>
      <c r="T73" s="246">
        <v>247</v>
      </c>
      <c r="U73" s="246"/>
      <c r="V73" s="246">
        <v>82</v>
      </c>
      <c r="W73" s="246">
        <v>33</v>
      </c>
      <c r="X73" s="246"/>
      <c r="Y73" s="247">
        <v>726</v>
      </c>
      <c r="Z73" s="245"/>
      <c r="AA73" s="246">
        <v>0</v>
      </c>
      <c r="AB73" s="246">
        <v>0</v>
      </c>
      <c r="AC73" s="246">
        <v>0</v>
      </c>
      <c r="AD73" s="246"/>
      <c r="AE73" s="247">
        <v>0</v>
      </c>
      <c r="AF73" s="245">
        <v>0</v>
      </c>
      <c r="AG73" s="246">
        <v>0</v>
      </c>
      <c r="AH73" s="245">
        <v>0</v>
      </c>
    </row>
    <row r="74" spans="1:34">
      <c r="A74" s="249"/>
      <c r="B74" s="239" t="s">
        <v>93</v>
      </c>
      <c r="C74" s="624">
        <f t="shared" si="34"/>
        <v>0.26699629171817058</v>
      </c>
      <c r="D74" s="625">
        <f t="shared" si="34"/>
        <v>0.27659574468085107</v>
      </c>
      <c r="E74" s="625">
        <f t="shared" si="34"/>
        <v>0</v>
      </c>
      <c r="F74" s="625">
        <f t="shared" si="34"/>
        <v>0.23711340206185566</v>
      </c>
      <c r="G74" s="625">
        <f t="shared" si="34"/>
        <v>0.13846153846153847</v>
      </c>
      <c r="H74" s="626">
        <f t="shared" si="34"/>
        <v>0</v>
      </c>
      <c r="I74" s="624">
        <f t="shared" si="34"/>
        <v>0.26115023474178406</v>
      </c>
      <c r="J74" s="624">
        <f t="shared" si="34"/>
        <v>0</v>
      </c>
      <c r="K74" s="625">
        <f t="shared" si="34"/>
        <v>0</v>
      </c>
      <c r="L74" s="625">
        <f t="shared" si="34"/>
        <v>0</v>
      </c>
      <c r="M74" s="625">
        <f t="shared" si="34"/>
        <v>0</v>
      </c>
      <c r="N74" s="624">
        <f t="shared" si="35"/>
        <v>0</v>
      </c>
      <c r="O74" s="624">
        <f t="shared" si="35"/>
        <v>0</v>
      </c>
      <c r="P74" s="625">
        <f t="shared" si="35"/>
        <v>0</v>
      </c>
      <c r="Q74" s="624">
        <f t="shared" si="35"/>
        <v>0</v>
      </c>
      <c r="R74" s="253"/>
      <c r="S74" s="254">
        <v>432</v>
      </c>
      <c r="T74" s="255">
        <v>325</v>
      </c>
      <c r="U74" s="255"/>
      <c r="V74" s="255">
        <v>115</v>
      </c>
      <c r="W74" s="255">
        <v>18</v>
      </c>
      <c r="X74" s="255"/>
      <c r="Y74" s="256">
        <v>890</v>
      </c>
      <c r="Z74" s="254"/>
      <c r="AA74" s="255">
        <v>0</v>
      </c>
      <c r="AB74" s="255">
        <v>0</v>
      </c>
      <c r="AC74" s="255">
        <v>0</v>
      </c>
      <c r="AD74" s="255"/>
      <c r="AE74" s="256">
        <v>0</v>
      </c>
      <c r="AF74" s="254">
        <v>0</v>
      </c>
      <c r="AG74" s="255">
        <v>0</v>
      </c>
      <c r="AH74" s="254">
        <v>0</v>
      </c>
    </row>
    <row r="75" spans="1:34">
      <c r="A75" s="249"/>
      <c r="B75" s="239" t="s">
        <v>55</v>
      </c>
      <c r="C75" s="624">
        <f t="shared" si="34"/>
        <v>0.29048207663782449</v>
      </c>
      <c r="D75" s="625">
        <f t="shared" si="34"/>
        <v>0.31063829787234043</v>
      </c>
      <c r="E75" s="625">
        <f t="shared" si="34"/>
        <v>0</v>
      </c>
      <c r="F75" s="625">
        <f t="shared" si="34"/>
        <v>0.34845360824742266</v>
      </c>
      <c r="G75" s="625">
        <f t="shared" si="34"/>
        <v>0.23846153846153847</v>
      </c>
      <c r="H75" s="626">
        <f t="shared" si="34"/>
        <v>0</v>
      </c>
      <c r="I75" s="624">
        <f t="shared" si="34"/>
        <v>0.30369718309859156</v>
      </c>
      <c r="J75" s="624">
        <f t="shared" si="34"/>
        <v>0</v>
      </c>
      <c r="K75" s="625">
        <f t="shared" si="34"/>
        <v>0</v>
      </c>
      <c r="L75" s="625">
        <f t="shared" si="34"/>
        <v>0</v>
      </c>
      <c r="M75" s="625">
        <f t="shared" si="34"/>
        <v>0</v>
      </c>
      <c r="N75" s="624">
        <f t="shared" si="35"/>
        <v>0</v>
      </c>
      <c r="O75" s="624">
        <f t="shared" si="35"/>
        <v>0</v>
      </c>
      <c r="P75" s="625">
        <f t="shared" si="35"/>
        <v>0</v>
      </c>
      <c r="Q75" s="624">
        <f t="shared" si="35"/>
        <v>0</v>
      </c>
      <c r="R75" s="253"/>
      <c r="S75" s="254">
        <v>470</v>
      </c>
      <c r="T75" s="255">
        <v>365</v>
      </c>
      <c r="U75" s="255"/>
      <c r="V75" s="255">
        <v>169</v>
      </c>
      <c r="W75" s="255">
        <v>31</v>
      </c>
      <c r="X75" s="255"/>
      <c r="Y75" s="256">
        <v>1035</v>
      </c>
      <c r="Z75" s="254"/>
      <c r="AA75" s="255">
        <v>0</v>
      </c>
      <c r="AB75" s="255">
        <v>0</v>
      </c>
      <c r="AC75" s="255">
        <v>0</v>
      </c>
      <c r="AD75" s="255"/>
      <c r="AE75" s="256">
        <v>0</v>
      </c>
      <c r="AF75" s="254">
        <v>0</v>
      </c>
      <c r="AG75" s="255">
        <v>0</v>
      </c>
      <c r="AH75" s="254">
        <v>0</v>
      </c>
    </row>
    <row r="76" spans="1:34">
      <c r="A76" s="249"/>
      <c r="B76" s="239" t="s">
        <v>78</v>
      </c>
      <c r="C76" s="624">
        <f t="shared" si="34"/>
        <v>0.1823238566131026</v>
      </c>
      <c r="D76" s="625">
        <f t="shared" si="34"/>
        <v>0.18297872340425531</v>
      </c>
      <c r="E76" s="625">
        <f t="shared" si="34"/>
        <v>0</v>
      </c>
      <c r="F76" s="625">
        <f t="shared" si="34"/>
        <v>0.24536082474226803</v>
      </c>
      <c r="G76" s="625">
        <f t="shared" si="34"/>
        <v>0.36923076923076925</v>
      </c>
      <c r="H76" s="626">
        <f t="shared" si="34"/>
        <v>0</v>
      </c>
      <c r="I76" s="624">
        <f t="shared" si="34"/>
        <v>0.19865023474178403</v>
      </c>
      <c r="J76" s="624">
        <f t="shared" si="34"/>
        <v>0</v>
      </c>
      <c r="K76" s="625">
        <f t="shared" si="34"/>
        <v>0</v>
      </c>
      <c r="L76" s="625">
        <f t="shared" si="34"/>
        <v>0</v>
      </c>
      <c r="M76" s="625">
        <f t="shared" si="34"/>
        <v>0</v>
      </c>
      <c r="N76" s="624">
        <f t="shared" si="35"/>
        <v>0</v>
      </c>
      <c r="O76" s="624">
        <f t="shared" si="35"/>
        <v>0</v>
      </c>
      <c r="P76" s="625">
        <f t="shared" si="35"/>
        <v>0</v>
      </c>
      <c r="Q76" s="624">
        <f t="shared" si="35"/>
        <v>0</v>
      </c>
      <c r="R76" s="253"/>
      <c r="S76" s="254">
        <v>295</v>
      </c>
      <c r="T76" s="255">
        <v>215</v>
      </c>
      <c r="U76" s="255"/>
      <c r="V76" s="255">
        <v>119</v>
      </c>
      <c r="W76" s="255">
        <v>48</v>
      </c>
      <c r="X76" s="255"/>
      <c r="Y76" s="256">
        <v>677</v>
      </c>
      <c r="Z76" s="254"/>
      <c r="AA76" s="255">
        <v>0</v>
      </c>
      <c r="AB76" s="255">
        <v>0</v>
      </c>
      <c r="AC76" s="255">
        <v>0</v>
      </c>
      <c r="AD76" s="255"/>
      <c r="AE76" s="256">
        <v>0</v>
      </c>
      <c r="AF76" s="254">
        <v>0</v>
      </c>
      <c r="AG76" s="255">
        <v>0</v>
      </c>
      <c r="AH76" s="254">
        <v>0</v>
      </c>
    </row>
    <row r="77" spans="1:34">
      <c r="A77" s="249"/>
      <c r="B77" s="239" t="s">
        <v>32</v>
      </c>
      <c r="C77" s="624">
        <f t="shared" si="34"/>
        <v>3.5228677379480842E-2</v>
      </c>
      <c r="D77" s="625">
        <f t="shared" si="34"/>
        <v>1.9574468085106381E-2</v>
      </c>
      <c r="E77" s="625">
        <f t="shared" si="34"/>
        <v>0</v>
      </c>
      <c r="F77" s="625">
        <f t="shared" si="34"/>
        <v>0</v>
      </c>
      <c r="G77" s="625">
        <f t="shared" si="34"/>
        <v>0</v>
      </c>
      <c r="H77" s="626">
        <f t="shared" si="34"/>
        <v>0</v>
      </c>
      <c r="I77" s="624">
        <f t="shared" si="34"/>
        <v>2.3474178403755867E-2</v>
      </c>
      <c r="J77" s="624">
        <f t="shared" si="34"/>
        <v>0</v>
      </c>
      <c r="K77" s="625">
        <f t="shared" si="34"/>
        <v>0</v>
      </c>
      <c r="L77" s="625">
        <f t="shared" si="34"/>
        <v>0</v>
      </c>
      <c r="M77" s="625">
        <f t="shared" si="34"/>
        <v>0</v>
      </c>
      <c r="N77" s="624">
        <f t="shared" si="35"/>
        <v>0</v>
      </c>
      <c r="O77" s="624">
        <f t="shared" si="35"/>
        <v>0</v>
      </c>
      <c r="P77" s="625">
        <f t="shared" si="35"/>
        <v>0</v>
      </c>
      <c r="Q77" s="624">
        <f t="shared" si="35"/>
        <v>0</v>
      </c>
      <c r="R77" s="253"/>
      <c r="S77" s="254">
        <v>57</v>
      </c>
      <c r="T77" s="255">
        <v>23</v>
      </c>
      <c r="U77" s="255"/>
      <c r="V77" s="255">
        <v>0</v>
      </c>
      <c r="W77" s="255">
        <v>0</v>
      </c>
      <c r="X77" s="255"/>
      <c r="Y77" s="256">
        <v>80</v>
      </c>
      <c r="Z77" s="254"/>
      <c r="AA77" s="255">
        <v>0</v>
      </c>
      <c r="AB77" s="255">
        <v>0</v>
      </c>
      <c r="AC77" s="255">
        <v>0</v>
      </c>
      <c r="AD77" s="255"/>
      <c r="AE77" s="256">
        <v>0</v>
      </c>
      <c r="AF77" s="254">
        <v>0</v>
      </c>
      <c r="AG77" s="255">
        <v>0</v>
      </c>
      <c r="AH77" s="254">
        <v>0</v>
      </c>
    </row>
    <row r="78" spans="1:34">
      <c r="A78" s="249"/>
      <c r="B78" s="239" t="s">
        <v>58</v>
      </c>
      <c r="C78" s="624">
        <f t="shared" si="34"/>
        <v>0</v>
      </c>
      <c r="D78" s="625">
        <f t="shared" si="34"/>
        <v>0</v>
      </c>
      <c r="E78" s="792">
        <f t="shared" si="34"/>
        <v>0</v>
      </c>
      <c r="F78" s="625">
        <f t="shared" si="34"/>
        <v>0</v>
      </c>
      <c r="G78" s="792">
        <f t="shared" si="34"/>
        <v>0</v>
      </c>
      <c r="H78" s="626">
        <f t="shared" si="34"/>
        <v>0</v>
      </c>
      <c r="I78" s="793">
        <f t="shared" si="34"/>
        <v>0</v>
      </c>
      <c r="J78" s="624">
        <f t="shared" si="34"/>
        <v>0</v>
      </c>
      <c r="K78" s="625">
        <f t="shared" si="34"/>
        <v>1</v>
      </c>
      <c r="L78" s="625">
        <f t="shared" si="34"/>
        <v>1</v>
      </c>
      <c r="M78" s="625">
        <f t="shared" si="34"/>
        <v>1</v>
      </c>
      <c r="N78" s="624">
        <f t="shared" si="35"/>
        <v>1</v>
      </c>
      <c r="O78" s="624">
        <f t="shared" si="35"/>
        <v>0</v>
      </c>
      <c r="P78" s="625">
        <f t="shared" si="35"/>
        <v>0</v>
      </c>
      <c r="Q78" s="624">
        <f t="shared" si="35"/>
        <v>0</v>
      </c>
      <c r="R78" s="253"/>
      <c r="S78" s="254">
        <v>0</v>
      </c>
      <c r="T78" s="255">
        <v>0</v>
      </c>
      <c r="U78" s="255"/>
      <c r="V78" s="255">
        <v>0</v>
      </c>
      <c r="W78" s="255">
        <v>0</v>
      </c>
      <c r="X78" s="255"/>
      <c r="Y78" s="256">
        <v>0</v>
      </c>
      <c r="Z78" s="254"/>
      <c r="AA78" s="255">
        <v>1157</v>
      </c>
      <c r="AB78" s="255">
        <v>1199.0999999999999</v>
      </c>
      <c r="AC78" s="255">
        <v>149</v>
      </c>
      <c r="AD78" s="255"/>
      <c r="AE78" s="256">
        <v>2505.1</v>
      </c>
      <c r="AF78" s="254">
        <v>0</v>
      </c>
      <c r="AG78" s="255">
        <v>0</v>
      </c>
      <c r="AH78" s="254">
        <v>0</v>
      </c>
    </row>
    <row r="79" spans="1:34">
      <c r="A79" s="435"/>
      <c r="B79" s="436" t="s">
        <v>59</v>
      </c>
      <c r="C79" s="577">
        <f t="shared" si="34"/>
        <v>1</v>
      </c>
      <c r="D79" s="578">
        <f t="shared" si="34"/>
        <v>1</v>
      </c>
      <c r="E79" s="578">
        <f t="shared" si="34"/>
        <v>0</v>
      </c>
      <c r="F79" s="578">
        <f t="shared" si="34"/>
        <v>1</v>
      </c>
      <c r="G79" s="578">
        <f t="shared" si="34"/>
        <v>1</v>
      </c>
      <c r="H79" s="579">
        <f t="shared" si="34"/>
        <v>0</v>
      </c>
      <c r="I79" s="577">
        <f t="shared" si="34"/>
        <v>1</v>
      </c>
      <c r="J79" s="577">
        <f t="shared" si="34"/>
        <v>0</v>
      </c>
      <c r="K79" s="578">
        <f t="shared" si="34"/>
        <v>1</v>
      </c>
      <c r="L79" s="578">
        <f t="shared" si="34"/>
        <v>1</v>
      </c>
      <c r="M79" s="578">
        <f t="shared" si="34"/>
        <v>1</v>
      </c>
      <c r="N79" s="577">
        <f t="shared" si="35"/>
        <v>1</v>
      </c>
      <c r="O79" s="577">
        <f t="shared" si="35"/>
        <v>0</v>
      </c>
      <c r="P79" s="578">
        <f t="shared" si="35"/>
        <v>0</v>
      </c>
      <c r="Q79" s="577">
        <f t="shared" si="35"/>
        <v>0</v>
      </c>
      <c r="R79" s="264"/>
      <c r="S79" s="265">
        <v>1618</v>
      </c>
      <c r="T79" s="266">
        <v>1175</v>
      </c>
      <c r="U79" s="266"/>
      <c r="V79" s="266">
        <v>485</v>
      </c>
      <c r="W79" s="266">
        <v>130</v>
      </c>
      <c r="X79" s="266"/>
      <c r="Y79" s="267">
        <v>3408</v>
      </c>
      <c r="Z79" s="265"/>
      <c r="AA79" s="266">
        <v>1157</v>
      </c>
      <c r="AB79" s="266">
        <v>1199.0999999999999</v>
      </c>
      <c r="AC79" s="266">
        <v>149</v>
      </c>
      <c r="AD79" s="266"/>
      <c r="AE79" s="267">
        <v>2505.1</v>
      </c>
      <c r="AF79" s="265">
        <v>0</v>
      </c>
      <c r="AG79" s="266">
        <v>0</v>
      </c>
      <c r="AH79" s="265">
        <v>0</v>
      </c>
    </row>
    <row r="80" spans="1:34">
      <c r="A80" s="239" t="s">
        <v>12</v>
      </c>
      <c r="B80" s="240" t="s">
        <v>53</v>
      </c>
      <c r="C80" s="613">
        <f t="shared" ref="C80:M86" si="36">IF(S$86&gt;0,(S80/S$86),0)</f>
        <v>0.31812186758111316</v>
      </c>
      <c r="D80" s="614">
        <f t="shared" si="36"/>
        <v>0.1883720930232558</v>
      </c>
      <c r="E80" s="614">
        <f t="shared" si="36"/>
        <v>0.2361111111111111</v>
      </c>
      <c r="F80" s="614">
        <f t="shared" si="36"/>
        <v>0.20216606498194944</v>
      </c>
      <c r="G80" s="614">
        <f t="shared" si="36"/>
        <v>0.17481481481481481</v>
      </c>
      <c r="H80" s="615">
        <f t="shared" si="36"/>
        <v>0.30054644808743169</v>
      </c>
      <c r="I80" s="613">
        <f t="shared" si="36"/>
        <v>0.25409754643885962</v>
      </c>
      <c r="J80" s="613">
        <f t="shared" si="36"/>
        <v>0</v>
      </c>
      <c r="K80" s="614">
        <f t="shared" si="36"/>
        <v>0</v>
      </c>
      <c r="L80" s="614">
        <f t="shared" si="36"/>
        <v>0</v>
      </c>
      <c r="M80" s="614">
        <f t="shared" si="36"/>
        <v>0</v>
      </c>
      <c r="N80" s="613">
        <f t="shared" ref="N80:Q86" si="37">IF(AE$86&gt;0,(AE80/AE$86),0)</f>
        <v>0</v>
      </c>
      <c r="O80" s="788">
        <f t="shared" si="37"/>
        <v>0</v>
      </c>
      <c r="P80" s="614">
        <f t="shared" si="37"/>
        <v>0</v>
      </c>
      <c r="Q80" s="788">
        <f t="shared" si="37"/>
        <v>0</v>
      </c>
      <c r="R80" s="244"/>
      <c r="S80" s="245">
        <v>1206</v>
      </c>
      <c r="T80" s="246">
        <v>405</v>
      </c>
      <c r="U80" s="246">
        <v>663</v>
      </c>
      <c r="V80" s="246">
        <v>56</v>
      </c>
      <c r="W80" s="246">
        <v>118</v>
      </c>
      <c r="X80" s="246">
        <v>110</v>
      </c>
      <c r="Y80" s="247">
        <v>2558</v>
      </c>
      <c r="Z80" s="245"/>
      <c r="AA80" s="246">
        <v>0</v>
      </c>
      <c r="AB80" s="246">
        <v>0</v>
      </c>
      <c r="AC80" s="246">
        <v>0</v>
      </c>
      <c r="AD80" s="246"/>
      <c r="AE80" s="247">
        <v>0</v>
      </c>
      <c r="AF80" s="245">
        <v>0</v>
      </c>
      <c r="AG80" s="246">
        <v>0</v>
      </c>
      <c r="AH80" s="245">
        <v>0</v>
      </c>
    </row>
    <row r="81" spans="1:34">
      <c r="A81" s="249"/>
      <c r="B81" s="239" t="s">
        <v>93</v>
      </c>
      <c r="C81" s="624">
        <f t="shared" si="36"/>
        <v>0.25243998944869428</v>
      </c>
      <c r="D81" s="625">
        <f t="shared" si="36"/>
        <v>0.33302325581395348</v>
      </c>
      <c r="E81" s="625">
        <f t="shared" si="36"/>
        <v>0.29736467236467234</v>
      </c>
      <c r="F81" s="625">
        <f t="shared" si="36"/>
        <v>0.36101083032490977</v>
      </c>
      <c r="G81" s="625">
        <f t="shared" si="36"/>
        <v>0.25925925925925924</v>
      </c>
      <c r="H81" s="626">
        <f t="shared" si="36"/>
        <v>0.27868852459016391</v>
      </c>
      <c r="I81" s="624">
        <f t="shared" si="36"/>
        <v>0.28657991457236515</v>
      </c>
      <c r="J81" s="624">
        <f t="shared" si="36"/>
        <v>0</v>
      </c>
      <c r="K81" s="625">
        <f t="shared" si="36"/>
        <v>0</v>
      </c>
      <c r="L81" s="625">
        <f t="shared" si="36"/>
        <v>0</v>
      </c>
      <c r="M81" s="625">
        <f t="shared" si="36"/>
        <v>0</v>
      </c>
      <c r="N81" s="624">
        <f t="shared" si="37"/>
        <v>0</v>
      </c>
      <c r="O81" s="624">
        <f t="shared" si="37"/>
        <v>0</v>
      </c>
      <c r="P81" s="625">
        <f t="shared" si="37"/>
        <v>0</v>
      </c>
      <c r="Q81" s="624">
        <f t="shared" si="37"/>
        <v>0</v>
      </c>
      <c r="R81" s="253"/>
      <c r="S81" s="254">
        <v>957</v>
      </c>
      <c r="T81" s="255">
        <v>716</v>
      </c>
      <c r="U81" s="255">
        <v>835</v>
      </c>
      <c r="V81" s="255">
        <v>100</v>
      </c>
      <c r="W81" s="255">
        <v>175</v>
      </c>
      <c r="X81" s="255">
        <v>102</v>
      </c>
      <c r="Y81" s="256">
        <v>2885</v>
      </c>
      <c r="Z81" s="254"/>
      <c r="AA81" s="255">
        <v>0</v>
      </c>
      <c r="AB81" s="255">
        <v>0</v>
      </c>
      <c r="AC81" s="255">
        <v>0</v>
      </c>
      <c r="AD81" s="255"/>
      <c r="AE81" s="256">
        <v>0</v>
      </c>
      <c r="AF81" s="254">
        <v>0</v>
      </c>
      <c r="AG81" s="255">
        <v>0</v>
      </c>
      <c r="AH81" s="254">
        <v>0</v>
      </c>
    </row>
    <row r="82" spans="1:34">
      <c r="A82" s="249"/>
      <c r="B82" s="239" t="s">
        <v>55</v>
      </c>
      <c r="C82" s="624">
        <f t="shared" si="36"/>
        <v>0.17858084938011079</v>
      </c>
      <c r="D82" s="625">
        <f t="shared" si="36"/>
        <v>0.21069767441860465</v>
      </c>
      <c r="E82" s="625">
        <f t="shared" si="36"/>
        <v>0.23575498575498577</v>
      </c>
      <c r="F82" s="625">
        <f t="shared" si="36"/>
        <v>0.3140794223826715</v>
      </c>
      <c r="G82" s="625">
        <f t="shared" si="36"/>
        <v>0.31555555555555553</v>
      </c>
      <c r="H82" s="626">
        <f t="shared" si="36"/>
        <v>0.19945355191256831</v>
      </c>
      <c r="I82" s="624">
        <f t="shared" si="36"/>
        <v>0.21505910400317871</v>
      </c>
      <c r="J82" s="624">
        <f t="shared" si="36"/>
        <v>0</v>
      </c>
      <c r="K82" s="625">
        <f t="shared" si="36"/>
        <v>0</v>
      </c>
      <c r="L82" s="625">
        <f t="shared" si="36"/>
        <v>0</v>
      </c>
      <c r="M82" s="625">
        <f t="shared" si="36"/>
        <v>0</v>
      </c>
      <c r="N82" s="624">
        <f t="shared" si="37"/>
        <v>0</v>
      </c>
      <c r="O82" s="624">
        <f t="shared" si="37"/>
        <v>0</v>
      </c>
      <c r="P82" s="625">
        <f t="shared" si="37"/>
        <v>0</v>
      </c>
      <c r="Q82" s="624">
        <f t="shared" si="37"/>
        <v>0</v>
      </c>
      <c r="R82" s="253"/>
      <c r="S82" s="254">
        <v>677</v>
      </c>
      <c r="T82" s="255">
        <v>453</v>
      </c>
      <c r="U82" s="255">
        <v>662</v>
      </c>
      <c r="V82" s="255">
        <v>87</v>
      </c>
      <c r="W82" s="255">
        <v>213</v>
      </c>
      <c r="X82" s="255">
        <v>73</v>
      </c>
      <c r="Y82" s="256">
        <v>2165</v>
      </c>
      <c r="Z82" s="254"/>
      <c r="AA82" s="255">
        <v>0</v>
      </c>
      <c r="AB82" s="255">
        <v>0</v>
      </c>
      <c r="AC82" s="255">
        <v>0</v>
      </c>
      <c r="AD82" s="255"/>
      <c r="AE82" s="256">
        <v>0</v>
      </c>
      <c r="AF82" s="254">
        <v>0</v>
      </c>
      <c r="AG82" s="255">
        <v>0</v>
      </c>
      <c r="AH82" s="254">
        <v>0</v>
      </c>
    </row>
    <row r="83" spans="1:34">
      <c r="A83" s="249"/>
      <c r="B83" s="239" t="s">
        <v>78</v>
      </c>
      <c r="C83" s="624">
        <f t="shared" si="36"/>
        <v>1.8201002374043786E-2</v>
      </c>
      <c r="D83" s="790">
        <f t="shared" si="36"/>
        <v>3.7209302325581397E-3</v>
      </c>
      <c r="E83" s="625">
        <f t="shared" si="36"/>
        <v>1.1396011396011397E-2</v>
      </c>
      <c r="F83" s="625">
        <f t="shared" si="36"/>
        <v>1.444043321299639E-2</v>
      </c>
      <c r="G83" s="625">
        <f t="shared" si="36"/>
        <v>8.2962962962962961E-2</v>
      </c>
      <c r="H83" s="626">
        <f t="shared" si="36"/>
        <v>2.7322404371584699E-3</v>
      </c>
      <c r="I83" s="624">
        <f t="shared" si="36"/>
        <v>1.6886858051057912E-2</v>
      </c>
      <c r="J83" s="624">
        <f t="shared" si="36"/>
        <v>0</v>
      </c>
      <c r="K83" s="625">
        <f t="shared" si="36"/>
        <v>0</v>
      </c>
      <c r="L83" s="625">
        <f t="shared" si="36"/>
        <v>0.32501023331968892</v>
      </c>
      <c r="M83" s="625">
        <f t="shared" si="36"/>
        <v>0.26535836177474403</v>
      </c>
      <c r="N83" s="624">
        <f t="shared" si="37"/>
        <v>0.17548038748610451</v>
      </c>
      <c r="O83" s="624">
        <f t="shared" si="37"/>
        <v>0</v>
      </c>
      <c r="P83" s="625">
        <f t="shared" si="37"/>
        <v>0</v>
      </c>
      <c r="Q83" s="624">
        <f t="shared" si="37"/>
        <v>0</v>
      </c>
      <c r="R83" s="253"/>
      <c r="S83" s="254">
        <v>69</v>
      </c>
      <c r="T83" s="255">
        <v>8</v>
      </c>
      <c r="U83" s="255">
        <v>32</v>
      </c>
      <c r="V83" s="255">
        <v>4</v>
      </c>
      <c r="W83" s="255">
        <v>56</v>
      </c>
      <c r="X83" s="255">
        <v>1</v>
      </c>
      <c r="Y83" s="256">
        <v>170</v>
      </c>
      <c r="Z83" s="254"/>
      <c r="AA83" s="255">
        <v>0</v>
      </c>
      <c r="AB83" s="255">
        <v>794</v>
      </c>
      <c r="AC83" s="255">
        <v>311</v>
      </c>
      <c r="AD83" s="255"/>
      <c r="AE83" s="256">
        <v>1105</v>
      </c>
      <c r="AF83" s="254">
        <v>0</v>
      </c>
      <c r="AG83" s="255">
        <v>0</v>
      </c>
      <c r="AH83" s="254">
        <v>0</v>
      </c>
    </row>
    <row r="84" spans="1:34">
      <c r="A84" s="249"/>
      <c r="B84" s="239" t="s">
        <v>32</v>
      </c>
      <c r="C84" s="624">
        <f t="shared" si="36"/>
        <v>0.23265629121603798</v>
      </c>
      <c r="D84" s="625">
        <f t="shared" si="36"/>
        <v>0.26418604651162791</v>
      </c>
      <c r="E84" s="625">
        <f t="shared" si="36"/>
        <v>0.21937321937321938</v>
      </c>
      <c r="F84" s="625">
        <f t="shared" si="36"/>
        <v>0.10830324909747292</v>
      </c>
      <c r="G84" s="625">
        <f t="shared" si="36"/>
        <v>0.16740740740740739</v>
      </c>
      <c r="H84" s="626">
        <f t="shared" si="36"/>
        <v>0.21857923497267759</v>
      </c>
      <c r="I84" s="624">
        <f t="shared" si="36"/>
        <v>0.22737657693453858</v>
      </c>
      <c r="J84" s="624">
        <f t="shared" si="36"/>
        <v>0</v>
      </c>
      <c r="K84" s="625">
        <f t="shared" si="36"/>
        <v>0.79940343027591354</v>
      </c>
      <c r="L84" s="625">
        <f t="shared" si="36"/>
        <v>0.67498976668031108</v>
      </c>
      <c r="M84" s="625">
        <f t="shared" si="36"/>
        <v>0.73464163822525597</v>
      </c>
      <c r="N84" s="624">
        <f t="shared" si="37"/>
        <v>0.73908210258853424</v>
      </c>
      <c r="O84" s="624">
        <f t="shared" si="37"/>
        <v>0</v>
      </c>
      <c r="P84" s="625">
        <f t="shared" si="37"/>
        <v>0</v>
      </c>
      <c r="Q84" s="624">
        <f t="shared" si="37"/>
        <v>0</v>
      </c>
      <c r="R84" s="253"/>
      <c r="S84" s="254">
        <v>882</v>
      </c>
      <c r="T84" s="255">
        <v>568</v>
      </c>
      <c r="U84" s="255">
        <v>616</v>
      </c>
      <c r="V84" s="255">
        <v>30</v>
      </c>
      <c r="W84" s="255">
        <v>113</v>
      </c>
      <c r="X84" s="255">
        <v>80</v>
      </c>
      <c r="Y84" s="256">
        <v>2289</v>
      </c>
      <c r="Z84" s="254"/>
      <c r="AA84" s="255">
        <v>2144</v>
      </c>
      <c r="AB84" s="255">
        <v>1649</v>
      </c>
      <c r="AC84" s="255">
        <v>861</v>
      </c>
      <c r="AD84" s="255"/>
      <c r="AE84" s="256">
        <v>4654</v>
      </c>
      <c r="AF84" s="254">
        <v>0</v>
      </c>
      <c r="AG84" s="255">
        <v>0</v>
      </c>
      <c r="AH84" s="254">
        <v>0</v>
      </c>
    </row>
    <row r="85" spans="1:34">
      <c r="A85" s="249"/>
      <c r="B85" s="239" t="s">
        <v>58</v>
      </c>
      <c r="C85" s="624">
        <f t="shared" si="36"/>
        <v>0</v>
      </c>
      <c r="D85" s="625">
        <f t="shared" si="36"/>
        <v>0</v>
      </c>
      <c r="E85" s="792">
        <f t="shared" si="36"/>
        <v>0</v>
      </c>
      <c r="F85" s="625">
        <f t="shared" si="36"/>
        <v>0</v>
      </c>
      <c r="G85" s="792">
        <f t="shared" si="36"/>
        <v>0</v>
      </c>
      <c r="H85" s="626">
        <f t="shared" si="36"/>
        <v>0</v>
      </c>
      <c r="I85" s="793">
        <f t="shared" si="36"/>
        <v>0</v>
      </c>
      <c r="J85" s="624">
        <f t="shared" si="36"/>
        <v>0</v>
      </c>
      <c r="K85" s="625">
        <f t="shared" si="36"/>
        <v>0.20059656972408652</v>
      </c>
      <c r="L85" s="625">
        <f t="shared" si="36"/>
        <v>0</v>
      </c>
      <c r="M85" s="625">
        <f t="shared" si="36"/>
        <v>0</v>
      </c>
      <c r="N85" s="624">
        <f t="shared" si="37"/>
        <v>8.5437509925361282E-2</v>
      </c>
      <c r="O85" s="624">
        <f t="shared" si="37"/>
        <v>0</v>
      </c>
      <c r="P85" s="625">
        <f t="shared" si="37"/>
        <v>0</v>
      </c>
      <c r="Q85" s="624">
        <f t="shared" si="37"/>
        <v>0</v>
      </c>
      <c r="R85" s="253"/>
      <c r="S85" s="254">
        <v>0</v>
      </c>
      <c r="T85" s="255">
        <v>0</v>
      </c>
      <c r="U85" s="255">
        <v>0</v>
      </c>
      <c r="V85" s="255">
        <v>0</v>
      </c>
      <c r="W85" s="255">
        <v>0</v>
      </c>
      <c r="X85" s="255">
        <v>0</v>
      </c>
      <c r="Y85" s="256">
        <v>0</v>
      </c>
      <c r="Z85" s="254"/>
      <c r="AA85" s="255">
        <v>538</v>
      </c>
      <c r="AB85" s="255">
        <v>0</v>
      </c>
      <c r="AC85" s="255">
        <v>0</v>
      </c>
      <c r="AD85" s="255"/>
      <c r="AE85" s="256">
        <v>538</v>
      </c>
      <c r="AF85" s="254">
        <v>0</v>
      </c>
      <c r="AG85" s="255">
        <v>0</v>
      </c>
      <c r="AH85" s="254">
        <v>0</v>
      </c>
    </row>
    <row r="86" spans="1:34">
      <c r="A86" s="435"/>
      <c r="B86" s="436" t="s">
        <v>59</v>
      </c>
      <c r="C86" s="577">
        <f t="shared" si="36"/>
        <v>1</v>
      </c>
      <c r="D86" s="578">
        <f t="shared" si="36"/>
        <v>1</v>
      </c>
      <c r="E86" s="578">
        <f t="shared" si="36"/>
        <v>1</v>
      </c>
      <c r="F86" s="578">
        <f t="shared" si="36"/>
        <v>1</v>
      </c>
      <c r="G86" s="578">
        <f t="shared" si="36"/>
        <v>1</v>
      </c>
      <c r="H86" s="579">
        <f t="shared" si="36"/>
        <v>1</v>
      </c>
      <c r="I86" s="577">
        <f t="shared" si="36"/>
        <v>1</v>
      </c>
      <c r="J86" s="577">
        <f t="shared" si="36"/>
        <v>0</v>
      </c>
      <c r="K86" s="578">
        <f t="shared" si="36"/>
        <v>1</v>
      </c>
      <c r="L86" s="578">
        <f t="shared" si="36"/>
        <v>1</v>
      </c>
      <c r="M86" s="578">
        <f t="shared" si="36"/>
        <v>1</v>
      </c>
      <c r="N86" s="577">
        <f t="shared" si="37"/>
        <v>1</v>
      </c>
      <c r="O86" s="577">
        <f t="shared" si="37"/>
        <v>0</v>
      </c>
      <c r="P86" s="578">
        <f t="shared" si="37"/>
        <v>0</v>
      </c>
      <c r="Q86" s="577">
        <f t="shared" si="37"/>
        <v>0</v>
      </c>
      <c r="R86" s="264"/>
      <c r="S86" s="265">
        <v>3791</v>
      </c>
      <c r="T86" s="266">
        <v>2150</v>
      </c>
      <c r="U86" s="266">
        <v>2808</v>
      </c>
      <c r="V86" s="266">
        <v>277</v>
      </c>
      <c r="W86" s="266">
        <v>675</v>
      </c>
      <c r="X86" s="266">
        <v>366</v>
      </c>
      <c r="Y86" s="267">
        <v>10067</v>
      </c>
      <c r="Z86" s="265"/>
      <c r="AA86" s="266">
        <v>2682</v>
      </c>
      <c r="AB86" s="266">
        <v>2443</v>
      </c>
      <c r="AC86" s="266">
        <v>1172</v>
      </c>
      <c r="AD86" s="266"/>
      <c r="AE86" s="267">
        <v>6297</v>
      </c>
      <c r="AF86" s="265">
        <v>0</v>
      </c>
      <c r="AG86" s="266">
        <v>0</v>
      </c>
      <c r="AH86" s="265">
        <v>0</v>
      </c>
    </row>
    <row r="87" spans="1:34">
      <c r="A87" s="239" t="s">
        <v>13</v>
      </c>
      <c r="B87" s="240" t="s">
        <v>53</v>
      </c>
      <c r="C87" s="613">
        <f t="shared" ref="C87:M93" si="38">IF(S$93&gt;0,(S87/S$93),0)</f>
        <v>0.34598750600672751</v>
      </c>
      <c r="D87" s="614">
        <f t="shared" si="38"/>
        <v>0</v>
      </c>
      <c r="E87" s="614">
        <f t="shared" si="38"/>
        <v>0.2915601023017903</v>
      </c>
      <c r="F87" s="614">
        <f t="shared" si="38"/>
        <v>0.42399999999999999</v>
      </c>
      <c r="G87" s="614">
        <f t="shared" si="38"/>
        <v>0.18925831202046037</v>
      </c>
      <c r="H87" s="615">
        <f t="shared" si="38"/>
        <v>0.1941747572815534</v>
      </c>
      <c r="I87" s="613">
        <f t="shared" si="38"/>
        <v>0.29904426559356134</v>
      </c>
      <c r="J87" s="613">
        <f t="shared" si="38"/>
        <v>0</v>
      </c>
      <c r="K87" s="614">
        <f t="shared" si="38"/>
        <v>0</v>
      </c>
      <c r="L87" s="614">
        <f t="shared" si="38"/>
        <v>0</v>
      </c>
      <c r="M87" s="614">
        <f t="shared" si="38"/>
        <v>0</v>
      </c>
      <c r="N87" s="613">
        <f t="shared" ref="N87:Q93" si="39">IF(AE$93&gt;0,(AE87/AE$93),0)</f>
        <v>0</v>
      </c>
      <c r="O87" s="788">
        <f t="shared" si="39"/>
        <v>0</v>
      </c>
      <c r="P87" s="614">
        <f t="shared" si="39"/>
        <v>0</v>
      </c>
      <c r="Q87" s="788">
        <f t="shared" si="39"/>
        <v>0</v>
      </c>
      <c r="R87" s="244"/>
      <c r="S87" s="245">
        <v>720</v>
      </c>
      <c r="T87" s="246"/>
      <c r="U87" s="246">
        <v>228</v>
      </c>
      <c r="V87" s="246">
        <v>53</v>
      </c>
      <c r="W87" s="246">
        <v>148</v>
      </c>
      <c r="X87" s="246">
        <v>40</v>
      </c>
      <c r="Y87" s="247">
        <v>1189</v>
      </c>
      <c r="Z87" s="245">
        <v>0</v>
      </c>
      <c r="AA87" s="246">
        <v>0</v>
      </c>
      <c r="AB87" s="246">
        <v>0</v>
      </c>
      <c r="AC87" s="246">
        <v>0</v>
      </c>
      <c r="AD87" s="246"/>
      <c r="AE87" s="247">
        <v>0</v>
      </c>
      <c r="AF87" s="245">
        <v>0</v>
      </c>
      <c r="AG87" s="246">
        <v>0</v>
      </c>
      <c r="AH87" s="245">
        <v>0</v>
      </c>
    </row>
    <row r="88" spans="1:34">
      <c r="A88" s="249"/>
      <c r="B88" s="239" t="s">
        <v>93</v>
      </c>
      <c r="C88" s="624">
        <f t="shared" si="38"/>
        <v>0.28255646323882749</v>
      </c>
      <c r="D88" s="625">
        <f t="shared" si="38"/>
        <v>0</v>
      </c>
      <c r="E88" s="625">
        <f t="shared" si="38"/>
        <v>0.20971867007672634</v>
      </c>
      <c r="F88" s="625">
        <f t="shared" si="38"/>
        <v>0.2</v>
      </c>
      <c r="G88" s="625">
        <f t="shared" si="38"/>
        <v>0.19437340153452684</v>
      </c>
      <c r="H88" s="626">
        <f t="shared" si="38"/>
        <v>0.24757281553398058</v>
      </c>
      <c r="I88" s="624">
        <f t="shared" si="38"/>
        <v>0.24647887323943662</v>
      </c>
      <c r="J88" s="624">
        <f t="shared" si="38"/>
        <v>0</v>
      </c>
      <c r="K88" s="625">
        <f t="shared" si="38"/>
        <v>0</v>
      </c>
      <c r="L88" s="625">
        <f t="shared" si="38"/>
        <v>0</v>
      </c>
      <c r="M88" s="625">
        <f t="shared" si="38"/>
        <v>0</v>
      </c>
      <c r="N88" s="791">
        <f t="shared" si="39"/>
        <v>0</v>
      </c>
      <c r="O88" s="624">
        <f t="shared" si="39"/>
        <v>0</v>
      </c>
      <c r="P88" s="625">
        <f t="shared" si="39"/>
        <v>0</v>
      </c>
      <c r="Q88" s="624">
        <f t="shared" si="39"/>
        <v>0</v>
      </c>
      <c r="R88" s="253"/>
      <c r="S88" s="254">
        <v>588</v>
      </c>
      <c r="T88" s="255"/>
      <c r="U88" s="255">
        <v>164</v>
      </c>
      <c r="V88" s="255">
        <v>25</v>
      </c>
      <c r="W88" s="255">
        <v>152</v>
      </c>
      <c r="X88" s="255">
        <v>51</v>
      </c>
      <c r="Y88" s="256">
        <v>980</v>
      </c>
      <c r="Z88" s="254">
        <v>0</v>
      </c>
      <c r="AA88" s="255">
        <v>0</v>
      </c>
      <c r="AB88" s="255">
        <v>0</v>
      </c>
      <c r="AC88" s="255">
        <v>0</v>
      </c>
      <c r="AD88" s="255"/>
      <c r="AE88" s="256">
        <v>0</v>
      </c>
      <c r="AF88" s="254">
        <v>0</v>
      </c>
      <c r="AG88" s="255">
        <v>0</v>
      </c>
      <c r="AH88" s="254">
        <v>0</v>
      </c>
    </row>
    <row r="89" spans="1:34">
      <c r="A89" s="249"/>
      <c r="B89" s="239" t="s">
        <v>55</v>
      </c>
      <c r="C89" s="624">
        <f t="shared" si="38"/>
        <v>0.21912542047092745</v>
      </c>
      <c r="D89" s="625">
        <f t="shared" si="38"/>
        <v>0</v>
      </c>
      <c r="E89" s="625">
        <f t="shared" si="38"/>
        <v>0.28644501278772377</v>
      </c>
      <c r="F89" s="625">
        <f t="shared" si="38"/>
        <v>0.26400000000000001</v>
      </c>
      <c r="G89" s="625">
        <f t="shared" si="38"/>
        <v>0.30179028132992325</v>
      </c>
      <c r="H89" s="626">
        <f t="shared" si="38"/>
        <v>0.31067961165048541</v>
      </c>
      <c r="I89" s="624">
        <f t="shared" si="38"/>
        <v>0.25477867203219318</v>
      </c>
      <c r="J89" s="624">
        <f t="shared" si="38"/>
        <v>0</v>
      </c>
      <c r="K89" s="625">
        <f t="shared" si="38"/>
        <v>0</v>
      </c>
      <c r="L89" s="625">
        <f t="shared" si="38"/>
        <v>0</v>
      </c>
      <c r="M89" s="625">
        <f t="shared" si="38"/>
        <v>0</v>
      </c>
      <c r="N89" s="624">
        <f t="shared" si="39"/>
        <v>0</v>
      </c>
      <c r="O89" s="624">
        <f t="shared" si="39"/>
        <v>0</v>
      </c>
      <c r="P89" s="625">
        <f t="shared" si="39"/>
        <v>0</v>
      </c>
      <c r="Q89" s="624">
        <f t="shared" si="39"/>
        <v>0</v>
      </c>
      <c r="R89" s="253"/>
      <c r="S89" s="254">
        <v>456</v>
      </c>
      <c r="T89" s="255"/>
      <c r="U89" s="255">
        <v>224</v>
      </c>
      <c r="V89" s="255">
        <v>33</v>
      </c>
      <c r="W89" s="255">
        <v>236</v>
      </c>
      <c r="X89" s="255">
        <v>64</v>
      </c>
      <c r="Y89" s="256">
        <v>1013</v>
      </c>
      <c r="Z89" s="254">
        <v>0</v>
      </c>
      <c r="AA89" s="255">
        <v>0</v>
      </c>
      <c r="AB89" s="255">
        <v>0</v>
      </c>
      <c r="AC89" s="255">
        <v>0</v>
      </c>
      <c r="AD89" s="255"/>
      <c r="AE89" s="256">
        <v>0</v>
      </c>
      <c r="AF89" s="254">
        <v>0</v>
      </c>
      <c r="AG89" s="255">
        <v>0</v>
      </c>
      <c r="AH89" s="254">
        <v>0</v>
      </c>
    </row>
    <row r="90" spans="1:34">
      <c r="A90" s="249"/>
      <c r="B90" s="239" t="s">
        <v>78</v>
      </c>
      <c r="C90" s="624">
        <f t="shared" si="38"/>
        <v>0.15233061028351755</v>
      </c>
      <c r="D90" s="625">
        <f t="shared" si="38"/>
        <v>0</v>
      </c>
      <c r="E90" s="625">
        <f t="shared" si="38"/>
        <v>0.21227621483375958</v>
      </c>
      <c r="F90" s="625">
        <f t="shared" si="38"/>
        <v>0.112</v>
      </c>
      <c r="G90" s="625">
        <f t="shared" si="38"/>
        <v>0.31457800511508949</v>
      </c>
      <c r="H90" s="626">
        <f t="shared" si="38"/>
        <v>0.24757281553398058</v>
      </c>
      <c r="I90" s="624">
        <f t="shared" si="38"/>
        <v>0.19969818913480886</v>
      </c>
      <c r="J90" s="624">
        <f t="shared" si="38"/>
        <v>0</v>
      </c>
      <c r="K90" s="625">
        <f t="shared" si="38"/>
        <v>0</v>
      </c>
      <c r="L90" s="625">
        <f t="shared" si="38"/>
        <v>0</v>
      </c>
      <c r="M90" s="625">
        <f t="shared" si="38"/>
        <v>0</v>
      </c>
      <c r="N90" s="624">
        <f t="shared" si="39"/>
        <v>0</v>
      </c>
      <c r="O90" s="624">
        <f t="shared" si="39"/>
        <v>0</v>
      </c>
      <c r="P90" s="625">
        <f t="shared" si="39"/>
        <v>0</v>
      </c>
      <c r="Q90" s="624">
        <f t="shared" si="39"/>
        <v>0</v>
      </c>
      <c r="R90" s="253"/>
      <c r="S90" s="254">
        <v>317</v>
      </c>
      <c r="T90" s="255"/>
      <c r="U90" s="255">
        <v>166</v>
      </c>
      <c r="V90" s="255">
        <v>14</v>
      </c>
      <c r="W90" s="255">
        <v>246</v>
      </c>
      <c r="X90" s="255">
        <v>51</v>
      </c>
      <c r="Y90" s="256">
        <v>794</v>
      </c>
      <c r="Z90" s="254">
        <v>0</v>
      </c>
      <c r="AA90" s="255">
        <v>0</v>
      </c>
      <c r="AB90" s="255">
        <v>0</v>
      </c>
      <c r="AC90" s="255">
        <v>0</v>
      </c>
      <c r="AD90" s="255"/>
      <c r="AE90" s="256">
        <v>0</v>
      </c>
      <c r="AF90" s="254">
        <v>0</v>
      </c>
      <c r="AG90" s="255">
        <v>0</v>
      </c>
      <c r="AH90" s="254">
        <v>0</v>
      </c>
    </row>
    <row r="91" spans="1:34">
      <c r="A91" s="249"/>
      <c r="B91" s="239" t="s">
        <v>32</v>
      </c>
      <c r="C91" s="624">
        <f t="shared" si="38"/>
        <v>0</v>
      </c>
      <c r="D91" s="625">
        <f t="shared" si="38"/>
        <v>0</v>
      </c>
      <c r="E91" s="625">
        <f t="shared" si="38"/>
        <v>0</v>
      </c>
      <c r="F91" s="625">
        <f t="shared" si="38"/>
        <v>0</v>
      </c>
      <c r="G91" s="625">
        <f t="shared" si="38"/>
        <v>0</v>
      </c>
      <c r="H91" s="626">
        <f t="shared" si="38"/>
        <v>0</v>
      </c>
      <c r="I91" s="624">
        <f t="shared" si="38"/>
        <v>0</v>
      </c>
      <c r="J91" s="624">
        <f t="shared" si="38"/>
        <v>0</v>
      </c>
      <c r="K91" s="625">
        <f t="shared" si="38"/>
        <v>0</v>
      </c>
      <c r="L91" s="625">
        <f t="shared" si="38"/>
        <v>0</v>
      </c>
      <c r="M91" s="625">
        <f t="shared" si="38"/>
        <v>0</v>
      </c>
      <c r="N91" s="624">
        <f t="shared" si="39"/>
        <v>0</v>
      </c>
      <c r="O91" s="624">
        <f t="shared" si="39"/>
        <v>0</v>
      </c>
      <c r="P91" s="625">
        <f t="shared" si="39"/>
        <v>0</v>
      </c>
      <c r="Q91" s="624">
        <f t="shared" si="39"/>
        <v>0</v>
      </c>
      <c r="R91" s="253"/>
      <c r="S91" s="254">
        <v>0</v>
      </c>
      <c r="T91" s="255"/>
      <c r="U91" s="255">
        <v>0</v>
      </c>
      <c r="V91" s="255">
        <v>0</v>
      </c>
      <c r="W91" s="255">
        <v>0</v>
      </c>
      <c r="X91" s="255">
        <v>0</v>
      </c>
      <c r="Y91" s="256">
        <v>0</v>
      </c>
      <c r="Z91" s="254">
        <v>0</v>
      </c>
      <c r="AA91" s="255">
        <v>0</v>
      </c>
      <c r="AB91" s="255">
        <v>0</v>
      </c>
      <c r="AC91" s="255">
        <v>0</v>
      </c>
      <c r="AD91" s="255"/>
      <c r="AE91" s="256">
        <v>0</v>
      </c>
      <c r="AF91" s="254">
        <v>0</v>
      </c>
      <c r="AG91" s="255">
        <v>0</v>
      </c>
      <c r="AH91" s="254">
        <v>0</v>
      </c>
    </row>
    <row r="92" spans="1:34">
      <c r="A92" s="249"/>
      <c r="B92" s="239" t="s">
        <v>58</v>
      </c>
      <c r="C92" s="624">
        <f t="shared" si="38"/>
        <v>0</v>
      </c>
      <c r="D92" s="625">
        <f t="shared" si="38"/>
        <v>0</v>
      </c>
      <c r="E92" s="792">
        <f t="shared" si="38"/>
        <v>0</v>
      </c>
      <c r="F92" s="625">
        <f t="shared" si="38"/>
        <v>0</v>
      </c>
      <c r="G92" s="792">
        <f t="shared" si="38"/>
        <v>0</v>
      </c>
      <c r="H92" s="626">
        <f t="shared" si="38"/>
        <v>0</v>
      </c>
      <c r="I92" s="793">
        <f t="shared" si="38"/>
        <v>0</v>
      </c>
      <c r="J92" s="624">
        <f t="shared" si="38"/>
        <v>1</v>
      </c>
      <c r="K92" s="625">
        <f t="shared" si="38"/>
        <v>1</v>
      </c>
      <c r="L92" s="625">
        <f t="shared" si="38"/>
        <v>1</v>
      </c>
      <c r="M92" s="625">
        <f t="shared" si="38"/>
        <v>1</v>
      </c>
      <c r="N92" s="624">
        <f t="shared" si="39"/>
        <v>1</v>
      </c>
      <c r="O92" s="624">
        <f t="shared" si="39"/>
        <v>1</v>
      </c>
      <c r="P92" s="625">
        <f t="shared" si="39"/>
        <v>1</v>
      </c>
      <c r="Q92" s="624">
        <f t="shared" si="39"/>
        <v>1</v>
      </c>
      <c r="R92" s="253"/>
      <c r="S92" s="254">
        <v>0</v>
      </c>
      <c r="T92" s="255"/>
      <c r="U92" s="255">
        <v>0</v>
      </c>
      <c r="V92" s="255">
        <v>0</v>
      </c>
      <c r="W92" s="255">
        <v>0</v>
      </c>
      <c r="X92" s="255">
        <v>0</v>
      </c>
      <c r="Y92" s="256">
        <v>0</v>
      </c>
      <c r="Z92" s="254">
        <v>210</v>
      </c>
      <c r="AA92" s="255">
        <v>576</v>
      </c>
      <c r="AB92" s="255">
        <v>154</v>
      </c>
      <c r="AC92" s="255">
        <v>326</v>
      </c>
      <c r="AD92" s="255"/>
      <c r="AE92" s="256">
        <v>1266</v>
      </c>
      <c r="AF92" s="254">
        <v>209</v>
      </c>
      <c r="AG92" s="255">
        <v>876</v>
      </c>
      <c r="AH92" s="254">
        <v>1085</v>
      </c>
    </row>
    <row r="93" spans="1:34">
      <c r="A93" s="435"/>
      <c r="B93" s="436" t="s">
        <v>59</v>
      </c>
      <c r="C93" s="577">
        <f t="shared" si="38"/>
        <v>1</v>
      </c>
      <c r="D93" s="578">
        <f t="shared" si="38"/>
        <v>0</v>
      </c>
      <c r="E93" s="578">
        <f t="shared" si="38"/>
        <v>1</v>
      </c>
      <c r="F93" s="578">
        <f t="shared" si="38"/>
        <v>1</v>
      </c>
      <c r="G93" s="578">
        <f t="shared" si="38"/>
        <v>1</v>
      </c>
      <c r="H93" s="579">
        <f t="shared" si="38"/>
        <v>1</v>
      </c>
      <c r="I93" s="577">
        <f t="shared" si="38"/>
        <v>1</v>
      </c>
      <c r="J93" s="577">
        <f t="shared" si="38"/>
        <v>1</v>
      </c>
      <c r="K93" s="578">
        <f t="shared" si="38"/>
        <v>1</v>
      </c>
      <c r="L93" s="578">
        <f t="shared" si="38"/>
        <v>1</v>
      </c>
      <c r="M93" s="578">
        <f t="shared" si="38"/>
        <v>1</v>
      </c>
      <c r="N93" s="577">
        <f t="shared" si="39"/>
        <v>1</v>
      </c>
      <c r="O93" s="577">
        <f t="shared" si="39"/>
        <v>1</v>
      </c>
      <c r="P93" s="578">
        <f t="shared" si="39"/>
        <v>1</v>
      </c>
      <c r="Q93" s="577">
        <f t="shared" si="39"/>
        <v>1</v>
      </c>
      <c r="R93" s="264"/>
      <c r="S93" s="265">
        <v>2081</v>
      </c>
      <c r="T93" s="266"/>
      <c r="U93" s="266">
        <v>782</v>
      </c>
      <c r="V93" s="266">
        <v>125</v>
      </c>
      <c r="W93" s="266">
        <v>782</v>
      </c>
      <c r="X93" s="266">
        <v>206</v>
      </c>
      <c r="Y93" s="267">
        <v>3976</v>
      </c>
      <c r="Z93" s="265">
        <v>210</v>
      </c>
      <c r="AA93" s="266">
        <v>576</v>
      </c>
      <c r="AB93" s="266">
        <v>154</v>
      </c>
      <c r="AC93" s="266">
        <v>326</v>
      </c>
      <c r="AD93" s="266"/>
      <c r="AE93" s="267">
        <v>1266</v>
      </c>
      <c r="AF93" s="265">
        <v>209</v>
      </c>
      <c r="AG93" s="266">
        <v>876</v>
      </c>
      <c r="AH93" s="265">
        <v>1085</v>
      </c>
    </row>
    <row r="94" spans="1:34">
      <c r="A94" s="239" t="s">
        <v>14</v>
      </c>
      <c r="B94" s="240" t="s">
        <v>53</v>
      </c>
      <c r="C94" s="613">
        <f t="shared" ref="C94:M100" si="40">IF(S$100&gt;0,(S94/S$100),0)</f>
        <v>0.27987697715289983</v>
      </c>
      <c r="D94" s="614">
        <f t="shared" si="40"/>
        <v>0</v>
      </c>
      <c r="E94" s="614">
        <f t="shared" si="40"/>
        <v>0.26899128268991285</v>
      </c>
      <c r="F94" s="614">
        <f t="shared" si="40"/>
        <v>0.30219780219780218</v>
      </c>
      <c r="G94" s="614">
        <f t="shared" si="40"/>
        <v>0.21383647798742139</v>
      </c>
      <c r="H94" s="615">
        <f t="shared" si="40"/>
        <v>0.12777777777777777</v>
      </c>
      <c r="I94" s="613">
        <f t="shared" si="40"/>
        <v>0.24956483899042645</v>
      </c>
      <c r="J94" s="613">
        <f t="shared" si="40"/>
        <v>0</v>
      </c>
      <c r="K94" s="614">
        <f t="shared" si="40"/>
        <v>0</v>
      </c>
      <c r="L94" s="614">
        <f t="shared" si="40"/>
        <v>0</v>
      </c>
      <c r="M94" s="614">
        <f t="shared" si="40"/>
        <v>6.2240663900414939E-2</v>
      </c>
      <c r="N94" s="613">
        <f t="shared" ref="N94:Q100" si="41">IF(AE$100&gt;0,(AE94/AE$100),0)</f>
        <v>7.1428571428571426E-3</v>
      </c>
      <c r="O94" s="788">
        <f t="shared" si="41"/>
        <v>0</v>
      </c>
      <c r="P94" s="614">
        <f t="shared" si="41"/>
        <v>0</v>
      </c>
      <c r="Q94" s="788">
        <f t="shared" si="41"/>
        <v>0</v>
      </c>
      <c r="R94" s="244"/>
      <c r="S94" s="245">
        <v>637</v>
      </c>
      <c r="T94" s="246"/>
      <c r="U94" s="246">
        <v>216</v>
      </c>
      <c r="V94" s="246">
        <v>55</v>
      </c>
      <c r="W94" s="246">
        <v>170</v>
      </c>
      <c r="X94" s="246">
        <v>69</v>
      </c>
      <c r="Y94" s="247">
        <v>1147</v>
      </c>
      <c r="Z94" s="245"/>
      <c r="AA94" s="246">
        <v>0</v>
      </c>
      <c r="AB94" s="246">
        <v>0</v>
      </c>
      <c r="AC94" s="246">
        <v>15</v>
      </c>
      <c r="AD94" s="246"/>
      <c r="AE94" s="247">
        <v>15</v>
      </c>
      <c r="AF94" s="245">
        <v>0</v>
      </c>
      <c r="AG94" s="246">
        <v>0</v>
      </c>
      <c r="AH94" s="245">
        <v>0</v>
      </c>
    </row>
    <row r="95" spans="1:34">
      <c r="A95" s="249"/>
      <c r="B95" s="239" t="s">
        <v>93</v>
      </c>
      <c r="C95" s="624">
        <f t="shared" si="40"/>
        <v>0.28690685413005274</v>
      </c>
      <c r="D95" s="625">
        <f t="shared" si="40"/>
        <v>0</v>
      </c>
      <c r="E95" s="625">
        <f t="shared" si="40"/>
        <v>0.33001245330012452</v>
      </c>
      <c r="F95" s="625">
        <f t="shared" si="40"/>
        <v>0.33516483516483514</v>
      </c>
      <c r="G95" s="625">
        <f t="shared" si="40"/>
        <v>0.27295597484276729</v>
      </c>
      <c r="H95" s="626">
        <f t="shared" si="40"/>
        <v>0.2388888888888889</v>
      </c>
      <c r="I95" s="624">
        <f t="shared" si="40"/>
        <v>0.28829416884247172</v>
      </c>
      <c r="J95" s="624">
        <f t="shared" si="40"/>
        <v>0</v>
      </c>
      <c r="K95" s="625">
        <f t="shared" si="40"/>
        <v>0</v>
      </c>
      <c r="L95" s="625">
        <f t="shared" si="40"/>
        <v>0</v>
      </c>
      <c r="M95" s="625">
        <f t="shared" si="40"/>
        <v>8.7136929460580909E-2</v>
      </c>
      <c r="N95" s="624">
        <f t="shared" si="41"/>
        <v>0.01</v>
      </c>
      <c r="O95" s="624">
        <f t="shared" si="41"/>
        <v>0</v>
      </c>
      <c r="P95" s="625">
        <f t="shared" si="41"/>
        <v>0</v>
      </c>
      <c r="Q95" s="624">
        <f t="shared" si="41"/>
        <v>0</v>
      </c>
      <c r="R95" s="253"/>
      <c r="S95" s="254">
        <v>653</v>
      </c>
      <c r="T95" s="255"/>
      <c r="U95" s="255">
        <v>265</v>
      </c>
      <c r="V95" s="255">
        <v>61</v>
      </c>
      <c r="W95" s="255">
        <v>217</v>
      </c>
      <c r="X95" s="255">
        <v>129</v>
      </c>
      <c r="Y95" s="256">
        <v>1325</v>
      </c>
      <c r="Z95" s="254"/>
      <c r="AA95" s="255">
        <v>0</v>
      </c>
      <c r="AB95" s="255">
        <v>0</v>
      </c>
      <c r="AC95" s="255">
        <v>21</v>
      </c>
      <c r="AD95" s="255"/>
      <c r="AE95" s="256">
        <v>21</v>
      </c>
      <c r="AF95" s="254">
        <v>0</v>
      </c>
      <c r="AG95" s="255">
        <v>0</v>
      </c>
      <c r="AH95" s="254">
        <v>0</v>
      </c>
    </row>
    <row r="96" spans="1:34">
      <c r="A96" s="249"/>
      <c r="B96" s="239" t="s">
        <v>55</v>
      </c>
      <c r="C96" s="624">
        <f t="shared" si="40"/>
        <v>0.25087873462214411</v>
      </c>
      <c r="D96" s="625">
        <f t="shared" si="40"/>
        <v>0</v>
      </c>
      <c r="E96" s="625">
        <f t="shared" si="40"/>
        <v>0.29265255292652553</v>
      </c>
      <c r="F96" s="625">
        <f t="shared" si="40"/>
        <v>0.27472527472527475</v>
      </c>
      <c r="G96" s="625">
        <f t="shared" si="40"/>
        <v>0.31949685534591193</v>
      </c>
      <c r="H96" s="626">
        <f t="shared" si="40"/>
        <v>0.32407407407407407</v>
      </c>
      <c r="I96" s="624">
        <f t="shared" si="40"/>
        <v>0.27959094865100087</v>
      </c>
      <c r="J96" s="624">
        <f t="shared" si="40"/>
        <v>0</v>
      </c>
      <c r="K96" s="625">
        <f t="shared" si="40"/>
        <v>0</v>
      </c>
      <c r="L96" s="625">
        <f t="shared" si="40"/>
        <v>0</v>
      </c>
      <c r="M96" s="625">
        <f t="shared" si="40"/>
        <v>0.13692946058091288</v>
      </c>
      <c r="N96" s="624">
        <f t="shared" si="41"/>
        <v>1.5714285714285715E-2</v>
      </c>
      <c r="O96" s="624">
        <f t="shared" si="41"/>
        <v>0</v>
      </c>
      <c r="P96" s="625">
        <f t="shared" si="41"/>
        <v>0</v>
      </c>
      <c r="Q96" s="624">
        <f t="shared" si="41"/>
        <v>0</v>
      </c>
      <c r="R96" s="253"/>
      <c r="S96" s="254">
        <v>571</v>
      </c>
      <c r="T96" s="255"/>
      <c r="U96" s="255">
        <v>235</v>
      </c>
      <c r="V96" s="255">
        <v>50</v>
      </c>
      <c r="W96" s="255">
        <v>254</v>
      </c>
      <c r="X96" s="255">
        <v>175</v>
      </c>
      <c r="Y96" s="256">
        <v>1285</v>
      </c>
      <c r="Z96" s="254"/>
      <c r="AA96" s="255">
        <v>0</v>
      </c>
      <c r="AB96" s="255">
        <v>0</v>
      </c>
      <c r="AC96" s="255">
        <v>33</v>
      </c>
      <c r="AD96" s="255"/>
      <c r="AE96" s="256">
        <v>33</v>
      </c>
      <c r="AF96" s="254">
        <v>0</v>
      </c>
      <c r="AG96" s="255">
        <v>0</v>
      </c>
      <c r="AH96" s="254">
        <v>0</v>
      </c>
    </row>
    <row r="97" spans="1:34">
      <c r="A97" s="249"/>
      <c r="B97" s="239" t="s">
        <v>78</v>
      </c>
      <c r="C97" s="624">
        <f t="shared" si="40"/>
        <v>7.0738137082601057E-2</v>
      </c>
      <c r="D97" s="625">
        <f t="shared" si="40"/>
        <v>0</v>
      </c>
      <c r="E97" s="625">
        <f t="shared" si="40"/>
        <v>0.10709838107098381</v>
      </c>
      <c r="F97" s="625">
        <f t="shared" si="40"/>
        <v>8.7912087912087919E-2</v>
      </c>
      <c r="G97" s="625">
        <f t="shared" si="40"/>
        <v>7.9245283018867921E-2</v>
      </c>
      <c r="H97" s="626">
        <f t="shared" si="40"/>
        <v>0.29259259259259257</v>
      </c>
      <c r="I97" s="624">
        <f t="shared" si="40"/>
        <v>0.10530896431679722</v>
      </c>
      <c r="J97" s="624">
        <f t="shared" si="40"/>
        <v>0</v>
      </c>
      <c r="K97" s="625">
        <f t="shared" si="40"/>
        <v>0</v>
      </c>
      <c r="L97" s="625">
        <f t="shared" si="40"/>
        <v>0</v>
      </c>
      <c r="M97" s="625">
        <f t="shared" si="40"/>
        <v>0.18257261410788381</v>
      </c>
      <c r="N97" s="624">
        <f t="shared" si="41"/>
        <v>2.0952380952380951E-2</v>
      </c>
      <c r="O97" s="624">
        <f t="shared" si="41"/>
        <v>0</v>
      </c>
      <c r="P97" s="625">
        <f t="shared" si="41"/>
        <v>0</v>
      </c>
      <c r="Q97" s="624">
        <f t="shared" si="41"/>
        <v>0</v>
      </c>
      <c r="R97" s="253"/>
      <c r="S97" s="254">
        <v>161</v>
      </c>
      <c r="T97" s="255"/>
      <c r="U97" s="255">
        <v>86</v>
      </c>
      <c r="V97" s="255">
        <v>16</v>
      </c>
      <c r="W97" s="255">
        <v>63</v>
      </c>
      <c r="X97" s="255">
        <v>158</v>
      </c>
      <c r="Y97" s="256">
        <v>484</v>
      </c>
      <c r="Z97" s="254"/>
      <c r="AA97" s="255">
        <v>0</v>
      </c>
      <c r="AB97" s="255">
        <v>0</v>
      </c>
      <c r="AC97" s="255">
        <v>44</v>
      </c>
      <c r="AD97" s="255"/>
      <c r="AE97" s="256">
        <v>44</v>
      </c>
      <c r="AF97" s="254">
        <v>0</v>
      </c>
      <c r="AG97" s="255">
        <v>0</v>
      </c>
      <c r="AH97" s="254">
        <v>0</v>
      </c>
    </row>
    <row r="98" spans="1:34">
      <c r="A98" s="249"/>
      <c r="B98" s="239" t="s">
        <v>32</v>
      </c>
      <c r="C98" s="624">
        <f t="shared" si="40"/>
        <v>0.11159929701230228</v>
      </c>
      <c r="D98" s="625">
        <f t="shared" si="40"/>
        <v>0</v>
      </c>
      <c r="E98" s="625">
        <f t="shared" si="40"/>
        <v>1.2453300124533001E-3</v>
      </c>
      <c r="F98" s="625">
        <f t="shared" si="40"/>
        <v>0</v>
      </c>
      <c r="G98" s="625">
        <f t="shared" si="40"/>
        <v>0.11446540880503145</v>
      </c>
      <c r="H98" s="626">
        <f t="shared" si="40"/>
        <v>1.6666666666666666E-2</v>
      </c>
      <c r="I98" s="624">
        <f t="shared" si="40"/>
        <v>7.7241079199303744E-2</v>
      </c>
      <c r="J98" s="624">
        <f t="shared" si="40"/>
        <v>0</v>
      </c>
      <c r="K98" s="625">
        <f t="shared" si="40"/>
        <v>1</v>
      </c>
      <c r="L98" s="625">
        <f t="shared" si="40"/>
        <v>1</v>
      </c>
      <c r="M98" s="625">
        <f t="shared" si="40"/>
        <v>0.53112033195020747</v>
      </c>
      <c r="N98" s="624">
        <f t="shared" si="41"/>
        <v>0.94619047619047614</v>
      </c>
      <c r="O98" s="624">
        <f t="shared" si="41"/>
        <v>0</v>
      </c>
      <c r="P98" s="625">
        <f t="shared" si="41"/>
        <v>0</v>
      </c>
      <c r="Q98" s="624">
        <f t="shared" si="41"/>
        <v>0</v>
      </c>
      <c r="R98" s="253"/>
      <c r="S98" s="254">
        <v>254</v>
      </c>
      <c r="T98" s="255"/>
      <c r="U98" s="255">
        <v>1</v>
      </c>
      <c r="V98" s="255">
        <v>0</v>
      </c>
      <c r="W98" s="255">
        <v>91</v>
      </c>
      <c r="X98" s="255">
        <v>9</v>
      </c>
      <c r="Y98" s="256">
        <v>355</v>
      </c>
      <c r="Z98" s="254"/>
      <c r="AA98" s="255">
        <v>1388</v>
      </c>
      <c r="AB98" s="255">
        <v>471</v>
      </c>
      <c r="AC98" s="255">
        <v>128</v>
      </c>
      <c r="AD98" s="255"/>
      <c r="AE98" s="256">
        <v>1987</v>
      </c>
      <c r="AF98" s="254">
        <v>0</v>
      </c>
      <c r="AG98" s="255">
        <v>0</v>
      </c>
      <c r="AH98" s="254">
        <v>0</v>
      </c>
    </row>
    <row r="99" spans="1:34">
      <c r="A99" s="249"/>
      <c r="B99" s="239" t="s">
        <v>58</v>
      </c>
      <c r="C99" s="624">
        <f t="shared" si="40"/>
        <v>0</v>
      </c>
      <c r="D99" s="625">
        <f t="shared" si="40"/>
        <v>0</v>
      </c>
      <c r="E99" s="792">
        <f t="shared" si="40"/>
        <v>0</v>
      </c>
      <c r="F99" s="625">
        <f t="shared" si="40"/>
        <v>0</v>
      </c>
      <c r="G99" s="792">
        <f t="shared" si="40"/>
        <v>0</v>
      </c>
      <c r="H99" s="626">
        <f t="shared" si="40"/>
        <v>0</v>
      </c>
      <c r="I99" s="793">
        <f t="shared" si="40"/>
        <v>0</v>
      </c>
      <c r="J99" s="624">
        <f t="shared" si="40"/>
        <v>0</v>
      </c>
      <c r="K99" s="625">
        <f t="shared" si="40"/>
        <v>0</v>
      </c>
      <c r="L99" s="625">
        <f t="shared" si="40"/>
        <v>0</v>
      </c>
      <c r="M99" s="625">
        <f t="shared" si="40"/>
        <v>0</v>
      </c>
      <c r="N99" s="624">
        <f t="shared" si="41"/>
        <v>0</v>
      </c>
      <c r="O99" s="624">
        <f t="shared" si="41"/>
        <v>0</v>
      </c>
      <c r="P99" s="625">
        <f t="shared" si="41"/>
        <v>0</v>
      </c>
      <c r="Q99" s="624">
        <f t="shared" si="41"/>
        <v>0</v>
      </c>
      <c r="R99" s="253"/>
      <c r="S99" s="254">
        <v>0</v>
      </c>
      <c r="T99" s="255"/>
      <c r="U99" s="255">
        <v>0</v>
      </c>
      <c r="V99" s="255">
        <v>0</v>
      </c>
      <c r="W99" s="255">
        <v>0</v>
      </c>
      <c r="X99" s="255">
        <v>0</v>
      </c>
      <c r="Y99" s="256">
        <v>0</v>
      </c>
      <c r="Z99" s="254"/>
      <c r="AA99" s="255">
        <v>0</v>
      </c>
      <c r="AB99" s="255">
        <v>0</v>
      </c>
      <c r="AC99" s="255">
        <v>0</v>
      </c>
      <c r="AD99" s="255"/>
      <c r="AE99" s="256">
        <v>0</v>
      </c>
      <c r="AF99" s="254">
        <v>0</v>
      </c>
      <c r="AG99" s="255">
        <v>0</v>
      </c>
      <c r="AH99" s="254">
        <v>0</v>
      </c>
    </row>
    <row r="100" spans="1:34">
      <c r="A100" s="435"/>
      <c r="B100" s="436" t="s">
        <v>59</v>
      </c>
      <c r="C100" s="577">
        <f t="shared" si="40"/>
        <v>1</v>
      </c>
      <c r="D100" s="578">
        <f t="shared" si="40"/>
        <v>0</v>
      </c>
      <c r="E100" s="578">
        <f t="shared" si="40"/>
        <v>1</v>
      </c>
      <c r="F100" s="578">
        <f t="shared" si="40"/>
        <v>1</v>
      </c>
      <c r="G100" s="578">
        <f t="shared" si="40"/>
        <v>1</v>
      </c>
      <c r="H100" s="579">
        <f t="shared" si="40"/>
        <v>1</v>
      </c>
      <c r="I100" s="577">
        <f t="shared" si="40"/>
        <v>1</v>
      </c>
      <c r="J100" s="577">
        <f t="shared" si="40"/>
        <v>0</v>
      </c>
      <c r="K100" s="578">
        <f t="shared" si="40"/>
        <v>1</v>
      </c>
      <c r="L100" s="578">
        <f t="shared" si="40"/>
        <v>1</v>
      </c>
      <c r="M100" s="578">
        <f t="shared" si="40"/>
        <v>1</v>
      </c>
      <c r="N100" s="577">
        <f t="shared" si="41"/>
        <v>1</v>
      </c>
      <c r="O100" s="577">
        <f t="shared" si="41"/>
        <v>0</v>
      </c>
      <c r="P100" s="578">
        <f t="shared" si="41"/>
        <v>0</v>
      </c>
      <c r="Q100" s="577">
        <f t="shared" si="41"/>
        <v>0</v>
      </c>
      <c r="R100" s="264"/>
      <c r="S100" s="265">
        <v>2276</v>
      </c>
      <c r="T100" s="266"/>
      <c r="U100" s="266">
        <v>803</v>
      </c>
      <c r="V100" s="266">
        <v>182</v>
      </c>
      <c r="W100" s="266">
        <v>795</v>
      </c>
      <c r="X100" s="266">
        <v>540</v>
      </c>
      <c r="Y100" s="267">
        <v>4596</v>
      </c>
      <c r="Z100" s="265"/>
      <c r="AA100" s="266">
        <v>1388</v>
      </c>
      <c r="AB100" s="266">
        <v>471</v>
      </c>
      <c r="AC100" s="266">
        <v>241</v>
      </c>
      <c r="AD100" s="266"/>
      <c r="AE100" s="267">
        <v>2100</v>
      </c>
      <c r="AF100" s="265">
        <v>0</v>
      </c>
      <c r="AG100" s="266">
        <v>0</v>
      </c>
      <c r="AH100" s="265">
        <v>0</v>
      </c>
    </row>
    <row r="101" spans="1:34">
      <c r="A101" s="239" t="s">
        <v>15</v>
      </c>
      <c r="B101" s="240" t="s">
        <v>53</v>
      </c>
      <c r="C101" s="613">
        <f t="shared" ref="C101:M107" si="42">IF(S$107&gt;0,(S101/S$107),0)</f>
        <v>0.31077891424075532</v>
      </c>
      <c r="D101" s="614">
        <f t="shared" si="42"/>
        <v>0.2879177377892031</v>
      </c>
      <c r="E101" s="614">
        <f t="shared" si="42"/>
        <v>0.32533733133433285</v>
      </c>
      <c r="F101" s="614">
        <f t="shared" si="42"/>
        <v>0</v>
      </c>
      <c r="G101" s="614">
        <f t="shared" si="42"/>
        <v>0.26235741444866922</v>
      </c>
      <c r="H101" s="615">
        <f t="shared" si="42"/>
        <v>0</v>
      </c>
      <c r="I101" s="613">
        <f t="shared" si="42"/>
        <v>0.31371545547594676</v>
      </c>
      <c r="J101" s="613">
        <f t="shared" si="42"/>
        <v>0</v>
      </c>
      <c r="K101" s="614">
        <f t="shared" si="42"/>
        <v>0.11088504577822991</v>
      </c>
      <c r="L101" s="614">
        <f t="shared" si="42"/>
        <v>0.12098765432098765</v>
      </c>
      <c r="M101" s="614">
        <f t="shared" si="42"/>
        <v>0</v>
      </c>
      <c r="N101" s="613">
        <f t="shared" ref="N101:Q107" si="43">IF(AE$107&gt;0,(AE101/AE$107),0)</f>
        <v>0.11544896820970441</v>
      </c>
      <c r="O101" s="788">
        <f t="shared" si="43"/>
        <v>0</v>
      </c>
      <c r="P101" s="614">
        <f t="shared" si="43"/>
        <v>0</v>
      </c>
      <c r="Q101" s="788">
        <f t="shared" si="43"/>
        <v>0</v>
      </c>
      <c r="R101" s="244"/>
      <c r="S101" s="245">
        <v>790</v>
      </c>
      <c r="T101" s="246">
        <v>112</v>
      </c>
      <c r="U101" s="246">
        <v>868</v>
      </c>
      <c r="V101" s="246"/>
      <c r="W101" s="246">
        <v>69</v>
      </c>
      <c r="X101" s="246"/>
      <c r="Y101" s="247">
        <v>1839</v>
      </c>
      <c r="Z101" s="245"/>
      <c r="AA101" s="246">
        <v>109</v>
      </c>
      <c r="AB101" s="246">
        <v>98</v>
      </c>
      <c r="AC101" s="246"/>
      <c r="AD101" s="246"/>
      <c r="AE101" s="247">
        <v>207</v>
      </c>
      <c r="AF101" s="245">
        <v>0</v>
      </c>
      <c r="AG101" s="246">
        <v>0</v>
      </c>
      <c r="AH101" s="245">
        <v>0</v>
      </c>
    </row>
    <row r="102" spans="1:34">
      <c r="A102" s="249"/>
      <c r="B102" s="239" t="s">
        <v>93</v>
      </c>
      <c r="C102" s="624">
        <f t="shared" si="42"/>
        <v>0.27852084972462626</v>
      </c>
      <c r="D102" s="625">
        <f t="shared" si="42"/>
        <v>0.28277634961439591</v>
      </c>
      <c r="E102" s="625">
        <f t="shared" si="42"/>
        <v>0.24400299850074963</v>
      </c>
      <c r="F102" s="625">
        <f t="shared" si="42"/>
        <v>0</v>
      </c>
      <c r="G102" s="625">
        <f t="shared" si="42"/>
        <v>0.23193916349809887</v>
      </c>
      <c r="H102" s="626">
        <f t="shared" si="42"/>
        <v>0</v>
      </c>
      <c r="I102" s="624">
        <f t="shared" si="42"/>
        <v>0.26100307062436029</v>
      </c>
      <c r="J102" s="624">
        <f t="shared" si="42"/>
        <v>0</v>
      </c>
      <c r="K102" s="625">
        <f t="shared" si="42"/>
        <v>0.38758901322482198</v>
      </c>
      <c r="L102" s="625">
        <f t="shared" si="42"/>
        <v>0.46049382716049381</v>
      </c>
      <c r="M102" s="625">
        <f t="shared" si="42"/>
        <v>0</v>
      </c>
      <c r="N102" s="624">
        <f t="shared" si="43"/>
        <v>0.42052426101505858</v>
      </c>
      <c r="O102" s="624">
        <f t="shared" si="43"/>
        <v>0</v>
      </c>
      <c r="P102" s="625">
        <f t="shared" si="43"/>
        <v>0</v>
      </c>
      <c r="Q102" s="624">
        <f t="shared" si="43"/>
        <v>0</v>
      </c>
      <c r="R102" s="253"/>
      <c r="S102" s="254">
        <v>708</v>
      </c>
      <c r="T102" s="255">
        <v>110</v>
      </c>
      <c r="U102" s="255">
        <v>651</v>
      </c>
      <c r="V102" s="255"/>
      <c r="W102" s="255">
        <v>61</v>
      </c>
      <c r="X102" s="255"/>
      <c r="Y102" s="256">
        <v>1530</v>
      </c>
      <c r="Z102" s="254"/>
      <c r="AA102" s="255">
        <v>381</v>
      </c>
      <c r="AB102" s="255">
        <v>373</v>
      </c>
      <c r="AC102" s="255"/>
      <c r="AD102" s="255"/>
      <c r="AE102" s="256">
        <v>754</v>
      </c>
      <c r="AF102" s="254">
        <v>0</v>
      </c>
      <c r="AG102" s="255">
        <v>0</v>
      </c>
      <c r="AH102" s="254">
        <v>0</v>
      </c>
    </row>
    <row r="103" spans="1:34">
      <c r="A103" s="249"/>
      <c r="B103" s="239" t="s">
        <v>55</v>
      </c>
      <c r="C103" s="624">
        <f t="shared" si="42"/>
        <v>0.23092053501180174</v>
      </c>
      <c r="D103" s="625">
        <f t="shared" si="42"/>
        <v>0.3059125964010283</v>
      </c>
      <c r="E103" s="625">
        <f t="shared" si="42"/>
        <v>0.24775112443778111</v>
      </c>
      <c r="F103" s="625">
        <f t="shared" si="42"/>
        <v>0</v>
      </c>
      <c r="G103" s="625">
        <f t="shared" si="42"/>
        <v>0.29277566539923955</v>
      </c>
      <c r="H103" s="626">
        <f t="shared" si="42"/>
        <v>0</v>
      </c>
      <c r="I103" s="624">
        <f t="shared" si="42"/>
        <v>0.24633230979187989</v>
      </c>
      <c r="J103" s="624">
        <f t="shared" si="42"/>
        <v>0</v>
      </c>
      <c r="K103" s="625">
        <f t="shared" si="42"/>
        <v>0.18514750762970497</v>
      </c>
      <c r="L103" s="625">
        <f t="shared" si="42"/>
        <v>0.22345679012345679</v>
      </c>
      <c r="M103" s="625">
        <f t="shared" si="42"/>
        <v>0</v>
      </c>
      <c r="N103" s="624">
        <f t="shared" si="43"/>
        <v>0.20245398773006135</v>
      </c>
      <c r="O103" s="624">
        <f t="shared" si="43"/>
        <v>0</v>
      </c>
      <c r="P103" s="625">
        <f t="shared" si="43"/>
        <v>0</v>
      </c>
      <c r="Q103" s="624">
        <f t="shared" si="43"/>
        <v>0</v>
      </c>
      <c r="R103" s="253"/>
      <c r="S103" s="254">
        <v>587</v>
      </c>
      <c r="T103" s="255">
        <v>119</v>
      </c>
      <c r="U103" s="255">
        <v>661</v>
      </c>
      <c r="V103" s="255"/>
      <c r="W103" s="255">
        <v>77</v>
      </c>
      <c r="X103" s="255"/>
      <c r="Y103" s="256">
        <v>1444</v>
      </c>
      <c r="Z103" s="254"/>
      <c r="AA103" s="255">
        <v>182</v>
      </c>
      <c r="AB103" s="255">
        <v>181</v>
      </c>
      <c r="AC103" s="255"/>
      <c r="AD103" s="255"/>
      <c r="AE103" s="256">
        <v>363</v>
      </c>
      <c r="AF103" s="254">
        <v>0</v>
      </c>
      <c r="AG103" s="255">
        <v>0</v>
      </c>
      <c r="AH103" s="254">
        <v>0</v>
      </c>
    </row>
    <row r="104" spans="1:34">
      <c r="A104" s="249"/>
      <c r="B104" s="239" t="s">
        <v>78</v>
      </c>
      <c r="C104" s="624">
        <f t="shared" si="42"/>
        <v>6.530291109362707E-2</v>
      </c>
      <c r="D104" s="625">
        <f t="shared" si="42"/>
        <v>5.9125964010282778E-2</v>
      </c>
      <c r="E104" s="625">
        <f t="shared" si="42"/>
        <v>8.9205397301349326E-2</v>
      </c>
      <c r="F104" s="625">
        <f t="shared" si="42"/>
        <v>0</v>
      </c>
      <c r="G104" s="625">
        <f t="shared" si="42"/>
        <v>6.0836501901140684E-2</v>
      </c>
      <c r="H104" s="626">
        <f t="shared" si="42"/>
        <v>0</v>
      </c>
      <c r="I104" s="624">
        <f t="shared" si="42"/>
        <v>7.5571477311497784E-2</v>
      </c>
      <c r="J104" s="624">
        <f t="shared" si="42"/>
        <v>0</v>
      </c>
      <c r="K104" s="625">
        <f t="shared" si="42"/>
        <v>0.31637843336724314</v>
      </c>
      <c r="L104" s="625">
        <f t="shared" si="42"/>
        <v>0.19506172839506172</v>
      </c>
      <c r="M104" s="625">
        <f t="shared" si="42"/>
        <v>0</v>
      </c>
      <c r="N104" s="624">
        <f t="shared" si="43"/>
        <v>0.26157278304517567</v>
      </c>
      <c r="O104" s="624">
        <f t="shared" si="43"/>
        <v>0</v>
      </c>
      <c r="P104" s="625">
        <f t="shared" si="43"/>
        <v>0</v>
      </c>
      <c r="Q104" s="624">
        <f t="shared" si="43"/>
        <v>0</v>
      </c>
      <c r="R104" s="253"/>
      <c r="S104" s="254">
        <v>166</v>
      </c>
      <c r="T104" s="255">
        <v>23</v>
      </c>
      <c r="U104" s="255">
        <v>238</v>
      </c>
      <c r="V104" s="255"/>
      <c r="W104" s="255">
        <v>16</v>
      </c>
      <c r="X104" s="255"/>
      <c r="Y104" s="256">
        <v>443</v>
      </c>
      <c r="Z104" s="254"/>
      <c r="AA104" s="255">
        <v>311</v>
      </c>
      <c r="AB104" s="255">
        <v>158</v>
      </c>
      <c r="AC104" s="255"/>
      <c r="AD104" s="255"/>
      <c r="AE104" s="256">
        <v>469</v>
      </c>
      <c r="AF104" s="254">
        <v>0</v>
      </c>
      <c r="AG104" s="255">
        <v>0</v>
      </c>
      <c r="AH104" s="254">
        <v>0</v>
      </c>
    </row>
    <row r="105" spans="1:34">
      <c r="A105" s="249"/>
      <c r="B105" s="239" t="s">
        <v>32</v>
      </c>
      <c r="C105" s="624">
        <f t="shared" si="42"/>
        <v>0.11447678992918961</v>
      </c>
      <c r="D105" s="625">
        <f t="shared" si="42"/>
        <v>6.4267352185089971E-2</v>
      </c>
      <c r="E105" s="625">
        <f t="shared" si="42"/>
        <v>9.37031484257871E-2</v>
      </c>
      <c r="F105" s="625">
        <f t="shared" si="42"/>
        <v>0</v>
      </c>
      <c r="G105" s="625">
        <f t="shared" si="42"/>
        <v>0.15209125475285171</v>
      </c>
      <c r="H105" s="626">
        <f t="shared" si="42"/>
        <v>0</v>
      </c>
      <c r="I105" s="624">
        <f t="shared" si="42"/>
        <v>0.10337768679631525</v>
      </c>
      <c r="J105" s="624">
        <f t="shared" si="42"/>
        <v>0</v>
      </c>
      <c r="K105" s="790">
        <f t="shared" si="42"/>
        <v>0</v>
      </c>
      <c r="L105" s="625">
        <f t="shared" si="42"/>
        <v>0</v>
      </c>
      <c r="M105" s="625">
        <f t="shared" si="42"/>
        <v>0</v>
      </c>
      <c r="N105" s="791">
        <f t="shared" si="43"/>
        <v>0</v>
      </c>
      <c r="O105" s="624">
        <f t="shared" si="43"/>
        <v>0</v>
      </c>
      <c r="P105" s="625">
        <f t="shared" si="43"/>
        <v>0</v>
      </c>
      <c r="Q105" s="624">
        <f t="shared" si="43"/>
        <v>0</v>
      </c>
      <c r="R105" s="253"/>
      <c r="S105" s="254">
        <v>291</v>
      </c>
      <c r="T105" s="255">
        <v>25</v>
      </c>
      <c r="U105" s="255">
        <v>250</v>
      </c>
      <c r="V105" s="255"/>
      <c r="W105" s="255">
        <v>40</v>
      </c>
      <c r="X105" s="255"/>
      <c r="Y105" s="256">
        <v>606</v>
      </c>
      <c r="Z105" s="254"/>
      <c r="AA105" s="255">
        <v>0</v>
      </c>
      <c r="AB105" s="255">
        <v>0</v>
      </c>
      <c r="AC105" s="255"/>
      <c r="AD105" s="255"/>
      <c r="AE105" s="256">
        <v>0</v>
      </c>
      <c r="AF105" s="254">
        <v>0</v>
      </c>
      <c r="AG105" s="255">
        <v>0</v>
      </c>
      <c r="AH105" s="254">
        <v>0</v>
      </c>
    </row>
    <row r="106" spans="1:34">
      <c r="A106" s="249"/>
      <c r="B106" s="239" t="s">
        <v>58</v>
      </c>
      <c r="C106" s="624">
        <f t="shared" si="42"/>
        <v>0</v>
      </c>
      <c r="D106" s="625">
        <f t="shared" si="42"/>
        <v>0</v>
      </c>
      <c r="E106" s="792">
        <f t="shared" si="42"/>
        <v>0</v>
      </c>
      <c r="F106" s="625">
        <f t="shared" si="42"/>
        <v>0</v>
      </c>
      <c r="G106" s="792">
        <f t="shared" si="42"/>
        <v>0</v>
      </c>
      <c r="H106" s="626">
        <f t="shared" si="42"/>
        <v>0</v>
      </c>
      <c r="I106" s="793">
        <f t="shared" si="42"/>
        <v>0</v>
      </c>
      <c r="J106" s="624">
        <f t="shared" si="42"/>
        <v>0</v>
      </c>
      <c r="K106" s="625">
        <f t="shared" si="42"/>
        <v>0</v>
      </c>
      <c r="L106" s="625">
        <f t="shared" si="42"/>
        <v>0</v>
      </c>
      <c r="M106" s="625">
        <f t="shared" si="42"/>
        <v>0</v>
      </c>
      <c r="N106" s="624">
        <f t="shared" si="43"/>
        <v>0</v>
      </c>
      <c r="O106" s="624">
        <f t="shared" si="43"/>
        <v>1</v>
      </c>
      <c r="P106" s="625">
        <f t="shared" si="43"/>
        <v>1</v>
      </c>
      <c r="Q106" s="624">
        <f t="shared" si="43"/>
        <v>1</v>
      </c>
      <c r="R106" s="253"/>
      <c r="S106" s="254">
        <v>0</v>
      </c>
      <c r="T106" s="255">
        <v>0</v>
      </c>
      <c r="U106" s="255">
        <v>0</v>
      </c>
      <c r="V106" s="255"/>
      <c r="W106" s="255">
        <v>0</v>
      </c>
      <c r="X106" s="255"/>
      <c r="Y106" s="256">
        <v>0</v>
      </c>
      <c r="Z106" s="254"/>
      <c r="AA106" s="255">
        <v>0</v>
      </c>
      <c r="AB106" s="255">
        <v>0</v>
      </c>
      <c r="AC106" s="255"/>
      <c r="AD106" s="255"/>
      <c r="AE106" s="256">
        <v>0</v>
      </c>
      <c r="AF106" s="254">
        <v>39</v>
      </c>
      <c r="AG106" s="255">
        <v>434</v>
      </c>
      <c r="AH106" s="254">
        <v>473</v>
      </c>
    </row>
    <row r="107" spans="1:34">
      <c r="A107" s="435"/>
      <c r="B107" s="436" t="s">
        <v>59</v>
      </c>
      <c r="C107" s="577">
        <f t="shared" si="42"/>
        <v>1</v>
      </c>
      <c r="D107" s="578">
        <f t="shared" si="42"/>
        <v>1</v>
      </c>
      <c r="E107" s="578">
        <f t="shared" si="42"/>
        <v>1</v>
      </c>
      <c r="F107" s="578">
        <f t="shared" si="42"/>
        <v>0</v>
      </c>
      <c r="G107" s="578">
        <f t="shared" si="42"/>
        <v>1</v>
      </c>
      <c r="H107" s="579">
        <f t="shared" si="42"/>
        <v>0</v>
      </c>
      <c r="I107" s="577">
        <f t="shared" si="42"/>
        <v>1</v>
      </c>
      <c r="J107" s="577">
        <f t="shared" si="42"/>
        <v>0</v>
      </c>
      <c r="K107" s="578">
        <f t="shared" si="42"/>
        <v>1</v>
      </c>
      <c r="L107" s="578">
        <f t="shared" si="42"/>
        <v>1</v>
      </c>
      <c r="M107" s="578">
        <f t="shared" si="42"/>
        <v>0</v>
      </c>
      <c r="N107" s="577">
        <f t="shared" si="43"/>
        <v>1</v>
      </c>
      <c r="O107" s="577">
        <f t="shared" si="43"/>
        <v>1</v>
      </c>
      <c r="P107" s="578">
        <f t="shared" si="43"/>
        <v>1</v>
      </c>
      <c r="Q107" s="577">
        <f t="shared" si="43"/>
        <v>1</v>
      </c>
      <c r="R107" s="264"/>
      <c r="S107" s="265">
        <v>2542</v>
      </c>
      <c r="T107" s="266">
        <v>389</v>
      </c>
      <c r="U107" s="266">
        <v>2668</v>
      </c>
      <c r="V107" s="266"/>
      <c r="W107" s="266">
        <v>263</v>
      </c>
      <c r="X107" s="266"/>
      <c r="Y107" s="267">
        <v>5862</v>
      </c>
      <c r="Z107" s="265"/>
      <c r="AA107" s="266">
        <v>983</v>
      </c>
      <c r="AB107" s="266">
        <v>810</v>
      </c>
      <c r="AC107" s="266"/>
      <c r="AD107" s="266"/>
      <c r="AE107" s="267">
        <v>1793</v>
      </c>
      <c r="AF107" s="265">
        <v>39</v>
      </c>
      <c r="AG107" s="266">
        <v>434</v>
      </c>
      <c r="AH107" s="265">
        <v>473</v>
      </c>
    </row>
    <row r="108" spans="1:34">
      <c r="A108" s="239" t="s">
        <v>16</v>
      </c>
      <c r="B108" s="240" t="s">
        <v>53</v>
      </c>
      <c r="C108" s="613">
        <f t="shared" ref="C108:M114" si="44">IF(S$114&gt;0,(S108/S$114),0)</f>
        <v>0.32746082146881084</v>
      </c>
      <c r="D108" s="614">
        <f t="shared" si="44"/>
        <v>0.22097588334268087</v>
      </c>
      <c r="E108" s="614">
        <f t="shared" si="44"/>
        <v>0.2136537699722699</v>
      </c>
      <c r="F108" s="614">
        <f t="shared" si="44"/>
        <v>0.21925133689839571</v>
      </c>
      <c r="G108" s="614">
        <f t="shared" si="44"/>
        <v>0.17073170731707318</v>
      </c>
      <c r="H108" s="615">
        <f t="shared" si="44"/>
        <v>0.23232323232323232</v>
      </c>
      <c r="I108" s="613">
        <f t="shared" si="44"/>
        <v>0.27005523741955101</v>
      </c>
      <c r="J108" s="613">
        <f t="shared" si="44"/>
        <v>9.3793103448275864E-2</v>
      </c>
      <c r="K108" s="614">
        <f t="shared" si="44"/>
        <v>0.31098915457990328</v>
      </c>
      <c r="L108" s="614">
        <f t="shared" si="44"/>
        <v>0.20074657818332642</v>
      </c>
      <c r="M108" s="614">
        <f t="shared" si="44"/>
        <v>0.14713216957605985</v>
      </c>
      <c r="N108" s="613">
        <f t="shared" ref="N108:Q114" si="45">IF(AE$114&gt;0,(AE108/AE$114),0)</f>
        <v>0.26729222520107238</v>
      </c>
      <c r="O108" s="788">
        <f t="shared" si="45"/>
        <v>0</v>
      </c>
      <c r="P108" s="614">
        <f t="shared" si="45"/>
        <v>0</v>
      </c>
      <c r="Q108" s="788">
        <f t="shared" si="45"/>
        <v>0</v>
      </c>
      <c r="R108" s="244"/>
      <c r="S108" s="245">
        <v>3197</v>
      </c>
      <c r="T108" s="246">
        <v>394</v>
      </c>
      <c r="U108" s="246">
        <v>1618</v>
      </c>
      <c r="V108" s="246">
        <v>41</v>
      </c>
      <c r="W108" s="246">
        <v>56</v>
      </c>
      <c r="X108" s="246">
        <v>23</v>
      </c>
      <c r="Y108" s="247">
        <v>5329</v>
      </c>
      <c r="Z108" s="245">
        <v>68</v>
      </c>
      <c r="AA108" s="246">
        <v>2380</v>
      </c>
      <c r="AB108" s="246">
        <v>484</v>
      </c>
      <c r="AC108" s="246">
        <v>59</v>
      </c>
      <c r="AD108" s="246"/>
      <c r="AE108" s="247">
        <v>2991</v>
      </c>
      <c r="AF108" s="245">
        <v>0</v>
      </c>
      <c r="AG108" s="246">
        <v>0</v>
      </c>
      <c r="AH108" s="245">
        <v>0</v>
      </c>
    </row>
    <row r="109" spans="1:34">
      <c r="A109" s="249"/>
      <c r="B109" s="239" t="s">
        <v>93</v>
      </c>
      <c r="C109" s="624">
        <f t="shared" si="44"/>
        <v>0.25002560688313019</v>
      </c>
      <c r="D109" s="625">
        <f t="shared" si="44"/>
        <v>0.26472237801458215</v>
      </c>
      <c r="E109" s="625">
        <f t="shared" si="44"/>
        <v>0.24943879572164268</v>
      </c>
      <c r="F109" s="625">
        <f t="shared" si="44"/>
        <v>0.28342245989304815</v>
      </c>
      <c r="G109" s="625">
        <f t="shared" si="44"/>
        <v>0.33231707317073172</v>
      </c>
      <c r="H109" s="626">
        <f t="shared" si="44"/>
        <v>0.15151515151515152</v>
      </c>
      <c r="I109" s="624">
        <f t="shared" si="44"/>
        <v>0.25231845132519132</v>
      </c>
      <c r="J109" s="624">
        <f t="shared" si="44"/>
        <v>9.7931034482758625E-2</v>
      </c>
      <c r="K109" s="625">
        <f t="shared" si="44"/>
        <v>0.10884620410296615</v>
      </c>
      <c r="L109" s="625">
        <f t="shared" si="44"/>
        <v>6.3873911240149323E-2</v>
      </c>
      <c r="M109" s="625">
        <f t="shared" si="44"/>
        <v>5.9850374064837904E-2</v>
      </c>
      <c r="N109" s="624">
        <f t="shared" si="45"/>
        <v>9.6693476318141194E-2</v>
      </c>
      <c r="O109" s="624">
        <f t="shared" si="45"/>
        <v>0</v>
      </c>
      <c r="P109" s="625">
        <f t="shared" si="45"/>
        <v>0</v>
      </c>
      <c r="Q109" s="624">
        <f t="shared" si="45"/>
        <v>0</v>
      </c>
      <c r="R109" s="253"/>
      <c r="S109" s="254">
        <v>2441</v>
      </c>
      <c r="T109" s="255">
        <v>472</v>
      </c>
      <c r="U109" s="255">
        <v>1889</v>
      </c>
      <c r="V109" s="255">
        <v>53</v>
      </c>
      <c r="W109" s="255">
        <v>109</v>
      </c>
      <c r="X109" s="255">
        <v>15</v>
      </c>
      <c r="Y109" s="256">
        <v>4979</v>
      </c>
      <c r="Z109" s="254">
        <v>71</v>
      </c>
      <c r="AA109" s="255">
        <v>833</v>
      </c>
      <c r="AB109" s="255">
        <v>154</v>
      </c>
      <c r="AC109" s="255">
        <v>24</v>
      </c>
      <c r="AD109" s="255"/>
      <c r="AE109" s="256">
        <v>1082</v>
      </c>
      <c r="AF109" s="254">
        <v>0</v>
      </c>
      <c r="AG109" s="255">
        <v>0</v>
      </c>
      <c r="AH109" s="254">
        <v>0</v>
      </c>
    </row>
    <row r="110" spans="1:34">
      <c r="A110" s="249"/>
      <c r="B110" s="239" t="s">
        <v>55</v>
      </c>
      <c r="C110" s="624">
        <f t="shared" si="44"/>
        <v>0.18447198606985557</v>
      </c>
      <c r="D110" s="625">
        <f t="shared" si="44"/>
        <v>0.21704991587212563</v>
      </c>
      <c r="E110" s="625">
        <f t="shared" si="44"/>
        <v>0.26462432325366431</v>
      </c>
      <c r="F110" s="625">
        <f t="shared" si="44"/>
        <v>0.30481283422459893</v>
      </c>
      <c r="G110" s="625">
        <f t="shared" si="44"/>
        <v>0.24695121951219512</v>
      </c>
      <c r="H110" s="626">
        <f t="shared" si="44"/>
        <v>0.17171717171717171</v>
      </c>
      <c r="I110" s="624">
        <f t="shared" si="44"/>
        <v>0.22029088329194749</v>
      </c>
      <c r="J110" s="624">
        <f t="shared" si="44"/>
        <v>0.10068965517241379</v>
      </c>
      <c r="K110" s="625">
        <f t="shared" si="44"/>
        <v>0.10087547367045603</v>
      </c>
      <c r="L110" s="625">
        <f t="shared" si="44"/>
        <v>5.9311489008710076E-2</v>
      </c>
      <c r="M110" s="625">
        <f t="shared" si="44"/>
        <v>8.7281795511221949E-2</v>
      </c>
      <c r="N110" s="624">
        <f t="shared" si="45"/>
        <v>9.1420911528150128E-2</v>
      </c>
      <c r="O110" s="624">
        <f t="shared" si="45"/>
        <v>0</v>
      </c>
      <c r="P110" s="625">
        <f t="shared" si="45"/>
        <v>0</v>
      </c>
      <c r="Q110" s="624">
        <f t="shared" si="45"/>
        <v>0</v>
      </c>
      <c r="R110" s="253"/>
      <c r="S110" s="254">
        <v>1801</v>
      </c>
      <c r="T110" s="255">
        <v>387</v>
      </c>
      <c r="U110" s="255">
        <v>2004</v>
      </c>
      <c r="V110" s="255">
        <v>57</v>
      </c>
      <c r="W110" s="255">
        <v>81</v>
      </c>
      <c r="X110" s="255">
        <v>17</v>
      </c>
      <c r="Y110" s="256">
        <v>4347</v>
      </c>
      <c r="Z110" s="254">
        <v>73</v>
      </c>
      <c r="AA110" s="255">
        <v>772</v>
      </c>
      <c r="AB110" s="255">
        <v>143</v>
      </c>
      <c r="AC110" s="255">
        <v>35</v>
      </c>
      <c r="AD110" s="255"/>
      <c r="AE110" s="256">
        <v>1023</v>
      </c>
      <c r="AF110" s="254">
        <v>0</v>
      </c>
      <c r="AG110" s="255">
        <v>0</v>
      </c>
      <c r="AH110" s="254">
        <v>0</v>
      </c>
    </row>
    <row r="111" spans="1:34">
      <c r="A111" s="249"/>
      <c r="B111" s="239" t="s">
        <v>78</v>
      </c>
      <c r="C111" s="624">
        <f t="shared" si="44"/>
        <v>3.5849636382259555E-2</v>
      </c>
      <c r="D111" s="625">
        <f t="shared" si="44"/>
        <v>6.1693774537296695E-3</v>
      </c>
      <c r="E111" s="625">
        <f t="shared" si="44"/>
        <v>7.5531493463620758E-2</v>
      </c>
      <c r="F111" s="625">
        <f t="shared" si="44"/>
        <v>8.5561497326203204E-2</v>
      </c>
      <c r="G111" s="625">
        <f t="shared" si="44"/>
        <v>3.0487804878048782E-3</v>
      </c>
      <c r="H111" s="626">
        <f t="shared" si="44"/>
        <v>0.31313131313131315</v>
      </c>
      <c r="I111" s="624">
        <f t="shared" si="44"/>
        <v>4.9713677595905337E-2</v>
      </c>
      <c r="J111" s="624">
        <f t="shared" si="44"/>
        <v>0.70620689655172408</v>
      </c>
      <c r="K111" s="625">
        <f t="shared" si="44"/>
        <v>0.31543185678818764</v>
      </c>
      <c r="L111" s="625">
        <f t="shared" si="44"/>
        <v>0.39651596847781001</v>
      </c>
      <c r="M111" s="625">
        <f t="shared" si="44"/>
        <v>0.70573566084788031</v>
      </c>
      <c r="N111" s="624">
        <f t="shared" si="45"/>
        <v>0.37220732797140305</v>
      </c>
      <c r="O111" s="624">
        <f t="shared" si="45"/>
        <v>0</v>
      </c>
      <c r="P111" s="625">
        <f t="shared" si="45"/>
        <v>0</v>
      </c>
      <c r="Q111" s="624">
        <f t="shared" si="45"/>
        <v>0</v>
      </c>
      <c r="R111" s="253"/>
      <c r="S111" s="254">
        <v>350</v>
      </c>
      <c r="T111" s="255">
        <v>11</v>
      </c>
      <c r="U111" s="255">
        <v>572</v>
      </c>
      <c r="V111" s="255">
        <v>16</v>
      </c>
      <c r="W111" s="255">
        <v>1</v>
      </c>
      <c r="X111" s="255">
        <v>31</v>
      </c>
      <c r="Y111" s="256">
        <v>981</v>
      </c>
      <c r="Z111" s="254">
        <v>512</v>
      </c>
      <c r="AA111" s="255">
        <v>2414</v>
      </c>
      <c r="AB111" s="255">
        <v>956</v>
      </c>
      <c r="AC111" s="255">
        <v>283</v>
      </c>
      <c r="AD111" s="255"/>
      <c r="AE111" s="256">
        <v>4165</v>
      </c>
      <c r="AF111" s="254">
        <v>0</v>
      </c>
      <c r="AG111" s="255">
        <v>0</v>
      </c>
      <c r="AH111" s="254">
        <v>0</v>
      </c>
    </row>
    <row r="112" spans="1:34">
      <c r="A112" s="249"/>
      <c r="B112" s="239" t="s">
        <v>32</v>
      </c>
      <c r="C112" s="624">
        <f t="shared" si="44"/>
        <v>0.20219194919594388</v>
      </c>
      <c r="D112" s="625">
        <f t="shared" si="44"/>
        <v>0.29108244531688166</v>
      </c>
      <c r="E112" s="625">
        <f t="shared" si="44"/>
        <v>0.19675161758880233</v>
      </c>
      <c r="F112" s="625">
        <f t="shared" si="44"/>
        <v>0.10695187165775401</v>
      </c>
      <c r="G112" s="625">
        <f t="shared" si="44"/>
        <v>0.24695121951219512</v>
      </c>
      <c r="H112" s="626">
        <f t="shared" si="44"/>
        <v>0.13131313131313133</v>
      </c>
      <c r="I112" s="624">
        <f t="shared" si="44"/>
        <v>0.20762175036740485</v>
      </c>
      <c r="J112" s="624">
        <f t="shared" si="44"/>
        <v>0</v>
      </c>
      <c r="K112" s="625">
        <f t="shared" si="44"/>
        <v>8.8854044165686662E-3</v>
      </c>
      <c r="L112" s="790">
        <f t="shared" si="44"/>
        <v>0</v>
      </c>
      <c r="M112" s="790">
        <f t="shared" si="44"/>
        <v>0</v>
      </c>
      <c r="N112" s="624">
        <f t="shared" si="45"/>
        <v>6.0768543342269886E-3</v>
      </c>
      <c r="O112" s="624">
        <f t="shared" si="45"/>
        <v>0</v>
      </c>
      <c r="P112" s="625">
        <f t="shared" si="45"/>
        <v>0</v>
      </c>
      <c r="Q112" s="624">
        <f t="shared" si="45"/>
        <v>0</v>
      </c>
      <c r="R112" s="253"/>
      <c r="S112" s="254">
        <v>1974</v>
      </c>
      <c r="T112" s="255">
        <v>519</v>
      </c>
      <c r="U112" s="255">
        <v>1490</v>
      </c>
      <c r="V112" s="255">
        <v>20</v>
      </c>
      <c r="W112" s="255">
        <v>81</v>
      </c>
      <c r="X112" s="255">
        <v>13</v>
      </c>
      <c r="Y112" s="256">
        <v>4097</v>
      </c>
      <c r="Z112" s="254">
        <v>0</v>
      </c>
      <c r="AA112" s="255">
        <v>68</v>
      </c>
      <c r="AB112" s="255">
        <v>0</v>
      </c>
      <c r="AC112" s="255">
        <v>0</v>
      </c>
      <c r="AD112" s="255"/>
      <c r="AE112" s="256">
        <v>68</v>
      </c>
      <c r="AF112" s="254">
        <v>0</v>
      </c>
      <c r="AG112" s="255">
        <v>0</v>
      </c>
      <c r="AH112" s="254">
        <v>0</v>
      </c>
    </row>
    <row r="113" spans="1:34">
      <c r="A113" s="249"/>
      <c r="B113" s="239" t="s">
        <v>58</v>
      </c>
      <c r="C113" s="624">
        <f t="shared" si="44"/>
        <v>0</v>
      </c>
      <c r="D113" s="625">
        <f t="shared" si="44"/>
        <v>0</v>
      </c>
      <c r="E113" s="625">
        <f t="shared" si="44"/>
        <v>0</v>
      </c>
      <c r="F113" s="625">
        <f t="shared" si="44"/>
        <v>0</v>
      </c>
      <c r="G113" s="625">
        <f t="shared" si="44"/>
        <v>0</v>
      </c>
      <c r="H113" s="626">
        <f t="shared" si="44"/>
        <v>0</v>
      </c>
      <c r="I113" s="624">
        <f t="shared" si="44"/>
        <v>0</v>
      </c>
      <c r="J113" s="624">
        <f t="shared" si="44"/>
        <v>1.3793103448275861E-3</v>
      </c>
      <c r="K113" s="625">
        <f t="shared" si="44"/>
        <v>0.15497190644191819</v>
      </c>
      <c r="L113" s="625">
        <f t="shared" si="44"/>
        <v>0.27955205309000414</v>
      </c>
      <c r="M113" s="625">
        <f t="shared" si="44"/>
        <v>0</v>
      </c>
      <c r="N113" s="624">
        <f t="shared" si="45"/>
        <v>0.16630920464700624</v>
      </c>
      <c r="O113" s="624">
        <f t="shared" si="45"/>
        <v>0</v>
      </c>
      <c r="P113" s="625">
        <f t="shared" si="45"/>
        <v>0</v>
      </c>
      <c r="Q113" s="624">
        <f t="shared" si="45"/>
        <v>0</v>
      </c>
      <c r="R113" s="253"/>
      <c r="S113" s="254">
        <v>0</v>
      </c>
      <c r="T113" s="255">
        <v>0</v>
      </c>
      <c r="U113" s="255">
        <v>0</v>
      </c>
      <c r="V113" s="255">
        <v>0</v>
      </c>
      <c r="W113" s="255">
        <v>0</v>
      </c>
      <c r="X113" s="255">
        <v>0</v>
      </c>
      <c r="Y113" s="256">
        <v>0</v>
      </c>
      <c r="Z113" s="254">
        <v>1</v>
      </c>
      <c r="AA113" s="255">
        <v>1186</v>
      </c>
      <c r="AB113" s="255">
        <v>674</v>
      </c>
      <c r="AC113" s="255">
        <v>0</v>
      </c>
      <c r="AD113" s="255"/>
      <c r="AE113" s="256">
        <v>1861</v>
      </c>
      <c r="AF113" s="254">
        <v>0</v>
      </c>
      <c r="AG113" s="255">
        <v>0</v>
      </c>
      <c r="AH113" s="254">
        <v>0</v>
      </c>
    </row>
    <row r="114" spans="1:34">
      <c r="A114" s="435"/>
      <c r="B114" s="436" t="s">
        <v>59</v>
      </c>
      <c r="C114" s="577">
        <f t="shared" si="44"/>
        <v>1</v>
      </c>
      <c r="D114" s="578">
        <f t="shared" si="44"/>
        <v>1</v>
      </c>
      <c r="E114" s="578">
        <f t="shared" si="44"/>
        <v>1</v>
      </c>
      <c r="F114" s="578">
        <f t="shared" si="44"/>
        <v>1</v>
      </c>
      <c r="G114" s="578">
        <f t="shared" si="44"/>
        <v>1</v>
      </c>
      <c r="H114" s="579">
        <f t="shared" si="44"/>
        <v>1</v>
      </c>
      <c r="I114" s="577">
        <f t="shared" si="44"/>
        <v>1</v>
      </c>
      <c r="J114" s="577">
        <f t="shared" si="44"/>
        <v>1</v>
      </c>
      <c r="K114" s="578">
        <f t="shared" si="44"/>
        <v>1</v>
      </c>
      <c r="L114" s="578">
        <f t="shared" si="44"/>
        <v>1</v>
      </c>
      <c r="M114" s="578">
        <f t="shared" si="44"/>
        <v>1</v>
      </c>
      <c r="N114" s="577">
        <f t="shared" si="45"/>
        <v>1</v>
      </c>
      <c r="O114" s="577">
        <f t="shared" si="45"/>
        <v>0</v>
      </c>
      <c r="P114" s="578">
        <f t="shared" si="45"/>
        <v>0</v>
      </c>
      <c r="Q114" s="577">
        <f t="shared" si="45"/>
        <v>0</v>
      </c>
      <c r="R114" s="264"/>
      <c r="S114" s="265">
        <v>9763</v>
      </c>
      <c r="T114" s="266">
        <v>1783</v>
      </c>
      <c r="U114" s="266">
        <v>7573</v>
      </c>
      <c r="V114" s="266">
        <v>187</v>
      </c>
      <c r="W114" s="266">
        <v>328</v>
      </c>
      <c r="X114" s="266">
        <v>99</v>
      </c>
      <c r="Y114" s="267">
        <v>19733</v>
      </c>
      <c r="Z114" s="265">
        <v>725</v>
      </c>
      <c r="AA114" s="266">
        <v>7653</v>
      </c>
      <c r="AB114" s="266">
        <v>2411</v>
      </c>
      <c r="AC114" s="266">
        <v>401</v>
      </c>
      <c r="AD114" s="266"/>
      <c r="AE114" s="267">
        <v>11190</v>
      </c>
      <c r="AF114" s="265">
        <v>0</v>
      </c>
      <c r="AG114" s="266">
        <v>0</v>
      </c>
      <c r="AH114" s="265">
        <v>0</v>
      </c>
    </row>
    <row r="115" spans="1:34">
      <c r="A115" s="239" t="s">
        <v>17</v>
      </c>
      <c r="B115" s="240" t="s">
        <v>53</v>
      </c>
      <c r="C115" s="613">
        <f t="shared" ref="C115:M121" si="46">IF(S$121&gt;0,(S115/S$121),0)</f>
        <v>0.34588140052620925</v>
      </c>
      <c r="D115" s="614">
        <f t="shared" si="46"/>
        <v>0.25</v>
      </c>
      <c r="E115" s="614">
        <f t="shared" si="46"/>
        <v>0.2799671592775041</v>
      </c>
      <c r="F115" s="614">
        <f t="shared" si="46"/>
        <v>0.24239130434782608</v>
      </c>
      <c r="G115" s="614">
        <f t="shared" si="46"/>
        <v>0.24103585657370519</v>
      </c>
      <c r="H115" s="615">
        <f t="shared" si="46"/>
        <v>0.18888888888888888</v>
      </c>
      <c r="I115" s="613">
        <f t="shared" si="46"/>
        <v>0.30227874933757287</v>
      </c>
      <c r="J115" s="613">
        <f t="shared" si="46"/>
        <v>0</v>
      </c>
      <c r="K115" s="614">
        <f t="shared" si="46"/>
        <v>0</v>
      </c>
      <c r="L115" s="614">
        <f t="shared" si="46"/>
        <v>0</v>
      </c>
      <c r="M115" s="614">
        <f t="shared" si="46"/>
        <v>0.27272727272727271</v>
      </c>
      <c r="N115" s="613">
        <f t="shared" ref="N115:Q121" si="47">IF(AE$121&gt;0,(AE115/AE$121),0)</f>
        <v>0.18066561014263074</v>
      </c>
      <c r="O115" s="788">
        <f t="shared" si="47"/>
        <v>0</v>
      </c>
      <c r="P115" s="614">
        <f t="shared" si="47"/>
        <v>0</v>
      </c>
      <c r="Q115" s="788">
        <f t="shared" si="47"/>
        <v>0</v>
      </c>
      <c r="R115" s="244"/>
      <c r="S115" s="245">
        <v>1709</v>
      </c>
      <c r="T115" s="246">
        <v>441</v>
      </c>
      <c r="U115" s="246">
        <v>341</v>
      </c>
      <c r="V115" s="246">
        <v>223</v>
      </c>
      <c r="W115" s="246">
        <v>121</v>
      </c>
      <c r="X115" s="246">
        <v>17</v>
      </c>
      <c r="Y115" s="247">
        <v>2852</v>
      </c>
      <c r="Z115" s="245"/>
      <c r="AA115" s="246">
        <v>0</v>
      </c>
      <c r="AB115" s="246">
        <v>0</v>
      </c>
      <c r="AC115" s="246">
        <v>9</v>
      </c>
      <c r="AD115" s="246">
        <v>447</v>
      </c>
      <c r="AE115" s="247">
        <v>456</v>
      </c>
      <c r="AF115" s="245">
        <v>0</v>
      </c>
      <c r="AG115" s="246">
        <v>0</v>
      </c>
      <c r="AH115" s="245">
        <v>0</v>
      </c>
    </row>
    <row r="116" spans="1:34">
      <c r="A116" s="249"/>
      <c r="B116" s="239" t="s">
        <v>93</v>
      </c>
      <c r="C116" s="624">
        <f t="shared" si="46"/>
        <v>0.29993928354584093</v>
      </c>
      <c r="D116" s="625">
        <f t="shared" si="46"/>
        <v>0.29365079365079366</v>
      </c>
      <c r="E116" s="625">
        <f t="shared" si="46"/>
        <v>0.26108374384236455</v>
      </c>
      <c r="F116" s="625">
        <f t="shared" si="46"/>
        <v>0.32826086956521738</v>
      </c>
      <c r="G116" s="625">
        <f t="shared" si="46"/>
        <v>0.34063745019920316</v>
      </c>
      <c r="H116" s="626">
        <f t="shared" si="46"/>
        <v>0.35555555555555557</v>
      </c>
      <c r="I116" s="624">
        <f t="shared" si="46"/>
        <v>0.29920508744038155</v>
      </c>
      <c r="J116" s="624">
        <f t="shared" si="46"/>
        <v>0</v>
      </c>
      <c r="K116" s="625">
        <f t="shared" si="46"/>
        <v>0</v>
      </c>
      <c r="L116" s="625">
        <f t="shared" si="46"/>
        <v>0</v>
      </c>
      <c r="M116" s="625">
        <f t="shared" si="46"/>
        <v>0.48484848484848486</v>
      </c>
      <c r="N116" s="624">
        <f t="shared" si="47"/>
        <v>0.29160063391442154</v>
      </c>
      <c r="O116" s="624">
        <f t="shared" si="47"/>
        <v>0</v>
      </c>
      <c r="P116" s="625">
        <f t="shared" si="47"/>
        <v>0</v>
      </c>
      <c r="Q116" s="624">
        <f t="shared" si="47"/>
        <v>0</v>
      </c>
      <c r="R116" s="253"/>
      <c r="S116" s="254">
        <v>1482</v>
      </c>
      <c r="T116" s="255">
        <v>518</v>
      </c>
      <c r="U116" s="255">
        <v>318</v>
      </c>
      <c r="V116" s="255">
        <v>302</v>
      </c>
      <c r="W116" s="255">
        <v>171</v>
      </c>
      <c r="X116" s="255">
        <v>32</v>
      </c>
      <c r="Y116" s="256">
        <v>2823</v>
      </c>
      <c r="Z116" s="254"/>
      <c r="AA116" s="255">
        <v>0</v>
      </c>
      <c r="AB116" s="255">
        <v>0</v>
      </c>
      <c r="AC116" s="255">
        <v>16</v>
      </c>
      <c r="AD116" s="255">
        <v>720</v>
      </c>
      <c r="AE116" s="256">
        <v>736</v>
      </c>
      <c r="AF116" s="254">
        <v>0</v>
      </c>
      <c r="AG116" s="255">
        <v>0</v>
      </c>
      <c r="AH116" s="254">
        <v>0</v>
      </c>
    </row>
    <row r="117" spans="1:34">
      <c r="A117" s="249"/>
      <c r="B117" s="239" t="s">
        <v>55</v>
      </c>
      <c r="C117" s="624">
        <f t="shared" si="46"/>
        <v>0.23335357215138636</v>
      </c>
      <c r="D117" s="625">
        <f t="shared" si="46"/>
        <v>0.31179138321995464</v>
      </c>
      <c r="E117" s="625">
        <f t="shared" si="46"/>
        <v>0.30377668308702793</v>
      </c>
      <c r="F117" s="625">
        <f t="shared" si="46"/>
        <v>0.29456521739130437</v>
      </c>
      <c r="G117" s="625">
        <f t="shared" si="46"/>
        <v>0.21115537848605578</v>
      </c>
      <c r="H117" s="626">
        <f t="shared" si="46"/>
        <v>0.24444444444444444</v>
      </c>
      <c r="I117" s="624">
        <f t="shared" si="46"/>
        <v>0.26200317965023845</v>
      </c>
      <c r="J117" s="624">
        <f t="shared" si="46"/>
        <v>0</v>
      </c>
      <c r="K117" s="625">
        <f t="shared" si="46"/>
        <v>0</v>
      </c>
      <c r="L117" s="625">
        <f t="shared" si="46"/>
        <v>0</v>
      </c>
      <c r="M117" s="625">
        <f t="shared" si="46"/>
        <v>0.24242424242424243</v>
      </c>
      <c r="N117" s="624">
        <f t="shared" si="47"/>
        <v>0.29675118858954042</v>
      </c>
      <c r="O117" s="624">
        <f t="shared" si="47"/>
        <v>0</v>
      </c>
      <c r="P117" s="625">
        <f t="shared" si="47"/>
        <v>0</v>
      </c>
      <c r="Q117" s="624">
        <f t="shared" si="47"/>
        <v>0</v>
      </c>
      <c r="R117" s="253"/>
      <c r="S117" s="254">
        <v>1153</v>
      </c>
      <c r="T117" s="255">
        <v>550</v>
      </c>
      <c r="U117" s="255">
        <v>370</v>
      </c>
      <c r="V117" s="255">
        <v>271</v>
      </c>
      <c r="W117" s="255">
        <v>106</v>
      </c>
      <c r="X117" s="255">
        <v>22</v>
      </c>
      <c r="Y117" s="256">
        <v>2472</v>
      </c>
      <c r="Z117" s="254"/>
      <c r="AA117" s="255">
        <v>0</v>
      </c>
      <c r="AB117" s="255">
        <v>0</v>
      </c>
      <c r="AC117" s="255">
        <v>8</v>
      </c>
      <c r="AD117" s="255">
        <v>741</v>
      </c>
      <c r="AE117" s="256">
        <v>749</v>
      </c>
      <c r="AF117" s="254">
        <v>0</v>
      </c>
      <c r="AG117" s="255">
        <v>0</v>
      </c>
      <c r="AH117" s="254">
        <v>0</v>
      </c>
    </row>
    <row r="118" spans="1:34">
      <c r="A118" s="249"/>
      <c r="B118" s="239" t="s">
        <v>78</v>
      </c>
      <c r="C118" s="624">
        <f t="shared" si="46"/>
        <v>6.6788099574984827E-2</v>
      </c>
      <c r="D118" s="625">
        <f t="shared" si="46"/>
        <v>0.1383219954648526</v>
      </c>
      <c r="E118" s="625">
        <f t="shared" si="46"/>
        <v>9.8522167487684734E-2</v>
      </c>
      <c r="F118" s="625">
        <f t="shared" si="46"/>
        <v>9.4565217391304343E-2</v>
      </c>
      <c r="G118" s="625">
        <f t="shared" si="46"/>
        <v>7.5697211155378488E-2</v>
      </c>
      <c r="H118" s="626">
        <f t="shared" si="46"/>
        <v>0.21111111111111111</v>
      </c>
      <c r="I118" s="624">
        <f t="shared" si="46"/>
        <v>8.8818229994700584E-2</v>
      </c>
      <c r="J118" s="624">
        <f t="shared" si="46"/>
        <v>0</v>
      </c>
      <c r="K118" s="625">
        <f t="shared" si="46"/>
        <v>0</v>
      </c>
      <c r="L118" s="625">
        <f t="shared" si="46"/>
        <v>0</v>
      </c>
      <c r="M118" s="625">
        <f t="shared" si="46"/>
        <v>0</v>
      </c>
      <c r="N118" s="624">
        <f t="shared" si="47"/>
        <v>0.22107765451664024</v>
      </c>
      <c r="O118" s="624">
        <f t="shared" si="47"/>
        <v>0</v>
      </c>
      <c r="P118" s="625">
        <f t="shared" si="47"/>
        <v>0</v>
      </c>
      <c r="Q118" s="624">
        <f t="shared" si="47"/>
        <v>0</v>
      </c>
      <c r="R118" s="253"/>
      <c r="S118" s="254">
        <v>330</v>
      </c>
      <c r="T118" s="255">
        <v>244</v>
      </c>
      <c r="U118" s="255">
        <v>120</v>
      </c>
      <c r="V118" s="255">
        <v>87</v>
      </c>
      <c r="W118" s="255">
        <v>38</v>
      </c>
      <c r="X118" s="255">
        <v>19</v>
      </c>
      <c r="Y118" s="256">
        <v>838</v>
      </c>
      <c r="Z118" s="254"/>
      <c r="AA118" s="255">
        <v>0</v>
      </c>
      <c r="AB118" s="255">
        <v>0</v>
      </c>
      <c r="AC118" s="255">
        <v>0</v>
      </c>
      <c r="AD118" s="255">
        <v>558</v>
      </c>
      <c r="AE118" s="256">
        <v>558</v>
      </c>
      <c r="AF118" s="254">
        <v>0</v>
      </c>
      <c r="AG118" s="255">
        <v>0</v>
      </c>
      <c r="AH118" s="254">
        <v>0</v>
      </c>
    </row>
    <row r="119" spans="1:34">
      <c r="A119" s="249"/>
      <c r="B119" s="239" t="s">
        <v>32</v>
      </c>
      <c r="C119" s="624">
        <f t="shared" si="46"/>
        <v>5.4037644201578625E-2</v>
      </c>
      <c r="D119" s="625">
        <f t="shared" si="46"/>
        <v>6.2358276643990932E-3</v>
      </c>
      <c r="E119" s="625">
        <f t="shared" si="46"/>
        <v>5.6650246305418719E-2</v>
      </c>
      <c r="F119" s="625">
        <f t="shared" si="46"/>
        <v>4.0217391304347823E-2</v>
      </c>
      <c r="G119" s="625">
        <f t="shared" si="46"/>
        <v>0.13147410358565736</v>
      </c>
      <c r="H119" s="626">
        <f t="shared" si="46"/>
        <v>0</v>
      </c>
      <c r="I119" s="624">
        <f t="shared" si="46"/>
        <v>4.7694753577106522E-2</v>
      </c>
      <c r="J119" s="624">
        <f t="shared" si="46"/>
        <v>0</v>
      </c>
      <c r="K119" s="625">
        <f t="shared" si="46"/>
        <v>0</v>
      </c>
      <c r="L119" s="625">
        <f t="shared" si="46"/>
        <v>0</v>
      </c>
      <c r="M119" s="625">
        <f t="shared" si="46"/>
        <v>0</v>
      </c>
      <c r="N119" s="793">
        <f t="shared" si="47"/>
        <v>9.904912836767036E-3</v>
      </c>
      <c r="O119" s="624">
        <f t="shared" si="47"/>
        <v>0</v>
      </c>
      <c r="P119" s="625">
        <f t="shared" si="47"/>
        <v>0</v>
      </c>
      <c r="Q119" s="624">
        <f t="shared" si="47"/>
        <v>0</v>
      </c>
      <c r="R119" s="253"/>
      <c r="S119" s="254">
        <v>267</v>
      </c>
      <c r="T119" s="255">
        <v>11</v>
      </c>
      <c r="U119" s="255">
        <v>69</v>
      </c>
      <c r="V119" s="255">
        <v>37</v>
      </c>
      <c r="W119" s="255">
        <v>66</v>
      </c>
      <c r="X119" s="255">
        <v>0</v>
      </c>
      <c r="Y119" s="256">
        <v>450</v>
      </c>
      <c r="Z119" s="254"/>
      <c r="AA119" s="255">
        <v>0</v>
      </c>
      <c r="AB119" s="255">
        <v>0</v>
      </c>
      <c r="AC119" s="255">
        <v>0</v>
      </c>
      <c r="AD119" s="255">
        <v>25</v>
      </c>
      <c r="AE119" s="256">
        <v>25</v>
      </c>
      <c r="AF119" s="254">
        <v>0</v>
      </c>
      <c r="AG119" s="255">
        <v>0</v>
      </c>
      <c r="AH119" s="254">
        <v>0</v>
      </c>
    </row>
    <row r="120" spans="1:34">
      <c r="A120" s="249"/>
      <c r="B120" s="239" t="s">
        <v>58</v>
      </c>
      <c r="C120" s="624">
        <f t="shared" si="46"/>
        <v>0</v>
      </c>
      <c r="D120" s="625">
        <f t="shared" si="46"/>
        <v>0</v>
      </c>
      <c r="E120" s="792">
        <f t="shared" si="46"/>
        <v>0</v>
      </c>
      <c r="F120" s="625">
        <f t="shared" si="46"/>
        <v>0</v>
      </c>
      <c r="G120" s="792">
        <f t="shared" si="46"/>
        <v>0</v>
      </c>
      <c r="H120" s="626">
        <f t="shared" si="46"/>
        <v>0</v>
      </c>
      <c r="I120" s="793">
        <f t="shared" si="46"/>
        <v>0</v>
      </c>
      <c r="J120" s="624">
        <f t="shared" si="46"/>
        <v>0</v>
      </c>
      <c r="K120" s="625">
        <f t="shared" si="46"/>
        <v>0</v>
      </c>
      <c r="L120" s="625">
        <f t="shared" si="46"/>
        <v>0</v>
      </c>
      <c r="M120" s="625">
        <f t="shared" si="46"/>
        <v>0</v>
      </c>
      <c r="N120" s="624">
        <f t="shared" si="47"/>
        <v>0</v>
      </c>
      <c r="O120" s="624">
        <f t="shared" si="47"/>
        <v>0</v>
      </c>
      <c r="P120" s="625">
        <f t="shared" si="47"/>
        <v>0</v>
      </c>
      <c r="Q120" s="624">
        <f t="shared" si="47"/>
        <v>0</v>
      </c>
      <c r="R120" s="253"/>
      <c r="S120" s="254">
        <v>0</v>
      </c>
      <c r="T120" s="255">
        <v>0</v>
      </c>
      <c r="U120" s="255">
        <v>0</v>
      </c>
      <c r="V120" s="255">
        <v>0</v>
      </c>
      <c r="W120" s="255">
        <v>0</v>
      </c>
      <c r="X120" s="255">
        <v>0</v>
      </c>
      <c r="Y120" s="256">
        <v>0</v>
      </c>
      <c r="Z120" s="254"/>
      <c r="AA120" s="255">
        <v>0</v>
      </c>
      <c r="AB120" s="255">
        <v>0</v>
      </c>
      <c r="AC120" s="255">
        <v>0</v>
      </c>
      <c r="AD120" s="255">
        <v>0</v>
      </c>
      <c r="AE120" s="256">
        <v>0</v>
      </c>
      <c r="AF120" s="254">
        <v>0</v>
      </c>
      <c r="AG120" s="255">
        <v>0</v>
      </c>
      <c r="AH120" s="254">
        <v>0</v>
      </c>
    </row>
    <row r="121" spans="1:34">
      <c r="A121" s="435"/>
      <c r="B121" s="436" t="s">
        <v>59</v>
      </c>
      <c r="C121" s="577">
        <f t="shared" si="46"/>
        <v>1</v>
      </c>
      <c r="D121" s="578">
        <f t="shared" si="46"/>
        <v>1</v>
      </c>
      <c r="E121" s="578">
        <f t="shared" si="46"/>
        <v>1</v>
      </c>
      <c r="F121" s="578">
        <f t="shared" si="46"/>
        <v>1</v>
      </c>
      <c r="G121" s="578">
        <f t="shared" si="46"/>
        <v>1</v>
      </c>
      <c r="H121" s="579">
        <f t="shared" si="46"/>
        <v>1</v>
      </c>
      <c r="I121" s="577">
        <f t="shared" si="46"/>
        <v>1</v>
      </c>
      <c r="J121" s="577">
        <f t="shared" si="46"/>
        <v>0</v>
      </c>
      <c r="K121" s="578">
        <f t="shared" si="46"/>
        <v>0</v>
      </c>
      <c r="L121" s="578">
        <f t="shared" si="46"/>
        <v>0</v>
      </c>
      <c r="M121" s="578">
        <f t="shared" si="46"/>
        <v>1</v>
      </c>
      <c r="N121" s="577">
        <f t="shared" si="47"/>
        <v>1</v>
      </c>
      <c r="O121" s="577">
        <f t="shared" si="47"/>
        <v>0</v>
      </c>
      <c r="P121" s="578">
        <f t="shared" si="47"/>
        <v>0</v>
      </c>
      <c r="Q121" s="577">
        <f t="shared" si="47"/>
        <v>0</v>
      </c>
      <c r="R121" s="264"/>
      <c r="S121" s="265">
        <v>4941</v>
      </c>
      <c r="T121" s="266">
        <v>1764</v>
      </c>
      <c r="U121" s="266">
        <v>1218</v>
      </c>
      <c r="V121" s="266">
        <v>920</v>
      </c>
      <c r="W121" s="266">
        <v>502</v>
      </c>
      <c r="X121" s="266">
        <v>90</v>
      </c>
      <c r="Y121" s="267">
        <v>9435</v>
      </c>
      <c r="Z121" s="265"/>
      <c r="AA121" s="266">
        <v>0</v>
      </c>
      <c r="AB121" s="266">
        <v>0</v>
      </c>
      <c r="AC121" s="266">
        <v>33</v>
      </c>
      <c r="AD121" s="266">
        <v>2491</v>
      </c>
      <c r="AE121" s="267">
        <v>2524</v>
      </c>
      <c r="AF121" s="265">
        <v>0</v>
      </c>
      <c r="AG121" s="266">
        <v>0</v>
      </c>
      <c r="AH121" s="265">
        <v>0</v>
      </c>
    </row>
    <row r="122" spans="1:34">
      <c r="A122" s="239" t="s">
        <v>18</v>
      </c>
      <c r="B122" s="240" t="s">
        <v>53</v>
      </c>
      <c r="C122" s="613">
        <f t="shared" ref="C122:M128" si="48">IF(S$128&gt;0,(S122/S$128),0)</f>
        <v>0.28403525954946129</v>
      </c>
      <c r="D122" s="614">
        <f t="shared" si="48"/>
        <v>0</v>
      </c>
      <c r="E122" s="614">
        <f t="shared" si="48"/>
        <v>0.38582677165354329</v>
      </c>
      <c r="F122" s="614">
        <f t="shared" si="48"/>
        <v>0</v>
      </c>
      <c r="G122" s="614">
        <f t="shared" si="48"/>
        <v>0.26710097719869708</v>
      </c>
      <c r="H122" s="615">
        <f t="shared" si="48"/>
        <v>0.21839080459770116</v>
      </c>
      <c r="I122" s="613">
        <f t="shared" si="48"/>
        <v>0.28670756646216766</v>
      </c>
      <c r="J122" s="613">
        <f t="shared" si="48"/>
        <v>0.32116788321167883</v>
      </c>
      <c r="K122" s="614">
        <f t="shared" si="48"/>
        <v>0</v>
      </c>
      <c r="L122" s="614">
        <f t="shared" si="48"/>
        <v>0.2011173184357542</v>
      </c>
      <c r="M122" s="614">
        <f t="shared" si="48"/>
        <v>0.12056737588652482</v>
      </c>
      <c r="N122" s="613">
        <f t="shared" ref="N122:Q128" si="49">IF(AE$128&gt;0,(AE122/AE$128),0)</f>
        <v>0.19063545150501673</v>
      </c>
      <c r="O122" s="788">
        <f t="shared" si="49"/>
        <v>0</v>
      </c>
      <c r="P122" s="614">
        <f t="shared" si="49"/>
        <v>0</v>
      </c>
      <c r="Q122" s="788">
        <f t="shared" si="49"/>
        <v>0</v>
      </c>
      <c r="R122" s="244"/>
      <c r="S122" s="245">
        <v>290</v>
      </c>
      <c r="T122" s="246"/>
      <c r="U122" s="246">
        <v>196</v>
      </c>
      <c r="V122" s="246"/>
      <c r="W122" s="246">
        <v>82</v>
      </c>
      <c r="X122" s="246">
        <v>133</v>
      </c>
      <c r="Y122" s="247">
        <v>701</v>
      </c>
      <c r="Z122" s="245">
        <v>44</v>
      </c>
      <c r="AA122" s="246"/>
      <c r="AB122" s="246">
        <v>36</v>
      </c>
      <c r="AC122" s="246">
        <v>34</v>
      </c>
      <c r="AD122" s="246"/>
      <c r="AE122" s="247">
        <v>114</v>
      </c>
      <c r="AF122" s="245">
        <v>0</v>
      </c>
      <c r="AG122" s="246">
        <v>0</v>
      </c>
      <c r="AH122" s="245">
        <v>0</v>
      </c>
    </row>
    <row r="123" spans="1:34">
      <c r="A123" s="249"/>
      <c r="B123" s="239" t="s">
        <v>93</v>
      </c>
      <c r="C123" s="624">
        <f t="shared" si="48"/>
        <v>0.28697355533790403</v>
      </c>
      <c r="D123" s="625">
        <f t="shared" si="48"/>
        <v>0</v>
      </c>
      <c r="E123" s="625">
        <f t="shared" si="48"/>
        <v>0.24803149606299213</v>
      </c>
      <c r="F123" s="625">
        <f t="shared" si="48"/>
        <v>0</v>
      </c>
      <c r="G123" s="625">
        <f t="shared" si="48"/>
        <v>0.28013029315960913</v>
      </c>
      <c r="H123" s="626">
        <f t="shared" si="48"/>
        <v>0.26436781609195403</v>
      </c>
      <c r="I123" s="624">
        <f t="shared" si="48"/>
        <v>0.2723926380368098</v>
      </c>
      <c r="J123" s="624">
        <f t="shared" si="48"/>
        <v>0.10218978102189781</v>
      </c>
      <c r="K123" s="625">
        <f t="shared" si="48"/>
        <v>0</v>
      </c>
      <c r="L123" s="625">
        <f t="shared" si="48"/>
        <v>0.14525139664804471</v>
      </c>
      <c r="M123" s="625">
        <f t="shared" si="48"/>
        <v>0.14184397163120568</v>
      </c>
      <c r="N123" s="624">
        <f t="shared" si="49"/>
        <v>0.13377926421404682</v>
      </c>
      <c r="O123" s="624">
        <f t="shared" si="49"/>
        <v>0</v>
      </c>
      <c r="P123" s="625">
        <f t="shared" si="49"/>
        <v>0</v>
      </c>
      <c r="Q123" s="624">
        <f t="shared" si="49"/>
        <v>0</v>
      </c>
      <c r="R123" s="253"/>
      <c r="S123" s="254">
        <v>293</v>
      </c>
      <c r="T123" s="255"/>
      <c r="U123" s="255">
        <v>126</v>
      </c>
      <c r="V123" s="255"/>
      <c r="W123" s="255">
        <v>86</v>
      </c>
      <c r="X123" s="255">
        <v>161</v>
      </c>
      <c r="Y123" s="256">
        <v>666</v>
      </c>
      <c r="Z123" s="254">
        <v>14</v>
      </c>
      <c r="AA123" s="255"/>
      <c r="AB123" s="255">
        <v>26</v>
      </c>
      <c r="AC123" s="255">
        <v>40</v>
      </c>
      <c r="AD123" s="255"/>
      <c r="AE123" s="256">
        <v>80</v>
      </c>
      <c r="AF123" s="254">
        <v>0</v>
      </c>
      <c r="AG123" s="255">
        <v>0</v>
      </c>
      <c r="AH123" s="254">
        <v>0</v>
      </c>
    </row>
    <row r="124" spans="1:34">
      <c r="A124" s="249"/>
      <c r="B124" s="239" t="s">
        <v>55</v>
      </c>
      <c r="C124" s="624">
        <f t="shared" si="48"/>
        <v>0.35651322233104799</v>
      </c>
      <c r="D124" s="625">
        <f t="shared" si="48"/>
        <v>0</v>
      </c>
      <c r="E124" s="625">
        <f t="shared" si="48"/>
        <v>0.24606299212598426</v>
      </c>
      <c r="F124" s="625">
        <f t="shared" si="48"/>
        <v>0</v>
      </c>
      <c r="G124" s="625">
        <f t="shared" si="48"/>
        <v>0.34853420195439738</v>
      </c>
      <c r="H124" s="626">
        <f t="shared" si="48"/>
        <v>0.35467980295566504</v>
      </c>
      <c r="I124" s="624">
        <f t="shared" si="48"/>
        <v>0.33210633946830265</v>
      </c>
      <c r="J124" s="624">
        <f t="shared" si="48"/>
        <v>0.28467153284671531</v>
      </c>
      <c r="K124" s="625">
        <f t="shared" si="48"/>
        <v>0</v>
      </c>
      <c r="L124" s="625">
        <f t="shared" si="48"/>
        <v>0.21787709497206703</v>
      </c>
      <c r="M124" s="625">
        <f t="shared" si="48"/>
        <v>0.33333333333333331</v>
      </c>
      <c r="N124" s="624">
        <f t="shared" si="49"/>
        <v>0.28762541806020064</v>
      </c>
      <c r="O124" s="624">
        <f t="shared" si="49"/>
        <v>0</v>
      </c>
      <c r="P124" s="625">
        <f t="shared" si="49"/>
        <v>0</v>
      </c>
      <c r="Q124" s="624">
        <f t="shared" si="49"/>
        <v>0</v>
      </c>
      <c r="R124" s="253"/>
      <c r="S124" s="254">
        <v>364</v>
      </c>
      <c r="T124" s="255"/>
      <c r="U124" s="255">
        <v>125</v>
      </c>
      <c r="V124" s="255"/>
      <c r="W124" s="255">
        <v>107</v>
      </c>
      <c r="X124" s="255">
        <v>216</v>
      </c>
      <c r="Y124" s="256">
        <v>812</v>
      </c>
      <c r="Z124" s="254">
        <v>39</v>
      </c>
      <c r="AA124" s="255"/>
      <c r="AB124" s="255">
        <v>39</v>
      </c>
      <c r="AC124" s="255">
        <v>94</v>
      </c>
      <c r="AD124" s="255"/>
      <c r="AE124" s="256">
        <v>172</v>
      </c>
      <c r="AF124" s="254">
        <v>0</v>
      </c>
      <c r="AG124" s="255">
        <v>0</v>
      </c>
      <c r="AH124" s="254">
        <v>0</v>
      </c>
    </row>
    <row r="125" spans="1:34">
      <c r="A125" s="249"/>
      <c r="B125" s="239" t="s">
        <v>78</v>
      </c>
      <c r="C125" s="624">
        <f t="shared" si="48"/>
        <v>5.0930460333006855E-2</v>
      </c>
      <c r="D125" s="625">
        <f t="shared" si="48"/>
        <v>0</v>
      </c>
      <c r="E125" s="625">
        <f t="shared" si="48"/>
        <v>0.12007874015748031</v>
      </c>
      <c r="F125" s="625">
        <f t="shared" si="48"/>
        <v>0</v>
      </c>
      <c r="G125" s="625">
        <f t="shared" si="48"/>
        <v>3.9087947882736153E-2</v>
      </c>
      <c r="H125" s="626">
        <f t="shared" si="48"/>
        <v>0.12807881773399016</v>
      </c>
      <c r="I125" s="624">
        <f t="shared" si="48"/>
        <v>8.3026584867075662E-2</v>
      </c>
      <c r="J125" s="624">
        <f t="shared" si="48"/>
        <v>0.20437956204379562</v>
      </c>
      <c r="K125" s="625">
        <f t="shared" si="48"/>
        <v>0</v>
      </c>
      <c r="L125" s="625">
        <f t="shared" si="48"/>
        <v>0.42458100558659218</v>
      </c>
      <c r="M125" s="625">
        <f t="shared" si="48"/>
        <v>0.31560283687943264</v>
      </c>
      <c r="N125" s="624">
        <f t="shared" si="49"/>
        <v>0.32274247491638797</v>
      </c>
      <c r="O125" s="624">
        <f t="shared" si="49"/>
        <v>0</v>
      </c>
      <c r="P125" s="625">
        <f t="shared" si="49"/>
        <v>0</v>
      </c>
      <c r="Q125" s="624">
        <f t="shared" si="49"/>
        <v>0</v>
      </c>
      <c r="R125" s="253"/>
      <c r="S125" s="254">
        <v>52</v>
      </c>
      <c r="T125" s="255"/>
      <c r="U125" s="255">
        <v>61</v>
      </c>
      <c r="V125" s="255"/>
      <c r="W125" s="255">
        <v>12</v>
      </c>
      <c r="X125" s="255">
        <v>78</v>
      </c>
      <c r="Y125" s="256">
        <v>203</v>
      </c>
      <c r="Z125" s="254">
        <v>28</v>
      </c>
      <c r="AA125" s="255"/>
      <c r="AB125" s="255">
        <v>76</v>
      </c>
      <c r="AC125" s="255">
        <v>89</v>
      </c>
      <c r="AD125" s="255"/>
      <c r="AE125" s="256">
        <v>193</v>
      </c>
      <c r="AF125" s="254">
        <v>0</v>
      </c>
      <c r="AG125" s="255">
        <v>0</v>
      </c>
      <c r="AH125" s="254">
        <v>0</v>
      </c>
    </row>
    <row r="126" spans="1:34">
      <c r="A126" s="249"/>
      <c r="B126" s="239" t="s">
        <v>32</v>
      </c>
      <c r="C126" s="624">
        <f t="shared" si="48"/>
        <v>2.1547502448579822E-2</v>
      </c>
      <c r="D126" s="625">
        <f t="shared" si="48"/>
        <v>0</v>
      </c>
      <c r="E126" s="625">
        <f t="shared" si="48"/>
        <v>0</v>
      </c>
      <c r="F126" s="625">
        <f t="shared" si="48"/>
        <v>0</v>
      </c>
      <c r="G126" s="625">
        <f t="shared" si="48"/>
        <v>6.5146579804560262E-2</v>
      </c>
      <c r="H126" s="626">
        <f t="shared" si="48"/>
        <v>3.4482758620689655E-2</v>
      </c>
      <c r="I126" s="624">
        <f t="shared" si="48"/>
        <v>2.5766871165644172E-2</v>
      </c>
      <c r="J126" s="624">
        <f t="shared" si="48"/>
        <v>8.7591240875912413E-2</v>
      </c>
      <c r="K126" s="625">
        <f t="shared" si="48"/>
        <v>0</v>
      </c>
      <c r="L126" s="625">
        <f t="shared" si="48"/>
        <v>1.11731843575419E-2</v>
      </c>
      <c r="M126" s="625">
        <f t="shared" si="48"/>
        <v>8.8652482269503549E-2</v>
      </c>
      <c r="N126" s="624">
        <f t="shared" si="49"/>
        <v>6.5217391304347824E-2</v>
      </c>
      <c r="O126" s="624">
        <f t="shared" si="49"/>
        <v>0</v>
      </c>
      <c r="P126" s="625">
        <f t="shared" si="49"/>
        <v>0</v>
      </c>
      <c r="Q126" s="624">
        <f t="shared" si="49"/>
        <v>0</v>
      </c>
      <c r="R126" s="253"/>
      <c r="S126" s="254">
        <v>22</v>
      </c>
      <c r="T126" s="255"/>
      <c r="U126" s="255">
        <v>0</v>
      </c>
      <c r="V126" s="255"/>
      <c r="W126" s="255">
        <v>20</v>
      </c>
      <c r="X126" s="255">
        <v>21</v>
      </c>
      <c r="Y126" s="256">
        <v>63</v>
      </c>
      <c r="Z126" s="254">
        <v>12</v>
      </c>
      <c r="AA126" s="255"/>
      <c r="AB126" s="255">
        <v>2</v>
      </c>
      <c r="AC126" s="255">
        <v>25</v>
      </c>
      <c r="AD126" s="255"/>
      <c r="AE126" s="256">
        <v>39</v>
      </c>
      <c r="AF126" s="254">
        <v>0</v>
      </c>
      <c r="AG126" s="255">
        <v>0</v>
      </c>
      <c r="AH126" s="254">
        <v>0</v>
      </c>
    </row>
    <row r="127" spans="1:34">
      <c r="A127" s="249"/>
      <c r="B127" s="239" t="s">
        <v>58</v>
      </c>
      <c r="C127" s="624">
        <f t="shared" si="48"/>
        <v>0</v>
      </c>
      <c r="D127" s="625">
        <f t="shared" si="48"/>
        <v>0</v>
      </c>
      <c r="E127" s="792">
        <f t="shared" si="48"/>
        <v>0</v>
      </c>
      <c r="F127" s="625">
        <f t="shared" si="48"/>
        <v>0</v>
      </c>
      <c r="G127" s="792">
        <f t="shared" si="48"/>
        <v>0</v>
      </c>
      <c r="H127" s="626">
        <f t="shared" si="48"/>
        <v>0</v>
      </c>
      <c r="I127" s="793">
        <f t="shared" si="48"/>
        <v>0</v>
      </c>
      <c r="J127" s="624">
        <f t="shared" si="48"/>
        <v>0</v>
      </c>
      <c r="K127" s="625">
        <f t="shared" si="48"/>
        <v>0</v>
      </c>
      <c r="L127" s="625">
        <f t="shared" si="48"/>
        <v>0</v>
      </c>
      <c r="M127" s="625">
        <f t="shared" si="48"/>
        <v>0</v>
      </c>
      <c r="N127" s="624">
        <f t="shared" si="49"/>
        <v>0</v>
      </c>
      <c r="O127" s="624">
        <f t="shared" si="49"/>
        <v>0</v>
      </c>
      <c r="P127" s="625">
        <f t="shared" si="49"/>
        <v>0</v>
      </c>
      <c r="Q127" s="624">
        <f t="shared" si="49"/>
        <v>0</v>
      </c>
      <c r="R127" s="253"/>
      <c r="S127" s="254">
        <v>0</v>
      </c>
      <c r="T127" s="255"/>
      <c r="U127" s="255">
        <v>0</v>
      </c>
      <c r="V127" s="255"/>
      <c r="W127" s="255">
        <v>0</v>
      </c>
      <c r="X127" s="255">
        <v>0</v>
      </c>
      <c r="Y127" s="256">
        <v>0</v>
      </c>
      <c r="Z127" s="254">
        <v>0</v>
      </c>
      <c r="AA127" s="255"/>
      <c r="AB127" s="255">
        <v>0</v>
      </c>
      <c r="AC127" s="255">
        <v>0</v>
      </c>
      <c r="AD127" s="255"/>
      <c r="AE127" s="256">
        <v>0</v>
      </c>
      <c r="AF127" s="254">
        <v>0</v>
      </c>
      <c r="AG127" s="255">
        <v>0</v>
      </c>
      <c r="AH127" s="254">
        <v>0</v>
      </c>
    </row>
    <row r="128" spans="1:34">
      <c r="A128" s="435"/>
      <c r="B128" s="436" t="s">
        <v>59</v>
      </c>
      <c r="C128" s="577">
        <f t="shared" si="48"/>
        <v>1</v>
      </c>
      <c r="D128" s="578">
        <f t="shared" si="48"/>
        <v>0</v>
      </c>
      <c r="E128" s="578">
        <f t="shared" si="48"/>
        <v>1</v>
      </c>
      <c r="F128" s="578">
        <f t="shared" si="48"/>
        <v>0</v>
      </c>
      <c r="G128" s="578">
        <f t="shared" si="48"/>
        <v>1</v>
      </c>
      <c r="H128" s="579">
        <f t="shared" si="48"/>
        <v>1</v>
      </c>
      <c r="I128" s="577">
        <f t="shared" si="48"/>
        <v>1</v>
      </c>
      <c r="J128" s="577">
        <f t="shared" si="48"/>
        <v>1</v>
      </c>
      <c r="K128" s="578">
        <f t="shared" si="48"/>
        <v>0</v>
      </c>
      <c r="L128" s="578">
        <f t="shared" si="48"/>
        <v>1</v>
      </c>
      <c r="M128" s="578">
        <f t="shared" si="48"/>
        <v>1</v>
      </c>
      <c r="N128" s="577">
        <f t="shared" si="49"/>
        <v>1</v>
      </c>
      <c r="O128" s="577">
        <f t="shared" si="49"/>
        <v>0</v>
      </c>
      <c r="P128" s="578">
        <f t="shared" si="49"/>
        <v>0</v>
      </c>
      <c r="Q128" s="577">
        <f t="shared" si="49"/>
        <v>0</v>
      </c>
      <c r="R128" s="264"/>
      <c r="S128" s="265">
        <v>1021</v>
      </c>
      <c r="T128" s="266"/>
      <c r="U128" s="266">
        <v>508</v>
      </c>
      <c r="V128" s="266"/>
      <c r="W128" s="266">
        <v>307</v>
      </c>
      <c r="X128" s="266">
        <v>609</v>
      </c>
      <c r="Y128" s="267">
        <v>2445</v>
      </c>
      <c r="Z128" s="265">
        <v>137</v>
      </c>
      <c r="AA128" s="266"/>
      <c r="AB128" s="266">
        <v>179</v>
      </c>
      <c r="AC128" s="266">
        <v>282</v>
      </c>
      <c r="AD128" s="266"/>
      <c r="AE128" s="267">
        <v>598</v>
      </c>
      <c r="AF128" s="265">
        <v>0</v>
      </c>
      <c r="AG128" s="266">
        <v>0</v>
      </c>
      <c r="AH128" s="265">
        <v>0</v>
      </c>
    </row>
    <row r="129" spans="1:34">
      <c r="A129" s="240" t="s">
        <v>171</v>
      </c>
      <c r="B129" s="240" t="s">
        <v>53</v>
      </c>
      <c r="C129" s="613">
        <f>IF(S$134&gt;0,(S129/S$134),0)</f>
        <v>0.39310181904086938</v>
      </c>
      <c r="D129" s="614">
        <f t="shared" ref="D129:M134" si="50">IF(T$134&gt;0,(T129/T$134),0)</f>
        <v>0.30304616350884539</v>
      </c>
      <c r="E129" s="614">
        <f t="shared" si="50"/>
        <v>0.37789579004079121</v>
      </c>
      <c r="F129" s="614">
        <f t="shared" si="50"/>
        <v>0.26797807158980974</v>
      </c>
      <c r="G129" s="614">
        <f t="shared" si="50"/>
        <v>0.20479041916167665</v>
      </c>
      <c r="H129" s="615">
        <f t="shared" si="50"/>
        <v>0.26812227074235806</v>
      </c>
      <c r="I129" s="613">
        <f t="shared" si="50"/>
        <v>0.3582241092855824</v>
      </c>
      <c r="J129" s="613">
        <f t="shared" si="50"/>
        <v>0</v>
      </c>
      <c r="K129" s="614">
        <f t="shared" si="50"/>
        <v>0</v>
      </c>
      <c r="L129" s="614">
        <f t="shared" si="50"/>
        <v>0</v>
      </c>
      <c r="M129" s="614">
        <f t="shared" si="50"/>
        <v>0</v>
      </c>
      <c r="N129" s="613">
        <f>IF(AE$134&gt;0,(AE129/AE$134),0)</f>
        <v>6.9476725924995292E-2</v>
      </c>
      <c r="O129" s="613">
        <f t="shared" ref="O129:Q134" si="51">IF(AF$134&gt;0,(AF129/AF$134),0)</f>
        <v>0</v>
      </c>
      <c r="P129" s="615">
        <f t="shared" si="51"/>
        <v>0</v>
      </c>
      <c r="Q129" s="613">
        <f t="shared" si="51"/>
        <v>0</v>
      </c>
      <c r="R129" s="357"/>
      <c r="S129" s="796">
        <f>S135+S141+S147+S153+S159+S165+S171+S177+S183+S189+S195+S201+S207</f>
        <v>9984</v>
      </c>
      <c r="T129" s="796">
        <f t="shared" ref="T129:AE129" si="52">T135+T141+T147+T153+T159+T165+T171+T177+T183+T189+T195+T201+T207</f>
        <v>2895</v>
      </c>
      <c r="U129" s="796">
        <f t="shared" si="52"/>
        <v>4910</v>
      </c>
      <c r="V129" s="796">
        <f t="shared" si="52"/>
        <v>831</v>
      </c>
      <c r="W129" s="796">
        <f t="shared" si="52"/>
        <v>171</v>
      </c>
      <c r="X129" s="796">
        <f t="shared" si="52"/>
        <v>614</v>
      </c>
      <c r="Y129" s="801">
        <f t="shared" si="52"/>
        <v>19405</v>
      </c>
      <c r="Z129" s="801">
        <f t="shared" si="52"/>
        <v>0</v>
      </c>
      <c r="AA129" s="796">
        <f t="shared" si="52"/>
        <v>0</v>
      </c>
      <c r="AB129" s="796">
        <f t="shared" si="52"/>
        <v>0</v>
      </c>
      <c r="AC129" s="796">
        <f t="shared" si="52"/>
        <v>0</v>
      </c>
      <c r="AD129" s="796">
        <f t="shared" si="52"/>
        <v>0</v>
      </c>
      <c r="AE129" s="801">
        <f t="shared" si="52"/>
        <v>2212</v>
      </c>
      <c r="AF129" s="803"/>
      <c r="AG129" s="349"/>
      <c r="AH129" s="803"/>
    </row>
    <row r="130" spans="1:34">
      <c r="A130" s="239"/>
      <c r="B130" s="239" t="s">
        <v>93</v>
      </c>
      <c r="C130" s="624">
        <f t="shared" ref="C130:C134" si="53">IF(S$134&gt;0,(S130/S$134),0)</f>
        <v>0.23320733916056383</v>
      </c>
      <c r="D130" s="625">
        <f t="shared" si="50"/>
        <v>0.27614361980529678</v>
      </c>
      <c r="E130" s="625">
        <f t="shared" si="50"/>
        <v>0.2402832294312322</v>
      </c>
      <c r="F130" s="625">
        <f t="shared" si="50"/>
        <v>0.23863269912931312</v>
      </c>
      <c r="G130" s="625">
        <f t="shared" si="50"/>
        <v>0.16646706586826349</v>
      </c>
      <c r="H130" s="626">
        <f t="shared" si="50"/>
        <v>0.24585152838427948</v>
      </c>
      <c r="I130" s="624">
        <f t="shared" si="50"/>
        <v>0.24229278198264723</v>
      </c>
      <c r="J130" s="624">
        <f t="shared" si="50"/>
        <v>0</v>
      </c>
      <c r="K130" s="625">
        <f t="shared" si="50"/>
        <v>0</v>
      </c>
      <c r="L130" s="625">
        <f t="shared" si="50"/>
        <v>0</v>
      </c>
      <c r="M130" s="625">
        <f t="shared" si="50"/>
        <v>0</v>
      </c>
      <c r="N130" s="624">
        <f t="shared" ref="N130:N134" si="54">IF(AE$134&gt;0,(AE130/AE$134),0)</f>
        <v>2.2928575915572586E-2</v>
      </c>
      <c r="O130" s="624">
        <f t="shared" si="51"/>
        <v>0</v>
      </c>
      <c r="P130" s="626">
        <f t="shared" si="51"/>
        <v>0</v>
      </c>
      <c r="Q130" s="624">
        <f t="shared" si="51"/>
        <v>0</v>
      </c>
      <c r="R130" s="357"/>
      <c r="S130" s="796">
        <f t="shared" ref="S130:AE134" si="55">S136+S142+S148+S154+S160+S166+S172+S178+S184+S190+S196+S202+S208</f>
        <v>5923</v>
      </c>
      <c r="T130" s="796">
        <f t="shared" si="55"/>
        <v>2638</v>
      </c>
      <c r="U130" s="796">
        <f t="shared" si="55"/>
        <v>3122</v>
      </c>
      <c r="V130" s="796">
        <f t="shared" si="55"/>
        <v>740</v>
      </c>
      <c r="W130" s="796">
        <f t="shared" si="55"/>
        <v>139</v>
      </c>
      <c r="X130" s="796">
        <f t="shared" si="55"/>
        <v>563</v>
      </c>
      <c r="Y130" s="802">
        <f t="shared" si="55"/>
        <v>13125</v>
      </c>
      <c r="Z130" s="802">
        <f t="shared" si="55"/>
        <v>0</v>
      </c>
      <c r="AA130" s="796">
        <f t="shared" si="55"/>
        <v>0</v>
      </c>
      <c r="AB130" s="796">
        <f t="shared" si="55"/>
        <v>0</v>
      </c>
      <c r="AC130" s="796">
        <f t="shared" si="55"/>
        <v>0</v>
      </c>
      <c r="AD130" s="796">
        <f t="shared" si="55"/>
        <v>0</v>
      </c>
      <c r="AE130" s="802">
        <f t="shared" si="55"/>
        <v>730</v>
      </c>
      <c r="AF130" s="804"/>
      <c r="AG130" s="349"/>
      <c r="AH130" s="804"/>
    </row>
    <row r="131" spans="1:34">
      <c r="A131" s="239"/>
      <c r="B131" s="239" t="s">
        <v>55</v>
      </c>
      <c r="C131" s="624">
        <f t="shared" si="53"/>
        <v>0.18966060319710212</v>
      </c>
      <c r="D131" s="625">
        <f t="shared" si="50"/>
        <v>0.23500471056212707</v>
      </c>
      <c r="E131" s="625">
        <f t="shared" si="50"/>
        <v>0.19548987916570462</v>
      </c>
      <c r="F131" s="625">
        <f t="shared" si="50"/>
        <v>0.25540148339245405</v>
      </c>
      <c r="G131" s="625">
        <f t="shared" si="50"/>
        <v>0.28982035928143712</v>
      </c>
      <c r="H131" s="626">
        <f t="shared" si="50"/>
        <v>0.30698689956331876</v>
      </c>
      <c r="I131" s="624">
        <f t="shared" si="50"/>
        <v>0.20932250323057042</v>
      </c>
      <c r="J131" s="624">
        <f t="shared" si="50"/>
        <v>0</v>
      </c>
      <c r="K131" s="625">
        <f t="shared" si="50"/>
        <v>0</v>
      </c>
      <c r="L131" s="625">
        <f t="shared" si="50"/>
        <v>0</v>
      </c>
      <c r="M131" s="625">
        <f t="shared" si="50"/>
        <v>0</v>
      </c>
      <c r="N131" s="624">
        <f t="shared" si="54"/>
        <v>3.040391984421132E-2</v>
      </c>
      <c r="O131" s="624">
        <f t="shared" si="51"/>
        <v>0</v>
      </c>
      <c r="P131" s="626">
        <f t="shared" si="51"/>
        <v>0</v>
      </c>
      <c r="Q131" s="624">
        <f t="shared" si="51"/>
        <v>0</v>
      </c>
      <c r="R131" s="357"/>
      <c r="S131" s="796">
        <f t="shared" si="55"/>
        <v>4817</v>
      </c>
      <c r="T131" s="796">
        <f t="shared" si="55"/>
        <v>2245</v>
      </c>
      <c r="U131" s="796">
        <f t="shared" si="55"/>
        <v>2540</v>
      </c>
      <c r="V131" s="796">
        <f t="shared" si="55"/>
        <v>792</v>
      </c>
      <c r="W131" s="796">
        <f t="shared" si="55"/>
        <v>242</v>
      </c>
      <c r="X131" s="796">
        <f t="shared" si="55"/>
        <v>703</v>
      </c>
      <c r="Y131" s="802">
        <f t="shared" si="55"/>
        <v>11339</v>
      </c>
      <c r="Z131" s="802">
        <f t="shared" si="55"/>
        <v>0</v>
      </c>
      <c r="AA131" s="796">
        <f t="shared" si="55"/>
        <v>0</v>
      </c>
      <c r="AB131" s="796">
        <f t="shared" si="55"/>
        <v>0</v>
      </c>
      <c r="AC131" s="796">
        <f t="shared" si="55"/>
        <v>0</v>
      </c>
      <c r="AD131" s="796">
        <f t="shared" si="55"/>
        <v>0</v>
      </c>
      <c r="AE131" s="802">
        <f t="shared" si="55"/>
        <v>968</v>
      </c>
      <c r="AF131" s="804"/>
      <c r="AG131" s="349"/>
      <c r="AH131" s="804"/>
    </row>
    <row r="132" spans="1:34">
      <c r="A132" s="239"/>
      <c r="B132" s="239" t="s">
        <v>78</v>
      </c>
      <c r="C132" s="624">
        <f t="shared" si="53"/>
        <v>6.0713442003307347E-2</v>
      </c>
      <c r="D132" s="625">
        <f t="shared" si="50"/>
        <v>8.740709724693814E-2</v>
      </c>
      <c r="E132" s="625">
        <f t="shared" si="50"/>
        <v>2.6167936581236052E-2</v>
      </c>
      <c r="F132" s="625">
        <f t="shared" si="50"/>
        <v>8.0619155111254434E-2</v>
      </c>
      <c r="G132" s="625">
        <f t="shared" si="50"/>
        <v>0.10299401197604791</v>
      </c>
      <c r="H132" s="626">
        <f t="shared" si="50"/>
        <v>8.034934497816594E-2</v>
      </c>
      <c r="I132" s="624">
        <f t="shared" si="50"/>
        <v>5.9756322687834595E-2</v>
      </c>
      <c r="J132" s="624">
        <f t="shared" si="50"/>
        <v>0</v>
      </c>
      <c r="K132" s="625">
        <f t="shared" si="50"/>
        <v>0</v>
      </c>
      <c r="L132" s="625">
        <f t="shared" si="50"/>
        <v>0</v>
      </c>
      <c r="M132" s="625">
        <f t="shared" si="50"/>
        <v>0</v>
      </c>
      <c r="N132" s="624">
        <f t="shared" si="54"/>
        <v>0.66970287078334068</v>
      </c>
      <c r="O132" s="624">
        <f t="shared" si="51"/>
        <v>0</v>
      </c>
      <c r="P132" s="626">
        <f t="shared" si="51"/>
        <v>0</v>
      </c>
      <c r="Q132" s="624">
        <f t="shared" si="51"/>
        <v>0</v>
      </c>
      <c r="R132" s="357"/>
      <c r="S132" s="796">
        <f t="shared" si="55"/>
        <v>1542</v>
      </c>
      <c r="T132" s="796">
        <f t="shared" si="55"/>
        <v>835</v>
      </c>
      <c r="U132" s="796">
        <f t="shared" si="55"/>
        <v>340</v>
      </c>
      <c r="V132" s="796">
        <f t="shared" si="55"/>
        <v>250</v>
      </c>
      <c r="W132" s="796">
        <f t="shared" si="55"/>
        <v>86</v>
      </c>
      <c r="X132" s="796">
        <f t="shared" si="55"/>
        <v>184</v>
      </c>
      <c r="Y132" s="802">
        <f t="shared" si="55"/>
        <v>3237</v>
      </c>
      <c r="Z132" s="802">
        <f t="shared" si="55"/>
        <v>0</v>
      </c>
      <c r="AA132" s="796">
        <f t="shared" si="55"/>
        <v>0</v>
      </c>
      <c r="AB132" s="796">
        <f t="shared" si="55"/>
        <v>0</v>
      </c>
      <c r="AC132" s="796">
        <f t="shared" si="55"/>
        <v>0</v>
      </c>
      <c r="AD132" s="796">
        <f t="shared" si="55"/>
        <v>0</v>
      </c>
      <c r="AE132" s="802">
        <f t="shared" si="55"/>
        <v>21322</v>
      </c>
      <c r="AF132" s="804"/>
      <c r="AG132" s="349"/>
      <c r="AH132" s="804"/>
    </row>
    <row r="133" spans="1:34">
      <c r="A133" s="580"/>
      <c r="B133" s="580" t="s">
        <v>131</v>
      </c>
      <c r="C133" s="624">
        <f t="shared" si="53"/>
        <v>0.12331679659815734</v>
      </c>
      <c r="D133" s="625">
        <f t="shared" si="50"/>
        <v>9.8398408876792631E-2</v>
      </c>
      <c r="E133" s="625">
        <f t="shared" si="50"/>
        <v>0.16016316478103595</v>
      </c>
      <c r="F133" s="625">
        <f t="shared" si="50"/>
        <v>0.15736859077716867</v>
      </c>
      <c r="G133" s="625">
        <f t="shared" si="50"/>
        <v>0.23592814371257484</v>
      </c>
      <c r="H133" s="626">
        <f t="shared" si="50"/>
        <v>9.8689956331877729E-2</v>
      </c>
      <c r="I133" s="624">
        <f t="shared" si="50"/>
        <v>0.13040428281336533</v>
      </c>
      <c r="J133" s="624">
        <f t="shared" si="50"/>
        <v>0</v>
      </c>
      <c r="K133" s="625">
        <f t="shared" si="50"/>
        <v>0</v>
      </c>
      <c r="L133" s="625">
        <f t="shared" si="50"/>
        <v>0</v>
      </c>
      <c r="M133" s="625">
        <f t="shared" si="50"/>
        <v>0</v>
      </c>
      <c r="N133" s="624">
        <f t="shared" si="54"/>
        <v>0.20748790753188015</v>
      </c>
      <c r="O133" s="624">
        <f t="shared" si="51"/>
        <v>0</v>
      </c>
      <c r="P133" s="626">
        <f t="shared" si="51"/>
        <v>0</v>
      </c>
      <c r="Q133" s="624">
        <f t="shared" si="51"/>
        <v>0</v>
      </c>
      <c r="R133" s="357"/>
      <c r="S133" s="796">
        <f t="shared" si="55"/>
        <v>3132</v>
      </c>
      <c r="T133" s="796">
        <f t="shared" si="55"/>
        <v>940</v>
      </c>
      <c r="U133" s="796">
        <f t="shared" si="55"/>
        <v>2081</v>
      </c>
      <c r="V133" s="796">
        <f t="shared" si="55"/>
        <v>488</v>
      </c>
      <c r="W133" s="796">
        <f t="shared" si="55"/>
        <v>197</v>
      </c>
      <c r="X133" s="796">
        <f t="shared" si="55"/>
        <v>226</v>
      </c>
      <c r="Y133" s="802">
        <f t="shared" si="55"/>
        <v>7064</v>
      </c>
      <c r="Z133" s="802">
        <f t="shared" si="55"/>
        <v>0</v>
      </c>
      <c r="AA133" s="796">
        <f t="shared" si="55"/>
        <v>0</v>
      </c>
      <c r="AB133" s="796">
        <f t="shared" si="55"/>
        <v>0</v>
      </c>
      <c r="AC133" s="796">
        <f t="shared" si="55"/>
        <v>0</v>
      </c>
      <c r="AD133" s="796">
        <f t="shared" si="55"/>
        <v>0</v>
      </c>
      <c r="AE133" s="802">
        <f t="shared" si="55"/>
        <v>6606</v>
      </c>
      <c r="AF133" s="804"/>
      <c r="AG133" s="349"/>
      <c r="AH133" s="804"/>
    </row>
    <row r="134" spans="1:34">
      <c r="A134" s="436" t="s">
        <v>86</v>
      </c>
      <c r="B134" s="436" t="s">
        <v>59</v>
      </c>
      <c r="C134" s="577">
        <f t="shared" si="53"/>
        <v>1</v>
      </c>
      <c r="D134" s="578">
        <f t="shared" si="50"/>
        <v>1</v>
      </c>
      <c r="E134" s="578">
        <f t="shared" si="50"/>
        <v>1</v>
      </c>
      <c r="F134" s="578">
        <f t="shared" si="50"/>
        <v>1</v>
      </c>
      <c r="G134" s="578">
        <f t="shared" si="50"/>
        <v>1</v>
      </c>
      <c r="H134" s="579">
        <f t="shared" si="50"/>
        <v>1</v>
      </c>
      <c r="I134" s="577">
        <f t="shared" si="50"/>
        <v>1</v>
      </c>
      <c r="J134" s="577">
        <f t="shared" si="50"/>
        <v>0</v>
      </c>
      <c r="K134" s="578">
        <f t="shared" si="50"/>
        <v>0</v>
      </c>
      <c r="L134" s="578">
        <f t="shared" si="50"/>
        <v>0</v>
      </c>
      <c r="M134" s="578">
        <f t="shared" si="50"/>
        <v>0</v>
      </c>
      <c r="N134" s="577">
        <f t="shared" si="54"/>
        <v>1</v>
      </c>
      <c r="O134" s="577">
        <f t="shared" si="51"/>
        <v>0</v>
      </c>
      <c r="P134" s="579">
        <f t="shared" si="51"/>
        <v>0</v>
      </c>
      <c r="Q134" s="577">
        <f t="shared" si="51"/>
        <v>0</v>
      </c>
      <c r="R134" s="357"/>
      <c r="S134" s="796">
        <f t="shared" si="55"/>
        <v>25398</v>
      </c>
      <c r="T134" s="796">
        <f t="shared" si="55"/>
        <v>9553</v>
      </c>
      <c r="U134" s="796">
        <f t="shared" si="55"/>
        <v>12993</v>
      </c>
      <c r="V134" s="796">
        <f t="shared" si="55"/>
        <v>3101</v>
      </c>
      <c r="W134" s="796">
        <f t="shared" si="55"/>
        <v>835</v>
      </c>
      <c r="X134" s="796">
        <f t="shared" si="55"/>
        <v>2290</v>
      </c>
      <c r="Y134" s="802">
        <f t="shared" si="55"/>
        <v>54170</v>
      </c>
      <c r="Z134" s="802">
        <f t="shared" si="55"/>
        <v>0</v>
      </c>
      <c r="AA134" s="796">
        <f t="shared" si="55"/>
        <v>0</v>
      </c>
      <c r="AB134" s="796">
        <f t="shared" si="55"/>
        <v>0</v>
      </c>
      <c r="AC134" s="796">
        <f t="shared" si="55"/>
        <v>0</v>
      </c>
      <c r="AD134" s="796">
        <f t="shared" si="55"/>
        <v>0</v>
      </c>
      <c r="AE134" s="802">
        <f t="shared" si="55"/>
        <v>31838</v>
      </c>
      <c r="AF134" s="804"/>
      <c r="AG134" s="349"/>
      <c r="AH134" s="804"/>
    </row>
    <row r="135" spans="1:34">
      <c r="A135" s="240" t="s">
        <v>136</v>
      </c>
      <c r="B135" s="240" t="s">
        <v>53</v>
      </c>
      <c r="C135" s="613">
        <f>IF(S$140&gt;0,(S135/S$140),0)</f>
        <v>0</v>
      </c>
      <c r="D135" s="614">
        <f t="shared" ref="D135:M140" si="56">IF(T$140&gt;0,(T135/T$140),0)</f>
        <v>0.2196969696969697</v>
      </c>
      <c r="E135" s="614">
        <f t="shared" si="56"/>
        <v>0.19696969696969696</v>
      </c>
      <c r="F135" s="614">
        <f t="shared" si="56"/>
        <v>0</v>
      </c>
      <c r="G135" s="614">
        <f t="shared" si="56"/>
        <v>7.2164948453608241E-2</v>
      </c>
      <c r="H135" s="615">
        <f t="shared" si="56"/>
        <v>0</v>
      </c>
      <c r="I135" s="613">
        <f t="shared" si="56"/>
        <v>0.19392752203721841</v>
      </c>
      <c r="J135" s="613">
        <f t="shared" si="56"/>
        <v>0</v>
      </c>
      <c r="K135" s="614">
        <f t="shared" si="56"/>
        <v>0</v>
      </c>
      <c r="L135" s="614">
        <f t="shared" si="56"/>
        <v>0</v>
      </c>
      <c r="M135" s="614">
        <f t="shared" si="56"/>
        <v>0</v>
      </c>
      <c r="N135" s="613">
        <f>IF(AE$140&gt;0,(AE135/AE$140),0)</f>
        <v>0.10526315789473684</v>
      </c>
      <c r="O135" s="613">
        <f t="shared" ref="O135:Q140" si="57">IF(AF$140&gt;0,(AF135/AF$140),0)</f>
        <v>0</v>
      </c>
      <c r="P135" s="615">
        <f t="shared" si="57"/>
        <v>0</v>
      </c>
      <c r="Q135" s="613">
        <f t="shared" si="57"/>
        <v>0</v>
      </c>
      <c r="R135" s="357"/>
      <c r="S135" s="856"/>
      <c r="T135" s="856">
        <v>87</v>
      </c>
      <c r="U135" s="856">
        <v>104</v>
      </c>
      <c r="V135" s="856"/>
      <c r="W135" s="856">
        <v>7</v>
      </c>
      <c r="X135" s="856"/>
      <c r="Y135" s="857">
        <v>198</v>
      </c>
      <c r="Z135" s="857"/>
      <c r="AA135" s="856"/>
      <c r="AB135" s="856"/>
      <c r="AC135" s="856"/>
      <c r="AD135" s="856"/>
      <c r="AE135" s="857">
        <v>2</v>
      </c>
      <c r="AF135" s="857"/>
      <c r="AG135" s="856"/>
      <c r="AH135" s="857"/>
    </row>
    <row r="136" spans="1:34">
      <c r="A136" s="239"/>
      <c r="B136" s="239" t="s">
        <v>93</v>
      </c>
      <c r="C136" s="624">
        <f t="shared" ref="C136:C140" si="58">IF(S$140&gt;0,(S136/S$140),0)</f>
        <v>0</v>
      </c>
      <c r="D136" s="625">
        <f t="shared" si="56"/>
        <v>0.28535353535353536</v>
      </c>
      <c r="E136" s="625">
        <f t="shared" si="56"/>
        <v>0.26515151515151514</v>
      </c>
      <c r="F136" s="625">
        <f t="shared" si="56"/>
        <v>0</v>
      </c>
      <c r="G136" s="625">
        <f t="shared" si="56"/>
        <v>0.32989690721649484</v>
      </c>
      <c r="H136" s="626">
        <f t="shared" si="56"/>
        <v>0</v>
      </c>
      <c r="I136" s="624">
        <f t="shared" si="56"/>
        <v>0.27913809990205679</v>
      </c>
      <c r="J136" s="624">
        <f t="shared" si="56"/>
        <v>0</v>
      </c>
      <c r="K136" s="625">
        <f t="shared" si="56"/>
        <v>0</v>
      </c>
      <c r="L136" s="625">
        <f t="shared" si="56"/>
        <v>0</v>
      </c>
      <c r="M136" s="625">
        <f t="shared" si="56"/>
        <v>0</v>
      </c>
      <c r="N136" s="624">
        <f t="shared" ref="N136:N140" si="59">IF(AE$140&gt;0,(AE136/AE$140),0)</f>
        <v>5.2631578947368418E-2</v>
      </c>
      <c r="O136" s="624">
        <f t="shared" si="57"/>
        <v>0</v>
      </c>
      <c r="P136" s="626">
        <f t="shared" si="57"/>
        <v>0</v>
      </c>
      <c r="Q136" s="624">
        <f t="shared" si="57"/>
        <v>0</v>
      </c>
      <c r="R136" s="357"/>
      <c r="S136" s="858"/>
      <c r="T136" s="858">
        <v>113</v>
      </c>
      <c r="U136" s="858">
        <v>140</v>
      </c>
      <c r="V136" s="858"/>
      <c r="W136" s="858">
        <v>32</v>
      </c>
      <c r="X136" s="858"/>
      <c r="Y136" s="859">
        <v>285</v>
      </c>
      <c r="Z136" s="859"/>
      <c r="AA136" s="858"/>
      <c r="AB136" s="858"/>
      <c r="AC136" s="858"/>
      <c r="AD136" s="858"/>
      <c r="AE136" s="859">
        <v>1</v>
      </c>
      <c r="AF136" s="859"/>
      <c r="AG136" s="858"/>
      <c r="AH136" s="859"/>
    </row>
    <row r="137" spans="1:34">
      <c r="A137" s="239"/>
      <c r="B137" s="239" t="s">
        <v>55</v>
      </c>
      <c r="C137" s="624">
        <f t="shared" si="58"/>
        <v>0</v>
      </c>
      <c r="D137" s="625">
        <f t="shared" si="56"/>
        <v>0.39141414141414144</v>
      </c>
      <c r="E137" s="625">
        <f t="shared" si="56"/>
        <v>0.42992424242424243</v>
      </c>
      <c r="F137" s="625">
        <f t="shared" si="56"/>
        <v>0</v>
      </c>
      <c r="G137" s="625">
        <f t="shared" si="56"/>
        <v>0.58762886597938147</v>
      </c>
      <c r="H137" s="626">
        <f t="shared" si="56"/>
        <v>0</v>
      </c>
      <c r="I137" s="624">
        <f t="shared" si="56"/>
        <v>0.42997061704211559</v>
      </c>
      <c r="J137" s="624">
        <f t="shared" si="56"/>
        <v>0</v>
      </c>
      <c r="K137" s="625">
        <f t="shared" si="56"/>
        <v>0</v>
      </c>
      <c r="L137" s="625">
        <f t="shared" si="56"/>
        <v>0</v>
      </c>
      <c r="M137" s="625">
        <f t="shared" si="56"/>
        <v>0</v>
      </c>
      <c r="N137" s="624">
        <f t="shared" si="59"/>
        <v>0.52631578947368418</v>
      </c>
      <c r="O137" s="624">
        <f t="shared" si="57"/>
        <v>0</v>
      </c>
      <c r="P137" s="626">
        <f t="shared" si="57"/>
        <v>0</v>
      </c>
      <c r="Q137" s="624">
        <f t="shared" si="57"/>
        <v>0</v>
      </c>
      <c r="R137" s="357"/>
      <c r="S137" s="858"/>
      <c r="T137" s="858">
        <v>155</v>
      </c>
      <c r="U137" s="858">
        <v>227</v>
      </c>
      <c r="V137" s="858"/>
      <c r="W137" s="858">
        <v>57</v>
      </c>
      <c r="X137" s="858"/>
      <c r="Y137" s="859">
        <v>439</v>
      </c>
      <c r="Z137" s="859"/>
      <c r="AA137" s="858"/>
      <c r="AB137" s="858"/>
      <c r="AC137" s="858"/>
      <c r="AD137" s="858"/>
      <c r="AE137" s="859">
        <v>10</v>
      </c>
      <c r="AF137" s="859"/>
      <c r="AG137" s="858"/>
      <c r="AH137" s="859"/>
    </row>
    <row r="138" spans="1:34">
      <c r="A138" s="239"/>
      <c r="B138" s="239" t="s">
        <v>78</v>
      </c>
      <c r="C138" s="624">
        <f t="shared" si="58"/>
        <v>0</v>
      </c>
      <c r="D138" s="625">
        <f t="shared" si="56"/>
        <v>0.10101010101010101</v>
      </c>
      <c r="E138" s="625">
        <f t="shared" si="56"/>
        <v>0.10795454545454546</v>
      </c>
      <c r="F138" s="625">
        <f t="shared" si="56"/>
        <v>0</v>
      </c>
      <c r="G138" s="625">
        <f t="shared" si="56"/>
        <v>1.0309278350515464E-2</v>
      </c>
      <c r="H138" s="626">
        <f t="shared" si="56"/>
        <v>0</v>
      </c>
      <c r="I138" s="624">
        <f t="shared" si="56"/>
        <v>9.5984329089128309E-2</v>
      </c>
      <c r="J138" s="624">
        <f t="shared" si="56"/>
        <v>0</v>
      </c>
      <c r="K138" s="625">
        <f t="shared" si="56"/>
        <v>0</v>
      </c>
      <c r="L138" s="625">
        <f t="shared" si="56"/>
        <v>0</v>
      </c>
      <c r="M138" s="625">
        <f t="shared" si="56"/>
        <v>0</v>
      </c>
      <c r="N138" s="624">
        <f t="shared" si="59"/>
        <v>0.31578947368421051</v>
      </c>
      <c r="O138" s="624">
        <f t="shared" si="57"/>
        <v>0</v>
      </c>
      <c r="P138" s="626">
        <f t="shared" si="57"/>
        <v>0</v>
      </c>
      <c r="Q138" s="624">
        <f t="shared" si="57"/>
        <v>0</v>
      </c>
      <c r="R138" s="357"/>
      <c r="S138" s="858"/>
      <c r="T138" s="858">
        <v>40</v>
      </c>
      <c r="U138" s="858">
        <v>57</v>
      </c>
      <c r="V138" s="858"/>
      <c r="W138" s="858">
        <v>1</v>
      </c>
      <c r="X138" s="858"/>
      <c r="Y138" s="859">
        <v>98</v>
      </c>
      <c r="Z138" s="859"/>
      <c r="AA138" s="858"/>
      <c r="AB138" s="858"/>
      <c r="AC138" s="858"/>
      <c r="AD138" s="858"/>
      <c r="AE138" s="859">
        <v>6</v>
      </c>
      <c r="AF138" s="859"/>
      <c r="AG138" s="858"/>
      <c r="AH138" s="859"/>
    </row>
    <row r="139" spans="1:34">
      <c r="A139" s="580"/>
      <c r="B139" s="580" t="s">
        <v>131</v>
      </c>
      <c r="C139" s="624">
        <f t="shared" si="58"/>
        <v>0</v>
      </c>
      <c r="D139" s="625">
        <f t="shared" si="56"/>
        <v>2.5252525252525255E-3</v>
      </c>
      <c r="E139" s="625">
        <f t="shared" si="56"/>
        <v>0</v>
      </c>
      <c r="F139" s="625">
        <f t="shared" si="56"/>
        <v>0</v>
      </c>
      <c r="G139" s="625">
        <f t="shared" si="56"/>
        <v>0</v>
      </c>
      <c r="H139" s="626">
        <f t="shared" si="56"/>
        <v>0</v>
      </c>
      <c r="I139" s="624">
        <f t="shared" si="56"/>
        <v>9.7943192948090111E-4</v>
      </c>
      <c r="J139" s="624">
        <f t="shared" si="56"/>
        <v>0</v>
      </c>
      <c r="K139" s="625">
        <f t="shared" si="56"/>
        <v>0</v>
      </c>
      <c r="L139" s="625">
        <f t="shared" si="56"/>
        <v>0</v>
      </c>
      <c r="M139" s="625">
        <f t="shared" si="56"/>
        <v>0</v>
      </c>
      <c r="N139" s="624">
        <f t="shared" si="59"/>
        <v>0</v>
      </c>
      <c r="O139" s="624">
        <f t="shared" si="57"/>
        <v>0</v>
      </c>
      <c r="P139" s="626">
        <f t="shared" si="57"/>
        <v>0</v>
      </c>
      <c r="Q139" s="624">
        <f t="shared" si="57"/>
        <v>0</v>
      </c>
      <c r="R139" s="357"/>
      <c r="S139" s="858"/>
      <c r="T139" s="858">
        <v>1</v>
      </c>
      <c r="U139" s="858"/>
      <c r="V139" s="858"/>
      <c r="W139" s="858"/>
      <c r="X139" s="858"/>
      <c r="Y139" s="859">
        <v>1</v>
      </c>
      <c r="Z139" s="859"/>
      <c r="AA139" s="858"/>
      <c r="AB139" s="858"/>
      <c r="AC139" s="858"/>
      <c r="AD139" s="858"/>
      <c r="AE139" s="859"/>
      <c r="AF139" s="859"/>
      <c r="AG139" s="858"/>
      <c r="AH139" s="859"/>
    </row>
    <row r="140" spans="1:34">
      <c r="A140" s="436"/>
      <c r="B140" s="436" t="s">
        <v>59</v>
      </c>
      <c r="C140" s="577">
        <f t="shared" si="58"/>
        <v>0</v>
      </c>
      <c r="D140" s="578">
        <f t="shared" si="56"/>
        <v>1</v>
      </c>
      <c r="E140" s="578">
        <f t="shared" si="56"/>
        <v>1</v>
      </c>
      <c r="F140" s="578">
        <f t="shared" si="56"/>
        <v>0</v>
      </c>
      <c r="G140" s="578">
        <f t="shared" si="56"/>
        <v>1</v>
      </c>
      <c r="H140" s="579">
        <f t="shared" si="56"/>
        <v>0</v>
      </c>
      <c r="I140" s="577">
        <f t="shared" si="56"/>
        <v>1</v>
      </c>
      <c r="J140" s="577">
        <f t="shared" si="56"/>
        <v>0</v>
      </c>
      <c r="K140" s="578">
        <f t="shared" si="56"/>
        <v>0</v>
      </c>
      <c r="L140" s="578">
        <f t="shared" si="56"/>
        <v>0</v>
      </c>
      <c r="M140" s="578">
        <f t="shared" si="56"/>
        <v>0</v>
      </c>
      <c r="N140" s="577">
        <f t="shared" si="59"/>
        <v>1</v>
      </c>
      <c r="O140" s="577">
        <f t="shared" si="57"/>
        <v>0</v>
      </c>
      <c r="P140" s="579">
        <f t="shared" si="57"/>
        <v>0</v>
      </c>
      <c r="Q140" s="577">
        <f t="shared" si="57"/>
        <v>0</v>
      </c>
      <c r="R140" s="357"/>
      <c r="S140" s="858"/>
      <c r="T140" s="858">
        <v>396</v>
      </c>
      <c r="U140" s="858">
        <v>528</v>
      </c>
      <c r="V140" s="858"/>
      <c r="W140" s="858">
        <v>97</v>
      </c>
      <c r="X140" s="858"/>
      <c r="Y140" s="859">
        <v>1021</v>
      </c>
      <c r="Z140" s="859"/>
      <c r="AA140" s="858"/>
      <c r="AB140" s="858"/>
      <c r="AC140" s="858"/>
      <c r="AD140" s="858"/>
      <c r="AE140" s="859">
        <v>19</v>
      </c>
      <c r="AF140" s="859"/>
      <c r="AG140" s="858"/>
      <c r="AH140" s="859"/>
    </row>
    <row r="141" spans="1:34">
      <c r="A141" s="240" t="s">
        <v>137</v>
      </c>
      <c r="B141" s="240" t="s">
        <v>53</v>
      </c>
      <c r="C141" s="806">
        <f>IF(S$146&gt;0,(S141/S$146),0)</f>
        <v>0.33983781044095285</v>
      </c>
      <c r="D141" s="806">
        <f t="shared" ref="D141:M146" si="60">IF(T$146&gt;0,(T141/T$146),0)</f>
        <v>0.29717514124293787</v>
      </c>
      <c r="E141" s="806">
        <f t="shared" si="60"/>
        <v>0</v>
      </c>
      <c r="F141" s="806">
        <f t="shared" si="60"/>
        <v>0</v>
      </c>
      <c r="G141" s="806">
        <f t="shared" si="60"/>
        <v>0</v>
      </c>
      <c r="H141" s="806">
        <f t="shared" si="60"/>
        <v>0</v>
      </c>
      <c r="I141" s="613">
        <f t="shared" si="60"/>
        <v>0.33202235561995447</v>
      </c>
      <c r="J141" s="613">
        <f t="shared" si="60"/>
        <v>0</v>
      </c>
      <c r="K141" s="614">
        <f t="shared" si="60"/>
        <v>0</v>
      </c>
      <c r="L141" s="614">
        <f t="shared" si="60"/>
        <v>0</v>
      </c>
      <c r="M141" s="614">
        <f t="shared" si="60"/>
        <v>0</v>
      </c>
      <c r="N141" s="613">
        <f>IF(AE$146&gt;0,(AE141/AE$146),0)</f>
        <v>3.4287867370007538E-2</v>
      </c>
      <c r="O141" s="613">
        <f t="shared" ref="O141:Q146" si="61">IF(AF$146&gt;0,(AF141/AF$146),0)</f>
        <v>0</v>
      </c>
      <c r="P141" s="615">
        <f t="shared" si="61"/>
        <v>0</v>
      </c>
      <c r="Q141" s="613">
        <f t="shared" si="61"/>
        <v>0</v>
      </c>
      <c r="R141" s="357"/>
      <c r="S141" s="856">
        <v>1341</v>
      </c>
      <c r="T141" s="856">
        <v>263</v>
      </c>
      <c r="U141" s="856"/>
      <c r="V141" s="856"/>
      <c r="W141" s="856"/>
      <c r="X141" s="856"/>
      <c r="Y141" s="857">
        <v>1604</v>
      </c>
      <c r="Z141" s="857"/>
      <c r="AA141" s="856"/>
      <c r="AB141" s="856"/>
      <c r="AC141" s="856"/>
      <c r="AD141" s="856"/>
      <c r="AE141" s="857">
        <v>91</v>
      </c>
      <c r="AF141" s="857"/>
      <c r="AG141" s="856"/>
      <c r="AH141" s="857"/>
    </row>
    <row r="142" spans="1:34">
      <c r="A142" s="239"/>
      <c r="B142" s="239" t="s">
        <v>93</v>
      </c>
      <c r="C142" s="806">
        <f t="shared" ref="C142:C146" si="62">IF(S$146&gt;0,(S142/S$146),0)</f>
        <v>0.26989356310187534</v>
      </c>
      <c r="D142" s="806">
        <f t="shared" si="60"/>
        <v>0.23163841807909605</v>
      </c>
      <c r="E142" s="806">
        <f t="shared" si="60"/>
        <v>0</v>
      </c>
      <c r="F142" s="806">
        <f t="shared" si="60"/>
        <v>0</v>
      </c>
      <c r="G142" s="806">
        <f t="shared" si="60"/>
        <v>0</v>
      </c>
      <c r="H142" s="806">
        <f t="shared" si="60"/>
        <v>0</v>
      </c>
      <c r="I142" s="624">
        <f t="shared" si="60"/>
        <v>0.26288553094597394</v>
      </c>
      <c r="J142" s="624">
        <f t="shared" si="60"/>
        <v>0</v>
      </c>
      <c r="K142" s="625">
        <f t="shared" si="60"/>
        <v>0</v>
      </c>
      <c r="L142" s="625">
        <f t="shared" si="60"/>
        <v>0</v>
      </c>
      <c r="M142" s="625">
        <f t="shared" si="60"/>
        <v>0</v>
      </c>
      <c r="N142" s="624">
        <f t="shared" ref="N142:N146" si="63">IF(AE$146&gt;0,(AE142/AE$146),0)</f>
        <v>0</v>
      </c>
      <c r="O142" s="624">
        <f t="shared" si="61"/>
        <v>0</v>
      </c>
      <c r="P142" s="626">
        <f t="shared" si="61"/>
        <v>0</v>
      </c>
      <c r="Q142" s="624">
        <f t="shared" si="61"/>
        <v>0</v>
      </c>
      <c r="R142" s="357"/>
      <c r="S142" s="858">
        <v>1065</v>
      </c>
      <c r="T142" s="858">
        <v>205</v>
      </c>
      <c r="U142" s="858"/>
      <c r="V142" s="858"/>
      <c r="W142" s="858"/>
      <c r="X142" s="858"/>
      <c r="Y142" s="859">
        <v>1270</v>
      </c>
      <c r="Z142" s="859"/>
      <c r="AA142" s="858"/>
      <c r="AB142" s="858"/>
      <c r="AC142" s="858"/>
      <c r="AD142" s="858"/>
      <c r="AE142" s="859"/>
      <c r="AF142" s="859"/>
      <c r="AG142" s="858"/>
      <c r="AH142" s="859"/>
    </row>
    <row r="143" spans="1:34">
      <c r="A143" s="239"/>
      <c r="B143" s="239" t="s">
        <v>55</v>
      </c>
      <c r="C143" s="806">
        <f t="shared" si="62"/>
        <v>0.19868220983274201</v>
      </c>
      <c r="D143" s="806">
        <f t="shared" si="60"/>
        <v>0.19774011299435029</v>
      </c>
      <c r="E143" s="806">
        <f t="shared" si="60"/>
        <v>0</v>
      </c>
      <c r="F143" s="806">
        <f t="shared" si="60"/>
        <v>0</v>
      </c>
      <c r="G143" s="806">
        <f t="shared" si="60"/>
        <v>0</v>
      </c>
      <c r="H143" s="806">
        <f t="shared" si="60"/>
        <v>0</v>
      </c>
      <c r="I143" s="624">
        <f t="shared" si="60"/>
        <v>0.19850962533636929</v>
      </c>
      <c r="J143" s="624">
        <f t="shared" si="60"/>
        <v>0</v>
      </c>
      <c r="K143" s="625">
        <f t="shared" si="60"/>
        <v>0</v>
      </c>
      <c r="L143" s="625">
        <f t="shared" si="60"/>
        <v>0</v>
      </c>
      <c r="M143" s="625">
        <f t="shared" si="60"/>
        <v>0</v>
      </c>
      <c r="N143" s="624">
        <f t="shared" si="63"/>
        <v>0</v>
      </c>
      <c r="O143" s="624">
        <f t="shared" si="61"/>
        <v>0</v>
      </c>
      <c r="P143" s="626">
        <f t="shared" si="61"/>
        <v>0</v>
      </c>
      <c r="Q143" s="624">
        <f t="shared" si="61"/>
        <v>0</v>
      </c>
      <c r="R143" s="357"/>
      <c r="S143" s="858">
        <v>784</v>
      </c>
      <c r="T143" s="858">
        <v>175</v>
      </c>
      <c r="U143" s="858"/>
      <c r="V143" s="858"/>
      <c r="W143" s="858"/>
      <c r="X143" s="858"/>
      <c r="Y143" s="859">
        <v>959</v>
      </c>
      <c r="Z143" s="859"/>
      <c r="AA143" s="858"/>
      <c r="AB143" s="858"/>
      <c r="AC143" s="858"/>
      <c r="AD143" s="858"/>
      <c r="AE143" s="859"/>
      <c r="AF143" s="859"/>
      <c r="AG143" s="858"/>
      <c r="AH143" s="859"/>
    </row>
    <row r="144" spans="1:34">
      <c r="A144" s="239"/>
      <c r="B144" s="239" t="s">
        <v>78</v>
      </c>
      <c r="C144" s="806">
        <f t="shared" si="62"/>
        <v>5.3978712620375062E-2</v>
      </c>
      <c r="D144" s="806">
        <f t="shared" si="60"/>
        <v>9.3785310734463279E-2</v>
      </c>
      <c r="E144" s="806">
        <f t="shared" si="60"/>
        <v>0</v>
      </c>
      <c r="F144" s="806">
        <f t="shared" si="60"/>
        <v>0</v>
      </c>
      <c r="G144" s="806">
        <f t="shared" si="60"/>
        <v>0</v>
      </c>
      <c r="H144" s="806">
        <f t="shared" si="60"/>
        <v>0</v>
      </c>
      <c r="I144" s="624">
        <f t="shared" si="60"/>
        <v>6.127095839370731E-2</v>
      </c>
      <c r="J144" s="624">
        <f t="shared" si="60"/>
        <v>0</v>
      </c>
      <c r="K144" s="625">
        <f t="shared" si="60"/>
        <v>0</v>
      </c>
      <c r="L144" s="625">
        <f t="shared" si="60"/>
        <v>0</v>
      </c>
      <c r="M144" s="625">
        <f t="shared" si="60"/>
        <v>0</v>
      </c>
      <c r="N144" s="624">
        <f t="shared" si="63"/>
        <v>0.13828183873398645</v>
      </c>
      <c r="O144" s="624">
        <f t="shared" si="61"/>
        <v>0</v>
      </c>
      <c r="P144" s="626">
        <f t="shared" si="61"/>
        <v>0</v>
      </c>
      <c r="Q144" s="624">
        <f t="shared" si="61"/>
        <v>0</v>
      </c>
      <c r="R144" s="357"/>
      <c r="S144" s="858">
        <v>213</v>
      </c>
      <c r="T144" s="858">
        <v>83</v>
      </c>
      <c r="U144" s="858"/>
      <c r="V144" s="858"/>
      <c r="W144" s="858"/>
      <c r="X144" s="858"/>
      <c r="Y144" s="859">
        <v>296</v>
      </c>
      <c r="Z144" s="859"/>
      <c r="AA144" s="858"/>
      <c r="AB144" s="858"/>
      <c r="AC144" s="858"/>
      <c r="AD144" s="858"/>
      <c r="AE144" s="859">
        <v>367</v>
      </c>
      <c r="AF144" s="859"/>
      <c r="AG144" s="858"/>
      <c r="AH144" s="859"/>
    </row>
    <row r="145" spans="1:34">
      <c r="A145" s="580"/>
      <c r="B145" s="580" t="s">
        <v>131</v>
      </c>
      <c r="C145" s="806">
        <f t="shared" si="62"/>
        <v>0.13760770400405473</v>
      </c>
      <c r="D145" s="806">
        <f t="shared" si="60"/>
        <v>0.17966101694915254</v>
      </c>
      <c r="E145" s="806">
        <f t="shared" si="60"/>
        <v>0</v>
      </c>
      <c r="F145" s="806">
        <f t="shared" si="60"/>
        <v>0</v>
      </c>
      <c r="G145" s="806">
        <f t="shared" si="60"/>
        <v>0</v>
      </c>
      <c r="H145" s="806">
        <f t="shared" si="60"/>
        <v>0</v>
      </c>
      <c r="I145" s="624">
        <f t="shared" si="60"/>
        <v>0.14531152970399502</v>
      </c>
      <c r="J145" s="624">
        <f t="shared" si="60"/>
        <v>0</v>
      </c>
      <c r="K145" s="625">
        <f t="shared" si="60"/>
        <v>0</v>
      </c>
      <c r="L145" s="625">
        <f t="shared" si="60"/>
        <v>0</v>
      </c>
      <c r="M145" s="625">
        <f t="shared" si="60"/>
        <v>0</v>
      </c>
      <c r="N145" s="624">
        <f t="shared" si="63"/>
        <v>0.82743029389600598</v>
      </c>
      <c r="O145" s="624">
        <f t="shared" si="61"/>
        <v>0</v>
      </c>
      <c r="P145" s="626">
        <f t="shared" si="61"/>
        <v>0</v>
      </c>
      <c r="Q145" s="624">
        <f t="shared" si="61"/>
        <v>0</v>
      </c>
      <c r="R145" s="357"/>
      <c r="S145" s="858">
        <v>543</v>
      </c>
      <c r="T145" s="858">
        <v>159</v>
      </c>
      <c r="U145" s="858"/>
      <c r="V145" s="858"/>
      <c r="W145" s="858"/>
      <c r="X145" s="858"/>
      <c r="Y145" s="859">
        <v>702</v>
      </c>
      <c r="Z145" s="859"/>
      <c r="AA145" s="858"/>
      <c r="AB145" s="858"/>
      <c r="AC145" s="858"/>
      <c r="AD145" s="858"/>
      <c r="AE145" s="859">
        <v>2196</v>
      </c>
      <c r="AF145" s="859"/>
      <c r="AG145" s="858"/>
      <c r="AH145" s="859"/>
    </row>
    <row r="146" spans="1:34">
      <c r="A146" s="436"/>
      <c r="B146" s="436" t="s">
        <v>59</v>
      </c>
      <c r="C146" s="807">
        <f t="shared" si="62"/>
        <v>1</v>
      </c>
      <c r="D146" s="808">
        <f t="shared" si="60"/>
        <v>1</v>
      </c>
      <c r="E146" s="808">
        <f t="shared" si="60"/>
        <v>0</v>
      </c>
      <c r="F146" s="808">
        <f t="shared" si="60"/>
        <v>0</v>
      </c>
      <c r="G146" s="808">
        <f t="shared" si="60"/>
        <v>0</v>
      </c>
      <c r="H146" s="809">
        <f t="shared" si="60"/>
        <v>0</v>
      </c>
      <c r="I146" s="577">
        <f t="shared" si="60"/>
        <v>1</v>
      </c>
      <c r="J146" s="577">
        <f t="shared" si="60"/>
        <v>0</v>
      </c>
      <c r="K146" s="578">
        <f t="shared" si="60"/>
        <v>0</v>
      </c>
      <c r="L146" s="578">
        <f t="shared" si="60"/>
        <v>0</v>
      </c>
      <c r="M146" s="578">
        <f t="shared" si="60"/>
        <v>0</v>
      </c>
      <c r="N146" s="577">
        <f t="shared" si="63"/>
        <v>1</v>
      </c>
      <c r="O146" s="577">
        <f t="shared" si="61"/>
        <v>0</v>
      </c>
      <c r="P146" s="579">
        <f t="shared" si="61"/>
        <v>0</v>
      </c>
      <c r="Q146" s="577">
        <f t="shared" si="61"/>
        <v>0</v>
      </c>
      <c r="R146" s="357"/>
      <c r="S146" s="858">
        <v>3946</v>
      </c>
      <c r="T146" s="858">
        <v>885</v>
      </c>
      <c r="U146" s="858"/>
      <c r="V146" s="858"/>
      <c r="W146" s="858"/>
      <c r="X146" s="858"/>
      <c r="Y146" s="859">
        <v>4831</v>
      </c>
      <c r="Z146" s="859"/>
      <c r="AA146" s="858"/>
      <c r="AB146" s="858"/>
      <c r="AC146" s="858"/>
      <c r="AD146" s="858"/>
      <c r="AE146" s="859">
        <v>2654</v>
      </c>
      <c r="AF146" s="859"/>
      <c r="AG146" s="858"/>
      <c r="AH146" s="859"/>
    </row>
    <row r="147" spans="1:34">
      <c r="A147" s="240" t="s">
        <v>138</v>
      </c>
      <c r="B147" s="240" t="s">
        <v>53</v>
      </c>
      <c r="C147" s="806">
        <f>IF(S$152&gt;0,(S147/S$152),0)</f>
        <v>0.54316829459975302</v>
      </c>
      <c r="D147" s="806">
        <f t="shared" ref="D147:M152" si="64">IF(T$152&gt;0,(T147/T$152),0)</f>
        <v>0.44788732394366199</v>
      </c>
      <c r="E147" s="806">
        <f t="shared" si="64"/>
        <v>0.41212182535667308</v>
      </c>
      <c r="F147" s="806">
        <f t="shared" si="64"/>
        <v>0.27325581395348836</v>
      </c>
      <c r="G147" s="806">
        <f t="shared" si="64"/>
        <v>0</v>
      </c>
      <c r="H147" s="806">
        <f t="shared" si="64"/>
        <v>0</v>
      </c>
      <c r="I147" s="613">
        <f t="shared" si="64"/>
        <v>0.46454260197924208</v>
      </c>
      <c r="J147" s="613">
        <f t="shared" si="64"/>
        <v>0</v>
      </c>
      <c r="K147" s="614">
        <f t="shared" si="64"/>
        <v>0</v>
      </c>
      <c r="L147" s="614">
        <f t="shared" si="64"/>
        <v>0</v>
      </c>
      <c r="M147" s="614">
        <f t="shared" si="64"/>
        <v>0</v>
      </c>
      <c r="N147" s="613">
        <f>IF(AE$152&gt;0,(AE147/AE$152),0)</f>
        <v>3.065959562479284E-2</v>
      </c>
      <c r="O147" s="613">
        <f t="shared" ref="O147:Q152" si="65">IF(AF$152&gt;0,(AF147/AF$152),0)</f>
        <v>0</v>
      </c>
      <c r="P147" s="615">
        <f t="shared" si="65"/>
        <v>0</v>
      </c>
      <c r="Q147" s="613">
        <f t="shared" si="65"/>
        <v>0</v>
      </c>
      <c r="R147" s="799"/>
      <c r="S147" s="856">
        <v>4838</v>
      </c>
      <c r="T147" s="856">
        <v>477</v>
      </c>
      <c r="U147" s="856">
        <v>4073</v>
      </c>
      <c r="V147" s="856">
        <v>235</v>
      </c>
      <c r="W147" s="856"/>
      <c r="X147" s="856"/>
      <c r="Y147" s="857">
        <v>9623</v>
      </c>
      <c r="Z147" s="857"/>
      <c r="AA147" s="856"/>
      <c r="AB147" s="856"/>
      <c r="AC147" s="856"/>
      <c r="AD147" s="856"/>
      <c r="AE147" s="857">
        <v>555</v>
      </c>
      <c r="AF147" s="857"/>
      <c r="AG147" s="856"/>
      <c r="AH147" s="857"/>
    </row>
    <row r="148" spans="1:34">
      <c r="A148" s="239"/>
      <c r="B148" s="239" t="s">
        <v>93</v>
      </c>
      <c r="C148" s="806">
        <f t="shared" ref="C148:C152" si="66">IF(S$152&gt;0,(S148/S$152),0)</f>
        <v>0.19658695408105983</v>
      </c>
      <c r="D148" s="806">
        <f t="shared" si="64"/>
        <v>0.27417840375586855</v>
      </c>
      <c r="E148" s="806">
        <f t="shared" si="64"/>
        <v>0.23505008600627339</v>
      </c>
      <c r="F148" s="806">
        <f t="shared" si="64"/>
        <v>0.19418604651162791</v>
      </c>
      <c r="G148" s="806">
        <f t="shared" si="64"/>
        <v>0</v>
      </c>
      <c r="H148" s="806">
        <f t="shared" si="64"/>
        <v>0</v>
      </c>
      <c r="I148" s="624">
        <f t="shared" si="64"/>
        <v>0.21882693700217234</v>
      </c>
      <c r="J148" s="624">
        <f t="shared" si="64"/>
        <v>0</v>
      </c>
      <c r="K148" s="625">
        <f t="shared" si="64"/>
        <v>0</v>
      </c>
      <c r="L148" s="625">
        <f t="shared" si="64"/>
        <v>0</v>
      </c>
      <c r="M148" s="625">
        <f t="shared" si="64"/>
        <v>0</v>
      </c>
      <c r="N148" s="624">
        <f t="shared" ref="N148:N152" si="67">IF(AE$152&gt;0,(AE148/AE$152),0)</f>
        <v>6.0766766103193016E-3</v>
      </c>
      <c r="O148" s="624">
        <f t="shared" si="65"/>
        <v>0</v>
      </c>
      <c r="P148" s="626">
        <f t="shared" si="65"/>
        <v>0</v>
      </c>
      <c r="Q148" s="624">
        <f t="shared" si="65"/>
        <v>0</v>
      </c>
      <c r="R148" s="357"/>
      <c r="S148" s="858">
        <v>1751</v>
      </c>
      <c r="T148" s="858">
        <v>292</v>
      </c>
      <c r="U148" s="858">
        <v>2323</v>
      </c>
      <c r="V148" s="858">
        <v>167</v>
      </c>
      <c r="W148" s="858"/>
      <c r="X148" s="858"/>
      <c r="Y148" s="859">
        <v>4533</v>
      </c>
      <c r="Z148" s="859"/>
      <c r="AA148" s="858"/>
      <c r="AB148" s="858"/>
      <c r="AC148" s="858"/>
      <c r="AD148" s="858"/>
      <c r="AE148" s="859">
        <v>110</v>
      </c>
      <c r="AF148" s="859"/>
      <c r="AG148" s="858"/>
      <c r="AH148" s="859"/>
    </row>
    <row r="149" spans="1:34">
      <c r="A149" s="239"/>
      <c r="B149" s="239" t="s">
        <v>55</v>
      </c>
      <c r="C149" s="806">
        <f t="shared" si="66"/>
        <v>0.15470977882564274</v>
      </c>
      <c r="D149" s="806">
        <f t="shared" si="64"/>
        <v>0.14178403755868543</v>
      </c>
      <c r="E149" s="806">
        <f t="shared" si="64"/>
        <v>0.18122027724375189</v>
      </c>
      <c r="F149" s="806">
        <f t="shared" si="64"/>
        <v>0.20465116279069767</v>
      </c>
      <c r="G149" s="806">
        <f t="shared" si="64"/>
        <v>0</v>
      </c>
      <c r="H149" s="806">
        <f t="shared" si="64"/>
        <v>0</v>
      </c>
      <c r="I149" s="624">
        <f t="shared" si="64"/>
        <v>0.16876659425537049</v>
      </c>
      <c r="J149" s="624">
        <f t="shared" si="64"/>
        <v>0</v>
      </c>
      <c r="K149" s="625">
        <f t="shared" si="64"/>
        <v>0</v>
      </c>
      <c r="L149" s="625">
        <f t="shared" si="64"/>
        <v>0</v>
      </c>
      <c r="M149" s="625">
        <f t="shared" si="64"/>
        <v>0</v>
      </c>
      <c r="N149" s="624">
        <f t="shared" si="67"/>
        <v>4.3641586565020436E-3</v>
      </c>
      <c r="O149" s="624">
        <f t="shared" si="65"/>
        <v>0</v>
      </c>
      <c r="P149" s="626">
        <f t="shared" si="65"/>
        <v>0</v>
      </c>
      <c r="Q149" s="624">
        <f t="shared" si="65"/>
        <v>0</v>
      </c>
      <c r="R149" s="357"/>
      <c r="S149" s="858">
        <v>1378</v>
      </c>
      <c r="T149" s="858">
        <v>151</v>
      </c>
      <c r="U149" s="858">
        <v>1791</v>
      </c>
      <c r="V149" s="858">
        <v>176</v>
      </c>
      <c r="W149" s="858"/>
      <c r="X149" s="858"/>
      <c r="Y149" s="859">
        <v>3496</v>
      </c>
      <c r="Z149" s="859"/>
      <c r="AA149" s="858"/>
      <c r="AB149" s="858"/>
      <c r="AC149" s="858"/>
      <c r="AD149" s="858"/>
      <c r="AE149" s="859">
        <v>79</v>
      </c>
      <c r="AF149" s="859"/>
      <c r="AG149" s="858"/>
      <c r="AH149" s="859"/>
    </row>
    <row r="150" spans="1:34">
      <c r="A150" s="239"/>
      <c r="B150" s="239" t="s">
        <v>78</v>
      </c>
      <c r="C150" s="806">
        <f t="shared" si="66"/>
        <v>6.7362748400134724E-4</v>
      </c>
      <c r="D150" s="806">
        <f t="shared" si="64"/>
        <v>9.3896713615023472E-4</v>
      </c>
      <c r="E150" s="806">
        <f t="shared" si="64"/>
        <v>0</v>
      </c>
      <c r="F150" s="806">
        <f t="shared" si="64"/>
        <v>0</v>
      </c>
      <c r="G150" s="806">
        <f t="shared" si="64"/>
        <v>0</v>
      </c>
      <c r="H150" s="806">
        <f t="shared" si="64"/>
        <v>0</v>
      </c>
      <c r="I150" s="624">
        <f t="shared" si="64"/>
        <v>3.3791938209027273E-4</v>
      </c>
      <c r="J150" s="624">
        <f t="shared" si="64"/>
        <v>0</v>
      </c>
      <c r="K150" s="625">
        <f t="shared" si="64"/>
        <v>0</v>
      </c>
      <c r="L150" s="625">
        <f t="shared" si="64"/>
        <v>0</v>
      </c>
      <c r="M150" s="625">
        <f t="shared" si="64"/>
        <v>0</v>
      </c>
      <c r="N150" s="624">
        <f t="shared" si="67"/>
        <v>0.94823776378300739</v>
      </c>
      <c r="O150" s="624">
        <f t="shared" si="65"/>
        <v>0</v>
      </c>
      <c r="P150" s="626">
        <f t="shared" si="65"/>
        <v>0</v>
      </c>
      <c r="Q150" s="624">
        <f t="shared" si="65"/>
        <v>0</v>
      </c>
      <c r="R150" s="357"/>
      <c r="S150" s="858">
        <v>6</v>
      </c>
      <c r="T150" s="858">
        <v>1</v>
      </c>
      <c r="U150" s="858"/>
      <c r="V150" s="858"/>
      <c r="W150" s="858"/>
      <c r="X150" s="858"/>
      <c r="Y150" s="859">
        <v>7</v>
      </c>
      <c r="Z150" s="859"/>
      <c r="AA150" s="858"/>
      <c r="AB150" s="858"/>
      <c r="AC150" s="858"/>
      <c r="AD150" s="858"/>
      <c r="AE150" s="859">
        <v>17165</v>
      </c>
      <c r="AF150" s="859"/>
      <c r="AG150" s="858"/>
      <c r="AH150" s="859"/>
    </row>
    <row r="151" spans="1:34">
      <c r="A151" s="580"/>
      <c r="B151" s="580" t="s">
        <v>131</v>
      </c>
      <c r="C151" s="806">
        <f t="shared" si="66"/>
        <v>0.10486134500954306</v>
      </c>
      <c r="D151" s="806">
        <f t="shared" si="64"/>
        <v>0.13521126760563379</v>
      </c>
      <c r="E151" s="806">
        <f t="shared" si="64"/>
        <v>0.17160781139330164</v>
      </c>
      <c r="F151" s="806">
        <f t="shared" si="64"/>
        <v>0.32790697674418606</v>
      </c>
      <c r="G151" s="806">
        <f t="shared" si="64"/>
        <v>0</v>
      </c>
      <c r="H151" s="806">
        <f t="shared" si="64"/>
        <v>0</v>
      </c>
      <c r="I151" s="624">
        <f t="shared" si="64"/>
        <v>0.14752594738112479</v>
      </c>
      <c r="J151" s="624">
        <f t="shared" si="64"/>
        <v>0</v>
      </c>
      <c r="K151" s="625">
        <f t="shared" si="64"/>
        <v>0</v>
      </c>
      <c r="L151" s="625">
        <f t="shared" si="64"/>
        <v>0</v>
      </c>
      <c r="M151" s="625">
        <f t="shared" si="64"/>
        <v>0</v>
      </c>
      <c r="N151" s="624">
        <f t="shared" si="67"/>
        <v>1.0661805325378412E-2</v>
      </c>
      <c r="O151" s="624">
        <f t="shared" si="65"/>
        <v>0</v>
      </c>
      <c r="P151" s="626">
        <f t="shared" si="65"/>
        <v>0</v>
      </c>
      <c r="Q151" s="624">
        <f t="shared" si="65"/>
        <v>0</v>
      </c>
      <c r="R151" s="357"/>
      <c r="S151" s="858">
        <v>934</v>
      </c>
      <c r="T151" s="858">
        <v>144</v>
      </c>
      <c r="U151" s="858">
        <v>1696</v>
      </c>
      <c r="V151" s="858">
        <v>282</v>
      </c>
      <c r="W151" s="858"/>
      <c r="X151" s="858"/>
      <c r="Y151" s="859">
        <v>3056</v>
      </c>
      <c r="Z151" s="859"/>
      <c r="AA151" s="858"/>
      <c r="AB151" s="858"/>
      <c r="AC151" s="858"/>
      <c r="AD151" s="858"/>
      <c r="AE151" s="859">
        <v>193</v>
      </c>
      <c r="AF151" s="859"/>
      <c r="AG151" s="858"/>
      <c r="AH151" s="859"/>
    </row>
    <row r="152" spans="1:34">
      <c r="A152" s="436"/>
      <c r="B152" s="436" t="s">
        <v>59</v>
      </c>
      <c r="C152" s="807">
        <f t="shared" si="66"/>
        <v>1</v>
      </c>
      <c r="D152" s="808">
        <f t="shared" si="64"/>
        <v>1</v>
      </c>
      <c r="E152" s="808">
        <f t="shared" si="64"/>
        <v>1</v>
      </c>
      <c r="F152" s="808">
        <f t="shared" si="64"/>
        <v>1</v>
      </c>
      <c r="G152" s="808">
        <f t="shared" si="64"/>
        <v>0</v>
      </c>
      <c r="H152" s="809">
        <f t="shared" si="64"/>
        <v>0</v>
      </c>
      <c r="I152" s="577">
        <f t="shared" si="64"/>
        <v>1</v>
      </c>
      <c r="J152" s="577">
        <f t="shared" si="64"/>
        <v>0</v>
      </c>
      <c r="K152" s="578">
        <f t="shared" si="64"/>
        <v>0</v>
      </c>
      <c r="L152" s="578">
        <f t="shared" si="64"/>
        <v>0</v>
      </c>
      <c r="M152" s="578">
        <f t="shared" si="64"/>
        <v>0</v>
      </c>
      <c r="N152" s="577">
        <f t="shared" si="67"/>
        <v>1</v>
      </c>
      <c r="O152" s="577">
        <f t="shared" si="65"/>
        <v>0</v>
      </c>
      <c r="P152" s="579">
        <f t="shared" si="65"/>
        <v>0</v>
      </c>
      <c r="Q152" s="577">
        <f t="shared" si="65"/>
        <v>0</v>
      </c>
      <c r="R152" s="357"/>
      <c r="S152" s="858">
        <v>8907</v>
      </c>
      <c r="T152" s="858">
        <v>1065</v>
      </c>
      <c r="U152" s="858">
        <v>9883</v>
      </c>
      <c r="V152" s="858">
        <v>860</v>
      </c>
      <c r="W152" s="858"/>
      <c r="X152" s="858"/>
      <c r="Y152" s="859">
        <v>20715</v>
      </c>
      <c r="Z152" s="859"/>
      <c r="AA152" s="858"/>
      <c r="AB152" s="858"/>
      <c r="AC152" s="858"/>
      <c r="AD152" s="858"/>
      <c r="AE152" s="859">
        <v>18102</v>
      </c>
      <c r="AF152" s="859"/>
      <c r="AG152" s="858"/>
      <c r="AH152" s="859"/>
    </row>
    <row r="153" spans="1:34">
      <c r="A153" s="240" t="s">
        <v>139</v>
      </c>
      <c r="B153" s="240" t="s">
        <v>53</v>
      </c>
      <c r="C153" s="806">
        <f>IF(S$158&gt;0,(S153/S$158),0)</f>
        <v>0.31054759279676591</v>
      </c>
      <c r="D153" s="806">
        <f t="shared" ref="D153:M158" si="68">IF(T$158&gt;0,(T153/T$158),0)</f>
        <v>0.24903920061491161</v>
      </c>
      <c r="E153" s="806">
        <f t="shared" si="68"/>
        <v>0.20050125313283207</v>
      </c>
      <c r="F153" s="806">
        <f t="shared" si="68"/>
        <v>0.23404255319148937</v>
      </c>
      <c r="G153" s="806">
        <f t="shared" si="68"/>
        <v>0.29310344827586204</v>
      </c>
      <c r="H153" s="806">
        <f t="shared" si="68"/>
        <v>0.27361963190184047</v>
      </c>
      <c r="I153" s="613">
        <f t="shared" si="68"/>
        <v>0.28031878031878033</v>
      </c>
      <c r="J153" s="613">
        <f t="shared" si="68"/>
        <v>0</v>
      </c>
      <c r="K153" s="614">
        <f t="shared" si="68"/>
        <v>0</v>
      </c>
      <c r="L153" s="614">
        <f t="shared" si="68"/>
        <v>0</v>
      </c>
      <c r="M153" s="614">
        <f t="shared" si="68"/>
        <v>0</v>
      </c>
      <c r="N153" s="613">
        <f>IF(AE$158&gt;0,(AE153/AE$158),0)</f>
        <v>0.3744394618834081</v>
      </c>
      <c r="O153" s="613">
        <f t="shared" ref="O153:Q158" si="69">IF(AF$158&gt;0,(AF153/AF$158),0)</f>
        <v>0</v>
      </c>
      <c r="P153" s="615">
        <f t="shared" si="69"/>
        <v>0</v>
      </c>
      <c r="Q153" s="613">
        <f t="shared" si="69"/>
        <v>0</v>
      </c>
      <c r="R153" s="799"/>
      <c r="S153" s="856">
        <v>845</v>
      </c>
      <c r="T153" s="856">
        <v>324</v>
      </c>
      <c r="U153" s="856">
        <v>80</v>
      </c>
      <c r="V153" s="856">
        <v>44</v>
      </c>
      <c r="W153" s="856">
        <v>102</v>
      </c>
      <c r="X153" s="856">
        <v>223</v>
      </c>
      <c r="Y153" s="857">
        <v>1618</v>
      </c>
      <c r="Z153" s="857"/>
      <c r="AA153" s="856"/>
      <c r="AB153" s="856"/>
      <c r="AC153" s="856"/>
      <c r="AD153" s="856"/>
      <c r="AE153" s="857">
        <v>501</v>
      </c>
      <c r="AF153" s="857"/>
      <c r="AG153" s="856"/>
      <c r="AH153" s="857"/>
    </row>
    <row r="154" spans="1:34">
      <c r="A154" s="239"/>
      <c r="B154" s="239" t="s">
        <v>93</v>
      </c>
      <c r="C154" s="806">
        <f t="shared" ref="C154:C158" si="70">IF(S$158&gt;0,(S154/S$158),0)</f>
        <v>0.26019845644983464</v>
      </c>
      <c r="D154" s="806">
        <f t="shared" si="68"/>
        <v>0.25365103766333591</v>
      </c>
      <c r="E154" s="806">
        <f t="shared" si="68"/>
        <v>0.18546365914786966</v>
      </c>
      <c r="F154" s="806">
        <f t="shared" si="68"/>
        <v>0.25</v>
      </c>
      <c r="G154" s="806">
        <f t="shared" si="68"/>
        <v>0.16666666666666666</v>
      </c>
      <c r="H154" s="806">
        <f t="shared" si="68"/>
        <v>0.21840490797546011</v>
      </c>
      <c r="I154" s="624">
        <f t="shared" si="68"/>
        <v>0.24168399168399168</v>
      </c>
      <c r="J154" s="624">
        <f t="shared" si="68"/>
        <v>0</v>
      </c>
      <c r="K154" s="625">
        <f t="shared" si="68"/>
        <v>0</v>
      </c>
      <c r="L154" s="625">
        <f t="shared" si="68"/>
        <v>0</v>
      </c>
      <c r="M154" s="625">
        <f t="shared" si="68"/>
        <v>0</v>
      </c>
      <c r="N154" s="624">
        <f t="shared" ref="N154:N158" si="71">IF(AE$158&gt;0,(AE154/AE$158),0)</f>
        <v>7.2496263079222717E-2</v>
      </c>
      <c r="O154" s="624">
        <f t="shared" si="69"/>
        <v>0</v>
      </c>
      <c r="P154" s="626">
        <f t="shared" si="69"/>
        <v>0</v>
      </c>
      <c r="Q154" s="624">
        <f t="shared" si="69"/>
        <v>0</v>
      </c>
      <c r="R154" s="357"/>
      <c r="S154" s="858">
        <v>708</v>
      </c>
      <c r="T154" s="858">
        <v>330</v>
      </c>
      <c r="U154" s="858">
        <v>74</v>
      </c>
      <c r="V154" s="858">
        <v>47</v>
      </c>
      <c r="W154" s="858">
        <v>58</v>
      </c>
      <c r="X154" s="858">
        <v>178</v>
      </c>
      <c r="Y154" s="859">
        <v>1395</v>
      </c>
      <c r="Z154" s="859"/>
      <c r="AA154" s="858"/>
      <c r="AB154" s="858"/>
      <c r="AC154" s="858"/>
      <c r="AD154" s="858"/>
      <c r="AE154" s="859">
        <v>97</v>
      </c>
      <c r="AF154" s="859"/>
      <c r="AG154" s="858"/>
      <c r="AH154" s="859"/>
    </row>
    <row r="155" spans="1:34">
      <c r="A155" s="239"/>
      <c r="B155" s="239" t="s">
        <v>55</v>
      </c>
      <c r="C155" s="806">
        <f t="shared" si="70"/>
        <v>0.21389195148842338</v>
      </c>
      <c r="D155" s="806">
        <f t="shared" si="68"/>
        <v>0.26748654880860878</v>
      </c>
      <c r="E155" s="806">
        <f t="shared" si="68"/>
        <v>0.20551378446115287</v>
      </c>
      <c r="F155" s="806">
        <f t="shared" si="68"/>
        <v>0.31382978723404253</v>
      </c>
      <c r="G155" s="806">
        <f t="shared" si="68"/>
        <v>0.2988505747126437</v>
      </c>
      <c r="H155" s="806">
        <f t="shared" si="68"/>
        <v>0.32147239263803679</v>
      </c>
      <c r="I155" s="624">
        <f t="shared" si="68"/>
        <v>0.24896049896049896</v>
      </c>
      <c r="J155" s="624">
        <f t="shared" si="68"/>
        <v>0</v>
      </c>
      <c r="K155" s="625">
        <f t="shared" si="68"/>
        <v>0</v>
      </c>
      <c r="L155" s="625">
        <f t="shared" si="68"/>
        <v>0</v>
      </c>
      <c r="M155" s="625">
        <f t="shared" si="68"/>
        <v>0</v>
      </c>
      <c r="N155" s="624">
        <f t="shared" si="71"/>
        <v>3.0642750373692077E-2</v>
      </c>
      <c r="O155" s="624">
        <f t="shared" si="69"/>
        <v>0</v>
      </c>
      <c r="P155" s="626">
        <f t="shared" si="69"/>
        <v>0</v>
      </c>
      <c r="Q155" s="624">
        <f t="shared" si="69"/>
        <v>0</v>
      </c>
      <c r="R155" s="357"/>
      <c r="S155" s="858">
        <v>582</v>
      </c>
      <c r="T155" s="858">
        <v>348</v>
      </c>
      <c r="U155" s="858">
        <v>82</v>
      </c>
      <c r="V155" s="858">
        <v>59</v>
      </c>
      <c r="W155" s="858">
        <v>104</v>
      </c>
      <c r="X155" s="858">
        <v>262</v>
      </c>
      <c r="Y155" s="859">
        <v>1437</v>
      </c>
      <c r="Z155" s="859"/>
      <c r="AA155" s="858"/>
      <c r="AB155" s="858"/>
      <c r="AC155" s="858"/>
      <c r="AD155" s="858"/>
      <c r="AE155" s="859">
        <v>41</v>
      </c>
      <c r="AF155" s="859"/>
      <c r="AG155" s="858"/>
      <c r="AH155" s="859"/>
    </row>
    <row r="156" spans="1:34">
      <c r="A156" s="239"/>
      <c r="B156" s="239" t="s">
        <v>78</v>
      </c>
      <c r="C156" s="806">
        <f t="shared" si="70"/>
        <v>0.17346563763322309</v>
      </c>
      <c r="D156" s="806">
        <f t="shared" si="68"/>
        <v>0.20522674865488086</v>
      </c>
      <c r="E156" s="806">
        <f t="shared" si="68"/>
        <v>0.40852130325814534</v>
      </c>
      <c r="F156" s="806">
        <f t="shared" si="68"/>
        <v>1.0638297872340425E-2</v>
      </c>
      <c r="G156" s="806">
        <f t="shared" si="68"/>
        <v>0.20114942528735633</v>
      </c>
      <c r="H156" s="806">
        <f t="shared" si="68"/>
        <v>5.5214723926380369E-2</v>
      </c>
      <c r="I156" s="624">
        <f t="shared" si="68"/>
        <v>0.17654192654192655</v>
      </c>
      <c r="J156" s="624">
        <f t="shared" si="68"/>
        <v>0</v>
      </c>
      <c r="K156" s="625">
        <f t="shared" si="68"/>
        <v>0</v>
      </c>
      <c r="L156" s="625">
        <f t="shared" si="68"/>
        <v>0</v>
      </c>
      <c r="M156" s="625">
        <f t="shared" si="68"/>
        <v>0</v>
      </c>
      <c r="N156" s="624">
        <f t="shared" si="71"/>
        <v>0.17937219730941703</v>
      </c>
      <c r="O156" s="624">
        <f t="shared" si="69"/>
        <v>0</v>
      </c>
      <c r="P156" s="626">
        <f t="shared" si="69"/>
        <v>0</v>
      </c>
      <c r="Q156" s="624">
        <f t="shared" si="69"/>
        <v>0</v>
      </c>
      <c r="R156" s="357"/>
      <c r="S156" s="858">
        <v>472</v>
      </c>
      <c r="T156" s="858">
        <v>267</v>
      </c>
      <c r="U156" s="858">
        <v>163</v>
      </c>
      <c r="V156" s="858">
        <v>2</v>
      </c>
      <c r="W156" s="858">
        <v>70</v>
      </c>
      <c r="X156" s="858">
        <v>45</v>
      </c>
      <c r="Y156" s="859">
        <v>1019</v>
      </c>
      <c r="Z156" s="859"/>
      <c r="AA156" s="858"/>
      <c r="AB156" s="858"/>
      <c r="AC156" s="858"/>
      <c r="AD156" s="858"/>
      <c r="AE156" s="859">
        <v>240</v>
      </c>
      <c r="AF156" s="859"/>
      <c r="AG156" s="858"/>
      <c r="AH156" s="859"/>
    </row>
    <row r="157" spans="1:34">
      <c r="A157" s="580"/>
      <c r="B157" s="580" t="s">
        <v>131</v>
      </c>
      <c r="C157" s="806">
        <f t="shared" si="70"/>
        <v>4.1896361631753032E-2</v>
      </c>
      <c r="D157" s="806">
        <f t="shared" si="68"/>
        <v>2.4596464258262875E-2</v>
      </c>
      <c r="E157" s="806">
        <f t="shared" si="68"/>
        <v>0</v>
      </c>
      <c r="F157" s="806">
        <f t="shared" si="68"/>
        <v>0.19148936170212766</v>
      </c>
      <c r="G157" s="806">
        <f t="shared" si="68"/>
        <v>4.0229885057471264E-2</v>
      </c>
      <c r="H157" s="806">
        <f t="shared" si="68"/>
        <v>0.1312883435582822</v>
      </c>
      <c r="I157" s="624">
        <f t="shared" si="68"/>
        <v>5.2494802494802498E-2</v>
      </c>
      <c r="J157" s="624">
        <f t="shared" si="68"/>
        <v>0</v>
      </c>
      <c r="K157" s="625">
        <f t="shared" si="68"/>
        <v>0</v>
      </c>
      <c r="L157" s="625">
        <f t="shared" si="68"/>
        <v>0</v>
      </c>
      <c r="M157" s="625">
        <f t="shared" si="68"/>
        <v>0</v>
      </c>
      <c r="N157" s="624">
        <f t="shared" si="71"/>
        <v>0.34304932735426008</v>
      </c>
      <c r="O157" s="624">
        <f t="shared" si="69"/>
        <v>0</v>
      </c>
      <c r="P157" s="626">
        <f t="shared" si="69"/>
        <v>0</v>
      </c>
      <c r="Q157" s="624">
        <f t="shared" si="69"/>
        <v>0</v>
      </c>
      <c r="R157" s="357"/>
      <c r="S157" s="858">
        <v>114</v>
      </c>
      <c r="T157" s="858">
        <v>32</v>
      </c>
      <c r="U157" s="858"/>
      <c r="V157" s="858">
        <v>36</v>
      </c>
      <c r="W157" s="858">
        <v>14</v>
      </c>
      <c r="X157" s="858">
        <v>107</v>
      </c>
      <c r="Y157" s="859">
        <v>303</v>
      </c>
      <c r="Z157" s="859"/>
      <c r="AA157" s="858"/>
      <c r="AB157" s="858"/>
      <c r="AC157" s="858"/>
      <c r="AD157" s="858"/>
      <c r="AE157" s="859">
        <v>459</v>
      </c>
      <c r="AF157" s="859"/>
      <c r="AG157" s="858"/>
      <c r="AH157" s="859"/>
    </row>
    <row r="158" spans="1:34">
      <c r="A158" s="436"/>
      <c r="B158" s="436" t="s">
        <v>59</v>
      </c>
      <c r="C158" s="807">
        <f t="shared" si="70"/>
        <v>1</v>
      </c>
      <c r="D158" s="808">
        <f t="shared" si="68"/>
        <v>1</v>
      </c>
      <c r="E158" s="808">
        <f t="shared" si="68"/>
        <v>1</v>
      </c>
      <c r="F158" s="808">
        <f t="shared" si="68"/>
        <v>1</v>
      </c>
      <c r="G158" s="808">
        <f t="shared" si="68"/>
        <v>1</v>
      </c>
      <c r="H158" s="809">
        <f t="shared" si="68"/>
        <v>1</v>
      </c>
      <c r="I158" s="577">
        <f t="shared" si="68"/>
        <v>1</v>
      </c>
      <c r="J158" s="577">
        <f t="shared" si="68"/>
        <v>0</v>
      </c>
      <c r="K158" s="578">
        <f t="shared" si="68"/>
        <v>0</v>
      </c>
      <c r="L158" s="578">
        <f t="shared" si="68"/>
        <v>0</v>
      </c>
      <c r="M158" s="578">
        <f t="shared" si="68"/>
        <v>0</v>
      </c>
      <c r="N158" s="577">
        <f t="shared" si="71"/>
        <v>1</v>
      </c>
      <c r="O158" s="577">
        <f t="shared" si="69"/>
        <v>0</v>
      </c>
      <c r="P158" s="579">
        <f t="shared" si="69"/>
        <v>0</v>
      </c>
      <c r="Q158" s="577">
        <f t="shared" si="69"/>
        <v>0</v>
      </c>
      <c r="R158" s="357"/>
      <c r="S158" s="858">
        <v>2721</v>
      </c>
      <c r="T158" s="858">
        <v>1301</v>
      </c>
      <c r="U158" s="858">
        <v>399</v>
      </c>
      <c r="V158" s="858">
        <v>188</v>
      </c>
      <c r="W158" s="858">
        <v>348</v>
      </c>
      <c r="X158" s="858">
        <v>815</v>
      </c>
      <c r="Y158" s="859">
        <v>5772</v>
      </c>
      <c r="Z158" s="859"/>
      <c r="AA158" s="858"/>
      <c r="AB158" s="858"/>
      <c r="AC158" s="858"/>
      <c r="AD158" s="858"/>
      <c r="AE158" s="859">
        <v>1338</v>
      </c>
      <c r="AF158" s="859"/>
      <c r="AG158" s="858"/>
      <c r="AH158" s="859"/>
    </row>
    <row r="159" spans="1:34">
      <c r="A159" s="240" t="s">
        <v>141</v>
      </c>
      <c r="B159" s="240" t="s">
        <v>53</v>
      </c>
      <c r="C159" s="806">
        <f>IF(S$164&gt;0,(S159/S$164),0)</f>
        <v>0.37970253718285213</v>
      </c>
      <c r="D159" s="806">
        <f t="shared" ref="D159:M164" si="72">IF(T$164&gt;0,(T159/T$164),0)</f>
        <v>0</v>
      </c>
      <c r="E159" s="806">
        <f t="shared" si="72"/>
        <v>0</v>
      </c>
      <c r="F159" s="806">
        <f t="shared" si="72"/>
        <v>0.23853211009174313</v>
      </c>
      <c r="G159" s="806">
        <f t="shared" si="72"/>
        <v>0</v>
      </c>
      <c r="H159" s="806">
        <f t="shared" si="72"/>
        <v>0.30769230769230771</v>
      </c>
      <c r="I159" s="613">
        <f t="shared" si="72"/>
        <v>0.35527246992215145</v>
      </c>
      <c r="J159" s="613">
        <f t="shared" si="72"/>
        <v>0</v>
      </c>
      <c r="K159" s="614">
        <f t="shared" si="72"/>
        <v>0</v>
      </c>
      <c r="L159" s="614">
        <f t="shared" si="72"/>
        <v>0</v>
      </c>
      <c r="M159" s="614">
        <f t="shared" si="72"/>
        <v>0</v>
      </c>
      <c r="N159" s="613">
        <f>IF(AE$164&gt;0,(AE159/AE$164),0)</f>
        <v>0.24505928853754941</v>
      </c>
      <c r="O159" s="613">
        <f t="shared" ref="O159:Q164" si="73">IF(AF$164&gt;0,(AF159/AF$164),0)</f>
        <v>0</v>
      </c>
      <c r="P159" s="615">
        <f t="shared" si="73"/>
        <v>0</v>
      </c>
      <c r="Q159" s="613">
        <f t="shared" si="73"/>
        <v>0</v>
      </c>
      <c r="R159" s="799"/>
      <c r="S159" s="856">
        <v>434</v>
      </c>
      <c r="T159" s="856"/>
      <c r="U159" s="856"/>
      <c r="V159" s="856">
        <v>52</v>
      </c>
      <c r="W159" s="856"/>
      <c r="X159" s="856">
        <v>16</v>
      </c>
      <c r="Y159" s="857">
        <v>502</v>
      </c>
      <c r="Z159" s="857"/>
      <c r="AA159" s="856"/>
      <c r="AB159" s="856"/>
      <c r="AC159" s="856"/>
      <c r="AD159" s="856"/>
      <c r="AE159" s="857">
        <v>186</v>
      </c>
      <c r="AF159" s="857"/>
      <c r="AG159" s="856"/>
      <c r="AH159" s="857"/>
    </row>
    <row r="160" spans="1:34">
      <c r="A160" s="239"/>
      <c r="B160" s="239" t="s">
        <v>93</v>
      </c>
      <c r="C160" s="806">
        <f t="shared" ref="C160:C164" si="74">IF(S$164&gt;0,(S160/S$164),0)</f>
        <v>0.26071741032370954</v>
      </c>
      <c r="D160" s="806">
        <f t="shared" si="72"/>
        <v>0</v>
      </c>
      <c r="E160" s="806">
        <f t="shared" si="72"/>
        <v>0</v>
      </c>
      <c r="F160" s="806">
        <f t="shared" si="72"/>
        <v>0.31192660550458717</v>
      </c>
      <c r="G160" s="806">
        <f t="shared" si="72"/>
        <v>0</v>
      </c>
      <c r="H160" s="806">
        <f t="shared" si="72"/>
        <v>0.30769230769230771</v>
      </c>
      <c r="I160" s="624">
        <f t="shared" si="72"/>
        <v>0.27034677990092004</v>
      </c>
      <c r="J160" s="624">
        <f t="shared" si="72"/>
        <v>0</v>
      </c>
      <c r="K160" s="625">
        <f t="shared" si="72"/>
        <v>0</v>
      </c>
      <c r="L160" s="625">
        <f t="shared" si="72"/>
        <v>0</v>
      </c>
      <c r="M160" s="625">
        <f t="shared" si="72"/>
        <v>0</v>
      </c>
      <c r="N160" s="624">
        <f t="shared" ref="N160:N164" si="75">IF(AE$164&gt;0,(AE160/AE$164),0)</f>
        <v>0.14361001317523056</v>
      </c>
      <c r="O160" s="624">
        <f t="shared" si="73"/>
        <v>0</v>
      </c>
      <c r="P160" s="626">
        <f t="shared" si="73"/>
        <v>0</v>
      </c>
      <c r="Q160" s="624">
        <f t="shared" si="73"/>
        <v>0</v>
      </c>
      <c r="R160" s="357"/>
      <c r="S160" s="858">
        <v>298</v>
      </c>
      <c r="T160" s="858"/>
      <c r="U160" s="858"/>
      <c r="V160" s="858">
        <v>68</v>
      </c>
      <c r="W160" s="858"/>
      <c r="X160" s="858">
        <v>16</v>
      </c>
      <c r="Y160" s="859">
        <v>382</v>
      </c>
      <c r="Z160" s="859"/>
      <c r="AA160" s="858"/>
      <c r="AB160" s="858"/>
      <c r="AC160" s="858"/>
      <c r="AD160" s="858"/>
      <c r="AE160" s="859">
        <v>109</v>
      </c>
      <c r="AF160" s="859"/>
      <c r="AG160" s="858"/>
      <c r="AH160" s="859"/>
    </row>
    <row r="161" spans="1:34">
      <c r="A161" s="239"/>
      <c r="B161" s="239" t="s">
        <v>55</v>
      </c>
      <c r="C161" s="806">
        <f t="shared" si="74"/>
        <v>0.24496937882764655</v>
      </c>
      <c r="D161" s="806">
        <f t="shared" si="72"/>
        <v>0</v>
      </c>
      <c r="E161" s="806">
        <f t="shared" si="72"/>
        <v>0</v>
      </c>
      <c r="F161" s="806">
        <f t="shared" si="72"/>
        <v>0.3256880733944954</v>
      </c>
      <c r="G161" s="806">
        <f t="shared" si="72"/>
        <v>0</v>
      </c>
      <c r="H161" s="806">
        <f t="shared" si="72"/>
        <v>0.28846153846153844</v>
      </c>
      <c r="I161" s="624">
        <f t="shared" si="72"/>
        <v>0.25902335456475584</v>
      </c>
      <c r="J161" s="624">
        <f t="shared" si="72"/>
        <v>0</v>
      </c>
      <c r="K161" s="625">
        <f t="shared" si="72"/>
        <v>0</v>
      </c>
      <c r="L161" s="625">
        <f t="shared" si="72"/>
        <v>0</v>
      </c>
      <c r="M161" s="625">
        <f t="shared" si="72"/>
        <v>0</v>
      </c>
      <c r="N161" s="624">
        <f t="shared" si="75"/>
        <v>0.27272727272727271</v>
      </c>
      <c r="O161" s="624">
        <f t="shared" si="73"/>
        <v>0</v>
      </c>
      <c r="P161" s="626">
        <f t="shared" si="73"/>
        <v>0</v>
      </c>
      <c r="Q161" s="624">
        <f t="shared" si="73"/>
        <v>0</v>
      </c>
      <c r="R161" s="357"/>
      <c r="S161" s="858">
        <v>280</v>
      </c>
      <c r="T161" s="858"/>
      <c r="U161" s="858"/>
      <c r="V161" s="858">
        <v>71</v>
      </c>
      <c r="W161" s="858"/>
      <c r="X161" s="858">
        <v>15</v>
      </c>
      <c r="Y161" s="859">
        <v>366</v>
      </c>
      <c r="Z161" s="859"/>
      <c r="AA161" s="858"/>
      <c r="AB161" s="858"/>
      <c r="AC161" s="858"/>
      <c r="AD161" s="858"/>
      <c r="AE161" s="859">
        <v>207</v>
      </c>
      <c r="AF161" s="859"/>
      <c r="AG161" s="858"/>
      <c r="AH161" s="859"/>
    </row>
    <row r="162" spans="1:34">
      <c r="A162" s="239"/>
      <c r="B162" s="239" t="s">
        <v>78</v>
      </c>
      <c r="C162" s="806">
        <f t="shared" si="74"/>
        <v>0.11461067366579178</v>
      </c>
      <c r="D162" s="806">
        <f t="shared" si="72"/>
        <v>0</v>
      </c>
      <c r="E162" s="806">
        <f t="shared" si="72"/>
        <v>0</v>
      </c>
      <c r="F162" s="806">
        <f t="shared" si="72"/>
        <v>0.12385321100917432</v>
      </c>
      <c r="G162" s="806">
        <f t="shared" si="72"/>
        <v>0</v>
      </c>
      <c r="H162" s="806">
        <f t="shared" si="72"/>
        <v>9.6153846153846159E-2</v>
      </c>
      <c r="I162" s="624">
        <f t="shared" si="72"/>
        <v>0.11535739561217269</v>
      </c>
      <c r="J162" s="624">
        <f t="shared" si="72"/>
        <v>0</v>
      </c>
      <c r="K162" s="625">
        <f t="shared" si="72"/>
        <v>0</v>
      </c>
      <c r="L162" s="625">
        <f t="shared" si="72"/>
        <v>0</v>
      </c>
      <c r="M162" s="625">
        <f t="shared" si="72"/>
        <v>0</v>
      </c>
      <c r="N162" s="624">
        <f t="shared" si="75"/>
        <v>0.33860342555994732</v>
      </c>
      <c r="O162" s="624">
        <f t="shared" si="73"/>
        <v>0</v>
      </c>
      <c r="P162" s="626">
        <f t="shared" si="73"/>
        <v>0</v>
      </c>
      <c r="Q162" s="624">
        <f t="shared" si="73"/>
        <v>0</v>
      </c>
      <c r="R162" s="357"/>
      <c r="S162" s="858">
        <v>131</v>
      </c>
      <c r="T162" s="858"/>
      <c r="U162" s="858"/>
      <c r="V162" s="858">
        <v>27</v>
      </c>
      <c r="W162" s="858"/>
      <c r="X162" s="858">
        <v>5</v>
      </c>
      <c r="Y162" s="859">
        <v>163</v>
      </c>
      <c r="Z162" s="859"/>
      <c r="AA162" s="858"/>
      <c r="AB162" s="858"/>
      <c r="AC162" s="858"/>
      <c r="AD162" s="858"/>
      <c r="AE162" s="859">
        <v>257</v>
      </c>
      <c r="AF162" s="859"/>
      <c r="AG162" s="858"/>
      <c r="AH162" s="859"/>
    </row>
    <row r="163" spans="1:34">
      <c r="A163" s="580"/>
      <c r="B163" s="580" t="s">
        <v>131</v>
      </c>
      <c r="C163" s="806">
        <f t="shared" si="74"/>
        <v>0</v>
      </c>
      <c r="D163" s="806">
        <f t="shared" si="72"/>
        <v>0</v>
      </c>
      <c r="E163" s="806">
        <f t="shared" si="72"/>
        <v>0</v>
      </c>
      <c r="F163" s="806">
        <f t="shared" si="72"/>
        <v>0</v>
      </c>
      <c r="G163" s="806">
        <f t="shared" si="72"/>
        <v>0</v>
      </c>
      <c r="H163" s="806">
        <f t="shared" si="72"/>
        <v>0</v>
      </c>
      <c r="I163" s="624">
        <f t="shared" si="72"/>
        <v>0</v>
      </c>
      <c r="J163" s="624">
        <f t="shared" si="72"/>
        <v>0</v>
      </c>
      <c r="K163" s="625">
        <f t="shared" si="72"/>
        <v>0</v>
      </c>
      <c r="L163" s="625">
        <f t="shared" si="72"/>
        <v>0</v>
      </c>
      <c r="M163" s="625">
        <f t="shared" si="72"/>
        <v>0</v>
      </c>
      <c r="N163" s="624">
        <f t="shared" si="75"/>
        <v>0</v>
      </c>
      <c r="O163" s="624">
        <f t="shared" si="73"/>
        <v>0</v>
      </c>
      <c r="P163" s="626">
        <f t="shared" si="73"/>
        <v>0</v>
      </c>
      <c r="Q163" s="624">
        <f t="shared" si="73"/>
        <v>0</v>
      </c>
      <c r="R163" s="357"/>
      <c r="S163" s="858"/>
      <c r="T163" s="858"/>
      <c r="U163" s="858"/>
      <c r="V163" s="858"/>
      <c r="W163" s="858"/>
      <c r="X163" s="858"/>
      <c r="Y163" s="859"/>
      <c r="Z163" s="859"/>
      <c r="AA163" s="858"/>
      <c r="AB163" s="858"/>
      <c r="AC163" s="858"/>
      <c r="AD163" s="858"/>
      <c r="AE163" s="859"/>
      <c r="AF163" s="859"/>
      <c r="AG163" s="858"/>
      <c r="AH163" s="859"/>
    </row>
    <row r="164" spans="1:34">
      <c r="A164" s="436"/>
      <c r="B164" s="436" t="s">
        <v>59</v>
      </c>
      <c r="C164" s="807">
        <f t="shared" si="74"/>
        <v>1</v>
      </c>
      <c r="D164" s="808">
        <f t="shared" si="72"/>
        <v>0</v>
      </c>
      <c r="E164" s="808">
        <f t="shared" si="72"/>
        <v>0</v>
      </c>
      <c r="F164" s="808">
        <f t="shared" si="72"/>
        <v>1</v>
      </c>
      <c r="G164" s="808">
        <f t="shared" si="72"/>
        <v>0</v>
      </c>
      <c r="H164" s="809">
        <f t="shared" si="72"/>
        <v>1</v>
      </c>
      <c r="I164" s="577">
        <f t="shared" si="72"/>
        <v>1</v>
      </c>
      <c r="J164" s="577">
        <f t="shared" si="72"/>
        <v>0</v>
      </c>
      <c r="K164" s="578">
        <f t="shared" si="72"/>
        <v>0</v>
      </c>
      <c r="L164" s="578">
        <f t="shared" si="72"/>
        <v>0</v>
      </c>
      <c r="M164" s="578">
        <f t="shared" si="72"/>
        <v>0</v>
      </c>
      <c r="N164" s="577">
        <f t="shared" si="75"/>
        <v>1</v>
      </c>
      <c r="O164" s="577">
        <f t="shared" si="73"/>
        <v>0</v>
      </c>
      <c r="P164" s="579">
        <f t="shared" si="73"/>
        <v>0</v>
      </c>
      <c r="Q164" s="577">
        <f t="shared" si="73"/>
        <v>0</v>
      </c>
      <c r="R164" s="357"/>
      <c r="S164" s="858">
        <v>1143</v>
      </c>
      <c r="T164" s="858"/>
      <c r="U164" s="858"/>
      <c r="V164" s="858">
        <v>218</v>
      </c>
      <c r="W164" s="858"/>
      <c r="X164" s="858">
        <v>52</v>
      </c>
      <c r="Y164" s="859">
        <v>1413</v>
      </c>
      <c r="Z164" s="859"/>
      <c r="AA164" s="858"/>
      <c r="AB164" s="858"/>
      <c r="AC164" s="858"/>
      <c r="AD164" s="858"/>
      <c r="AE164" s="859">
        <v>759</v>
      </c>
      <c r="AF164" s="859"/>
      <c r="AG164" s="858"/>
      <c r="AH164" s="859"/>
    </row>
    <row r="165" spans="1:34">
      <c r="A165" s="240" t="s">
        <v>143</v>
      </c>
      <c r="B165" s="240" t="s">
        <v>53</v>
      </c>
      <c r="C165" s="806">
        <f>IF(S$170&gt;0,(S165/S$170),0)</f>
        <v>0</v>
      </c>
      <c r="D165" s="806">
        <f t="shared" ref="D165:M170" si="76">IF(T$170&gt;0,(T165/T$170),0)</f>
        <v>0.29307282415630553</v>
      </c>
      <c r="E165" s="806">
        <f t="shared" si="76"/>
        <v>0.23076923076923078</v>
      </c>
      <c r="F165" s="806">
        <f t="shared" si="76"/>
        <v>0</v>
      </c>
      <c r="G165" s="806">
        <f t="shared" si="76"/>
        <v>0</v>
      </c>
      <c r="H165" s="806">
        <f t="shared" si="76"/>
        <v>0.41317365269461076</v>
      </c>
      <c r="I165" s="613">
        <f t="shared" si="76"/>
        <v>0.28471849865951743</v>
      </c>
      <c r="J165" s="613">
        <f t="shared" si="76"/>
        <v>0</v>
      </c>
      <c r="K165" s="614">
        <f t="shared" si="76"/>
        <v>0</v>
      </c>
      <c r="L165" s="614">
        <f t="shared" si="76"/>
        <v>0</v>
      </c>
      <c r="M165" s="614">
        <f t="shared" si="76"/>
        <v>0</v>
      </c>
      <c r="N165" s="613">
        <f>IF(AE$170&gt;0,(AE165/AE$170),0)</f>
        <v>0.10460251046025104</v>
      </c>
      <c r="O165" s="613">
        <f t="shared" ref="O165:Q170" si="77">IF(AF$170&gt;0,(AF165/AF$170),0)</f>
        <v>0</v>
      </c>
      <c r="P165" s="615">
        <f t="shared" si="77"/>
        <v>0</v>
      </c>
      <c r="Q165" s="613">
        <f t="shared" si="77"/>
        <v>0</v>
      </c>
      <c r="R165" s="799"/>
      <c r="S165" s="856"/>
      <c r="T165" s="856">
        <v>330</v>
      </c>
      <c r="U165" s="856">
        <v>132</v>
      </c>
      <c r="V165" s="856"/>
      <c r="W165" s="856"/>
      <c r="X165" s="856">
        <v>69</v>
      </c>
      <c r="Y165" s="857">
        <v>531</v>
      </c>
      <c r="Z165" s="857"/>
      <c r="AA165" s="856"/>
      <c r="AB165" s="856"/>
      <c r="AC165" s="856"/>
      <c r="AD165" s="856"/>
      <c r="AE165" s="857">
        <v>50</v>
      </c>
      <c r="AF165" s="857"/>
      <c r="AG165" s="856"/>
      <c r="AH165" s="857"/>
    </row>
    <row r="166" spans="1:34">
      <c r="A166" s="239"/>
      <c r="B166" s="239" t="s">
        <v>93</v>
      </c>
      <c r="C166" s="806">
        <f t="shared" ref="C166:C170" si="78">IF(S$170&gt;0,(S166/S$170),0)</f>
        <v>0</v>
      </c>
      <c r="D166" s="806">
        <f t="shared" si="76"/>
        <v>0.23001776198934282</v>
      </c>
      <c r="E166" s="806">
        <f t="shared" si="76"/>
        <v>0.30419580419580422</v>
      </c>
      <c r="F166" s="806">
        <f t="shared" si="76"/>
        <v>0</v>
      </c>
      <c r="G166" s="806">
        <f t="shared" si="76"/>
        <v>0</v>
      </c>
      <c r="H166" s="806">
        <f t="shared" si="76"/>
        <v>0.19161676646706588</v>
      </c>
      <c r="I166" s="624">
        <f t="shared" si="76"/>
        <v>0.24932975871313673</v>
      </c>
      <c r="J166" s="624">
        <f t="shared" si="76"/>
        <v>0</v>
      </c>
      <c r="K166" s="625">
        <f t="shared" si="76"/>
        <v>0</v>
      </c>
      <c r="L166" s="625">
        <f t="shared" si="76"/>
        <v>0</v>
      </c>
      <c r="M166" s="625">
        <f t="shared" si="76"/>
        <v>0</v>
      </c>
      <c r="N166" s="624">
        <f t="shared" ref="N166:N170" si="79">IF(AE$170&gt;0,(AE166/AE$170),0)</f>
        <v>6.903765690376569E-2</v>
      </c>
      <c r="O166" s="624">
        <f t="shared" si="77"/>
        <v>0</v>
      </c>
      <c r="P166" s="626">
        <f t="shared" si="77"/>
        <v>0</v>
      </c>
      <c r="Q166" s="624">
        <f t="shared" si="77"/>
        <v>0</v>
      </c>
      <c r="R166" s="357"/>
      <c r="S166" s="858"/>
      <c r="T166" s="858">
        <v>259</v>
      </c>
      <c r="U166" s="858">
        <v>174</v>
      </c>
      <c r="V166" s="858"/>
      <c r="W166" s="858"/>
      <c r="X166" s="858">
        <v>32</v>
      </c>
      <c r="Y166" s="859">
        <v>465</v>
      </c>
      <c r="Z166" s="859"/>
      <c r="AA166" s="858"/>
      <c r="AB166" s="858"/>
      <c r="AC166" s="858"/>
      <c r="AD166" s="858"/>
      <c r="AE166" s="859">
        <v>33</v>
      </c>
      <c r="AF166" s="859"/>
      <c r="AG166" s="858"/>
      <c r="AH166" s="859"/>
    </row>
    <row r="167" spans="1:34">
      <c r="A167" s="239"/>
      <c r="B167" s="239" t="s">
        <v>55</v>
      </c>
      <c r="C167" s="806">
        <f t="shared" si="78"/>
        <v>0</v>
      </c>
      <c r="D167" s="806">
        <f t="shared" si="76"/>
        <v>0.25222024866785081</v>
      </c>
      <c r="E167" s="806">
        <f t="shared" si="76"/>
        <v>0.24125874125874125</v>
      </c>
      <c r="F167" s="806">
        <f t="shared" si="76"/>
        <v>0</v>
      </c>
      <c r="G167" s="806">
        <f t="shared" si="76"/>
        <v>0</v>
      </c>
      <c r="H167" s="806">
        <f t="shared" si="76"/>
        <v>0.25748502994011974</v>
      </c>
      <c r="I167" s="624">
        <f t="shared" si="76"/>
        <v>0.24932975871313673</v>
      </c>
      <c r="J167" s="624">
        <f t="shared" si="76"/>
        <v>0</v>
      </c>
      <c r="K167" s="625">
        <f t="shared" si="76"/>
        <v>0</v>
      </c>
      <c r="L167" s="625">
        <f t="shared" si="76"/>
        <v>0</v>
      </c>
      <c r="M167" s="625">
        <f t="shared" si="76"/>
        <v>0</v>
      </c>
      <c r="N167" s="624">
        <f t="shared" si="79"/>
        <v>0.17154811715481172</v>
      </c>
      <c r="O167" s="624">
        <f t="shared" si="77"/>
        <v>0</v>
      </c>
      <c r="P167" s="626">
        <f t="shared" si="77"/>
        <v>0</v>
      </c>
      <c r="Q167" s="624">
        <f t="shared" si="77"/>
        <v>0</v>
      </c>
      <c r="R167" s="357"/>
      <c r="S167" s="858"/>
      <c r="T167" s="858">
        <v>284</v>
      </c>
      <c r="U167" s="858">
        <v>138</v>
      </c>
      <c r="V167" s="858"/>
      <c r="W167" s="858"/>
      <c r="X167" s="858">
        <v>43</v>
      </c>
      <c r="Y167" s="859">
        <v>465</v>
      </c>
      <c r="Z167" s="859"/>
      <c r="AA167" s="858"/>
      <c r="AB167" s="858"/>
      <c r="AC167" s="858"/>
      <c r="AD167" s="858"/>
      <c r="AE167" s="859">
        <v>82</v>
      </c>
      <c r="AF167" s="859"/>
      <c r="AG167" s="858"/>
      <c r="AH167" s="859"/>
    </row>
    <row r="168" spans="1:34">
      <c r="A168" s="239"/>
      <c r="B168" s="239" t="s">
        <v>78</v>
      </c>
      <c r="C168" s="806">
        <f t="shared" si="78"/>
        <v>0</v>
      </c>
      <c r="D168" s="806">
        <f t="shared" si="76"/>
        <v>0.11367673179396093</v>
      </c>
      <c r="E168" s="806">
        <f t="shared" si="76"/>
        <v>0</v>
      </c>
      <c r="F168" s="806">
        <f t="shared" si="76"/>
        <v>0</v>
      </c>
      <c r="G168" s="806">
        <f t="shared" si="76"/>
        <v>0</v>
      </c>
      <c r="H168" s="806">
        <f t="shared" si="76"/>
        <v>2.9940119760479042E-2</v>
      </c>
      <c r="I168" s="624">
        <f t="shared" si="76"/>
        <v>7.1313672922252005E-2</v>
      </c>
      <c r="J168" s="624">
        <f t="shared" si="76"/>
        <v>0</v>
      </c>
      <c r="K168" s="625">
        <f t="shared" si="76"/>
        <v>0</v>
      </c>
      <c r="L168" s="625">
        <f t="shared" si="76"/>
        <v>0</v>
      </c>
      <c r="M168" s="625">
        <f t="shared" si="76"/>
        <v>0</v>
      </c>
      <c r="N168" s="624">
        <f t="shared" si="79"/>
        <v>0.65271966527196656</v>
      </c>
      <c r="O168" s="624">
        <f t="shared" si="77"/>
        <v>0</v>
      </c>
      <c r="P168" s="626">
        <f t="shared" si="77"/>
        <v>0</v>
      </c>
      <c r="Q168" s="624">
        <f t="shared" si="77"/>
        <v>0</v>
      </c>
      <c r="R168" s="357"/>
      <c r="S168" s="858"/>
      <c r="T168" s="858">
        <v>128</v>
      </c>
      <c r="U168" s="858"/>
      <c r="V168" s="858"/>
      <c r="W168" s="858"/>
      <c r="X168" s="858">
        <v>5</v>
      </c>
      <c r="Y168" s="859">
        <v>133</v>
      </c>
      <c r="Z168" s="859"/>
      <c r="AA168" s="858"/>
      <c r="AB168" s="858"/>
      <c r="AC168" s="858"/>
      <c r="AD168" s="858"/>
      <c r="AE168" s="859">
        <v>312</v>
      </c>
      <c r="AF168" s="859"/>
      <c r="AG168" s="858"/>
      <c r="AH168" s="859"/>
    </row>
    <row r="169" spans="1:34">
      <c r="A169" s="580"/>
      <c r="B169" s="580" t="s">
        <v>131</v>
      </c>
      <c r="C169" s="806">
        <f t="shared" si="78"/>
        <v>0</v>
      </c>
      <c r="D169" s="806">
        <f t="shared" si="76"/>
        <v>0.11101243339253997</v>
      </c>
      <c r="E169" s="806">
        <f t="shared" si="76"/>
        <v>0.22377622377622378</v>
      </c>
      <c r="F169" s="806">
        <f t="shared" si="76"/>
        <v>0</v>
      </c>
      <c r="G169" s="806">
        <f t="shared" si="76"/>
        <v>0</v>
      </c>
      <c r="H169" s="806">
        <f t="shared" si="76"/>
        <v>0.10778443113772455</v>
      </c>
      <c r="I169" s="624">
        <f t="shared" si="76"/>
        <v>0.1453083109919571</v>
      </c>
      <c r="J169" s="624">
        <f t="shared" si="76"/>
        <v>0</v>
      </c>
      <c r="K169" s="625">
        <f t="shared" si="76"/>
        <v>0</v>
      </c>
      <c r="L169" s="625">
        <f t="shared" si="76"/>
        <v>0</v>
      </c>
      <c r="M169" s="625">
        <f t="shared" si="76"/>
        <v>0</v>
      </c>
      <c r="N169" s="624">
        <f t="shared" si="79"/>
        <v>2.0920502092050207E-3</v>
      </c>
      <c r="O169" s="624">
        <f t="shared" si="77"/>
        <v>0</v>
      </c>
      <c r="P169" s="626">
        <f t="shared" si="77"/>
        <v>0</v>
      </c>
      <c r="Q169" s="624">
        <f t="shared" si="77"/>
        <v>0</v>
      </c>
      <c r="R169" s="357"/>
      <c r="S169" s="858"/>
      <c r="T169" s="858">
        <v>125</v>
      </c>
      <c r="U169" s="858">
        <v>128</v>
      </c>
      <c r="V169" s="858"/>
      <c r="W169" s="858"/>
      <c r="X169" s="858">
        <v>18</v>
      </c>
      <c r="Y169" s="859">
        <v>271</v>
      </c>
      <c r="Z169" s="859"/>
      <c r="AA169" s="858"/>
      <c r="AB169" s="858"/>
      <c r="AC169" s="858"/>
      <c r="AD169" s="858"/>
      <c r="AE169" s="859">
        <v>1</v>
      </c>
      <c r="AF169" s="859"/>
      <c r="AG169" s="858"/>
      <c r="AH169" s="859"/>
    </row>
    <row r="170" spans="1:34">
      <c r="A170" s="436"/>
      <c r="B170" s="436" t="s">
        <v>59</v>
      </c>
      <c r="C170" s="807">
        <f t="shared" si="78"/>
        <v>0</v>
      </c>
      <c r="D170" s="808">
        <f t="shared" si="76"/>
        <v>1</v>
      </c>
      <c r="E170" s="808">
        <f t="shared" si="76"/>
        <v>1</v>
      </c>
      <c r="F170" s="808">
        <f t="shared" si="76"/>
        <v>0</v>
      </c>
      <c r="G170" s="808">
        <f t="shared" si="76"/>
        <v>0</v>
      </c>
      <c r="H170" s="809">
        <f t="shared" si="76"/>
        <v>1</v>
      </c>
      <c r="I170" s="577">
        <f t="shared" si="76"/>
        <v>1</v>
      </c>
      <c r="J170" s="577">
        <f t="shared" si="76"/>
        <v>0</v>
      </c>
      <c r="K170" s="578">
        <f t="shared" si="76"/>
        <v>0</v>
      </c>
      <c r="L170" s="578">
        <f t="shared" si="76"/>
        <v>0</v>
      </c>
      <c r="M170" s="578">
        <f t="shared" si="76"/>
        <v>0</v>
      </c>
      <c r="N170" s="577">
        <f t="shared" si="79"/>
        <v>1</v>
      </c>
      <c r="O170" s="577">
        <f t="shared" si="77"/>
        <v>0</v>
      </c>
      <c r="P170" s="579">
        <f t="shared" si="77"/>
        <v>0</v>
      </c>
      <c r="Q170" s="577">
        <f t="shared" si="77"/>
        <v>0</v>
      </c>
      <c r="R170" s="357"/>
      <c r="S170" s="858"/>
      <c r="T170" s="858">
        <v>1126</v>
      </c>
      <c r="U170" s="858">
        <v>572</v>
      </c>
      <c r="V170" s="858"/>
      <c r="W170" s="858"/>
      <c r="X170" s="858">
        <v>167</v>
      </c>
      <c r="Y170" s="859">
        <v>1865</v>
      </c>
      <c r="Z170" s="859"/>
      <c r="AA170" s="858"/>
      <c r="AB170" s="858"/>
      <c r="AC170" s="858"/>
      <c r="AD170" s="858"/>
      <c r="AE170" s="859">
        <v>478</v>
      </c>
      <c r="AF170" s="859"/>
      <c r="AG170" s="858"/>
      <c r="AH170" s="859"/>
    </row>
    <row r="171" spans="1:34">
      <c r="A171" s="240" t="s">
        <v>152</v>
      </c>
      <c r="B171" s="240" t="s">
        <v>53</v>
      </c>
      <c r="C171" s="806">
        <f>IF(S$176&gt;0,(S171/S$176),0)</f>
        <v>0</v>
      </c>
      <c r="D171" s="806">
        <f t="shared" ref="D171:M176" si="80">IF(T$176&gt;0,(T171/T$176),0)</f>
        <v>0.35116479723899913</v>
      </c>
      <c r="E171" s="806">
        <f t="shared" si="80"/>
        <v>0</v>
      </c>
      <c r="F171" s="806">
        <f t="shared" si="80"/>
        <v>0.24223602484472051</v>
      </c>
      <c r="G171" s="806">
        <f t="shared" si="80"/>
        <v>0</v>
      </c>
      <c r="H171" s="806">
        <f t="shared" si="80"/>
        <v>0.28413284132841327</v>
      </c>
      <c r="I171" s="613">
        <f t="shared" si="80"/>
        <v>0.3287240729101194</v>
      </c>
      <c r="J171" s="613">
        <f t="shared" si="80"/>
        <v>0</v>
      </c>
      <c r="K171" s="614">
        <f t="shared" si="80"/>
        <v>0</v>
      </c>
      <c r="L171" s="614">
        <f t="shared" si="80"/>
        <v>0</v>
      </c>
      <c r="M171" s="614">
        <f t="shared" si="80"/>
        <v>0</v>
      </c>
      <c r="N171" s="613">
        <f>IF(AE$176&gt;0,(AE171/AE$176),0)</f>
        <v>3.8167938931297708E-3</v>
      </c>
      <c r="O171" s="613">
        <f t="shared" ref="O171:Q176" si="81">IF(AF$176&gt;0,(AF171/AF$176),0)</f>
        <v>0</v>
      </c>
      <c r="P171" s="615">
        <f t="shared" si="81"/>
        <v>0</v>
      </c>
      <c r="Q171" s="613">
        <f t="shared" si="81"/>
        <v>0</v>
      </c>
      <c r="R171" s="799"/>
      <c r="S171" s="856"/>
      <c r="T171" s="856">
        <v>407</v>
      </c>
      <c r="U171" s="856"/>
      <c r="V171" s="856">
        <v>39</v>
      </c>
      <c r="W171" s="856"/>
      <c r="X171" s="856">
        <v>77</v>
      </c>
      <c r="Y171" s="857">
        <v>523</v>
      </c>
      <c r="Z171" s="857"/>
      <c r="AA171" s="856"/>
      <c r="AB171" s="856"/>
      <c r="AC171" s="856"/>
      <c r="AD171" s="856"/>
      <c r="AE171" s="857">
        <v>1</v>
      </c>
      <c r="AF171" s="857"/>
      <c r="AG171" s="856"/>
      <c r="AH171" s="857"/>
    </row>
    <row r="172" spans="1:34">
      <c r="A172" s="239"/>
      <c r="B172" s="239" t="s">
        <v>93</v>
      </c>
      <c r="C172" s="806">
        <f t="shared" ref="C172:C176" si="82">IF(S$176&gt;0,(S172/S$176),0)</f>
        <v>0</v>
      </c>
      <c r="D172" s="806">
        <f t="shared" si="80"/>
        <v>0.26315789473684209</v>
      </c>
      <c r="E172" s="806">
        <f t="shared" si="80"/>
        <v>0</v>
      </c>
      <c r="F172" s="806">
        <f t="shared" si="80"/>
        <v>0.16770186335403728</v>
      </c>
      <c r="G172" s="806">
        <f t="shared" si="80"/>
        <v>0</v>
      </c>
      <c r="H172" s="806">
        <f t="shared" si="80"/>
        <v>0.21033210332103322</v>
      </c>
      <c r="I172" s="624">
        <f t="shared" si="80"/>
        <v>0.24450031426775612</v>
      </c>
      <c r="J172" s="624">
        <f t="shared" si="80"/>
        <v>0</v>
      </c>
      <c r="K172" s="625">
        <f t="shared" si="80"/>
        <v>0</v>
      </c>
      <c r="L172" s="625">
        <f t="shared" si="80"/>
        <v>0</v>
      </c>
      <c r="M172" s="625">
        <f t="shared" si="80"/>
        <v>0</v>
      </c>
      <c r="N172" s="624">
        <f t="shared" ref="N172:N176" si="83">IF(AE$176&gt;0,(AE172/AE$176),0)</f>
        <v>0</v>
      </c>
      <c r="O172" s="624">
        <f t="shared" si="81"/>
        <v>0</v>
      </c>
      <c r="P172" s="626">
        <f t="shared" si="81"/>
        <v>0</v>
      </c>
      <c r="Q172" s="624">
        <f t="shared" si="81"/>
        <v>0</v>
      </c>
      <c r="R172" s="357"/>
      <c r="S172" s="858"/>
      <c r="T172" s="858">
        <v>305</v>
      </c>
      <c r="U172" s="858"/>
      <c r="V172" s="858">
        <v>27</v>
      </c>
      <c r="W172" s="858"/>
      <c r="X172" s="858">
        <v>57</v>
      </c>
      <c r="Y172" s="859">
        <v>389</v>
      </c>
      <c r="Z172" s="859"/>
      <c r="AA172" s="858"/>
      <c r="AB172" s="858"/>
      <c r="AC172" s="858"/>
      <c r="AD172" s="858"/>
      <c r="AE172" s="859"/>
      <c r="AF172" s="859"/>
      <c r="AG172" s="858"/>
      <c r="AH172" s="859"/>
    </row>
    <row r="173" spans="1:34">
      <c r="A173" s="239"/>
      <c r="B173" s="239" t="s">
        <v>55</v>
      </c>
      <c r="C173" s="806">
        <f t="shared" si="82"/>
        <v>0</v>
      </c>
      <c r="D173" s="806">
        <f t="shared" si="80"/>
        <v>0.18981880931837791</v>
      </c>
      <c r="E173" s="806">
        <f t="shared" si="80"/>
        <v>0</v>
      </c>
      <c r="F173" s="806">
        <f t="shared" si="80"/>
        <v>0.2484472049689441</v>
      </c>
      <c r="G173" s="806">
        <f t="shared" si="80"/>
        <v>0</v>
      </c>
      <c r="H173" s="806">
        <f t="shared" si="80"/>
        <v>0.29520295202952029</v>
      </c>
      <c r="I173" s="624">
        <f t="shared" si="80"/>
        <v>0.21370207416719045</v>
      </c>
      <c r="J173" s="624">
        <f t="shared" si="80"/>
        <v>0</v>
      </c>
      <c r="K173" s="625">
        <f t="shared" si="80"/>
        <v>0</v>
      </c>
      <c r="L173" s="625">
        <f t="shared" si="80"/>
        <v>0</v>
      </c>
      <c r="M173" s="625">
        <f t="shared" si="80"/>
        <v>0</v>
      </c>
      <c r="N173" s="624">
        <f t="shared" si="83"/>
        <v>0</v>
      </c>
      <c r="O173" s="624">
        <f t="shared" si="81"/>
        <v>0</v>
      </c>
      <c r="P173" s="626">
        <f t="shared" si="81"/>
        <v>0</v>
      </c>
      <c r="Q173" s="624">
        <f t="shared" si="81"/>
        <v>0</v>
      </c>
      <c r="R173" s="357"/>
      <c r="S173" s="858"/>
      <c r="T173" s="858">
        <v>220</v>
      </c>
      <c r="U173" s="858"/>
      <c r="V173" s="858">
        <v>40</v>
      </c>
      <c r="W173" s="858"/>
      <c r="X173" s="858">
        <v>80</v>
      </c>
      <c r="Y173" s="859">
        <v>340</v>
      </c>
      <c r="Z173" s="859"/>
      <c r="AA173" s="858"/>
      <c r="AB173" s="858"/>
      <c r="AC173" s="858"/>
      <c r="AD173" s="858"/>
      <c r="AE173" s="859"/>
      <c r="AF173" s="859"/>
      <c r="AG173" s="858"/>
      <c r="AH173" s="859"/>
    </row>
    <row r="174" spans="1:34">
      <c r="A174" s="239"/>
      <c r="B174" s="239" t="s">
        <v>78</v>
      </c>
      <c r="C174" s="806">
        <f t="shared" si="82"/>
        <v>0</v>
      </c>
      <c r="D174" s="806">
        <f t="shared" si="80"/>
        <v>0.10526315789473684</v>
      </c>
      <c r="E174" s="806">
        <f t="shared" si="80"/>
        <v>0</v>
      </c>
      <c r="F174" s="806">
        <f t="shared" si="80"/>
        <v>0.29192546583850931</v>
      </c>
      <c r="G174" s="806">
        <f t="shared" si="80"/>
        <v>0</v>
      </c>
      <c r="H174" s="806">
        <f t="shared" si="80"/>
        <v>0.2029520295202952</v>
      </c>
      <c r="I174" s="624">
        <f t="shared" si="80"/>
        <v>0.14079195474544312</v>
      </c>
      <c r="J174" s="624">
        <f t="shared" si="80"/>
        <v>0</v>
      </c>
      <c r="K174" s="625">
        <f t="shared" si="80"/>
        <v>0</v>
      </c>
      <c r="L174" s="625">
        <f t="shared" si="80"/>
        <v>0</v>
      </c>
      <c r="M174" s="625">
        <f t="shared" si="80"/>
        <v>0</v>
      </c>
      <c r="N174" s="624">
        <f t="shared" si="83"/>
        <v>0.70229007633587781</v>
      </c>
      <c r="O174" s="624">
        <f t="shared" si="81"/>
        <v>0</v>
      </c>
      <c r="P174" s="626">
        <f t="shared" si="81"/>
        <v>0</v>
      </c>
      <c r="Q174" s="624">
        <f t="shared" si="81"/>
        <v>0</v>
      </c>
      <c r="R174" s="357"/>
      <c r="S174" s="858"/>
      <c r="T174" s="858">
        <v>122</v>
      </c>
      <c r="U174" s="858"/>
      <c r="V174" s="858">
        <v>47</v>
      </c>
      <c r="W174" s="858"/>
      <c r="X174" s="858">
        <v>55</v>
      </c>
      <c r="Y174" s="859">
        <v>224</v>
      </c>
      <c r="Z174" s="859"/>
      <c r="AA174" s="858"/>
      <c r="AB174" s="858"/>
      <c r="AC174" s="858"/>
      <c r="AD174" s="858"/>
      <c r="AE174" s="859">
        <v>184</v>
      </c>
      <c r="AF174" s="859"/>
      <c r="AG174" s="858"/>
      <c r="AH174" s="859"/>
    </row>
    <row r="175" spans="1:34">
      <c r="A175" s="580"/>
      <c r="B175" s="580" t="s">
        <v>131</v>
      </c>
      <c r="C175" s="806">
        <f t="shared" si="82"/>
        <v>0</v>
      </c>
      <c r="D175" s="806">
        <f t="shared" si="80"/>
        <v>9.0595340811044006E-2</v>
      </c>
      <c r="E175" s="806">
        <f t="shared" si="80"/>
        <v>0</v>
      </c>
      <c r="F175" s="806">
        <f t="shared" si="80"/>
        <v>4.9689440993788817E-2</v>
      </c>
      <c r="G175" s="806">
        <f t="shared" si="80"/>
        <v>0</v>
      </c>
      <c r="H175" s="806">
        <f t="shared" si="80"/>
        <v>7.3800738007380072E-3</v>
      </c>
      <c r="I175" s="624">
        <f t="shared" si="80"/>
        <v>7.2281583909490882E-2</v>
      </c>
      <c r="J175" s="624">
        <f t="shared" si="80"/>
        <v>0</v>
      </c>
      <c r="K175" s="625">
        <f t="shared" si="80"/>
        <v>0</v>
      </c>
      <c r="L175" s="625">
        <f t="shared" si="80"/>
        <v>0</v>
      </c>
      <c r="M175" s="625">
        <f t="shared" si="80"/>
        <v>0</v>
      </c>
      <c r="N175" s="624">
        <f t="shared" si="83"/>
        <v>0.29389312977099236</v>
      </c>
      <c r="O175" s="624">
        <f t="shared" si="81"/>
        <v>0</v>
      </c>
      <c r="P175" s="626">
        <f t="shared" si="81"/>
        <v>0</v>
      </c>
      <c r="Q175" s="624">
        <f t="shared" si="81"/>
        <v>0</v>
      </c>
      <c r="R175" s="357"/>
      <c r="S175" s="858"/>
      <c r="T175" s="858">
        <v>105</v>
      </c>
      <c r="U175" s="858"/>
      <c r="V175" s="858">
        <v>8</v>
      </c>
      <c r="W175" s="858"/>
      <c r="X175" s="858">
        <v>2</v>
      </c>
      <c r="Y175" s="859">
        <v>115</v>
      </c>
      <c r="Z175" s="859"/>
      <c r="AA175" s="858"/>
      <c r="AB175" s="858"/>
      <c r="AC175" s="858"/>
      <c r="AD175" s="858"/>
      <c r="AE175" s="859">
        <v>77</v>
      </c>
      <c r="AF175" s="859"/>
      <c r="AG175" s="858"/>
      <c r="AH175" s="859"/>
    </row>
    <row r="176" spans="1:34">
      <c r="A176" s="436"/>
      <c r="B176" s="436" t="s">
        <v>59</v>
      </c>
      <c r="C176" s="807">
        <f t="shared" si="82"/>
        <v>0</v>
      </c>
      <c r="D176" s="808">
        <f t="shared" si="80"/>
        <v>1</v>
      </c>
      <c r="E176" s="808">
        <f t="shared" si="80"/>
        <v>0</v>
      </c>
      <c r="F176" s="808">
        <f t="shared" si="80"/>
        <v>1</v>
      </c>
      <c r="G176" s="808">
        <f t="shared" si="80"/>
        <v>0</v>
      </c>
      <c r="H176" s="809">
        <f t="shared" si="80"/>
        <v>1</v>
      </c>
      <c r="I176" s="577">
        <f t="shared" si="80"/>
        <v>1</v>
      </c>
      <c r="J176" s="577">
        <f t="shared" si="80"/>
        <v>0</v>
      </c>
      <c r="K176" s="578">
        <f t="shared" si="80"/>
        <v>0</v>
      </c>
      <c r="L176" s="578">
        <f t="shared" si="80"/>
        <v>0</v>
      </c>
      <c r="M176" s="578">
        <f t="shared" si="80"/>
        <v>0</v>
      </c>
      <c r="N176" s="577">
        <f t="shared" si="83"/>
        <v>1</v>
      </c>
      <c r="O176" s="577">
        <f t="shared" si="81"/>
        <v>0</v>
      </c>
      <c r="P176" s="579">
        <f t="shared" si="81"/>
        <v>0</v>
      </c>
      <c r="Q176" s="577">
        <f t="shared" si="81"/>
        <v>0</v>
      </c>
      <c r="R176" s="357"/>
      <c r="S176" s="858"/>
      <c r="T176" s="858">
        <v>1159</v>
      </c>
      <c r="U176" s="858"/>
      <c r="V176" s="858">
        <v>161</v>
      </c>
      <c r="W176" s="858"/>
      <c r="X176" s="858">
        <v>271</v>
      </c>
      <c r="Y176" s="859">
        <v>1591</v>
      </c>
      <c r="Z176" s="859"/>
      <c r="AA176" s="858"/>
      <c r="AB176" s="858"/>
      <c r="AC176" s="858"/>
      <c r="AD176" s="858"/>
      <c r="AE176" s="859">
        <v>262</v>
      </c>
      <c r="AF176" s="859"/>
      <c r="AG176" s="858"/>
      <c r="AH176" s="859"/>
    </row>
    <row r="177" spans="1:34">
      <c r="A177" s="240" t="s">
        <v>158</v>
      </c>
      <c r="B177" s="240" t="s">
        <v>53</v>
      </c>
      <c r="C177" s="806">
        <f>IF(S$182&gt;0,(S177/S$182),0)</f>
        <v>0.33614457831325301</v>
      </c>
      <c r="D177" s="806">
        <f t="shared" ref="D177:M182" si="84">IF(T$182&gt;0,(T177/T$182),0)</f>
        <v>0.29711375212224106</v>
      </c>
      <c r="E177" s="806">
        <f t="shared" si="84"/>
        <v>0</v>
      </c>
      <c r="F177" s="806">
        <f t="shared" si="84"/>
        <v>0</v>
      </c>
      <c r="G177" s="806">
        <f t="shared" si="84"/>
        <v>0</v>
      </c>
      <c r="H177" s="806">
        <f t="shared" si="84"/>
        <v>0.33944954128440369</v>
      </c>
      <c r="I177" s="613">
        <f t="shared" si="84"/>
        <v>0.32133507853403143</v>
      </c>
      <c r="J177" s="613">
        <f t="shared" si="84"/>
        <v>0</v>
      </c>
      <c r="K177" s="614">
        <f t="shared" si="84"/>
        <v>0</v>
      </c>
      <c r="L177" s="614">
        <f t="shared" si="84"/>
        <v>0</v>
      </c>
      <c r="M177" s="614">
        <f t="shared" si="84"/>
        <v>0</v>
      </c>
      <c r="N177" s="613">
        <f>IF(AE$182&gt;0,(AE177/AE$182),0)</f>
        <v>0.67862266857962694</v>
      </c>
      <c r="O177" s="613">
        <f t="shared" ref="O177:Q182" si="85">IF(AF$182&gt;0,(AF177/AF$182),0)</f>
        <v>0</v>
      </c>
      <c r="P177" s="615">
        <f t="shared" si="85"/>
        <v>0</v>
      </c>
      <c r="Q177" s="613">
        <f t="shared" si="85"/>
        <v>0</v>
      </c>
      <c r="R177" s="799"/>
      <c r="S177" s="856">
        <v>279</v>
      </c>
      <c r="T177" s="856">
        <v>175</v>
      </c>
      <c r="U177" s="856"/>
      <c r="V177" s="856"/>
      <c r="W177" s="856"/>
      <c r="X177" s="856">
        <v>37</v>
      </c>
      <c r="Y177" s="857">
        <v>491</v>
      </c>
      <c r="Z177" s="857"/>
      <c r="AA177" s="856"/>
      <c r="AB177" s="856"/>
      <c r="AC177" s="856"/>
      <c r="AD177" s="856"/>
      <c r="AE177" s="857">
        <v>473</v>
      </c>
      <c r="AF177" s="857"/>
      <c r="AG177" s="856"/>
      <c r="AH177" s="857"/>
    </row>
    <row r="178" spans="1:34">
      <c r="A178" s="239"/>
      <c r="B178" s="239" t="s">
        <v>93</v>
      </c>
      <c r="C178" s="806">
        <f t="shared" ref="C178:C182" si="86">IF(S$182&gt;0,(S178/S$182),0)</f>
        <v>0.33614457831325301</v>
      </c>
      <c r="D178" s="806">
        <f t="shared" si="84"/>
        <v>0.35823429541595925</v>
      </c>
      <c r="E178" s="806">
        <f t="shared" si="84"/>
        <v>0</v>
      </c>
      <c r="F178" s="806">
        <f t="shared" si="84"/>
        <v>0</v>
      </c>
      <c r="G178" s="806">
        <f t="shared" si="84"/>
        <v>0</v>
      </c>
      <c r="H178" s="806">
        <f t="shared" si="84"/>
        <v>8.2568807339449546E-2</v>
      </c>
      <c r="I178" s="624">
        <f t="shared" si="84"/>
        <v>0.32657068062827227</v>
      </c>
      <c r="J178" s="624">
        <f t="shared" si="84"/>
        <v>0</v>
      </c>
      <c r="K178" s="625">
        <f t="shared" si="84"/>
        <v>0</v>
      </c>
      <c r="L178" s="625">
        <f t="shared" si="84"/>
        <v>0</v>
      </c>
      <c r="M178" s="625">
        <f t="shared" si="84"/>
        <v>0</v>
      </c>
      <c r="N178" s="624">
        <f t="shared" ref="N178:N182" si="87">IF(AE$182&gt;0,(AE178/AE$182),0)</f>
        <v>0</v>
      </c>
      <c r="O178" s="624">
        <f t="shared" si="85"/>
        <v>0</v>
      </c>
      <c r="P178" s="626">
        <f t="shared" si="85"/>
        <v>0</v>
      </c>
      <c r="Q178" s="624">
        <f t="shared" si="85"/>
        <v>0</v>
      </c>
      <c r="R178" s="357"/>
      <c r="S178" s="858">
        <v>279</v>
      </c>
      <c r="T178" s="858">
        <v>211</v>
      </c>
      <c r="U178" s="858"/>
      <c r="V178" s="858"/>
      <c r="W178" s="858"/>
      <c r="X178" s="858">
        <v>9</v>
      </c>
      <c r="Y178" s="859">
        <v>499</v>
      </c>
      <c r="Z178" s="859"/>
      <c r="AA178" s="858"/>
      <c r="AB178" s="858"/>
      <c r="AC178" s="858"/>
      <c r="AD178" s="858"/>
      <c r="AE178" s="859"/>
      <c r="AF178" s="859"/>
      <c r="AG178" s="858"/>
      <c r="AH178" s="859"/>
    </row>
    <row r="179" spans="1:34">
      <c r="A179" s="239"/>
      <c r="B179" s="239" t="s">
        <v>55</v>
      </c>
      <c r="C179" s="806">
        <f t="shared" si="86"/>
        <v>0.23734939759036144</v>
      </c>
      <c r="D179" s="806">
        <f t="shared" si="84"/>
        <v>0.21052631578947367</v>
      </c>
      <c r="E179" s="806">
        <f t="shared" si="84"/>
        <v>0</v>
      </c>
      <c r="F179" s="806">
        <f t="shared" si="84"/>
        <v>0</v>
      </c>
      <c r="G179" s="806">
        <f t="shared" si="84"/>
        <v>0</v>
      </c>
      <c r="H179" s="806">
        <f t="shared" si="84"/>
        <v>0.1743119266055046</v>
      </c>
      <c r="I179" s="624">
        <f t="shared" si="84"/>
        <v>0.22251308900523561</v>
      </c>
      <c r="J179" s="624">
        <f t="shared" si="84"/>
        <v>0</v>
      </c>
      <c r="K179" s="625">
        <f t="shared" si="84"/>
        <v>0</v>
      </c>
      <c r="L179" s="625">
        <f t="shared" si="84"/>
        <v>0</v>
      </c>
      <c r="M179" s="625">
        <f t="shared" si="84"/>
        <v>0</v>
      </c>
      <c r="N179" s="624">
        <f t="shared" si="87"/>
        <v>0</v>
      </c>
      <c r="O179" s="624">
        <f t="shared" si="85"/>
        <v>0</v>
      </c>
      <c r="P179" s="626">
        <f t="shared" si="85"/>
        <v>0</v>
      </c>
      <c r="Q179" s="624">
        <f t="shared" si="85"/>
        <v>0</v>
      </c>
      <c r="R179" s="357"/>
      <c r="S179" s="858">
        <v>197</v>
      </c>
      <c r="T179" s="858">
        <v>124</v>
      </c>
      <c r="U179" s="858"/>
      <c r="V179" s="858"/>
      <c r="W179" s="858"/>
      <c r="X179" s="858">
        <v>19</v>
      </c>
      <c r="Y179" s="859">
        <v>340</v>
      </c>
      <c r="Z179" s="859"/>
      <c r="AA179" s="858"/>
      <c r="AB179" s="858"/>
      <c r="AC179" s="858"/>
      <c r="AD179" s="858"/>
      <c r="AE179" s="859"/>
      <c r="AF179" s="859"/>
      <c r="AG179" s="858"/>
      <c r="AH179" s="859"/>
    </row>
    <row r="180" spans="1:34">
      <c r="A180" s="239"/>
      <c r="B180" s="239" t="s">
        <v>78</v>
      </c>
      <c r="C180" s="806">
        <f t="shared" si="86"/>
        <v>1.2048192771084338E-3</v>
      </c>
      <c r="D180" s="806">
        <f t="shared" si="84"/>
        <v>1.5280135823429542E-2</v>
      </c>
      <c r="E180" s="806">
        <f t="shared" si="84"/>
        <v>0</v>
      </c>
      <c r="F180" s="806">
        <f t="shared" si="84"/>
        <v>0</v>
      </c>
      <c r="G180" s="806">
        <f t="shared" si="84"/>
        <v>0</v>
      </c>
      <c r="H180" s="806">
        <f t="shared" si="84"/>
        <v>0.24770642201834864</v>
      </c>
      <c r="I180" s="624">
        <f t="shared" si="84"/>
        <v>2.4214659685863876E-2</v>
      </c>
      <c r="J180" s="624">
        <f t="shared" si="84"/>
        <v>0</v>
      </c>
      <c r="K180" s="625">
        <f t="shared" si="84"/>
        <v>0</v>
      </c>
      <c r="L180" s="625">
        <f t="shared" si="84"/>
        <v>0</v>
      </c>
      <c r="M180" s="625">
        <f t="shared" si="84"/>
        <v>0</v>
      </c>
      <c r="N180" s="624">
        <f t="shared" si="87"/>
        <v>0.321377331420373</v>
      </c>
      <c r="O180" s="624">
        <f t="shared" si="85"/>
        <v>0</v>
      </c>
      <c r="P180" s="626">
        <f t="shared" si="85"/>
        <v>0</v>
      </c>
      <c r="Q180" s="624">
        <f t="shared" si="85"/>
        <v>0</v>
      </c>
      <c r="R180" s="357"/>
      <c r="S180" s="858">
        <v>1</v>
      </c>
      <c r="T180" s="858">
        <v>9</v>
      </c>
      <c r="U180" s="858"/>
      <c r="V180" s="858"/>
      <c r="W180" s="858"/>
      <c r="X180" s="858">
        <v>27</v>
      </c>
      <c r="Y180" s="859">
        <v>37</v>
      </c>
      <c r="Z180" s="859"/>
      <c r="AA180" s="858"/>
      <c r="AB180" s="858"/>
      <c r="AC180" s="858"/>
      <c r="AD180" s="858"/>
      <c r="AE180" s="859">
        <v>224</v>
      </c>
      <c r="AF180" s="859"/>
      <c r="AG180" s="858"/>
      <c r="AH180" s="859"/>
    </row>
    <row r="181" spans="1:34">
      <c r="A181" s="580"/>
      <c r="B181" s="580" t="s">
        <v>131</v>
      </c>
      <c r="C181" s="806">
        <f t="shared" si="86"/>
        <v>8.91566265060241E-2</v>
      </c>
      <c r="D181" s="806">
        <f t="shared" si="84"/>
        <v>0.11884550084889643</v>
      </c>
      <c r="E181" s="806">
        <f t="shared" si="84"/>
        <v>0</v>
      </c>
      <c r="F181" s="806">
        <f t="shared" si="84"/>
        <v>0</v>
      </c>
      <c r="G181" s="806">
        <f t="shared" si="84"/>
        <v>0</v>
      </c>
      <c r="H181" s="806">
        <f t="shared" si="84"/>
        <v>0.15596330275229359</v>
      </c>
      <c r="I181" s="624">
        <f t="shared" si="84"/>
        <v>0.10536649214659685</v>
      </c>
      <c r="J181" s="624">
        <f t="shared" si="84"/>
        <v>0</v>
      </c>
      <c r="K181" s="625">
        <f t="shared" si="84"/>
        <v>0</v>
      </c>
      <c r="L181" s="625">
        <f t="shared" si="84"/>
        <v>0</v>
      </c>
      <c r="M181" s="625">
        <f t="shared" si="84"/>
        <v>0</v>
      </c>
      <c r="N181" s="624">
        <f t="shared" si="87"/>
        <v>0</v>
      </c>
      <c r="O181" s="624">
        <f t="shared" si="85"/>
        <v>0</v>
      </c>
      <c r="P181" s="626">
        <f t="shared" si="85"/>
        <v>0</v>
      </c>
      <c r="Q181" s="624">
        <f t="shared" si="85"/>
        <v>0</v>
      </c>
      <c r="R181" s="357"/>
      <c r="S181" s="858">
        <v>74</v>
      </c>
      <c r="T181" s="858">
        <v>70</v>
      </c>
      <c r="U181" s="858"/>
      <c r="V181" s="858"/>
      <c r="W181" s="858"/>
      <c r="X181" s="858">
        <v>17</v>
      </c>
      <c r="Y181" s="859">
        <v>161</v>
      </c>
      <c r="Z181" s="859"/>
      <c r="AA181" s="858"/>
      <c r="AB181" s="858"/>
      <c r="AC181" s="858"/>
      <c r="AD181" s="858"/>
      <c r="AE181" s="859"/>
      <c r="AF181" s="859"/>
      <c r="AG181" s="858"/>
      <c r="AH181" s="859"/>
    </row>
    <row r="182" spans="1:34">
      <c r="A182" s="436"/>
      <c r="B182" s="436" t="s">
        <v>59</v>
      </c>
      <c r="C182" s="807">
        <f t="shared" si="86"/>
        <v>1</v>
      </c>
      <c r="D182" s="808">
        <f t="shared" si="84"/>
        <v>1</v>
      </c>
      <c r="E182" s="808">
        <f t="shared" si="84"/>
        <v>0</v>
      </c>
      <c r="F182" s="808">
        <f t="shared" si="84"/>
        <v>0</v>
      </c>
      <c r="G182" s="808">
        <f t="shared" si="84"/>
        <v>0</v>
      </c>
      <c r="H182" s="809">
        <f t="shared" si="84"/>
        <v>1</v>
      </c>
      <c r="I182" s="577">
        <f t="shared" si="84"/>
        <v>1</v>
      </c>
      <c r="J182" s="577">
        <f t="shared" si="84"/>
        <v>0</v>
      </c>
      <c r="K182" s="578">
        <f t="shared" si="84"/>
        <v>0</v>
      </c>
      <c r="L182" s="578">
        <f t="shared" si="84"/>
        <v>0</v>
      </c>
      <c r="M182" s="578">
        <f t="shared" si="84"/>
        <v>0</v>
      </c>
      <c r="N182" s="577">
        <f t="shared" si="87"/>
        <v>1</v>
      </c>
      <c r="O182" s="577">
        <f t="shared" si="85"/>
        <v>0</v>
      </c>
      <c r="P182" s="579">
        <f t="shared" si="85"/>
        <v>0</v>
      </c>
      <c r="Q182" s="577">
        <f t="shared" si="85"/>
        <v>0</v>
      </c>
      <c r="R182" s="357"/>
      <c r="S182" s="858">
        <v>830</v>
      </c>
      <c r="T182" s="858">
        <v>589</v>
      </c>
      <c r="U182" s="858"/>
      <c r="V182" s="858"/>
      <c r="W182" s="858"/>
      <c r="X182" s="858">
        <v>109</v>
      </c>
      <c r="Y182" s="859">
        <v>1528</v>
      </c>
      <c r="Z182" s="859"/>
      <c r="AA182" s="858"/>
      <c r="AB182" s="858"/>
      <c r="AC182" s="858"/>
      <c r="AD182" s="858"/>
      <c r="AE182" s="859">
        <v>697</v>
      </c>
      <c r="AF182" s="859"/>
      <c r="AG182" s="858"/>
      <c r="AH182" s="859"/>
    </row>
    <row r="183" spans="1:34">
      <c r="A183" s="240" t="s">
        <v>157</v>
      </c>
      <c r="B183" s="240" t="s">
        <v>53</v>
      </c>
      <c r="C183" s="806">
        <f>IF(S$188&gt;0,(S183/S$188),0)</f>
        <v>0.30296127562642367</v>
      </c>
      <c r="D183" s="806">
        <f t="shared" ref="D183:M188" si="88">IF(T$188&gt;0,(T183/T$188),0)</f>
        <v>0.30769230769230771</v>
      </c>
      <c r="E183" s="806">
        <f t="shared" si="88"/>
        <v>0</v>
      </c>
      <c r="F183" s="806">
        <f t="shared" si="88"/>
        <v>0.25310173697270472</v>
      </c>
      <c r="G183" s="806">
        <f t="shared" si="88"/>
        <v>0.35294117647058826</v>
      </c>
      <c r="H183" s="806">
        <f t="shared" si="88"/>
        <v>0</v>
      </c>
      <c r="I183" s="613">
        <f t="shared" si="88"/>
        <v>0.29723166585721222</v>
      </c>
      <c r="J183" s="613">
        <f t="shared" si="88"/>
        <v>0</v>
      </c>
      <c r="K183" s="614">
        <f t="shared" si="88"/>
        <v>0</v>
      </c>
      <c r="L183" s="614">
        <f t="shared" si="88"/>
        <v>0</v>
      </c>
      <c r="M183" s="614">
        <f t="shared" si="88"/>
        <v>0</v>
      </c>
      <c r="N183" s="613">
        <f>IF(AE$188&gt;0,(AE183/AE$188),0)</f>
        <v>0.12431587177482409</v>
      </c>
      <c r="O183" s="613">
        <f t="shared" ref="O183:Q188" si="89">IF(AF$188&gt;0,(AF183/AF$188),0)</f>
        <v>0</v>
      </c>
      <c r="P183" s="615">
        <f t="shared" si="89"/>
        <v>0</v>
      </c>
      <c r="Q183" s="613">
        <f t="shared" si="89"/>
        <v>0</v>
      </c>
      <c r="R183" s="799"/>
      <c r="S183" s="856">
        <v>266</v>
      </c>
      <c r="T183" s="856">
        <v>208</v>
      </c>
      <c r="U183" s="856"/>
      <c r="V183" s="856">
        <v>102</v>
      </c>
      <c r="W183" s="856">
        <v>36</v>
      </c>
      <c r="X183" s="856"/>
      <c r="Y183" s="857">
        <v>612</v>
      </c>
      <c r="Z183" s="857"/>
      <c r="AA183" s="856"/>
      <c r="AB183" s="856"/>
      <c r="AC183" s="856"/>
      <c r="AD183" s="856"/>
      <c r="AE183" s="857">
        <v>159</v>
      </c>
      <c r="AF183" s="857"/>
      <c r="AG183" s="856"/>
      <c r="AH183" s="857"/>
    </row>
    <row r="184" spans="1:34">
      <c r="A184" s="239"/>
      <c r="B184" s="239" t="s">
        <v>93</v>
      </c>
      <c r="C184" s="806">
        <f t="shared" ref="C184:C188" si="90">IF(S$188&gt;0,(S184/S$188),0)</f>
        <v>0.27904328018223234</v>
      </c>
      <c r="D184" s="806">
        <f t="shared" si="88"/>
        <v>0.34467455621301774</v>
      </c>
      <c r="E184" s="806">
        <f t="shared" si="88"/>
        <v>0</v>
      </c>
      <c r="F184" s="806">
        <f t="shared" si="88"/>
        <v>0.32009925558312657</v>
      </c>
      <c r="G184" s="806">
        <f t="shared" si="88"/>
        <v>0.19607843137254902</v>
      </c>
      <c r="H184" s="806">
        <f t="shared" si="88"/>
        <v>0</v>
      </c>
      <c r="I184" s="624">
        <f t="shared" si="88"/>
        <v>0.30451675570665371</v>
      </c>
      <c r="J184" s="624">
        <f t="shared" si="88"/>
        <v>0</v>
      </c>
      <c r="K184" s="625">
        <f t="shared" si="88"/>
        <v>0</v>
      </c>
      <c r="L184" s="625">
        <f t="shared" si="88"/>
        <v>0</v>
      </c>
      <c r="M184" s="625">
        <f t="shared" si="88"/>
        <v>0</v>
      </c>
      <c r="N184" s="624">
        <f t="shared" ref="N184:N188" si="91">IF(AE$188&gt;0,(AE184/AE$188),0)</f>
        <v>9.8514464425332293E-2</v>
      </c>
      <c r="O184" s="624">
        <f t="shared" si="89"/>
        <v>0</v>
      </c>
      <c r="P184" s="626">
        <f t="shared" si="89"/>
        <v>0</v>
      </c>
      <c r="Q184" s="624">
        <f t="shared" si="89"/>
        <v>0</v>
      </c>
      <c r="R184" s="357"/>
      <c r="S184" s="858">
        <v>245</v>
      </c>
      <c r="T184" s="858">
        <v>233</v>
      </c>
      <c r="U184" s="858"/>
      <c r="V184" s="858">
        <v>129</v>
      </c>
      <c r="W184" s="858">
        <v>20</v>
      </c>
      <c r="X184" s="858"/>
      <c r="Y184" s="859">
        <v>627</v>
      </c>
      <c r="Z184" s="859"/>
      <c r="AA184" s="858"/>
      <c r="AB184" s="858"/>
      <c r="AC184" s="858"/>
      <c r="AD184" s="858"/>
      <c r="AE184" s="859">
        <v>126</v>
      </c>
      <c r="AF184" s="859"/>
      <c r="AG184" s="858"/>
      <c r="AH184" s="859"/>
    </row>
    <row r="185" spans="1:34">
      <c r="A185" s="239"/>
      <c r="B185" s="239" t="s">
        <v>55</v>
      </c>
      <c r="C185" s="806">
        <f t="shared" si="90"/>
        <v>0.26651480637813213</v>
      </c>
      <c r="D185" s="806">
        <f t="shared" si="88"/>
        <v>0.3062130177514793</v>
      </c>
      <c r="E185" s="806">
        <f t="shared" si="88"/>
        <v>0</v>
      </c>
      <c r="F185" s="806">
        <f t="shared" si="88"/>
        <v>0.28287841191066998</v>
      </c>
      <c r="G185" s="806">
        <f t="shared" si="88"/>
        <v>0.44117647058823528</v>
      </c>
      <c r="H185" s="806">
        <f t="shared" si="88"/>
        <v>0</v>
      </c>
      <c r="I185" s="624">
        <f t="shared" si="88"/>
        <v>0.29140359397765908</v>
      </c>
      <c r="J185" s="624">
        <f t="shared" si="88"/>
        <v>0</v>
      </c>
      <c r="K185" s="625">
        <f t="shared" si="88"/>
        <v>0</v>
      </c>
      <c r="L185" s="625">
        <f t="shared" si="88"/>
        <v>0</v>
      </c>
      <c r="M185" s="625">
        <f t="shared" si="88"/>
        <v>0</v>
      </c>
      <c r="N185" s="624">
        <f t="shared" si="91"/>
        <v>0.19546520719311963</v>
      </c>
      <c r="O185" s="624">
        <f t="shared" si="89"/>
        <v>0</v>
      </c>
      <c r="P185" s="626">
        <f t="shared" si="89"/>
        <v>0</v>
      </c>
      <c r="Q185" s="624">
        <f t="shared" si="89"/>
        <v>0</v>
      </c>
      <c r="R185" s="357"/>
      <c r="S185" s="858">
        <v>234</v>
      </c>
      <c r="T185" s="858">
        <v>207</v>
      </c>
      <c r="U185" s="858"/>
      <c r="V185" s="858">
        <v>114</v>
      </c>
      <c r="W185" s="858">
        <v>45</v>
      </c>
      <c r="X185" s="858"/>
      <c r="Y185" s="859">
        <v>600</v>
      </c>
      <c r="Z185" s="859"/>
      <c r="AA185" s="858"/>
      <c r="AB185" s="858"/>
      <c r="AC185" s="858"/>
      <c r="AD185" s="858"/>
      <c r="AE185" s="859">
        <v>250</v>
      </c>
      <c r="AF185" s="859"/>
      <c r="AG185" s="858"/>
      <c r="AH185" s="859"/>
    </row>
    <row r="186" spans="1:34">
      <c r="A186" s="239"/>
      <c r="B186" s="239" t="s">
        <v>78</v>
      </c>
      <c r="C186" s="806">
        <f t="shared" si="90"/>
        <v>3.4168564920273349E-3</v>
      </c>
      <c r="D186" s="806">
        <f t="shared" si="88"/>
        <v>1.9230769230769232E-2</v>
      </c>
      <c r="E186" s="806">
        <f t="shared" si="88"/>
        <v>0</v>
      </c>
      <c r="F186" s="806">
        <f t="shared" si="88"/>
        <v>0.12903225806451613</v>
      </c>
      <c r="G186" s="806">
        <f t="shared" si="88"/>
        <v>9.8039215686274508E-3</v>
      </c>
      <c r="H186" s="806">
        <f t="shared" si="88"/>
        <v>0</v>
      </c>
      <c r="I186" s="624">
        <f t="shared" si="88"/>
        <v>3.3511413307430793E-2</v>
      </c>
      <c r="J186" s="624">
        <f t="shared" si="88"/>
        <v>0</v>
      </c>
      <c r="K186" s="625">
        <f t="shared" si="88"/>
        <v>0</v>
      </c>
      <c r="L186" s="625">
        <f t="shared" si="88"/>
        <v>0</v>
      </c>
      <c r="M186" s="625">
        <f t="shared" si="88"/>
        <v>0</v>
      </c>
      <c r="N186" s="624">
        <f t="shared" si="91"/>
        <v>0.49100860046911649</v>
      </c>
      <c r="O186" s="624">
        <f t="shared" si="89"/>
        <v>0</v>
      </c>
      <c r="P186" s="626">
        <f t="shared" si="89"/>
        <v>0</v>
      </c>
      <c r="Q186" s="624">
        <f t="shared" si="89"/>
        <v>0</v>
      </c>
      <c r="R186" s="357"/>
      <c r="S186" s="858">
        <v>3</v>
      </c>
      <c r="T186" s="858">
        <v>13</v>
      </c>
      <c r="U186" s="858"/>
      <c r="V186" s="858">
        <v>52</v>
      </c>
      <c r="W186" s="858">
        <v>1</v>
      </c>
      <c r="X186" s="858"/>
      <c r="Y186" s="859">
        <v>69</v>
      </c>
      <c r="Z186" s="859"/>
      <c r="AA186" s="858"/>
      <c r="AB186" s="858"/>
      <c r="AC186" s="858"/>
      <c r="AD186" s="858"/>
      <c r="AE186" s="859">
        <v>628</v>
      </c>
      <c r="AF186" s="859"/>
      <c r="AG186" s="858"/>
      <c r="AH186" s="859"/>
    </row>
    <row r="187" spans="1:34">
      <c r="A187" s="580"/>
      <c r="B187" s="580" t="s">
        <v>131</v>
      </c>
      <c r="C187" s="806">
        <f t="shared" si="90"/>
        <v>0.1480637813211845</v>
      </c>
      <c r="D187" s="806">
        <f t="shared" si="88"/>
        <v>2.2189349112426034E-2</v>
      </c>
      <c r="E187" s="806">
        <f t="shared" si="88"/>
        <v>0</v>
      </c>
      <c r="F187" s="806">
        <f t="shared" si="88"/>
        <v>1.488833746898263E-2</v>
      </c>
      <c r="G187" s="806">
        <f t="shared" si="88"/>
        <v>0</v>
      </c>
      <c r="H187" s="806">
        <f t="shared" si="88"/>
        <v>0</v>
      </c>
      <c r="I187" s="624">
        <f t="shared" si="88"/>
        <v>7.3336571151044194E-2</v>
      </c>
      <c r="J187" s="624">
        <f t="shared" si="88"/>
        <v>0</v>
      </c>
      <c r="K187" s="625">
        <f t="shared" si="88"/>
        <v>0</v>
      </c>
      <c r="L187" s="625">
        <f t="shared" si="88"/>
        <v>0</v>
      </c>
      <c r="M187" s="625">
        <f t="shared" si="88"/>
        <v>0</v>
      </c>
      <c r="N187" s="624">
        <f t="shared" si="91"/>
        <v>9.06958561376075E-2</v>
      </c>
      <c r="O187" s="624">
        <f t="shared" si="89"/>
        <v>0</v>
      </c>
      <c r="P187" s="626">
        <f t="shared" si="89"/>
        <v>0</v>
      </c>
      <c r="Q187" s="624">
        <f t="shared" si="89"/>
        <v>0</v>
      </c>
      <c r="R187" s="357"/>
      <c r="S187" s="858">
        <v>130</v>
      </c>
      <c r="T187" s="858">
        <v>15</v>
      </c>
      <c r="U187" s="858"/>
      <c r="V187" s="858">
        <v>6</v>
      </c>
      <c r="W187" s="858"/>
      <c r="X187" s="858"/>
      <c r="Y187" s="859">
        <v>151</v>
      </c>
      <c r="Z187" s="859"/>
      <c r="AA187" s="858"/>
      <c r="AB187" s="858"/>
      <c r="AC187" s="858"/>
      <c r="AD187" s="858"/>
      <c r="AE187" s="859">
        <v>116</v>
      </c>
      <c r="AF187" s="859"/>
      <c r="AG187" s="858"/>
      <c r="AH187" s="859"/>
    </row>
    <row r="188" spans="1:34">
      <c r="A188" s="436"/>
      <c r="B188" s="436" t="s">
        <v>59</v>
      </c>
      <c r="C188" s="807">
        <f t="shared" si="90"/>
        <v>1</v>
      </c>
      <c r="D188" s="808">
        <f t="shared" si="88"/>
        <v>1</v>
      </c>
      <c r="E188" s="808">
        <f t="shared" si="88"/>
        <v>0</v>
      </c>
      <c r="F188" s="808">
        <f t="shared" si="88"/>
        <v>1</v>
      </c>
      <c r="G188" s="808">
        <f t="shared" si="88"/>
        <v>1</v>
      </c>
      <c r="H188" s="809">
        <f t="shared" si="88"/>
        <v>0</v>
      </c>
      <c r="I188" s="577">
        <f t="shared" si="88"/>
        <v>1</v>
      </c>
      <c r="J188" s="577">
        <f t="shared" si="88"/>
        <v>0</v>
      </c>
      <c r="K188" s="578">
        <f t="shared" si="88"/>
        <v>0</v>
      </c>
      <c r="L188" s="578">
        <f t="shared" si="88"/>
        <v>0</v>
      </c>
      <c r="M188" s="578">
        <f t="shared" si="88"/>
        <v>0</v>
      </c>
      <c r="N188" s="577">
        <f t="shared" si="91"/>
        <v>1</v>
      </c>
      <c r="O188" s="577">
        <f t="shared" si="89"/>
        <v>0</v>
      </c>
      <c r="P188" s="579">
        <f t="shared" si="89"/>
        <v>0</v>
      </c>
      <c r="Q188" s="577">
        <f t="shared" si="89"/>
        <v>0</v>
      </c>
      <c r="R188" s="357"/>
      <c r="S188" s="858">
        <v>878</v>
      </c>
      <c r="T188" s="858">
        <v>676</v>
      </c>
      <c r="U188" s="858"/>
      <c r="V188" s="858">
        <v>403</v>
      </c>
      <c r="W188" s="858">
        <v>102</v>
      </c>
      <c r="X188" s="858"/>
      <c r="Y188" s="859">
        <v>2059</v>
      </c>
      <c r="Z188" s="859"/>
      <c r="AA188" s="858"/>
      <c r="AB188" s="858"/>
      <c r="AC188" s="858"/>
      <c r="AD188" s="858"/>
      <c r="AE188" s="859">
        <v>1279</v>
      </c>
      <c r="AF188" s="859"/>
      <c r="AG188" s="858"/>
      <c r="AH188" s="859"/>
    </row>
    <row r="189" spans="1:34">
      <c r="A189" s="240" t="s">
        <v>161</v>
      </c>
      <c r="B189" s="240" t="s">
        <v>53</v>
      </c>
      <c r="C189" s="806">
        <f>IF(S$194&gt;0,(S189/S$194),0)</f>
        <v>0.2254364089775561</v>
      </c>
      <c r="D189" s="806">
        <f t="shared" ref="D189:M194" si="92">IF(T$194&gt;0,(T189/T$194),0)</f>
        <v>0.30434782608695654</v>
      </c>
      <c r="E189" s="806">
        <f t="shared" si="92"/>
        <v>0.33971291866028708</v>
      </c>
      <c r="F189" s="806">
        <f t="shared" si="92"/>
        <v>0.32421875</v>
      </c>
      <c r="G189" s="806">
        <f t="shared" si="92"/>
        <v>0.23214285714285715</v>
      </c>
      <c r="H189" s="806">
        <f t="shared" si="92"/>
        <v>0.33858267716535434</v>
      </c>
      <c r="I189" s="613">
        <f t="shared" si="92"/>
        <v>0.26124567474048443</v>
      </c>
      <c r="J189" s="613">
        <f t="shared" si="92"/>
        <v>0</v>
      </c>
      <c r="K189" s="614">
        <f t="shared" si="92"/>
        <v>0</v>
      </c>
      <c r="L189" s="614">
        <f t="shared" si="92"/>
        <v>0</v>
      </c>
      <c r="M189" s="614">
        <f t="shared" si="92"/>
        <v>0</v>
      </c>
      <c r="N189" s="613">
        <f>IF(AE$194&gt;0,(AE189/AE$194),0)</f>
        <v>3.5476718403547672E-2</v>
      </c>
      <c r="O189" s="613">
        <f t="shared" ref="O189:Q194" si="93">IF(AF$194&gt;0,(AF189/AF$194),0)</f>
        <v>0</v>
      </c>
      <c r="P189" s="615">
        <f t="shared" si="93"/>
        <v>0</v>
      </c>
      <c r="Q189" s="613">
        <f t="shared" si="93"/>
        <v>0</v>
      </c>
      <c r="R189" s="799"/>
      <c r="S189" s="856">
        <v>452</v>
      </c>
      <c r="T189" s="856">
        <v>231</v>
      </c>
      <c r="U189" s="856">
        <v>71</v>
      </c>
      <c r="V189" s="856">
        <v>83</v>
      </c>
      <c r="W189" s="856">
        <v>26</v>
      </c>
      <c r="X189" s="856">
        <v>43</v>
      </c>
      <c r="Y189" s="857">
        <v>906</v>
      </c>
      <c r="Z189" s="857"/>
      <c r="AA189" s="856"/>
      <c r="AB189" s="856"/>
      <c r="AC189" s="856"/>
      <c r="AD189" s="856"/>
      <c r="AE189" s="857">
        <v>64</v>
      </c>
      <c r="AF189" s="857"/>
      <c r="AG189" s="856"/>
      <c r="AH189" s="857"/>
    </row>
    <row r="190" spans="1:34">
      <c r="A190" s="239"/>
      <c r="B190" s="239" t="s">
        <v>93</v>
      </c>
      <c r="C190" s="806">
        <f t="shared" ref="C190:C194" si="94">IF(S$194&gt;0,(S190/S$194),0)</f>
        <v>0.23890274314214463</v>
      </c>
      <c r="D190" s="806">
        <f t="shared" si="92"/>
        <v>0.24505928853754941</v>
      </c>
      <c r="E190" s="806">
        <f t="shared" si="92"/>
        <v>0.21052631578947367</v>
      </c>
      <c r="F190" s="806">
        <f t="shared" si="92"/>
        <v>0.2265625</v>
      </c>
      <c r="G190" s="806">
        <f t="shared" si="92"/>
        <v>0.25892857142857145</v>
      </c>
      <c r="H190" s="806">
        <f t="shared" si="92"/>
        <v>0.2283464566929134</v>
      </c>
      <c r="I190" s="624">
        <f t="shared" si="92"/>
        <v>0.23788927335640139</v>
      </c>
      <c r="J190" s="624">
        <f t="shared" si="92"/>
        <v>0</v>
      </c>
      <c r="K190" s="625">
        <f t="shared" si="92"/>
        <v>0</v>
      </c>
      <c r="L190" s="625">
        <f t="shared" si="92"/>
        <v>0</v>
      </c>
      <c r="M190" s="625">
        <f t="shared" si="92"/>
        <v>0</v>
      </c>
      <c r="N190" s="624">
        <f t="shared" ref="N190:N194" si="95">IF(AE$194&gt;0,(AE190/AE$194),0)</f>
        <v>1.8292682926829267E-2</v>
      </c>
      <c r="O190" s="624">
        <f t="shared" si="93"/>
        <v>0</v>
      </c>
      <c r="P190" s="626">
        <f t="shared" si="93"/>
        <v>0</v>
      </c>
      <c r="Q190" s="624">
        <f t="shared" si="93"/>
        <v>0</v>
      </c>
      <c r="R190" s="357"/>
      <c r="S190" s="858">
        <v>479</v>
      </c>
      <c r="T190" s="858">
        <v>186</v>
      </c>
      <c r="U190" s="858">
        <v>44</v>
      </c>
      <c r="V190" s="858">
        <v>58</v>
      </c>
      <c r="W190" s="858">
        <v>29</v>
      </c>
      <c r="X190" s="858">
        <v>29</v>
      </c>
      <c r="Y190" s="859">
        <v>825</v>
      </c>
      <c r="Z190" s="859"/>
      <c r="AA190" s="858"/>
      <c r="AB190" s="858"/>
      <c r="AC190" s="858"/>
      <c r="AD190" s="858"/>
      <c r="AE190" s="859">
        <v>33</v>
      </c>
      <c r="AF190" s="859"/>
      <c r="AG190" s="858"/>
      <c r="AH190" s="859"/>
    </row>
    <row r="191" spans="1:34">
      <c r="A191" s="239"/>
      <c r="B191" s="239" t="s">
        <v>55</v>
      </c>
      <c r="C191" s="806">
        <f t="shared" si="94"/>
        <v>0.21147132169576061</v>
      </c>
      <c r="D191" s="806">
        <f t="shared" si="92"/>
        <v>0.2621870882740448</v>
      </c>
      <c r="E191" s="806">
        <f t="shared" si="92"/>
        <v>0.25837320574162681</v>
      </c>
      <c r="F191" s="806">
        <f t="shared" si="92"/>
        <v>0.125</v>
      </c>
      <c r="G191" s="806">
        <f t="shared" si="92"/>
        <v>0.32142857142857145</v>
      </c>
      <c r="H191" s="806">
        <f t="shared" si="92"/>
        <v>0.3543307086614173</v>
      </c>
      <c r="I191" s="624">
        <f t="shared" si="92"/>
        <v>0.22779700115340254</v>
      </c>
      <c r="J191" s="624">
        <f t="shared" si="92"/>
        <v>0</v>
      </c>
      <c r="K191" s="625">
        <f t="shared" si="92"/>
        <v>0</v>
      </c>
      <c r="L191" s="625">
        <f t="shared" si="92"/>
        <v>0</v>
      </c>
      <c r="M191" s="625">
        <f t="shared" si="92"/>
        <v>0</v>
      </c>
      <c r="N191" s="624">
        <f t="shared" si="95"/>
        <v>2.5498891352549888E-2</v>
      </c>
      <c r="O191" s="624">
        <f t="shared" si="93"/>
        <v>0</v>
      </c>
      <c r="P191" s="626">
        <f t="shared" si="93"/>
        <v>0</v>
      </c>
      <c r="Q191" s="624">
        <f t="shared" si="93"/>
        <v>0</v>
      </c>
      <c r="R191" s="357"/>
      <c r="S191" s="858">
        <v>424</v>
      </c>
      <c r="T191" s="858">
        <v>199</v>
      </c>
      <c r="U191" s="858">
        <v>54</v>
      </c>
      <c r="V191" s="858">
        <v>32</v>
      </c>
      <c r="W191" s="858">
        <v>36</v>
      </c>
      <c r="X191" s="858">
        <v>45</v>
      </c>
      <c r="Y191" s="859">
        <v>790</v>
      </c>
      <c r="Z191" s="859"/>
      <c r="AA191" s="858"/>
      <c r="AB191" s="858"/>
      <c r="AC191" s="858"/>
      <c r="AD191" s="858"/>
      <c r="AE191" s="859">
        <v>46</v>
      </c>
      <c r="AF191" s="859"/>
      <c r="AG191" s="858"/>
      <c r="AH191" s="859"/>
    </row>
    <row r="192" spans="1:34">
      <c r="A192" s="239"/>
      <c r="B192" s="239" t="s">
        <v>78</v>
      </c>
      <c r="C192" s="806">
        <f t="shared" si="94"/>
        <v>0.23241895261845386</v>
      </c>
      <c r="D192" s="806">
        <f t="shared" si="92"/>
        <v>0.18840579710144928</v>
      </c>
      <c r="E192" s="806">
        <f t="shared" si="92"/>
        <v>0.16267942583732056</v>
      </c>
      <c r="F192" s="806">
        <f t="shared" si="92"/>
        <v>0.23046875</v>
      </c>
      <c r="G192" s="806">
        <f t="shared" si="92"/>
        <v>0.125</v>
      </c>
      <c r="H192" s="806">
        <f t="shared" si="92"/>
        <v>7.874015748031496E-2</v>
      </c>
      <c r="I192" s="624">
        <f t="shared" si="92"/>
        <v>0.20934256055363321</v>
      </c>
      <c r="J192" s="624">
        <f t="shared" si="92"/>
        <v>0</v>
      </c>
      <c r="K192" s="625">
        <f t="shared" si="92"/>
        <v>0</v>
      </c>
      <c r="L192" s="625">
        <f t="shared" si="92"/>
        <v>0</v>
      </c>
      <c r="M192" s="625">
        <f t="shared" si="92"/>
        <v>0</v>
      </c>
      <c r="N192" s="624">
        <f t="shared" si="95"/>
        <v>0.68791574279379153</v>
      </c>
      <c r="O192" s="624">
        <f t="shared" si="93"/>
        <v>0</v>
      </c>
      <c r="P192" s="626">
        <f t="shared" si="93"/>
        <v>0</v>
      </c>
      <c r="Q192" s="624">
        <f t="shared" si="93"/>
        <v>0</v>
      </c>
      <c r="R192" s="357"/>
      <c r="S192" s="858">
        <v>466</v>
      </c>
      <c r="T192" s="858">
        <v>143</v>
      </c>
      <c r="U192" s="858">
        <v>34</v>
      </c>
      <c r="V192" s="858">
        <v>59</v>
      </c>
      <c r="W192" s="858">
        <v>14</v>
      </c>
      <c r="X192" s="858">
        <v>10</v>
      </c>
      <c r="Y192" s="859">
        <v>726</v>
      </c>
      <c r="Z192" s="859"/>
      <c r="AA192" s="858"/>
      <c r="AB192" s="858"/>
      <c r="AC192" s="858"/>
      <c r="AD192" s="858"/>
      <c r="AE192" s="859">
        <v>1241</v>
      </c>
      <c r="AF192" s="859"/>
      <c r="AG192" s="858"/>
      <c r="AH192" s="859"/>
    </row>
    <row r="193" spans="1:34">
      <c r="A193" s="580"/>
      <c r="B193" s="580" t="s">
        <v>131</v>
      </c>
      <c r="C193" s="806">
        <f t="shared" si="94"/>
        <v>9.1770573566084784E-2</v>
      </c>
      <c r="D193" s="806">
        <f t="shared" si="92"/>
        <v>0</v>
      </c>
      <c r="E193" s="806">
        <f t="shared" si="92"/>
        <v>2.8708133971291867E-2</v>
      </c>
      <c r="F193" s="806">
        <f t="shared" si="92"/>
        <v>9.375E-2</v>
      </c>
      <c r="G193" s="806">
        <f t="shared" si="92"/>
        <v>6.25E-2</v>
      </c>
      <c r="H193" s="806">
        <f t="shared" si="92"/>
        <v>0</v>
      </c>
      <c r="I193" s="624">
        <f t="shared" si="92"/>
        <v>6.3725490196078427E-2</v>
      </c>
      <c r="J193" s="624">
        <f t="shared" si="92"/>
        <v>0</v>
      </c>
      <c r="K193" s="625">
        <f t="shared" si="92"/>
        <v>0</v>
      </c>
      <c r="L193" s="625">
        <f t="shared" si="92"/>
        <v>0</v>
      </c>
      <c r="M193" s="625">
        <f t="shared" si="92"/>
        <v>0</v>
      </c>
      <c r="N193" s="624">
        <f t="shared" si="95"/>
        <v>0.2328159645232816</v>
      </c>
      <c r="O193" s="624">
        <f t="shared" si="93"/>
        <v>0</v>
      </c>
      <c r="P193" s="626">
        <f t="shared" si="93"/>
        <v>0</v>
      </c>
      <c r="Q193" s="624">
        <f t="shared" si="93"/>
        <v>0</v>
      </c>
      <c r="R193" s="357"/>
      <c r="S193" s="858">
        <v>184</v>
      </c>
      <c r="T193" s="858"/>
      <c r="U193" s="858">
        <v>6</v>
      </c>
      <c r="V193" s="858">
        <v>24</v>
      </c>
      <c r="W193" s="858">
        <v>7</v>
      </c>
      <c r="X193" s="858"/>
      <c r="Y193" s="859">
        <v>221</v>
      </c>
      <c r="Z193" s="859"/>
      <c r="AA193" s="858"/>
      <c r="AB193" s="858"/>
      <c r="AC193" s="858"/>
      <c r="AD193" s="858"/>
      <c r="AE193" s="859">
        <v>420</v>
      </c>
      <c r="AF193" s="859"/>
      <c r="AG193" s="858"/>
      <c r="AH193" s="859"/>
    </row>
    <row r="194" spans="1:34">
      <c r="A194" s="436"/>
      <c r="B194" s="436" t="s">
        <v>59</v>
      </c>
      <c r="C194" s="807">
        <f t="shared" si="94"/>
        <v>1</v>
      </c>
      <c r="D194" s="808">
        <f t="shared" si="92"/>
        <v>1</v>
      </c>
      <c r="E194" s="808">
        <f t="shared" si="92"/>
        <v>1</v>
      </c>
      <c r="F194" s="808">
        <f t="shared" si="92"/>
        <v>1</v>
      </c>
      <c r="G194" s="808">
        <f t="shared" si="92"/>
        <v>1</v>
      </c>
      <c r="H194" s="809">
        <f t="shared" si="92"/>
        <v>1</v>
      </c>
      <c r="I194" s="577">
        <f t="shared" si="92"/>
        <v>1</v>
      </c>
      <c r="J194" s="577">
        <f t="shared" si="92"/>
        <v>0</v>
      </c>
      <c r="K194" s="578">
        <f t="shared" si="92"/>
        <v>0</v>
      </c>
      <c r="L194" s="578">
        <f t="shared" si="92"/>
        <v>0</v>
      </c>
      <c r="M194" s="578">
        <f t="shared" si="92"/>
        <v>0</v>
      </c>
      <c r="N194" s="577">
        <f t="shared" si="95"/>
        <v>1</v>
      </c>
      <c r="O194" s="577">
        <f t="shared" si="93"/>
        <v>0</v>
      </c>
      <c r="P194" s="579">
        <f t="shared" si="93"/>
        <v>0</v>
      </c>
      <c r="Q194" s="577">
        <f t="shared" si="93"/>
        <v>0</v>
      </c>
      <c r="R194" s="357"/>
      <c r="S194" s="858">
        <v>2005</v>
      </c>
      <c r="T194" s="858">
        <v>759</v>
      </c>
      <c r="U194" s="858">
        <v>209</v>
      </c>
      <c r="V194" s="858">
        <v>256</v>
      </c>
      <c r="W194" s="858">
        <v>112</v>
      </c>
      <c r="X194" s="858">
        <v>127</v>
      </c>
      <c r="Y194" s="859">
        <v>3468</v>
      </c>
      <c r="Z194" s="859"/>
      <c r="AA194" s="858"/>
      <c r="AB194" s="858"/>
      <c r="AC194" s="858"/>
      <c r="AD194" s="858"/>
      <c r="AE194" s="859">
        <v>1804</v>
      </c>
      <c r="AF194" s="859"/>
      <c r="AG194" s="858"/>
      <c r="AH194" s="859"/>
    </row>
    <row r="195" spans="1:34">
      <c r="A195" s="240" t="s">
        <v>165</v>
      </c>
      <c r="B195" s="240" t="s">
        <v>53</v>
      </c>
      <c r="C195" s="806">
        <f>IF(S$200&gt;0,(S195/S$200),0)</f>
        <v>0.24175824175824176</v>
      </c>
      <c r="D195" s="806">
        <f t="shared" ref="D195:M200" si="96">IF(T$200&gt;0,(T195/T$200),0)</f>
        <v>0.21299638989169675</v>
      </c>
      <c r="E195" s="806">
        <f t="shared" si="96"/>
        <v>0</v>
      </c>
      <c r="F195" s="806">
        <f t="shared" si="96"/>
        <v>0.3146067415730337</v>
      </c>
      <c r="G195" s="806">
        <f t="shared" si="96"/>
        <v>0</v>
      </c>
      <c r="H195" s="806">
        <f t="shared" si="96"/>
        <v>0.19893190921228304</v>
      </c>
      <c r="I195" s="613">
        <f t="shared" si="96"/>
        <v>0.24078039495598383</v>
      </c>
      <c r="J195" s="613">
        <f t="shared" si="96"/>
        <v>0</v>
      </c>
      <c r="K195" s="614">
        <f t="shared" si="96"/>
        <v>0</v>
      </c>
      <c r="L195" s="614">
        <f t="shared" si="96"/>
        <v>0</v>
      </c>
      <c r="M195" s="614">
        <f t="shared" si="96"/>
        <v>0</v>
      </c>
      <c r="N195" s="613">
        <f>IF(AE$200&gt;0,(AE195/AE$200),0)</f>
        <v>0.14410480349344978</v>
      </c>
      <c r="O195" s="613">
        <f t="shared" ref="O195:Q200" si="97">IF(AF$200&gt;0,(AF195/AF$200),0)</f>
        <v>0</v>
      </c>
      <c r="P195" s="615">
        <f t="shared" si="97"/>
        <v>0</v>
      </c>
      <c r="Q195" s="613">
        <f t="shared" si="97"/>
        <v>0</v>
      </c>
      <c r="R195" s="799"/>
      <c r="S195" s="856">
        <v>462</v>
      </c>
      <c r="T195" s="856">
        <v>177</v>
      </c>
      <c r="U195" s="856"/>
      <c r="V195" s="856">
        <v>224</v>
      </c>
      <c r="W195" s="856"/>
      <c r="X195" s="856">
        <v>149</v>
      </c>
      <c r="Y195" s="857">
        <v>1012</v>
      </c>
      <c r="Z195" s="857"/>
      <c r="AA195" s="856"/>
      <c r="AB195" s="856"/>
      <c r="AC195" s="856"/>
      <c r="AD195" s="856"/>
      <c r="AE195" s="857">
        <v>66</v>
      </c>
      <c r="AF195" s="857"/>
      <c r="AG195" s="856"/>
      <c r="AH195" s="857"/>
    </row>
    <row r="196" spans="1:34">
      <c r="A196" s="239"/>
      <c r="B196" s="239" t="s">
        <v>93</v>
      </c>
      <c r="C196" s="806">
        <f t="shared" ref="C196:C200" si="98">IF(S$200&gt;0,(S196/S$200),0)</f>
        <v>0.19047619047619047</v>
      </c>
      <c r="D196" s="806">
        <f t="shared" si="96"/>
        <v>0.35138387484957884</v>
      </c>
      <c r="E196" s="806">
        <f t="shared" si="96"/>
        <v>0</v>
      </c>
      <c r="F196" s="806">
        <f t="shared" si="96"/>
        <v>0.2556179775280899</v>
      </c>
      <c r="G196" s="806">
        <f t="shared" si="96"/>
        <v>0</v>
      </c>
      <c r="H196" s="806">
        <f t="shared" si="96"/>
        <v>0.32309746328437916</v>
      </c>
      <c r="I196" s="624">
        <f t="shared" si="96"/>
        <v>0.2569593147751606</v>
      </c>
      <c r="J196" s="624">
        <f t="shared" si="96"/>
        <v>0</v>
      </c>
      <c r="K196" s="625">
        <f t="shared" si="96"/>
        <v>0</v>
      </c>
      <c r="L196" s="625">
        <f t="shared" si="96"/>
        <v>0</v>
      </c>
      <c r="M196" s="625">
        <f t="shared" si="96"/>
        <v>0</v>
      </c>
      <c r="N196" s="624">
        <f t="shared" ref="N196:N200" si="99">IF(AE$200&gt;0,(AE196/AE$200),0)</f>
        <v>0.33406113537117904</v>
      </c>
      <c r="O196" s="624">
        <f t="shared" si="97"/>
        <v>0</v>
      </c>
      <c r="P196" s="626">
        <f t="shared" si="97"/>
        <v>0</v>
      </c>
      <c r="Q196" s="624">
        <f t="shared" si="97"/>
        <v>0</v>
      </c>
      <c r="R196" s="357"/>
      <c r="S196" s="858">
        <v>364</v>
      </c>
      <c r="T196" s="858">
        <v>292</v>
      </c>
      <c r="U196" s="858"/>
      <c r="V196" s="858">
        <v>182</v>
      </c>
      <c r="W196" s="858"/>
      <c r="X196" s="858">
        <v>242</v>
      </c>
      <c r="Y196" s="859">
        <v>1080</v>
      </c>
      <c r="Z196" s="859"/>
      <c r="AA196" s="858"/>
      <c r="AB196" s="858"/>
      <c r="AC196" s="858"/>
      <c r="AD196" s="858"/>
      <c r="AE196" s="859">
        <v>153</v>
      </c>
      <c r="AF196" s="859"/>
      <c r="AG196" s="858"/>
      <c r="AH196" s="859"/>
    </row>
    <row r="197" spans="1:34">
      <c r="A197" s="239"/>
      <c r="B197" s="239" t="s">
        <v>55</v>
      </c>
      <c r="C197" s="806">
        <f t="shared" si="98"/>
        <v>0.20617477760334904</v>
      </c>
      <c r="D197" s="806">
        <f t="shared" si="96"/>
        <v>0.2575210589651023</v>
      </c>
      <c r="E197" s="806">
        <f t="shared" si="96"/>
        <v>0</v>
      </c>
      <c r="F197" s="806">
        <f t="shared" si="96"/>
        <v>0.2991573033707865</v>
      </c>
      <c r="G197" s="806">
        <f t="shared" si="96"/>
        <v>0</v>
      </c>
      <c r="H197" s="806">
        <f t="shared" si="96"/>
        <v>0.31909212283044058</v>
      </c>
      <c r="I197" s="624">
        <f t="shared" si="96"/>
        <v>0.25220080894599095</v>
      </c>
      <c r="J197" s="624">
        <f t="shared" si="96"/>
        <v>0</v>
      </c>
      <c r="K197" s="625">
        <f t="shared" si="96"/>
        <v>0</v>
      </c>
      <c r="L197" s="625">
        <f t="shared" si="96"/>
        <v>0</v>
      </c>
      <c r="M197" s="625">
        <f t="shared" si="96"/>
        <v>0</v>
      </c>
      <c r="N197" s="624">
        <f t="shared" si="99"/>
        <v>0.25327510917030566</v>
      </c>
      <c r="O197" s="624">
        <f t="shared" si="97"/>
        <v>0</v>
      </c>
      <c r="P197" s="626">
        <f t="shared" si="97"/>
        <v>0</v>
      </c>
      <c r="Q197" s="624">
        <f t="shared" si="97"/>
        <v>0</v>
      </c>
      <c r="R197" s="357"/>
      <c r="S197" s="858">
        <v>394</v>
      </c>
      <c r="T197" s="858">
        <v>214</v>
      </c>
      <c r="U197" s="858"/>
      <c r="V197" s="858">
        <v>213</v>
      </c>
      <c r="W197" s="858"/>
      <c r="X197" s="858">
        <v>239</v>
      </c>
      <c r="Y197" s="859">
        <v>1060</v>
      </c>
      <c r="Z197" s="859"/>
      <c r="AA197" s="858"/>
      <c r="AB197" s="858"/>
      <c r="AC197" s="858"/>
      <c r="AD197" s="858"/>
      <c r="AE197" s="859">
        <v>116</v>
      </c>
      <c r="AF197" s="859"/>
      <c r="AG197" s="858"/>
      <c r="AH197" s="859"/>
    </row>
    <row r="198" spans="1:34">
      <c r="A198" s="239"/>
      <c r="B198" s="239" t="s">
        <v>78</v>
      </c>
      <c r="C198" s="806">
        <f t="shared" si="98"/>
        <v>3.2967032967032968E-2</v>
      </c>
      <c r="D198" s="806">
        <f t="shared" si="96"/>
        <v>3.3694344163658241E-2</v>
      </c>
      <c r="E198" s="806">
        <f t="shared" si="96"/>
        <v>0</v>
      </c>
      <c r="F198" s="806">
        <f t="shared" si="96"/>
        <v>8.8483146067415724E-2</v>
      </c>
      <c r="G198" s="806">
        <f t="shared" si="96"/>
        <v>0</v>
      </c>
      <c r="H198" s="806">
        <f t="shared" si="96"/>
        <v>4.9399198931909215E-2</v>
      </c>
      <c r="I198" s="624">
        <f t="shared" si="96"/>
        <v>4.5443730668570069E-2</v>
      </c>
      <c r="J198" s="624">
        <f t="shared" si="96"/>
        <v>0</v>
      </c>
      <c r="K198" s="625">
        <f t="shared" si="96"/>
        <v>0</v>
      </c>
      <c r="L198" s="625">
        <f t="shared" si="96"/>
        <v>0</v>
      </c>
      <c r="M198" s="625">
        <f t="shared" si="96"/>
        <v>0</v>
      </c>
      <c r="N198" s="624">
        <f t="shared" si="99"/>
        <v>0.26855895196506552</v>
      </c>
      <c r="O198" s="624">
        <f t="shared" si="97"/>
        <v>0</v>
      </c>
      <c r="P198" s="626">
        <f t="shared" si="97"/>
        <v>0</v>
      </c>
      <c r="Q198" s="624">
        <f t="shared" si="97"/>
        <v>0</v>
      </c>
      <c r="R198" s="357"/>
      <c r="S198" s="858">
        <v>63</v>
      </c>
      <c r="T198" s="858">
        <v>28</v>
      </c>
      <c r="U198" s="858"/>
      <c r="V198" s="858">
        <v>63</v>
      </c>
      <c r="W198" s="858"/>
      <c r="X198" s="858">
        <v>37</v>
      </c>
      <c r="Y198" s="859">
        <v>191</v>
      </c>
      <c r="Z198" s="859"/>
      <c r="AA198" s="858"/>
      <c r="AB198" s="858"/>
      <c r="AC198" s="858"/>
      <c r="AD198" s="858"/>
      <c r="AE198" s="859">
        <v>123</v>
      </c>
      <c r="AF198" s="859"/>
      <c r="AG198" s="858"/>
      <c r="AH198" s="859"/>
    </row>
    <row r="199" spans="1:34">
      <c r="A199" s="580"/>
      <c r="B199" s="580" t="s">
        <v>131</v>
      </c>
      <c r="C199" s="806">
        <f t="shared" si="98"/>
        <v>0.32862375719518577</v>
      </c>
      <c r="D199" s="806">
        <f t="shared" si="96"/>
        <v>0.1444043321299639</v>
      </c>
      <c r="E199" s="806">
        <f t="shared" si="96"/>
        <v>0</v>
      </c>
      <c r="F199" s="806">
        <f t="shared" si="96"/>
        <v>4.2134831460674156E-2</v>
      </c>
      <c r="G199" s="806">
        <f t="shared" si="96"/>
        <v>0</v>
      </c>
      <c r="H199" s="806">
        <f t="shared" si="96"/>
        <v>0.10947930574098798</v>
      </c>
      <c r="I199" s="624">
        <f t="shared" si="96"/>
        <v>0.20461575065429455</v>
      </c>
      <c r="J199" s="624">
        <f t="shared" si="96"/>
        <v>0</v>
      </c>
      <c r="K199" s="625">
        <f t="shared" si="96"/>
        <v>0</v>
      </c>
      <c r="L199" s="625">
        <f t="shared" si="96"/>
        <v>0</v>
      </c>
      <c r="M199" s="625">
        <f t="shared" si="96"/>
        <v>0</v>
      </c>
      <c r="N199" s="624">
        <f t="shared" si="99"/>
        <v>0</v>
      </c>
      <c r="O199" s="624">
        <f t="shared" si="97"/>
        <v>0</v>
      </c>
      <c r="P199" s="626">
        <f t="shared" si="97"/>
        <v>0</v>
      </c>
      <c r="Q199" s="624">
        <f t="shared" si="97"/>
        <v>0</v>
      </c>
      <c r="R199" s="357"/>
      <c r="S199" s="858">
        <v>628</v>
      </c>
      <c r="T199" s="858">
        <v>120</v>
      </c>
      <c r="U199" s="858"/>
      <c r="V199" s="858">
        <v>30</v>
      </c>
      <c r="W199" s="858"/>
      <c r="X199" s="858">
        <v>82</v>
      </c>
      <c r="Y199" s="859">
        <v>860</v>
      </c>
      <c r="Z199" s="859"/>
      <c r="AA199" s="858"/>
      <c r="AB199" s="858"/>
      <c r="AC199" s="858"/>
      <c r="AD199" s="858"/>
      <c r="AE199" s="859"/>
      <c r="AF199" s="859"/>
      <c r="AG199" s="858"/>
      <c r="AH199" s="859"/>
    </row>
    <row r="200" spans="1:34">
      <c r="A200" s="436"/>
      <c r="B200" s="436" t="s">
        <v>59</v>
      </c>
      <c r="C200" s="807">
        <f t="shared" si="98"/>
        <v>1</v>
      </c>
      <c r="D200" s="808">
        <f t="shared" si="96"/>
        <v>1</v>
      </c>
      <c r="E200" s="808">
        <f t="shared" si="96"/>
        <v>0</v>
      </c>
      <c r="F200" s="808">
        <f t="shared" si="96"/>
        <v>1</v>
      </c>
      <c r="G200" s="808">
        <f t="shared" si="96"/>
        <v>0</v>
      </c>
      <c r="H200" s="809">
        <f t="shared" si="96"/>
        <v>1</v>
      </c>
      <c r="I200" s="577">
        <f t="shared" si="96"/>
        <v>1</v>
      </c>
      <c r="J200" s="577">
        <f t="shared" si="96"/>
        <v>0</v>
      </c>
      <c r="K200" s="578">
        <f t="shared" si="96"/>
        <v>0</v>
      </c>
      <c r="L200" s="578">
        <f t="shared" si="96"/>
        <v>0</v>
      </c>
      <c r="M200" s="578">
        <f t="shared" si="96"/>
        <v>0</v>
      </c>
      <c r="N200" s="577">
        <f t="shared" si="99"/>
        <v>1</v>
      </c>
      <c r="O200" s="577">
        <f t="shared" si="97"/>
        <v>0</v>
      </c>
      <c r="P200" s="579">
        <f t="shared" si="97"/>
        <v>0</v>
      </c>
      <c r="Q200" s="577">
        <f t="shared" si="97"/>
        <v>0</v>
      </c>
      <c r="R200" s="357"/>
      <c r="S200" s="858">
        <v>1911</v>
      </c>
      <c r="T200" s="858">
        <v>831</v>
      </c>
      <c r="U200" s="858"/>
      <c r="V200" s="858">
        <v>712</v>
      </c>
      <c r="W200" s="858"/>
      <c r="X200" s="858">
        <v>749</v>
      </c>
      <c r="Y200" s="859">
        <v>4203</v>
      </c>
      <c r="Z200" s="859"/>
      <c r="AA200" s="858"/>
      <c r="AB200" s="858"/>
      <c r="AC200" s="858"/>
      <c r="AD200" s="858"/>
      <c r="AE200" s="859">
        <v>458</v>
      </c>
      <c r="AF200" s="859"/>
      <c r="AG200" s="858"/>
      <c r="AH200" s="859"/>
    </row>
    <row r="201" spans="1:34">
      <c r="A201" s="240" t="s">
        <v>167</v>
      </c>
      <c r="B201" s="240" t="s">
        <v>53</v>
      </c>
      <c r="C201" s="806">
        <f>IF(S$206&gt;0,(S201/S$206),0)</f>
        <v>0.34903500163559043</v>
      </c>
      <c r="D201" s="806">
        <f t="shared" ref="D201:M206" si="100">IF(T$206&gt;0,(T201/T$206),0)</f>
        <v>0</v>
      </c>
      <c r="E201" s="806">
        <f t="shared" si="100"/>
        <v>0.32097004279600572</v>
      </c>
      <c r="F201" s="806">
        <f t="shared" si="100"/>
        <v>0.17161716171617161</v>
      </c>
      <c r="G201" s="806">
        <f t="shared" si="100"/>
        <v>0</v>
      </c>
      <c r="H201" s="806">
        <f t="shared" si="100"/>
        <v>0</v>
      </c>
      <c r="I201" s="613">
        <f t="shared" si="100"/>
        <v>0.31773997569866341</v>
      </c>
      <c r="J201" s="613">
        <f t="shared" si="100"/>
        <v>0</v>
      </c>
      <c r="K201" s="614">
        <f t="shared" si="100"/>
        <v>0</v>
      </c>
      <c r="L201" s="614">
        <f t="shared" si="100"/>
        <v>0</v>
      </c>
      <c r="M201" s="614">
        <f t="shared" si="100"/>
        <v>0</v>
      </c>
      <c r="N201" s="613">
        <f>IF(AE$206&gt;0,(AE201/AE$206),0)</f>
        <v>7.4139976275207596E-3</v>
      </c>
      <c r="O201" s="613">
        <f t="shared" ref="O201:Q206" si="101">IF(AF$206&gt;0,(AF201/AF$206),0)</f>
        <v>0</v>
      </c>
      <c r="P201" s="615">
        <f t="shared" si="101"/>
        <v>0</v>
      </c>
      <c r="Q201" s="613">
        <f t="shared" si="101"/>
        <v>0</v>
      </c>
      <c r="R201" s="799"/>
      <c r="S201" s="856">
        <v>1067</v>
      </c>
      <c r="T201" s="856"/>
      <c r="U201" s="856">
        <v>450</v>
      </c>
      <c r="V201" s="856">
        <v>52</v>
      </c>
      <c r="W201" s="856"/>
      <c r="X201" s="856"/>
      <c r="Y201" s="857">
        <v>1569</v>
      </c>
      <c r="Z201" s="857"/>
      <c r="AA201" s="856"/>
      <c r="AB201" s="856"/>
      <c r="AC201" s="856"/>
      <c r="AD201" s="856"/>
      <c r="AE201" s="857">
        <v>25</v>
      </c>
      <c r="AF201" s="857"/>
      <c r="AG201" s="856"/>
      <c r="AH201" s="857"/>
    </row>
    <row r="202" spans="1:34">
      <c r="A202" s="239"/>
      <c r="B202" s="239" t="s">
        <v>93</v>
      </c>
      <c r="C202" s="806">
        <f t="shared" ref="C202:C206" si="102">IF(S$206&gt;0,(S202/S$206),0)</f>
        <v>0.24010467778868172</v>
      </c>
      <c r="D202" s="806">
        <f t="shared" si="100"/>
        <v>0</v>
      </c>
      <c r="E202" s="806">
        <f t="shared" si="100"/>
        <v>0.26176890156918686</v>
      </c>
      <c r="F202" s="806">
        <f t="shared" si="100"/>
        <v>0.20462046204620463</v>
      </c>
      <c r="G202" s="806">
        <f t="shared" si="100"/>
        <v>0</v>
      </c>
      <c r="H202" s="806">
        <f t="shared" si="100"/>
        <v>0</v>
      </c>
      <c r="I202" s="624">
        <f t="shared" si="100"/>
        <v>0.23552045362494936</v>
      </c>
      <c r="J202" s="624">
        <f t="shared" si="100"/>
        <v>0</v>
      </c>
      <c r="K202" s="625">
        <f t="shared" si="100"/>
        <v>0</v>
      </c>
      <c r="L202" s="625">
        <f t="shared" si="100"/>
        <v>0</v>
      </c>
      <c r="M202" s="625">
        <f t="shared" si="100"/>
        <v>0</v>
      </c>
      <c r="N202" s="624">
        <f t="shared" ref="N202:N206" si="103">IF(AE$206&gt;0,(AE202/AE$206),0)</f>
        <v>6.2277580071174376E-3</v>
      </c>
      <c r="O202" s="624">
        <f t="shared" si="101"/>
        <v>0</v>
      </c>
      <c r="P202" s="626">
        <f t="shared" si="101"/>
        <v>0</v>
      </c>
      <c r="Q202" s="624">
        <f t="shared" si="101"/>
        <v>0</v>
      </c>
      <c r="R202" s="357"/>
      <c r="S202" s="858">
        <v>734</v>
      </c>
      <c r="T202" s="858"/>
      <c r="U202" s="858">
        <v>367</v>
      </c>
      <c r="V202" s="858">
        <v>62</v>
      </c>
      <c r="W202" s="858"/>
      <c r="X202" s="858"/>
      <c r="Y202" s="859">
        <v>1163</v>
      </c>
      <c r="Z202" s="859"/>
      <c r="AA202" s="858"/>
      <c r="AB202" s="858"/>
      <c r="AC202" s="858"/>
      <c r="AD202" s="858"/>
      <c r="AE202" s="859">
        <v>21</v>
      </c>
      <c r="AF202" s="859"/>
      <c r="AG202" s="858"/>
      <c r="AH202" s="859"/>
    </row>
    <row r="203" spans="1:34">
      <c r="A203" s="239"/>
      <c r="B203" s="239" t="s">
        <v>55</v>
      </c>
      <c r="C203" s="806">
        <f t="shared" si="102"/>
        <v>0.17795224075891397</v>
      </c>
      <c r="D203" s="806">
        <f t="shared" si="100"/>
        <v>0</v>
      </c>
      <c r="E203" s="806">
        <f t="shared" si="100"/>
        <v>0.17689015691868759</v>
      </c>
      <c r="F203" s="806">
        <f t="shared" si="100"/>
        <v>0.28712871287128711</v>
      </c>
      <c r="G203" s="806">
        <f t="shared" si="100"/>
        <v>0</v>
      </c>
      <c r="H203" s="806">
        <f t="shared" si="100"/>
        <v>0</v>
      </c>
      <c r="I203" s="624">
        <f t="shared" si="100"/>
        <v>0.17800729040097205</v>
      </c>
      <c r="J203" s="624">
        <f t="shared" si="100"/>
        <v>0</v>
      </c>
      <c r="K203" s="625">
        <f t="shared" si="100"/>
        <v>0</v>
      </c>
      <c r="L203" s="625">
        <f t="shared" si="100"/>
        <v>0</v>
      </c>
      <c r="M203" s="625">
        <f t="shared" si="100"/>
        <v>0</v>
      </c>
      <c r="N203" s="624">
        <f t="shared" si="103"/>
        <v>2.0462633451957295E-2</v>
      </c>
      <c r="O203" s="624">
        <f t="shared" si="101"/>
        <v>0</v>
      </c>
      <c r="P203" s="626">
        <f t="shared" si="101"/>
        <v>0</v>
      </c>
      <c r="Q203" s="624">
        <f t="shared" si="101"/>
        <v>0</v>
      </c>
      <c r="R203" s="357"/>
      <c r="S203" s="858">
        <v>544</v>
      </c>
      <c r="T203" s="858"/>
      <c r="U203" s="858">
        <v>248</v>
      </c>
      <c r="V203" s="858">
        <v>87</v>
      </c>
      <c r="W203" s="858"/>
      <c r="X203" s="858"/>
      <c r="Y203" s="859">
        <v>879</v>
      </c>
      <c r="Z203" s="859"/>
      <c r="AA203" s="858"/>
      <c r="AB203" s="858"/>
      <c r="AC203" s="858"/>
      <c r="AD203" s="858"/>
      <c r="AE203" s="859">
        <v>69</v>
      </c>
      <c r="AF203" s="859"/>
      <c r="AG203" s="858"/>
      <c r="AH203" s="859"/>
    </row>
    <row r="204" spans="1:34">
      <c r="A204" s="239"/>
      <c r="B204" s="239" t="s">
        <v>78</v>
      </c>
      <c r="C204" s="806">
        <f t="shared" si="102"/>
        <v>6.1171082760876676E-2</v>
      </c>
      <c r="D204" s="806">
        <f t="shared" si="100"/>
        <v>0</v>
      </c>
      <c r="E204" s="806">
        <f t="shared" si="100"/>
        <v>6.1340941512125532E-2</v>
      </c>
      <c r="F204" s="806">
        <f t="shared" si="100"/>
        <v>0</v>
      </c>
      <c r="G204" s="806">
        <f t="shared" si="100"/>
        <v>0</v>
      </c>
      <c r="H204" s="806">
        <f t="shared" si="100"/>
        <v>0</v>
      </c>
      <c r="I204" s="624">
        <f t="shared" si="100"/>
        <v>5.5285540704738761E-2</v>
      </c>
      <c r="J204" s="624">
        <f t="shared" si="100"/>
        <v>0</v>
      </c>
      <c r="K204" s="625">
        <f t="shared" si="100"/>
        <v>0</v>
      </c>
      <c r="L204" s="625">
        <f t="shared" si="100"/>
        <v>0</v>
      </c>
      <c r="M204" s="625">
        <f t="shared" si="100"/>
        <v>0</v>
      </c>
      <c r="N204" s="624">
        <f t="shared" si="103"/>
        <v>0.11239620403321471</v>
      </c>
      <c r="O204" s="624">
        <f t="shared" si="101"/>
        <v>0</v>
      </c>
      <c r="P204" s="626">
        <f t="shared" si="101"/>
        <v>0</v>
      </c>
      <c r="Q204" s="624">
        <f t="shared" si="101"/>
        <v>0</v>
      </c>
      <c r="R204" s="357"/>
      <c r="S204" s="858">
        <v>187</v>
      </c>
      <c r="T204" s="858"/>
      <c r="U204" s="858">
        <v>86</v>
      </c>
      <c r="V204" s="858"/>
      <c r="W204" s="858"/>
      <c r="X204" s="858"/>
      <c r="Y204" s="859">
        <v>273</v>
      </c>
      <c r="Z204" s="859"/>
      <c r="AA204" s="858"/>
      <c r="AB204" s="858"/>
      <c r="AC204" s="858"/>
      <c r="AD204" s="858"/>
      <c r="AE204" s="859">
        <v>379</v>
      </c>
      <c r="AF204" s="859"/>
      <c r="AG204" s="858"/>
      <c r="AH204" s="859"/>
    </row>
    <row r="205" spans="1:34">
      <c r="A205" s="580"/>
      <c r="B205" s="580" t="s">
        <v>131</v>
      </c>
      <c r="C205" s="806">
        <f t="shared" si="102"/>
        <v>0.1717369970559372</v>
      </c>
      <c r="D205" s="806">
        <f t="shared" si="100"/>
        <v>0</v>
      </c>
      <c r="E205" s="806">
        <f t="shared" si="100"/>
        <v>0.17902995720399428</v>
      </c>
      <c r="F205" s="806">
        <f t="shared" si="100"/>
        <v>0.33663366336633666</v>
      </c>
      <c r="G205" s="806">
        <f t="shared" si="100"/>
        <v>1</v>
      </c>
      <c r="H205" s="806">
        <f t="shared" si="100"/>
        <v>0</v>
      </c>
      <c r="I205" s="624">
        <f t="shared" si="100"/>
        <v>0.21344673957067639</v>
      </c>
      <c r="J205" s="624">
        <f t="shared" si="100"/>
        <v>0</v>
      </c>
      <c r="K205" s="625">
        <f t="shared" si="100"/>
        <v>0</v>
      </c>
      <c r="L205" s="625">
        <f t="shared" si="100"/>
        <v>0</v>
      </c>
      <c r="M205" s="625">
        <f t="shared" si="100"/>
        <v>0</v>
      </c>
      <c r="N205" s="624">
        <f t="shared" si="103"/>
        <v>0.85349940688018977</v>
      </c>
      <c r="O205" s="624">
        <f t="shared" si="101"/>
        <v>0</v>
      </c>
      <c r="P205" s="626">
        <f t="shared" si="101"/>
        <v>0</v>
      </c>
      <c r="Q205" s="624">
        <f t="shared" si="101"/>
        <v>0</v>
      </c>
      <c r="R205" s="357"/>
      <c r="S205" s="858">
        <v>525</v>
      </c>
      <c r="T205" s="858"/>
      <c r="U205" s="858">
        <v>251</v>
      </c>
      <c r="V205" s="858">
        <v>102</v>
      </c>
      <c r="W205" s="858">
        <v>176</v>
      </c>
      <c r="X205" s="858"/>
      <c r="Y205" s="859">
        <v>1054</v>
      </c>
      <c r="Z205" s="859"/>
      <c r="AA205" s="858"/>
      <c r="AB205" s="858"/>
      <c r="AC205" s="858"/>
      <c r="AD205" s="858"/>
      <c r="AE205" s="859">
        <v>2878</v>
      </c>
      <c r="AF205" s="859"/>
      <c r="AG205" s="858"/>
      <c r="AH205" s="859"/>
    </row>
    <row r="206" spans="1:34">
      <c r="A206" s="436"/>
      <c r="B206" s="436" t="s">
        <v>59</v>
      </c>
      <c r="C206" s="807">
        <f t="shared" si="102"/>
        <v>1</v>
      </c>
      <c r="D206" s="808">
        <f t="shared" si="100"/>
        <v>0</v>
      </c>
      <c r="E206" s="808">
        <f t="shared" si="100"/>
        <v>1</v>
      </c>
      <c r="F206" s="808">
        <f t="shared" si="100"/>
        <v>1</v>
      </c>
      <c r="G206" s="808">
        <f t="shared" si="100"/>
        <v>1</v>
      </c>
      <c r="H206" s="809">
        <f t="shared" si="100"/>
        <v>0</v>
      </c>
      <c r="I206" s="577">
        <f t="shared" si="100"/>
        <v>1</v>
      </c>
      <c r="J206" s="577">
        <f t="shared" si="100"/>
        <v>0</v>
      </c>
      <c r="K206" s="578">
        <f t="shared" si="100"/>
        <v>0</v>
      </c>
      <c r="L206" s="578">
        <f t="shared" si="100"/>
        <v>0</v>
      </c>
      <c r="M206" s="578">
        <f t="shared" si="100"/>
        <v>0</v>
      </c>
      <c r="N206" s="577">
        <f t="shared" si="103"/>
        <v>1</v>
      </c>
      <c r="O206" s="577">
        <f t="shared" si="101"/>
        <v>0</v>
      </c>
      <c r="P206" s="579">
        <f t="shared" si="101"/>
        <v>0</v>
      </c>
      <c r="Q206" s="577">
        <f t="shared" si="101"/>
        <v>0</v>
      </c>
      <c r="R206" s="357"/>
      <c r="S206" s="858">
        <v>3057</v>
      </c>
      <c r="T206" s="858"/>
      <c r="U206" s="858">
        <v>1402</v>
      </c>
      <c r="V206" s="858">
        <v>303</v>
      </c>
      <c r="W206" s="858">
        <v>176</v>
      </c>
      <c r="X206" s="858"/>
      <c r="Y206" s="859">
        <v>4938</v>
      </c>
      <c r="Z206" s="859"/>
      <c r="AA206" s="858"/>
      <c r="AB206" s="858"/>
      <c r="AC206" s="858"/>
      <c r="AD206" s="858"/>
      <c r="AE206" s="859">
        <v>3372</v>
      </c>
      <c r="AF206" s="859"/>
      <c r="AG206" s="858"/>
      <c r="AH206" s="859"/>
    </row>
    <row r="207" spans="1:34">
      <c r="A207" s="240" t="s">
        <v>169</v>
      </c>
      <c r="B207" s="240" t="s">
        <v>53</v>
      </c>
      <c r="C207" s="806">
        <f>IF(S$212&gt;0,(S207/S$212),0)</f>
        <v>0</v>
      </c>
      <c r="D207" s="806">
        <f t="shared" ref="D207:M212" si="104">IF(T$212&gt;0,(T207/T$212),0)</f>
        <v>0.28198433420365537</v>
      </c>
      <c r="E207" s="806">
        <f t="shared" si="104"/>
        <v>0</v>
      </c>
      <c r="F207" s="806">
        <f t="shared" si="104"/>
        <v>0</v>
      </c>
      <c r="G207" s="806">
        <f t="shared" si="104"/>
        <v>0</v>
      </c>
      <c r="H207" s="806">
        <f t="shared" si="104"/>
        <v>0</v>
      </c>
      <c r="I207" s="613">
        <f t="shared" si="104"/>
        <v>0.28198433420365537</v>
      </c>
      <c r="J207" s="613">
        <f t="shared" si="104"/>
        <v>0</v>
      </c>
      <c r="K207" s="614">
        <f t="shared" si="104"/>
        <v>0</v>
      </c>
      <c r="L207" s="614">
        <f t="shared" si="104"/>
        <v>0</v>
      </c>
      <c r="M207" s="614">
        <f t="shared" si="104"/>
        <v>0</v>
      </c>
      <c r="N207" s="613">
        <f>IF(AE$212&gt;0,(AE207/AE$212),0)</f>
        <v>6.3311688311688305E-2</v>
      </c>
      <c r="O207" s="613">
        <f t="shared" ref="O207:Q212" si="105">IF(AF$212&gt;0,(AF207/AF$212),0)</f>
        <v>0</v>
      </c>
      <c r="P207" s="615">
        <f t="shared" si="105"/>
        <v>0</v>
      </c>
      <c r="Q207" s="613">
        <f t="shared" si="105"/>
        <v>0</v>
      </c>
      <c r="R207" s="799"/>
      <c r="S207" s="856"/>
      <c r="T207" s="856">
        <v>216</v>
      </c>
      <c r="U207" s="856"/>
      <c r="V207" s="856"/>
      <c r="W207" s="856"/>
      <c r="X207" s="856"/>
      <c r="Y207" s="857">
        <v>216</v>
      </c>
      <c r="Z207" s="857"/>
      <c r="AA207" s="856"/>
      <c r="AB207" s="856"/>
      <c r="AC207" s="856"/>
      <c r="AD207" s="856"/>
      <c r="AE207" s="857">
        <v>39</v>
      </c>
      <c r="AF207" s="857"/>
      <c r="AG207" s="856"/>
      <c r="AH207" s="857"/>
    </row>
    <row r="208" spans="1:34">
      <c r="A208" s="239"/>
      <c r="B208" s="239" t="s">
        <v>93</v>
      </c>
      <c r="C208" s="806">
        <f t="shared" ref="C208:C212" si="106">IF(S$212&gt;0,(S208/S$212),0)</f>
        <v>0</v>
      </c>
      <c r="D208" s="806">
        <f t="shared" si="104"/>
        <v>0.27676240208877284</v>
      </c>
      <c r="E208" s="806">
        <f t="shared" si="104"/>
        <v>0</v>
      </c>
      <c r="F208" s="806">
        <f t="shared" si="104"/>
        <v>0</v>
      </c>
      <c r="G208" s="806">
        <f t="shared" si="104"/>
        <v>0</v>
      </c>
      <c r="H208" s="806">
        <f t="shared" si="104"/>
        <v>0</v>
      </c>
      <c r="I208" s="624">
        <f t="shared" si="104"/>
        <v>0.27676240208877284</v>
      </c>
      <c r="J208" s="624">
        <f t="shared" si="104"/>
        <v>0</v>
      </c>
      <c r="K208" s="625">
        <f t="shared" si="104"/>
        <v>0</v>
      </c>
      <c r="L208" s="625">
        <f t="shared" si="104"/>
        <v>0</v>
      </c>
      <c r="M208" s="625">
        <f t="shared" si="104"/>
        <v>0</v>
      </c>
      <c r="N208" s="624">
        <f t="shared" ref="N208:N212" si="107">IF(AE$212&gt;0,(AE208/AE$212),0)</f>
        <v>7.6298701298701296E-2</v>
      </c>
      <c r="O208" s="624">
        <f t="shared" si="105"/>
        <v>0</v>
      </c>
      <c r="P208" s="626">
        <f t="shared" si="105"/>
        <v>0</v>
      </c>
      <c r="Q208" s="624">
        <f t="shared" si="105"/>
        <v>0</v>
      </c>
      <c r="R208" s="357"/>
      <c r="S208" s="858"/>
      <c r="T208" s="858">
        <v>212</v>
      </c>
      <c r="U208" s="858"/>
      <c r="V208" s="858"/>
      <c r="W208" s="858"/>
      <c r="X208" s="858"/>
      <c r="Y208" s="859">
        <v>212</v>
      </c>
      <c r="Z208" s="859"/>
      <c r="AA208" s="858"/>
      <c r="AB208" s="858"/>
      <c r="AC208" s="858"/>
      <c r="AD208" s="858"/>
      <c r="AE208" s="859">
        <v>47</v>
      </c>
      <c r="AF208" s="859"/>
      <c r="AG208" s="858"/>
      <c r="AH208" s="859"/>
    </row>
    <row r="209" spans="1:34">
      <c r="A209" s="239"/>
      <c r="B209" s="239" t="s">
        <v>55</v>
      </c>
      <c r="C209" s="806">
        <f t="shared" si="106"/>
        <v>0</v>
      </c>
      <c r="D209" s="806">
        <f t="shared" si="104"/>
        <v>0.21932114882506529</v>
      </c>
      <c r="E209" s="806">
        <f t="shared" si="104"/>
        <v>0</v>
      </c>
      <c r="F209" s="806">
        <f t="shared" si="104"/>
        <v>0</v>
      </c>
      <c r="G209" s="806">
        <f t="shared" si="104"/>
        <v>0</v>
      </c>
      <c r="H209" s="806">
        <f t="shared" si="104"/>
        <v>0</v>
      </c>
      <c r="I209" s="624">
        <f t="shared" si="104"/>
        <v>0.21932114882506529</v>
      </c>
      <c r="J209" s="624">
        <f t="shared" si="104"/>
        <v>0</v>
      </c>
      <c r="K209" s="625">
        <f t="shared" si="104"/>
        <v>0</v>
      </c>
      <c r="L209" s="625">
        <f t="shared" si="104"/>
        <v>0</v>
      </c>
      <c r="M209" s="625">
        <f t="shared" si="104"/>
        <v>0</v>
      </c>
      <c r="N209" s="624">
        <f t="shared" si="107"/>
        <v>0.11038961038961038</v>
      </c>
      <c r="O209" s="624">
        <f t="shared" si="105"/>
        <v>0</v>
      </c>
      <c r="P209" s="626">
        <f t="shared" si="105"/>
        <v>0</v>
      </c>
      <c r="Q209" s="624">
        <f t="shared" si="105"/>
        <v>0</v>
      </c>
      <c r="R209" s="357"/>
      <c r="S209" s="858"/>
      <c r="T209" s="858">
        <v>168</v>
      </c>
      <c r="U209" s="858"/>
      <c r="V209" s="858"/>
      <c r="W209" s="858"/>
      <c r="X209" s="858"/>
      <c r="Y209" s="859">
        <v>168</v>
      </c>
      <c r="Z209" s="859"/>
      <c r="AA209" s="858"/>
      <c r="AB209" s="858"/>
      <c r="AC209" s="858"/>
      <c r="AD209" s="858"/>
      <c r="AE209" s="859">
        <v>68</v>
      </c>
      <c r="AF209" s="859"/>
      <c r="AG209" s="858"/>
      <c r="AH209" s="859"/>
    </row>
    <row r="210" spans="1:34">
      <c r="A210" s="239"/>
      <c r="B210" s="239" t="s">
        <v>78</v>
      </c>
      <c r="C210" s="806">
        <f t="shared" si="106"/>
        <v>0</v>
      </c>
      <c r="D210" s="806">
        <f t="shared" si="104"/>
        <v>1.3054830287206266E-3</v>
      </c>
      <c r="E210" s="806">
        <f t="shared" si="104"/>
        <v>0</v>
      </c>
      <c r="F210" s="806">
        <f t="shared" si="104"/>
        <v>0</v>
      </c>
      <c r="G210" s="806">
        <f t="shared" si="104"/>
        <v>0</v>
      </c>
      <c r="H210" s="806">
        <f t="shared" si="104"/>
        <v>0</v>
      </c>
      <c r="I210" s="624">
        <f t="shared" si="104"/>
        <v>1.3054830287206266E-3</v>
      </c>
      <c r="J210" s="624">
        <f t="shared" si="104"/>
        <v>0</v>
      </c>
      <c r="K210" s="625">
        <f t="shared" si="104"/>
        <v>0</v>
      </c>
      <c r="L210" s="625">
        <f t="shared" si="104"/>
        <v>0</v>
      </c>
      <c r="M210" s="625">
        <f t="shared" si="104"/>
        <v>0</v>
      </c>
      <c r="N210" s="624">
        <f t="shared" si="107"/>
        <v>0.31818181818181818</v>
      </c>
      <c r="O210" s="624">
        <f t="shared" si="105"/>
        <v>0</v>
      </c>
      <c r="P210" s="626">
        <f t="shared" si="105"/>
        <v>0</v>
      </c>
      <c r="Q210" s="624">
        <f t="shared" si="105"/>
        <v>0</v>
      </c>
      <c r="R210" s="357"/>
      <c r="S210" s="858"/>
      <c r="T210" s="858">
        <v>1</v>
      </c>
      <c r="U210" s="858"/>
      <c r="V210" s="858"/>
      <c r="W210" s="858"/>
      <c r="X210" s="858"/>
      <c r="Y210" s="859">
        <v>1</v>
      </c>
      <c r="Z210" s="859"/>
      <c r="AA210" s="858"/>
      <c r="AB210" s="858"/>
      <c r="AC210" s="858"/>
      <c r="AD210" s="858"/>
      <c r="AE210" s="859">
        <v>196</v>
      </c>
      <c r="AF210" s="859"/>
      <c r="AG210" s="858"/>
      <c r="AH210" s="859"/>
    </row>
    <row r="211" spans="1:34">
      <c r="A211" s="580"/>
      <c r="B211" s="580" t="s">
        <v>131</v>
      </c>
      <c r="C211" s="806">
        <f t="shared" si="106"/>
        <v>0</v>
      </c>
      <c r="D211" s="806">
        <f t="shared" si="104"/>
        <v>0.22062663185378589</v>
      </c>
      <c r="E211" s="806">
        <f t="shared" si="104"/>
        <v>0</v>
      </c>
      <c r="F211" s="806">
        <f t="shared" si="104"/>
        <v>0</v>
      </c>
      <c r="G211" s="806">
        <f t="shared" si="104"/>
        <v>0</v>
      </c>
      <c r="H211" s="806">
        <f t="shared" si="104"/>
        <v>0</v>
      </c>
      <c r="I211" s="624">
        <f t="shared" si="104"/>
        <v>0.22062663185378589</v>
      </c>
      <c r="J211" s="624">
        <f t="shared" si="104"/>
        <v>0</v>
      </c>
      <c r="K211" s="625">
        <f t="shared" si="104"/>
        <v>0</v>
      </c>
      <c r="L211" s="625">
        <f t="shared" si="104"/>
        <v>0</v>
      </c>
      <c r="M211" s="625">
        <f t="shared" si="104"/>
        <v>0</v>
      </c>
      <c r="N211" s="624">
        <f t="shared" si="107"/>
        <v>0.43181818181818182</v>
      </c>
      <c r="O211" s="624">
        <f t="shared" si="105"/>
        <v>0</v>
      </c>
      <c r="P211" s="626">
        <f t="shared" si="105"/>
        <v>0</v>
      </c>
      <c r="Q211" s="624">
        <f t="shared" si="105"/>
        <v>0</v>
      </c>
      <c r="R211" s="357"/>
      <c r="S211" s="858"/>
      <c r="T211" s="858">
        <v>169</v>
      </c>
      <c r="U211" s="858"/>
      <c r="V211" s="858"/>
      <c r="W211" s="858"/>
      <c r="X211" s="858"/>
      <c r="Y211" s="859">
        <v>169</v>
      </c>
      <c r="Z211" s="859"/>
      <c r="AA211" s="858"/>
      <c r="AB211" s="858"/>
      <c r="AC211" s="858"/>
      <c r="AD211" s="858"/>
      <c r="AE211" s="859">
        <v>266</v>
      </c>
      <c r="AF211" s="859"/>
      <c r="AG211" s="858"/>
      <c r="AH211" s="859"/>
    </row>
    <row r="212" spans="1:34">
      <c r="A212" s="436"/>
      <c r="B212" s="436" t="s">
        <v>59</v>
      </c>
      <c r="C212" s="807">
        <f t="shared" si="106"/>
        <v>0</v>
      </c>
      <c r="D212" s="808">
        <f t="shared" si="104"/>
        <v>1</v>
      </c>
      <c r="E212" s="808">
        <f t="shared" si="104"/>
        <v>0</v>
      </c>
      <c r="F212" s="808">
        <f t="shared" si="104"/>
        <v>0</v>
      </c>
      <c r="G212" s="808">
        <f t="shared" si="104"/>
        <v>0</v>
      </c>
      <c r="H212" s="809">
        <f t="shared" si="104"/>
        <v>0</v>
      </c>
      <c r="I212" s="577">
        <f t="shared" si="104"/>
        <v>1</v>
      </c>
      <c r="J212" s="577">
        <f t="shared" si="104"/>
        <v>0</v>
      </c>
      <c r="K212" s="578">
        <f t="shared" si="104"/>
        <v>0</v>
      </c>
      <c r="L212" s="578">
        <f t="shared" si="104"/>
        <v>0</v>
      </c>
      <c r="M212" s="578">
        <f t="shared" si="104"/>
        <v>0</v>
      </c>
      <c r="N212" s="577">
        <f t="shared" si="107"/>
        <v>1</v>
      </c>
      <c r="O212" s="577">
        <f t="shared" si="105"/>
        <v>0</v>
      </c>
      <c r="P212" s="579">
        <f t="shared" si="105"/>
        <v>0</v>
      </c>
      <c r="Q212" s="577">
        <f t="shared" si="105"/>
        <v>0</v>
      </c>
      <c r="R212" s="357"/>
      <c r="S212" s="858"/>
      <c r="T212" s="858">
        <v>766</v>
      </c>
      <c r="U212" s="858"/>
      <c r="V212" s="858"/>
      <c r="W212" s="858"/>
      <c r="X212" s="858"/>
      <c r="Y212" s="859">
        <v>766</v>
      </c>
      <c r="Z212" s="859"/>
      <c r="AA212" s="858"/>
      <c r="AB212" s="858"/>
      <c r="AC212" s="858"/>
      <c r="AD212" s="858"/>
      <c r="AE212" s="859">
        <v>616</v>
      </c>
      <c r="AF212" s="859"/>
      <c r="AG212" s="858"/>
      <c r="AH212" s="859"/>
    </row>
    <row r="213" spans="1:34">
      <c r="A213" s="240" t="s">
        <v>172</v>
      </c>
      <c r="B213" s="240" t="s">
        <v>53</v>
      </c>
      <c r="C213" s="806">
        <f>IF(S$218&gt;0,(S213/S$218),0)</f>
        <v>0.34266507580828215</v>
      </c>
      <c r="D213" s="806">
        <f t="shared" ref="D213:M218" si="108">IF(T$218&gt;0,(T213/T$218),0)</f>
        <v>0.2470473401659346</v>
      </c>
      <c r="E213" s="806">
        <f t="shared" si="108"/>
        <v>0.28070300270385656</v>
      </c>
      <c r="F213" s="806">
        <f t="shared" si="108"/>
        <v>0.26809408926417372</v>
      </c>
      <c r="G213" s="806">
        <f t="shared" si="108"/>
        <v>0.26799387442572742</v>
      </c>
      <c r="H213" s="806">
        <f t="shared" si="108"/>
        <v>0.21022400919012063</v>
      </c>
      <c r="I213" s="613">
        <f t="shared" si="108"/>
        <v>0.30288454635519119</v>
      </c>
      <c r="J213" s="613">
        <f t="shared" si="108"/>
        <v>0</v>
      </c>
      <c r="K213" s="614">
        <f t="shared" si="108"/>
        <v>0</v>
      </c>
      <c r="L213" s="614">
        <f t="shared" si="108"/>
        <v>0</v>
      </c>
      <c r="M213" s="614">
        <f t="shared" si="108"/>
        <v>0</v>
      </c>
      <c r="N213" s="613">
        <f>IF(AE$218&gt;0,(AE213/AE$218),0)</f>
        <v>0.14132530120481929</v>
      </c>
      <c r="O213" s="613">
        <f t="shared" ref="O213:Q218" si="109">IF(AF$218&gt;0,(AF213/AF$218),0)</f>
        <v>0</v>
      </c>
      <c r="P213" s="615">
        <f t="shared" si="109"/>
        <v>0</v>
      </c>
      <c r="Q213" s="613">
        <f t="shared" si="109"/>
        <v>0.30824372759856633</v>
      </c>
      <c r="R213" s="799"/>
      <c r="S213" s="860">
        <f>S219+S225+S231+S237+S243+S249+S255+S261+S267+S273+S279+S285</f>
        <v>11775</v>
      </c>
      <c r="T213" s="860">
        <f t="shared" ref="T213:AH218" si="110">T219+T225+T231+T237+T243+T249+T255+T261+T267+T273+T279+T285</f>
        <v>2531</v>
      </c>
      <c r="U213" s="860">
        <f t="shared" si="110"/>
        <v>3945</v>
      </c>
      <c r="V213" s="860">
        <f t="shared" si="110"/>
        <v>1778</v>
      </c>
      <c r="W213" s="860">
        <f t="shared" si="110"/>
        <v>700</v>
      </c>
      <c r="X213" s="860">
        <f t="shared" si="110"/>
        <v>366</v>
      </c>
      <c r="Y213" s="861">
        <f t="shared" si="110"/>
        <v>21095</v>
      </c>
      <c r="Z213" s="861">
        <f t="shared" si="110"/>
        <v>0</v>
      </c>
      <c r="AA213" s="860">
        <f t="shared" si="110"/>
        <v>0</v>
      </c>
      <c r="AB213" s="860">
        <f t="shared" si="110"/>
        <v>0</v>
      </c>
      <c r="AC213" s="860">
        <f t="shared" si="110"/>
        <v>0</v>
      </c>
      <c r="AD213" s="860">
        <f t="shared" si="110"/>
        <v>0</v>
      </c>
      <c r="AE213" s="861">
        <f t="shared" si="110"/>
        <v>3519</v>
      </c>
      <c r="AF213" s="861">
        <f t="shared" si="110"/>
        <v>0</v>
      </c>
      <c r="AG213" s="860">
        <f t="shared" si="110"/>
        <v>0</v>
      </c>
      <c r="AH213" s="861">
        <f t="shared" si="110"/>
        <v>258</v>
      </c>
    </row>
    <row r="214" spans="1:34">
      <c r="A214" s="239"/>
      <c r="B214" s="239" t="s">
        <v>93</v>
      </c>
      <c r="C214" s="806">
        <f t="shared" ref="C214:C218" si="111">IF(S$218&gt;0,(S214/S$218),0)</f>
        <v>0.27512149695893839</v>
      </c>
      <c r="D214" s="806">
        <f t="shared" si="108"/>
        <v>0.30112249877989261</v>
      </c>
      <c r="E214" s="806">
        <f t="shared" si="108"/>
        <v>0.27493951899815</v>
      </c>
      <c r="F214" s="806">
        <f t="shared" si="108"/>
        <v>0.22617611580217128</v>
      </c>
      <c r="G214" s="806">
        <f t="shared" si="108"/>
        <v>0.24770290964777947</v>
      </c>
      <c r="H214" s="806">
        <f t="shared" si="108"/>
        <v>0.24181504882251578</v>
      </c>
      <c r="I214" s="624">
        <f t="shared" si="108"/>
        <v>0.27238789897626603</v>
      </c>
      <c r="J214" s="624">
        <f t="shared" si="108"/>
        <v>0</v>
      </c>
      <c r="K214" s="625">
        <f t="shared" si="108"/>
        <v>0</v>
      </c>
      <c r="L214" s="625">
        <f t="shared" si="108"/>
        <v>0</v>
      </c>
      <c r="M214" s="625">
        <f t="shared" si="108"/>
        <v>0</v>
      </c>
      <c r="N214" s="624">
        <f t="shared" ref="N214:N218" si="112">IF(AE$218&gt;0,(AE214/AE$218),0)</f>
        <v>0.11032128514056225</v>
      </c>
      <c r="O214" s="624">
        <f t="shared" si="109"/>
        <v>0</v>
      </c>
      <c r="P214" s="626">
        <f t="shared" si="109"/>
        <v>0</v>
      </c>
      <c r="Q214" s="624">
        <f t="shared" si="109"/>
        <v>0.15770609318996415</v>
      </c>
      <c r="R214" s="357"/>
      <c r="S214" s="862">
        <f t="shared" ref="S214:AE218" si="113">S220+S226+S232+S238+S244+S250+S256+S262+S268+S274+S280+S286</f>
        <v>9454</v>
      </c>
      <c r="T214" s="862">
        <f t="shared" si="113"/>
        <v>3085</v>
      </c>
      <c r="U214" s="862">
        <f t="shared" si="113"/>
        <v>3864</v>
      </c>
      <c r="V214" s="862">
        <f t="shared" si="113"/>
        <v>1500</v>
      </c>
      <c r="W214" s="862">
        <f t="shared" si="113"/>
        <v>647</v>
      </c>
      <c r="X214" s="862">
        <f t="shared" si="113"/>
        <v>421</v>
      </c>
      <c r="Y214" s="863">
        <f t="shared" si="113"/>
        <v>18971</v>
      </c>
      <c r="Z214" s="863">
        <f t="shared" si="113"/>
        <v>0</v>
      </c>
      <c r="AA214" s="862">
        <f t="shared" si="113"/>
        <v>0</v>
      </c>
      <c r="AB214" s="862">
        <f t="shared" si="113"/>
        <v>0</v>
      </c>
      <c r="AC214" s="862">
        <f t="shared" si="113"/>
        <v>0</v>
      </c>
      <c r="AD214" s="862">
        <f t="shared" si="113"/>
        <v>0</v>
      </c>
      <c r="AE214" s="863">
        <f t="shared" si="113"/>
        <v>2747</v>
      </c>
      <c r="AF214" s="863">
        <f t="shared" si="110"/>
        <v>0</v>
      </c>
      <c r="AG214" s="862">
        <f t="shared" si="110"/>
        <v>0</v>
      </c>
      <c r="AH214" s="863">
        <f t="shared" si="110"/>
        <v>132</v>
      </c>
    </row>
    <row r="215" spans="1:34">
      <c r="A215" s="239"/>
      <c r="B215" s="239" t="s">
        <v>55</v>
      </c>
      <c r="C215" s="806">
        <f t="shared" si="111"/>
        <v>0.2341762942699997</v>
      </c>
      <c r="D215" s="806">
        <f t="shared" si="108"/>
        <v>0.25436798438262564</v>
      </c>
      <c r="E215" s="806">
        <f t="shared" si="108"/>
        <v>0.24171054504055786</v>
      </c>
      <c r="F215" s="806">
        <f t="shared" si="108"/>
        <v>0.26824487334137515</v>
      </c>
      <c r="G215" s="806">
        <f t="shared" si="108"/>
        <v>0.30398162327718226</v>
      </c>
      <c r="H215" s="806">
        <f t="shared" si="108"/>
        <v>0.33084434233199311</v>
      </c>
      <c r="I215" s="624">
        <f t="shared" si="108"/>
        <v>0.24694530992002528</v>
      </c>
      <c r="J215" s="624">
        <f t="shared" si="108"/>
        <v>0</v>
      </c>
      <c r="K215" s="625">
        <f t="shared" si="108"/>
        <v>0</v>
      </c>
      <c r="L215" s="625">
        <f t="shared" si="108"/>
        <v>0</v>
      </c>
      <c r="M215" s="625">
        <f t="shared" si="108"/>
        <v>0</v>
      </c>
      <c r="N215" s="624">
        <f t="shared" si="112"/>
        <v>0.12582329317269075</v>
      </c>
      <c r="O215" s="624">
        <f t="shared" si="109"/>
        <v>0</v>
      </c>
      <c r="P215" s="626">
        <f t="shared" si="109"/>
        <v>0</v>
      </c>
      <c r="Q215" s="624">
        <f t="shared" si="109"/>
        <v>8.9605734767025089E-2</v>
      </c>
      <c r="R215" s="357"/>
      <c r="S215" s="862">
        <f t="shared" si="113"/>
        <v>8047</v>
      </c>
      <c r="T215" s="862">
        <f t="shared" si="113"/>
        <v>2606</v>
      </c>
      <c r="U215" s="862">
        <f t="shared" si="113"/>
        <v>3397</v>
      </c>
      <c r="V215" s="862">
        <f t="shared" si="113"/>
        <v>1779</v>
      </c>
      <c r="W215" s="862">
        <f t="shared" si="113"/>
        <v>794</v>
      </c>
      <c r="X215" s="862">
        <f t="shared" si="113"/>
        <v>576</v>
      </c>
      <c r="Y215" s="863">
        <f t="shared" si="113"/>
        <v>17199</v>
      </c>
      <c r="Z215" s="863">
        <f t="shared" si="113"/>
        <v>0</v>
      </c>
      <c r="AA215" s="862">
        <f t="shared" si="113"/>
        <v>0</v>
      </c>
      <c r="AB215" s="862">
        <f t="shared" si="113"/>
        <v>0</v>
      </c>
      <c r="AC215" s="862">
        <f t="shared" si="113"/>
        <v>0</v>
      </c>
      <c r="AD215" s="862">
        <f t="shared" si="113"/>
        <v>0</v>
      </c>
      <c r="AE215" s="863">
        <f t="shared" si="113"/>
        <v>3133</v>
      </c>
      <c r="AF215" s="863">
        <f t="shared" si="110"/>
        <v>0</v>
      </c>
      <c r="AG215" s="862">
        <f t="shared" si="110"/>
        <v>0</v>
      </c>
      <c r="AH215" s="863">
        <f t="shared" si="110"/>
        <v>75</v>
      </c>
    </row>
    <row r="216" spans="1:34">
      <c r="A216" s="239"/>
      <c r="B216" s="239" t="s">
        <v>78</v>
      </c>
      <c r="C216" s="806">
        <f t="shared" si="111"/>
        <v>2.8460844512993626E-2</v>
      </c>
      <c r="D216" s="806">
        <f t="shared" si="108"/>
        <v>0.10346510492923378</v>
      </c>
      <c r="E216" s="806">
        <f t="shared" si="108"/>
        <v>0.11754660594848441</v>
      </c>
      <c r="F216" s="806">
        <f t="shared" si="108"/>
        <v>4.2219541616405308E-2</v>
      </c>
      <c r="G216" s="806">
        <f t="shared" si="108"/>
        <v>6.5849923430321589E-2</v>
      </c>
      <c r="H216" s="806">
        <f t="shared" si="108"/>
        <v>0.15795519816197587</v>
      </c>
      <c r="I216" s="624">
        <f t="shared" si="108"/>
        <v>6.3419817077548207E-2</v>
      </c>
      <c r="J216" s="624">
        <f t="shared" si="108"/>
        <v>0</v>
      </c>
      <c r="K216" s="625">
        <f t="shared" si="108"/>
        <v>0</v>
      </c>
      <c r="L216" s="625">
        <f t="shared" si="108"/>
        <v>0</v>
      </c>
      <c r="M216" s="625">
        <f t="shared" si="108"/>
        <v>0</v>
      </c>
      <c r="N216" s="624">
        <f t="shared" si="112"/>
        <v>0.41196787148594377</v>
      </c>
      <c r="O216" s="624">
        <f t="shared" si="109"/>
        <v>0</v>
      </c>
      <c r="P216" s="626">
        <f t="shared" si="109"/>
        <v>0</v>
      </c>
      <c r="Q216" s="624">
        <f t="shared" si="109"/>
        <v>0.43488649940262841</v>
      </c>
      <c r="R216" s="357"/>
      <c r="S216" s="862">
        <f t="shared" si="113"/>
        <v>978</v>
      </c>
      <c r="T216" s="862">
        <f t="shared" si="113"/>
        <v>1060</v>
      </c>
      <c r="U216" s="862">
        <f t="shared" si="113"/>
        <v>1652</v>
      </c>
      <c r="V216" s="862">
        <f t="shared" si="113"/>
        <v>280</v>
      </c>
      <c r="W216" s="862">
        <f t="shared" si="113"/>
        <v>172</v>
      </c>
      <c r="X216" s="862">
        <f t="shared" si="113"/>
        <v>275</v>
      </c>
      <c r="Y216" s="863">
        <f t="shared" si="113"/>
        <v>4417</v>
      </c>
      <c r="Z216" s="863">
        <f t="shared" si="113"/>
        <v>0</v>
      </c>
      <c r="AA216" s="862">
        <f t="shared" si="113"/>
        <v>0</v>
      </c>
      <c r="AB216" s="862">
        <f t="shared" si="113"/>
        <v>0</v>
      </c>
      <c r="AC216" s="862">
        <f t="shared" si="113"/>
        <v>0</v>
      </c>
      <c r="AD216" s="862">
        <f t="shared" si="113"/>
        <v>0</v>
      </c>
      <c r="AE216" s="863">
        <f t="shared" si="113"/>
        <v>10258</v>
      </c>
      <c r="AF216" s="863">
        <f t="shared" si="110"/>
        <v>0</v>
      </c>
      <c r="AG216" s="862">
        <f t="shared" si="110"/>
        <v>0</v>
      </c>
      <c r="AH216" s="863">
        <f t="shared" si="110"/>
        <v>364</v>
      </c>
    </row>
    <row r="217" spans="1:34">
      <c r="A217" s="580"/>
      <c r="B217" s="580" t="s">
        <v>131</v>
      </c>
      <c r="C217" s="806">
        <f t="shared" si="111"/>
        <v>0.11957628844978611</v>
      </c>
      <c r="D217" s="806">
        <f t="shared" si="108"/>
        <v>9.3997071742313323E-2</v>
      </c>
      <c r="E217" s="806">
        <f t="shared" si="108"/>
        <v>8.5242635548598261E-2</v>
      </c>
      <c r="F217" s="806">
        <f t="shared" si="108"/>
        <v>0.19496381182147166</v>
      </c>
      <c r="G217" s="806">
        <f t="shared" si="108"/>
        <v>0.11447166921898928</v>
      </c>
      <c r="H217" s="806">
        <f t="shared" si="108"/>
        <v>5.9161401493394598E-2</v>
      </c>
      <c r="I217" s="624">
        <f t="shared" si="108"/>
        <v>0.11436242767096931</v>
      </c>
      <c r="J217" s="624">
        <f t="shared" si="108"/>
        <v>0</v>
      </c>
      <c r="K217" s="625">
        <f t="shared" si="108"/>
        <v>0</v>
      </c>
      <c r="L217" s="625">
        <f t="shared" si="108"/>
        <v>0</v>
      </c>
      <c r="M217" s="625">
        <f t="shared" si="108"/>
        <v>0</v>
      </c>
      <c r="N217" s="624">
        <f t="shared" si="112"/>
        <v>0.21056224899598394</v>
      </c>
      <c r="O217" s="624">
        <f t="shared" si="109"/>
        <v>0</v>
      </c>
      <c r="P217" s="626">
        <f t="shared" si="109"/>
        <v>0</v>
      </c>
      <c r="Q217" s="624">
        <f t="shared" si="109"/>
        <v>9.557945041816009E-3</v>
      </c>
      <c r="R217" s="357"/>
      <c r="S217" s="862">
        <f t="shared" si="113"/>
        <v>4109</v>
      </c>
      <c r="T217" s="862">
        <f t="shared" si="113"/>
        <v>963</v>
      </c>
      <c r="U217" s="862">
        <f t="shared" si="113"/>
        <v>1198</v>
      </c>
      <c r="V217" s="862">
        <f t="shared" si="113"/>
        <v>1293</v>
      </c>
      <c r="W217" s="862">
        <f t="shared" si="113"/>
        <v>299</v>
      </c>
      <c r="X217" s="862">
        <f t="shared" si="113"/>
        <v>103</v>
      </c>
      <c r="Y217" s="863">
        <f t="shared" si="113"/>
        <v>7965</v>
      </c>
      <c r="Z217" s="863">
        <f t="shared" si="113"/>
        <v>0</v>
      </c>
      <c r="AA217" s="862">
        <f t="shared" si="113"/>
        <v>0</v>
      </c>
      <c r="AB217" s="862">
        <f t="shared" si="113"/>
        <v>0</v>
      </c>
      <c r="AC217" s="862">
        <f t="shared" si="113"/>
        <v>0</v>
      </c>
      <c r="AD217" s="862">
        <f t="shared" si="113"/>
        <v>0</v>
      </c>
      <c r="AE217" s="863">
        <f t="shared" si="113"/>
        <v>5243</v>
      </c>
      <c r="AF217" s="863">
        <f t="shared" si="110"/>
        <v>0</v>
      </c>
      <c r="AG217" s="862">
        <f t="shared" si="110"/>
        <v>0</v>
      </c>
      <c r="AH217" s="863">
        <f t="shared" si="110"/>
        <v>8</v>
      </c>
    </row>
    <row r="218" spans="1:34">
      <c r="A218" s="436" t="s">
        <v>86</v>
      </c>
      <c r="B218" s="436" t="s">
        <v>59</v>
      </c>
      <c r="C218" s="807">
        <f t="shared" si="111"/>
        <v>1</v>
      </c>
      <c r="D218" s="808">
        <f t="shared" si="108"/>
        <v>1</v>
      </c>
      <c r="E218" s="808">
        <f t="shared" si="108"/>
        <v>1</v>
      </c>
      <c r="F218" s="808">
        <f t="shared" si="108"/>
        <v>1</v>
      </c>
      <c r="G218" s="808">
        <f t="shared" si="108"/>
        <v>1</v>
      </c>
      <c r="H218" s="809">
        <f t="shared" si="108"/>
        <v>1</v>
      </c>
      <c r="I218" s="577">
        <f t="shared" si="108"/>
        <v>1</v>
      </c>
      <c r="J218" s="577">
        <f t="shared" si="108"/>
        <v>0</v>
      </c>
      <c r="K218" s="578">
        <f t="shared" si="108"/>
        <v>0</v>
      </c>
      <c r="L218" s="578">
        <f t="shared" si="108"/>
        <v>0</v>
      </c>
      <c r="M218" s="578">
        <f t="shared" si="108"/>
        <v>0</v>
      </c>
      <c r="N218" s="577">
        <f t="shared" si="112"/>
        <v>1</v>
      </c>
      <c r="O218" s="577">
        <f t="shared" si="109"/>
        <v>0</v>
      </c>
      <c r="P218" s="579">
        <f t="shared" si="109"/>
        <v>0</v>
      </c>
      <c r="Q218" s="577">
        <f t="shared" si="109"/>
        <v>1</v>
      </c>
      <c r="R218" s="357"/>
      <c r="S218" s="862">
        <f t="shared" si="113"/>
        <v>34363</v>
      </c>
      <c r="T218" s="862">
        <f t="shared" si="113"/>
        <v>10245</v>
      </c>
      <c r="U218" s="862">
        <f t="shared" si="113"/>
        <v>14054</v>
      </c>
      <c r="V218" s="862">
        <f t="shared" si="113"/>
        <v>6632</v>
      </c>
      <c r="W218" s="862">
        <f t="shared" si="113"/>
        <v>2612</v>
      </c>
      <c r="X218" s="862">
        <f t="shared" si="113"/>
        <v>1741</v>
      </c>
      <c r="Y218" s="863">
        <f t="shared" si="113"/>
        <v>69647</v>
      </c>
      <c r="Z218" s="863">
        <f t="shared" si="113"/>
        <v>0</v>
      </c>
      <c r="AA218" s="862">
        <f t="shared" si="113"/>
        <v>0</v>
      </c>
      <c r="AB218" s="862">
        <f t="shared" si="113"/>
        <v>0</v>
      </c>
      <c r="AC218" s="862">
        <f t="shared" si="113"/>
        <v>0</v>
      </c>
      <c r="AD218" s="862">
        <f t="shared" si="113"/>
        <v>0</v>
      </c>
      <c r="AE218" s="863">
        <f t="shared" si="113"/>
        <v>24900</v>
      </c>
      <c r="AF218" s="863">
        <f t="shared" si="110"/>
        <v>0</v>
      </c>
      <c r="AG218" s="862">
        <f t="shared" si="110"/>
        <v>0</v>
      </c>
      <c r="AH218" s="863">
        <f t="shared" si="110"/>
        <v>837</v>
      </c>
    </row>
    <row r="219" spans="1:34">
      <c r="A219" s="240" t="s">
        <v>144</v>
      </c>
      <c r="B219" s="240" t="s">
        <v>53</v>
      </c>
      <c r="C219" s="806">
        <f>IF(S$224&gt;0,(S219/S$224),0)</f>
        <v>0.3101160862354892</v>
      </c>
      <c r="D219" s="806">
        <f t="shared" ref="D219:M224" si="114">IF(T$224&gt;0,(T219/T$224),0)</f>
        <v>0.20475113122171945</v>
      </c>
      <c r="E219" s="806">
        <f t="shared" si="114"/>
        <v>0.23165618448637318</v>
      </c>
      <c r="F219" s="806">
        <f t="shared" si="114"/>
        <v>0</v>
      </c>
      <c r="G219" s="806">
        <f t="shared" si="114"/>
        <v>0</v>
      </c>
      <c r="H219" s="806">
        <f t="shared" si="114"/>
        <v>0</v>
      </c>
      <c r="I219" s="613">
        <f t="shared" si="114"/>
        <v>0.26611366438740053</v>
      </c>
      <c r="J219" s="613">
        <f t="shared" si="114"/>
        <v>0</v>
      </c>
      <c r="K219" s="614">
        <f t="shared" si="114"/>
        <v>0</v>
      </c>
      <c r="L219" s="614">
        <f t="shared" si="114"/>
        <v>0</v>
      </c>
      <c r="M219" s="614">
        <f t="shared" si="114"/>
        <v>0</v>
      </c>
      <c r="N219" s="613">
        <f>IF(AE$224&gt;0,(AE219/AE$224),0)</f>
        <v>0.24776119402985075</v>
      </c>
      <c r="O219" s="613">
        <f t="shared" ref="O219:Q224" si="115">IF(AF$224&gt;0,(AF219/AF$224),0)</f>
        <v>0</v>
      </c>
      <c r="P219" s="615">
        <f t="shared" si="115"/>
        <v>0</v>
      </c>
      <c r="Q219" s="613">
        <f t="shared" si="115"/>
        <v>0</v>
      </c>
      <c r="R219" s="799"/>
      <c r="S219" s="856">
        <v>1309</v>
      </c>
      <c r="T219" s="856">
        <v>181</v>
      </c>
      <c r="U219" s="856">
        <v>884</v>
      </c>
      <c r="V219" s="856"/>
      <c r="W219" s="856"/>
      <c r="X219" s="856"/>
      <c r="Y219" s="857">
        <v>2374</v>
      </c>
      <c r="Z219" s="857"/>
      <c r="AA219" s="856"/>
      <c r="AB219" s="856"/>
      <c r="AC219" s="856"/>
      <c r="AD219" s="856"/>
      <c r="AE219" s="857">
        <v>1162</v>
      </c>
      <c r="AF219" s="857"/>
      <c r="AG219" s="856"/>
      <c r="AH219" s="857"/>
    </row>
    <row r="220" spans="1:34">
      <c r="A220" s="239"/>
      <c r="B220" s="239" t="s">
        <v>93</v>
      </c>
      <c r="C220" s="806">
        <f t="shared" ref="C220:C224" si="116">IF(S$224&gt;0,(S220/S$224),0)</f>
        <v>0.2613124851930822</v>
      </c>
      <c r="D220" s="806">
        <f t="shared" si="114"/>
        <v>0.3190045248868778</v>
      </c>
      <c r="E220" s="806">
        <f t="shared" si="114"/>
        <v>0.26546121593291405</v>
      </c>
      <c r="F220" s="806">
        <f t="shared" si="114"/>
        <v>0</v>
      </c>
      <c r="G220" s="806">
        <f t="shared" si="114"/>
        <v>0</v>
      </c>
      <c r="H220" s="806">
        <f t="shared" si="114"/>
        <v>0</v>
      </c>
      <c r="I220" s="624">
        <f t="shared" si="114"/>
        <v>0.26880394574599259</v>
      </c>
      <c r="J220" s="624">
        <f t="shared" si="114"/>
        <v>0</v>
      </c>
      <c r="K220" s="625">
        <f t="shared" si="114"/>
        <v>0</v>
      </c>
      <c r="L220" s="625">
        <f t="shared" si="114"/>
        <v>0</v>
      </c>
      <c r="M220" s="625">
        <f t="shared" si="114"/>
        <v>0</v>
      </c>
      <c r="N220" s="624">
        <f t="shared" ref="N220:N224" si="117">IF(AE$224&gt;0,(AE220/AE$224),0)</f>
        <v>0.16247334754797441</v>
      </c>
      <c r="O220" s="624">
        <f t="shared" si="115"/>
        <v>0</v>
      </c>
      <c r="P220" s="626">
        <f t="shared" si="115"/>
        <v>0</v>
      </c>
      <c r="Q220" s="624">
        <f t="shared" si="115"/>
        <v>0</v>
      </c>
      <c r="R220" s="357"/>
      <c r="S220" s="858">
        <v>1103</v>
      </c>
      <c r="T220" s="858">
        <v>282</v>
      </c>
      <c r="U220" s="858">
        <v>1013</v>
      </c>
      <c r="V220" s="858"/>
      <c r="W220" s="858"/>
      <c r="X220" s="858"/>
      <c r="Y220" s="859">
        <v>2398</v>
      </c>
      <c r="Z220" s="859"/>
      <c r="AA220" s="858"/>
      <c r="AB220" s="858"/>
      <c r="AC220" s="858"/>
      <c r="AD220" s="858"/>
      <c r="AE220" s="859">
        <v>762</v>
      </c>
      <c r="AF220" s="859"/>
      <c r="AG220" s="858"/>
      <c r="AH220" s="859"/>
    </row>
    <row r="221" spans="1:34">
      <c r="A221" s="239"/>
      <c r="B221" s="239" t="s">
        <v>55</v>
      </c>
      <c r="C221" s="806">
        <f t="shared" si="116"/>
        <v>0.26557687751717601</v>
      </c>
      <c r="D221" s="806">
        <f t="shared" si="114"/>
        <v>0.2409502262443439</v>
      </c>
      <c r="E221" s="806">
        <f t="shared" si="114"/>
        <v>0.29428721174004191</v>
      </c>
      <c r="F221" s="806">
        <f t="shared" si="114"/>
        <v>0</v>
      </c>
      <c r="G221" s="806">
        <f t="shared" si="114"/>
        <v>0</v>
      </c>
      <c r="H221" s="806">
        <f t="shared" si="114"/>
        <v>0</v>
      </c>
      <c r="I221" s="624">
        <f t="shared" si="114"/>
        <v>0.27541755408586482</v>
      </c>
      <c r="J221" s="624">
        <f t="shared" si="114"/>
        <v>0</v>
      </c>
      <c r="K221" s="625">
        <f t="shared" si="114"/>
        <v>0</v>
      </c>
      <c r="L221" s="625">
        <f t="shared" si="114"/>
        <v>0</v>
      </c>
      <c r="M221" s="625">
        <f t="shared" si="114"/>
        <v>0</v>
      </c>
      <c r="N221" s="624">
        <f t="shared" si="117"/>
        <v>0.15607675906183369</v>
      </c>
      <c r="O221" s="624">
        <f t="shared" si="115"/>
        <v>0</v>
      </c>
      <c r="P221" s="626">
        <f t="shared" si="115"/>
        <v>0</v>
      </c>
      <c r="Q221" s="624">
        <f t="shared" si="115"/>
        <v>0</v>
      </c>
      <c r="R221" s="357"/>
      <c r="S221" s="858">
        <v>1121</v>
      </c>
      <c r="T221" s="858">
        <v>213</v>
      </c>
      <c r="U221" s="858">
        <v>1123</v>
      </c>
      <c r="V221" s="858"/>
      <c r="W221" s="858"/>
      <c r="X221" s="858"/>
      <c r="Y221" s="859">
        <v>2457</v>
      </c>
      <c r="Z221" s="859"/>
      <c r="AA221" s="858"/>
      <c r="AB221" s="858"/>
      <c r="AC221" s="858"/>
      <c r="AD221" s="858"/>
      <c r="AE221" s="859">
        <v>732</v>
      </c>
      <c r="AF221" s="859"/>
      <c r="AG221" s="858"/>
      <c r="AH221" s="859"/>
    </row>
    <row r="222" spans="1:34">
      <c r="A222" s="239"/>
      <c r="B222" s="239" t="s">
        <v>78</v>
      </c>
      <c r="C222" s="806">
        <f t="shared" si="116"/>
        <v>4.382847666429756E-2</v>
      </c>
      <c r="D222" s="806">
        <f t="shared" si="114"/>
        <v>0.19683257918552036</v>
      </c>
      <c r="E222" s="806">
        <f t="shared" si="114"/>
        <v>0.15828092243186584</v>
      </c>
      <c r="F222" s="806">
        <f t="shared" si="114"/>
        <v>0</v>
      </c>
      <c r="G222" s="806">
        <f t="shared" si="114"/>
        <v>0</v>
      </c>
      <c r="H222" s="806">
        <f t="shared" si="114"/>
        <v>0</v>
      </c>
      <c r="I222" s="624">
        <f t="shared" si="114"/>
        <v>0.10794753951350745</v>
      </c>
      <c r="J222" s="624">
        <f t="shared" si="114"/>
        <v>0</v>
      </c>
      <c r="K222" s="625">
        <f t="shared" si="114"/>
        <v>0</v>
      </c>
      <c r="L222" s="625">
        <f t="shared" si="114"/>
        <v>0</v>
      </c>
      <c r="M222" s="625">
        <f t="shared" si="114"/>
        <v>0</v>
      </c>
      <c r="N222" s="624">
        <f t="shared" si="117"/>
        <v>0.2302771855010661</v>
      </c>
      <c r="O222" s="624">
        <f t="shared" si="115"/>
        <v>0</v>
      </c>
      <c r="P222" s="626">
        <f t="shared" si="115"/>
        <v>0</v>
      </c>
      <c r="Q222" s="624">
        <f t="shared" si="115"/>
        <v>0</v>
      </c>
      <c r="R222" s="357"/>
      <c r="S222" s="858">
        <v>185</v>
      </c>
      <c r="T222" s="858">
        <v>174</v>
      </c>
      <c r="U222" s="858">
        <v>604</v>
      </c>
      <c r="V222" s="858"/>
      <c r="W222" s="858"/>
      <c r="X222" s="858"/>
      <c r="Y222" s="859">
        <v>963</v>
      </c>
      <c r="Z222" s="859"/>
      <c r="AA222" s="858"/>
      <c r="AB222" s="858"/>
      <c r="AC222" s="858"/>
      <c r="AD222" s="858"/>
      <c r="AE222" s="859">
        <v>1080</v>
      </c>
      <c r="AF222" s="859"/>
      <c r="AG222" s="858"/>
      <c r="AH222" s="859"/>
    </row>
    <row r="223" spans="1:34">
      <c r="A223" s="580"/>
      <c r="B223" s="580" t="s">
        <v>131</v>
      </c>
      <c r="C223" s="806">
        <f t="shared" si="116"/>
        <v>0.11916607438995498</v>
      </c>
      <c r="D223" s="806">
        <f t="shared" si="114"/>
        <v>3.8461538461538464E-2</v>
      </c>
      <c r="E223" s="806">
        <f t="shared" si="114"/>
        <v>5.0314465408805034E-2</v>
      </c>
      <c r="F223" s="806">
        <f t="shared" si="114"/>
        <v>0</v>
      </c>
      <c r="G223" s="806">
        <f t="shared" si="114"/>
        <v>0</v>
      </c>
      <c r="H223" s="806">
        <f t="shared" si="114"/>
        <v>0</v>
      </c>
      <c r="I223" s="624">
        <f t="shared" si="114"/>
        <v>8.1717296267234618E-2</v>
      </c>
      <c r="J223" s="624">
        <f t="shared" si="114"/>
        <v>0</v>
      </c>
      <c r="K223" s="625">
        <f t="shared" si="114"/>
        <v>0</v>
      </c>
      <c r="L223" s="625">
        <f t="shared" si="114"/>
        <v>0</v>
      </c>
      <c r="M223" s="625">
        <f t="shared" si="114"/>
        <v>0</v>
      </c>
      <c r="N223" s="624">
        <f t="shared" si="117"/>
        <v>0.20341151385927506</v>
      </c>
      <c r="O223" s="624">
        <f t="shared" si="115"/>
        <v>0</v>
      </c>
      <c r="P223" s="626">
        <f t="shared" si="115"/>
        <v>0</v>
      </c>
      <c r="Q223" s="624">
        <f t="shared" si="115"/>
        <v>0</v>
      </c>
      <c r="R223" s="357"/>
      <c r="S223" s="858">
        <v>503</v>
      </c>
      <c r="T223" s="858">
        <v>34</v>
      </c>
      <c r="U223" s="858">
        <v>192</v>
      </c>
      <c r="V223" s="858"/>
      <c r="W223" s="858"/>
      <c r="X223" s="858"/>
      <c r="Y223" s="859">
        <v>729</v>
      </c>
      <c r="Z223" s="859"/>
      <c r="AA223" s="858"/>
      <c r="AB223" s="858"/>
      <c r="AC223" s="858"/>
      <c r="AD223" s="858"/>
      <c r="AE223" s="859">
        <v>954</v>
      </c>
      <c r="AF223" s="859"/>
      <c r="AG223" s="858"/>
      <c r="AH223" s="859"/>
    </row>
    <row r="224" spans="1:34">
      <c r="A224" s="436"/>
      <c r="B224" s="436" t="s">
        <v>59</v>
      </c>
      <c r="C224" s="807">
        <f t="shared" si="116"/>
        <v>1</v>
      </c>
      <c r="D224" s="808">
        <f t="shared" si="114"/>
        <v>1</v>
      </c>
      <c r="E224" s="808">
        <f t="shared" si="114"/>
        <v>1</v>
      </c>
      <c r="F224" s="808">
        <f t="shared" si="114"/>
        <v>0</v>
      </c>
      <c r="G224" s="808">
        <f t="shared" si="114"/>
        <v>0</v>
      </c>
      <c r="H224" s="809">
        <f t="shared" si="114"/>
        <v>0</v>
      </c>
      <c r="I224" s="577">
        <f t="shared" si="114"/>
        <v>1</v>
      </c>
      <c r="J224" s="577">
        <f t="shared" si="114"/>
        <v>0</v>
      </c>
      <c r="K224" s="578">
        <f t="shared" si="114"/>
        <v>0</v>
      </c>
      <c r="L224" s="578">
        <f t="shared" si="114"/>
        <v>0</v>
      </c>
      <c r="M224" s="578">
        <f t="shared" si="114"/>
        <v>0</v>
      </c>
      <c r="N224" s="577">
        <f t="shared" si="117"/>
        <v>1</v>
      </c>
      <c r="O224" s="577">
        <f t="shared" si="115"/>
        <v>0</v>
      </c>
      <c r="P224" s="579">
        <f t="shared" si="115"/>
        <v>0</v>
      </c>
      <c r="Q224" s="577">
        <f t="shared" si="115"/>
        <v>0</v>
      </c>
      <c r="R224" s="357"/>
      <c r="S224" s="858">
        <v>4221</v>
      </c>
      <c r="T224" s="858">
        <v>884</v>
      </c>
      <c r="U224" s="858">
        <v>3816</v>
      </c>
      <c r="V224" s="858"/>
      <c r="W224" s="858"/>
      <c r="X224" s="858"/>
      <c r="Y224" s="859">
        <v>8921</v>
      </c>
      <c r="Z224" s="859"/>
      <c r="AA224" s="858"/>
      <c r="AB224" s="858"/>
      <c r="AC224" s="858"/>
      <c r="AD224" s="858"/>
      <c r="AE224" s="859">
        <v>4690</v>
      </c>
      <c r="AF224" s="859"/>
      <c r="AG224" s="858"/>
      <c r="AH224" s="859"/>
    </row>
    <row r="225" spans="1:34">
      <c r="A225" s="240" t="s">
        <v>145</v>
      </c>
      <c r="B225" s="240" t="s">
        <v>53</v>
      </c>
      <c r="C225" s="806">
        <f>IF(S$230&gt;0,(S225/S$230),0)</f>
        <v>0.37550579983814403</v>
      </c>
      <c r="D225" s="806">
        <f t="shared" ref="D225:M230" si="118">IF(T$230&gt;0,(T225/T$230),0)</f>
        <v>0.22948001718951438</v>
      </c>
      <c r="E225" s="806">
        <f t="shared" si="118"/>
        <v>0.21357615894039736</v>
      </c>
      <c r="F225" s="806">
        <f t="shared" si="118"/>
        <v>0.1118421052631579</v>
      </c>
      <c r="G225" s="806">
        <f t="shared" si="118"/>
        <v>0.16695059625212946</v>
      </c>
      <c r="H225" s="806">
        <f t="shared" si="118"/>
        <v>0.27672955974842767</v>
      </c>
      <c r="I225" s="613">
        <f t="shared" si="118"/>
        <v>0.28327812538338853</v>
      </c>
      <c r="J225" s="613">
        <f t="shared" si="118"/>
        <v>0</v>
      </c>
      <c r="K225" s="614">
        <f t="shared" si="118"/>
        <v>0</v>
      </c>
      <c r="L225" s="614">
        <f t="shared" si="118"/>
        <v>0</v>
      </c>
      <c r="M225" s="614">
        <f t="shared" si="118"/>
        <v>0</v>
      </c>
      <c r="N225" s="613">
        <f>IF(AE$230&gt;0,(AE225/AE$230),0)</f>
        <v>5.8506543494996149E-2</v>
      </c>
      <c r="O225" s="613">
        <f t="shared" ref="O225:Q230" si="119">IF(AF$230&gt;0,(AF225/AF$230),0)</f>
        <v>0</v>
      </c>
      <c r="P225" s="615">
        <f t="shared" si="119"/>
        <v>0</v>
      </c>
      <c r="Q225" s="613">
        <f t="shared" si="119"/>
        <v>0</v>
      </c>
      <c r="R225" s="799"/>
      <c r="S225" s="856">
        <v>1392</v>
      </c>
      <c r="T225" s="856">
        <v>534</v>
      </c>
      <c r="U225" s="856">
        <v>129</v>
      </c>
      <c r="V225" s="856">
        <v>68</v>
      </c>
      <c r="W225" s="856">
        <v>98</v>
      </c>
      <c r="X225" s="856">
        <v>88</v>
      </c>
      <c r="Y225" s="857">
        <v>2309</v>
      </c>
      <c r="Z225" s="857"/>
      <c r="AA225" s="856"/>
      <c r="AB225" s="856"/>
      <c r="AC225" s="856"/>
      <c r="AD225" s="856"/>
      <c r="AE225" s="857">
        <v>76</v>
      </c>
      <c r="AF225" s="857"/>
      <c r="AG225" s="856"/>
      <c r="AH225" s="857"/>
    </row>
    <row r="226" spans="1:34">
      <c r="A226" s="239"/>
      <c r="B226" s="239" t="s">
        <v>93</v>
      </c>
      <c r="C226" s="806">
        <f t="shared" ref="C226:C230" si="120">IF(S$230&gt;0,(S226/S$230),0)</f>
        <v>0.27488535203668735</v>
      </c>
      <c r="D226" s="806">
        <f t="shared" si="118"/>
        <v>0.27932960893854747</v>
      </c>
      <c r="E226" s="806">
        <f t="shared" si="118"/>
        <v>0.33112582781456956</v>
      </c>
      <c r="F226" s="806">
        <f t="shared" si="118"/>
        <v>0.26644736842105265</v>
      </c>
      <c r="G226" s="806">
        <f t="shared" si="118"/>
        <v>0.26916524701873934</v>
      </c>
      <c r="H226" s="806">
        <f t="shared" si="118"/>
        <v>0.18238993710691823</v>
      </c>
      <c r="I226" s="624">
        <f t="shared" si="118"/>
        <v>0.27567169672432829</v>
      </c>
      <c r="J226" s="624">
        <f t="shared" si="118"/>
        <v>0</v>
      </c>
      <c r="K226" s="625">
        <f t="shared" si="118"/>
        <v>0</v>
      </c>
      <c r="L226" s="625">
        <f t="shared" si="118"/>
        <v>0</v>
      </c>
      <c r="M226" s="625">
        <f t="shared" si="118"/>
        <v>0</v>
      </c>
      <c r="N226" s="624">
        <f t="shared" ref="N226:N230" si="121">IF(AE$230&gt;0,(AE226/AE$230),0)</f>
        <v>0.21709006928406466</v>
      </c>
      <c r="O226" s="624">
        <f t="shared" si="119"/>
        <v>0</v>
      </c>
      <c r="P226" s="626">
        <f t="shared" si="119"/>
        <v>0</v>
      </c>
      <c r="Q226" s="624">
        <f t="shared" si="119"/>
        <v>0</v>
      </c>
      <c r="R226" s="357"/>
      <c r="S226" s="858">
        <v>1019</v>
      </c>
      <c r="T226" s="858">
        <v>650</v>
      </c>
      <c r="U226" s="858">
        <v>200</v>
      </c>
      <c r="V226" s="858">
        <v>162</v>
      </c>
      <c r="W226" s="858">
        <v>158</v>
      </c>
      <c r="X226" s="858">
        <v>58</v>
      </c>
      <c r="Y226" s="859">
        <v>2247</v>
      </c>
      <c r="Z226" s="859"/>
      <c r="AA226" s="858"/>
      <c r="AB226" s="858"/>
      <c r="AC226" s="858"/>
      <c r="AD226" s="858"/>
      <c r="AE226" s="859">
        <v>282</v>
      </c>
      <c r="AF226" s="859"/>
      <c r="AG226" s="858"/>
      <c r="AH226" s="859"/>
    </row>
    <row r="227" spans="1:34">
      <c r="A227" s="239"/>
      <c r="B227" s="239" t="s">
        <v>55</v>
      </c>
      <c r="C227" s="806">
        <f t="shared" si="120"/>
        <v>0.20798489344483409</v>
      </c>
      <c r="D227" s="806">
        <f t="shared" si="118"/>
        <v>0.27460249247958746</v>
      </c>
      <c r="E227" s="806">
        <f t="shared" si="118"/>
        <v>0.23509933774834438</v>
      </c>
      <c r="F227" s="806">
        <f t="shared" si="118"/>
        <v>0.33881578947368424</v>
      </c>
      <c r="G227" s="806">
        <f t="shared" si="118"/>
        <v>0.30494037478705283</v>
      </c>
      <c r="H227" s="806">
        <f t="shared" si="118"/>
        <v>0.36792452830188677</v>
      </c>
      <c r="I227" s="624">
        <f t="shared" si="118"/>
        <v>0.25199362041467305</v>
      </c>
      <c r="J227" s="624">
        <f t="shared" si="118"/>
        <v>0</v>
      </c>
      <c r="K227" s="625">
        <f t="shared" si="118"/>
        <v>0</v>
      </c>
      <c r="L227" s="625">
        <f t="shared" si="118"/>
        <v>0</v>
      </c>
      <c r="M227" s="625">
        <f t="shared" si="118"/>
        <v>0</v>
      </c>
      <c r="N227" s="624">
        <f t="shared" si="121"/>
        <v>0.4634334103156274</v>
      </c>
      <c r="O227" s="624">
        <f t="shared" si="119"/>
        <v>0</v>
      </c>
      <c r="P227" s="626">
        <f t="shared" si="119"/>
        <v>0</v>
      </c>
      <c r="Q227" s="624">
        <f t="shared" si="119"/>
        <v>0</v>
      </c>
      <c r="R227" s="357"/>
      <c r="S227" s="858">
        <v>771</v>
      </c>
      <c r="T227" s="858">
        <v>639</v>
      </c>
      <c r="U227" s="858">
        <v>142</v>
      </c>
      <c r="V227" s="858">
        <v>206</v>
      </c>
      <c r="W227" s="858">
        <v>179</v>
      </c>
      <c r="X227" s="858">
        <v>117</v>
      </c>
      <c r="Y227" s="859">
        <v>2054</v>
      </c>
      <c r="Z227" s="859"/>
      <c r="AA227" s="858"/>
      <c r="AB227" s="858"/>
      <c r="AC227" s="858"/>
      <c r="AD227" s="858"/>
      <c r="AE227" s="859">
        <v>602</v>
      </c>
      <c r="AF227" s="859"/>
      <c r="AG227" s="858"/>
      <c r="AH227" s="859"/>
    </row>
    <row r="228" spans="1:34">
      <c r="A228" s="239"/>
      <c r="B228" s="239" t="s">
        <v>78</v>
      </c>
      <c r="C228" s="806">
        <f t="shared" si="120"/>
        <v>2.4278392230914487E-3</v>
      </c>
      <c r="D228" s="806">
        <f t="shared" si="118"/>
        <v>0.10442629995702621</v>
      </c>
      <c r="E228" s="806">
        <f t="shared" si="118"/>
        <v>5.4635761589403975E-2</v>
      </c>
      <c r="F228" s="806">
        <f t="shared" si="118"/>
        <v>0.15953947368421054</v>
      </c>
      <c r="G228" s="806">
        <f t="shared" si="118"/>
        <v>3.4071550255536627E-3</v>
      </c>
      <c r="H228" s="806">
        <f t="shared" si="118"/>
        <v>7.2327044025157231E-2</v>
      </c>
      <c r="I228" s="624">
        <f t="shared" si="118"/>
        <v>4.9932523616734142E-2</v>
      </c>
      <c r="J228" s="624">
        <f t="shared" si="118"/>
        <v>0</v>
      </c>
      <c r="K228" s="625">
        <f t="shared" si="118"/>
        <v>0</v>
      </c>
      <c r="L228" s="625">
        <f t="shared" si="118"/>
        <v>0</v>
      </c>
      <c r="M228" s="625">
        <f t="shared" si="118"/>
        <v>0</v>
      </c>
      <c r="N228" s="624">
        <f t="shared" si="121"/>
        <v>0.2317167051578137</v>
      </c>
      <c r="O228" s="624">
        <f t="shared" si="119"/>
        <v>0</v>
      </c>
      <c r="P228" s="626">
        <f t="shared" si="119"/>
        <v>0</v>
      </c>
      <c r="Q228" s="624">
        <f t="shared" si="119"/>
        <v>0</v>
      </c>
      <c r="R228" s="357"/>
      <c r="S228" s="858">
        <v>9</v>
      </c>
      <c r="T228" s="858">
        <v>243</v>
      </c>
      <c r="U228" s="858">
        <v>33</v>
      </c>
      <c r="V228" s="858">
        <v>97</v>
      </c>
      <c r="W228" s="858">
        <v>2</v>
      </c>
      <c r="X228" s="858">
        <v>23</v>
      </c>
      <c r="Y228" s="859">
        <v>407</v>
      </c>
      <c r="Z228" s="859"/>
      <c r="AA228" s="858"/>
      <c r="AB228" s="858"/>
      <c r="AC228" s="858"/>
      <c r="AD228" s="858"/>
      <c r="AE228" s="859">
        <v>301</v>
      </c>
      <c r="AF228" s="859"/>
      <c r="AG228" s="858"/>
      <c r="AH228" s="859"/>
    </row>
    <row r="229" spans="1:34">
      <c r="A229" s="580"/>
      <c r="B229" s="580" t="s">
        <v>131</v>
      </c>
      <c r="C229" s="806">
        <f t="shared" si="120"/>
        <v>0.13919611545724306</v>
      </c>
      <c r="D229" s="806">
        <f t="shared" si="118"/>
        <v>0.11216158143532445</v>
      </c>
      <c r="E229" s="806">
        <f t="shared" si="118"/>
        <v>0.16556291390728478</v>
      </c>
      <c r="F229" s="806">
        <f t="shared" si="118"/>
        <v>0.12335526315789473</v>
      </c>
      <c r="G229" s="806">
        <f t="shared" si="118"/>
        <v>0.25553662691652468</v>
      </c>
      <c r="H229" s="806">
        <f t="shared" si="118"/>
        <v>0.10062893081761007</v>
      </c>
      <c r="I229" s="624">
        <f t="shared" si="118"/>
        <v>0.13912403386087596</v>
      </c>
      <c r="J229" s="624">
        <f t="shared" si="118"/>
        <v>0</v>
      </c>
      <c r="K229" s="625">
        <f t="shared" si="118"/>
        <v>0</v>
      </c>
      <c r="L229" s="625">
        <f t="shared" si="118"/>
        <v>0</v>
      </c>
      <c r="M229" s="625">
        <f t="shared" si="118"/>
        <v>0</v>
      </c>
      <c r="N229" s="624">
        <f t="shared" si="121"/>
        <v>2.9253271747498075E-2</v>
      </c>
      <c r="O229" s="624">
        <f t="shared" si="119"/>
        <v>0</v>
      </c>
      <c r="P229" s="626">
        <f t="shared" si="119"/>
        <v>0</v>
      </c>
      <c r="Q229" s="624">
        <f t="shared" si="119"/>
        <v>0</v>
      </c>
      <c r="R229" s="357"/>
      <c r="S229" s="858">
        <v>516</v>
      </c>
      <c r="T229" s="858">
        <v>261</v>
      </c>
      <c r="U229" s="858">
        <v>100</v>
      </c>
      <c r="V229" s="858">
        <v>75</v>
      </c>
      <c r="W229" s="858">
        <v>150</v>
      </c>
      <c r="X229" s="858">
        <v>32</v>
      </c>
      <c r="Y229" s="859">
        <v>1134</v>
      </c>
      <c r="Z229" s="859"/>
      <c r="AA229" s="858"/>
      <c r="AB229" s="858"/>
      <c r="AC229" s="858"/>
      <c r="AD229" s="858"/>
      <c r="AE229" s="859">
        <v>38</v>
      </c>
      <c r="AF229" s="859"/>
      <c r="AG229" s="858"/>
      <c r="AH229" s="859"/>
    </row>
    <row r="230" spans="1:34">
      <c r="A230" s="436"/>
      <c r="B230" s="436" t="s">
        <v>59</v>
      </c>
      <c r="C230" s="807">
        <f t="shared" si="120"/>
        <v>1</v>
      </c>
      <c r="D230" s="808">
        <f t="shared" si="118"/>
        <v>1</v>
      </c>
      <c r="E230" s="808">
        <f t="shared" si="118"/>
        <v>1</v>
      </c>
      <c r="F230" s="808">
        <f t="shared" si="118"/>
        <v>1</v>
      </c>
      <c r="G230" s="808">
        <f t="shared" si="118"/>
        <v>1</v>
      </c>
      <c r="H230" s="809">
        <f t="shared" si="118"/>
        <v>1</v>
      </c>
      <c r="I230" s="577">
        <f t="shared" si="118"/>
        <v>1</v>
      </c>
      <c r="J230" s="577">
        <f t="shared" si="118"/>
        <v>0</v>
      </c>
      <c r="K230" s="578">
        <f t="shared" si="118"/>
        <v>0</v>
      </c>
      <c r="L230" s="578">
        <f t="shared" si="118"/>
        <v>0</v>
      </c>
      <c r="M230" s="578">
        <f t="shared" si="118"/>
        <v>0</v>
      </c>
      <c r="N230" s="577">
        <f t="shared" si="121"/>
        <v>1</v>
      </c>
      <c r="O230" s="577">
        <f t="shared" si="119"/>
        <v>0</v>
      </c>
      <c r="P230" s="579">
        <f t="shared" si="119"/>
        <v>0</v>
      </c>
      <c r="Q230" s="577">
        <f t="shared" si="119"/>
        <v>0</v>
      </c>
      <c r="R230" s="357"/>
      <c r="S230" s="858">
        <v>3707</v>
      </c>
      <c r="T230" s="858">
        <v>2327</v>
      </c>
      <c r="U230" s="858">
        <v>604</v>
      </c>
      <c r="V230" s="858">
        <v>608</v>
      </c>
      <c r="W230" s="858">
        <v>587</v>
      </c>
      <c r="X230" s="858">
        <v>318</v>
      </c>
      <c r="Y230" s="859">
        <v>8151</v>
      </c>
      <c r="Z230" s="859"/>
      <c r="AA230" s="858"/>
      <c r="AB230" s="858"/>
      <c r="AC230" s="858"/>
      <c r="AD230" s="858"/>
      <c r="AE230" s="859">
        <v>1299</v>
      </c>
      <c r="AF230" s="859"/>
      <c r="AG230" s="858"/>
      <c r="AH230" s="859"/>
    </row>
    <row r="231" spans="1:34">
      <c r="A231" s="240" t="s">
        <v>142</v>
      </c>
      <c r="B231" s="240" t="s">
        <v>53</v>
      </c>
      <c r="C231" s="806">
        <f>IF(S$236&gt;0,(S231/S$236),0)</f>
        <v>0.36308024469233535</v>
      </c>
      <c r="D231" s="806">
        <f t="shared" ref="D231:M236" si="122">IF(T$236&gt;0,(T231/T$236),0)</f>
        <v>0</v>
      </c>
      <c r="E231" s="806">
        <f t="shared" si="122"/>
        <v>0.28190476190476188</v>
      </c>
      <c r="F231" s="806">
        <f t="shared" si="122"/>
        <v>0</v>
      </c>
      <c r="G231" s="806">
        <f t="shared" si="122"/>
        <v>0</v>
      </c>
      <c r="H231" s="806">
        <f t="shared" si="122"/>
        <v>0</v>
      </c>
      <c r="I231" s="613">
        <f t="shared" si="122"/>
        <v>0.35018159806295401</v>
      </c>
      <c r="J231" s="613">
        <f t="shared" si="122"/>
        <v>0</v>
      </c>
      <c r="K231" s="614">
        <f t="shared" si="122"/>
        <v>0</v>
      </c>
      <c r="L231" s="614">
        <f t="shared" si="122"/>
        <v>0</v>
      </c>
      <c r="M231" s="614">
        <f t="shared" si="122"/>
        <v>0</v>
      </c>
      <c r="N231" s="613">
        <f>IF(AE$236&gt;0,(AE231/AE$236),0)</f>
        <v>0.23984840281537628</v>
      </c>
      <c r="O231" s="613">
        <f t="shared" ref="O231:Q236" si="123">IF(AF$236&gt;0,(AF231/AF$236),0)</f>
        <v>0</v>
      </c>
      <c r="P231" s="615">
        <f t="shared" si="123"/>
        <v>0</v>
      </c>
      <c r="Q231" s="613">
        <f t="shared" si="123"/>
        <v>0</v>
      </c>
      <c r="R231" s="799"/>
      <c r="S231" s="856">
        <v>1009</v>
      </c>
      <c r="T231" s="856"/>
      <c r="U231" s="856">
        <v>148</v>
      </c>
      <c r="V231" s="856"/>
      <c r="W231" s="856"/>
      <c r="X231" s="856"/>
      <c r="Y231" s="857">
        <v>1157</v>
      </c>
      <c r="Z231" s="857"/>
      <c r="AA231" s="856"/>
      <c r="AB231" s="856"/>
      <c r="AC231" s="856"/>
      <c r="AD231" s="856"/>
      <c r="AE231" s="857">
        <v>443</v>
      </c>
      <c r="AF231" s="857"/>
      <c r="AG231" s="856"/>
      <c r="AH231" s="857"/>
    </row>
    <row r="232" spans="1:34">
      <c r="A232" s="239"/>
      <c r="B232" s="239" t="s">
        <v>93</v>
      </c>
      <c r="C232" s="806">
        <f t="shared" ref="C232:C236" si="124">IF(S$236&gt;0,(S232/S$236),0)</f>
        <v>0.28535444404462035</v>
      </c>
      <c r="D232" s="806">
        <f t="shared" si="122"/>
        <v>0</v>
      </c>
      <c r="E232" s="806">
        <f t="shared" si="122"/>
        <v>0.33904761904761904</v>
      </c>
      <c r="F232" s="806">
        <f t="shared" si="122"/>
        <v>0</v>
      </c>
      <c r="G232" s="806">
        <f t="shared" si="122"/>
        <v>0</v>
      </c>
      <c r="H232" s="806">
        <f t="shared" si="122"/>
        <v>0</v>
      </c>
      <c r="I232" s="624">
        <f t="shared" si="122"/>
        <v>0.29388619854721548</v>
      </c>
      <c r="J232" s="624">
        <f t="shared" si="122"/>
        <v>0</v>
      </c>
      <c r="K232" s="625">
        <f t="shared" si="122"/>
        <v>0</v>
      </c>
      <c r="L232" s="625">
        <f t="shared" si="122"/>
        <v>0</v>
      </c>
      <c r="M232" s="625">
        <f t="shared" si="122"/>
        <v>0</v>
      </c>
      <c r="N232" s="624">
        <f t="shared" ref="N232:N236" si="125">IF(AE$236&gt;0,(AE232/AE$236),0)</f>
        <v>0.10395235517054684</v>
      </c>
      <c r="O232" s="624">
        <f t="shared" si="123"/>
        <v>0</v>
      </c>
      <c r="P232" s="626">
        <f t="shared" si="123"/>
        <v>0</v>
      </c>
      <c r="Q232" s="624">
        <f t="shared" si="123"/>
        <v>0</v>
      </c>
      <c r="R232" s="357"/>
      <c r="S232" s="858">
        <v>793</v>
      </c>
      <c r="T232" s="858"/>
      <c r="U232" s="858">
        <v>178</v>
      </c>
      <c r="V232" s="858"/>
      <c r="W232" s="858"/>
      <c r="X232" s="858"/>
      <c r="Y232" s="859">
        <v>971</v>
      </c>
      <c r="Z232" s="859"/>
      <c r="AA232" s="858"/>
      <c r="AB232" s="858"/>
      <c r="AC232" s="858"/>
      <c r="AD232" s="858"/>
      <c r="AE232" s="859">
        <v>192</v>
      </c>
      <c r="AF232" s="859"/>
      <c r="AG232" s="858"/>
      <c r="AH232" s="859"/>
    </row>
    <row r="233" spans="1:34">
      <c r="A233" s="239"/>
      <c r="B233" s="239" t="s">
        <v>55</v>
      </c>
      <c r="C233" s="806">
        <f t="shared" si="124"/>
        <v>0.22921914357682618</v>
      </c>
      <c r="D233" s="806">
        <f t="shared" si="122"/>
        <v>0</v>
      </c>
      <c r="E233" s="806">
        <f t="shared" si="122"/>
        <v>0.21333333333333335</v>
      </c>
      <c r="F233" s="806">
        <f t="shared" si="122"/>
        <v>0</v>
      </c>
      <c r="G233" s="806">
        <f t="shared" si="122"/>
        <v>0</v>
      </c>
      <c r="H233" s="806">
        <f t="shared" si="122"/>
        <v>0</v>
      </c>
      <c r="I233" s="624">
        <f t="shared" si="122"/>
        <v>0.22669491525423729</v>
      </c>
      <c r="J233" s="624">
        <f t="shared" si="122"/>
        <v>0</v>
      </c>
      <c r="K233" s="625">
        <f t="shared" si="122"/>
        <v>0</v>
      </c>
      <c r="L233" s="625">
        <f t="shared" si="122"/>
        <v>0</v>
      </c>
      <c r="M233" s="625">
        <f t="shared" si="122"/>
        <v>0</v>
      </c>
      <c r="N233" s="624">
        <f t="shared" si="125"/>
        <v>6.5511640498105039E-2</v>
      </c>
      <c r="O233" s="624">
        <f t="shared" si="123"/>
        <v>0</v>
      </c>
      <c r="P233" s="626">
        <f t="shared" si="123"/>
        <v>0</v>
      </c>
      <c r="Q233" s="624">
        <f t="shared" si="123"/>
        <v>0</v>
      </c>
      <c r="R233" s="357"/>
      <c r="S233" s="858">
        <v>637</v>
      </c>
      <c r="T233" s="858"/>
      <c r="U233" s="858">
        <v>112</v>
      </c>
      <c r="V233" s="858"/>
      <c r="W233" s="858"/>
      <c r="X233" s="858"/>
      <c r="Y233" s="859">
        <v>749</v>
      </c>
      <c r="Z233" s="859"/>
      <c r="AA233" s="858"/>
      <c r="AB233" s="858"/>
      <c r="AC233" s="858"/>
      <c r="AD233" s="858"/>
      <c r="AE233" s="859">
        <v>121</v>
      </c>
      <c r="AF233" s="859"/>
      <c r="AG233" s="858"/>
      <c r="AH233" s="859"/>
    </row>
    <row r="234" spans="1:34">
      <c r="A234" s="239"/>
      <c r="B234" s="239" t="s">
        <v>78</v>
      </c>
      <c r="C234" s="806">
        <f t="shared" si="124"/>
        <v>2.5188916876574307E-3</v>
      </c>
      <c r="D234" s="806">
        <f t="shared" si="122"/>
        <v>0</v>
      </c>
      <c r="E234" s="806">
        <f t="shared" si="122"/>
        <v>0.1657142857142857</v>
      </c>
      <c r="F234" s="806">
        <f t="shared" si="122"/>
        <v>0</v>
      </c>
      <c r="G234" s="806">
        <f t="shared" si="122"/>
        <v>0</v>
      </c>
      <c r="H234" s="806">
        <f t="shared" si="122"/>
        <v>0</v>
      </c>
      <c r="I234" s="624">
        <f t="shared" si="122"/>
        <v>2.8450363196125907E-2</v>
      </c>
      <c r="J234" s="624">
        <f t="shared" si="122"/>
        <v>0</v>
      </c>
      <c r="K234" s="625">
        <f t="shared" si="122"/>
        <v>0</v>
      </c>
      <c r="L234" s="625">
        <f t="shared" si="122"/>
        <v>0</v>
      </c>
      <c r="M234" s="625">
        <f t="shared" si="122"/>
        <v>0</v>
      </c>
      <c r="N234" s="624">
        <f t="shared" si="125"/>
        <v>0.45046020573903628</v>
      </c>
      <c r="O234" s="624">
        <f t="shared" si="123"/>
        <v>0</v>
      </c>
      <c r="P234" s="626">
        <f t="shared" si="123"/>
        <v>0</v>
      </c>
      <c r="Q234" s="624">
        <f t="shared" si="123"/>
        <v>0</v>
      </c>
      <c r="R234" s="357"/>
      <c r="S234" s="858">
        <v>7</v>
      </c>
      <c r="T234" s="858"/>
      <c r="U234" s="858">
        <v>87</v>
      </c>
      <c r="V234" s="858"/>
      <c r="W234" s="858"/>
      <c r="X234" s="858"/>
      <c r="Y234" s="859">
        <v>94</v>
      </c>
      <c r="Z234" s="859"/>
      <c r="AA234" s="858"/>
      <c r="AB234" s="858"/>
      <c r="AC234" s="858"/>
      <c r="AD234" s="858"/>
      <c r="AE234" s="859">
        <v>832</v>
      </c>
      <c r="AF234" s="859"/>
      <c r="AG234" s="858"/>
      <c r="AH234" s="859"/>
    </row>
    <row r="235" spans="1:34">
      <c r="A235" s="580"/>
      <c r="B235" s="580" t="s">
        <v>131</v>
      </c>
      <c r="C235" s="806">
        <f t="shared" si="124"/>
        <v>0.11982727599856063</v>
      </c>
      <c r="D235" s="806">
        <f t="shared" si="122"/>
        <v>0</v>
      </c>
      <c r="E235" s="806">
        <f t="shared" si="122"/>
        <v>0</v>
      </c>
      <c r="F235" s="806">
        <f t="shared" si="122"/>
        <v>0</v>
      </c>
      <c r="G235" s="806">
        <f t="shared" si="122"/>
        <v>0</v>
      </c>
      <c r="H235" s="806">
        <f t="shared" si="122"/>
        <v>0</v>
      </c>
      <c r="I235" s="624">
        <f t="shared" si="122"/>
        <v>0.10078692493946731</v>
      </c>
      <c r="J235" s="624">
        <f t="shared" si="122"/>
        <v>0</v>
      </c>
      <c r="K235" s="625">
        <f t="shared" si="122"/>
        <v>0</v>
      </c>
      <c r="L235" s="625">
        <f t="shared" si="122"/>
        <v>0</v>
      </c>
      <c r="M235" s="625">
        <f t="shared" si="122"/>
        <v>0</v>
      </c>
      <c r="N235" s="624">
        <f t="shared" si="125"/>
        <v>0.14022739577693558</v>
      </c>
      <c r="O235" s="624">
        <f t="shared" si="123"/>
        <v>0</v>
      </c>
      <c r="P235" s="626">
        <f t="shared" si="123"/>
        <v>0</v>
      </c>
      <c r="Q235" s="624">
        <f t="shared" si="123"/>
        <v>0</v>
      </c>
      <c r="R235" s="357"/>
      <c r="S235" s="858">
        <v>333</v>
      </c>
      <c r="T235" s="858"/>
      <c r="U235" s="858"/>
      <c r="V235" s="858"/>
      <c r="W235" s="858"/>
      <c r="X235" s="858"/>
      <c r="Y235" s="859">
        <v>333</v>
      </c>
      <c r="Z235" s="859"/>
      <c r="AA235" s="858"/>
      <c r="AB235" s="858"/>
      <c r="AC235" s="858"/>
      <c r="AD235" s="858"/>
      <c r="AE235" s="859">
        <v>259</v>
      </c>
      <c r="AF235" s="859"/>
      <c r="AG235" s="858"/>
      <c r="AH235" s="859"/>
    </row>
    <row r="236" spans="1:34">
      <c r="A236" s="436"/>
      <c r="B236" s="436" t="s">
        <v>59</v>
      </c>
      <c r="C236" s="807">
        <f t="shared" si="124"/>
        <v>1</v>
      </c>
      <c r="D236" s="808">
        <f t="shared" si="122"/>
        <v>0</v>
      </c>
      <c r="E236" s="808">
        <f t="shared" si="122"/>
        <v>1</v>
      </c>
      <c r="F236" s="808">
        <f t="shared" si="122"/>
        <v>0</v>
      </c>
      <c r="G236" s="808">
        <f t="shared" si="122"/>
        <v>0</v>
      </c>
      <c r="H236" s="809">
        <f t="shared" si="122"/>
        <v>0</v>
      </c>
      <c r="I236" s="577">
        <f t="shared" si="122"/>
        <v>1</v>
      </c>
      <c r="J236" s="577">
        <f t="shared" si="122"/>
        <v>0</v>
      </c>
      <c r="K236" s="578">
        <f t="shared" si="122"/>
        <v>0</v>
      </c>
      <c r="L236" s="578">
        <f t="shared" si="122"/>
        <v>0</v>
      </c>
      <c r="M236" s="578">
        <f t="shared" si="122"/>
        <v>0</v>
      </c>
      <c r="N236" s="577">
        <f t="shared" si="125"/>
        <v>1</v>
      </c>
      <c r="O236" s="577">
        <f t="shared" si="123"/>
        <v>0</v>
      </c>
      <c r="P236" s="579">
        <f t="shared" si="123"/>
        <v>0</v>
      </c>
      <c r="Q236" s="577">
        <f t="shared" si="123"/>
        <v>0</v>
      </c>
      <c r="R236" s="357"/>
      <c r="S236" s="858">
        <v>2779</v>
      </c>
      <c r="T236" s="858"/>
      <c r="U236" s="858">
        <v>525</v>
      </c>
      <c r="V236" s="858"/>
      <c r="W236" s="858"/>
      <c r="X236" s="858"/>
      <c r="Y236" s="859">
        <v>3304</v>
      </c>
      <c r="Z236" s="859"/>
      <c r="AA236" s="858"/>
      <c r="AB236" s="858"/>
      <c r="AC236" s="858"/>
      <c r="AD236" s="858"/>
      <c r="AE236" s="859">
        <v>1847</v>
      </c>
      <c r="AF236" s="859"/>
      <c r="AG236" s="858"/>
      <c r="AH236" s="859"/>
    </row>
    <row r="237" spans="1:34">
      <c r="A237" s="240" t="s">
        <v>146</v>
      </c>
      <c r="B237" s="240" t="s">
        <v>53</v>
      </c>
      <c r="C237" s="806">
        <f>IF(S$242&gt;0,(S237/S$242),0)</f>
        <v>0.30450781968721252</v>
      </c>
      <c r="D237" s="806">
        <f t="shared" ref="D237:M242" si="126">IF(T$242&gt;0,(T237/T$242),0)</f>
        <v>0</v>
      </c>
      <c r="E237" s="806">
        <f t="shared" si="126"/>
        <v>0.26292134831460673</v>
      </c>
      <c r="F237" s="806">
        <f t="shared" si="126"/>
        <v>0.24175824175824176</v>
      </c>
      <c r="G237" s="806">
        <f t="shared" si="126"/>
        <v>0</v>
      </c>
      <c r="H237" s="806">
        <f t="shared" si="126"/>
        <v>0</v>
      </c>
      <c r="I237" s="613">
        <f t="shared" si="126"/>
        <v>0.28223907925712793</v>
      </c>
      <c r="J237" s="613">
        <f t="shared" si="126"/>
        <v>0</v>
      </c>
      <c r="K237" s="614">
        <f t="shared" si="126"/>
        <v>0</v>
      </c>
      <c r="L237" s="614">
        <f t="shared" si="126"/>
        <v>0</v>
      </c>
      <c r="M237" s="614">
        <f t="shared" si="126"/>
        <v>0</v>
      </c>
      <c r="N237" s="613">
        <f>IF(AE$242&gt;0,(AE237/AE$242),0)</f>
        <v>0.20122699386503068</v>
      </c>
      <c r="O237" s="613">
        <f t="shared" ref="O237:Q242" si="127">IF(AF$242&gt;0,(AF237/AF$242),0)</f>
        <v>0</v>
      </c>
      <c r="P237" s="615">
        <f t="shared" si="127"/>
        <v>0</v>
      </c>
      <c r="Q237" s="613">
        <f t="shared" si="127"/>
        <v>0.30824372759856633</v>
      </c>
      <c r="R237" s="799"/>
      <c r="S237" s="856">
        <v>662</v>
      </c>
      <c r="T237" s="856"/>
      <c r="U237" s="856">
        <v>351</v>
      </c>
      <c r="V237" s="856">
        <v>66</v>
      </c>
      <c r="W237" s="856"/>
      <c r="X237" s="856"/>
      <c r="Y237" s="857">
        <v>1079</v>
      </c>
      <c r="Z237" s="857"/>
      <c r="AA237" s="856"/>
      <c r="AB237" s="856"/>
      <c r="AC237" s="856"/>
      <c r="AD237" s="856"/>
      <c r="AE237" s="857">
        <v>164</v>
      </c>
      <c r="AF237" s="857"/>
      <c r="AG237" s="856"/>
      <c r="AH237" s="857">
        <v>258</v>
      </c>
    </row>
    <row r="238" spans="1:34">
      <c r="A238" s="239"/>
      <c r="B238" s="239" t="s">
        <v>93</v>
      </c>
      <c r="C238" s="806">
        <f t="shared" ref="C238:C242" si="128">IF(S$242&gt;0,(S238/S$242),0)</f>
        <v>0.31186752529898804</v>
      </c>
      <c r="D238" s="806">
        <f t="shared" si="126"/>
        <v>0</v>
      </c>
      <c r="E238" s="806">
        <f t="shared" si="126"/>
        <v>0.25543071161048692</v>
      </c>
      <c r="F238" s="806">
        <f t="shared" si="126"/>
        <v>0.26739926739926739</v>
      </c>
      <c r="G238" s="806">
        <f t="shared" si="126"/>
        <v>0</v>
      </c>
      <c r="H238" s="806">
        <f t="shared" si="126"/>
        <v>0</v>
      </c>
      <c r="I238" s="624">
        <f t="shared" si="126"/>
        <v>0.28563955009155112</v>
      </c>
      <c r="J238" s="624">
        <f t="shared" si="126"/>
        <v>0</v>
      </c>
      <c r="K238" s="625">
        <f t="shared" si="126"/>
        <v>0</v>
      </c>
      <c r="L238" s="625">
        <f t="shared" si="126"/>
        <v>0</v>
      </c>
      <c r="M238" s="625">
        <f t="shared" si="126"/>
        <v>0</v>
      </c>
      <c r="N238" s="624">
        <f t="shared" ref="N238:N242" si="129">IF(AE$242&gt;0,(AE238/AE$242),0)</f>
        <v>4.0490797546012272E-2</v>
      </c>
      <c r="O238" s="624">
        <f t="shared" si="127"/>
        <v>0</v>
      </c>
      <c r="P238" s="626">
        <f t="shared" si="127"/>
        <v>0</v>
      </c>
      <c r="Q238" s="624">
        <f t="shared" si="127"/>
        <v>0.15770609318996415</v>
      </c>
      <c r="R238" s="357"/>
      <c r="S238" s="858">
        <v>678</v>
      </c>
      <c r="T238" s="858"/>
      <c r="U238" s="858">
        <v>341</v>
      </c>
      <c r="V238" s="858">
        <v>73</v>
      </c>
      <c r="W238" s="858"/>
      <c r="X238" s="858"/>
      <c r="Y238" s="859">
        <v>1092</v>
      </c>
      <c r="Z238" s="859"/>
      <c r="AA238" s="858"/>
      <c r="AB238" s="858"/>
      <c r="AC238" s="858"/>
      <c r="AD238" s="858"/>
      <c r="AE238" s="859">
        <v>33</v>
      </c>
      <c r="AF238" s="859"/>
      <c r="AG238" s="858"/>
      <c r="AH238" s="859">
        <v>132</v>
      </c>
    </row>
    <row r="239" spans="1:34">
      <c r="A239" s="239"/>
      <c r="B239" s="239" t="s">
        <v>55</v>
      </c>
      <c r="C239" s="806">
        <f t="shared" si="128"/>
        <v>0.24149034038638453</v>
      </c>
      <c r="D239" s="806">
        <f t="shared" si="126"/>
        <v>0</v>
      </c>
      <c r="E239" s="806">
        <f t="shared" si="126"/>
        <v>0.24494382022471911</v>
      </c>
      <c r="F239" s="806">
        <f t="shared" si="126"/>
        <v>0.24542124542124541</v>
      </c>
      <c r="G239" s="806">
        <f t="shared" si="126"/>
        <v>0</v>
      </c>
      <c r="H239" s="806">
        <f t="shared" si="126"/>
        <v>0</v>
      </c>
      <c r="I239" s="624">
        <f t="shared" si="126"/>
        <v>0.2403871305257651</v>
      </c>
      <c r="J239" s="624">
        <f t="shared" si="126"/>
        <v>0</v>
      </c>
      <c r="K239" s="625">
        <f t="shared" si="126"/>
        <v>0</v>
      </c>
      <c r="L239" s="625">
        <f t="shared" si="126"/>
        <v>0</v>
      </c>
      <c r="M239" s="625">
        <f t="shared" si="126"/>
        <v>0</v>
      </c>
      <c r="N239" s="624">
        <f t="shared" si="129"/>
        <v>4.4171779141104296E-2</v>
      </c>
      <c r="O239" s="624">
        <f t="shared" si="127"/>
        <v>0</v>
      </c>
      <c r="P239" s="626">
        <f t="shared" si="127"/>
        <v>0</v>
      </c>
      <c r="Q239" s="624">
        <f t="shared" si="127"/>
        <v>8.9605734767025089E-2</v>
      </c>
      <c r="R239" s="357"/>
      <c r="S239" s="858">
        <v>525</v>
      </c>
      <c r="T239" s="858"/>
      <c r="U239" s="858">
        <v>327</v>
      </c>
      <c r="V239" s="858">
        <v>67</v>
      </c>
      <c r="W239" s="858"/>
      <c r="X239" s="858"/>
      <c r="Y239" s="859">
        <v>919</v>
      </c>
      <c r="Z239" s="859"/>
      <c r="AA239" s="858"/>
      <c r="AB239" s="858"/>
      <c r="AC239" s="858"/>
      <c r="AD239" s="858"/>
      <c r="AE239" s="859">
        <v>36</v>
      </c>
      <c r="AF239" s="859"/>
      <c r="AG239" s="858"/>
      <c r="AH239" s="859">
        <v>75</v>
      </c>
    </row>
    <row r="240" spans="1:34">
      <c r="A240" s="239"/>
      <c r="B240" s="239" t="s">
        <v>78</v>
      </c>
      <c r="C240" s="806">
        <f t="shared" si="128"/>
        <v>8.8776448942042313E-2</v>
      </c>
      <c r="D240" s="806">
        <f t="shared" si="126"/>
        <v>0</v>
      </c>
      <c r="E240" s="806">
        <f t="shared" si="126"/>
        <v>0.17602996254681649</v>
      </c>
      <c r="F240" s="806">
        <f t="shared" si="126"/>
        <v>3.663003663003663E-3</v>
      </c>
      <c r="G240" s="806">
        <f t="shared" si="126"/>
        <v>0</v>
      </c>
      <c r="H240" s="806">
        <f t="shared" si="126"/>
        <v>1</v>
      </c>
      <c r="I240" s="624">
        <f t="shared" si="126"/>
        <v>0.12294009939837823</v>
      </c>
      <c r="J240" s="624">
        <f t="shared" si="126"/>
        <v>0</v>
      </c>
      <c r="K240" s="625">
        <f t="shared" si="126"/>
        <v>0</v>
      </c>
      <c r="L240" s="625">
        <f t="shared" si="126"/>
        <v>0</v>
      </c>
      <c r="M240" s="625">
        <f t="shared" si="126"/>
        <v>0</v>
      </c>
      <c r="N240" s="624">
        <f t="shared" si="129"/>
        <v>0.62699386503067489</v>
      </c>
      <c r="O240" s="624">
        <f t="shared" si="127"/>
        <v>0</v>
      </c>
      <c r="P240" s="626">
        <f t="shared" si="127"/>
        <v>0</v>
      </c>
      <c r="Q240" s="624">
        <f t="shared" si="127"/>
        <v>0.43488649940262841</v>
      </c>
      <c r="R240" s="357"/>
      <c r="S240" s="858">
        <v>193</v>
      </c>
      <c r="T240" s="858"/>
      <c r="U240" s="858">
        <v>235</v>
      </c>
      <c r="V240" s="858">
        <v>1</v>
      </c>
      <c r="W240" s="858"/>
      <c r="X240" s="858">
        <v>41</v>
      </c>
      <c r="Y240" s="859">
        <v>470</v>
      </c>
      <c r="Z240" s="859"/>
      <c r="AA240" s="858"/>
      <c r="AB240" s="858"/>
      <c r="AC240" s="858"/>
      <c r="AD240" s="858"/>
      <c r="AE240" s="859">
        <v>511</v>
      </c>
      <c r="AF240" s="859"/>
      <c r="AG240" s="858"/>
      <c r="AH240" s="859">
        <v>364</v>
      </c>
    </row>
    <row r="241" spans="1:34">
      <c r="A241" s="580"/>
      <c r="B241" s="580" t="s">
        <v>131</v>
      </c>
      <c r="C241" s="806">
        <f t="shared" si="128"/>
        <v>5.3357865685372582E-2</v>
      </c>
      <c r="D241" s="806">
        <f t="shared" si="126"/>
        <v>0</v>
      </c>
      <c r="E241" s="806">
        <f t="shared" si="126"/>
        <v>6.0674157303370786E-2</v>
      </c>
      <c r="F241" s="806">
        <f t="shared" si="126"/>
        <v>0.24175824175824176</v>
      </c>
      <c r="G241" s="806">
        <f t="shared" si="126"/>
        <v>0</v>
      </c>
      <c r="H241" s="806">
        <f t="shared" si="126"/>
        <v>0</v>
      </c>
      <c r="I241" s="624">
        <f t="shared" si="126"/>
        <v>6.8794140727177613E-2</v>
      </c>
      <c r="J241" s="624">
        <f t="shared" si="126"/>
        <v>0</v>
      </c>
      <c r="K241" s="625">
        <f t="shared" si="126"/>
        <v>0</v>
      </c>
      <c r="L241" s="625">
        <f t="shared" si="126"/>
        <v>0</v>
      </c>
      <c r="M241" s="625">
        <f t="shared" si="126"/>
        <v>0</v>
      </c>
      <c r="N241" s="624">
        <f t="shared" si="129"/>
        <v>8.7116564417177911E-2</v>
      </c>
      <c r="O241" s="624">
        <f t="shared" si="127"/>
        <v>0</v>
      </c>
      <c r="P241" s="626">
        <f t="shared" si="127"/>
        <v>0</v>
      </c>
      <c r="Q241" s="624">
        <f t="shared" si="127"/>
        <v>9.557945041816009E-3</v>
      </c>
      <c r="R241" s="357"/>
      <c r="S241" s="858">
        <v>116</v>
      </c>
      <c r="T241" s="858"/>
      <c r="U241" s="858">
        <v>81</v>
      </c>
      <c r="V241" s="858">
        <v>66</v>
      </c>
      <c r="W241" s="858"/>
      <c r="X241" s="858"/>
      <c r="Y241" s="859">
        <v>263</v>
      </c>
      <c r="Z241" s="859"/>
      <c r="AA241" s="858"/>
      <c r="AB241" s="858"/>
      <c r="AC241" s="858"/>
      <c r="AD241" s="858"/>
      <c r="AE241" s="859">
        <v>71</v>
      </c>
      <c r="AF241" s="859"/>
      <c r="AG241" s="858"/>
      <c r="AH241" s="859">
        <v>8</v>
      </c>
    </row>
    <row r="242" spans="1:34">
      <c r="A242" s="436"/>
      <c r="B242" s="436" t="s">
        <v>59</v>
      </c>
      <c r="C242" s="807">
        <f t="shared" si="128"/>
        <v>1</v>
      </c>
      <c r="D242" s="808">
        <f t="shared" si="126"/>
        <v>0</v>
      </c>
      <c r="E242" s="808">
        <f t="shared" si="126"/>
        <v>1</v>
      </c>
      <c r="F242" s="808">
        <f t="shared" si="126"/>
        <v>1</v>
      </c>
      <c r="G242" s="808">
        <f t="shared" si="126"/>
        <v>0</v>
      </c>
      <c r="H242" s="809">
        <f t="shared" si="126"/>
        <v>1</v>
      </c>
      <c r="I242" s="577">
        <f t="shared" si="126"/>
        <v>1</v>
      </c>
      <c r="J242" s="577">
        <f t="shared" si="126"/>
        <v>0</v>
      </c>
      <c r="K242" s="578">
        <f t="shared" si="126"/>
        <v>0</v>
      </c>
      <c r="L242" s="578">
        <f t="shared" si="126"/>
        <v>0</v>
      </c>
      <c r="M242" s="578">
        <f t="shared" si="126"/>
        <v>0</v>
      </c>
      <c r="N242" s="577">
        <f t="shared" si="129"/>
        <v>1</v>
      </c>
      <c r="O242" s="577">
        <f t="shared" si="127"/>
        <v>0</v>
      </c>
      <c r="P242" s="579">
        <f t="shared" si="127"/>
        <v>0</v>
      </c>
      <c r="Q242" s="577">
        <f t="shared" si="127"/>
        <v>1</v>
      </c>
      <c r="R242" s="357"/>
      <c r="S242" s="858">
        <v>2174</v>
      </c>
      <c r="T242" s="858"/>
      <c r="U242" s="858">
        <v>1335</v>
      </c>
      <c r="V242" s="858">
        <v>273</v>
      </c>
      <c r="W242" s="858"/>
      <c r="X242" s="858">
        <v>41</v>
      </c>
      <c r="Y242" s="859">
        <v>3823</v>
      </c>
      <c r="Z242" s="859"/>
      <c r="AA242" s="858"/>
      <c r="AB242" s="858"/>
      <c r="AC242" s="858"/>
      <c r="AD242" s="858"/>
      <c r="AE242" s="859">
        <v>815</v>
      </c>
      <c r="AF242" s="859"/>
      <c r="AG242" s="858"/>
      <c r="AH242" s="859">
        <v>837</v>
      </c>
    </row>
    <row r="243" spans="1:34">
      <c r="A243" s="240" t="s">
        <v>149</v>
      </c>
      <c r="B243" s="240" t="s">
        <v>53</v>
      </c>
      <c r="C243" s="806">
        <f>IF(S$248&gt;0,(S243/S$248),0)</f>
        <v>0.32730416278760471</v>
      </c>
      <c r="D243" s="806">
        <f t="shared" ref="D243:M248" si="130">IF(T$248&gt;0,(T243/T$248),0)</f>
        <v>0.21831735889243875</v>
      </c>
      <c r="E243" s="806">
        <f t="shared" si="130"/>
        <v>0.31812035158891144</v>
      </c>
      <c r="F243" s="806">
        <f t="shared" si="130"/>
        <v>0.23194444444444445</v>
      </c>
      <c r="G243" s="806">
        <f t="shared" si="130"/>
        <v>0</v>
      </c>
      <c r="H243" s="806">
        <f t="shared" si="130"/>
        <v>0.22033898305084745</v>
      </c>
      <c r="I243" s="613">
        <f t="shared" si="130"/>
        <v>0.30576537690766148</v>
      </c>
      <c r="J243" s="613">
        <f t="shared" si="130"/>
        <v>0</v>
      </c>
      <c r="K243" s="614">
        <f t="shared" si="130"/>
        <v>0</v>
      </c>
      <c r="L243" s="614">
        <f t="shared" si="130"/>
        <v>0</v>
      </c>
      <c r="M243" s="614">
        <f t="shared" si="130"/>
        <v>0</v>
      </c>
      <c r="N243" s="613">
        <f>IF(AE$248&gt;0,(AE243/AE$248),0)</f>
        <v>0.22516082916368835</v>
      </c>
      <c r="O243" s="613">
        <f t="shared" ref="O243:Q248" si="131">IF(AF$248&gt;0,(AF243/AF$248),0)</f>
        <v>0</v>
      </c>
      <c r="P243" s="615">
        <f t="shared" si="131"/>
        <v>0</v>
      </c>
      <c r="Q243" s="613">
        <f t="shared" si="131"/>
        <v>0</v>
      </c>
      <c r="R243" s="799"/>
      <c r="S243" s="856">
        <v>2461</v>
      </c>
      <c r="T243" s="856">
        <v>205</v>
      </c>
      <c r="U243" s="856">
        <v>941</v>
      </c>
      <c r="V243" s="856">
        <v>334</v>
      </c>
      <c r="W243" s="856"/>
      <c r="X243" s="856">
        <v>26</v>
      </c>
      <c r="Y243" s="857">
        <v>3967</v>
      </c>
      <c r="Z243" s="857"/>
      <c r="AA243" s="856"/>
      <c r="AB243" s="856"/>
      <c r="AC243" s="856"/>
      <c r="AD243" s="856"/>
      <c r="AE243" s="857">
        <v>630</v>
      </c>
      <c r="AF243" s="857"/>
      <c r="AG243" s="856"/>
      <c r="AH243" s="857"/>
    </row>
    <row r="244" spans="1:34">
      <c r="A244" s="239"/>
      <c r="B244" s="239" t="s">
        <v>93</v>
      </c>
      <c r="C244" s="806">
        <f t="shared" ref="C244:C248" si="132">IF(S$248&gt;0,(S244/S$248),0)</f>
        <v>0.22702487032850113</v>
      </c>
      <c r="D244" s="806">
        <f t="shared" si="130"/>
        <v>0.34930777422790205</v>
      </c>
      <c r="E244" s="806">
        <f t="shared" si="130"/>
        <v>0.26673427991886411</v>
      </c>
      <c r="F244" s="806">
        <f t="shared" si="130"/>
        <v>0.20069444444444445</v>
      </c>
      <c r="G244" s="806">
        <f t="shared" si="130"/>
        <v>0</v>
      </c>
      <c r="H244" s="806">
        <f t="shared" si="130"/>
        <v>0.23728813559322035</v>
      </c>
      <c r="I244" s="624">
        <f t="shared" si="130"/>
        <v>0.24209958378295052</v>
      </c>
      <c r="J244" s="624">
        <f t="shared" si="130"/>
        <v>0</v>
      </c>
      <c r="K244" s="625">
        <f t="shared" si="130"/>
        <v>0</v>
      </c>
      <c r="L244" s="625">
        <f t="shared" si="130"/>
        <v>0</v>
      </c>
      <c r="M244" s="625">
        <f t="shared" si="130"/>
        <v>0</v>
      </c>
      <c r="N244" s="624">
        <f t="shared" ref="N244:N248" si="133">IF(AE$248&gt;0,(AE244/AE$248),0)</f>
        <v>5.1465332380271622E-2</v>
      </c>
      <c r="O244" s="624">
        <f t="shared" si="131"/>
        <v>0</v>
      </c>
      <c r="P244" s="626">
        <f t="shared" si="131"/>
        <v>0</v>
      </c>
      <c r="Q244" s="624">
        <f t="shared" si="131"/>
        <v>0</v>
      </c>
      <c r="R244" s="357"/>
      <c r="S244" s="858">
        <v>1707</v>
      </c>
      <c r="T244" s="858">
        <v>328</v>
      </c>
      <c r="U244" s="858">
        <v>789</v>
      </c>
      <c r="V244" s="858">
        <v>289</v>
      </c>
      <c r="W244" s="858"/>
      <c r="X244" s="858">
        <v>28</v>
      </c>
      <c r="Y244" s="859">
        <v>3141</v>
      </c>
      <c r="Z244" s="859"/>
      <c r="AA244" s="858"/>
      <c r="AB244" s="858"/>
      <c r="AC244" s="858"/>
      <c r="AD244" s="858"/>
      <c r="AE244" s="859">
        <v>144</v>
      </c>
      <c r="AF244" s="859"/>
      <c r="AG244" s="858"/>
      <c r="AH244" s="859"/>
    </row>
    <row r="245" spans="1:34">
      <c r="A245" s="239"/>
      <c r="B245" s="239" t="s">
        <v>55</v>
      </c>
      <c r="C245" s="806">
        <f t="shared" si="132"/>
        <v>0.22223699960101076</v>
      </c>
      <c r="D245" s="806">
        <f t="shared" si="130"/>
        <v>0.30138445154419596</v>
      </c>
      <c r="E245" s="806">
        <f t="shared" si="130"/>
        <v>0.21061528059499662</v>
      </c>
      <c r="F245" s="806">
        <f t="shared" si="130"/>
        <v>0.19722222222222222</v>
      </c>
      <c r="G245" s="806">
        <f t="shared" si="130"/>
        <v>0</v>
      </c>
      <c r="H245" s="806">
        <f t="shared" si="130"/>
        <v>0.43220338983050849</v>
      </c>
      <c r="I245" s="624">
        <f t="shared" si="130"/>
        <v>0.22444889779559118</v>
      </c>
      <c r="J245" s="624">
        <f t="shared" si="130"/>
        <v>0</v>
      </c>
      <c r="K245" s="625">
        <f t="shared" si="130"/>
        <v>0</v>
      </c>
      <c r="L245" s="625">
        <f t="shared" si="130"/>
        <v>0</v>
      </c>
      <c r="M245" s="625">
        <f t="shared" si="130"/>
        <v>0</v>
      </c>
      <c r="N245" s="624">
        <f t="shared" si="133"/>
        <v>5.6468906361686916E-2</v>
      </c>
      <c r="O245" s="624">
        <f t="shared" si="131"/>
        <v>0</v>
      </c>
      <c r="P245" s="626">
        <f t="shared" si="131"/>
        <v>0</v>
      </c>
      <c r="Q245" s="624">
        <f t="shared" si="131"/>
        <v>0</v>
      </c>
      <c r="R245" s="357"/>
      <c r="S245" s="858">
        <v>1671</v>
      </c>
      <c r="T245" s="858">
        <v>283</v>
      </c>
      <c r="U245" s="858">
        <v>623</v>
      </c>
      <c r="V245" s="858">
        <v>284</v>
      </c>
      <c r="W245" s="858"/>
      <c r="X245" s="858">
        <v>51</v>
      </c>
      <c r="Y245" s="859">
        <v>2912</v>
      </c>
      <c r="Z245" s="859"/>
      <c r="AA245" s="858"/>
      <c r="AB245" s="858"/>
      <c r="AC245" s="858"/>
      <c r="AD245" s="858"/>
      <c r="AE245" s="859">
        <v>158</v>
      </c>
      <c r="AF245" s="859"/>
      <c r="AG245" s="858"/>
      <c r="AH245" s="859"/>
    </row>
    <row r="246" spans="1:34">
      <c r="A246" s="239"/>
      <c r="B246" s="239" t="s">
        <v>78</v>
      </c>
      <c r="C246" s="806">
        <f t="shared" si="132"/>
        <v>3.763798377443809E-2</v>
      </c>
      <c r="D246" s="806">
        <f t="shared" si="130"/>
        <v>8.6261980830670923E-2</v>
      </c>
      <c r="E246" s="806">
        <f t="shared" si="130"/>
        <v>8.4516565246788369E-3</v>
      </c>
      <c r="F246" s="806">
        <f t="shared" si="130"/>
        <v>3.8194444444444448E-2</v>
      </c>
      <c r="G246" s="806">
        <f t="shared" si="130"/>
        <v>0</v>
      </c>
      <c r="H246" s="806">
        <f t="shared" si="130"/>
        <v>0.11016949152542373</v>
      </c>
      <c r="I246" s="624">
        <f t="shared" si="130"/>
        <v>3.5224294743332822E-2</v>
      </c>
      <c r="J246" s="624">
        <f t="shared" si="130"/>
        <v>0</v>
      </c>
      <c r="K246" s="625">
        <f t="shared" si="130"/>
        <v>0</v>
      </c>
      <c r="L246" s="625">
        <f t="shared" si="130"/>
        <v>0</v>
      </c>
      <c r="M246" s="625">
        <f t="shared" si="130"/>
        <v>0</v>
      </c>
      <c r="N246" s="624">
        <f t="shared" si="133"/>
        <v>0.28591851322373124</v>
      </c>
      <c r="O246" s="624">
        <f t="shared" si="131"/>
        <v>0</v>
      </c>
      <c r="P246" s="626">
        <f t="shared" si="131"/>
        <v>0</v>
      </c>
      <c r="Q246" s="624">
        <f t="shared" si="131"/>
        <v>0</v>
      </c>
      <c r="R246" s="357"/>
      <c r="S246" s="858">
        <v>283</v>
      </c>
      <c r="T246" s="858">
        <v>81</v>
      </c>
      <c r="U246" s="858">
        <v>25</v>
      </c>
      <c r="V246" s="858">
        <v>55</v>
      </c>
      <c r="W246" s="858"/>
      <c r="X246" s="858">
        <v>13</v>
      </c>
      <c r="Y246" s="859">
        <v>457</v>
      </c>
      <c r="Z246" s="859"/>
      <c r="AA246" s="858"/>
      <c r="AB246" s="858"/>
      <c r="AC246" s="858"/>
      <c r="AD246" s="858"/>
      <c r="AE246" s="859">
        <v>800</v>
      </c>
      <c r="AF246" s="859"/>
      <c r="AG246" s="858"/>
      <c r="AH246" s="859"/>
    </row>
    <row r="247" spans="1:34">
      <c r="A247" s="580"/>
      <c r="B247" s="580" t="s">
        <v>131</v>
      </c>
      <c r="C247" s="806">
        <f t="shared" si="132"/>
        <v>0.18579598350844528</v>
      </c>
      <c r="D247" s="806">
        <f t="shared" si="130"/>
        <v>4.472843450479233E-2</v>
      </c>
      <c r="E247" s="806">
        <f t="shared" si="130"/>
        <v>0.19607843137254902</v>
      </c>
      <c r="F247" s="806">
        <f t="shared" si="130"/>
        <v>0.33194444444444443</v>
      </c>
      <c r="G247" s="806">
        <f t="shared" si="130"/>
        <v>0</v>
      </c>
      <c r="H247" s="806">
        <f t="shared" si="130"/>
        <v>0</v>
      </c>
      <c r="I247" s="624">
        <f t="shared" si="130"/>
        <v>0.19246184677046402</v>
      </c>
      <c r="J247" s="624">
        <f t="shared" si="130"/>
        <v>0</v>
      </c>
      <c r="K247" s="625">
        <f t="shared" si="130"/>
        <v>0</v>
      </c>
      <c r="L247" s="625">
        <f t="shared" si="130"/>
        <v>0</v>
      </c>
      <c r="M247" s="625">
        <f t="shared" si="130"/>
        <v>0</v>
      </c>
      <c r="N247" s="624">
        <f t="shared" si="133"/>
        <v>0.38098641887062185</v>
      </c>
      <c r="O247" s="624">
        <f t="shared" si="131"/>
        <v>0</v>
      </c>
      <c r="P247" s="626">
        <f t="shared" si="131"/>
        <v>0</v>
      </c>
      <c r="Q247" s="624">
        <f t="shared" si="131"/>
        <v>0</v>
      </c>
      <c r="R247" s="357"/>
      <c r="S247" s="858">
        <v>1397</v>
      </c>
      <c r="T247" s="858">
        <v>42</v>
      </c>
      <c r="U247" s="858">
        <v>580</v>
      </c>
      <c r="V247" s="858">
        <v>478</v>
      </c>
      <c r="W247" s="858"/>
      <c r="X247" s="858"/>
      <c r="Y247" s="859">
        <v>2497</v>
      </c>
      <c r="Z247" s="859"/>
      <c r="AA247" s="858"/>
      <c r="AB247" s="858"/>
      <c r="AC247" s="858"/>
      <c r="AD247" s="858"/>
      <c r="AE247" s="859">
        <v>1066</v>
      </c>
      <c r="AF247" s="859"/>
      <c r="AG247" s="858"/>
      <c r="AH247" s="859"/>
    </row>
    <row r="248" spans="1:34">
      <c r="A248" s="436"/>
      <c r="B248" s="436" t="s">
        <v>59</v>
      </c>
      <c r="C248" s="807">
        <f t="shared" si="132"/>
        <v>1</v>
      </c>
      <c r="D248" s="808">
        <f t="shared" si="130"/>
        <v>1</v>
      </c>
      <c r="E248" s="808">
        <f t="shared" si="130"/>
        <v>1</v>
      </c>
      <c r="F248" s="808">
        <f t="shared" si="130"/>
        <v>1</v>
      </c>
      <c r="G248" s="808">
        <f t="shared" si="130"/>
        <v>0</v>
      </c>
      <c r="H248" s="809">
        <f t="shared" si="130"/>
        <v>1</v>
      </c>
      <c r="I248" s="577">
        <f t="shared" si="130"/>
        <v>1</v>
      </c>
      <c r="J248" s="577">
        <f t="shared" si="130"/>
        <v>0</v>
      </c>
      <c r="K248" s="578">
        <f t="shared" si="130"/>
        <v>0</v>
      </c>
      <c r="L248" s="578">
        <f t="shared" si="130"/>
        <v>0</v>
      </c>
      <c r="M248" s="578">
        <f t="shared" si="130"/>
        <v>0</v>
      </c>
      <c r="N248" s="577">
        <f t="shared" si="133"/>
        <v>1</v>
      </c>
      <c r="O248" s="577">
        <f t="shared" si="131"/>
        <v>0</v>
      </c>
      <c r="P248" s="579">
        <f t="shared" si="131"/>
        <v>0</v>
      </c>
      <c r="Q248" s="577">
        <f t="shared" si="131"/>
        <v>0</v>
      </c>
      <c r="R248" s="357"/>
      <c r="S248" s="858">
        <v>7519</v>
      </c>
      <c r="T248" s="858">
        <v>939</v>
      </c>
      <c r="U248" s="858">
        <v>2958</v>
      </c>
      <c r="V248" s="858">
        <v>1440</v>
      </c>
      <c r="W248" s="858"/>
      <c r="X248" s="858">
        <v>118</v>
      </c>
      <c r="Y248" s="859">
        <v>12974</v>
      </c>
      <c r="Z248" s="859"/>
      <c r="AA248" s="858"/>
      <c r="AB248" s="858"/>
      <c r="AC248" s="858"/>
      <c r="AD248" s="858"/>
      <c r="AE248" s="859">
        <v>2798</v>
      </c>
      <c r="AF248" s="859"/>
      <c r="AG248" s="858"/>
      <c r="AH248" s="859"/>
    </row>
    <row r="249" spans="1:34">
      <c r="A249" s="240" t="s">
        <v>150</v>
      </c>
      <c r="B249" s="240" t="s">
        <v>53</v>
      </c>
      <c r="C249" s="806">
        <f>IF(S$254&gt;0,(S249/S$254),0)</f>
        <v>0.3862862010221465</v>
      </c>
      <c r="D249" s="806">
        <f t="shared" ref="D249:M254" si="134">IF(T$254&gt;0,(T249/T$254),0)</f>
        <v>0</v>
      </c>
      <c r="E249" s="806">
        <f t="shared" si="134"/>
        <v>0.30927835051546393</v>
      </c>
      <c r="F249" s="806">
        <f t="shared" si="134"/>
        <v>0.384321223709369</v>
      </c>
      <c r="G249" s="806">
        <f t="shared" si="134"/>
        <v>0.38732394366197181</v>
      </c>
      <c r="H249" s="806">
        <f t="shared" si="134"/>
        <v>0.15228426395939088</v>
      </c>
      <c r="I249" s="613">
        <f t="shared" si="134"/>
        <v>0.35511129431162408</v>
      </c>
      <c r="J249" s="613">
        <f t="shared" si="134"/>
        <v>0</v>
      </c>
      <c r="K249" s="614">
        <f t="shared" si="134"/>
        <v>0</v>
      </c>
      <c r="L249" s="614">
        <f t="shared" si="134"/>
        <v>0</v>
      </c>
      <c r="M249" s="614">
        <f t="shared" si="134"/>
        <v>0</v>
      </c>
      <c r="N249" s="613">
        <f>IF(AE$254&gt;0,(AE249/AE$254),0)</f>
        <v>0</v>
      </c>
      <c r="O249" s="613">
        <f t="shared" ref="O249:Q254" si="135">IF(AF$254&gt;0,(AF249/AF$254),0)</f>
        <v>0</v>
      </c>
      <c r="P249" s="615">
        <f t="shared" si="135"/>
        <v>0</v>
      </c>
      <c r="Q249" s="613">
        <f t="shared" si="135"/>
        <v>0</v>
      </c>
      <c r="R249" s="799"/>
      <c r="S249" s="856">
        <v>907</v>
      </c>
      <c r="T249" s="856"/>
      <c r="U249" s="856">
        <v>420</v>
      </c>
      <c r="V249" s="856">
        <v>201</v>
      </c>
      <c r="W249" s="856">
        <v>165</v>
      </c>
      <c r="X249" s="856">
        <v>30</v>
      </c>
      <c r="Y249" s="857">
        <v>1723</v>
      </c>
      <c r="Z249" s="857"/>
      <c r="AA249" s="856"/>
      <c r="AB249" s="856"/>
      <c r="AC249" s="856"/>
      <c r="AD249" s="856"/>
      <c r="AE249" s="857"/>
      <c r="AF249" s="857"/>
      <c r="AG249" s="856"/>
      <c r="AH249" s="857"/>
    </row>
    <row r="250" spans="1:34">
      <c r="A250" s="239"/>
      <c r="B250" s="239" t="s">
        <v>93</v>
      </c>
      <c r="C250" s="806">
        <f t="shared" ref="C250:C254" si="136">IF(S$254&gt;0,(S250/S$254),0)</f>
        <v>0.26959114139693358</v>
      </c>
      <c r="D250" s="806">
        <f t="shared" si="134"/>
        <v>0</v>
      </c>
      <c r="E250" s="806">
        <f t="shared" si="134"/>
        <v>0.31737849779086891</v>
      </c>
      <c r="F250" s="806">
        <f t="shared" si="134"/>
        <v>0.25621414913957935</v>
      </c>
      <c r="G250" s="806">
        <f t="shared" si="134"/>
        <v>0.24178403755868544</v>
      </c>
      <c r="H250" s="806">
        <f t="shared" si="134"/>
        <v>0.31979695431472083</v>
      </c>
      <c r="I250" s="624">
        <f t="shared" si="134"/>
        <v>0.28112118713932399</v>
      </c>
      <c r="J250" s="624">
        <f t="shared" si="134"/>
        <v>0</v>
      </c>
      <c r="K250" s="625">
        <f t="shared" si="134"/>
        <v>0</v>
      </c>
      <c r="L250" s="625">
        <f t="shared" si="134"/>
        <v>0</v>
      </c>
      <c r="M250" s="625">
        <f t="shared" si="134"/>
        <v>0</v>
      </c>
      <c r="N250" s="624">
        <f t="shared" ref="N250:N254" si="137">IF(AE$254&gt;0,(AE250/AE$254),0)</f>
        <v>0</v>
      </c>
      <c r="O250" s="624">
        <f t="shared" si="135"/>
        <v>0</v>
      </c>
      <c r="P250" s="626">
        <f t="shared" si="135"/>
        <v>0</v>
      </c>
      <c r="Q250" s="624">
        <f t="shared" si="135"/>
        <v>0</v>
      </c>
      <c r="R250" s="357"/>
      <c r="S250" s="858">
        <v>633</v>
      </c>
      <c r="T250" s="858"/>
      <c r="U250" s="858">
        <v>431</v>
      </c>
      <c r="V250" s="858">
        <v>134</v>
      </c>
      <c r="W250" s="858">
        <v>103</v>
      </c>
      <c r="X250" s="858">
        <v>63</v>
      </c>
      <c r="Y250" s="859">
        <v>1364</v>
      </c>
      <c r="Z250" s="859"/>
      <c r="AA250" s="858"/>
      <c r="AB250" s="858"/>
      <c r="AC250" s="858"/>
      <c r="AD250" s="858"/>
      <c r="AE250" s="859"/>
      <c r="AF250" s="859"/>
      <c r="AG250" s="858"/>
      <c r="AH250" s="859"/>
    </row>
    <row r="251" spans="1:34">
      <c r="A251" s="239"/>
      <c r="B251" s="239" t="s">
        <v>55</v>
      </c>
      <c r="C251" s="806">
        <f t="shared" si="136"/>
        <v>0.18313458262350937</v>
      </c>
      <c r="D251" s="806">
        <f t="shared" si="134"/>
        <v>0</v>
      </c>
      <c r="E251" s="806">
        <f t="shared" si="134"/>
        <v>0.28055964653902798</v>
      </c>
      <c r="F251" s="806">
        <f t="shared" si="134"/>
        <v>0.32122370936902483</v>
      </c>
      <c r="G251" s="806">
        <f t="shared" si="134"/>
        <v>0.30751173708920188</v>
      </c>
      <c r="H251" s="806">
        <f t="shared" si="134"/>
        <v>0.19289340101522842</v>
      </c>
      <c r="I251" s="624">
        <f t="shared" si="134"/>
        <v>0.23660346248969497</v>
      </c>
      <c r="J251" s="624">
        <f t="shared" si="134"/>
        <v>0</v>
      </c>
      <c r="K251" s="625">
        <f t="shared" si="134"/>
        <v>0</v>
      </c>
      <c r="L251" s="625">
        <f t="shared" si="134"/>
        <v>0</v>
      </c>
      <c r="M251" s="625">
        <f t="shared" si="134"/>
        <v>0</v>
      </c>
      <c r="N251" s="624">
        <f t="shared" si="137"/>
        <v>0</v>
      </c>
      <c r="O251" s="624">
        <f t="shared" si="135"/>
        <v>0</v>
      </c>
      <c r="P251" s="626">
        <f t="shared" si="135"/>
        <v>0</v>
      </c>
      <c r="Q251" s="624">
        <f t="shared" si="135"/>
        <v>0</v>
      </c>
      <c r="R251" s="357"/>
      <c r="S251" s="858">
        <v>430</v>
      </c>
      <c r="T251" s="858"/>
      <c r="U251" s="858">
        <v>381</v>
      </c>
      <c r="V251" s="858">
        <v>168</v>
      </c>
      <c r="W251" s="858">
        <v>131</v>
      </c>
      <c r="X251" s="858">
        <v>38</v>
      </c>
      <c r="Y251" s="859">
        <v>1148</v>
      </c>
      <c r="Z251" s="859"/>
      <c r="AA251" s="858"/>
      <c r="AB251" s="858"/>
      <c r="AC251" s="858"/>
      <c r="AD251" s="858"/>
      <c r="AE251" s="859"/>
      <c r="AF251" s="859"/>
      <c r="AG251" s="858"/>
      <c r="AH251" s="859"/>
    </row>
    <row r="252" spans="1:34">
      <c r="A252" s="239"/>
      <c r="B252" s="239" t="s">
        <v>78</v>
      </c>
      <c r="C252" s="806">
        <f t="shared" si="136"/>
        <v>5.5366269165247018E-3</v>
      </c>
      <c r="D252" s="806">
        <f t="shared" si="134"/>
        <v>0</v>
      </c>
      <c r="E252" s="806">
        <f t="shared" si="134"/>
        <v>9.2783505154639179E-2</v>
      </c>
      <c r="F252" s="806">
        <f t="shared" si="134"/>
        <v>3.4416826003824091E-2</v>
      </c>
      <c r="G252" s="806">
        <f t="shared" si="134"/>
        <v>6.3380281690140844E-2</v>
      </c>
      <c r="H252" s="806">
        <f t="shared" si="134"/>
        <v>4.060913705583756E-2</v>
      </c>
      <c r="I252" s="624">
        <f t="shared" si="134"/>
        <v>3.9571310799670238E-2</v>
      </c>
      <c r="J252" s="624">
        <f t="shared" si="134"/>
        <v>0</v>
      </c>
      <c r="K252" s="625">
        <f t="shared" si="134"/>
        <v>0</v>
      </c>
      <c r="L252" s="625">
        <f t="shared" si="134"/>
        <v>0</v>
      </c>
      <c r="M252" s="625">
        <f t="shared" si="134"/>
        <v>0</v>
      </c>
      <c r="N252" s="624">
        <f t="shared" si="137"/>
        <v>0.99962349397590367</v>
      </c>
      <c r="O252" s="624">
        <f t="shared" si="135"/>
        <v>0</v>
      </c>
      <c r="P252" s="626">
        <f t="shared" si="135"/>
        <v>0</v>
      </c>
      <c r="Q252" s="624">
        <f t="shared" si="135"/>
        <v>0</v>
      </c>
      <c r="R252" s="357"/>
      <c r="S252" s="858">
        <v>13</v>
      </c>
      <c r="T252" s="858"/>
      <c r="U252" s="858">
        <v>126</v>
      </c>
      <c r="V252" s="858">
        <v>18</v>
      </c>
      <c r="W252" s="858">
        <v>27</v>
      </c>
      <c r="X252" s="858">
        <v>8</v>
      </c>
      <c r="Y252" s="859">
        <v>192</v>
      </c>
      <c r="Z252" s="859"/>
      <c r="AA252" s="858"/>
      <c r="AB252" s="858"/>
      <c r="AC252" s="858"/>
      <c r="AD252" s="858"/>
      <c r="AE252" s="859">
        <v>2655</v>
      </c>
      <c r="AF252" s="859"/>
      <c r="AG252" s="858"/>
      <c r="AH252" s="859"/>
    </row>
    <row r="253" spans="1:34">
      <c r="A253" s="580"/>
      <c r="B253" s="580" t="s">
        <v>131</v>
      </c>
      <c r="C253" s="806">
        <f t="shared" si="136"/>
        <v>0.15545144804088587</v>
      </c>
      <c r="D253" s="806">
        <f t="shared" si="134"/>
        <v>0</v>
      </c>
      <c r="E253" s="806">
        <f t="shared" si="134"/>
        <v>1.4727540500736377E-3</v>
      </c>
      <c r="F253" s="806">
        <f t="shared" si="134"/>
        <v>0</v>
      </c>
      <c r="G253" s="806">
        <f t="shared" si="134"/>
        <v>0</v>
      </c>
      <c r="H253" s="806">
        <f t="shared" si="134"/>
        <v>0.29441624365482233</v>
      </c>
      <c r="I253" s="624">
        <f t="shared" si="134"/>
        <v>8.759274525968673E-2</v>
      </c>
      <c r="J253" s="624">
        <f t="shared" si="134"/>
        <v>0</v>
      </c>
      <c r="K253" s="625">
        <f t="shared" si="134"/>
        <v>0</v>
      </c>
      <c r="L253" s="625">
        <f t="shared" si="134"/>
        <v>0</v>
      </c>
      <c r="M253" s="625">
        <f t="shared" si="134"/>
        <v>0</v>
      </c>
      <c r="N253" s="624">
        <f t="shared" si="137"/>
        <v>3.7650602409638556E-4</v>
      </c>
      <c r="O253" s="624">
        <f t="shared" si="135"/>
        <v>0</v>
      </c>
      <c r="P253" s="626">
        <f t="shared" si="135"/>
        <v>0</v>
      </c>
      <c r="Q253" s="624">
        <f t="shared" si="135"/>
        <v>0</v>
      </c>
      <c r="R253" s="357"/>
      <c r="S253" s="858">
        <v>365</v>
      </c>
      <c r="T253" s="858"/>
      <c r="U253" s="858">
        <v>2</v>
      </c>
      <c r="V253" s="858"/>
      <c r="W253" s="858"/>
      <c r="X253" s="858">
        <v>58</v>
      </c>
      <c r="Y253" s="859">
        <v>425</v>
      </c>
      <c r="Z253" s="859"/>
      <c r="AA253" s="858"/>
      <c r="AB253" s="858"/>
      <c r="AC253" s="858"/>
      <c r="AD253" s="858"/>
      <c r="AE253" s="859">
        <v>1</v>
      </c>
      <c r="AF253" s="859"/>
      <c r="AG253" s="858"/>
      <c r="AH253" s="859"/>
    </row>
    <row r="254" spans="1:34">
      <c r="A254" s="436"/>
      <c r="B254" s="436" t="s">
        <v>59</v>
      </c>
      <c r="C254" s="807">
        <f t="shared" si="136"/>
        <v>1</v>
      </c>
      <c r="D254" s="808">
        <f t="shared" si="134"/>
        <v>0</v>
      </c>
      <c r="E254" s="808">
        <f t="shared" si="134"/>
        <v>1</v>
      </c>
      <c r="F254" s="808">
        <f t="shared" si="134"/>
        <v>1</v>
      </c>
      <c r="G254" s="808">
        <f t="shared" si="134"/>
        <v>1</v>
      </c>
      <c r="H254" s="809">
        <f t="shared" si="134"/>
        <v>1</v>
      </c>
      <c r="I254" s="577">
        <f t="shared" si="134"/>
        <v>1</v>
      </c>
      <c r="J254" s="577">
        <f t="shared" si="134"/>
        <v>0</v>
      </c>
      <c r="K254" s="578">
        <f t="shared" si="134"/>
        <v>0</v>
      </c>
      <c r="L254" s="578">
        <f t="shared" si="134"/>
        <v>0</v>
      </c>
      <c r="M254" s="578">
        <f t="shared" si="134"/>
        <v>0</v>
      </c>
      <c r="N254" s="577">
        <f t="shared" si="137"/>
        <v>1</v>
      </c>
      <c r="O254" s="577">
        <f t="shared" si="135"/>
        <v>0</v>
      </c>
      <c r="P254" s="579">
        <f t="shared" si="135"/>
        <v>0</v>
      </c>
      <c r="Q254" s="577">
        <f t="shared" si="135"/>
        <v>0</v>
      </c>
      <c r="R254" s="357"/>
      <c r="S254" s="858">
        <v>2348</v>
      </c>
      <c r="T254" s="858"/>
      <c r="U254" s="858">
        <v>1358</v>
      </c>
      <c r="V254" s="858">
        <v>523</v>
      </c>
      <c r="W254" s="858">
        <v>426</v>
      </c>
      <c r="X254" s="858">
        <v>197</v>
      </c>
      <c r="Y254" s="859">
        <v>4852</v>
      </c>
      <c r="Z254" s="859"/>
      <c r="AA254" s="858"/>
      <c r="AB254" s="858"/>
      <c r="AC254" s="858"/>
      <c r="AD254" s="858"/>
      <c r="AE254" s="859">
        <v>2656</v>
      </c>
      <c r="AF254" s="859"/>
      <c r="AG254" s="858"/>
      <c r="AH254" s="859"/>
    </row>
    <row r="255" spans="1:34">
      <c r="A255" s="240" t="s">
        <v>151</v>
      </c>
      <c r="B255" s="240" t="s">
        <v>53</v>
      </c>
      <c r="C255" s="806">
        <f>IF(S$260&gt;0,(S255/S$260),0)</f>
        <v>0.29377713458755428</v>
      </c>
      <c r="D255" s="806">
        <f t="shared" ref="D255:M260" si="138">IF(T$260&gt;0,(T255/T$260),0)</f>
        <v>0.27628032345013476</v>
      </c>
      <c r="E255" s="806">
        <f t="shared" si="138"/>
        <v>0.336173001310616</v>
      </c>
      <c r="F255" s="806">
        <f t="shared" si="138"/>
        <v>0.4116575591985428</v>
      </c>
      <c r="G255" s="806">
        <f t="shared" si="138"/>
        <v>0.23664122137404581</v>
      </c>
      <c r="H255" s="806">
        <f t="shared" si="138"/>
        <v>0.28904428904428903</v>
      </c>
      <c r="I255" s="613">
        <f t="shared" si="138"/>
        <v>0.31085257225958918</v>
      </c>
      <c r="J255" s="613">
        <f t="shared" si="138"/>
        <v>0</v>
      </c>
      <c r="K255" s="614">
        <f t="shared" si="138"/>
        <v>0</v>
      </c>
      <c r="L255" s="614">
        <f t="shared" si="138"/>
        <v>0</v>
      </c>
      <c r="M255" s="614">
        <f t="shared" si="138"/>
        <v>0</v>
      </c>
      <c r="N255" s="613">
        <f>IF(AE$260&gt;0,(AE255/AE$260),0)</f>
        <v>0.14217156568686262</v>
      </c>
      <c r="O255" s="613">
        <f t="shared" ref="O255:Q260" si="139">IF(AF$260&gt;0,(AF255/AF$260),0)</f>
        <v>0</v>
      </c>
      <c r="P255" s="615">
        <f t="shared" si="139"/>
        <v>0</v>
      </c>
      <c r="Q255" s="613">
        <f t="shared" si="139"/>
        <v>0</v>
      </c>
      <c r="R255" s="799"/>
      <c r="S255" s="856">
        <v>406</v>
      </c>
      <c r="T255" s="856">
        <v>410</v>
      </c>
      <c r="U255" s="856">
        <v>513</v>
      </c>
      <c r="V255" s="856">
        <v>226</v>
      </c>
      <c r="W255" s="856">
        <v>31</v>
      </c>
      <c r="X255" s="856">
        <v>124</v>
      </c>
      <c r="Y255" s="857">
        <v>1710</v>
      </c>
      <c r="Z255" s="857"/>
      <c r="AA255" s="856"/>
      <c r="AB255" s="856"/>
      <c r="AC255" s="856"/>
      <c r="AD255" s="856"/>
      <c r="AE255" s="857">
        <v>237</v>
      </c>
      <c r="AF255" s="857"/>
      <c r="AG255" s="856"/>
      <c r="AH255" s="857"/>
    </row>
    <row r="256" spans="1:34">
      <c r="A256" s="239"/>
      <c r="B256" s="239" t="s">
        <v>93</v>
      </c>
      <c r="C256" s="806">
        <f t="shared" ref="C256:C260" si="140">IF(S$260&gt;0,(S256/S$260),0)</f>
        <v>0.31186685962373373</v>
      </c>
      <c r="D256" s="806">
        <f t="shared" si="138"/>
        <v>0.33894878706199461</v>
      </c>
      <c r="E256" s="806">
        <f t="shared" si="138"/>
        <v>0.21821756225425951</v>
      </c>
      <c r="F256" s="806">
        <f t="shared" si="138"/>
        <v>0.19489981785063754</v>
      </c>
      <c r="G256" s="806">
        <f t="shared" si="138"/>
        <v>0.20610687022900764</v>
      </c>
      <c r="H256" s="806">
        <f t="shared" si="138"/>
        <v>0.22610722610722611</v>
      </c>
      <c r="I256" s="624">
        <f t="shared" si="138"/>
        <v>0.27231412470459915</v>
      </c>
      <c r="J256" s="624">
        <f t="shared" si="138"/>
        <v>0</v>
      </c>
      <c r="K256" s="625">
        <f t="shared" si="138"/>
        <v>0</v>
      </c>
      <c r="L256" s="625">
        <f t="shared" si="138"/>
        <v>0</v>
      </c>
      <c r="M256" s="625">
        <f t="shared" si="138"/>
        <v>0</v>
      </c>
      <c r="N256" s="624">
        <f t="shared" ref="N256:N260" si="141">IF(AE$260&gt;0,(AE256/AE$260),0)</f>
        <v>0.11577684463107378</v>
      </c>
      <c r="O256" s="624">
        <f t="shared" si="139"/>
        <v>0</v>
      </c>
      <c r="P256" s="626">
        <f t="shared" si="139"/>
        <v>0</v>
      </c>
      <c r="Q256" s="624">
        <f t="shared" si="139"/>
        <v>0</v>
      </c>
      <c r="R256" s="357"/>
      <c r="S256" s="858">
        <v>431</v>
      </c>
      <c r="T256" s="858">
        <v>503</v>
      </c>
      <c r="U256" s="858">
        <v>333</v>
      </c>
      <c r="V256" s="858">
        <v>107</v>
      </c>
      <c r="W256" s="858">
        <v>27</v>
      </c>
      <c r="X256" s="858">
        <v>97</v>
      </c>
      <c r="Y256" s="859">
        <v>1498</v>
      </c>
      <c r="Z256" s="859"/>
      <c r="AA256" s="858"/>
      <c r="AB256" s="858"/>
      <c r="AC256" s="858"/>
      <c r="AD256" s="858"/>
      <c r="AE256" s="859">
        <v>193</v>
      </c>
      <c r="AF256" s="859"/>
      <c r="AG256" s="858"/>
      <c r="AH256" s="859"/>
    </row>
    <row r="257" spans="1:34">
      <c r="A257" s="239"/>
      <c r="B257" s="239" t="s">
        <v>55</v>
      </c>
      <c r="C257" s="806">
        <f t="shared" si="140"/>
        <v>0.29232995658465993</v>
      </c>
      <c r="D257" s="806">
        <f t="shared" si="138"/>
        <v>0.29582210242587603</v>
      </c>
      <c r="E257" s="806">
        <f t="shared" si="138"/>
        <v>0.17300131061598953</v>
      </c>
      <c r="F257" s="806">
        <f t="shared" si="138"/>
        <v>0.23497267759562843</v>
      </c>
      <c r="G257" s="806">
        <f t="shared" si="138"/>
        <v>0.45038167938931295</v>
      </c>
      <c r="H257" s="806">
        <f t="shared" si="138"/>
        <v>0.35897435897435898</v>
      </c>
      <c r="I257" s="624">
        <f t="shared" si="138"/>
        <v>0.26340665333575713</v>
      </c>
      <c r="J257" s="624">
        <f t="shared" si="138"/>
        <v>0</v>
      </c>
      <c r="K257" s="625">
        <f t="shared" si="138"/>
        <v>0</v>
      </c>
      <c r="L257" s="625">
        <f t="shared" si="138"/>
        <v>0</v>
      </c>
      <c r="M257" s="625">
        <f t="shared" si="138"/>
        <v>0</v>
      </c>
      <c r="N257" s="624">
        <f t="shared" si="141"/>
        <v>0.11697660467906419</v>
      </c>
      <c r="O257" s="624">
        <f t="shared" si="139"/>
        <v>0</v>
      </c>
      <c r="P257" s="626">
        <f t="shared" si="139"/>
        <v>0</v>
      </c>
      <c r="Q257" s="624">
        <f t="shared" si="139"/>
        <v>0</v>
      </c>
      <c r="R257" s="357"/>
      <c r="S257" s="858">
        <v>404</v>
      </c>
      <c r="T257" s="858">
        <v>439</v>
      </c>
      <c r="U257" s="858">
        <v>264</v>
      </c>
      <c r="V257" s="858">
        <v>129</v>
      </c>
      <c r="W257" s="858">
        <v>59</v>
      </c>
      <c r="X257" s="858">
        <v>154</v>
      </c>
      <c r="Y257" s="859">
        <v>1449</v>
      </c>
      <c r="Z257" s="859"/>
      <c r="AA257" s="858"/>
      <c r="AB257" s="858"/>
      <c r="AC257" s="858"/>
      <c r="AD257" s="858"/>
      <c r="AE257" s="859">
        <v>195</v>
      </c>
      <c r="AF257" s="859"/>
      <c r="AG257" s="858"/>
      <c r="AH257" s="859"/>
    </row>
    <row r="258" spans="1:34">
      <c r="A258" s="239"/>
      <c r="B258" s="239" t="s">
        <v>78</v>
      </c>
      <c r="C258" s="806">
        <f t="shared" si="140"/>
        <v>6.1505065123010128E-2</v>
      </c>
      <c r="D258" s="806">
        <f t="shared" si="138"/>
        <v>2.7628032345013476E-2</v>
      </c>
      <c r="E258" s="806">
        <f t="shared" si="138"/>
        <v>0.21690694626474444</v>
      </c>
      <c r="F258" s="806">
        <f t="shared" si="138"/>
        <v>0.14571948998178508</v>
      </c>
      <c r="G258" s="806">
        <f t="shared" si="138"/>
        <v>0.10687022900763359</v>
      </c>
      <c r="H258" s="806">
        <f t="shared" si="138"/>
        <v>0.12354312354312354</v>
      </c>
      <c r="I258" s="624">
        <f t="shared" si="138"/>
        <v>0.10979821850572623</v>
      </c>
      <c r="J258" s="624">
        <f t="shared" si="138"/>
        <v>0</v>
      </c>
      <c r="K258" s="625">
        <f t="shared" si="138"/>
        <v>0</v>
      </c>
      <c r="L258" s="625">
        <f t="shared" si="138"/>
        <v>0</v>
      </c>
      <c r="M258" s="625">
        <f t="shared" si="138"/>
        <v>0</v>
      </c>
      <c r="N258" s="624">
        <f t="shared" si="141"/>
        <v>0.28554289142171568</v>
      </c>
      <c r="O258" s="624">
        <f t="shared" si="139"/>
        <v>0</v>
      </c>
      <c r="P258" s="626">
        <f t="shared" si="139"/>
        <v>0</v>
      </c>
      <c r="Q258" s="624">
        <f t="shared" si="139"/>
        <v>0</v>
      </c>
      <c r="R258" s="357"/>
      <c r="S258" s="858">
        <v>85</v>
      </c>
      <c r="T258" s="858">
        <v>41</v>
      </c>
      <c r="U258" s="858">
        <v>331</v>
      </c>
      <c r="V258" s="858">
        <v>80</v>
      </c>
      <c r="W258" s="858">
        <v>14</v>
      </c>
      <c r="X258" s="858">
        <v>53</v>
      </c>
      <c r="Y258" s="859">
        <v>604</v>
      </c>
      <c r="Z258" s="859"/>
      <c r="AA258" s="858"/>
      <c r="AB258" s="858"/>
      <c r="AC258" s="858"/>
      <c r="AD258" s="858"/>
      <c r="AE258" s="859">
        <v>476</v>
      </c>
      <c r="AF258" s="859"/>
      <c r="AG258" s="858"/>
      <c r="AH258" s="859"/>
    </row>
    <row r="259" spans="1:34">
      <c r="A259" s="580"/>
      <c r="B259" s="580" t="s">
        <v>131</v>
      </c>
      <c r="C259" s="806">
        <f t="shared" si="140"/>
        <v>4.0520984081041968E-2</v>
      </c>
      <c r="D259" s="806">
        <f t="shared" si="138"/>
        <v>6.1320754716981132E-2</v>
      </c>
      <c r="E259" s="806">
        <f t="shared" si="138"/>
        <v>5.5701179554390565E-2</v>
      </c>
      <c r="F259" s="806">
        <f t="shared" si="138"/>
        <v>1.2750455373406194E-2</v>
      </c>
      <c r="G259" s="806">
        <f t="shared" si="138"/>
        <v>0</v>
      </c>
      <c r="H259" s="806">
        <f t="shared" si="138"/>
        <v>2.331002331002331E-3</v>
      </c>
      <c r="I259" s="624">
        <f t="shared" si="138"/>
        <v>4.3628431194328306E-2</v>
      </c>
      <c r="J259" s="624">
        <f t="shared" si="138"/>
        <v>0</v>
      </c>
      <c r="K259" s="625">
        <f t="shared" si="138"/>
        <v>0</v>
      </c>
      <c r="L259" s="625">
        <f t="shared" si="138"/>
        <v>0</v>
      </c>
      <c r="M259" s="625">
        <f t="shared" si="138"/>
        <v>0</v>
      </c>
      <c r="N259" s="624">
        <f t="shared" si="141"/>
        <v>0.33953209358128372</v>
      </c>
      <c r="O259" s="624">
        <f t="shared" si="139"/>
        <v>0</v>
      </c>
      <c r="P259" s="626">
        <f t="shared" si="139"/>
        <v>0</v>
      </c>
      <c r="Q259" s="624">
        <f t="shared" si="139"/>
        <v>0</v>
      </c>
      <c r="R259" s="357"/>
      <c r="S259" s="858">
        <v>56</v>
      </c>
      <c r="T259" s="858">
        <v>91</v>
      </c>
      <c r="U259" s="858">
        <v>85</v>
      </c>
      <c r="V259" s="858">
        <v>7</v>
      </c>
      <c r="W259" s="858"/>
      <c r="X259" s="858">
        <v>1</v>
      </c>
      <c r="Y259" s="859">
        <v>240</v>
      </c>
      <c r="Z259" s="859"/>
      <c r="AA259" s="858"/>
      <c r="AB259" s="858"/>
      <c r="AC259" s="858"/>
      <c r="AD259" s="858"/>
      <c r="AE259" s="859">
        <v>566</v>
      </c>
      <c r="AF259" s="859"/>
      <c r="AG259" s="858"/>
      <c r="AH259" s="859"/>
    </row>
    <row r="260" spans="1:34">
      <c r="A260" s="436"/>
      <c r="B260" s="436" t="s">
        <v>59</v>
      </c>
      <c r="C260" s="807">
        <f t="shared" si="140"/>
        <v>1</v>
      </c>
      <c r="D260" s="808">
        <f t="shared" si="138"/>
        <v>1</v>
      </c>
      <c r="E260" s="808">
        <f t="shared" si="138"/>
        <v>1</v>
      </c>
      <c r="F260" s="808">
        <f t="shared" si="138"/>
        <v>1</v>
      </c>
      <c r="G260" s="808">
        <f t="shared" si="138"/>
        <v>1</v>
      </c>
      <c r="H260" s="809">
        <f t="shared" si="138"/>
        <v>1</v>
      </c>
      <c r="I260" s="577">
        <f t="shared" si="138"/>
        <v>1</v>
      </c>
      <c r="J260" s="577">
        <f t="shared" si="138"/>
        <v>0</v>
      </c>
      <c r="K260" s="578">
        <f t="shared" si="138"/>
        <v>0</v>
      </c>
      <c r="L260" s="578">
        <f t="shared" si="138"/>
        <v>0</v>
      </c>
      <c r="M260" s="578">
        <f t="shared" si="138"/>
        <v>0</v>
      </c>
      <c r="N260" s="577">
        <f t="shared" si="141"/>
        <v>1</v>
      </c>
      <c r="O260" s="577">
        <f t="shared" si="139"/>
        <v>0</v>
      </c>
      <c r="P260" s="579">
        <f t="shared" si="139"/>
        <v>0</v>
      </c>
      <c r="Q260" s="577">
        <f t="shared" si="139"/>
        <v>0</v>
      </c>
      <c r="R260" s="357"/>
      <c r="S260" s="858">
        <v>1382</v>
      </c>
      <c r="T260" s="858">
        <v>1484</v>
      </c>
      <c r="U260" s="858">
        <v>1526</v>
      </c>
      <c r="V260" s="858">
        <v>549</v>
      </c>
      <c r="W260" s="858">
        <v>131</v>
      </c>
      <c r="X260" s="858">
        <v>429</v>
      </c>
      <c r="Y260" s="859">
        <v>5501</v>
      </c>
      <c r="Z260" s="859"/>
      <c r="AA260" s="858"/>
      <c r="AB260" s="858"/>
      <c r="AC260" s="858"/>
      <c r="AD260" s="858"/>
      <c r="AE260" s="859">
        <v>1667</v>
      </c>
      <c r="AF260" s="859"/>
      <c r="AG260" s="858"/>
      <c r="AH260" s="859"/>
    </row>
    <row r="261" spans="1:34">
      <c r="A261" s="240" t="s">
        <v>154</v>
      </c>
      <c r="B261" s="240" t="s">
        <v>53</v>
      </c>
      <c r="C261" s="806">
        <f>IF(S$266&gt;0,(S261/S$266),0)</f>
        <v>0.37919174548581258</v>
      </c>
      <c r="D261" s="806">
        <f t="shared" ref="D261:M266" si="142">IF(T$266&gt;0,(T261/T$266),0)</f>
        <v>0</v>
      </c>
      <c r="E261" s="806">
        <f t="shared" si="142"/>
        <v>0.30334728033472802</v>
      </c>
      <c r="F261" s="806">
        <f t="shared" si="142"/>
        <v>0.34068627450980393</v>
      </c>
      <c r="G261" s="806">
        <f t="shared" si="142"/>
        <v>0.47428571428571431</v>
      </c>
      <c r="H261" s="806">
        <f t="shared" si="142"/>
        <v>0</v>
      </c>
      <c r="I261" s="613">
        <f t="shared" si="142"/>
        <v>0.36330935251798563</v>
      </c>
      <c r="J261" s="613">
        <f t="shared" si="142"/>
        <v>0</v>
      </c>
      <c r="K261" s="614">
        <f t="shared" si="142"/>
        <v>0</v>
      </c>
      <c r="L261" s="614">
        <f t="shared" si="142"/>
        <v>0</v>
      </c>
      <c r="M261" s="614">
        <f t="shared" si="142"/>
        <v>0</v>
      </c>
      <c r="N261" s="613">
        <f>IF(AE$266&gt;0,(AE261/AE$266),0)</f>
        <v>1.9550342130987292E-3</v>
      </c>
      <c r="O261" s="613">
        <f t="shared" ref="O261:Q266" si="143">IF(AF$266&gt;0,(AF261/AF$266),0)</f>
        <v>0</v>
      </c>
      <c r="P261" s="615">
        <f t="shared" si="143"/>
        <v>0</v>
      </c>
      <c r="Q261" s="613">
        <f t="shared" si="143"/>
        <v>0</v>
      </c>
      <c r="R261" s="799"/>
      <c r="S261" s="856">
        <v>441</v>
      </c>
      <c r="T261" s="856"/>
      <c r="U261" s="856">
        <v>145</v>
      </c>
      <c r="V261" s="856">
        <v>139</v>
      </c>
      <c r="W261" s="856">
        <v>83</v>
      </c>
      <c r="X261" s="856"/>
      <c r="Y261" s="857">
        <v>808</v>
      </c>
      <c r="Z261" s="857"/>
      <c r="AA261" s="856"/>
      <c r="AB261" s="856"/>
      <c r="AC261" s="856"/>
      <c r="AD261" s="856"/>
      <c r="AE261" s="857">
        <v>2</v>
      </c>
      <c r="AF261" s="857"/>
      <c r="AG261" s="856"/>
      <c r="AH261" s="857"/>
    </row>
    <row r="262" spans="1:34">
      <c r="A262" s="239"/>
      <c r="B262" s="239" t="s">
        <v>93</v>
      </c>
      <c r="C262" s="806">
        <f t="shared" ref="C262:C266" si="144">IF(S$266&gt;0,(S262/S$266),0)</f>
        <v>0.26569217540842649</v>
      </c>
      <c r="D262" s="806">
        <f t="shared" si="142"/>
        <v>0</v>
      </c>
      <c r="E262" s="806">
        <f t="shared" si="142"/>
        <v>0.33891213389121339</v>
      </c>
      <c r="F262" s="806">
        <f t="shared" si="142"/>
        <v>0.22549019607843138</v>
      </c>
      <c r="G262" s="806">
        <f t="shared" si="142"/>
        <v>0.18857142857142858</v>
      </c>
      <c r="H262" s="806">
        <f t="shared" si="142"/>
        <v>0</v>
      </c>
      <c r="I262" s="624">
        <f t="shared" si="142"/>
        <v>0.26798561151079137</v>
      </c>
      <c r="J262" s="624">
        <f t="shared" si="142"/>
        <v>0</v>
      </c>
      <c r="K262" s="625">
        <f t="shared" si="142"/>
        <v>0</v>
      </c>
      <c r="L262" s="625">
        <f t="shared" si="142"/>
        <v>0</v>
      </c>
      <c r="M262" s="625">
        <f t="shared" si="142"/>
        <v>0</v>
      </c>
      <c r="N262" s="624">
        <f t="shared" ref="N262:N266" si="145">IF(AE$266&gt;0,(AE262/AE$266),0)</f>
        <v>9.7751710654936461E-4</v>
      </c>
      <c r="O262" s="624">
        <f t="shared" si="143"/>
        <v>0</v>
      </c>
      <c r="P262" s="626">
        <f t="shared" si="143"/>
        <v>0</v>
      </c>
      <c r="Q262" s="624">
        <f t="shared" si="143"/>
        <v>0</v>
      </c>
      <c r="R262" s="357"/>
      <c r="S262" s="858">
        <v>309</v>
      </c>
      <c r="T262" s="858"/>
      <c r="U262" s="858">
        <v>162</v>
      </c>
      <c r="V262" s="858">
        <v>92</v>
      </c>
      <c r="W262" s="858">
        <v>33</v>
      </c>
      <c r="X262" s="858"/>
      <c r="Y262" s="859">
        <v>596</v>
      </c>
      <c r="Z262" s="859"/>
      <c r="AA262" s="858"/>
      <c r="AB262" s="858"/>
      <c r="AC262" s="858"/>
      <c r="AD262" s="858"/>
      <c r="AE262" s="859">
        <v>1</v>
      </c>
      <c r="AF262" s="859"/>
      <c r="AG262" s="858"/>
      <c r="AH262" s="859"/>
    </row>
    <row r="263" spans="1:34">
      <c r="A263" s="239"/>
      <c r="B263" s="239" t="s">
        <v>55</v>
      </c>
      <c r="C263" s="806">
        <f t="shared" si="144"/>
        <v>0.20378331900257954</v>
      </c>
      <c r="D263" s="806">
        <f t="shared" si="142"/>
        <v>0</v>
      </c>
      <c r="E263" s="806">
        <f t="shared" si="142"/>
        <v>0.20083682008368201</v>
      </c>
      <c r="F263" s="806">
        <f t="shared" si="142"/>
        <v>0.25245098039215685</v>
      </c>
      <c r="G263" s="806">
        <f t="shared" si="142"/>
        <v>0.21714285714285714</v>
      </c>
      <c r="H263" s="806">
        <f t="shared" si="142"/>
        <v>0</v>
      </c>
      <c r="I263" s="624">
        <f t="shared" si="142"/>
        <v>0.21312949640287771</v>
      </c>
      <c r="J263" s="624">
        <f t="shared" si="142"/>
        <v>0</v>
      </c>
      <c r="K263" s="625">
        <f t="shared" si="142"/>
        <v>0</v>
      </c>
      <c r="L263" s="625">
        <f t="shared" si="142"/>
        <v>0</v>
      </c>
      <c r="M263" s="625">
        <f t="shared" si="142"/>
        <v>0</v>
      </c>
      <c r="N263" s="624">
        <f t="shared" si="145"/>
        <v>1.1730205278592375E-2</v>
      </c>
      <c r="O263" s="624">
        <f t="shared" si="143"/>
        <v>0</v>
      </c>
      <c r="P263" s="626">
        <f t="shared" si="143"/>
        <v>0</v>
      </c>
      <c r="Q263" s="624">
        <f t="shared" si="143"/>
        <v>0</v>
      </c>
      <c r="R263" s="357"/>
      <c r="S263" s="858">
        <v>237</v>
      </c>
      <c r="T263" s="858"/>
      <c r="U263" s="858">
        <v>96</v>
      </c>
      <c r="V263" s="858">
        <v>103</v>
      </c>
      <c r="W263" s="858">
        <v>38</v>
      </c>
      <c r="X263" s="858"/>
      <c r="Y263" s="859">
        <v>474</v>
      </c>
      <c r="Z263" s="859"/>
      <c r="AA263" s="858"/>
      <c r="AB263" s="858"/>
      <c r="AC263" s="858"/>
      <c r="AD263" s="858"/>
      <c r="AE263" s="859">
        <v>12</v>
      </c>
      <c r="AF263" s="859"/>
      <c r="AG263" s="858"/>
      <c r="AH263" s="859"/>
    </row>
    <row r="264" spans="1:34">
      <c r="A264" s="239"/>
      <c r="B264" s="239" t="s">
        <v>78</v>
      </c>
      <c r="C264" s="806">
        <f t="shared" si="144"/>
        <v>0</v>
      </c>
      <c r="D264" s="806">
        <f t="shared" si="142"/>
        <v>0</v>
      </c>
      <c r="E264" s="806">
        <f t="shared" si="142"/>
        <v>9.6234309623430964E-2</v>
      </c>
      <c r="F264" s="806">
        <f t="shared" si="142"/>
        <v>1.2254901960784314E-2</v>
      </c>
      <c r="G264" s="806">
        <f t="shared" si="142"/>
        <v>0.12</v>
      </c>
      <c r="H264" s="806">
        <f t="shared" si="142"/>
        <v>0</v>
      </c>
      <c r="I264" s="624">
        <f t="shared" si="142"/>
        <v>3.237410071942446E-2</v>
      </c>
      <c r="J264" s="624">
        <f t="shared" si="142"/>
        <v>0</v>
      </c>
      <c r="K264" s="625">
        <f t="shared" si="142"/>
        <v>0</v>
      </c>
      <c r="L264" s="625">
        <f t="shared" si="142"/>
        <v>0</v>
      </c>
      <c r="M264" s="625">
        <f t="shared" si="142"/>
        <v>0</v>
      </c>
      <c r="N264" s="624">
        <f t="shared" si="145"/>
        <v>0.35972629521016619</v>
      </c>
      <c r="O264" s="624">
        <f t="shared" si="143"/>
        <v>0</v>
      </c>
      <c r="P264" s="626">
        <f t="shared" si="143"/>
        <v>0</v>
      </c>
      <c r="Q264" s="624">
        <f t="shared" si="143"/>
        <v>0</v>
      </c>
      <c r="R264" s="357"/>
      <c r="S264" s="858"/>
      <c r="T264" s="858"/>
      <c r="U264" s="858">
        <v>46</v>
      </c>
      <c r="V264" s="858">
        <v>5</v>
      </c>
      <c r="W264" s="858">
        <v>21</v>
      </c>
      <c r="X264" s="858"/>
      <c r="Y264" s="859">
        <v>72</v>
      </c>
      <c r="Z264" s="859"/>
      <c r="AA264" s="858"/>
      <c r="AB264" s="858"/>
      <c r="AC264" s="858"/>
      <c r="AD264" s="858"/>
      <c r="AE264" s="859">
        <v>368</v>
      </c>
      <c r="AF264" s="859"/>
      <c r="AG264" s="858"/>
      <c r="AH264" s="859"/>
    </row>
    <row r="265" spans="1:34">
      <c r="A265" s="580"/>
      <c r="B265" s="580" t="s">
        <v>131</v>
      </c>
      <c r="C265" s="806">
        <f t="shared" si="144"/>
        <v>0.15133276010318142</v>
      </c>
      <c r="D265" s="806">
        <f t="shared" si="142"/>
        <v>0</v>
      </c>
      <c r="E265" s="806">
        <f t="shared" si="142"/>
        <v>6.0669456066945605E-2</v>
      </c>
      <c r="F265" s="806">
        <f t="shared" si="142"/>
        <v>0.16911764705882354</v>
      </c>
      <c r="G265" s="806">
        <f t="shared" si="142"/>
        <v>0</v>
      </c>
      <c r="H265" s="806">
        <f t="shared" si="142"/>
        <v>0</v>
      </c>
      <c r="I265" s="624">
        <f t="shared" si="142"/>
        <v>0.12320143884892086</v>
      </c>
      <c r="J265" s="624">
        <f t="shared" si="142"/>
        <v>0</v>
      </c>
      <c r="K265" s="625">
        <f t="shared" si="142"/>
        <v>0</v>
      </c>
      <c r="L265" s="625">
        <f t="shared" si="142"/>
        <v>0</v>
      </c>
      <c r="M265" s="625">
        <f t="shared" si="142"/>
        <v>0</v>
      </c>
      <c r="N265" s="624">
        <f t="shared" si="145"/>
        <v>0.62561094819159335</v>
      </c>
      <c r="O265" s="624">
        <f t="shared" si="143"/>
        <v>0</v>
      </c>
      <c r="P265" s="626">
        <f t="shared" si="143"/>
        <v>0</v>
      </c>
      <c r="Q265" s="624">
        <f t="shared" si="143"/>
        <v>0</v>
      </c>
      <c r="R265" s="357"/>
      <c r="S265" s="858">
        <v>176</v>
      </c>
      <c r="T265" s="858"/>
      <c r="U265" s="858">
        <v>29</v>
      </c>
      <c r="V265" s="858">
        <v>69</v>
      </c>
      <c r="W265" s="858"/>
      <c r="X265" s="858"/>
      <c r="Y265" s="859">
        <v>274</v>
      </c>
      <c r="Z265" s="859"/>
      <c r="AA265" s="858"/>
      <c r="AB265" s="858"/>
      <c r="AC265" s="858"/>
      <c r="AD265" s="858"/>
      <c r="AE265" s="859">
        <v>640</v>
      </c>
      <c r="AF265" s="859"/>
      <c r="AG265" s="858"/>
      <c r="AH265" s="859"/>
    </row>
    <row r="266" spans="1:34">
      <c r="A266" s="436"/>
      <c r="B266" s="436" t="s">
        <v>59</v>
      </c>
      <c r="C266" s="807">
        <f t="shared" si="144"/>
        <v>1</v>
      </c>
      <c r="D266" s="808">
        <f t="shared" si="142"/>
        <v>0</v>
      </c>
      <c r="E266" s="808">
        <f t="shared" si="142"/>
        <v>1</v>
      </c>
      <c r="F266" s="808">
        <f t="shared" si="142"/>
        <v>1</v>
      </c>
      <c r="G266" s="808">
        <f t="shared" si="142"/>
        <v>1</v>
      </c>
      <c r="H266" s="809">
        <f t="shared" si="142"/>
        <v>0</v>
      </c>
      <c r="I266" s="577">
        <f t="shared" si="142"/>
        <v>1</v>
      </c>
      <c r="J266" s="577">
        <f t="shared" si="142"/>
        <v>0</v>
      </c>
      <c r="K266" s="578">
        <f t="shared" si="142"/>
        <v>0</v>
      </c>
      <c r="L266" s="578">
        <f t="shared" si="142"/>
        <v>0</v>
      </c>
      <c r="M266" s="578">
        <f t="shared" si="142"/>
        <v>0</v>
      </c>
      <c r="N266" s="577">
        <f t="shared" si="145"/>
        <v>1</v>
      </c>
      <c r="O266" s="577">
        <f t="shared" si="143"/>
        <v>0</v>
      </c>
      <c r="P266" s="579">
        <f t="shared" si="143"/>
        <v>0</v>
      </c>
      <c r="Q266" s="577">
        <f t="shared" si="143"/>
        <v>0</v>
      </c>
      <c r="R266" s="357"/>
      <c r="S266" s="858">
        <v>1163</v>
      </c>
      <c r="T266" s="858"/>
      <c r="U266" s="858">
        <v>478</v>
      </c>
      <c r="V266" s="858">
        <v>408</v>
      </c>
      <c r="W266" s="858">
        <v>175</v>
      </c>
      <c r="X266" s="858"/>
      <c r="Y266" s="859">
        <v>2224</v>
      </c>
      <c r="Z266" s="859"/>
      <c r="AA266" s="858"/>
      <c r="AB266" s="858"/>
      <c r="AC266" s="858"/>
      <c r="AD266" s="858"/>
      <c r="AE266" s="859">
        <v>1023</v>
      </c>
      <c r="AF266" s="859"/>
      <c r="AG266" s="858"/>
      <c r="AH266" s="859"/>
    </row>
    <row r="267" spans="1:34">
      <c r="A267" s="240" t="s">
        <v>153</v>
      </c>
      <c r="B267" s="240" t="s">
        <v>53</v>
      </c>
      <c r="C267" s="806">
        <f>IF(S$272&gt;0,(S267/S$272),0)</f>
        <v>0</v>
      </c>
      <c r="D267" s="806">
        <f t="shared" ref="D267:M272" si="146">IF(T$272&gt;0,(T267/T$272),0)</f>
        <v>0.21542553191489361</v>
      </c>
      <c r="E267" s="806">
        <f t="shared" si="146"/>
        <v>0</v>
      </c>
      <c r="F267" s="806">
        <f t="shared" si="146"/>
        <v>0</v>
      </c>
      <c r="G267" s="806">
        <f t="shared" si="146"/>
        <v>0.18297872340425531</v>
      </c>
      <c r="H267" s="806">
        <f t="shared" si="146"/>
        <v>0.15328467153284672</v>
      </c>
      <c r="I267" s="613">
        <f t="shared" si="146"/>
        <v>0.20466666666666666</v>
      </c>
      <c r="J267" s="613">
        <f t="shared" si="146"/>
        <v>0</v>
      </c>
      <c r="K267" s="614">
        <f t="shared" si="146"/>
        <v>0</v>
      </c>
      <c r="L267" s="614">
        <f t="shared" si="146"/>
        <v>0</v>
      </c>
      <c r="M267" s="614">
        <f t="shared" si="146"/>
        <v>0</v>
      </c>
      <c r="N267" s="613">
        <f>IF(AE$272&gt;0,(AE267/AE$272),0)</f>
        <v>3.2520325203252036E-2</v>
      </c>
      <c r="O267" s="613">
        <f t="shared" ref="O267:Q272" si="147">IF(AF$272&gt;0,(AF267/AF$272),0)</f>
        <v>0</v>
      </c>
      <c r="P267" s="615">
        <f t="shared" si="147"/>
        <v>0</v>
      </c>
      <c r="Q267" s="613">
        <f t="shared" si="147"/>
        <v>0</v>
      </c>
      <c r="R267" s="799"/>
      <c r="S267" s="856"/>
      <c r="T267" s="856">
        <v>243</v>
      </c>
      <c r="U267" s="856"/>
      <c r="V267" s="856"/>
      <c r="W267" s="856">
        <v>43</v>
      </c>
      <c r="X267" s="856">
        <v>21</v>
      </c>
      <c r="Y267" s="857">
        <v>307</v>
      </c>
      <c r="Z267" s="857"/>
      <c r="AA267" s="856"/>
      <c r="AB267" s="856"/>
      <c r="AC267" s="856"/>
      <c r="AD267" s="856"/>
      <c r="AE267" s="857">
        <v>12</v>
      </c>
      <c r="AF267" s="857"/>
      <c r="AG267" s="856"/>
      <c r="AH267" s="857"/>
    </row>
    <row r="268" spans="1:34">
      <c r="A268" s="239"/>
      <c r="B268" s="239" t="s">
        <v>93</v>
      </c>
      <c r="C268" s="806">
        <f t="shared" ref="C268:C272" si="148">IF(S$272&gt;0,(S268/S$272),0)</f>
        <v>0</v>
      </c>
      <c r="D268" s="806">
        <f t="shared" si="146"/>
        <v>0.28812056737588654</v>
      </c>
      <c r="E268" s="806">
        <f t="shared" si="146"/>
        <v>0</v>
      </c>
      <c r="F268" s="806">
        <f t="shared" si="146"/>
        <v>0</v>
      </c>
      <c r="G268" s="806">
        <f t="shared" si="146"/>
        <v>0.20425531914893616</v>
      </c>
      <c r="H268" s="806">
        <f t="shared" si="146"/>
        <v>0.20437956204379562</v>
      </c>
      <c r="I268" s="624">
        <f t="shared" si="146"/>
        <v>0.26733333333333331</v>
      </c>
      <c r="J268" s="624">
        <f t="shared" si="146"/>
        <v>0</v>
      </c>
      <c r="K268" s="625">
        <f t="shared" si="146"/>
        <v>0</v>
      </c>
      <c r="L268" s="625">
        <f t="shared" si="146"/>
        <v>0</v>
      </c>
      <c r="M268" s="625">
        <f t="shared" si="146"/>
        <v>0</v>
      </c>
      <c r="N268" s="624">
        <f t="shared" ref="N268:N272" si="149">IF(AE$272&gt;0,(AE268/AE$272),0)</f>
        <v>0.36314363143631434</v>
      </c>
      <c r="O268" s="624">
        <f t="shared" si="147"/>
        <v>0</v>
      </c>
      <c r="P268" s="626">
        <f t="shared" si="147"/>
        <v>0</v>
      </c>
      <c r="Q268" s="624">
        <f t="shared" si="147"/>
        <v>0</v>
      </c>
      <c r="R268" s="357"/>
      <c r="S268" s="858"/>
      <c r="T268" s="858">
        <v>325</v>
      </c>
      <c r="U268" s="858"/>
      <c r="V268" s="858"/>
      <c r="W268" s="858">
        <v>48</v>
      </c>
      <c r="X268" s="858">
        <v>28</v>
      </c>
      <c r="Y268" s="859">
        <v>401</v>
      </c>
      <c r="Z268" s="859"/>
      <c r="AA268" s="858"/>
      <c r="AB268" s="858"/>
      <c r="AC268" s="858"/>
      <c r="AD268" s="858"/>
      <c r="AE268" s="859">
        <v>134</v>
      </c>
      <c r="AF268" s="859"/>
      <c r="AG268" s="858"/>
      <c r="AH268" s="859"/>
    </row>
    <row r="269" spans="1:34">
      <c r="A269" s="239"/>
      <c r="B269" s="239" t="s">
        <v>55</v>
      </c>
      <c r="C269" s="806">
        <f t="shared" si="148"/>
        <v>0</v>
      </c>
      <c r="D269" s="806">
        <f t="shared" si="146"/>
        <v>0.33333333333333331</v>
      </c>
      <c r="E269" s="806">
        <f t="shared" si="146"/>
        <v>0</v>
      </c>
      <c r="F269" s="806">
        <f t="shared" si="146"/>
        <v>0</v>
      </c>
      <c r="G269" s="806">
        <f t="shared" si="146"/>
        <v>0.38297872340425532</v>
      </c>
      <c r="H269" s="806">
        <f t="shared" si="146"/>
        <v>0.42335766423357662</v>
      </c>
      <c r="I269" s="624">
        <f t="shared" si="146"/>
        <v>0.34933333333333333</v>
      </c>
      <c r="J269" s="624">
        <f t="shared" si="146"/>
        <v>0</v>
      </c>
      <c r="K269" s="625">
        <f t="shared" si="146"/>
        <v>0</v>
      </c>
      <c r="L269" s="625">
        <f t="shared" si="146"/>
        <v>0</v>
      </c>
      <c r="M269" s="625">
        <f t="shared" si="146"/>
        <v>0</v>
      </c>
      <c r="N269" s="624">
        <f t="shared" si="149"/>
        <v>0.27100271002710025</v>
      </c>
      <c r="O269" s="624">
        <f t="shared" si="147"/>
        <v>0</v>
      </c>
      <c r="P269" s="626">
        <f t="shared" si="147"/>
        <v>0</v>
      </c>
      <c r="Q269" s="624">
        <f t="shared" si="147"/>
        <v>0</v>
      </c>
      <c r="R269" s="357"/>
      <c r="S269" s="858"/>
      <c r="T269" s="858">
        <v>376</v>
      </c>
      <c r="U269" s="858"/>
      <c r="V269" s="858"/>
      <c r="W269" s="858">
        <v>90</v>
      </c>
      <c r="X269" s="858">
        <v>58</v>
      </c>
      <c r="Y269" s="859">
        <v>524</v>
      </c>
      <c r="Z269" s="859"/>
      <c r="AA269" s="858"/>
      <c r="AB269" s="858"/>
      <c r="AC269" s="858"/>
      <c r="AD269" s="858"/>
      <c r="AE269" s="859">
        <v>100</v>
      </c>
      <c r="AF269" s="859"/>
      <c r="AG269" s="858"/>
      <c r="AH269" s="859"/>
    </row>
    <row r="270" spans="1:34">
      <c r="A270" s="239"/>
      <c r="B270" s="239" t="s">
        <v>78</v>
      </c>
      <c r="C270" s="806">
        <f t="shared" si="148"/>
        <v>0</v>
      </c>
      <c r="D270" s="806">
        <f t="shared" si="146"/>
        <v>2.1276595744680851E-2</v>
      </c>
      <c r="E270" s="806">
        <f t="shared" si="146"/>
        <v>0</v>
      </c>
      <c r="F270" s="806">
        <f t="shared" si="146"/>
        <v>0</v>
      </c>
      <c r="G270" s="806">
        <f t="shared" si="146"/>
        <v>0.21276595744680851</v>
      </c>
      <c r="H270" s="806">
        <f t="shared" si="146"/>
        <v>0.13868613138686131</v>
      </c>
      <c r="I270" s="624">
        <f t="shared" si="146"/>
        <v>6.2E-2</v>
      </c>
      <c r="J270" s="624">
        <f t="shared" si="146"/>
        <v>0</v>
      </c>
      <c r="K270" s="625">
        <f t="shared" si="146"/>
        <v>0</v>
      </c>
      <c r="L270" s="625">
        <f t="shared" si="146"/>
        <v>0</v>
      </c>
      <c r="M270" s="625">
        <f t="shared" si="146"/>
        <v>0</v>
      </c>
      <c r="N270" s="624">
        <f t="shared" si="149"/>
        <v>0.23035230352303523</v>
      </c>
      <c r="O270" s="624">
        <f t="shared" si="147"/>
        <v>0</v>
      </c>
      <c r="P270" s="626">
        <f t="shared" si="147"/>
        <v>0</v>
      </c>
      <c r="Q270" s="624">
        <f t="shared" si="147"/>
        <v>0</v>
      </c>
      <c r="R270" s="357"/>
      <c r="S270" s="858"/>
      <c r="T270" s="858">
        <v>24</v>
      </c>
      <c r="U270" s="858"/>
      <c r="V270" s="858"/>
      <c r="W270" s="858">
        <v>50</v>
      </c>
      <c r="X270" s="858">
        <v>19</v>
      </c>
      <c r="Y270" s="859">
        <v>93</v>
      </c>
      <c r="Z270" s="859"/>
      <c r="AA270" s="858"/>
      <c r="AB270" s="858"/>
      <c r="AC270" s="858"/>
      <c r="AD270" s="858"/>
      <c r="AE270" s="859">
        <v>85</v>
      </c>
      <c r="AF270" s="859"/>
      <c r="AG270" s="858"/>
      <c r="AH270" s="859"/>
    </row>
    <row r="271" spans="1:34">
      <c r="A271" s="580"/>
      <c r="B271" s="580" t="s">
        <v>131</v>
      </c>
      <c r="C271" s="806">
        <f t="shared" si="148"/>
        <v>0</v>
      </c>
      <c r="D271" s="806">
        <f t="shared" si="146"/>
        <v>0.14184397163120568</v>
      </c>
      <c r="E271" s="806">
        <f t="shared" si="146"/>
        <v>0</v>
      </c>
      <c r="F271" s="806">
        <f t="shared" si="146"/>
        <v>0</v>
      </c>
      <c r="G271" s="806">
        <f t="shared" si="146"/>
        <v>1.7021276595744681E-2</v>
      </c>
      <c r="H271" s="806">
        <f t="shared" si="146"/>
        <v>8.0291970802919707E-2</v>
      </c>
      <c r="I271" s="624">
        <f t="shared" si="146"/>
        <v>0.11666666666666667</v>
      </c>
      <c r="J271" s="624">
        <f t="shared" si="146"/>
        <v>0</v>
      </c>
      <c r="K271" s="625">
        <f t="shared" si="146"/>
        <v>0</v>
      </c>
      <c r="L271" s="625">
        <f t="shared" si="146"/>
        <v>0</v>
      </c>
      <c r="M271" s="625">
        <f t="shared" si="146"/>
        <v>0</v>
      </c>
      <c r="N271" s="624">
        <f t="shared" si="149"/>
        <v>0.10298102981029811</v>
      </c>
      <c r="O271" s="624">
        <f t="shared" si="147"/>
        <v>0</v>
      </c>
      <c r="P271" s="626">
        <f t="shared" si="147"/>
        <v>0</v>
      </c>
      <c r="Q271" s="624">
        <f t="shared" si="147"/>
        <v>0</v>
      </c>
      <c r="R271" s="357"/>
      <c r="S271" s="858"/>
      <c r="T271" s="858">
        <v>160</v>
      </c>
      <c r="U271" s="858"/>
      <c r="V271" s="858"/>
      <c r="W271" s="858">
        <v>4</v>
      </c>
      <c r="X271" s="858">
        <v>11</v>
      </c>
      <c r="Y271" s="859">
        <v>175</v>
      </c>
      <c r="Z271" s="859"/>
      <c r="AA271" s="858"/>
      <c r="AB271" s="858"/>
      <c r="AC271" s="858"/>
      <c r="AD271" s="858"/>
      <c r="AE271" s="859">
        <v>38</v>
      </c>
      <c r="AF271" s="859"/>
      <c r="AG271" s="858"/>
      <c r="AH271" s="859"/>
    </row>
    <row r="272" spans="1:34">
      <c r="A272" s="436"/>
      <c r="B272" s="436" t="s">
        <v>59</v>
      </c>
      <c r="C272" s="807">
        <f t="shared" si="148"/>
        <v>0</v>
      </c>
      <c r="D272" s="808">
        <f t="shared" si="146"/>
        <v>1</v>
      </c>
      <c r="E272" s="808">
        <f t="shared" si="146"/>
        <v>0</v>
      </c>
      <c r="F272" s="808">
        <f t="shared" si="146"/>
        <v>0</v>
      </c>
      <c r="G272" s="808">
        <f t="shared" si="146"/>
        <v>1</v>
      </c>
      <c r="H272" s="809">
        <f t="shared" si="146"/>
        <v>1</v>
      </c>
      <c r="I272" s="577">
        <f t="shared" si="146"/>
        <v>1</v>
      </c>
      <c r="J272" s="577">
        <f t="shared" si="146"/>
        <v>0</v>
      </c>
      <c r="K272" s="578">
        <f t="shared" si="146"/>
        <v>0</v>
      </c>
      <c r="L272" s="578">
        <f t="shared" si="146"/>
        <v>0</v>
      </c>
      <c r="M272" s="578">
        <f t="shared" si="146"/>
        <v>0</v>
      </c>
      <c r="N272" s="577">
        <f t="shared" si="149"/>
        <v>1</v>
      </c>
      <c r="O272" s="577">
        <f t="shared" si="147"/>
        <v>0</v>
      </c>
      <c r="P272" s="579">
        <f t="shared" si="147"/>
        <v>0</v>
      </c>
      <c r="Q272" s="577">
        <f t="shared" si="147"/>
        <v>0</v>
      </c>
      <c r="R272" s="357"/>
      <c r="S272" s="858"/>
      <c r="T272" s="858">
        <v>1128</v>
      </c>
      <c r="U272" s="858"/>
      <c r="V272" s="858"/>
      <c r="W272" s="858">
        <v>235</v>
      </c>
      <c r="X272" s="858">
        <v>137</v>
      </c>
      <c r="Y272" s="859">
        <v>1500</v>
      </c>
      <c r="Z272" s="859"/>
      <c r="AA272" s="858"/>
      <c r="AB272" s="858"/>
      <c r="AC272" s="858"/>
      <c r="AD272" s="858"/>
      <c r="AE272" s="859">
        <v>369</v>
      </c>
      <c r="AF272" s="859"/>
      <c r="AG272" s="858"/>
      <c r="AH272" s="859"/>
    </row>
    <row r="273" spans="1:34">
      <c r="A273" s="240" t="s">
        <v>160</v>
      </c>
      <c r="B273" s="240" t="s">
        <v>53</v>
      </c>
      <c r="C273" s="806">
        <f>IF(S$278&gt;0,(S273/S$278),0)</f>
        <v>0.31467936723932644</v>
      </c>
      <c r="D273" s="806">
        <f t="shared" ref="D273:M278" si="150">IF(T$278&gt;0,(T273/T$278),0)</f>
        <v>0.26949152542372884</v>
      </c>
      <c r="E273" s="806">
        <f t="shared" si="150"/>
        <v>0.29904097646033129</v>
      </c>
      <c r="F273" s="806">
        <f t="shared" si="150"/>
        <v>0</v>
      </c>
      <c r="G273" s="806">
        <f t="shared" si="150"/>
        <v>0</v>
      </c>
      <c r="H273" s="806">
        <f t="shared" si="150"/>
        <v>0.17865429234338748</v>
      </c>
      <c r="I273" s="613">
        <f t="shared" si="150"/>
        <v>0.29451330835014894</v>
      </c>
      <c r="J273" s="613">
        <f t="shared" si="150"/>
        <v>0</v>
      </c>
      <c r="K273" s="614">
        <f t="shared" si="150"/>
        <v>0</v>
      </c>
      <c r="L273" s="614">
        <f t="shared" si="150"/>
        <v>0</v>
      </c>
      <c r="M273" s="614">
        <f t="shared" si="150"/>
        <v>0</v>
      </c>
      <c r="N273" s="613">
        <f>IF(AE$278&gt;0,(AE273/AE$278),0)</f>
        <v>0.1905748316934231</v>
      </c>
      <c r="O273" s="613">
        <f t="shared" ref="O273:Q278" si="151">IF(AF$278&gt;0,(AF273/AF$278),0)</f>
        <v>0</v>
      </c>
      <c r="P273" s="615">
        <f t="shared" si="151"/>
        <v>0</v>
      </c>
      <c r="Q273" s="613">
        <f t="shared" si="151"/>
        <v>0</v>
      </c>
      <c r="R273" s="799"/>
      <c r="S273" s="856">
        <v>1850</v>
      </c>
      <c r="T273" s="856">
        <v>795</v>
      </c>
      <c r="U273" s="856">
        <v>343</v>
      </c>
      <c r="V273" s="856"/>
      <c r="W273" s="856"/>
      <c r="X273" s="856">
        <v>77</v>
      </c>
      <c r="Y273" s="857">
        <v>3065</v>
      </c>
      <c r="Z273" s="857"/>
      <c r="AA273" s="856"/>
      <c r="AB273" s="856"/>
      <c r="AC273" s="856"/>
      <c r="AD273" s="856"/>
      <c r="AE273" s="857">
        <v>736</v>
      </c>
      <c r="AF273" s="857"/>
      <c r="AG273" s="856"/>
      <c r="AH273" s="857"/>
    </row>
    <row r="274" spans="1:34">
      <c r="A274" s="239"/>
      <c r="B274" s="239" t="s">
        <v>93</v>
      </c>
      <c r="C274" s="806">
        <f t="shared" ref="C274:C278" si="152">IF(S$278&gt;0,(S274/S$278),0)</f>
        <v>0.34104439530532404</v>
      </c>
      <c r="D274" s="806">
        <f t="shared" si="150"/>
        <v>0.30508474576271188</v>
      </c>
      <c r="E274" s="806">
        <f t="shared" si="150"/>
        <v>0.29904097646033129</v>
      </c>
      <c r="F274" s="806">
        <f t="shared" si="150"/>
        <v>0</v>
      </c>
      <c r="G274" s="806">
        <f t="shared" si="150"/>
        <v>0</v>
      </c>
      <c r="H274" s="806">
        <f t="shared" si="150"/>
        <v>0.34106728538283065</v>
      </c>
      <c r="I274" s="624">
        <f t="shared" si="150"/>
        <v>0.32622273469779955</v>
      </c>
      <c r="J274" s="624">
        <f t="shared" si="150"/>
        <v>0</v>
      </c>
      <c r="K274" s="625">
        <f t="shared" si="150"/>
        <v>0</v>
      </c>
      <c r="L274" s="625">
        <f t="shared" si="150"/>
        <v>0</v>
      </c>
      <c r="M274" s="625">
        <f t="shared" si="150"/>
        <v>0</v>
      </c>
      <c r="N274" s="624">
        <f t="shared" ref="N274:N278" si="153">IF(AE$278&gt;0,(AE274/AE$278),0)</f>
        <v>0.22812014500258934</v>
      </c>
      <c r="O274" s="624">
        <f t="shared" si="151"/>
        <v>0</v>
      </c>
      <c r="P274" s="626">
        <f t="shared" si="151"/>
        <v>0</v>
      </c>
      <c r="Q274" s="624">
        <f t="shared" si="151"/>
        <v>0</v>
      </c>
      <c r="R274" s="357"/>
      <c r="S274" s="858">
        <v>2005</v>
      </c>
      <c r="T274" s="858">
        <v>900</v>
      </c>
      <c r="U274" s="858">
        <v>343</v>
      </c>
      <c r="V274" s="858"/>
      <c r="W274" s="858"/>
      <c r="X274" s="858">
        <v>147</v>
      </c>
      <c r="Y274" s="859">
        <v>3395</v>
      </c>
      <c r="Z274" s="859"/>
      <c r="AA274" s="858"/>
      <c r="AB274" s="858"/>
      <c r="AC274" s="858"/>
      <c r="AD274" s="858"/>
      <c r="AE274" s="859">
        <v>881</v>
      </c>
      <c r="AF274" s="859"/>
      <c r="AG274" s="858"/>
      <c r="AH274" s="859"/>
    </row>
    <row r="275" spans="1:34">
      <c r="A275" s="239"/>
      <c r="B275" s="239" t="s">
        <v>55</v>
      </c>
      <c r="C275" s="806">
        <f t="shared" si="152"/>
        <v>0.25599591767307367</v>
      </c>
      <c r="D275" s="806">
        <f t="shared" si="150"/>
        <v>0.17898305084745764</v>
      </c>
      <c r="E275" s="806">
        <f t="shared" si="150"/>
        <v>0.19703574542284219</v>
      </c>
      <c r="F275" s="806">
        <f t="shared" si="150"/>
        <v>0</v>
      </c>
      <c r="G275" s="806">
        <f t="shared" si="150"/>
        <v>0</v>
      </c>
      <c r="H275" s="806">
        <f t="shared" si="150"/>
        <v>0.36658932714617171</v>
      </c>
      <c r="I275" s="624">
        <f t="shared" si="150"/>
        <v>0.23224752570385318</v>
      </c>
      <c r="J275" s="624">
        <f t="shared" si="150"/>
        <v>0</v>
      </c>
      <c r="K275" s="625">
        <f t="shared" si="150"/>
        <v>0</v>
      </c>
      <c r="L275" s="625">
        <f t="shared" si="150"/>
        <v>0</v>
      </c>
      <c r="M275" s="625">
        <f t="shared" si="150"/>
        <v>0</v>
      </c>
      <c r="N275" s="624">
        <f t="shared" si="153"/>
        <v>0.27576385292594513</v>
      </c>
      <c r="O275" s="624">
        <f t="shared" si="151"/>
        <v>0</v>
      </c>
      <c r="P275" s="626">
        <f t="shared" si="151"/>
        <v>0</v>
      </c>
      <c r="Q275" s="624">
        <f t="shared" si="151"/>
        <v>0</v>
      </c>
      <c r="R275" s="357"/>
      <c r="S275" s="858">
        <v>1505</v>
      </c>
      <c r="T275" s="858">
        <v>528</v>
      </c>
      <c r="U275" s="858">
        <v>226</v>
      </c>
      <c r="V275" s="858"/>
      <c r="W275" s="858"/>
      <c r="X275" s="858">
        <v>158</v>
      </c>
      <c r="Y275" s="859">
        <v>2417</v>
      </c>
      <c r="Z275" s="859"/>
      <c r="AA275" s="858"/>
      <c r="AB275" s="858"/>
      <c r="AC275" s="858"/>
      <c r="AD275" s="858"/>
      <c r="AE275" s="859">
        <v>1065</v>
      </c>
      <c r="AF275" s="859"/>
      <c r="AG275" s="858"/>
      <c r="AH275" s="859"/>
    </row>
    <row r="276" spans="1:34">
      <c r="A276" s="239"/>
      <c r="B276" s="239" t="s">
        <v>78</v>
      </c>
      <c r="C276" s="806">
        <f t="shared" si="152"/>
        <v>2.9256676305494132E-2</v>
      </c>
      <c r="D276" s="806">
        <f t="shared" si="150"/>
        <v>0.12372881355932204</v>
      </c>
      <c r="E276" s="806">
        <f t="shared" si="150"/>
        <v>9.2414995640802092E-2</v>
      </c>
      <c r="F276" s="806">
        <f t="shared" si="150"/>
        <v>0</v>
      </c>
      <c r="G276" s="806">
        <f t="shared" si="150"/>
        <v>0</v>
      </c>
      <c r="H276" s="806">
        <f t="shared" si="150"/>
        <v>0.11136890951276102</v>
      </c>
      <c r="I276" s="624">
        <f t="shared" si="150"/>
        <v>6.6397616988565389E-2</v>
      </c>
      <c r="J276" s="624">
        <f t="shared" si="150"/>
        <v>0</v>
      </c>
      <c r="K276" s="625">
        <f t="shared" si="150"/>
        <v>0</v>
      </c>
      <c r="L276" s="625">
        <f t="shared" si="150"/>
        <v>0</v>
      </c>
      <c r="M276" s="625">
        <f t="shared" si="150"/>
        <v>0</v>
      </c>
      <c r="N276" s="624">
        <f t="shared" si="153"/>
        <v>0.17633350595546349</v>
      </c>
      <c r="O276" s="624">
        <f t="shared" si="151"/>
        <v>0</v>
      </c>
      <c r="P276" s="626">
        <f t="shared" si="151"/>
        <v>0</v>
      </c>
      <c r="Q276" s="624">
        <f t="shared" si="151"/>
        <v>0</v>
      </c>
      <c r="R276" s="357"/>
      <c r="S276" s="858">
        <v>172</v>
      </c>
      <c r="T276" s="858">
        <v>365</v>
      </c>
      <c r="U276" s="858">
        <v>106</v>
      </c>
      <c r="V276" s="858"/>
      <c r="W276" s="858"/>
      <c r="X276" s="858">
        <v>48</v>
      </c>
      <c r="Y276" s="859">
        <v>691</v>
      </c>
      <c r="Z276" s="859"/>
      <c r="AA276" s="858"/>
      <c r="AB276" s="858"/>
      <c r="AC276" s="858"/>
      <c r="AD276" s="858"/>
      <c r="AE276" s="859">
        <v>681</v>
      </c>
      <c r="AF276" s="859"/>
      <c r="AG276" s="858"/>
      <c r="AH276" s="859"/>
    </row>
    <row r="277" spans="1:34">
      <c r="A277" s="580"/>
      <c r="B277" s="580" t="s">
        <v>131</v>
      </c>
      <c r="C277" s="806">
        <f t="shared" si="152"/>
        <v>5.9023643476781767E-2</v>
      </c>
      <c r="D277" s="806">
        <f t="shared" si="150"/>
        <v>0.12271186440677966</v>
      </c>
      <c r="E277" s="806">
        <f t="shared" si="150"/>
        <v>0.11246730601569312</v>
      </c>
      <c r="F277" s="806">
        <f t="shared" si="150"/>
        <v>0</v>
      </c>
      <c r="G277" s="806">
        <f t="shared" si="150"/>
        <v>0</v>
      </c>
      <c r="H277" s="806">
        <f t="shared" si="150"/>
        <v>2.3201856148491878E-3</v>
      </c>
      <c r="I277" s="624">
        <f t="shared" si="150"/>
        <v>8.0618814259632937E-2</v>
      </c>
      <c r="J277" s="624">
        <f t="shared" si="150"/>
        <v>0</v>
      </c>
      <c r="K277" s="625">
        <f t="shared" si="150"/>
        <v>0</v>
      </c>
      <c r="L277" s="625">
        <f t="shared" si="150"/>
        <v>0</v>
      </c>
      <c r="M277" s="625">
        <f t="shared" si="150"/>
        <v>0</v>
      </c>
      <c r="N277" s="624">
        <f t="shared" si="153"/>
        <v>0.12920766442257897</v>
      </c>
      <c r="O277" s="624">
        <f t="shared" si="151"/>
        <v>0</v>
      </c>
      <c r="P277" s="626">
        <f t="shared" si="151"/>
        <v>0</v>
      </c>
      <c r="Q277" s="624">
        <f t="shared" si="151"/>
        <v>0</v>
      </c>
      <c r="R277" s="357"/>
      <c r="S277" s="858">
        <v>347</v>
      </c>
      <c r="T277" s="858">
        <v>362</v>
      </c>
      <c r="U277" s="858">
        <v>129</v>
      </c>
      <c r="V277" s="858"/>
      <c r="W277" s="858"/>
      <c r="X277" s="858">
        <v>1</v>
      </c>
      <c r="Y277" s="859">
        <v>839</v>
      </c>
      <c r="Z277" s="859"/>
      <c r="AA277" s="858"/>
      <c r="AB277" s="858"/>
      <c r="AC277" s="858"/>
      <c r="AD277" s="858"/>
      <c r="AE277" s="859">
        <v>499</v>
      </c>
      <c r="AF277" s="859"/>
      <c r="AG277" s="858"/>
      <c r="AH277" s="859"/>
    </row>
    <row r="278" spans="1:34">
      <c r="A278" s="436"/>
      <c r="B278" s="436" t="s">
        <v>59</v>
      </c>
      <c r="C278" s="807">
        <f t="shared" si="152"/>
        <v>1</v>
      </c>
      <c r="D278" s="808">
        <f t="shared" si="150"/>
        <v>1</v>
      </c>
      <c r="E278" s="808">
        <f t="shared" si="150"/>
        <v>1</v>
      </c>
      <c r="F278" s="808">
        <f t="shared" si="150"/>
        <v>0</v>
      </c>
      <c r="G278" s="808">
        <f t="shared" si="150"/>
        <v>0</v>
      </c>
      <c r="H278" s="809">
        <f t="shared" si="150"/>
        <v>1</v>
      </c>
      <c r="I278" s="577">
        <f t="shared" si="150"/>
        <v>1</v>
      </c>
      <c r="J278" s="577">
        <f t="shared" si="150"/>
        <v>0</v>
      </c>
      <c r="K278" s="578">
        <f t="shared" si="150"/>
        <v>0</v>
      </c>
      <c r="L278" s="578">
        <f t="shared" si="150"/>
        <v>0</v>
      </c>
      <c r="M278" s="578">
        <f t="shared" si="150"/>
        <v>0</v>
      </c>
      <c r="N278" s="577">
        <f t="shared" si="153"/>
        <v>1</v>
      </c>
      <c r="O278" s="577">
        <f t="shared" si="151"/>
        <v>0</v>
      </c>
      <c r="P278" s="579">
        <f t="shared" si="151"/>
        <v>0</v>
      </c>
      <c r="Q278" s="577">
        <f t="shared" si="151"/>
        <v>0</v>
      </c>
      <c r="R278" s="357"/>
      <c r="S278" s="858">
        <v>5879</v>
      </c>
      <c r="T278" s="858">
        <v>2950</v>
      </c>
      <c r="U278" s="858">
        <v>1147</v>
      </c>
      <c r="V278" s="858"/>
      <c r="W278" s="858"/>
      <c r="X278" s="858">
        <v>431</v>
      </c>
      <c r="Y278" s="859">
        <v>10407</v>
      </c>
      <c r="Z278" s="859"/>
      <c r="AA278" s="858"/>
      <c r="AB278" s="858"/>
      <c r="AC278" s="858"/>
      <c r="AD278" s="858"/>
      <c r="AE278" s="859">
        <v>3862</v>
      </c>
      <c r="AF278" s="859"/>
      <c r="AG278" s="858"/>
      <c r="AH278" s="859"/>
    </row>
    <row r="279" spans="1:34">
      <c r="A279" s="240" t="s">
        <v>164</v>
      </c>
      <c r="B279" s="240" t="s">
        <v>53</v>
      </c>
      <c r="C279" s="806">
        <f>IF(S$284&gt;0,(S279/S$284),0)</f>
        <v>0</v>
      </c>
      <c r="D279" s="806">
        <f t="shared" ref="D279:M284" si="154">IF(T$284&gt;0,(T279/T$284),0)</f>
        <v>0.30581613508442779</v>
      </c>
      <c r="E279" s="806">
        <f t="shared" si="154"/>
        <v>0.23127035830618892</v>
      </c>
      <c r="F279" s="806">
        <f t="shared" si="154"/>
        <v>0</v>
      </c>
      <c r="G279" s="806">
        <f t="shared" si="154"/>
        <v>0.23974763406940064</v>
      </c>
      <c r="H279" s="806">
        <f t="shared" si="154"/>
        <v>0</v>
      </c>
      <c r="I279" s="613">
        <f t="shared" si="154"/>
        <v>0.25264873675631622</v>
      </c>
      <c r="J279" s="613">
        <f t="shared" si="154"/>
        <v>0</v>
      </c>
      <c r="K279" s="614">
        <f t="shared" si="154"/>
        <v>0</v>
      </c>
      <c r="L279" s="614">
        <f t="shared" si="154"/>
        <v>0</v>
      </c>
      <c r="M279" s="614">
        <f t="shared" si="154"/>
        <v>0</v>
      </c>
      <c r="N279" s="613">
        <f>IF(AE$284&gt;0,(AE279/AE$284),0)</f>
        <v>0</v>
      </c>
      <c r="O279" s="613">
        <f t="shared" ref="O279:Q284" si="155">IF(AF$284&gt;0,(AF279/AF$284),0)</f>
        <v>0</v>
      </c>
      <c r="P279" s="615">
        <f t="shared" si="155"/>
        <v>0</v>
      </c>
      <c r="Q279" s="613">
        <f t="shared" si="155"/>
        <v>0</v>
      </c>
      <c r="R279" s="799"/>
      <c r="S279" s="856"/>
      <c r="T279" s="856">
        <v>163</v>
      </c>
      <c r="U279" s="856">
        <v>71</v>
      </c>
      <c r="V279" s="856"/>
      <c r="W279" s="856">
        <v>76</v>
      </c>
      <c r="X279" s="856"/>
      <c r="Y279" s="857">
        <v>310</v>
      </c>
      <c r="Z279" s="857"/>
      <c r="AA279" s="856"/>
      <c r="AB279" s="856"/>
      <c r="AC279" s="856"/>
      <c r="AD279" s="856"/>
      <c r="AE279" s="857"/>
      <c r="AF279" s="857"/>
      <c r="AG279" s="856"/>
      <c r="AH279" s="857"/>
    </row>
    <row r="280" spans="1:34">
      <c r="A280" s="239"/>
      <c r="B280" s="239" t="s">
        <v>93</v>
      </c>
      <c r="C280" s="806">
        <f t="shared" ref="C280:C284" si="156">IF(S$284&gt;0,(S280/S$284),0)</f>
        <v>0</v>
      </c>
      <c r="D280" s="806">
        <f t="shared" si="154"/>
        <v>0.18198874296435272</v>
      </c>
      <c r="E280" s="806">
        <f t="shared" si="154"/>
        <v>0.24104234527687296</v>
      </c>
      <c r="F280" s="806">
        <f t="shared" si="154"/>
        <v>0</v>
      </c>
      <c r="G280" s="806">
        <f t="shared" si="154"/>
        <v>0.23659305993690852</v>
      </c>
      <c r="H280" s="806">
        <f t="shared" si="154"/>
        <v>0</v>
      </c>
      <c r="I280" s="624">
        <f t="shared" si="154"/>
        <v>0.20048899755501223</v>
      </c>
      <c r="J280" s="624">
        <f t="shared" si="154"/>
        <v>0</v>
      </c>
      <c r="K280" s="625">
        <f t="shared" si="154"/>
        <v>0</v>
      </c>
      <c r="L280" s="625">
        <f t="shared" si="154"/>
        <v>0</v>
      </c>
      <c r="M280" s="625">
        <f t="shared" si="154"/>
        <v>0</v>
      </c>
      <c r="N280" s="624">
        <f t="shared" ref="N280:N284" si="157">IF(AE$284&gt;0,(AE280/AE$284),0)</f>
        <v>0</v>
      </c>
      <c r="O280" s="624">
        <f t="shared" si="155"/>
        <v>0</v>
      </c>
      <c r="P280" s="626">
        <f t="shared" si="155"/>
        <v>0</v>
      </c>
      <c r="Q280" s="624">
        <f t="shared" si="155"/>
        <v>0</v>
      </c>
      <c r="R280" s="357"/>
      <c r="S280" s="858"/>
      <c r="T280" s="858">
        <v>97</v>
      </c>
      <c r="U280" s="858">
        <v>74</v>
      </c>
      <c r="V280" s="858"/>
      <c r="W280" s="858">
        <v>75</v>
      </c>
      <c r="X280" s="858"/>
      <c r="Y280" s="859">
        <v>246</v>
      </c>
      <c r="Z280" s="859"/>
      <c r="AA280" s="858"/>
      <c r="AB280" s="858"/>
      <c r="AC280" s="858"/>
      <c r="AD280" s="858"/>
      <c r="AE280" s="859"/>
      <c r="AF280" s="859"/>
      <c r="AG280" s="858"/>
      <c r="AH280" s="859"/>
    </row>
    <row r="281" spans="1:34">
      <c r="A281" s="239"/>
      <c r="B281" s="239" t="s">
        <v>55</v>
      </c>
      <c r="C281" s="806">
        <f t="shared" si="156"/>
        <v>0</v>
      </c>
      <c r="D281" s="806">
        <f t="shared" si="154"/>
        <v>0.24015009380863039</v>
      </c>
      <c r="E281" s="806">
        <f t="shared" si="154"/>
        <v>0.33550488599348532</v>
      </c>
      <c r="F281" s="806">
        <f t="shared" si="154"/>
        <v>0</v>
      </c>
      <c r="G281" s="806">
        <f t="shared" si="154"/>
        <v>0.31230283911671924</v>
      </c>
      <c r="H281" s="806">
        <f t="shared" si="154"/>
        <v>0</v>
      </c>
      <c r="I281" s="624">
        <f t="shared" si="154"/>
        <v>0.26894865525672373</v>
      </c>
      <c r="J281" s="624">
        <f t="shared" si="154"/>
        <v>0</v>
      </c>
      <c r="K281" s="625">
        <f t="shared" si="154"/>
        <v>0</v>
      </c>
      <c r="L281" s="625">
        <f t="shared" si="154"/>
        <v>0</v>
      </c>
      <c r="M281" s="625">
        <f t="shared" si="154"/>
        <v>0</v>
      </c>
      <c r="N281" s="624">
        <f t="shared" si="157"/>
        <v>0</v>
      </c>
      <c r="O281" s="624">
        <f t="shared" si="155"/>
        <v>0</v>
      </c>
      <c r="P281" s="626">
        <f t="shared" si="155"/>
        <v>0</v>
      </c>
      <c r="Q281" s="624">
        <f t="shared" si="155"/>
        <v>0</v>
      </c>
      <c r="R281" s="357"/>
      <c r="S281" s="858"/>
      <c r="T281" s="858">
        <v>128</v>
      </c>
      <c r="U281" s="858">
        <v>103</v>
      </c>
      <c r="V281" s="858"/>
      <c r="W281" s="858">
        <v>99</v>
      </c>
      <c r="X281" s="858"/>
      <c r="Y281" s="859">
        <v>330</v>
      </c>
      <c r="Z281" s="859"/>
      <c r="AA281" s="858"/>
      <c r="AB281" s="858"/>
      <c r="AC281" s="858"/>
      <c r="AD281" s="858"/>
      <c r="AE281" s="859"/>
      <c r="AF281" s="859"/>
      <c r="AG281" s="858"/>
      <c r="AH281" s="859"/>
    </row>
    <row r="282" spans="1:34">
      <c r="A282" s="239"/>
      <c r="B282" s="239" t="s">
        <v>78</v>
      </c>
      <c r="C282" s="806">
        <f t="shared" si="156"/>
        <v>0</v>
      </c>
      <c r="D282" s="806">
        <f t="shared" si="154"/>
        <v>0.24765478424015008</v>
      </c>
      <c r="E282" s="806">
        <f t="shared" si="154"/>
        <v>0.19218241042345277</v>
      </c>
      <c r="F282" s="806">
        <f t="shared" si="154"/>
        <v>0</v>
      </c>
      <c r="G282" s="806">
        <f t="shared" si="154"/>
        <v>0.16719242902208201</v>
      </c>
      <c r="H282" s="806">
        <f t="shared" si="154"/>
        <v>1</v>
      </c>
      <c r="I282" s="624">
        <f t="shared" si="154"/>
        <v>0.25590872045639773</v>
      </c>
      <c r="J282" s="624">
        <f t="shared" si="154"/>
        <v>0</v>
      </c>
      <c r="K282" s="625">
        <f t="shared" si="154"/>
        <v>0</v>
      </c>
      <c r="L282" s="625">
        <f t="shared" si="154"/>
        <v>0</v>
      </c>
      <c r="M282" s="625">
        <f t="shared" si="154"/>
        <v>0</v>
      </c>
      <c r="N282" s="624">
        <f t="shared" si="157"/>
        <v>1</v>
      </c>
      <c r="O282" s="624">
        <f t="shared" si="155"/>
        <v>0</v>
      </c>
      <c r="P282" s="626">
        <f t="shared" si="155"/>
        <v>0</v>
      </c>
      <c r="Q282" s="624">
        <f t="shared" si="155"/>
        <v>0</v>
      </c>
      <c r="R282" s="357"/>
      <c r="S282" s="858"/>
      <c r="T282" s="858">
        <v>132</v>
      </c>
      <c r="U282" s="858">
        <v>59</v>
      </c>
      <c r="V282" s="858"/>
      <c r="W282" s="858">
        <v>53</v>
      </c>
      <c r="X282" s="858">
        <v>70</v>
      </c>
      <c r="Y282" s="859">
        <v>314</v>
      </c>
      <c r="Z282" s="859"/>
      <c r="AA282" s="858"/>
      <c r="AB282" s="858"/>
      <c r="AC282" s="858"/>
      <c r="AD282" s="858"/>
      <c r="AE282" s="859">
        <v>293</v>
      </c>
      <c r="AF282" s="859"/>
      <c r="AG282" s="858"/>
      <c r="AH282" s="859"/>
    </row>
    <row r="283" spans="1:34">
      <c r="A283" s="580"/>
      <c r="B283" s="580" t="s">
        <v>131</v>
      </c>
      <c r="C283" s="806">
        <f t="shared" si="156"/>
        <v>0</v>
      </c>
      <c r="D283" s="806">
        <f t="shared" si="154"/>
        <v>2.4390243902439025E-2</v>
      </c>
      <c r="E283" s="806">
        <f t="shared" si="154"/>
        <v>0</v>
      </c>
      <c r="F283" s="806">
        <f t="shared" si="154"/>
        <v>0</v>
      </c>
      <c r="G283" s="806">
        <f t="shared" si="154"/>
        <v>4.4164037854889593E-2</v>
      </c>
      <c r="H283" s="806">
        <f t="shared" si="154"/>
        <v>0</v>
      </c>
      <c r="I283" s="624">
        <f t="shared" si="154"/>
        <v>2.2004889975550123E-2</v>
      </c>
      <c r="J283" s="624">
        <f t="shared" si="154"/>
        <v>0</v>
      </c>
      <c r="K283" s="625">
        <f t="shared" si="154"/>
        <v>0</v>
      </c>
      <c r="L283" s="625">
        <f t="shared" si="154"/>
        <v>0</v>
      </c>
      <c r="M283" s="625">
        <f t="shared" si="154"/>
        <v>0</v>
      </c>
      <c r="N283" s="624">
        <f t="shared" si="157"/>
        <v>0</v>
      </c>
      <c r="O283" s="624">
        <f t="shared" si="155"/>
        <v>0</v>
      </c>
      <c r="P283" s="626">
        <f t="shared" si="155"/>
        <v>0</v>
      </c>
      <c r="Q283" s="624">
        <f t="shared" si="155"/>
        <v>0</v>
      </c>
      <c r="R283" s="357"/>
      <c r="S283" s="858"/>
      <c r="T283" s="858">
        <v>13</v>
      </c>
      <c r="U283" s="858"/>
      <c r="V283" s="858"/>
      <c r="W283" s="858">
        <v>14</v>
      </c>
      <c r="X283" s="858"/>
      <c r="Y283" s="859">
        <v>27</v>
      </c>
      <c r="Z283" s="859"/>
      <c r="AA283" s="858"/>
      <c r="AB283" s="858"/>
      <c r="AC283" s="858"/>
      <c r="AD283" s="858"/>
      <c r="AE283" s="859"/>
      <c r="AF283" s="859"/>
      <c r="AG283" s="858"/>
      <c r="AH283" s="859"/>
    </row>
    <row r="284" spans="1:34">
      <c r="A284" s="436"/>
      <c r="B284" s="436" t="s">
        <v>59</v>
      </c>
      <c r="C284" s="807">
        <f t="shared" si="156"/>
        <v>0</v>
      </c>
      <c r="D284" s="808">
        <f t="shared" si="154"/>
        <v>1</v>
      </c>
      <c r="E284" s="808">
        <f t="shared" si="154"/>
        <v>1</v>
      </c>
      <c r="F284" s="808">
        <f t="shared" si="154"/>
        <v>0</v>
      </c>
      <c r="G284" s="808">
        <f t="shared" si="154"/>
        <v>1</v>
      </c>
      <c r="H284" s="809">
        <f t="shared" si="154"/>
        <v>1</v>
      </c>
      <c r="I284" s="577">
        <f t="shared" si="154"/>
        <v>1</v>
      </c>
      <c r="J284" s="577">
        <f t="shared" si="154"/>
        <v>0</v>
      </c>
      <c r="K284" s="578">
        <f t="shared" si="154"/>
        <v>0</v>
      </c>
      <c r="L284" s="578">
        <f t="shared" si="154"/>
        <v>0</v>
      </c>
      <c r="M284" s="578">
        <f t="shared" si="154"/>
        <v>0</v>
      </c>
      <c r="N284" s="577">
        <f t="shared" si="157"/>
        <v>1</v>
      </c>
      <c r="O284" s="577">
        <f t="shared" si="155"/>
        <v>0</v>
      </c>
      <c r="P284" s="579">
        <f t="shared" si="155"/>
        <v>0</v>
      </c>
      <c r="Q284" s="577">
        <f t="shared" si="155"/>
        <v>0</v>
      </c>
      <c r="R284" s="357"/>
      <c r="S284" s="858"/>
      <c r="T284" s="858">
        <v>533</v>
      </c>
      <c r="U284" s="858">
        <v>307</v>
      </c>
      <c r="V284" s="858"/>
      <c r="W284" s="858">
        <v>317</v>
      </c>
      <c r="X284" s="858">
        <v>70</v>
      </c>
      <c r="Y284" s="859">
        <v>1227</v>
      </c>
      <c r="Z284" s="859"/>
      <c r="AA284" s="858"/>
      <c r="AB284" s="858"/>
      <c r="AC284" s="858"/>
      <c r="AD284" s="858"/>
      <c r="AE284" s="859">
        <v>293</v>
      </c>
      <c r="AF284" s="859"/>
      <c r="AG284" s="858"/>
      <c r="AH284" s="859"/>
    </row>
    <row r="285" spans="1:34">
      <c r="A285" s="240" t="s">
        <v>168</v>
      </c>
      <c r="B285" s="240" t="s">
        <v>53</v>
      </c>
      <c r="C285" s="806">
        <f>IF(S$290&gt;0,(S285/S$290),0)</f>
        <v>0.41930429332497648</v>
      </c>
      <c r="D285" s="806">
        <f t="shared" ref="D285:M290" si="158">IF(T$290&gt;0,(T285/T$290),0)</f>
        <v>0</v>
      </c>
      <c r="E285" s="806">
        <f t="shared" si="158"/>
        <v>0</v>
      </c>
      <c r="F285" s="806">
        <f t="shared" si="158"/>
        <v>0.26280466266336983</v>
      </c>
      <c r="G285" s="806">
        <f t="shared" si="158"/>
        <v>0.27530364372469635</v>
      </c>
      <c r="H285" s="806">
        <f t="shared" si="158"/>
        <v>0</v>
      </c>
      <c r="I285" s="613">
        <f t="shared" si="158"/>
        <v>0.33801567351766965</v>
      </c>
      <c r="J285" s="613">
        <f t="shared" si="158"/>
        <v>0</v>
      </c>
      <c r="K285" s="614">
        <f t="shared" si="158"/>
        <v>0</v>
      </c>
      <c r="L285" s="614">
        <f t="shared" si="158"/>
        <v>0</v>
      </c>
      <c r="M285" s="614">
        <f t="shared" si="158"/>
        <v>0</v>
      </c>
      <c r="N285" s="613">
        <f>IF(AE$290&gt;0,(AE285/AE$290),0)</f>
        <v>1.5917341524713767E-2</v>
      </c>
      <c r="O285" s="613">
        <f t="shared" ref="O285:Q290" si="159">IF(AF$290&gt;0,(AF285/AF$290),0)</f>
        <v>0</v>
      </c>
      <c r="P285" s="615">
        <f t="shared" si="159"/>
        <v>0</v>
      </c>
      <c r="Q285" s="613">
        <f t="shared" si="159"/>
        <v>0</v>
      </c>
      <c r="R285" s="799"/>
      <c r="S285" s="856">
        <v>1338</v>
      </c>
      <c r="T285" s="856"/>
      <c r="U285" s="856"/>
      <c r="V285" s="856">
        <v>744</v>
      </c>
      <c r="W285" s="856">
        <v>204</v>
      </c>
      <c r="X285" s="856"/>
      <c r="Y285" s="857">
        <v>2286</v>
      </c>
      <c r="Z285" s="857"/>
      <c r="AA285" s="856"/>
      <c r="AB285" s="856"/>
      <c r="AC285" s="856"/>
      <c r="AD285" s="856"/>
      <c r="AE285" s="857">
        <v>57</v>
      </c>
      <c r="AF285" s="857"/>
      <c r="AG285" s="856"/>
      <c r="AH285" s="857"/>
    </row>
    <row r="286" spans="1:34">
      <c r="A286" s="239"/>
      <c r="B286" s="239" t="s">
        <v>93</v>
      </c>
      <c r="C286" s="806">
        <f t="shared" ref="C286:C290" si="160">IF(S$290&gt;0,(S286/S$290),0)</f>
        <v>0.24318395487308053</v>
      </c>
      <c r="D286" s="806">
        <f t="shared" si="158"/>
        <v>0</v>
      </c>
      <c r="E286" s="806">
        <f t="shared" si="158"/>
        <v>0</v>
      </c>
      <c r="F286" s="806">
        <f t="shared" si="158"/>
        <v>0.22712822324267043</v>
      </c>
      <c r="G286" s="806">
        <f t="shared" si="158"/>
        <v>0.27395411605937919</v>
      </c>
      <c r="H286" s="806">
        <f t="shared" si="158"/>
        <v>0</v>
      </c>
      <c r="I286" s="624">
        <f t="shared" si="158"/>
        <v>0.23983439302084875</v>
      </c>
      <c r="J286" s="624">
        <f t="shared" si="158"/>
        <v>0</v>
      </c>
      <c r="K286" s="625">
        <f t="shared" si="158"/>
        <v>0</v>
      </c>
      <c r="L286" s="625">
        <f t="shared" si="158"/>
        <v>0</v>
      </c>
      <c r="M286" s="625">
        <f t="shared" si="158"/>
        <v>0</v>
      </c>
      <c r="N286" s="624">
        <f t="shared" ref="N286:N290" si="161">IF(AE$290&gt;0,(AE286/AE$290),0)</f>
        <v>3.4906450712091593E-2</v>
      </c>
      <c r="O286" s="624">
        <f t="shared" si="159"/>
        <v>0</v>
      </c>
      <c r="P286" s="626">
        <f t="shared" si="159"/>
        <v>0</v>
      </c>
      <c r="Q286" s="624">
        <f t="shared" si="159"/>
        <v>0</v>
      </c>
      <c r="R286" s="357"/>
      <c r="S286" s="858">
        <v>776</v>
      </c>
      <c r="T286" s="858"/>
      <c r="U286" s="858"/>
      <c r="V286" s="858">
        <v>643</v>
      </c>
      <c r="W286" s="858">
        <v>203</v>
      </c>
      <c r="X286" s="858"/>
      <c r="Y286" s="859">
        <v>1622</v>
      </c>
      <c r="Z286" s="859"/>
      <c r="AA286" s="858"/>
      <c r="AB286" s="858"/>
      <c r="AC286" s="858"/>
      <c r="AD286" s="858"/>
      <c r="AE286" s="859">
        <v>125</v>
      </c>
      <c r="AF286" s="859"/>
      <c r="AG286" s="858"/>
      <c r="AH286" s="859"/>
    </row>
    <row r="287" spans="1:34">
      <c r="A287" s="239"/>
      <c r="B287" s="239" t="s">
        <v>55</v>
      </c>
      <c r="C287" s="806">
        <f t="shared" si="160"/>
        <v>0.23378251331870886</v>
      </c>
      <c r="D287" s="806">
        <f t="shared" si="158"/>
        <v>0</v>
      </c>
      <c r="E287" s="806">
        <f t="shared" si="158"/>
        <v>0</v>
      </c>
      <c r="F287" s="806">
        <f t="shared" si="158"/>
        <v>0.29035676439420699</v>
      </c>
      <c r="G287" s="806">
        <f t="shared" si="158"/>
        <v>0.26720647773279355</v>
      </c>
      <c r="H287" s="806">
        <f t="shared" si="158"/>
        <v>0</v>
      </c>
      <c r="I287" s="624">
        <f t="shared" si="158"/>
        <v>0.26112671891172556</v>
      </c>
      <c r="J287" s="624">
        <f t="shared" si="158"/>
        <v>0</v>
      </c>
      <c r="K287" s="625">
        <f t="shared" si="158"/>
        <v>0</v>
      </c>
      <c r="L287" s="625">
        <f t="shared" si="158"/>
        <v>0</v>
      </c>
      <c r="M287" s="625">
        <f t="shared" si="158"/>
        <v>0</v>
      </c>
      <c r="N287" s="624">
        <f t="shared" si="161"/>
        <v>3.1276179838034067E-2</v>
      </c>
      <c r="O287" s="624">
        <f t="shared" si="159"/>
        <v>0</v>
      </c>
      <c r="P287" s="626">
        <f t="shared" si="159"/>
        <v>0</v>
      </c>
      <c r="Q287" s="624">
        <f t="shared" si="159"/>
        <v>0</v>
      </c>
      <c r="R287" s="357"/>
      <c r="S287" s="858">
        <v>746</v>
      </c>
      <c r="T287" s="858"/>
      <c r="U287" s="858"/>
      <c r="V287" s="858">
        <v>822</v>
      </c>
      <c r="W287" s="858">
        <v>198</v>
      </c>
      <c r="X287" s="858"/>
      <c r="Y287" s="859">
        <v>1766</v>
      </c>
      <c r="Z287" s="859"/>
      <c r="AA287" s="858"/>
      <c r="AB287" s="858"/>
      <c r="AC287" s="858"/>
      <c r="AD287" s="858"/>
      <c r="AE287" s="859">
        <v>112</v>
      </c>
      <c r="AF287" s="859"/>
      <c r="AG287" s="858"/>
      <c r="AH287" s="859"/>
    </row>
    <row r="288" spans="1:34">
      <c r="A288" s="239"/>
      <c r="B288" s="239" t="s">
        <v>78</v>
      </c>
      <c r="C288" s="806">
        <f t="shared" si="160"/>
        <v>9.7148229395173924E-3</v>
      </c>
      <c r="D288" s="806">
        <f t="shared" si="158"/>
        <v>0</v>
      </c>
      <c r="E288" s="806">
        <f t="shared" si="158"/>
        <v>0</v>
      </c>
      <c r="F288" s="806">
        <f t="shared" si="158"/>
        <v>8.477569763334511E-3</v>
      </c>
      <c r="G288" s="806">
        <f t="shared" si="158"/>
        <v>6.7476383265856954E-3</v>
      </c>
      <c r="H288" s="806">
        <f t="shared" si="158"/>
        <v>0</v>
      </c>
      <c r="I288" s="624">
        <f t="shared" si="158"/>
        <v>8.8718024545320125E-3</v>
      </c>
      <c r="J288" s="624">
        <f t="shared" si="158"/>
        <v>0</v>
      </c>
      <c r="K288" s="625">
        <f t="shared" si="158"/>
        <v>0</v>
      </c>
      <c r="L288" s="625">
        <f t="shared" si="158"/>
        <v>0</v>
      </c>
      <c r="M288" s="625">
        <f t="shared" si="158"/>
        <v>0</v>
      </c>
      <c r="N288" s="624">
        <f t="shared" si="161"/>
        <v>0.60765149399609053</v>
      </c>
      <c r="O288" s="624">
        <f t="shared" si="159"/>
        <v>0</v>
      </c>
      <c r="P288" s="626">
        <f t="shared" si="159"/>
        <v>0</v>
      </c>
      <c r="Q288" s="624">
        <f t="shared" si="159"/>
        <v>0</v>
      </c>
      <c r="R288" s="357"/>
      <c r="S288" s="858">
        <v>31</v>
      </c>
      <c r="T288" s="858"/>
      <c r="U288" s="858"/>
      <c r="V288" s="858">
        <v>24</v>
      </c>
      <c r="W288" s="858">
        <v>5</v>
      </c>
      <c r="X288" s="858"/>
      <c r="Y288" s="859">
        <v>60</v>
      </c>
      <c r="Z288" s="859"/>
      <c r="AA288" s="858"/>
      <c r="AB288" s="858"/>
      <c r="AC288" s="858"/>
      <c r="AD288" s="858"/>
      <c r="AE288" s="859">
        <v>2176</v>
      </c>
      <c r="AF288" s="859"/>
      <c r="AG288" s="858"/>
      <c r="AH288" s="859"/>
    </row>
    <row r="289" spans="1:34">
      <c r="A289" s="580"/>
      <c r="B289" s="580" t="s">
        <v>131</v>
      </c>
      <c r="C289" s="806">
        <f t="shared" si="160"/>
        <v>9.4014415543716701E-2</v>
      </c>
      <c r="D289" s="806">
        <f t="shared" si="158"/>
        <v>0</v>
      </c>
      <c r="E289" s="806">
        <f t="shared" si="158"/>
        <v>0</v>
      </c>
      <c r="F289" s="806">
        <f t="shared" si="158"/>
        <v>0.21123277993641823</v>
      </c>
      <c r="G289" s="806">
        <f t="shared" si="158"/>
        <v>0.17678812415654521</v>
      </c>
      <c r="H289" s="806">
        <f t="shared" si="158"/>
        <v>0</v>
      </c>
      <c r="I289" s="624">
        <f t="shared" si="158"/>
        <v>0.15215141209522401</v>
      </c>
      <c r="J289" s="624">
        <f t="shared" si="158"/>
        <v>0</v>
      </c>
      <c r="K289" s="625">
        <f t="shared" si="158"/>
        <v>0</v>
      </c>
      <c r="L289" s="625">
        <f t="shared" si="158"/>
        <v>0</v>
      </c>
      <c r="M289" s="625">
        <f t="shared" si="158"/>
        <v>0</v>
      </c>
      <c r="N289" s="624">
        <f t="shared" si="161"/>
        <v>0.31024853392907009</v>
      </c>
      <c r="O289" s="624">
        <f t="shared" si="159"/>
        <v>0</v>
      </c>
      <c r="P289" s="626">
        <f t="shared" si="159"/>
        <v>0</v>
      </c>
      <c r="Q289" s="624">
        <f t="shared" si="159"/>
        <v>0</v>
      </c>
      <c r="R289" s="357"/>
      <c r="S289" s="858">
        <v>300</v>
      </c>
      <c r="T289" s="858"/>
      <c r="U289" s="858"/>
      <c r="V289" s="858">
        <v>598</v>
      </c>
      <c r="W289" s="858">
        <v>131</v>
      </c>
      <c r="X289" s="858"/>
      <c r="Y289" s="859">
        <v>1029</v>
      </c>
      <c r="Z289" s="859"/>
      <c r="AA289" s="858"/>
      <c r="AB289" s="858"/>
      <c r="AC289" s="858"/>
      <c r="AD289" s="858"/>
      <c r="AE289" s="859">
        <v>1111</v>
      </c>
      <c r="AF289" s="859"/>
      <c r="AG289" s="858"/>
      <c r="AH289" s="859"/>
    </row>
    <row r="290" spans="1:34">
      <c r="A290" s="436"/>
      <c r="B290" s="436" t="s">
        <v>59</v>
      </c>
      <c r="C290" s="807">
        <f t="shared" si="160"/>
        <v>1</v>
      </c>
      <c r="D290" s="808">
        <f t="shared" si="158"/>
        <v>0</v>
      </c>
      <c r="E290" s="808">
        <f t="shared" si="158"/>
        <v>0</v>
      </c>
      <c r="F290" s="808">
        <f t="shared" si="158"/>
        <v>1</v>
      </c>
      <c r="G290" s="808">
        <f t="shared" si="158"/>
        <v>1</v>
      </c>
      <c r="H290" s="809">
        <f t="shared" si="158"/>
        <v>0</v>
      </c>
      <c r="I290" s="577">
        <f t="shared" si="158"/>
        <v>1</v>
      </c>
      <c r="J290" s="577">
        <f t="shared" si="158"/>
        <v>0</v>
      </c>
      <c r="K290" s="578">
        <f t="shared" si="158"/>
        <v>0</v>
      </c>
      <c r="L290" s="578">
        <f t="shared" si="158"/>
        <v>0</v>
      </c>
      <c r="M290" s="578">
        <f t="shared" si="158"/>
        <v>0</v>
      </c>
      <c r="N290" s="577">
        <f t="shared" si="161"/>
        <v>1</v>
      </c>
      <c r="O290" s="577">
        <f t="shared" si="159"/>
        <v>0</v>
      </c>
      <c r="P290" s="579">
        <f t="shared" si="159"/>
        <v>0</v>
      </c>
      <c r="Q290" s="577">
        <f t="shared" si="159"/>
        <v>0</v>
      </c>
      <c r="R290" s="357"/>
      <c r="S290" s="858">
        <v>3191</v>
      </c>
      <c r="T290" s="858"/>
      <c r="U290" s="858"/>
      <c r="V290" s="858">
        <v>2831</v>
      </c>
      <c r="W290" s="858">
        <v>741</v>
      </c>
      <c r="X290" s="858"/>
      <c r="Y290" s="859">
        <v>6763</v>
      </c>
      <c r="Z290" s="859"/>
      <c r="AA290" s="858"/>
      <c r="AB290" s="858"/>
      <c r="AC290" s="858"/>
      <c r="AD290" s="858"/>
      <c r="AE290" s="859">
        <v>3581</v>
      </c>
      <c r="AF290" s="859"/>
      <c r="AG290" s="858"/>
      <c r="AH290" s="859"/>
    </row>
    <row r="291" spans="1:34">
      <c r="A291" s="240" t="s">
        <v>173</v>
      </c>
      <c r="B291" s="240" t="s">
        <v>53</v>
      </c>
      <c r="C291" s="806">
        <f>IF(S$296&gt;0,(S291/S$296),0)</f>
        <v>0.32914458743376229</v>
      </c>
      <c r="D291" s="806">
        <f t="shared" ref="D291:M296" si="162">IF(T$296&gt;0,(T291/T$296),0)</f>
        <v>0.33286176232821341</v>
      </c>
      <c r="E291" s="806">
        <f t="shared" si="162"/>
        <v>0.32566977009310277</v>
      </c>
      <c r="F291" s="806">
        <f t="shared" si="162"/>
        <v>0.32279504221304112</v>
      </c>
      <c r="G291" s="806">
        <f t="shared" si="162"/>
        <v>0.27660349854227406</v>
      </c>
      <c r="H291" s="806">
        <f t="shared" si="162"/>
        <v>0.18453121114150708</v>
      </c>
      <c r="I291" s="613">
        <f t="shared" si="162"/>
        <v>0.31014725960600742</v>
      </c>
      <c r="J291" s="613">
        <f t="shared" si="162"/>
        <v>0</v>
      </c>
      <c r="K291" s="614">
        <f t="shared" si="162"/>
        <v>0</v>
      </c>
      <c r="L291" s="614">
        <f t="shared" si="162"/>
        <v>0</v>
      </c>
      <c r="M291" s="614">
        <f t="shared" si="162"/>
        <v>0</v>
      </c>
      <c r="N291" s="613">
        <f>IF(AE$296&gt;0,(AE291/AE$296),0)</f>
        <v>0.33121530820917322</v>
      </c>
      <c r="O291" s="613">
        <f t="shared" ref="O291:Q296" si="163">IF(AF$296&gt;0,(AF291/AF$296),0)</f>
        <v>0</v>
      </c>
      <c r="P291" s="615">
        <f t="shared" si="163"/>
        <v>0</v>
      </c>
      <c r="Q291" s="613">
        <f t="shared" si="163"/>
        <v>0</v>
      </c>
      <c r="R291" s="799"/>
      <c r="S291" s="860">
        <f>S297+S303+S309+S315+S321+S327+S333+S339+S345</f>
        <v>4348</v>
      </c>
      <c r="T291" s="860">
        <f t="shared" ref="T291:AE291" si="164">T297+T303+T309+T315+T321+T327+T333+T339+T345</f>
        <v>1647</v>
      </c>
      <c r="U291" s="860">
        <f t="shared" si="164"/>
        <v>3428</v>
      </c>
      <c r="V291" s="860">
        <f t="shared" si="164"/>
        <v>1797</v>
      </c>
      <c r="W291" s="860">
        <f t="shared" si="164"/>
        <v>759</v>
      </c>
      <c r="X291" s="860">
        <f t="shared" si="164"/>
        <v>742</v>
      </c>
      <c r="Y291" s="861">
        <f t="shared" si="164"/>
        <v>12721</v>
      </c>
      <c r="Z291" s="861">
        <f t="shared" si="164"/>
        <v>0</v>
      </c>
      <c r="AA291" s="860">
        <f t="shared" si="164"/>
        <v>0</v>
      </c>
      <c r="AB291" s="860">
        <f t="shared" si="164"/>
        <v>0</v>
      </c>
      <c r="AC291" s="860">
        <f t="shared" si="164"/>
        <v>0</v>
      </c>
      <c r="AD291" s="860">
        <f t="shared" si="164"/>
        <v>0</v>
      </c>
      <c r="AE291" s="861">
        <f t="shared" si="164"/>
        <v>4535</v>
      </c>
      <c r="AF291" s="861"/>
      <c r="AG291" s="860"/>
      <c r="AH291" s="861"/>
    </row>
    <row r="292" spans="1:34">
      <c r="A292" s="239"/>
      <c r="B292" s="239" t="s">
        <v>93</v>
      </c>
      <c r="C292" s="806">
        <f t="shared" ref="C292:C296" si="165">IF(S$296&gt;0,(S292/S$296),0)</f>
        <v>0.26707040121120362</v>
      </c>
      <c r="D292" s="806">
        <f t="shared" si="162"/>
        <v>0.30072756669361356</v>
      </c>
      <c r="E292" s="806">
        <f t="shared" si="162"/>
        <v>0.31369941098232945</v>
      </c>
      <c r="F292" s="806">
        <f t="shared" si="162"/>
        <v>0.30105981677743848</v>
      </c>
      <c r="G292" s="806">
        <f t="shared" si="162"/>
        <v>0.32689504373177841</v>
      </c>
      <c r="H292" s="806">
        <f t="shared" si="162"/>
        <v>0.27281770703805025</v>
      </c>
      <c r="I292" s="624">
        <f t="shared" si="162"/>
        <v>0.29227618490345231</v>
      </c>
      <c r="J292" s="624">
        <f t="shared" si="162"/>
        <v>0</v>
      </c>
      <c r="K292" s="625">
        <f t="shared" si="162"/>
        <v>0</v>
      </c>
      <c r="L292" s="625">
        <f t="shared" si="162"/>
        <v>0</v>
      </c>
      <c r="M292" s="625">
        <f t="shared" si="162"/>
        <v>0</v>
      </c>
      <c r="N292" s="624">
        <f t="shared" ref="N292:N296" si="166">IF(AE$296&gt;0,(AE292/AE$296),0)</f>
        <v>0.21567338591878468</v>
      </c>
      <c r="O292" s="624">
        <f t="shared" si="163"/>
        <v>0</v>
      </c>
      <c r="P292" s="626">
        <f t="shared" si="163"/>
        <v>0</v>
      </c>
      <c r="Q292" s="624">
        <f t="shared" si="163"/>
        <v>0</v>
      </c>
      <c r="R292" s="357"/>
      <c r="S292" s="862">
        <f t="shared" ref="S292:AE296" si="167">S298+S304+S310+S316+S322+S328+S334+S340+S346</f>
        <v>3528</v>
      </c>
      <c r="T292" s="862">
        <f t="shared" si="167"/>
        <v>1488</v>
      </c>
      <c r="U292" s="862">
        <f t="shared" si="167"/>
        <v>3302</v>
      </c>
      <c r="V292" s="862">
        <f t="shared" si="167"/>
        <v>1676</v>
      </c>
      <c r="W292" s="862">
        <f t="shared" si="167"/>
        <v>897</v>
      </c>
      <c r="X292" s="862">
        <f t="shared" si="167"/>
        <v>1097</v>
      </c>
      <c r="Y292" s="863">
        <f t="shared" si="167"/>
        <v>11988</v>
      </c>
      <c r="Z292" s="863">
        <f t="shared" si="167"/>
        <v>0</v>
      </c>
      <c r="AA292" s="862">
        <f t="shared" si="167"/>
        <v>0</v>
      </c>
      <c r="AB292" s="862">
        <f t="shared" si="167"/>
        <v>0</v>
      </c>
      <c r="AC292" s="862">
        <f t="shared" si="167"/>
        <v>0</v>
      </c>
      <c r="AD292" s="862">
        <f t="shared" si="167"/>
        <v>0</v>
      </c>
      <c r="AE292" s="863">
        <f t="shared" si="167"/>
        <v>2953</v>
      </c>
      <c r="AF292" s="859"/>
      <c r="AG292" s="858"/>
      <c r="AH292" s="859"/>
    </row>
    <row r="293" spans="1:34">
      <c r="A293" s="239"/>
      <c r="B293" s="239" t="s">
        <v>55</v>
      </c>
      <c r="C293" s="806">
        <f t="shared" si="165"/>
        <v>0.25548826646479939</v>
      </c>
      <c r="D293" s="806">
        <f t="shared" si="162"/>
        <v>0.2059417946645109</v>
      </c>
      <c r="E293" s="806">
        <f t="shared" si="162"/>
        <v>0.2697130913927418</v>
      </c>
      <c r="F293" s="806">
        <f t="shared" si="162"/>
        <v>0.27860607149272498</v>
      </c>
      <c r="G293" s="806">
        <f t="shared" si="162"/>
        <v>0.30102040816326531</v>
      </c>
      <c r="H293" s="806">
        <f t="shared" si="162"/>
        <v>0.31832877393683162</v>
      </c>
      <c r="I293" s="624">
        <f t="shared" si="162"/>
        <v>0.26550614394382682</v>
      </c>
      <c r="J293" s="624">
        <f t="shared" si="162"/>
        <v>0</v>
      </c>
      <c r="K293" s="625">
        <f t="shared" si="162"/>
        <v>0</v>
      </c>
      <c r="L293" s="625">
        <f t="shared" si="162"/>
        <v>0</v>
      </c>
      <c r="M293" s="625">
        <f t="shared" si="162"/>
        <v>0</v>
      </c>
      <c r="N293" s="624">
        <f t="shared" si="166"/>
        <v>0.27373648846041482</v>
      </c>
      <c r="O293" s="624">
        <f t="shared" si="163"/>
        <v>0</v>
      </c>
      <c r="P293" s="626">
        <f t="shared" si="163"/>
        <v>0</v>
      </c>
      <c r="Q293" s="624">
        <f t="shared" si="163"/>
        <v>0</v>
      </c>
      <c r="R293" s="357"/>
      <c r="S293" s="862">
        <f t="shared" si="167"/>
        <v>3375</v>
      </c>
      <c r="T293" s="862">
        <f t="shared" si="167"/>
        <v>1019</v>
      </c>
      <c r="U293" s="862">
        <f t="shared" si="167"/>
        <v>2839</v>
      </c>
      <c r="V293" s="862">
        <f t="shared" si="167"/>
        <v>1551</v>
      </c>
      <c r="W293" s="862">
        <f t="shared" si="167"/>
        <v>826</v>
      </c>
      <c r="X293" s="862">
        <f t="shared" si="167"/>
        <v>1280</v>
      </c>
      <c r="Y293" s="863">
        <f t="shared" si="167"/>
        <v>10890</v>
      </c>
      <c r="Z293" s="863">
        <f t="shared" si="167"/>
        <v>0</v>
      </c>
      <c r="AA293" s="862">
        <f t="shared" si="167"/>
        <v>0</v>
      </c>
      <c r="AB293" s="862">
        <f t="shared" si="167"/>
        <v>0</v>
      </c>
      <c r="AC293" s="862">
        <f t="shared" si="167"/>
        <v>0</v>
      </c>
      <c r="AD293" s="862">
        <f t="shared" si="167"/>
        <v>0</v>
      </c>
      <c r="AE293" s="863">
        <f t="shared" si="167"/>
        <v>3748</v>
      </c>
      <c r="AF293" s="859"/>
      <c r="AG293" s="858"/>
      <c r="AH293" s="859"/>
    </row>
    <row r="294" spans="1:34">
      <c r="A294" s="239"/>
      <c r="B294" s="239" t="s">
        <v>78</v>
      </c>
      <c r="C294" s="806">
        <f t="shared" si="165"/>
        <v>5.283875851627555E-2</v>
      </c>
      <c r="D294" s="806">
        <f t="shared" si="162"/>
        <v>3.0517380759902991E-2</v>
      </c>
      <c r="E294" s="806">
        <f t="shared" si="162"/>
        <v>3.3346000380011398E-2</v>
      </c>
      <c r="F294" s="806">
        <f t="shared" si="162"/>
        <v>6.3050116759475486E-2</v>
      </c>
      <c r="G294" s="806">
        <f t="shared" si="162"/>
        <v>2.4052478134110787E-2</v>
      </c>
      <c r="H294" s="806">
        <f t="shared" si="162"/>
        <v>0.16214871922407362</v>
      </c>
      <c r="I294" s="624">
        <f t="shared" si="162"/>
        <v>5.5319875170665105E-2</v>
      </c>
      <c r="J294" s="624">
        <f t="shared" si="162"/>
        <v>0</v>
      </c>
      <c r="K294" s="625">
        <f t="shared" si="162"/>
        <v>0</v>
      </c>
      <c r="L294" s="625">
        <f t="shared" si="162"/>
        <v>0</v>
      </c>
      <c r="M294" s="625">
        <f t="shared" si="162"/>
        <v>0</v>
      </c>
      <c r="N294" s="624">
        <f t="shared" si="166"/>
        <v>0.12255331580484954</v>
      </c>
      <c r="O294" s="624">
        <f t="shared" si="163"/>
        <v>0</v>
      </c>
      <c r="P294" s="626">
        <f t="shared" si="163"/>
        <v>0</v>
      </c>
      <c r="Q294" s="624">
        <f t="shared" si="163"/>
        <v>0</v>
      </c>
      <c r="R294" s="357"/>
      <c r="S294" s="862">
        <f t="shared" si="167"/>
        <v>698</v>
      </c>
      <c r="T294" s="862">
        <f t="shared" si="167"/>
        <v>151</v>
      </c>
      <c r="U294" s="862">
        <f t="shared" si="167"/>
        <v>351</v>
      </c>
      <c r="V294" s="862">
        <f t="shared" si="167"/>
        <v>351</v>
      </c>
      <c r="W294" s="862">
        <f t="shared" si="167"/>
        <v>66</v>
      </c>
      <c r="X294" s="862">
        <f t="shared" si="167"/>
        <v>652</v>
      </c>
      <c r="Y294" s="863">
        <f t="shared" si="167"/>
        <v>2269</v>
      </c>
      <c r="Z294" s="863">
        <f t="shared" si="167"/>
        <v>0</v>
      </c>
      <c r="AA294" s="862">
        <f t="shared" si="167"/>
        <v>0</v>
      </c>
      <c r="AB294" s="862">
        <f t="shared" si="167"/>
        <v>0</v>
      </c>
      <c r="AC294" s="862">
        <f t="shared" si="167"/>
        <v>0</v>
      </c>
      <c r="AD294" s="862">
        <f t="shared" si="167"/>
        <v>0</v>
      </c>
      <c r="AE294" s="863">
        <f t="shared" si="167"/>
        <v>1678</v>
      </c>
      <c r="AF294" s="859"/>
      <c r="AG294" s="858"/>
      <c r="AH294" s="859"/>
    </row>
    <row r="295" spans="1:34">
      <c r="A295" s="580"/>
      <c r="B295" s="580" t="s">
        <v>131</v>
      </c>
      <c r="C295" s="806">
        <f t="shared" si="165"/>
        <v>9.5457986373959122E-2</v>
      </c>
      <c r="D295" s="806">
        <f t="shared" si="162"/>
        <v>0.12995149555375909</v>
      </c>
      <c r="E295" s="806">
        <f t="shared" si="162"/>
        <v>5.7571727151814557E-2</v>
      </c>
      <c r="F295" s="806">
        <f t="shared" si="162"/>
        <v>3.4488952757319918E-2</v>
      </c>
      <c r="G295" s="806">
        <f t="shared" si="162"/>
        <v>7.033527696793003E-2</v>
      </c>
      <c r="H295" s="806">
        <f t="shared" si="162"/>
        <v>6.2919671723451878E-2</v>
      </c>
      <c r="I295" s="624">
        <f t="shared" si="162"/>
        <v>7.6750536376048367E-2</v>
      </c>
      <c r="J295" s="624">
        <f t="shared" si="162"/>
        <v>0</v>
      </c>
      <c r="K295" s="625">
        <f t="shared" si="162"/>
        <v>0</v>
      </c>
      <c r="L295" s="625">
        <f t="shared" si="162"/>
        <v>0</v>
      </c>
      <c r="M295" s="625">
        <f t="shared" si="162"/>
        <v>0</v>
      </c>
      <c r="N295" s="624">
        <f t="shared" si="166"/>
        <v>5.682150160677768E-2</v>
      </c>
      <c r="O295" s="624">
        <f t="shared" si="163"/>
        <v>0</v>
      </c>
      <c r="P295" s="626">
        <f t="shared" si="163"/>
        <v>0</v>
      </c>
      <c r="Q295" s="624">
        <f t="shared" si="163"/>
        <v>0</v>
      </c>
      <c r="R295" s="357"/>
      <c r="S295" s="862">
        <f t="shared" si="167"/>
        <v>1261</v>
      </c>
      <c r="T295" s="862">
        <f t="shared" si="167"/>
        <v>643</v>
      </c>
      <c r="U295" s="862">
        <f t="shared" si="167"/>
        <v>606</v>
      </c>
      <c r="V295" s="862">
        <f t="shared" si="167"/>
        <v>192</v>
      </c>
      <c r="W295" s="862">
        <f t="shared" si="167"/>
        <v>193</v>
      </c>
      <c r="X295" s="862">
        <f t="shared" si="167"/>
        <v>253</v>
      </c>
      <c r="Y295" s="863">
        <f t="shared" si="167"/>
        <v>3148</v>
      </c>
      <c r="Z295" s="863">
        <f t="shared" si="167"/>
        <v>0</v>
      </c>
      <c r="AA295" s="862">
        <f t="shared" si="167"/>
        <v>0</v>
      </c>
      <c r="AB295" s="862">
        <f t="shared" si="167"/>
        <v>0</v>
      </c>
      <c r="AC295" s="862">
        <f t="shared" si="167"/>
        <v>0</v>
      </c>
      <c r="AD295" s="862">
        <f t="shared" si="167"/>
        <v>0</v>
      </c>
      <c r="AE295" s="863">
        <f t="shared" si="167"/>
        <v>778</v>
      </c>
      <c r="AF295" s="859"/>
      <c r="AG295" s="858"/>
      <c r="AH295" s="859"/>
    </row>
    <row r="296" spans="1:34">
      <c r="A296" s="436" t="s">
        <v>86</v>
      </c>
      <c r="B296" s="436" t="s">
        <v>59</v>
      </c>
      <c r="C296" s="807">
        <f t="shared" si="165"/>
        <v>1</v>
      </c>
      <c r="D296" s="808">
        <f t="shared" si="162"/>
        <v>1</v>
      </c>
      <c r="E296" s="808">
        <f t="shared" si="162"/>
        <v>1</v>
      </c>
      <c r="F296" s="808">
        <f t="shared" si="162"/>
        <v>1</v>
      </c>
      <c r="G296" s="808">
        <f t="shared" si="162"/>
        <v>1</v>
      </c>
      <c r="H296" s="809">
        <f t="shared" si="162"/>
        <v>1</v>
      </c>
      <c r="I296" s="577">
        <f t="shared" si="162"/>
        <v>1</v>
      </c>
      <c r="J296" s="577">
        <f t="shared" si="162"/>
        <v>0</v>
      </c>
      <c r="K296" s="578">
        <f t="shared" si="162"/>
        <v>0</v>
      </c>
      <c r="L296" s="578">
        <f t="shared" si="162"/>
        <v>0</v>
      </c>
      <c r="M296" s="578">
        <f t="shared" si="162"/>
        <v>0</v>
      </c>
      <c r="N296" s="577">
        <f t="shared" si="166"/>
        <v>1</v>
      </c>
      <c r="O296" s="577">
        <f t="shared" si="163"/>
        <v>0</v>
      </c>
      <c r="P296" s="579">
        <f t="shared" si="163"/>
        <v>0</v>
      </c>
      <c r="Q296" s="577">
        <f t="shared" si="163"/>
        <v>0</v>
      </c>
      <c r="R296" s="357"/>
      <c r="S296" s="862">
        <f t="shared" si="167"/>
        <v>13210</v>
      </c>
      <c r="T296" s="862">
        <f t="shared" si="167"/>
        <v>4948</v>
      </c>
      <c r="U296" s="862">
        <f t="shared" si="167"/>
        <v>10526</v>
      </c>
      <c r="V296" s="862">
        <f t="shared" si="167"/>
        <v>5567</v>
      </c>
      <c r="W296" s="862">
        <f t="shared" si="167"/>
        <v>2744</v>
      </c>
      <c r="X296" s="862">
        <f t="shared" si="167"/>
        <v>4021</v>
      </c>
      <c r="Y296" s="863">
        <f t="shared" si="167"/>
        <v>41016</v>
      </c>
      <c r="Z296" s="863">
        <f t="shared" si="167"/>
        <v>0</v>
      </c>
      <c r="AA296" s="862">
        <f t="shared" si="167"/>
        <v>0</v>
      </c>
      <c r="AB296" s="862">
        <f t="shared" si="167"/>
        <v>0</v>
      </c>
      <c r="AC296" s="862">
        <f t="shared" si="167"/>
        <v>0</v>
      </c>
      <c r="AD296" s="862">
        <f t="shared" si="167"/>
        <v>0</v>
      </c>
      <c r="AE296" s="863">
        <f t="shared" si="167"/>
        <v>13692</v>
      </c>
      <c r="AF296" s="859"/>
      <c r="AG296" s="858"/>
      <c r="AH296" s="859"/>
    </row>
    <row r="297" spans="1:34">
      <c r="A297" s="240" t="s">
        <v>140</v>
      </c>
      <c r="B297" s="240" t="s">
        <v>53</v>
      </c>
      <c r="C297" s="806">
        <f>IF(S$302&gt;0,(S297/S$302),0)</f>
        <v>0.34720229555236731</v>
      </c>
      <c r="D297" s="806">
        <f t="shared" ref="D297:M302" si="168">IF(T$302&gt;0,(T297/T$302),0)</f>
        <v>0</v>
      </c>
      <c r="E297" s="806">
        <f t="shared" si="168"/>
        <v>0.4269406392694064</v>
      </c>
      <c r="F297" s="806">
        <f t="shared" si="168"/>
        <v>0.43421052631578949</v>
      </c>
      <c r="G297" s="806">
        <f t="shared" si="168"/>
        <v>0.4358974358974359</v>
      </c>
      <c r="H297" s="806">
        <f t="shared" si="168"/>
        <v>0</v>
      </c>
      <c r="I297" s="613">
        <f t="shared" si="168"/>
        <v>0.38692907538061644</v>
      </c>
      <c r="J297" s="613">
        <f t="shared" si="168"/>
        <v>0</v>
      </c>
      <c r="K297" s="614">
        <f t="shared" si="168"/>
        <v>0</v>
      </c>
      <c r="L297" s="614">
        <f t="shared" si="168"/>
        <v>0</v>
      </c>
      <c r="M297" s="614">
        <f t="shared" si="168"/>
        <v>0</v>
      </c>
      <c r="N297" s="613">
        <f>IF(AE$302&gt;0,(AE297/AE$302),0)</f>
        <v>0.49634146341463414</v>
      </c>
      <c r="O297" s="613">
        <f t="shared" ref="O297:Q302" si="169">IF(AF$302&gt;0,(AF297/AF$302),0)</f>
        <v>0</v>
      </c>
      <c r="P297" s="615">
        <f t="shared" si="169"/>
        <v>0</v>
      </c>
      <c r="Q297" s="613">
        <f t="shared" si="169"/>
        <v>0</v>
      </c>
      <c r="R297" s="799"/>
      <c r="S297" s="856">
        <v>484</v>
      </c>
      <c r="T297" s="856"/>
      <c r="U297" s="856">
        <v>374</v>
      </c>
      <c r="V297" s="856">
        <v>99</v>
      </c>
      <c r="W297" s="856">
        <v>85</v>
      </c>
      <c r="X297" s="856"/>
      <c r="Y297" s="857">
        <v>1042</v>
      </c>
      <c r="Z297" s="857"/>
      <c r="AA297" s="856"/>
      <c r="AB297" s="856"/>
      <c r="AC297" s="856"/>
      <c r="AD297" s="856"/>
      <c r="AE297" s="857">
        <v>407</v>
      </c>
      <c r="AF297" s="857"/>
      <c r="AG297" s="856"/>
      <c r="AH297" s="857"/>
    </row>
    <row r="298" spans="1:34">
      <c r="A298" s="239"/>
      <c r="B298" s="239" t="s">
        <v>93</v>
      </c>
      <c r="C298" s="806">
        <f t="shared" ref="C298:C302" si="170">IF(S$302&gt;0,(S298/S$302),0)</f>
        <v>0.31205164992826401</v>
      </c>
      <c r="D298" s="806">
        <f t="shared" si="168"/>
        <v>0</v>
      </c>
      <c r="E298" s="806">
        <f t="shared" si="168"/>
        <v>0.27968036529680368</v>
      </c>
      <c r="F298" s="806">
        <f t="shared" si="168"/>
        <v>0.2412280701754386</v>
      </c>
      <c r="G298" s="806">
        <f t="shared" si="168"/>
        <v>0.30769230769230771</v>
      </c>
      <c r="H298" s="806">
        <f t="shared" si="168"/>
        <v>0</v>
      </c>
      <c r="I298" s="624">
        <f t="shared" si="168"/>
        <v>0.29520980319346452</v>
      </c>
      <c r="J298" s="624">
        <f t="shared" si="168"/>
        <v>0</v>
      </c>
      <c r="K298" s="625">
        <f t="shared" si="168"/>
        <v>0</v>
      </c>
      <c r="L298" s="625">
        <f t="shared" si="168"/>
        <v>0</v>
      </c>
      <c r="M298" s="625">
        <f t="shared" si="168"/>
        <v>0</v>
      </c>
      <c r="N298" s="624">
        <f t="shared" ref="N298:N302" si="171">IF(AE$302&gt;0,(AE298/AE$302),0)</f>
        <v>0.19756097560975611</v>
      </c>
      <c r="O298" s="624">
        <f t="shared" si="169"/>
        <v>0</v>
      </c>
      <c r="P298" s="626">
        <f t="shared" si="169"/>
        <v>0</v>
      </c>
      <c r="Q298" s="624">
        <f t="shared" si="169"/>
        <v>0</v>
      </c>
      <c r="R298" s="357"/>
      <c r="S298" s="858">
        <v>435</v>
      </c>
      <c r="T298" s="858"/>
      <c r="U298" s="858">
        <v>245</v>
      </c>
      <c r="V298" s="858">
        <v>55</v>
      </c>
      <c r="W298" s="858">
        <v>60</v>
      </c>
      <c r="X298" s="858"/>
      <c r="Y298" s="859">
        <v>795</v>
      </c>
      <c r="Z298" s="859"/>
      <c r="AA298" s="858"/>
      <c r="AB298" s="858"/>
      <c r="AC298" s="858"/>
      <c r="AD298" s="858"/>
      <c r="AE298" s="859">
        <v>162</v>
      </c>
      <c r="AF298" s="859"/>
      <c r="AG298" s="858"/>
      <c r="AH298" s="859"/>
    </row>
    <row r="299" spans="1:34">
      <c r="A299" s="239"/>
      <c r="B299" s="239" t="s">
        <v>55</v>
      </c>
      <c r="C299" s="806">
        <f t="shared" si="170"/>
        <v>0.26614060258249639</v>
      </c>
      <c r="D299" s="806">
        <f t="shared" si="168"/>
        <v>0</v>
      </c>
      <c r="E299" s="806">
        <f t="shared" si="168"/>
        <v>0.26255707762557079</v>
      </c>
      <c r="F299" s="806">
        <f t="shared" si="168"/>
        <v>0.29385964912280704</v>
      </c>
      <c r="G299" s="806">
        <f t="shared" si="168"/>
        <v>0.24102564102564103</v>
      </c>
      <c r="H299" s="806">
        <f t="shared" si="168"/>
        <v>0</v>
      </c>
      <c r="I299" s="624">
        <f t="shared" si="168"/>
        <v>0.26550315633122912</v>
      </c>
      <c r="J299" s="624">
        <f t="shared" si="168"/>
        <v>0</v>
      </c>
      <c r="K299" s="625">
        <f t="shared" si="168"/>
        <v>0</v>
      </c>
      <c r="L299" s="625">
        <f t="shared" si="168"/>
        <v>0</v>
      </c>
      <c r="M299" s="625">
        <f t="shared" si="168"/>
        <v>0</v>
      </c>
      <c r="N299" s="624">
        <f t="shared" si="171"/>
        <v>0.13658536585365855</v>
      </c>
      <c r="O299" s="624">
        <f t="shared" si="169"/>
        <v>0</v>
      </c>
      <c r="P299" s="626">
        <f t="shared" si="169"/>
        <v>0</v>
      </c>
      <c r="Q299" s="624">
        <f t="shared" si="169"/>
        <v>0</v>
      </c>
      <c r="R299" s="357"/>
      <c r="S299" s="858">
        <v>371</v>
      </c>
      <c r="T299" s="858"/>
      <c r="U299" s="858">
        <v>230</v>
      </c>
      <c r="V299" s="858">
        <v>67</v>
      </c>
      <c r="W299" s="858">
        <v>47</v>
      </c>
      <c r="X299" s="858"/>
      <c r="Y299" s="859">
        <v>715</v>
      </c>
      <c r="Z299" s="859"/>
      <c r="AA299" s="858"/>
      <c r="AB299" s="858"/>
      <c r="AC299" s="858"/>
      <c r="AD299" s="858"/>
      <c r="AE299" s="859">
        <v>112</v>
      </c>
      <c r="AF299" s="859"/>
      <c r="AG299" s="858"/>
      <c r="AH299" s="859"/>
    </row>
    <row r="300" spans="1:34">
      <c r="A300" s="239"/>
      <c r="B300" s="239" t="s">
        <v>78</v>
      </c>
      <c r="C300" s="806">
        <f t="shared" si="170"/>
        <v>2.7259684361549498E-2</v>
      </c>
      <c r="D300" s="806">
        <f t="shared" si="168"/>
        <v>0</v>
      </c>
      <c r="E300" s="806">
        <f t="shared" si="168"/>
        <v>3.0821917808219176E-2</v>
      </c>
      <c r="F300" s="806">
        <f t="shared" si="168"/>
        <v>3.0701754385964911E-2</v>
      </c>
      <c r="G300" s="806">
        <f t="shared" si="168"/>
        <v>1.5384615384615385E-2</v>
      </c>
      <c r="H300" s="806">
        <f t="shared" si="168"/>
        <v>0</v>
      </c>
      <c r="I300" s="624">
        <f t="shared" si="168"/>
        <v>2.7849981433345713E-2</v>
      </c>
      <c r="J300" s="624">
        <f t="shared" si="168"/>
        <v>0</v>
      </c>
      <c r="K300" s="625">
        <f t="shared" si="168"/>
        <v>0</v>
      </c>
      <c r="L300" s="625">
        <f t="shared" si="168"/>
        <v>0</v>
      </c>
      <c r="M300" s="625">
        <f t="shared" si="168"/>
        <v>0</v>
      </c>
      <c r="N300" s="624">
        <f t="shared" si="171"/>
        <v>0.11951219512195121</v>
      </c>
      <c r="O300" s="624">
        <f t="shared" si="169"/>
        <v>0</v>
      </c>
      <c r="P300" s="626">
        <f t="shared" si="169"/>
        <v>0</v>
      </c>
      <c r="Q300" s="624">
        <f t="shared" si="169"/>
        <v>0</v>
      </c>
      <c r="R300" s="357"/>
      <c r="S300" s="858">
        <v>38</v>
      </c>
      <c r="T300" s="858"/>
      <c r="U300" s="858">
        <v>27</v>
      </c>
      <c r="V300" s="858">
        <v>7</v>
      </c>
      <c r="W300" s="858">
        <v>3</v>
      </c>
      <c r="X300" s="858"/>
      <c r="Y300" s="859">
        <v>75</v>
      </c>
      <c r="Z300" s="859"/>
      <c r="AA300" s="858"/>
      <c r="AB300" s="858"/>
      <c r="AC300" s="858"/>
      <c r="AD300" s="858"/>
      <c r="AE300" s="859">
        <v>98</v>
      </c>
      <c r="AF300" s="859"/>
      <c r="AG300" s="858"/>
      <c r="AH300" s="859"/>
    </row>
    <row r="301" spans="1:34">
      <c r="A301" s="580"/>
      <c r="B301" s="580" t="s">
        <v>131</v>
      </c>
      <c r="C301" s="806">
        <f t="shared" si="170"/>
        <v>4.7345767575322814E-2</v>
      </c>
      <c r="D301" s="806">
        <f t="shared" si="168"/>
        <v>0</v>
      </c>
      <c r="E301" s="806">
        <f t="shared" si="168"/>
        <v>0</v>
      </c>
      <c r="F301" s="806">
        <f t="shared" si="168"/>
        <v>0</v>
      </c>
      <c r="G301" s="806">
        <f t="shared" si="168"/>
        <v>0</v>
      </c>
      <c r="H301" s="806">
        <f t="shared" si="168"/>
        <v>0</v>
      </c>
      <c r="I301" s="624">
        <f t="shared" si="168"/>
        <v>2.4507983661344226E-2</v>
      </c>
      <c r="J301" s="624">
        <f t="shared" si="168"/>
        <v>0</v>
      </c>
      <c r="K301" s="625">
        <f t="shared" si="168"/>
        <v>0</v>
      </c>
      <c r="L301" s="625">
        <f t="shared" si="168"/>
        <v>0</v>
      </c>
      <c r="M301" s="625">
        <f t="shared" si="168"/>
        <v>0</v>
      </c>
      <c r="N301" s="624">
        <f t="shared" si="171"/>
        <v>0.05</v>
      </c>
      <c r="O301" s="624">
        <f t="shared" si="169"/>
        <v>0</v>
      </c>
      <c r="P301" s="626">
        <f t="shared" si="169"/>
        <v>0</v>
      </c>
      <c r="Q301" s="624">
        <f t="shared" si="169"/>
        <v>0</v>
      </c>
      <c r="R301" s="357"/>
      <c r="S301" s="858">
        <v>66</v>
      </c>
      <c r="T301" s="858"/>
      <c r="U301" s="858"/>
      <c r="V301" s="858"/>
      <c r="W301" s="858"/>
      <c r="X301" s="858"/>
      <c r="Y301" s="859">
        <v>66</v>
      </c>
      <c r="Z301" s="859"/>
      <c r="AA301" s="858"/>
      <c r="AB301" s="858"/>
      <c r="AC301" s="858"/>
      <c r="AD301" s="858"/>
      <c r="AE301" s="859">
        <v>41</v>
      </c>
      <c r="AF301" s="859"/>
      <c r="AG301" s="858"/>
      <c r="AH301" s="859"/>
    </row>
    <row r="302" spans="1:34">
      <c r="A302" s="436"/>
      <c r="B302" s="436" t="s">
        <v>59</v>
      </c>
      <c r="C302" s="807">
        <f t="shared" si="170"/>
        <v>1</v>
      </c>
      <c r="D302" s="808">
        <f t="shared" si="168"/>
        <v>0</v>
      </c>
      <c r="E302" s="808">
        <f t="shared" si="168"/>
        <v>1</v>
      </c>
      <c r="F302" s="808">
        <f t="shared" si="168"/>
        <v>1</v>
      </c>
      <c r="G302" s="808">
        <f t="shared" si="168"/>
        <v>1</v>
      </c>
      <c r="H302" s="809">
        <f t="shared" si="168"/>
        <v>0</v>
      </c>
      <c r="I302" s="577">
        <f t="shared" si="168"/>
        <v>1</v>
      </c>
      <c r="J302" s="577">
        <f t="shared" si="168"/>
        <v>0</v>
      </c>
      <c r="K302" s="578">
        <f t="shared" si="168"/>
        <v>0</v>
      </c>
      <c r="L302" s="578">
        <f t="shared" si="168"/>
        <v>0</v>
      </c>
      <c r="M302" s="578">
        <f t="shared" si="168"/>
        <v>0</v>
      </c>
      <c r="N302" s="577">
        <f t="shared" si="171"/>
        <v>1</v>
      </c>
      <c r="O302" s="577">
        <f t="shared" si="169"/>
        <v>0</v>
      </c>
      <c r="P302" s="579">
        <f t="shared" si="169"/>
        <v>0</v>
      </c>
      <c r="Q302" s="577">
        <f t="shared" si="169"/>
        <v>0</v>
      </c>
      <c r="R302" s="357"/>
      <c r="S302" s="858">
        <v>1394</v>
      </c>
      <c r="T302" s="858"/>
      <c r="U302" s="858">
        <v>876</v>
      </c>
      <c r="V302" s="858">
        <v>228</v>
      </c>
      <c r="W302" s="858">
        <v>195</v>
      </c>
      <c r="X302" s="858"/>
      <c r="Y302" s="859">
        <v>2693</v>
      </c>
      <c r="Z302" s="859"/>
      <c r="AA302" s="858"/>
      <c r="AB302" s="858"/>
      <c r="AC302" s="858"/>
      <c r="AD302" s="858"/>
      <c r="AE302" s="859">
        <v>820</v>
      </c>
      <c r="AF302" s="859"/>
      <c r="AG302" s="858"/>
      <c r="AH302" s="859"/>
    </row>
    <row r="303" spans="1:34">
      <c r="A303" s="240" t="s">
        <v>148</v>
      </c>
      <c r="B303" s="240" t="s">
        <v>53</v>
      </c>
      <c r="C303" s="806">
        <f>IF(S$308&gt;0,(S303/S$308),0)</f>
        <v>0</v>
      </c>
      <c r="D303" s="806">
        <f t="shared" ref="D303:M308" si="172">IF(T$308&gt;0,(T303/T$308),0)</f>
        <v>0.3888888888888889</v>
      </c>
      <c r="E303" s="806">
        <f t="shared" si="172"/>
        <v>0.34441087613293053</v>
      </c>
      <c r="F303" s="806">
        <f t="shared" si="172"/>
        <v>0</v>
      </c>
      <c r="G303" s="806">
        <f t="shared" si="172"/>
        <v>0</v>
      </c>
      <c r="H303" s="806">
        <f t="shared" si="172"/>
        <v>0.29393939393939394</v>
      </c>
      <c r="I303" s="613">
        <f t="shared" si="172"/>
        <v>0.34809565987599644</v>
      </c>
      <c r="J303" s="613">
        <f t="shared" si="172"/>
        <v>0</v>
      </c>
      <c r="K303" s="614">
        <f t="shared" si="172"/>
        <v>0</v>
      </c>
      <c r="L303" s="614">
        <f t="shared" si="172"/>
        <v>0</v>
      </c>
      <c r="M303" s="614">
        <f t="shared" si="172"/>
        <v>0</v>
      </c>
      <c r="N303" s="613">
        <f>IF(AE$308&gt;0,(AE303/AE$308),0)</f>
        <v>9.8591549295774641E-2</v>
      </c>
      <c r="O303" s="613">
        <f t="shared" ref="O303:Q308" si="173">IF(AF$308&gt;0,(AF303/AF$308),0)</f>
        <v>0</v>
      </c>
      <c r="P303" s="615">
        <f t="shared" si="173"/>
        <v>0</v>
      </c>
      <c r="Q303" s="613">
        <f t="shared" si="173"/>
        <v>0</v>
      </c>
      <c r="R303" s="799"/>
      <c r="S303" s="856"/>
      <c r="T303" s="856">
        <v>182</v>
      </c>
      <c r="U303" s="856">
        <v>114</v>
      </c>
      <c r="V303" s="856"/>
      <c r="W303" s="856"/>
      <c r="X303" s="856">
        <v>97</v>
      </c>
      <c r="Y303" s="857">
        <v>393</v>
      </c>
      <c r="Z303" s="857"/>
      <c r="AA303" s="856"/>
      <c r="AB303" s="856"/>
      <c r="AC303" s="856"/>
      <c r="AD303" s="856"/>
      <c r="AE303" s="857">
        <v>35</v>
      </c>
      <c r="AF303" s="857"/>
      <c r="AG303" s="856"/>
      <c r="AH303" s="857"/>
    </row>
    <row r="304" spans="1:34">
      <c r="A304" s="239"/>
      <c r="B304" s="239" t="s">
        <v>93</v>
      </c>
      <c r="C304" s="806">
        <f t="shared" ref="C304:C308" si="174">IF(S$308&gt;0,(S304/S$308),0)</f>
        <v>0</v>
      </c>
      <c r="D304" s="806">
        <f t="shared" si="172"/>
        <v>0.34401709401709402</v>
      </c>
      <c r="E304" s="806">
        <f t="shared" si="172"/>
        <v>0.44108761329305135</v>
      </c>
      <c r="F304" s="806">
        <f t="shared" si="172"/>
        <v>0</v>
      </c>
      <c r="G304" s="806">
        <f t="shared" si="172"/>
        <v>0</v>
      </c>
      <c r="H304" s="806">
        <f t="shared" si="172"/>
        <v>0.32121212121212123</v>
      </c>
      <c r="I304" s="624">
        <f t="shared" si="172"/>
        <v>0.36581045172719223</v>
      </c>
      <c r="J304" s="624">
        <f t="shared" si="172"/>
        <v>0</v>
      </c>
      <c r="K304" s="625">
        <f t="shared" si="172"/>
        <v>0</v>
      </c>
      <c r="L304" s="625">
        <f t="shared" si="172"/>
        <v>0</v>
      </c>
      <c r="M304" s="625">
        <f t="shared" si="172"/>
        <v>0</v>
      </c>
      <c r="N304" s="624">
        <f t="shared" ref="N304:N308" si="175">IF(AE$308&gt;0,(AE304/AE$308),0)</f>
        <v>5.6338028169014086E-2</v>
      </c>
      <c r="O304" s="624">
        <f t="shared" si="173"/>
        <v>0</v>
      </c>
      <c r="P304" s="626">
        <f t="shared" si="173"/>
        <v>0</v>
      </c>
      <c r="Q304" s="624">
        <f t="shared" si="173"/>
        <v>0</v>
      </c>
      <c r="R304" s="357"/>
      <c r="S304" s="858"/>
      <c r="T304" s="858">
        <v>161</v>
      </c>
      <c r="U304" s="858">
        <v>146</v>
      </c>
      <c r="V304" s="858"/>
      <c r="W304" s="858"/>
      <c r="X304" s="858">
        <v>106</v>
      </c>
      <c r="Y304" s="859">
        <v>413</v>
      </c>
      <c r="Z304" s="859"/>
      <c r="AA304" s="858"/>
      <c r="AB304" s="858"/>
      <c r="AC304" s="858"/>
      <c r="AD304" s="858"/>
      <c r="AE304" s="859">
        <v>20</v>
      </c>
      <c r="AF304" s="859"/>
      <c r="AG304" s="858"/>
      <c r="AH304" s="859"/>
    </row>
    <row r="305" spans="1:34">
      <c r="A305" s="239"/>
      <c r="B305" s="239" t="s">
        <v>55</v>
      </c>
      <c r="C305" s="806">
        <f t="shared" si="174"/>
        <v>0</v>
      </c>
      <c r="D305" s="806">
        <f t="shared" si="172"/>
        <v>0.12393162393162394</v>
      </c>
      <c r="E305" s="806">
        <f t="shared" si="172"/>
        <v>9.3655589123867067E-2</v>
      </c>
      <c r="F305" s="806">
        <f t="shared" si="172"/>
        <v>0</v>
      </c>
      <c r="G305" s="806">
        <f t="shared" si="172"/>
        <v>0</v>
      </c>
      <c r="H305" s="806">
        <f t="shared" si="172"/>
        <v>0.25757575757575757</v>
      </c>
      <c r="I305" s="624">
        <f t="shared" si="172"/>
        <v>0.15411868910540302</v>
      </c>
      <c r="J305" s="624">
        <f t="shared" si="172"/>
        <v>0</v>
      </c>
      <c r="K305" s="625">
        <f t="shared" si="172"/>
        <v>0</v>
      </c>
      <c r="L305" s="625">
        <f t="shared" si="172"/>
        <v>0</v>
      </c>
      <c r="M305" s="625">
        <f t="shared" si="172"/>
        <v>0</v>
      </c>
      <c r="N305" s="624">
        <f t="shared" si="175"/>
        <v>9.8591549295774641E-2</v>
      </c>
      <c r="O305" s="624">
        <f t="shared" si="173"/>
        <v>0</v>
      </c>
      <c r="P305" s="626">
        <f t="shared" si="173"/>
        <v>0</v>
      </c>
      <c r="Q305" s="624">
        <f t="shared" si="173"/>
        <v>0</v>
      </c>
      <c r="R305" s="357"/>
      <c r="S305" s="858"/>
      <c r="T305" s="858">
        <v>58</v>
      </c>
      <c r="U305" s="858">
        <v>31</v>
      </c>
      <c r="V305" s="858"/>
      <c r="W305" s="858"/>
      <c r="X305" s="858">
        <v>85</v>
      </c>
      <c r="Y305" s="859">
        <v>174</v>
      </c>
      <c r="Z305" s="859"/>
      <c r="AA305" s="858"/>
      <c r="AB305" s="858"/>
      <c r="AC305" s="858"/>
      <c r="AD305" s="858"/>
      <c r="AE305" s="859">
        <v>35</v>
      </c>
      <c r="AF305" s="859"/>
      <c r="AG305" s="858"/>
      <c r="AH305" s="859"/>
    </row>
    <row r="306" spans="1:34">
      <c r="A306" s="239"/>
      <c r="B306" s="239" t="s">
        <v>78</v>
      </c>
      <c r="C306" s="806">
        <f t="shared" si="174"/>
        <v>0</v>
      </c>
      <c r="D306" s="806">
        <f t="shared" si="172"/>
        <v>1.7094017094017096E-2</v>
      </c>
      <c r="E306" s="806">
        <f t="shared" si="172"/>
        <v>1.5105740181268883E-2</v>
      </c>
      <c r="F306" s="806">
        <f t="shared" si="172"/>
        <v>0</v>
      </c>
      <c r="G306" s="806">
        <f t="shared" si="172"/>
        <v>0</v>
      </c>
      <c r="H306" s="806">
        <f t="shared" si="172"/>
        <v>4.5454545454545456E-2</v>
      </c>
      <c r="I306" s="624">
        <f t="shared" si="172"/>
        <v>2.4800708591674048E-2</v>
      </c>
      <c r="J306" s="624">
        <f t="shared" si="172"/>
        <v>0</v>
      </c>
      <c r="K306" s="625">
        <f t="shared" si="172"/>
        <v>0</v>
      </c>
      <c r="L306" s="625">
        <f t="shared" si="172"/>
        <v>0</v>
      </c>
      <c r="M306" s="625">
        <f t="shared" si="172"/>
        <v>0</v>
      </c>
      <c r="N306" s="624">
        <f t="shared" si="175"/>
        <v>0.48732394366197185</v>
      </c>
      <c r="O306" s="624">
        <f t="shared" si="173"/>
        <v>0</v>
      </c>
      <c r="P306" s="626">
        <f t="shared" si="173"/>
        <v>0</v>
      </c>
      <c r="Q306" s="624">
        <f t="shared" si="173"/>
        <v>0</v>
      </c>
      <c r="R306" s="357"/>
      <c r="S306" s="858"/>
      <c r="T306" s="858">
        <v>8</v>
      </c>
      <c r="U306" s="858">
        <v>5</v>
      </c>
      <c r="V306" s="858"/>
      <c r="W306" s="858"/>
      <c r="X306" s="858">
        <v>15</v>
      </c>
      <c r="Y306" s="859">
        <v>28</v>
      </c>
      <c r="Z306" s="859"/>
      <c r="AA306" s="858"/>
      <c r="AB306" s="858"/>
      <c r="AC306" s="858"/>
      <c r="AD306" s="858"/>
      <c r="AE306" s="859">
        <v>173</v>
      </c>
      <c r="AF306" s="859"/>
      <c r="AG306" s="858"/>
      <c r="AH306" s="859"/>
    </row>
    <row r="307" spans="1:34">
      <c r="A307" s="580"/>
      <c r="B307" s="580" t="s">
        <v>131</v>
      </c>
      <c r="C307" s="806">
        <f t="shared" si="174"/>
        <v>0</v>
      </c>
      <c r="D307" s="806">
        <f t="shared" si="172"/>
        <v>0.12606837606837606</v>
      </c>
      <c r="E307" s="806">
        <f t="shared" si="172"/>
        <v>0.10574018126888217</v>
      </c>
      <c r="F307" s="806">
        <f t="shared" si="172"/>
        <v>0</v>
      </c>
      <c r="G307" s="806">
        <f t="shared" si="172"/>
        <v>0</v>
      </c>
      <c r="H307" s="806">
        <f t="shared" si="172"/>
        <v>8.1818181818181818E-2</v>
      </c>
      <c r="I307" s="624">
        <f t="shared" si="172"/>
        <v>0.10717449069973428</v>
      </c>
      <c r="J307" s="624">
        <f t="shared" si="172"/>
        <v>0</v>
      </c>
      <c r="K307" s="625">
        <f t="shared" si="172"/>
        <v>0</v>
      </c>
      <c r="L307" s="625">
        <f t="shared" si="172"/>
        <v>0</v>
      </c>
      <c r="M307" s="625">
        <f t="shared" si="172"/>
        <v>0</v>
      </c>
      <c r="N307" s="624">
        <f t="shared" si="175"/>
        <v>0.25915492957746478</v>
      </c>
      <c r="O307" s="624">
        <f t="shared" si="173"/>
        <v>0</v>
      </c>
      <c r="P307" s="626">
        <f t="shared" si="173"/>
        <v>0</v>
      </c>
      <c r="Q307" s="624">
        <f t="shared" si="173"/>
        <v>0</v>
      </c>
      <c r="R307" s="357"/>
      <c r="S307" s="858"/>
      <c r="T307" s="858">
        <v>59</v>
      </c>
      <c r="U307" s="858">
        <v>35</v>
      </c>
      <c r="V307" s="858"/>
      <c r="W307" s="858"/>
      <c r="X307" s="858">
        <v>27</v>
      </c>
      <c r="Y307" s="859">
        <v>121</v>
      </c>
      <c r="Z307" s="859"/>
      <c r="AA307" s="858"/>
      <c r="AB307" s="858"/>
      <c r="AC307" s="858"/>
      <c r="AD307" s="858"/>
      <c r="AE307" s="859">
        <v>92</v>
      </c>
      <c r="AF307" s="859"/>
      <c r="AG307" s="858"/>
      <c r="AH307" s="859"/>
    </row>
    <row r="308" spans="1:34">
      <c r="A308" s="436"/>
      <c r="B308" s="436" t="s">
        <v>59</v>
      </c>
      <c r="C308" s="807">
        <f t="shared" si="174"/>
        <v>0</v>
      </c>
      <c r="D308" s="808">
        <f t="shared" si="172"/>
        <v>1</v>
      </c>
      <c r="E308" s="808">
        <f t="shared" si="172"/>
        <v>1</v>
      </c>
      <c r="F308" s="808">
        <f t="shared" si="172"/>
        <v>0</v>
      </c>
      <c r="G308" s="808">
        <f t="shared" si="172"/>
        <v>0</v>
      </c>
      <c r="H308" s="809">
        <f t="shared" si="172"/>
        <v>1</v>
      </c>
      <c r="I308" s="577">
        <f t="shared" si="172"/>
        <v>1</v>
      </c>
      <c r="J308" s="577">
        <f t="shared" si="172"/>
        <v>0</v>
      </c>
      <c r="K308" s="578">
        <f t="shared" si="172"/>
        <v>0</v>
      </c>
      <c r="L308" s="578">
        <f t="shared" si="172"/>
        <v>0</v>
      </c>
      <c r="M308" s="578">
        <f t="shared" si="172"/>
        <v>0</v>
      </c>
      <c r="N308" s="577">
        <f t="shared" si="175"/>
        <v>1</v>
      </c>
      <c r="O308" s="577">
        <f t="shared" si="173"/>
        <v>0</v>
      </c>
      <c r="P308" s="579">
        <f t="shared" si="173"/>
        <v>0</v>
      </c>
      <c r="Q308" s="577">
        <f t="shared" si="173"/>
        <v>0</v>
      </c>
      <c r="R308" s="357"/>
      <c r="S308" s="858"/>
      <c r="T308" s="858">
        <v>468</v>
      </c>
      <c r="U308" s="858">
        <v>331</v>
      </c>
      <c r="V308" s="858"/>
      <c r="W308" s="858"/>
      <c r="X308" s="858">
        <v>330</v>
      </c>
      <c r="Y308" s="859">
        <v>1129</v>
      </c>
      <c r="Z308" s="859"/>
      <c r="AA308" s="858"/>
      <c r="AB308" s="858"/>
      <c r="AC308" s="858"/>
      <c r="AD308" s="858"/>
      <c r="AE308" s="859">
        <v>355</v>
      </c>
      <c r="AF308" s="859"/>
      <c r="AG308" s="858"/>
      <c r="AH308" s="859"/>
    </row>
    <row r="309" spans="1:34">
      <c r="A309" s="240" t="s">
        <v>147</v>
      </c>
      <c r="B309" s="240" t="s">
        <v>53</v>
      </c>
      <c r="C309" s="806">
        <f>IF(S$314&gt;0,(S309/S$314),0)</f>
        <v>0.37520259319286869</v>
      </c>
      <c r="D309" s="806">
        <f t="shared" ref="D309:M314" si="176">IF(T$314&gt;0,(T309/T$314),0)</f>
        <v>0.26947179946284688</v>
      </c>
      <c r="E309" s="806">
        <f t="shared" si="176"/>
        <v>0.35384615384615387</v>
      </c>
      <c r="F309" s="806">
        <f t="shared" si="176"/>
        <v>0.35668789808917195</v>
      </c>
      <c r="G309" s="806">
        <f t="shared" si="176"/>
        <v>0.45882352941176469</v>
      </c>
      <c r="H309" s="806">
        <f t="shared" si="176"/>
        <v>0</v>
      </c>
      <c r="I309" s="613">
        <f t="shared" si="176"/>
        <v>0.34070588235294119</v>
      </c>
      <c r="J309" s="613">
        <f t="shared" si="176"/>
        <v>0</v>
      </c>
      <c r="K309" s="614">
        <f t="shared" si="176"/>
        <v>0</v>
      </c>
      <c r="L309" s="614">
        <f t="shared" si="176"/>
        <v>0</v>
      </c>
      <c r="M309" s="614">
        <f t="shared" si="176"/>
        <v>0</v>
      </c>
      <c r="N309" s="613">
        <f>IF(AE$314&gt;0,(AE309/AE$314),0)</f>
        <v>0.57488846398980242</v>
      </c>
      <c r="O309" s="613">
        <f t="shared" ref="O309:Q314" si="177">IF(AF$314&gt;0,(AF309/AF$314),0)</f>
        <v>0</v>
      </c>
      <c r="P309" s="615">
        <f t="shared" si="177"/>
        <v>0</v>
      </c>
      <c r="Q309" s="613">
        <f t="shared" si="177"/>
        <v>0</v>
      </c>
      <c r="R309" s="799"/>
      <c r="S309" s="856">
        <v>463</v>
      </c>
      <c r="T309" s="856">
        <v>301</v>
      </c>
      <c r="U309" s="856">
        <v>253</v>
      </c>
      <c r="V309" s="856">
        <v>392</v>
      </c>
      <c r="W309" s="856">
        <v>39</v>
      </c>
      <c r="X309" s="856"/>
      <c r="Y309" s="857">
        <v>1448</v>
      </c>
      <c r="Z309" s="857"/>
      <c r="AA309" s="856"/>
      <c r="AB309" s="856"/>
      <c r="AC309" s="856"/>
      <c r="AD309" s="856"/>
      <c r="AE309" s="857">
        <v>902</v>
      </c>
      <c r="AF309" s="857"/>
      <c r="AG309" s="856"/>
      <c r="AH309" s="857"/>
    </row>
    <row r="310" spans="1:34">
      <c r="A310" s="239"/>
      <c r="B310" s="239" t="s">
        <v>93</v>
      </c>
      <c r="C310" s="806">
        <f t="shared" ref="C310:C314" si="178">IF(S$314&gt;0,(S310/S$314),0)</f>
        <v>0.22528363047001621</v>
      </c>
      <c r="D310" s="806">
        <f t="shared" si="176"/>
        <v>0.28558639212175468</v>
      </c>
      <c r="E310" s="806">
        <f t="shared" si="176"/>
        <v>0.28811188811188809</v>
      </c>
      <c r="F310" s="806">
        <f t="shared" si="176"/>
        <v>0.24567788898999091</v>
      </c>
      <c r="G310" s="806">
        <f t="shared" si="176"/>
        <v>0.21176470588235294</v>
      </c>
      <c r="H310" s="806">
        <f t="shared" si="176"/>
        <v>0</v>
      </c>
      <c r="I310" s="624">
        <f t="shared" si="176"/>
        <v>0.25670588235294117</v>
      </c>
      <c r="J310" s="624">
        <f t="shared" si="176"/>
        <v>0</v>
      </c>
      <c r="K310" s="625">
        <f t="shared" si="176"/>
        <v>0</v>
      </c>
      <c r="L310" s="625">
        <f t="shared" si="176"/>
        <v>0</v>
      </c>
      <c r="M310" s="625">
        <f t="shared" si="176"/>
        <v>0</v>
      </c>
      <c r="N310" s="624">
        <f t="shared" ref="N310:N314" si="179">IF(AE$314&gt;0,(AE310/AE$314),0)</f>
        <v>0.16188655194391333</v>
      </c>
      <c r="O310" s="624">
        <f t="shared" si="177"/>
        <v>0</v>
      </c>
      <c r="P310" s="626">
        <f t="shared" si="177"/>
        <v>0</v>
      </c>
      <c r="Q310" s="624">
        <f t="shared" si="177"/>
        <v>0</v>
      </c>
      <c r="R310" s="357"/>
      <c r="S310" s="858">
        <v>278</v>
      </c>
      <c r="T310" s="858">
        <v>319</v>
      </c>
      <c r="U310" s="858">
        <v>206</v>
      </c>
      <c r="V310" s="858">
        <v>270</v>
      </c>
      <c r="W310" s="858">
        <v>18</v>
      </c>
      <c r="X310" s="858"/>
      <c r="Y310" s="859">
        <v>1091</v>
      </c>
      <c r="Z310" s="859"/>
      <c r="AA310" s="858"/>
      <c r="AB310" s="858"/>
      <c r="AC310" s="858"/>
      <c r="AD310" s="858"/>
      <c r="AE310" s="859">
        <v>254</v>
      </c>
      <c r="AF310" s="859"/>
      <c r="AG310" s="858"/>
      <c r="AH310" s="859"/>
    </row>
    <row r="311" spans="1:34">
      <c r="A311" s="239"/>
      <c r="B311" s="239" t="s">
        <v>55</v>
      </c>
      <c r="C311" s="806">
        <f t="shared" si="178"/>
        <v>0.22528363047001621</v>
      </c>
      <c r="D311" s="806">
        <f t="shared" si="176"/>
        <v>0.21307072515666964</v>
      </c>
      <c r="E311" s="806">
        <f t="shared" si="176"/>
        <v>0.24615384615384617</v>
      </c>
      <c r="F311" s="806">
        <f t="shared" si="176"/>
        <v>0.34940855323020931</v>
      </c>
      <c r="G311" s="806">
        <f t="shared" si="176"/>
        <v>0.29411764705882354</v>
      </c>
      <c r="H311" s="806">
        <f t="shared" si="176"/>
        <v>0</v>
      </c>
      <c r="I311" s="624">
        <f t="shared" si="176"/>
        <v>0.25905882352941179</v>
      </c>
      <c r="J311" s="624">
        <f t="shared" si="176"/>
        <v>0</v>
      </c>
      <c r="K311" s="625">
        <f t="shared" si="176"/>
        <v>0</v>
      </c>
      <c r="L311" s="625">
        <f t="shared" si="176"/>
        <v>0</v>
      </c>
      <c r="M311" s="625">
        <f t="shared" si="176"/>
        <v>0</v>
      </c>
      <c r="N311" s="624">
        <f t="shared" si="179"/>
        <v>0.18674314850223073</v>
      </c>
      <c r="O311" s="624">
        <f t="shared" si="177"/>
        <v>0</v>
      </c>
      <c r="P311" s="626">
        <f t="shared" si="177"/>
        <v>0</v>
      </c>
      <c r="Q311" s="624">
        <f t="shared" si="177"/>
        <v>0</v>
      </c>
      <c r="R311" s="357"/>
      <c r="S311" s="858">
        <v>278</v>
      </c>
      <c r="T311" s="858">
        <v>238</v>
      </c>
      <c r="U311" s="858">
        <v>176</v>
      </c>
      <c r="V311" s="858">
        <v>384</v>
      </c>
      <c r="W311" s="858">
        <v>25</v>
      </c>
      <c r="X311" s="858"/>
      <c r="Y311" s="859">
        <v>1101</v>
      </c>
      <c r="Z311" s="859"/>
      <c r="AA311" s="858"/>
      <c r="AB311" s="858"/>
      <c r="AC311" s="858"/>
      <c r="AD311" s="858"/>
      <c r="AE311" s="859">
        <v>293</v>
      </c>
      <c r="AF311" s="859"/>
      <c r="AG311" s="858"/>
      <c r="AH311" s="859"/>
    </row>
    <row r="312" spans="1:34">
      <c r="A312" s="239"/>
      <c r="B312" s="239" t="s">
        <v>78</v>
      </c>
      <c r="C312" s="806">
        <f t="shared" si="178"/>
        <v>1.6207455429497568E-3</v>
      </c>
      <c r="D312" s="806">
        <f t="shared" si="176"/>
        <v>0</v>
      </c>
      <c r="E312" s="806">
        <f t="shared" si="176"/>
        <v>1.1188811188811189E-2</v>
      </c>
      <c r="F312" s="806">
        <f t="shared" si="176"/>
        <v>4.8225659690627844E-2</v>
      </c>
      <c r="G312" s="806">
        <f t="shared" si="176"/>
        <v>3.5294117647058823E-2</v>
      </c>
      <c r="H312" s="806">
        <f t="shared" si="176"/>
        <v>0</v>
      </c>
      <c r="I312" s="624">
        <f t="shared" si="176"/>
        <v>1.5529411764705882E-2</v>
      </c>
      <c r="J312" s="624">
        <f t="shared" si="176"/>
        <v>0</v>
      </c>
      <c r="K312" s="625">
        <f t="shared" si="176"/>
        <v>0</v>
      </c>
      <c r="L312" s="625">
        <f t="shared" si="176"/>
        <v>0</v>
      </c>
      <c r="M312" s="625">
        <f t="shared" si="176"/>
        <v>0</v>
      </c>
      <c r="N312" s="624">
        <f t="shared" si="179"/>
        <v>7.1383046526449973E-2</v>
      </c>
      <c r="O312" s="624">
        <f t="shared" si="177"/>
        <v>0</v>
      </c>
      <c r="P312" s="626">
        <f t="shared" si="177"/>
        <v>0</v>
      </c>
      <c r="Q312" s="624">
        <f t="shared" si="177"/>
        <v>0</v>
      </c>
      <c r="R312" s="357"/>
      <c r="S312" s="858">
        <v>2</v>
      </c>
      <c r="T312" s="858"/>
      <c r="U312" s="858">
        <v>8</v>
      </c>
      <c r="V312" s="858">
        <v>53</v>
      </c>
      <c r="W312" s="858">
        <v>3</v>
      </c>
      <c r="X312" s="858"/>
      <c r="Y312" s="859">
        <v>66</v>
      </c>
      <c r="Z312" s="859"/>
      <c r="AA312" s="858"/>
      <c r="AB312" s="858"/>
      <c r="AC312" s="858"/>
      <c r="AD312" s="858"/>
      <c r="AE312" s="859">
        <v>112</v>
      </c>
      <c r="AF312" s="859"/>
      <c r="AG312" s="858"/>
      <c r="AH312" s="859"/>
    </row>
    <row r="313" spans="1:34">
      <c r="A313" s="580"/>
      <c r="B313" s="580" t="s">
        <v>131</v>
      </c>
      <c r="C313" s="806">
        <f t="shared" si="178"/>
        <v>0.17260940032414912</v>
      </c>
      <c r="D313" s="806">
        <f t="shared" si="176"/>
        <v>0.23187108325872874</v>
      </c>
      <c r="E313" s="806">
        <f t="shared" si="176"/>
        <v>0.10069930069930071</v>
      </c>
      <c r="F313" s="806">
        <f t="shared" si="176"/>
        <v>0</v>
      </c>
      <c r="G313" s="806">
        <f t="shared" si="176"/>
        <v>0</v>
      </c>
      <c r="H313" s="806">
        <f t="shared" si="176"/>
        <v>0</v>
      </c>
      <c r="I313" s="624">
        <f t="shared" si="176"/>
        <v>0.128</v>
      </c>
      <c r="J313" s="624">
        <f t="shared" si="176"/>
        <v>0</v>
      </c>
      <c r="K313" s="625">
        <f t="shared" si="176"/>
        <v>0</v>
      </c>
      <c r="L313" s="625">
        <f t="shared" si="176"/>
        <v>0</v>
      </c>
      <c r="M313" s="625">
        <f t="shared" si="176"/>
        <v>0</v>
      </c>
      <c r="N313" s="624">
        <f t="shared" si="179"/>
        <v>5.098789037603569E-3</v>
      </c>
      <c r="O313" s="624">
        <f t="shared" si="177"/>
        <v>0</v>
      </c>
      <c r="P313" s="626">
        <f t="shared" si="177"/>
        <v>0</v>
      </c>
      <c r="Q313" s="624">
        <f t="shared" si="177"/>
        <v>0</v>
      </c>
      <c r="R313" s="357"/>
      <c r="S313" s="858">
        <v>213</v>
      </c>
      <c r="T313" s="858">
        <v>259</v>
      </c>
      <c r="U313" s="858">
        <v>72</v>
      </c>
      <c r="V313" s="858"/>
      <c r="W313" s="858"/>
      <c r="X313" s="858"/>
      <c r="Y313" s="859">
        <v>544</v>
      </c>
      <c r="Z313" s="859"/>
      <c r="AA313" s="858"/>
      <c r="AB313" s="858"/>
      <c r="AC313" s="858"/>
      <c r="AD313" s="858"/>
      <c r="AE313" s="859">
        <v>8</v>
      </c>
      <c r="AF313" s="859"/>
      <c r="AG313" s="858"/>
      <c r="AH313" s="859"/>
    </row>
    <row r="314" spans="1:34">
      <c r="A314" s="436"/>
      <c r="B314" s="436" t="s">
        <v>59</v>
      </c>
      <c r="C314" s="807">
        <f t="shared" si="178"/>
        <v>1</v>
      </c>
      <c r="D314" s="808">
        <f t="shared" si="176"/>
        <v>1</v>
      </c>
      <c r="E314" s="808">
        <f t="shared" si="176"/>
        <v>1</v>
      </c>
      <c r="F314" s="808">
        <f t="shared" si="176"/>
        <v>1</v>
      </c>
      <c r="G314" s="808">
        <f t="shared" si="176"/>
        <v>1</v>
      </c>
      <c r="H314" s="809">
        <f t="shared" si="176"/>
        <v>0</v>
      </c>
      <c r="I314" s="577">
        <f t="shared" si="176"/>
        <v>1</v>
      </c>
      <c r="J314" s="577">
        <f t="shared" si="176"/>
        <v>0</v>
      </c>
      <c r="K314" s="578">
        <f t="shared" si="176"/>
        <v>0</v>
      </c>
      <c r="L314" s="578">
        <f t="shared" si="176"/>
        <v>0</v>
      </c>
      <c r="M314" s="578">
        <f t="shared" si="176"/>
        <v>0</v>
      </c>
      <c r="N314" s="577">
        <f t="shared" si="179"/>
        <v>1</v>
      </c>
      <c r="O314" s="577">
        <f t="shared" si="177"/>
        <v>0</v>
      </c>
      <c r="P314" s="579">
        <f t="shared" si="177"/>
        <v>0</v>
      </c>
      <c r="Q314" s="577">
        <f t="shared" si="177"/>
        <v>0</v>
      </c>
      <c r="R314" s="357"/>
      <c r="S314" s="858">
        <v>1234</v>
      </c>
      <c r="T314" s="858">
        <v>1117</v>
      </c>
      <c r="U314" s="858">
        <v>715</v>
      </c>
      <c r="V314" s="858">
        <v>1099</v>
      </c>
      <c r="W314" s="858">
        <v>85</v>
      </c>
      <c r="X314" s="858"/>
      <c r="Y314" s="859">
        <v>4250</v>
      </c>
      <c r="Z314" s="859"/>
      <c r="AA314" s="858"/>
      <c r="AB314" s="858"/>
      <c r="AC314" s="858"/>
      <c r="AD314" s="858"/>
      <c r="AE314" s="859">
        <v>1569</v>
      </c>
      <c r="AF314" s="859"/>
      <c r="AG314" s="858"/>
      <c r="AH314" s="859"/>
    </row>
    <row r="315" spans="1:34">
      <c r="A315" s="240" t="s">
        <v>155</v>
      </c>
      <c r="B315" s="240" t="s">
        <v>53</v>
      </c>
      <c r="C315" s="806">
        <f>IF(S$320&gt;0,(S315/S$320),0)</f>
        <v>0</v>
      </c>
      <c r="D315" s="806">
        <f t="shared" ref="D315:M320" si="180">IF(T$320&gt;0,(T315/T$320),0)</f>
        <v>0.37416107382550334</v>
      </c>
      <c r="E315" s="806">
        <f t="shared" si="180"/>
        <v>0</v>
      </c>
      <c r="F315" s="806">
        <f t="shared" si="180"/>
        <v>0.41269841269841268</v>
      </c>
      <c r="G315" s="806">
        <f t="shared" si="180"/>
        <v>0.4</v>
      </c>
      <c r="H315" s="806">
        <f t="shared" si="180"/>
        <v>0.17647058823529413</v>
      </c>
      <c r="I315" s="613">
        <f t="shared" si="180"/>
        <v>0.3798828125</v>
      </c>
      <c r="J315" s="613">
        <f t="shared" si="180"/>
        <v>0</v>
      </c>
      <c r="K315" s="614">
        <f t="shared" si="180"/>
        <v>0</v>
      </c>
      <c r="L315" s="614">
        <f t="shared" si="180"/>
        <v>0</v>
      </c>
      <c r="M315" s="614">
        <f t="shared" si="180"/>
        <v>0</v>
      </c>
      <c r="N315" s="613">
        <f>IF(AE$320&gt;0,(AE315/AE$320),0)</f>
        <v>0.73883161512027495</v>
      </c>
      <c r="O315" s="613">
        <f t="shared" ref="O315:Q320" si="181">IF(AF$320&gt;0,(AF315/AF$320),0)</f>
        <v>0</v>
      </c>
      <c r="P315" s="615">
        <f t="shared" si="181"/>
        <v>0</v>
      </c>
      <c r="Q315" s="613">
        <f t="shared" si="181"/>
        <v>0</v>
      </c>
      <c r="R315" s="799"/>
      <c r="S315" s="856"/>
      <c r="T315" s="856">
        <v>223</v>
      </c>
      <c r="U315" s="856"/>
      <c r="V315" s="856">
        <v>78</v>
      </c>
      <c r="W315" s="856">
        <v>82</v>
      </c>
      <c r="X315" s="856">
        <v>6</v>
      </c>
      <c r="Y315" s="857">
        <v>389</v>
      </c>
      <c r="Z315" s="857"/>
      <c r="AA315" s="856"/>
      <c r="AB315" s="856"/>
      <c r="AC315" s="856"/>
      <c r="AD315" s="856"/>
      <c r="AE315" s="857">
        <v>215</v>
      </c>
      <c r="AF315" s="857"/>
      <c r="AG315" s="856"/>
      <c r="AH315" s="857"/>
    </row>
    <row r="316" spans="1:34">
      <c r="A316" s="239"/>
      <c r="B316" s="239" t="s">
        <v>93</v>
      </c>
      <c r="C316" s="806">
        <f t="shared" ref="C316:C320" si="182">IF(S$320&gt;0,(S316/S$320),0)</f>
        <v>0</v>
      </c>
      <c r="D316" s="806">
        <f t="shared" si="180"/>
        <v>0.39597315436241609</v>
      </c>
      <c r="E316" s="806">
        <f t="shared" si="180"/>
        <v>0</v>
      </c>
      <c r="F316" s="806">
        <f t="shared" si="180"/>
        <v>0.26455026455026454</v>
      </c>
      <c r="G316" s="806">
        <f t="shared" si="180"/>
        <v>0.2780487804878049</v>
      </c>
      <c r="H316" s="806">
        <f t="shared" si="180"/>
        <v>0.5</v>
      </c>
      <c r="I316" s="624">
        <f t="shared" si="180"/>
        <v>0.3515625</v>
      </c>
      <c r="J316" s="624">
        <f t="shared" si="180"/>
        <v>0</v>
      </c>
      <c r="K316" s="625">
        <f t="shared" si="180"/>
        <v>0</v>
      </c>
      <c r="L316" s="625">
        <f t="shared" si="180"/>
        <v>0</v>
      </c>
      <c r="M316" s="625">
        <f t="shared" si="180"/>
        <v>0</v>
      </c>
      <c r="N316" s="624">
        <f t="shared" ref="N316:N320" si="183">IF(AE$320&gt;0,(AE316/AE$320),0)</f>
        <v>0.16151202749140894</v>
      </c>
      <c r="O316" s="624">
        <f t="shared" si="181"/>
        <v>0</v>
      </c>
      <c r="P316" s="626">
        <f t="shared" si="181"/>
        <v>0</v>
      </c>
      <c r="Q316" s="624">
        <f t="shared" si="181"/>
        <v>0</v>
      </c>
      <c r="R316" s="357"/>
      <c r="S316" s="858"/>
      <c r="T316" s="858">
        <v>236</v>
      </c>
      <c r="U316" s="858"/>
      <c r="V316" s="858">
        <v>50</v>
      </c>
      <c r="W316" s="858">
        <v>57</v>
      </c>
      <c r="X316" s="858">
        <v>17</v>
      </c>
      <c r="Y316" s="859">
        <v>360</v>
      </c>
      <c r="Z316" s="859"/>
      <c r="AA316" s="858"/>
      <c r="AB316" s="858"/>
      <c r="AC316" s="858"/>
      <c r="AD316" s="858"/>
      <c r="AE316" s="859">
        <v>47</v>
      </c>
      <c r="AF316" s="859"/>
      <c r="AG316" s="858"/>
      <c r="AH316" s="859"/>
    </row>
    <row r="317" spans="1:34">
      <c r="A317" s="239"/>
      <c r="B317" s="239" t="s">
        <v>55</v>
      </c>
      <c r="C317" s="806">
        <f t="shared" si="182"/>
        <v>0</v>
      </c>
      <c r="D317" s="806">
        <f t="shared" si="180"/>
        <v>0.22483221476510068</v>
      </c>
      <c r="E317" s="806">
        <f t="shared" si="180"/>
        <v>0</v>
      </c>
      <c r="F317" s="806">
        <f t="shared" si="180"/>
        <v>0.17989417989417988</v>
      </c>
      <c r="G317" s="806">
        <f t="shared" si="180"/>
        <v>0.26829268292682928</v>
      </c>
      <c r="H317" s="806">
        <f t="shared" si="180"/>
        <v>0.14705882352941177</v>
      </c>
      <c r="I317" s="624">
        <f t="shared" si="180"/>
        <v>0.22265625</v>
      </c>
      <c r="J317" s="624">
        <f t="shared" si="180"/>
        <v>0</v>
      </c>
      <c r="K317" s="625">
        <f t="shared" si="180"/>
        <v>0</v>
      </c>
      <c r="L317" s="625">
        <f t="shared" si="180"/>
        <v>0</v>
      </c>
      <c r="M317" s="625">
        <f t="shared" si="180"/>
        <v>0</v>
      </c>
      <c r="N317" s="624">
        <f t="shared" si="183"/>
        <v>5.8419243986254296E-2</v>
      </c>
      <c r="O317" s="624">
        <f t="shared" si="181"/>
        <v>0</v>
      </c>
      <c r="P317" s="626">
        <f t="shared" si="181"/>
        <v>0</v>
      </c>
      <c r="Q317" s="624">
        <f t="shared" si="181"/>
        <v>0</v>
      </c>
      <c r="R317" s="357"/>
      <c r="S317" s="858"/>
      <c r="T317" s="858">
        <v>134</v>
      </c>
      <c r="U317" s="858"/>
      <c r="V317" s="858">
        <v>34</v>
      </c>
      <c r="W317" s="858">
        <v>55</v>
      </c>
      <c r="X317" s="858">
        <v>5</v>
      </c>
      <c r="Y317" s="859">
        <v>228</v>
      </c>
      <c r="Z317" s="859"/>
      <c r="AA317" s="858"/>
      <c r="AB317" s="858"/>
      <c r="AC317" s="858"/>
      <c r="AD317" s="858"/>
      <c r="AE317" s="859">
        <v>17</v>
      </c>
      <c r="AF317" s="859"/>
      <c r="AG317" s="858"/>
      <c r="AH317" s="859"/>
    </row>
    <row r="318" spans="1:34">
      <c r="A318" s="239"/>
      <c r="B318" s="239" t="s">
        <v>78</v>
      </c>
      <c r="C318" s="806">
        <f t="shared" si="182"/>
        <v>0</v>
      </c>
      <c r="D318" s="806">
        <f t="shared" si="180"/>
        <v>0</v>
      </c>
      <c r="E318" s="806">
        <f t="shared" si="180"/>
        <v>0</v>
      </c>
      <c r="F318" s="806">
        <f t="shared" si="180"/>
        <v>0</v>
      </c>
      <c r="G318" s="806">
        <f t="shared" si="180"/>
        <v>3.4146341463414637E-2</v>
      </c>
      <c r="H318" s="806">
        <f t="shared" si="180"/>
        <v>0</v>
      </c>
      <c r="I318" s="624">
        <f t="shared" si="180"/>
        <v>6.8359375E-3</v>
      </c>
      <c r="J318" s="624">
        <f t="shared" si="180"/>
        <v>0</v>
      </c>
      <c r="K318" s="625">
        <f t="shared" si="180"/>
        <v>0</v>
      </c>
      <c r="L318" s="625">
        <f t="shared" si="180"/>
        <v>0</v>
      </c>
      <c r="M318" s="625">
        <f t="shared" si="180"/>
        <v>0</v>
      </c>
      <c r="N318" s="624">
        <f t="shared" si="183"/>
        <v>4.1237113402061855E-2</v>
      </c>
      <c r="O318" s="624">
        <f t="shared" si="181"/>
        <v>0</v>
      </c>
      <c r="P318" s="626">
        <f t="shared" si="181"/>
        <v>0</v>
      </c>
      <c r="Q318" s="624">
        <f t="shared" si="181"/>
        <v>0</v>
      </c>
      <c r="R318" s="357"/>
      <c r="S318" s="858"/>
      <c r="T318" s="858"/>
      <c r="U318" s="858"/>
      <c r="V318" s="858"/>
      <c r="W318" s="858">
        <v>7</v>
      </c>
      <c r="X318" s="858"/>
      <c r="Y318" s="859">
        <v>7</v>
      </c>
      <c r="Z318" s="859"/>
      <c r="AA318" s="858"/>
      <c r="AB318" s="858"/>
      <c r="AC318" s="858"/>
      <c r="AD318" s="858"/>
      <c r="AE318" s="859">
        <v>12</v>
      </c>
      <c r="AF318" s="859"/>
      <c r="AG318" s="858"/>
      <c r="AH318" s="859"/>
    </row>
    <row r="319" spans="1:34">
      <c r="A319" s="580"/>
      <c r="B319" s="580" t="s">
        <v>131</v>
      </c>
      <c r="C319" s="806">
        <f t="shared" si="182"/>
        <v>0</v>
      </c>
      <c r="D319" s="806">
        <f t="shared" si="180"/>
        <v>5.0335570469798654E-3</v>
      </c>
      <c r="E319" s="806">
        <f t="shared" si="180"/>
        <v>0</v>
      </c>
      <c r="F319" s="806">
        <f t="shared" si="180"/>
        <v>0.14285714285714285</v>
      </c>
      <c r="G319" s="806">
        <f t="shared" si="180"/>
        <v>1.9512195121951219E-2</v>
      </c>
      <c r="H319" s="806">
        <f t="shared" si="180"/>
        <v>0.17647058823529413</v>
      </c>
      <c r="I319" s="624">
        <f t="shared" si="180"/>
        <v>3.90625E-2</v>
      </c>
      <c r="J319" s="624">
        <f t="shared" si="180"/>
        <v>0</v>
      </c>
      <c r="K319" s="625">
        <f t="shared" si="180"/>
        <v>0</v>
      </c>
      <c r="L319" s="625">
        <f t="shared" si="180"/>
        <v>0</v>
      </c>
      <c r="M319" s="625">
        <f t="shared" si="180"/>
        <v>0</v>
      </c>
      <c r="N319" s="624">
        <f t="shared" si="183"/>
        <v>0</v>
      </c>
      <c r="O319" s="624">
        <f t="shared" si="181"/>
        <v>0</v>
      </c>
      <c r="P319" s="626">
        <f t="shared" si="181"/>
        <v>0</v>
      </c>
      <c r="Q319" s="624">
        <f t="shared" si="181"/>
        <v>0</v>
      </c>
      <c r="R319" s="357"/>
      <c r="S319" s="858"/>
      <c r="T319" s="858">
        <v>3</v>
      </c>
      <c r="U319" s="858"/>
      <c r="V319" s="858">
        <v>27</v>
      </c>
      <c r="W319" s="858">
        <v>4</v>
      </c>
      <c r="X319" s="858">
        <v>6</v>
      </c>
      <c r="Y319" s="859">
        <v>40</v>
      </c>
      <c r="Z319" s="859"/>
      <c r="AA319" s="858"/>
      <c r="AB319" s="858"/>
      <c r="AC319" s="858"/>
      <c r="AD319" s="858"/>
      <c r="AE319" s="859"/>
      <c r="AF319" s="859"/>
      <c r="AG319" s="858"/>
      <c r="AH319" s="859"/>
    </row>
    <row r="320" spans="1:34">
      <c r="A320" s="436"/>
      <c r="B320" s="436" t="s">
        <v>59</v>
      </c>
      <c r="C320" s="807">
        <f t="shared" si="182"/>
        <v>0</v>
      </c>
      <c r="D320" s="808">
        <f t="shared" si="180"/>
        <v>1</v>
      </c>
      <c r="E320" s="808">
        <f t="shared" si="180"/>
        <v>0</v>
      </c>
      <c r="F320" s="808">
        <f t="shared" si="180"/>
        <v>1</v>
      </c>
      <c r="G320" s="808">
        <f t="shared" si="180"/>
        <v>1</v>
      </c>
      <c r="H320" s="809">
        <f t="shared" si="180"/>
        <v>1</v>
      </c>
      <c r="I320" s="577">
        <f t="shared" si="180"/>
        <v>1</v>
      </c>
      <c r="J320" s="577">
        <f t="shared" si="180"/>
        <v>0</v>
      </c>
      <c r="K320" s="578">
        <f t="shared" si="180"/>
        <v>0</v>
      </c>
      <c r="L320" s="578">
        <f t="shared" si="180"/>
        <v>0</v>
      </c>
      <c r="M320" s="578">
        <f t="shared" si="180"/>
        <v>0</v>
      </c>
      <c r="N320" s="577">
        <f t="shared" si="183"/>
        <v>1</v>
      </c>
      <c r="O320" s="577">
        <f t="shared" si="181"/>
        <v>0</v>
      </c>
      <c r="P320" s="579">
        <f t="shared" si="181"/>
        <v>0</v>
      </c>
      <c r="Q320" s="577">
        <f t="shared" si="181"/>
        <v>0</v>
      </c>
      <c r="R320" s="357"/>
      <c r="S320" s="858"/>
      <c r="T320" s="858">
        <v>596</v>
      </c>
      <c r="U320" s="858"/>
      <c r="V320" s="858">
        <v>189</v>
      </c>
      <c r="W320" s="858">
        <v>205</v>
      </c>
      <c r="X320" s="858">
        <v>34</v>
      </c>
      <c r="Y320" s="859">
        <v>1024</v>
      </c>
      <c r="Z320" s="859"/>
      <c r="AA320" s="858"/>
      <c r="AB320" s="858"/>
      <c r="AC320" s="858"/>
      <c r="AD320" s="858"/>
      <c r="AE320" s="859">
        <v>291</v>
      </c>
      <c r="AF320" s="859"/>
      <c r="AG320" s="858"/>
      <c r="AH320" s="859"/>
    </row>
    <row r="321" spans="1:34">
      <c r="A321" s="240" t="s">
        <v>156</v>
      </c>
      <c r="B321" s="240" t="s">
        <v>53</v>
      </c>
      <c r="C321" s="806">
        <f>IF(S$326&gt;0,(S321/S$326),0)</f>
        <v>0.42765460910151692</v>
      </c>
      <c r="D321" s="806">
        <f t="shared" ref="D321:M326" si="184">IF(T$326&gt;0,(T321/T$326),0)</f>
        <v>0.34859154929577463</v>
      </c>
      <c r="E321" s="806">
        <f t="shared" si="184"/>
        <v>0.34245840042941494</v>
      </c>
      <c r="F321" s="806">
        <f t="shared" si="184"/>
        <v>0.28435114503816794</v>
      </c>
      <c r="G321" s="806">
        <f t="shared" si="184"/>
        <v>0.2821869488536155</v>
      </c>
      <c r="H321" s="806">
        <f t="shared" si="184"/>
        <v>0</v>
      </c>
      <c r="I321" s="613">
        <f t="shared" si="184"/>
        <v>0.35815217391304349</v>
      </c>
      <c r="J321" s="613">
        <f t="shared" si="184"/>
        <v>0</v>
      </c>
      <c r="K321" s="614">
        <f t="shared" si="184"/>
        <v>0</v>
      </c>
      <c r="L321" s="614">
        <f t="shared" si="184"/>
        <v>0</v>
      </c>
      <c r="M321" s="614">
        <f t="shared" si="184"/>
        <v>0</v>
      </c>
      <c r="N321" s="613">
        <f>IF(AE$326&gt;0,(AE321/AE$326),0)</f>
        <v>0.23767214571301643</v>
      </c>
      <c r="O321" s="613">
        <f t="shared" ref="O321:Q326" si="185">IF(AF$326&gt;0,(AF321/AF$326),0)</f>
        <v>0</v>
      </c>
      <c r="P321" s="615">
        <f t="shared" si="185"/>
        <v>0</v>
      </c>
      <c r="Q321" s="613">
        <f t="shared" si="185"/>
        <v>0</v>
      </c>
      <c r="R321" s="799"/>
      <c r="S321" s="856">
        <v>733</v>
      </c>
      <c r="T321" s="856">
        <v>297</v>
      </c>
      <c r="U321" s="856">
        <v>638</v>
      </c>
      <c r="V321" s="856">
        <v>149</v>
      </c>
      <c r="W321" s="856">
        <v>160</v>
      </c>
      <c r="X321" s="856"/>
      <c r="Y321" s="857">
        <v>1977</v>
      </c>
      <c r="Z321" s="857"/>
      <c r="AA321" s="856"/>
      <c r="AB321" s="856"/>
      <c r="AC321" s="856"/>
      <c r="AD321" s="856"/>
      <c r="AE321" s="857">
        <v>535</v>
      </c>
      <c r="AF321" s="857"/>
      <c r="AG321" s="856"/>
      <c r="AH321" s="857"/>
    </row>
    <row r="322" spans="1:34">
      <c r="A322" s="239"/>
      <c r="B322" s="239" t="s">
        <v>93</v>
      </c>
      <c r="C322" s="806">
        <f t="shared" ref="C322:C326" si="186">IF(S$326&gt;0,(S322/S$326),0)</f>
        <v>0.25320886814469079</v>
      </c>
      <c r="D322" s="806">
        <f t="shared" si="184"/>
        <v>0.23826291079812206</v>
      </c>
      <c r="E322" s="806">
        <f t="shared" si="184"/>
        <v>0.32152442297369832</v>
      </c>
      <c r="F322" s="806">
        <f t="shared" si="184"/>
        <v>0.41793893129770993</v>
      </c>
      <c r="G322" s="806">
        <f t="shared" si="184"/>
        <v>0.36684303350970016</v>
      </c>
      <c r="H322" s="806">
        <f t="shared" si="184"/>
        <v>0</v>
      </c>
      <c r="I322" s="624">
        <f t="shared" si="184"/>
        <v>0.30126811594202896</v>
      </c>
      <c r="J322" s="624">
        <f t="shared" si="184"/>
        <v>0</v>
      </c>
      <c r="K322" s="625">
        <f t="shared" si="184"/>
        <v>0</v>
      </c>
      <c r="L322" s="625">
        <f t="shared" si="184"/>
        <v>0</v>
      </c>
      <c r="M322" s="625">
        <f t="shared" si="184"/>
        <v>0</v>
      </c>
      <c r="N322" s="624">
        <f t="shared" ref="N322:N326" si="187">IF(AE$326&gt;0,(AE322/AE$326),0)</f>
        <v>0.24566859173700578</v>
      </c>
      <c r="O322" s="624">
        <f t="shared" si="185"/>
        <v>0</v>
      </c>
      <c r="P322" s="626">
        <f t="shared" si="185"/>
        <v>0</v>
      </c>
      <c r="Q322" s="624">
        <f t="shared" si="185"/>
        <v>0</v>
      </c>
      <c r="R322" s="357"/>
      <c r="S322" s="858">
        <v>434</v>
      </c>
      <c r="T322" s="858">
        <v>203</v>
      </c>
      <c r="U322" s="858">
        <v>599</v>
      </c>
      <c r="V322" s="858">
        <v>219</v>
      </c>
      <c r="W322" s="858">
        <v>208</v>
      </c>
      <c r="X322" s="858"/>
      <c r="Y322" s="859">
        <v>1663</v>
      </c>
      <c r="Z322" s="859"/>
      <c r="AA322" s="858"/>
      <c r="AB322" s="858"/>
      <c r="AC322" s="858"/>
      <c r="AD322" s="858"/>
      <c r="AE322" s="859">
        <v>553</v>
      </c>
      <c r="AF322" s="859"/>
      <c r="AG322" s="858"/>
      <c r="AH322" s="859"/>
    </row>
    <row r="323" spans="1:34">
      <c r="A323" s="239"/>
      <c r="B323" s="239" t="s">
        <v>55</v>
      </c>
      <c r="C323" s="806">
        <f t="shared" si="186"/>
        <v>0.17852975495915985</v>
      </c>
      <c r="D323" s="806">
        <f t="shared" si="184"/>
        <v>0.21009389671361503</v>
      </c>
      <c r="E323" s="806">
        <f t="shared" si="184"/>
        <v>0.29361245303274291</v>
      </c>
      <c r="F323" s="806">
        <f t="shared" si="184"/>
        <v>0.28244274809160308</v>
      </c>
      <c r="G323" s="806">
        <f t="shared" si="184"/>
        <v>0.33333333333333331</v>
      </c>
      <c r="H323" s="806">
        <f t="shared" si="184"/>
        <v>0</v>
      </c>
      <c r="I323" s="624">
        <f t="shared" si="184"/>
        <v>0.2480072463768116</v>
      </c>
      <c r="J323" s="624">
        <f t="shared" si="184"/>
        <v>0</v>
      </c>
      <c r="K323" s="625">
        <f t="shared" si="184"/>
        <v>0</v>
      </c>
      <c r="L323" s="625">
        <f t="shared" si="184"/>
        <v>0</v>
      </c>
      <c r="M323" s="625">
        <f t="shared" si="184"/>
        <v>0</v>
      </c>
      <c r="N323" s="624">
        <f t="shared" si="187"/>
        <v>0.30297645490892938</v>
      </c>
      <c r="O323" s="624">
        <f t="shared" si="185"/>
        <v>0</v>
      </c>
      <c r="P323" s="626">
        <f t="shared" si="185"/>
        <v>0</v>
      </c>
      <c r="Q323" s="624">
        <f t="shared" si="185"/>
        <v>0</v>
      </c>
      <c r="R323" s="357"/>
      <c r="S323" s="858">
        <v>306</v>
      </c>
      <c r="T323" s="858">
        <v>179</v>
      </c>
      <c r="U323" s="858">
        <v>547</v>
      </c>
      <c r="V323" s="858">
        <v>148</v>
      </c>
      <c r="W323" s="858">
        <v>189</v>
      </c>
      <c r="X323" s="858"/>
      <c r="Y323" s="859">
        <v>1369</v>
      </c>
      <c r="Z323" s="859"/>
      <c r="AA323" s="858"/>
      <c r="AB323" s="858"/>
      <c r="AC323" s="858"/>
      <c r="AD323" s="858"/>
      <c r="AE323" s="859">
        <v>682</v>
      </c>
      <c r="AF323" s="859"/>
      <c r="AG323" s="858"/>
      <c r="AH323" s="859"/>
    </row>
    <row r="324" spans="1:34">
      <c r="A324" s="239"/>
      <c r="B324" s="239" t="s">
        <v>78</v>
      </c>
      <c r="C324" s="806">
        <f t="shared" si="186"/>
        <v>9.7432905484247379E-2</v>
      </c>
      <c r="D324" s="806">
        <f t="shared" si="184"/>
        <v>7.3943661971830985E-2</v>
      </c>
      <c r="E324" s="806">
        <f t="shared" si="184"/>
        <v>2.7911969940955447E-2</v>
      </c>
      <c r="F324" s="806">
        <f t="shared" si="184"/>
        <v>1.5267175572519083E-2</v>
      </c>
      <c r="G324" s="806">
        <f t="shared" si="184"/>
        <v>1.2345679012345678E-2</v>
      </c>
      <c r="H324" s="806">
        <f t="shared" si="184"/>
        <v>0</v>
      </c>
      <c r="I324" s="624">
        <f t="shared" si="184"/>
        <v>5.3804347826086958E-2</v>
      </c>
      <c r="J324" s="624">
        <f t="shared" si="184"/>
        <v>0</v>
      </c>
      <c r="K324" s="625">
        <f t="shared" si="184"/>
        <v>0</v>
      </c>
      <c r="L324" s="625">
        <f t="shared" si="184"/>
        <v>0</v>
      </c>
      <c r="M324" s="625">
        <f t="shared" si="184"/>
        <v>0</v>
      </c>
      <c r="N324" s="624">
        <f t="shared" si="187"/>
        <v>0.13816081741448244</v>
      </c>
      <c r="O324" s="624">
        <f t="shared" si="185"/>
        <v>0</v>
      </c>
      <c r="P324" s="626">
        <f t="shared" si="185"/>
        <v>0</v>
      </c>
      <c r="Q324" s="624">
        <f t="shared" si="185"/>
        <v>0</v>
      </c>
      <c r="R324" s="357"/>
      <c r="S324" s="858">
        <v>167</v>
      </c>
      <c r="T324" s="858">
        <v>63</v>
      </c>
      <c r="U324" s="858">
        <v>52</v>
      </c>
      <c r="V324" s="858">
        <v>8</v>
      </c>
      <c r="W324" s="858">
        <v>7</v>
      </c>
      <c r="X324" s="858"/>
      <c r="Y324" s="859">
        <v>297</v>
      </c>
      <c r="Z324" s="859"/>
      <c r="AA324" s="858"/>
      <c r="AB324" s="858"/>
      <c r="AC324" s="858"/>
      <c r="AD324" s="858"/>
      <c r="AE324" s="859">
        <v>311</v>
      </c>
      <c r="AF324" s="859"/>
      <c r="AG324" s="858"/>
      <c r="AH324" s="859"/>
    </row>
    <row r="325" spans="1:34">
      <c r="A325" s="580"/>
      <c r="B325" s="580" t="s">
        <v>131</v>
      </c>
      <c r="C325" s="806">
        <f t="shared" si="186"/>
        <v>4.3173862310385065E-2</v>
      </c>
      <c r="D325" s="806">
        <f t="shared" si="184"/>
        <v>0.12910798122065728</v>
      </c>
      <c r="E325" s="806">
        <f t="shared" si="184"/>
        <v>1.4492753623188406E-2</v>
      </c>
      <c r="F325" s="806">
        <f t="shared" si="184"/>
        <v>0</v>
      </c>
      <c r="G325" s="806">
        <f t="shared" si="184"/>
        <v>0</v>
      </c>
      <c r="H325" s="806">
        <f t="shared" si="184"/>
        <v>0</v>
      </c>
      <c r="I325" s="624">
        <f t="shared" si="184"/>
        <v>3.8768115942028988E-2</v>
      </c>
      <c r="J325" s="624">
        <f t="shared" si="184"/>
        <v>0</v>
      </c>
      <c r="K325" s="625">
        <f t="shared" si="184"/>
        <v>0</v>
      </c>
      <c r="L325" s="625">
        <f t="shared" si="184"/>
        <v>0</v>
      </c>
      <c r="M325" s="625">
        <f t="shared" si="184"/>
        <v>0</v>
      </c>
      <c r="N325" s="624">
        <f t="shared" si="187"/>
        <v>7.5521990226565971E-2</v>
      </c>
      <c r="O325" s="624">
        <f t="shared" si="185"/>
        <v>0</v>
      </c>
      <c r="P325" s="626">
        <f t="shared" si="185"/>
        <v>0</v>
      </c>
      <c r="Q325" s="624">
        <f t="shared" si="185"/>
        <v>0</v>
      </c>
      <c r="R325" s="357"/>
      <c r="S325" s="858">
        <v>74</v>
      </c>
      <c r="T325" s="858">
        <v>110</v>
      </c>
      <c r="U325" s="858">
        <v>27</v>
      </c>
      <c r="V325" s="858"/>
      <c r="W325" s="858"/>
      <c r="X325" s="858">
        <v>3</v>
      </c>
      <c r="Y325" s="859">
        <v>214</v>
      </c>
      <c r="Z325" s="859"/>
      <c r="AA325" s="858"/>
      <c r="AB325" s="858"/>
      <c r="AC325" s="858"/>
      <c r="AD325" s="858"/>
      <c r="AE325" s="859">
        <v>170</v>
      </c>
      <c r="AF325" s="859"/>
      <c r="AG325" s="858"/>
      <c r="AH325" s="859"/>
    </row>
    <row r="326" spans="1:34">
      <c r="A326" s="436"/>
      <c r="B326" s="436" t="s">
        <v>59</v>
      </c>
      <c r="C326" s="807">
        <f t="shared" si="186"/>
        <v>1</v>
      </c>
      <c r="D326" s="808">
        <f t="shared" si="184"/>
        <v>1</v>
      </c>
      <c r="E326" s="808">
        <f t="shared" si="184"/>
        <v>1</v>
      </c>
      <c r="F326" s="808">
        <f t="shared" si="184"/>
        <v>1</v>
      </c>
      <c r="G326" s="808">
        <f t="shared" si="184"/>
        <v>1</v>
      </c>
      <c r="H326" s="809">
        <f t="shared" si="184"/>
        <v>0</v>
      </c>
      <c r="I326" s="577">
        <f t="shared" si="184"/>
        <v>1</v>
      </c>
      <c r="J326" s="577">
        <f t="shared" si="184"/>
        <v>0</v>
      </c>
      <c r="K326" s="578">
        <f t="shared" si="184"/>
        <v>0</v>
      </c>
      <c r="L326" s="578">
        <f t="shared" si="184"/>
        <v>0</v>
      </c>
      <c r="M326" s="578">
        <f t="shared" si="184"/>
        <v>0</v>
      </c>
      <c r="N326" s="577">
        <f t="shared" si="187"/>
        <v>1</v>
      </c>
      <c r="O326" s="577">
        <f t="shared" si="185"/>
        <v>0</v>
      </c>
      <c r="P326" s="579">
        <f t="shared" si="185"/>
        <v>0</v>
      </c>
      <c r="Q326" s="577">
        <f t="shared" si="185"/>
        <v>0</v>
      </c>
      <c r="R326" s="357"/>
      <c r="S326" s="858">
        <v>1714</v>
      </c>
      <c r="T326" s="858">
        <v>852</v>
      </c>
      <c r="U326" s="858">
        <v>1863</v>
      </c>
      <c r="V326" s="858">
        <v>524</v>
      </c>
      <c r="W326" s="858">
        <v>567</v>
      </c>
      <c r="X326" s="858"/>
      <c r="Y326" s="859">
        <v>5520</v>
      </c>
      <c r="Z326" s="859"/>
      <c r="AA326" s="858"/>
      <c r="AB326" s="858"/>
      <c r="AC326" s="858"/>
      <c r="AD326" s="858"/>
      <c r="AE326" s="859">
        <v>2251</v>
      </c>
      <c r="AF326" s="859"/>
      <c r="AG326" s="858"/>
      <c r="AH326" s="859"/>
    </row>
    <row r="327" spans="1:34">
      <c r="A327" s="240" t="s">
        <v>159</v>
      </c>
      <c r="B327" s="240" t="s">
        <v>53</v>
      </c>
      <c r="C327" s="806">
        <f>IF(S$332&gt;0,(S327/S$332),0)</f>
        <v>0.32707861533484311</v>
      </c>
      <c r="D327" s="806">
        <f t="shared" ref="D327:M332" si="188">IF(T$332&gt;0,(T327/T$332),0)</f>
        <v>0</v>
      </c>
      <c r="E327" s="806">
        <f t="shared" si="188"/>
        <v>0.31686182669789226</v>
      </c>
      <c r="F327" s="806">
        <f t="shared" si="188"/>
        <v>0.3106139438085328</v>
      </c>
      <c r="G327" s="806">
        <f t="shared" si="188"/>
        <v>0.21550741163055873</v>
      </c>
      <c r="H327" s="806">
        <f t="shared" si="188"/>
        <v>0.22788353863381858</v>
      </c>
      <c r="I327" s="613">
        <f t="shared" si="188"/>
        <v>0.2977565712372342</v>
      </c>
      <c r="J327" s="613">
        <f t="shared" si="188"/>
        <v>0</v>
      </c>
      <c r="K327" s="614">
        <f t="shared" si="188"/>
        <v>0</v>
      </c>
      <c r="L327" s="614">
        <f t="shared" si="188"/>
        <v>0</v>
      </c>
      <c r="M327" s="614">
        <f t="shared" si="188"/>
        <v>0</v>
      </c>
      <c r="N327" s="613">
        <f>IF(AE$332&gt;0,(AE327/AE$332),0)</f>
        <v>0.28475935828877003</v>
      </c>
      <c r="O327" s="613">
        <f t="shared" ref="O327:Q332" si="189">IF(AF$332&gt;0,(AF327/AF$332),0)</f>
        <v>0</v>
      </c>
      <c r="P327" s="615">
        <f t="shared" si="189"/>
        <v>0</v>
      </c>
      <c r="Q327" s="613">
        <f t="shared" si="189"/>
        <v>0</v>
      </c>
      <c r="R327" s="799"/>
      <c r="S327" s="856">
        <v>1011</v>
      </c>
      <c r="T327" s="856"/>
      <c r="U327" s="856">
        <v>1353</v>
      </c>
      <c r="V327" s="856">
        <v>597</v>
      </c>
      <c r="W327" s="856">
        <v>189</v>
      </c>
      <c r="X327" s="856">
        <v>407</v>
      </c>
      <c r="Y327" s="857">
        <v>3557</v>
      </c>
      <c r="Z327" s="857"/>
      <c r="AA327" s="856"/>
      <c r="AB327" s="856"/>
      <c r="AC327" s="856"/>
      <c r="AD327" s="856"/>
      <c r="AE327" s="857">
        <v>1704</v>
      </c>
      <c r="AF327" s="857"/>
      <c r="AG327" s="856"/>
      <c r="AH327" s="857"/>
    </row>
    <row r="328" spans="1:34">
      <c r="A328" s="239"/>
      <c r="B328" s="239" t="s">
        <v>93</v>
      </c>
      <c r="C328" s="806">
        <f t="shared" ref="C328:C332" si="190">IF(S$332&gt;0,(S328/S$332),0)</f>
        <v>0.32513749595600128</v>
      </c>
      <c r="D328" s="806">
        <f t="shared" si="188"/>
        <v>0</v>
      </c>
      <c r="E328" s="806">
        <f t="shared" si="188"/>
        <v>0.30889929742388761</v>
      </c>
      <c r="F328" s="806">
        <f t="shared" si="188"/>
        <v>0.33194588969823102</v>
      </c>
      <c r="G328" s="806">
        <f t="shared" si="188"/>
        <v>0.33865450399087799</v>
      </c>
      <c r="H328" s="806">
        <f t="shared" si="188"/>
        <v>0.25251959686450171</v>
      </c>
      <c r="I328" s="624">
        <f t="shared" si="188"/>
        <v>0.3105642055918299</v>
      </c>
      <c r="J328" s="624">
        <f t="shared" si="188"/>
        <v>0</v>
      </c>
      <c r="K328" s="625">
        <f t="shared" si="188"/>
        <v>0</v>
      </c>
      <c r="L328" s="625">
        <f t="shared" si="188"/>
        <v>0</v>
      </c>
      <c r="M328" s="625">
        <f t="shared" si="188"/>
        <v>0</v>
      </c>
      <c r="N328" s="624">
        <f t="shared" ref="N328:N332" si="191">IF(AE$332&gt;0,(AE328/AE$332),0)</f>
        <v>0.22443181818181818</v>
      </c>
      <c r="O328" s="624">
        <f t="shared" si="189"/>
        <v>0</v>
      </c>
      <c r="P328" s="626">
        <f t="shared" si="189"/>
        <v>0</v>
      </c>
      <c r="Q328" s="624">
        <f t="shared" si="189"/>
        <v>0</v>
      </c>
      <c r="R328" s="357"/>
      <c r="S328" s="858">
        <v>1005</v>
      </c>
      <c r="T328" s="858"/>
      <c r="U328" s="858">
        <v>1319</v>
      </c>
      <c r="V328" s="858">
        <v>638</v>
      </c>
      <c r="W328" s="858">
        <v>297</v>
      </c>
      <c r="X328" s="858">
        <v>451</v>
      </c>
      <c r="Y328" s="859">
        <v>3710</v>
      </c>
      <c r="Z328" s="859"/>
      <c r="AA328" s="858"/>
      <c r="AB328" s="858"/>
      <c r="AC328" s="858"/>
      <c r="AD328" s="858"/>
      <c r="AE328" s="859">
        <v>1343</v>
      </c>
      <c r="AF328" s="859"/>
      <c r="AG328" s="858"/>
      <c r="AH328" s="859"/>
    </row>
    <row r="329" spans="1:34">
      <c r="A329" s="239"/>
      <c r="B329" s="239" t="s">
        <v>55</v>
      </c>
      <c r="C329" s="806">
        <f t="shared" si="190"/>
        <v>0.25525719831769655</v>
      </c>
      <c r="D329" s="806">
        <f t="shared" si="188"/>
        <v>0</v>
      </c>
      <c r="E329" s="806">
        <f t="shared" si="188"/>
        <v>0.26463700234192039</v>
      </c>
      <c r="F329" s="806">
        <f t="shared" si="188"/>
        <v>0.24401664932362122</v>
      </c>
      <c r="G329" s="806">
        <f t="shared" si="188"/>
        <v>0.35005701254275939</v>
      </c>
      <c r="H329" s="806">
        <f t="shared" si="188"/>
        <v>0.37905935050391937</v>
      </c>
      <c r="I329" s="624">
        <f t="shared" si="188"/>
        <v>0.28227021597187341</v>
      </c>
      <c r="J329" s="624">
        <f t="shared" si="188"/>
        <v>0</v>
      </c>
      <c r="K329" s="625">
        <f t="shared" si="188"/>
        <v>0</v>
      </c>
      <c r="L329" s="625">
        <f t="shared" si="188"/>
        <v>0</v>
      </c>
      <c r="M329" s="625">
        <f t="shared" si="188"/>
        <v>0</v>
      </c>
      <c r="N329" s="624">
        <f t="shared" si="191"/>
        <v>0.29796122994652408</v>
      </c>
      <c r="O329" s="624">
        <f t="shared" si="189"/>
        <v>0</v>
      </c>
      <c r="P329" s="626">
        <f t="shared" si="189"/>
        <v>0</v>
      </c>
      <c r="Q329" s="624">
        <f t="shared" si="189"/>
        <v>0</v>
      </c>
      <c r="R329" s="357"/>
      <c r="S329" s="858">
        <v>789</v>
      </c>
      <c r="T329" s="858"/>
      <c r="U329" s="858">
        <v>1130</v>
      </c>
      <c r="V329" s="858">
        <v>469</v>
      </c>
      <c r="W329" s="858">
        <v>307</v>
      </c>
      <c r="X329" s="858">
        <v>677</v>
      </c>
      <c r="Y329" s="859">
        <v>3372</v>
      </c>
      <c r="Z329" s="859"/>
      <c r="AA329" s="858"/>
      <c r="AB329" s="858"/>
      <c r="AC329" s="858"/>
      <c r="AD329" s="858"/>
      <c r="AE329" s="859">
        <v>1783</v>
      </c>
      <c r="AF329" s="859"/>
      <c r="AG329" s="858"/>
      <c r="AH329" s="859"/>
    </row>
    <row r="330" spans="1:34">
      <c r="A330" s="239"/>
      <c r="B330" s="239" t="s">
        <v>78</v>
      </c>
      <c r="C330" s="806">
        <f t="shared" si="190"/>
        <v>1.1323196376577159E-2</v>
      </c>
      <c r="D330" s="806">
        <f t="shared" si="188"/>
        <v>0</v>
      </c>
      <c r="E330" s="806">
        <f t="shared" si="188"/>
        <v>7.0257611241217799E-3</v>
      </c>
      <c r="F330" s="806">
        <f t="shared" si="188"/>
        <v>2.7575442247658687E-2</v>
      </c>
      <c r="G330" s="806">
        <f t="shared" si="188"/>
        <v>1.1402508551881414E-3</v>
      </c>
      <c r="H330" s="806">
        <f t="shared" si="188"/>
        <v>6.3829787234042548E-2</v>
      </c>
      <c r="I330" s="624">
        <f t="shared" si="188"/>
        <v>1.9504436631508453E-2</v>
      </c>
      <c r="J330" s="624">
        <f t="shared" si="188"/>
        <v>0</v>
      </c>
      <c r="K330" s="625">
        <f t="shared" si="188"/>
        <v>0</v>
      </c>
      <c r="L330" s="625">
        <f t="shared" si="188"/>
        <v>0</v>
      </c>
      <c r="M330" s="625">
        <f t="shared" si="188"/>
        <v>0</v>
      </c>
      <c r="N330" s="624">
        <f t="shared" si="191"/>
        <v>0.11814839572192513</v>
      </c>
      <c r="O330" s="624">
        <f t="shared" si="189"/>
        <v>0</v>
      </c>
      <c r="P330" s="626">
        <f t="shared" si="189"/>
        <v>0</v>
      </c>
      <c r="Q330" s="624">
        <f t="shared" si="189"/>
        <v>0</v>
      </c>
      <c r="R330" s="357"/>
      <c r="S330" s="858">
        <v>35</v>
      </c>
      <c r="T330" s="858"/>
      <c r="U330" s="858">
        <v>30</v>
      </c>
      <c r="V330" s="858">
        <v>53</v>
      </c>
      <c r="W330" s="858">
        <v>1</v>
      </c>
      <c r="X330" s="858">
        <v>114</v>
      </c>
      <c r="Y330" s="859">
        <v>233</v>
      </c>
      <c r="Z330" s="859"/>
      <c r="AA330" s="858"/>
      <c r="AB330" s="858"/>
      <c r="AC330" s="858"/>
      <c r="AD330" s="858"/>
      <c r="AE330" s="859">
        <v>707</v>
      </c>
      <c r="AF330" s="859"/>
      <c r="AG330" s="858"/>
      <c r="AH330" s="859"/>
    </row>
    <row r="331" spans="1:34">
      <c r="A331" s="580"/>
      <c r="B331" s="580" t="s">
        <v>131</v>
      </c>
      <c r="C331" s="806">
        <f t="shared" si="190"/>
        <v>8.1203494014881916E-2</v>
      </c>
      <c r="D331" s="806">
        <f t="shared" si="188"/>
        <v>0</v>
      </c>
      <c r="E331" s="806">
        <f t="shared" si="188"/>
        <v>0.10257611241217798</v>
      </c>
      <c r="F331" s="806">
        <f t="shared" si="188"/>
        <v>8.5848074921956299E-2</v>
      </c>
      <c r="G331" s="806">
        <f t="shared" si="188"/>
        <v>9.4640820980615742E-2</v>
      </c>
      <c r="H331" s="806">
        <f t="shared" si="188"/>
        <v>7.6707726763717801E-2</v>
      </c>
      <c r="I331" s="624">
        <f t="shared" si="188"/>
        <v>8.9904570567553993E-2</v>
      </c>
      <c r="J331" s="624">
        <f t="shared" si="188"/>
        <v>0</v>
      </c>
      <c r="K331" s="625">
        <f t="shared" si="188"/>
        <v>0</v>
      </c>
      <c r="L331" s="625">
        <f t="shared" si="188"/>
        <v>0</v>
      </c>
      <c r="M331" s="625">
        <f t="shared" si="188"/>
        <v>0</v>
      </c>
      <c r="N331" s="624">
        <f t="shared" si="191"/>
        <v>7.469919786096256E-2</v>
      </c>
      <c r="O331" s="624">
        <f t="shared" si="189"/>
        <v>0</v>
      </c>
      <c r="P331" s="626">
        <f t="shared" si="189"/>
        <v>0</v>
      </c>
      <c r="Q331" s="624">
        <f t="shared" si="189"/>
        <v>0</v>
      </c>
      <c r="R331" s="357"/>
      <c r="S331" s="858">
        <v>251</v>
      </c>
      <c r="T331" s="858"/>
      <c r="U331" s="858">
        <v>438</v>
      </c>
      <c r="V331" s="858">
        <v>165</v>
      </c>
      <c r="W331" s="858">
        <v>83</v>
      </c>
      <c r="X331" s="858">
        <v>137</v>
      </c>
      <c r="Y331" s="859">
        <v>1074</v>
      </c>
      <c r="Z331" s="859"/>
      <c r="AA331" s="858"/>
      <c r="AB331" s="858"/>
      <c r="AC331" s="858"/>
      <c r="AD331" s="858"/>
      <c r="AE331" s="859">
        <v>447</v>
      </c>
      <c r="AF331" s="859"/>
      <c r="AG331" s="858"/>
      <c r="AH331" s="859"/>
    </row>
    <row r="332" spans="1:34">
      <c r="A332" s="436"/>
      <c r="B332" s="436" t="s">
        <v>59</v>
      </c>
      <c r="C332" s="807">
        <f t="shared" si="190"/>
        <v>1</v>
      </c>
      <c r="D332" s="808">
        <f t="shared" si="188"/>
        <v>0</v>
      </c>
      <c r="E332" s="808">
        <f t="shared" si="188"/>
        <v>1</v>
      </c>
      <c r="F332" s="808">
        <f t="shared" si="188"/>
        <v>1</v>
      </c>
      <c r="G332" s="808">
        <f t="shared" si="188"/>
        <v>1</v>
      </c>
      <c r="H332" s="809">
        <f t="shared" si="188"/>
        <v>1</v>
      </c>
      <c r="I332" s="577">
        <f t="shared" si="188"/>
        <v>1</v>
      </c>
      <c r="J332" s="577">
        <f t="shared" si="188"/>
        <v>0</v>
      </c>
      <c r="K332" s="578">
        <f t="shared" si="188"/>
        <v>0</v>
      </c>
      <c r="L332" s="578">
        <f t="shared" si="188"/>
        <v>0</v>
      </c>
      <c r="M332" s="578">
        <f t="shared" si="188"/>
        <v>0</v>
      </c>
      <c r="N332" s="577">
        <f t="shared" si="191"/>
        <v>1</v>
      </c>
      <c r="O332" s="577">
        <f t="shared" si="189"/>
        <v>0</v>
      </c>
      <c r="P332" s="579">
        <f t="shared" si="189"/>
        <v>0</v>
      </c>
      <c r="Q332" s="577">
        <f t="shared" si="189"/>
        <v>0</v>
      </c>
      <c r="R332" s="357"/>
      <c r="S332" s="858">
        <v>3091</v>
      </c>
      <c r="T332" s="858"/>
      <c r="U332" s="858">
        <v>4270</v>
      </c>
      <c r="V332" s="858">
        <v>1922</v>
      </c>
      <c r="W332" s="858">
        <v>877</v>
      </c>
      <c r="X332" s="858">
        <v>1786</v>
      </c>
      <c r="Y332" s="859">
        <v>11946</v>
      </c>
      <c r="Z332" s="859"/>
      <c r="AA332" s="858"/>
      <c r="AB332" s="858"/>
      <c r="AC332" s="858"/>
      <c r="AD332" s="858"/>
      <c r="AE332" s="859">
        <v>5984</v>
      </c>
      <c r="AF332" s="859"/>
      <c r="AG332" s="858"/>
      <c r="AH332" s="859"/>
    </row>
    <row r="333" spans="1:34">
      <c r="A333" s="240" t="s">
        <v>162</v>
      </c>
      <c r="B333" s="240" t="s">
        <v>53</v>
      </c>
      <c r="C333" s="806">
        <f>IF(S338&gt;0,(S333/S338),0)</f>
        <v>0.28682707287519471</v>
      </c>
      <c r="D333" s="806">
        <f t="shared" ref="D333:M333" si="192">IF(T338&gt;0,(T333/T338),0)</f>
        <v>0.31891025641025639</v>
      </c>
      <c r="E333" s="806">
        <f t="shared" si="192"/>
        <v>0.27182633317602645</v>
      </c>
      <c r="F333" s="806">
        <f t="shared" si="192"/>
        <v>0.30031152647975079</v>
      </c>
      <c r="G333" s="806">
        <f t="shared" si="192"/>
        <v>0.23076923076923078</v>
      </c>
      <c r="H333" s="806">
        <f t="shared" si="192"/>
        <v>8.5522296884544893E-2</v>
      </c>
      <c r="I333" s="613">
        <f t="shared" si="192"/>
        <v>0.25788171442253971</v>
      </c>
      <c r="J333" s="613">
        <f t="shared" si="192"/>
        <v>0</v>
      </c>
      <c r="K333" s="614">
        <f t="shared" si="192"/>
        <v>0</v>
      </c>
      <c r="L333" s="614">
        <f t="shared" si="192"/>
        <v>0</v>
      </c>
      <c r="M333" s="614">
        <f t="shared" si="192"/>
        <v>0</v>
      </c>
      <c r="N333" s="613">
        <f>IF(AE338&gt;0,(AE333/AE338),0)</f>
        <v>0.28918532634587901</v>
      </c>
      <c r="O333" s="613">
        <f t="shared" ref="O333:Q333" si="193">IF(AF338&gt;0,(AF333/AF338),0)</f>
        <v>0</v>
      </c>
      <c r="P333" s="615">
        <f t="shared" si="193"/>
        <v>0</v>
      </c>
      <c r="Q333" s="613">
        <f t="shared" si="193"/>
        <v>0</v>
      </c>
      <c r="R333" s="799"/>
      <c r="S333" s="856">
        <v>1657</v>
      </c>
      <c r="T333" s="856">
        <v>199</v>
      </c>
      <c r="U333" s="856">
        <v>576</v>
      </c>
      <c r="V333" s="856">
        <v>482</v>
      </c>
      <c r="W333" s="856">
        <v>177</v>
      </c>
      <c r="X333" s="856">
        <v>140</v>
      </c>
      <c r="Y333" s="857">
        <v>3231</v>
      </c>
      <c r="Z333" s="857"/>
      <c r="AA333" s="856"/>
      <c r="AB333" s="856"/>
      <c r="AC333" s="856"/>
      <c r="AD333" s="856"/>
      <c r="AE333" s="857">
        <v>607</v>
      </c>
      <c r="AF333" s="857"/>
      <c r="AG333" s="856"/>
      <c r="AH333" s="857"/>
    </row>
    <row r="334" spans="1:34">
      <c r="A334" s="239"/>
      <c r="B334" s="239" t="s">
        <v>93</v>
      </c>
      <c r="C334" s="806">
        <f>IF(S338&gt;0,(S334/S338),0)</f>
        <v>0.23818590964168254</v>
      </c>
      <c r="D334" s="806">
        <f t="shared" ref="D334:M334" si="194">IF(T338&gt;0,(T334/T338),0)</f>
        <v>0.29487179487179488</v>
      </c>
      <c r="E334" s="806">
        <f t="shared" si="194"/>
        <v>0.31713072203869752</v>
      </c>
      <c r="F334" s="806">
        <f t="shared" si="194"/>
        <v>0.27663551401869158</v>
      </c>
      <c r="G334" s="806">
        <f t="shared" si="194"/>
        <v>0.3246414602346806</v>
      </c>
      <c r="H334" s="806">
        <f t="shared" si="194"/>
        <v>0.28833231521075137</v>
      </c>
      <c r="I334" s="624">
        <f t="shared" si="194"/>
        <v>0.27113097613536596</v>
      </c>
      <c r="J334" s="624">
        <f t="shared" si="194"/>
        <v>0</v>
      </c>
      <c r="K334" s="625">
        <f t="shared" si="194"/>
        <v>0</v>
      </c>
      <c r="L334" s="625">
        <f t="shared" si="194"/>
        <v>0</v>
      </c>
      <c r="M334" s="625">
        <f t="shared" si="194"/>
        <v>0</v>
      </c>
      <c r="N334" s="624">
        <f>IF(AE338&gt;0,(AE334/AE338),0)</f>
        <v>0.24535493091948546</v>
      </c>
      <c r="O334" s="624">
        <f t="shared" ref="O334:Q334" si="195">IF(AF338&gt;0,(AF334/AF338),0)</f>
        <v>0</v>
      </c>
      <c r="P334" s="626">
        <f t="shared" si="195"/>
        <v>0</v>
      </c>
      <c r="Q334" s="624">
        <f t="shared" si="195"/>
        <v>0</v>
      </c>
      <c r="R334" s="357"/>
      <c r="S334" s="858">
        <v>1376</v>
      </c>
      <c r="T334" s="858">
        <v>184</v>
      </c>
      <c r="U334" s="858">
        <v>672</v>
      </c>
      <c r="V334" s="858">
        <v>444</v>
      </c>
      <c r="W334" s="858">
        <v>249</v>
      </c>
      <c r="X334" s="858">
        <v>472</v>
      </c>
      <c r="Y334" s="859">
        <v>3397</v>
      </c>
      <c r="Z334" s="859"/>
      <c r="AA334" s="858"/>
      <c r="AB334" s="858"/>
      <c r="AC334" s="858"/>
      <c r="AD334" s="858"/>
      <c r="AE334" s="859">
        <v>515</v>
      </c>
      <c r="AF334" s="859"/>
      <c r="AG334" s="858"/>
      <c r="AH334" s="859"/>
    </row>
    <row r="335" spans="1:34">
      <c r="A335" s="239"/>
      <c r="B335" s="239" t="s">
        <v>55</v>
      </c>
      <c r="C335" s="806">
        <f>IF(S338&gt;0,(S335/S338),0)</f>
        <v>0.28232646702440711</v>
      </c>
      <c r="D335" s="806">
        <f t="shared" ref="D335:M335" si="196">IF(T338&gt;0,(T335/T338),0)</f>
        <v>0.28044871794871795</v>
      </c>
      <c r="E335" s="806">
        <f t="shared" si="196"/>
        <v>0.28787163756488909</v>
      </c>
      <c r="F335" s="806">
        <f t="shared" si="196"/>
        <v>0.27975077881619936</v>
      </c>
      <c r="G335" s="806">
        <f t="shared" si="196"/>
        <v>0.24771838331160365</v>
      </c>
      <c r="H335" s="806">
        <f t="shared" si="196"/>
        <v>0.26084300549786194</v>
      </c>
      <c r="I335" s="624">
        <f t="shared" si="196"/>
        <v>0.27791523665096973</v>
      </c>
      <c r="J335" s="624">
        <f t="shared" si="196"/>
        <v>0</v>
      </c>
      <c r="K335" s="625">
        <f t="shared" si="196"/>
        <v>0</v>
      </c>
      <c r="L335" s="625">
        <f t="shared" si="196"/>
        <v>0</v>
      </c>
      <c r="M335" s="625">
        <f t="shared" si="196"/>
        <v>0</v>
      </c>
      <c r="N335" s="624">
        <f>IF(AE338&gt;0,(AE335/AE338),0)</f>
        <v>0.3301572177227251</v>
      </c>
      <c r="O335" s="624">
        <f t="shared" ref="O335:Q335" si="197">IF(AF338&gt;0,(AF335/AF338),0)</f>
        <v>0</v>
      </c>
      <c r="P335" s="626">
        <f t="shared" si="197"/>
        <v>0</v>
      </c>
      <c r="Q335" s="624">
        <f t="shared" si="197"/>
        <v>0</v>
      </c>
      <c r="R335" s="357"/>
      <c r="S335" s="858">
        <v>1631</v>
      </c>
      <c r="T335" s="858">
        <v>175</v>
      </c>
      <c r="U335" s="858">
        <v>610</v>
      </c>
      <c r="V335" s="858">
        <v>449</v>
      </c>
      <c r="W335" s="858">
        <v>190</v>
      </c>
      <c r="X335" s="858">
        <v>427</v>
      </c>
      <c r="Y335" s="859">
        <v>3482</v>
      </c>
      <c r="Z335" s="859"/>
      <c r="AA335" s="858"/>
      <c r="AB335" s="858"/>
      <c r="AC335" s="858"/>
      <c r="AD335" s="858"/>
      <c r="AE335" s="859">
        <v>693</v>
      </c>
      <c r="AF335" s="859"/>
      <c r="AG335" s="858"/>
      <c r="AH335" s="859"/>
    </row>
    <row r="336" spans="1:34">
      <c r="A336" s="239"/>
      <c r="B336" s="239" t="s">
        <v>78</v>
      </c>
      <c r="C336" s="806">
        <f>IF(S338&gt;0,(S336/S338),0)</f>
        <v>7.8933702613813397E-2</v>
      </c>
      <c r="D336" s="806">
        <f t="shared" ref="D336:M336" si="198">IF(T338&gt;0,(T336/T338),0)</f>
        <v>0.10576923076923077</v>
      </c>
      <c r="E336" s="806">
        <f t="shared" si="198"/>
        <v>0.10712600283152431</v>
      </c>
      <c r="F336" s="806">
        <f t="shared" si="198"/>
        <v>0.14330218068535824</v>
      </c>
      <c r="G336" s="806">
        <f t="shared" si="198"/>
        <v>5.867014341590613E-2</v>
      </c>
      <c r="H336" s="806">
        <f t="shared" si="198"/>
        <v>0.31643249847281613</v>
      </c>
      <c r="I336" s="624">
        <f t="shared" si="198"/>
        <v>0.12307446723601245</v>
      </c>
      <c r="J336" s="624">
        <f t="shared" si="198"/>
        <v>0</v>
      </c>
      <c r="K336" s="625">
        <f t="shared" si="198"/>
        <v>0</v>
      </c>
      <c r="L336" s="625">
        <f t="shared" si="198"/>
        <v>0</v>
      </c>
      <c r="M336" s="625">
        <f t="shared" si="198"/>
        <v>0</v>
      </c>
      <c r="N336" s="624">
        <f>IF(AE338&gt;0,(AE336/AE338),0)</f>
        <v>0.12577417818008577</v>
      </c>
      <c r="O336" s="624">
        <f t="shared" ref="O336:Q336" si="199">IF(AF338&gt;0,(AF336/AF338),0)</f>
        <v>0</v>
      </c>
      <c r="P336" s="626">
        <f t="shared" si="199"/>
        <v>0</v>
      </c>
      <c r="Q336" s="624">
        <f t="shared" si="199"/>
        <v>0</v>
      </c>
      <c r="R336" s="357"/>
      <c r="S336" s="858">
        <v>456</v>
      </c>
      <c r="T336" s="858">
        <v>66</v>
      </c>
      <c r="U336" s="858">
        <v>227</v>
      </c>
      <c r="V336" s="858">
        <v>230</v>
      </c>
      <c r="W336" s="858">
        <v>45</v>
      </c>
      <c r="X336" s="858">
        <v>518</v>
      </c>
      <c r="Y336" s="859">
        <v>1542</v>
      </c>
      <c r="Z336" s="859"/>
      <c r="AA336" s="858"/>
      <c r="AB336" s="858"/>
      <c r="AC336" s="858"/>
      <c r="AD336" s="858"/>
      <c r="AE336" s="859">
        <v>264</v>
      </c>
      <c r="AF336" s="859"/>
      <c r="AG336" s="858"/>
      <c r="AH336" s="859"/>
    </row>
    <row r="337" spans="1:34">
      <c r="A337" s="580"/>
      <c r="B337" s="580" t="s">
        <v>131</v>
      </c>
      <c r="C337" s="806">
        <f>IF(S338&gt;0,(S337/S338),0)</f>
        <v>0.1137268478449022</v>
      </c>
      <c r="D337" s="806">
        <f t="shared" ref="D337:M337" si="200">IF(T338&gt;0,(T337/T338),0)</f>
        <v>0</v>
      </c>
      <c r="E337" s="806">
        <f t="shared" si="200"/>
        <v>1.6045304388862671E-2</v>
      </c>
      <c r="F337" s="806">
        <f t="shared" si="200"/>
        <v>0</v>
      </c>
      <c r="G337" s="806">
        <f t="shared" si="200"/>
        <v>0.13820078226857888</v>
      </c>
      <c r="H337" s="806">
        <f t="shared" si="200"/>
        <v>4.8869883934025658E-2</v>
      </c>
      <c r="I337" s="624">
        <f t="shared" si="200"/>
        <v>6.9997605555112141E-2</v>
      </c>
      <c r="J337" s="624">
        <f t="shared" si="200"/>
        <v>0</v>
      </c>
      <c r="K337" s="625">
        <f t="shared" si="200"/>
        <v>0</v>
      </c>
      <c r="L337" s="625">
        <f t="shared" si="200"/>
        <v>0</v>
      </c>
      <c r="M337" s="625">
        <f t="shared" si="200"/>
        <v>0</v>
      </c>
      <c r="N337" s="624">
        <f>IF(AE338&gt;0,(AE337/AE338),0)</f>
        <v>9.5283468318246786E-3</v>
      </c>
      <c r="O337" s="624">
        <f t="shared" ref="O337:Q337" si="201">IF(AF338&gt;0,(AF337/AF338),0)</f>
        <v>0</v>
      </c>
      <c r="P337" s="626">
        <f t="shared" si="201"/>
        <v>0</v>
      </c>
      <c r="Q337" s="624">
        <f t="shared" si="201"/>
        <v>0</v>
      </c>
      <c r="R337" s="357"/>
      <c r="S337" s="858">
        <v>657</v>
      </c>
      <c r="T337" s="858"/>
      <c r="U337" s="858">
        <v>34</v>
      </c>
      <c r="V337" s="858"/>
      <c r="W337" s="858">
        <v>106</v>
      </c>
      <c r="X337" s="858">
        <v>80</v>
      </c>
      <c r="Y337" s="859">
        <v>877</v>
      </c>
      <c r="Z337" s="859"/>
      <c r="AA337" s="858"/>
      <c r="AB337" s="858"/>
      <c r="AC337" s="858"/>
      <c r="AD337" s="858"/>
      <c r="AE337" s="859">
        <v>20</v>
      </c>
      <c r="AF337" s="859"/>
      <c r="AG337" s="858"/>
      <c r="AH337" s="859"/>
    </row>
    <row r="338" spans="1:34">
      <c r="A338" s="436"/>
      <c r="B338" s="436" t="s">
        <v>59</v>
      </c>
      <c r="C338" s="807">
        <f>IF(S338&gt;0,(S338/S338),0)</f>
        <v>1</v>
      </c>
      <c r="D338" s="808">
        <f t="shared" ref="D338:M338" si="202">IF(T338&gt;0,(T338/T338),0)</f>
        <v>1</v>
      </c>
      <c r="E338" s="808">
        <f t="shared" si="202"/>
        <v>1</v>
      </c>
      <c r="F338" s="808">
        <f t="shared" si="202"/>
        <v>1</v>
      </c>
      <c r="G338" s="808">
        <f t="shared" si="202"/>
        <v>1</v>
      </c>
      <c r="H338" s="809">
        <f t="shared" si="202"/>
        <v>1</v>
      </c>
      <c r="I338" s="577">
        <f t="shared" si="202"/>
        <v>1</v>
      </c>
      <c r="J338" s="577">
        <f t="shared" si="202"/>
        <v>0</v>
      </c>
      <c r="K338" s="578">
        <f t="shared" si="202"/>
        <v>0</v>
      </c>
      <c r="L338" s="578">
        <f t="shared" si="202"/>
        <v>0</v>
      </c>
      <c r="M338" s="578">
        <f t="shared" si="202"/>
        <v>0</v>
      </c>
      <c r="N338" s="577">
        <f>IF(AE338&gt;0,(AE338/AE338),0)</f>
        <v>1</v>
      </c>
      <c r="O338" s="577">
        <f t="shared" ref="O338:Q338" si="203">IF(AF338&gt;0,(AF338/AF338),0)</f>
        <v>0</v>
      </c>
      <c r="P338" s="579">
        <f t="shared" si="203"/>
        <v>0</v>
      </c>
      <c r="Q338" s="577">
        <f t="shared" si="203"/>
        <v>0</v>
      </c>
      <c r="R338" s="357"/>
      <c r="S338" s="858">
        <v>5777</v>
      </c>
      <c r="T338" s="858">
        <v>624</v>
      </c>
      <c r="U338" s="858">
        <v>2119</v>
      </c>
      <c r="V338" s="858">
        <v>1605</v>
      </c>
      <c r="W338" s="858">
        <v>767</v>
      </c>
      <c r="X338" s="858">
        <v>1637</v>
      </c>
      <c r="Y338" s="859">
        <v>12529</v>
      </c>
      <c r="Z338" s="859"/>
      <c r="AA338" s="858"/>
      <c r="AB338" s="858"/>
      <c r="AC338" s="858"/>
      <c r="AD338" s="858"/>
      <c r="AE338" s="859">
        <v>2099</v>
      </c>
      <c r="AF338" s="859"/>
      <c r="AG338" s="858"/>
      <c r="AH338" s="859"/>
    </row>
    <row r="339" spans="1:34">
      <c r="A339" s="240" t="s">
        <v>163</v>
      </c>
      <c r="B339" s="240" t="s">
        <v>53</v>
      </c>
      <c r="C339" s="806">
        <f>IF(S344&gt;0,(S339/S344),0)</f>
        <v>0</v>
      </c>
      <c r="D339" s="806">
        <f t="shared" ref="D339:M339" si="204">IF(T344&gt;0,(T339/T344),0)</f>
        <v>0.42335766423357662</v>
      </c>
      <c r="E339" s="806">
        <f t="shared" si="204"/>
        <v>0.34090909090909088</v>
      </c>
      <c r="F339" s="806">
        <f t="shared" si="204"/>
        <v>0</v>
      </c>
      <c r="G339" s="806">
        <f t="shared" si="204"/>
        <v>0</v>
      </c>
      <c r="H339" s="806">
        <f t="shared" si="204"/>
        <v>0</v>
      </c>
      <c r="I339" s="613">
        <f t="shared" si="204"/>
        <v>0.39537126325940214</v>
      </c>
      <c r="J339" s="613">
        <f t="shared" si="204"/>
        <v>0</v>
      </c>
      <c r="K339" s="614">
        <f t="shared" si="204"/>
        <v>0</v>
      </c>
      <c r="L339" s="614">
        <f t="shared" si="204"/>
        <v>0</v>
      </c>
      <c r="M339" s="614">
        <f t="shared" si="204"/>
        <v>0</v>
      </c>
      <c r="N339" s="613">
        <f>IF(AE344&gt;0,(AE339/AE344),0)</f>
        <v>0.4024767801857585</v>
      </c>
      <c r="O339" s="613">
        <f t="shared" ref="O339:Q339" si="205">IF(AF344&gt;0,(AF339/AF344),0)</f>
        <v>0</v>
      </c>
      <c r="P339" s="615">
        <f t="shared" si="205"/>
        <v>0</v>
      </c>
      <c r="Q339" s="613">
        <f t="shared" si="205"/>
        <v>0</v>
      </c>
      <c r="R339" s="799"/>
      <c r="S339" s="856"/>
      <c r="T339" s="856">
        <v>290</v>
      </c>
      <c r="U339" s="856">
        <v>120</v>
      </c>
      <c r="V339" s="856"/>
      <c r="W339" s="856"/>
      <c r="X339" s="856"/>
      <c r="Y339" s="857">
        <v>410</v>
      </c>
      <c r="Z339" s="857"/>
      <c r="AA339" s="856"/>
      <c r="AB339" s="856"/>
      <c r="AC339" s="856"/>
      <c r="AD339" s="856"/>
      <c r="AE339" s="857">
        <v>130</v>
      </c>
      <c r="AF339" s="857"/>
      <c r="AG339" s="856"/>
      <c r="AH339" s="857"/>
    </row>
    <row r="340" spans="1:34">
      <c r="A340" s="239"/>
      <c r="B340" s="239" t="s">
        <v>93</v>
      </c>
      <c r="C340" s="806">
        <f>IF(S344&gt;0,(S340/S344),0)</f>
        <v>0</v>
      </c>
      <c r="D340" s="806">
        <f t="shared" ref="D340:M340" si="206">IF(T344&gt;0,(T340/T344),0)</f>
        <v>0.25547445255474455</v>
      </c>
      <c r="E340" s="806">
        <f t="shared" si="206"/>
        <v>0.32670454545454547</v>
      </c>
      <c r="F340" s="806">
        <f t="shared" si="206"/>
        <v>0</v>
      </c>
      <c r="G340" s="806">
        <f t="shared" si="206"/>
        <v>0</v>
      </c>
      <c r="H340" s="806">
        <f t="shared" si="206"/>
        <v>0</v>
      </c>
      <c r="I340" s="624">
        <f t="shared" si="206"/>
        <v>0.27965284474445518</v>
      </c>
      <c r="J340" s="624">
        <f t="shared" si="206"/>
        <v>0</v>
      </c>
      <c r="K340" s="625">
        <f t="shared" si="206"/>
        <v>0</v>
      </c>
      <c r="L340" s="625">
        <f t="shared" si="206"/>
        <v>0</v>
      </c>
      <c r="M340" s="625">
        <f t="shared" si="206"/>
        <v>0</v>
      </c>
      <c r="N340" s="624">
        <f>IF(AE344&gt;0,(AE340/AE344),0)</f>
        <v>0.1826625386996904</v>
      </c>
      <c r="O340" s="624">
        <f t="shared" ref="O340:Q340" si="207">IF(AF344&gt;0,(AF340/AF344),0)</f>
        <v>0</v>
      </c>
      <c r="P340" s="626">
        <f t="shared" si="207"/>
        <v>0</v>
      </c>
      <c r="Q340" s="624">
        <f t="shared" si="207"/>
        <v>0</v>
      </c>
      <c r="R340" s="357"/>
      <c r="S340" s="858"/>
      <c r="T340" s="858">
        <v>175</v>
      </c>
      <c r="U340" s="858">
        <v>115</v>
      </c>
      <c r="V340" s="858"/>
      <c r="W340" s="858"/>
      <c r="X340" s="858"/>
      <c r="Y340" s="859">
        <v>290</v>
      </c>
      <c r="Z340" s="859"/>
      <c r="AA340" s="858"/>
      <c r="AB340" s="858"/>
      <c r="AC340" s="858"/>
      <c r="AD340" s="858"/>
      <c r="AE340" s="859">
        <v>59</v>
      </c>
      <c r="AF340" s="859"/>
      <c r="AG340" s="858"/>
      <c r="AH340" s="859"/>
    </row>
    <row r="341" spans="1:34">
      <c r="A341" s="239"/>
      <c r="B341" s="239" t="s">
        <v>55</v>
      </c>
      <c r="C341" s="806">
        <f>IF(S344&gt;0,(S341/S344),0)</f>
        <v>0</v>
      </c>
      <c r="D341" s="806">
        <f t="shared" ref="D341:M341" si="208">IF(T344&gt;0,(T341/T344),0)</f>
        <v>0.17664233576642335</v>
      </c>
      <c r="E341" s="806">
        <f t="shared" si="208"/>
        <v>0.32670454545454547</v>
      </c>
      <c r="F341" s="806">
        <f t="shared" si="208"/>
        <v>0</v>
      </c>
      <c r="G341" s="806">
        <f t="shared" si="208"/>
        <v>0</v>
      </c>
      <c r="H341" s="806">
        <f t="shared" si="208"/>
        <v>0</v>
      </c>
      <c r="I341" s="624">
        <f t="shared" si="208"/>
        <v>0.22757955641272903</v>
      </c>
      <c r="J341" s="624">
        <f t="shared" si="208"/>
        <v>0</v>
      </c>
      <c r="K341" s="625">
        <f t="shared" si="208"/>
        <v>0</v>
      </c>
      <c r="L341" s="625">
        <f t="shared" si="208"/>
        <v>0</v>
      </c>
      <c r="M341" s="625">
        <f t="shared" si="208"/>
        <v>0</v>
      </c>
      <c r="N341" s="624">
        <f>IF(AE344&gt;0,(AE341/AE344),0)</f>
        <v>0.41176470588235292</v>
      </c>
      <c r="O341" s="624">
        <f t="shared" ref="O341:Q341" si="209">IF(AF344&gt;0,(AF341/AF344),0)</f>
        <v>0</v>
      </c>
      <c r="P341" s="626">
        <f t="shared" si="209"/>
        <v>0</v>
      </c>
      <c r="Q341" s="624">
        <f t="shared" si="209"/>
        <v>0</v>
      </c>
      <c r="R341" s="357"/>
      <c r="S341" s="858"/>
      <c r="T341" s="858">
        <v>121</v>
      </c>
      <c r="U341" s="858">
        <v>115</v>
      </c>
      <c r="V341" s="858"/>
      <c r="W341" s="858"/>
      <c r="X341" s="858"/>
      <c r="Y341" s="859">
        <v>236</v>
      </c>
      <c r="Z341" s="859"/>
      <c r="AA341" s="858"/>
      <c r="AB341" s="858"/>
      <c r="AC341" s="858"/>
      <c r="AD341" s="858"/>
      <c r="AE341" s="859">
        <v>133</v>
      </c>
      <c r="AF341" s="859"/>
      <c r="AG341" s="858"/>
      <c r="AH341" s="859"/>
    </row>
    <row r="342" spans="1:34">
      <c r="A342" s="239"/>
      <c r="B342" s="239" t="s">
        <v>78</v>
      </c>
      <c r="C342" s="806">
        <f>IF(S344&gt;0,(S342/S344),0)</f>
        <v>0</v>
      </c>
      <c r="D342" s="806">
        <f t="shared" ref="D342:M342" si="210">IF(T344&gt;0,(T342/T344),0)</f>
        <v>1.0218978102189781E-2</v>
      </c>
      <c r="E342" s="806">
        <f t="shared" si="210"/>
        <v>5.681818181818182E-3</v>
      </c>
      <c r="F342" s="806">
        <f t="shared" si="210"/>
        <v>0</v>
      </c>
      <c r="G342" s="806">
        <f t="shared" si="210"/>
        <v>0</v>
      </c>
      <c r="H342" s="806">
        <f t="shared" si="210"/>
        <v>0</v>
      </c>
      <c r="I342" s="624">
        <f t="shared" si="210"/>
        <v>8.6788813886210219E-3</v>
      </c>
      <c r="J342" s="624">
        <f t="shared" si="210"/>
        <v>0</v>
      </c>
      <c r="K342" s="625">
        <f t="shared" si="210"/>
        <v>0</v>
      </c>
      <c r="L342" s="625">
        <f t="shared" si="210"/>
        <v>0</v>
      </c>
      <c r="M342" s="625">
        <f t="shared" si="210"/>
        <v>0</v>
      </c>
      <c r="N342" s="624">
        <f>IF(AE344&gt;0,(AE342/AE344),0)</f>
        <v>3.0959752321981426E-3</v>
      </c>
      <c r="O342" s="624">
        <f t="shared" ref="O342:Q342" si="211">IF(AF344&gt;0,(AF342/AF344),0)</f>
        <v>0</v>
      </c>
      <c r="P342" s="626">
        <f t="shared" si="211"/>
        <v>0</v>
      </c>
      <c r="Q342" s="624">
        <f t="shared" si="211"/>
        <v>0</v>
      </c>
      <c r="R342" s="357"/>
      <c r="S342" s="858"/>
      <c r="T342" s="858">
        <v>7</v>
      </c>
      <c r="U342" s="858">
        <v>2</v>
      </c>
      <c r="V342" s="858"/>
      <c r="W342" s="858"/>
      <c r="X342" s="858"/>
      <c r="Y342" s="859">
        <v>9</v>
      </c>
      <c r="Z342" s="859"/>
      <c r="AA342" s="858"/>
      <c r="AB342" s="858"/>
      <c r="AC342" s="858"/>
      <c r="AD342" s="858"/>
      <c r="AE342" s="859">
        <v>1</v>
      </c>
      <c r="AF342" s="859"/>
      <c r="AG342" s="858"/>
      <c r="AH342" s="859"/>
    </row>
    <row r="343" spans="1:34">
      <c r="A343" s="580"/>
      <c r="B343" s="580" t="s">
        <v>131</v>
      </c>
      <c r="C343" s="806">
        <f>IF(S344&gt;0,(S343/S344),0)</f>
        <v>0</v>
      </c>
      <c r="D343" s="806">
        <f t="shared" ref="D343:M343" si="212">IF(T344&gt;0,(T343/T344),0)</f>
        <v>0.1343065693430657</v>
      </c>
      <c r="E343" s="806">
        <f t="shared" si="212"/>
        <v>0</v>
      </c>
      <c r="F343" s="806">
        <f t="shared" si="212"/>
        <v>0</v>
      </c>
      <c r="G343" s="806">
        <f t="shared" si="212"/>
        <v>0</v>
      </c>
      <c r="H343" s="806">
        <f t="shared" si="212"/>
        <v>0</v>
      </c>
      <c r="I343" s="624">
        <f t="shared" si="212"/>
        <v>8.8717454194792669E-2</v>
      </c>
      <c r="J343" s="624">
        <f t="shared" si="212"/>
        <v>0</v>
      </c>
      <c r="K343" s="625">
        <f t="shared" si="212"/>
        <v>0</v>
      </c>
      <c r="L343" s="625">
        <f t="shared" si="212"/>
        <v>0</v>
      </c>
      <c r="M343" s="625">
        <f t="shared" si="212"/>
        <v>0</v>
      </c>
      <c r="N343" s="624">
        <f>IF(AE344&gt;0,(AE343/AE344),0)</f>
        <v>0</v>
      </c>
      <c r="O343" s="624">
        <f t="shared" ref="O343:Q343" si="213">IF(AF344&gt;0,(AF343/AF344),0)</f>
        <v>0</v>
      </c>
      <c r="P343" s="626">
        <f t="shared" si="213"/>
        <v>0</v>
      </c>
      <c r="Q343" s="624">
        <f t="shared" si="213"/>
        <v>0</v>
      </c>
      <c r="R343" s="357"/>
      <c r="S343" s="858"/>
      <c r="T343" s="858">
        <v>92</v>
      </c>
      <c r="U343" s="858"/>
      <c r="V343" s="858"/>
      <c r="W343" s="858"/>
      <c r="X343" s="858"/>
      <c r="Y343" s="859">
        <v>92</v>
      </c>
      <c r="Z343" s="859"/>
      <c r="AA343" s="858"/>
      <c r="AB343" s="858"/>
      <c r="AC343" s="858"/>
      <c r="AD343" s="858"/>
      <c r="AE343" s="859"/>
      <c r="AF343" s="859"/>
      <c r="AG343" s="858"/>
      <c r="AH343" s="859"/>
    </row>
    <row r="344" spans="1:34">
      <c r="A344" s="436"/>
      <c r="B344" s="436" t="s">
        <v>59</v>
      </c>
      <c r="C344" s="807">
        <f>IF(S344&gt;0,(S344/S344),0)</f>
        <v>0</v>
      </c>
      <c r="D344" s="808">
        <f t="shared" ref="D344:M344" si="214">IF(T344&gt;0,(T344/T344),0)</f>
        <v>1</v>
      </c>
      <c r="E344" s="808">
        <f t="shared" si="214"/>
        <v>1</v>
      </c>
      <c r="F344" s="808">
        <f t="shared" si="214"/>
        <v>0</v>
      </c>
      <c r="G344" s="808">
        <f t="shared" si="214"/>
        <v>0</v>
      </c>
      <c r="H344" s="809">
        <f t="shared" si="214"/>
        <v>0</v>
      </c>
      <c r="I344" s="577">
        <f t="shared" si="214"/>
        <v>1</v>
      </c>
      <c r="J344" s="577">
        <f t="shared" si="214"/>
        <v>0</v>
      </c>
      <c r="K344" s="578">
        <f t="shared" si="214"/>
        <v>0</v>
      </c>
      <c r="L344" s="578">
        <f t="shared" si="214"/>
        <v>0</v>
      </c>
      <c r="M344" s="578">
        <f t="shared" si="214"/>
        <v>0</v>
      </c>
      <c r="N344" s="577">
        <f>IF(AE344&gt;0,(AE344/AE344),0)</f>
        <v>1</v>
      </c>
      <c r="O344" s="577">
        <f t="shared" ref="O344:Q344" si="215">IF(AF344&gt;0,(AF344/AF344),0)</f>
        <v>0</v>
      </c>
      <c r="P344" s="579">
        <f t="shared" si="215"/>
        <v>0</v>
      </c>
      <c r="Q344" s="577">
        <f t="shared" si="215"/>
        <v>0</v>
      </c>
      <c r="R344" s="357"/>
      <c r="S344" s="858"/>
      <c r="T344" s="858">
        <v>685</v>
      </c>
      <c r="U344" s="858">
        <v>352</v>
      </c>
      <c r="V344" s="858"/>
      <c r="W344" s="858"/>
      <c r="X344" s="858"/>
      <c r="Y344" s="859">
        <v>1037</v>
      </c>
      <c r="Z344" s="859"/>
      <c r="AA344" s="858"/>
      <c r="AB344" s="858"/>
      <c r="AC344" s="858"/>
      <c r="AD344" s="858"/>
      <c r="AE344" s="859">
        <v>323</v>
      </c>
      <c r="AF344" s="859"/>
      <c r="AG344" s="858"/>
      <c r="AH344" s="859"/>
    </row>
    <row r="345" spans="1:34">
      <c r="A345" s="240" t="s">
        <v>166</v>
      </c>
      <c r="B345" s="240" t="s">
        <v>53</v>
      </c>
      <c r="C345" s="806">
        <f>IF(S350&gt;0,(S345/S350),0)</f>
        <v>0</v>
      </c>
      <c r="D345" s="806">
        <f t="shared" ref="D345:M345" si="216">IF(T350&gt;0,(T345/T350),0)</f>
        <v>0.25577557755775576</v>
      </c>
      <c r="E345" s="806">
        <f t="shared" si="216"/>
        <v>0</v>
      </c>
      <c r="F345" s="806">
        <f t="shared" si="216"/>
        <v>0</v>
      </c>
      <c r="G345" s="806">
        <f t="shared" si="216"/>
        <v>0.5625</v>
      </c>
      <c r="H345" s="806">
        <f t="shared" si="216"/>
        <v>0.39316239316239315</v>
      </c>
      <c r="I345" s="613">
        <f t="shared" si="216"/>
        <v>0.30855855855855857</v>
      </c>
      <c r="J345" s="613">
        <f t="shared" si="216"/>
        <v>0</v>
      </c>
      <c r="K345" s="614">
        <f t="shared" si="216"/>
        <v>0</v>
      </c>
      <c r="L345" s="614">
        <f t="shared" si="216"/>
        <v>0</v>
      </c>
      <c r="M345" s="614">
        <f t="shared" si="216"/>
        <v>0</v>
      </c>
      <c r="N345" s="613">
        <f>IF(AE350&gt;0,(AE345/AE350),0)</f>
        <v>0</v>
      </c>
      <c r="O345" s="613">
        <f t="shared" ref="O345:Q345" si="217">IF(AF350&gt;0,(AF345/AF350),0)</f>
        <v>0</v>
      </c>
      <c r="P345" s="615">
        <f t="shared" si="217"/>
        <v>0</v>
      </c>
      <c r="Q345" s="613">
        <f t="shared" si="217"/>
        <v>0</v>
      </c>
      <c r="R345" s="799"/>
      <c r="S345" s="856"/>
      <c r="T345" s="856">
        <v>155</v>
      </c>
      <c r="U345" s="856"/>
      <c r="V345" s="856"/>
      <c r="W345" s="856">
        <v>27</v>
      </c>
      <c r="X345" s="856">
        <v>92</v>
      </c>
      <c r="Y345" s="857">
        <v>274</v>
      </c>
      <c r="Z345" s="857"/>
      <c r="AA345" s="856"/>
      <c r="AB345" s="856"/>
      <c r="AC345" s="856"/>
      <c r="AD345" s="856"/>
      <c r="AE345" s="857"/>
      <c r="AF345" s="857"/>
      <c r="AG345" s="856"/>
      <c r="AH345" s="857"/>
    </row>
    <row r="346" spans="1:34">
      <c r="A346" s="239"/>
      <c r="B346" s="239" t="s">
        <v>93</v>
      </c>
      <c r="C346" s="806">
        <f>IF(S350&gt;0,(S346/S350),0)</f>
        <v>0</v>
      </c>
      <c r="D346" s="806">
        <f t="shared" ref="D346:M346" si="218">IF(T350&gt;0,(T346/T350),0)</f>
        <v>0.34653465346534651</v>
      </c>
      <c r="E346" s="806">
        <f t="shared" si="218"/>
        <v>0</v>
      </c>
      <c r="F346" s="806">
        <f t="shared" si="218"/>
        <v>0</v>
      </c>
      <c r="G346" s="806">
        <f t="shared" si="218"/>
        <v>0.16666666666666666</v>
      </c>
      <c r="H346" s="806">
        <f t="shared" si="218"/>
        <v>0.21794871794871795</v>
      </c>
      <c r="I346" s="624">
        <f t="shared" si="218"/>
        <v>0.30292792792792794</v>
      </c>
      <c r="J346" s="624">
        <f t="shared" si="218"/>
        <v>0</v>
      </c>
      <c r="K346" s="625">
        <f t="shared" si="218"/>
        <v>0</v>
      </c>
      <c r="L346" s="625">
        <f t="shared" si="218"/>
        <v>0</v>
      </c>
      <c r="M346" s="625">
        <f t="shared" si="218"/>
        <v>0</v>
      </c>
      <c r="N346" s="624">
        <f>IF(AE350&gt;0,(AE346/AE350),0)</f>
        <v>0</v>
      </c>
      <c r="O346" s="624">
        <f t="shared" ref="O346:Q346" si="219">IF(AF350&gt;0,(AF346/AF350),0)</f>
        <v>0</v>
      </c>
      <c r="P346" s="626">
        <f t="shared" si="219"/>
        <v>0</v>
      </c>
      <c r="Q346" s="624">
        <f t="shared" si="219"/>
        <v>0</v>
      </c>
      <c r="R346" s="357"/>
      <c r="S346" s="858"/>
      <c r="T346" s="858">
        <v>210</v>
      </c>
      <c r="U346" s="858"/>
      <c r="V346" s="858"/>
      <c r="W346" s="858">
        <v>8</v>
      </c>
      <c r="X346" s="858">
        <v>51</v>
      </c>
      <c r="Y346" s="859">
        <v>269</v>
      </c>
      <c r="Z346" s="859"/>
      <c r="AA346" s="858"/>
      <c r="AB346" s="858"/>
      <c r="AC346" s="858"/>
      <c r="AD346" s="858"/>
      <c r="AE346" s="859"/>
      <c r="AF346" s="859"/>
      <c r="AG346" s="858"/>
      <c r="AH346" s="859"/>
    </row>
    <row r="347" spans="1:34">
      <c r="A347" s="239"/>
      <c r="B347" s="239" t="s">
        <v>55</v>
      </c>
      <c r="C347" s="806">
        <f>IF(S350&gt;0,(S347/S350),0)</f>
        <v>0</v>
      </c>
      <c r="D347" s="806">
        <f t="shared" ref="D347:M347" si="220">IF(T350&gt;0,(T347/T350),0)</f>
        <v>0.18811881188118812</v>
      </c>
      <c r="E347" s="806">
        <f t="shared" si="220"/>
        <v>0</v>
      </c>
      <c r="F347" s="806">
        <f t="shared" si="220"/>
        <v>0</v>
      </c>
      <c r="G347" s="806">
        <f t="shared" si="220"/>
        <v>0.27083333333333331</v>
      </c>
      <c r="H347" s="806">
        <f t="shared" si="220"/>
        <v>0.36752136752136755</v>
      </c>
      <c r="I347" s="624">
        <f t="shared" si="220"/>
        <v>0.23986486486486486</v>
      </c>
      <c r="J347" s="624">
        <f t="shared" si="220"/>
        <v>0</v>
      </c>
      <c r="K347" s="625">
        <f t="shared" si="220"/>
        <v>0</v>
      </c>
      <c r="L347" s="625">
        <f t="shared" si="220"/>
        <v>0</v>
      </c>
      <c r="M347" s="625">
        <f t="shared" si="220"/>
        <v>0</v>
      </c>
      <c r="N347" s="624">
        <f>IF(AE350&gt;0,(AE347/AE350),0)</f>
        <v>0</v>
      </c>
      <c r="O347" s="624">
        <f t="shared" ref="O347:Q347" si="221">IF(AF350&gt;0,(AF347/AF350),0)</f>
        <v>0</v>
      </c>
      <c r="P347" s="626">
        <f t="shared" si="221"/>
        <v>0</v>
      </c>
      <c r="Q347" s="624">
        <f t="shared" si="221"/>
        <v>0</v>
      </c>
      <c r="R347" s="357"/>
      <c r="S347" s="858"/>
      <c r="T347" s="858">
        <v>114</v>
      </c>
      <c r="U347" s="858"/>
      <c r="V347" s="858"/>
      <c r="W347" s="858">
        <v>13</v>
      </c>
      <c r="X347" s="858">
        <v>86</v>
      </c>
      <c r="Y347" s="859">
        <v>213</v>
      </c>
      <c r="Z347" s="859"/>
      <c r="AA347" s="858"/>
      <c r="AB347" s="858"/>
      <c r="AC347" s="858"/>
      <c r="AD347" s="858"/>
      <c r="AE347" s="859"/>
      <c r="AF347" s="859"/>
      <c r="AG347" s="858"/>
      <c r="AH347" s="859"/>
    </row>
    <row r="348" spans="1:34">
      <c r="A348" s="239"/>
      <c r="B348" s="239" t="s">
        <v>78</v>
      </c>
      <c r="C348" s="806">
        <f>IF(S350&gt;0,(S348/S350),0)</f>
        <v>0</v>
      </c>
      <c r="D348" s="806">
        <f t="shared" ref="D348:M348" si="222">IF(T350&gt;0,(T348/T350),0)</f>
        <v>1.155115511551155E-2</v>
      </c>
      <c r="E348" s="806">
        <f t="shared" si="222"/>
        <v>0</v>
      </c>
      <c r="F348" s="806">
        <f t="shared" si="222"/>
        <v>0</v>
      </c>
      <c r="G348" s="806">
        <f t="shared" si="222"/>
        <v>0</v>
      </c>
      <c r="H348" s="806">
        <f t="shared" si="222"/>
        <v>2.1367521367521368E-2</v>
      </c>
      <c r="I348" s="624">
        <f t="shared" si="222"/>
        <v>1.3513513513513514E-2</v>
      </c>
      <c r="J348" s="624">
        <f t="shared" si="222"/>
        <v>0</v>
      </c>
      <c r="K348" s="625">
        <f t="shared" si="222"/>
        <v>0</v>
      </c>
      <c r="L348" s="625">
        <f t="shared" si="222"/>
        <v>0</v>
      </c>
      <c r="M348" s="625">
        <f t="shared" si="222"/>
        <v>0</v>
      </c>
      <c r="N348" s="624">
        <f>IF(AE350&gt;0,(AE348/AE350),0)</f>
        <v>0</v>
      </c>
      <c r="O348" s="624">
        <f t="shared" ref="O348:Q348" si="223">IF(AF350&gt;0,(AF348/AF350),0)</f>
        <v>0</v>
      </c>
      <c r="P348" s="626">
        <f t="shared" si="223"/>
        <v>0</v>
      </c>
      <c r="Q348" s="624">
        <f t="shared" si="223"/>
        <v>0</v>
      </c>
      <c r="R348" s="357"/>
      <c r="S348" s="858"/>
      <c r="T348" s="858">
        <v>7</v>
      </c>
      <c r="U348" s="858"/>
      <c r="V348" s="858"/>
      <c r="W348" s="858"/>
      <c r="X348" s="858">
        <v>5</v>
      </c>
      <c r="Y348" s="859">
        <v>12</v>
      </c>
      <c r="Z348" s="859"/>
      <c r="AA348" s="858"/>
      <c r="AB348" s="858"/>
      <c r="AC348" s="858"/>
      <c r="AD348" s="858"/>
      <c r="AE348" s="859"/>
      <c r="AF348" s="859"/>
      <c r="AG348" s="858"/>
      <c r="AH348" s="859"/>
    </row>
    <row r="349" spans="1:34">
      <c r="A349" s="580"/>
      <c r="B349" s="580" t="s">
        <v>131</v>
      </c>
      <c r="C349" s="806">
        <f>IF(S350&gt;0,(S349/S350),0)</f>
        <v>0</v>
      </c>
      <c r="D349" s="806">
        <f t="shared" ref="D349:M349" si="224">IF(T350&gt;0,(T349/T350),0)</f>
        <v>0.19801980198019803</v>
      </c>
      <c r="E349" s="806">
        <f t="shared" si="224"/>
        <v>0</v>
      </c>
      <c r="F349" s="806">
        <f t="shared" si="224"/>
        <v>0</v>
      </c>
      <c r="G349" s="806">
        <f t="shared" si="224"/>
        <v>0</v>
      </c>
      <c r="H349" s="806">
        <f t="shared" si="224"/>
        <v>0</v>
      </c>
      <c r="I349" s="624">
        <f t="shared" si="224"/>
        <v>0.13513513513513514</v>
      </c>
      <c r="J349" s="624">
        <f t="shared" si="224"/>
        <v>0</v>
      </c>
      <c r="K349" s="625">
        <f t="shared" si="224"/>
        <v>0</v>
      </c>
      <c r="L349" s="625">
        <f t="shared" si="224"/>
        <v>0</v>
      </c>
      <c r="M349" s="625">
        <f t="shared" si="224"/>
        <v>0</v>
      </c>
      <c r="N349" s="624">
        <f>IF(AE350&gt;0,(AE349/AE350),0)</f>
        <v>0</v>
      </c>
      <c r="O349" s="624">
        <f t="shared" ref="O349:Q349" si="225">IF(AF350&gt;0,(AF349/AF350),0)</f>
        <v>0</v>
      </c>
      <c r="P349" s="626">
        <f t="shared" si="225"/>
        <v>0</v>
      </c>
      <c r="Q349" s="624">
        <f t="shared" si="225"/>
        <v>0</v>
      </c>
      <c r="R349" s="357"/>
      <c r="S349" s="858"/>
      <c r="T349" s="858">
        <v>120</v>
      </c>
      <c r="U349" s="858"/>
      <c r="V349" s="858"/>
      <c r="W349" s="858"/>
      <c r="X349" s="858"/>
      <c r="Y349" s="859">
        <v>120</v>
      </c>
      <c r="Z349" s="859"/>
      <c r="AA349" s="858"/>
      <c r="AB349" s="858"/>
      <c r="AC349" s="858"/>
      <c r="AD349" s="858"/>
      <c r="AE349" s="859"/>
      <c r="AF349" s="859"/>
      <c r="AG349" s="858"/>
      <c r="AH349" s="859"/>
    </row>
    <row r="350" spans="1:34">
      <c r="A350" s="436"/>
      <c r="B350" s="436" t="s">
        <v>59</v>
      </c>
      <c r="C350" s="807">
        <f>IF(S350&gt;0,(S350/S350),0)</f>
        <v>0</v>
      </c>
      <c r="D350" s="808">
        <f t="shared" ref="D350:M350" si="226">IF(T350&gt;0,(T350/T350),0)</f>
        <v>1</v>
      </c>
      <c r="E350" s="808">
        <f t="shared" si="226"/>
        <v>0</v>
      </c>
      <c r="F350" s="808">
        <f t="shared" si="226"/>
        <v>0</v>
      </c>
      <c r="G350" s="808">
        <f t="shared" si="226"/>
        <v>1</v>
      </c>
      <c r="H350" s="809">
        <f t="shared" si="226"/>
        <v>1</v>
      </c>
      <c r="I350" s="577">
        <f t="shared" si="226"/>
        <v>1</v>
      </c>
      <c r="J350" s="577">
        <f t="shared" si="226"/>
        <v>0</v>
      </c>
      <c r="K350" s="578">
        <f t="shared" si="226"/>
        <v>0</v>
      </c>
      <c r="L350" s="578">
        <f t="shared" si="226"/>
        <v>0</v>
      </c>
      <c r="M350" s="578">
        <f t="shared" si="226"/>
        <v>0</v>
      </c>
      <c r="N350" s="577">
        <f>IF(AE350&gt;0,(AE350/AE350),0)</f>
        <v>0</v>
      </c>
      <c r="O350" s="577">
        <f t="shared" ref="O350:Q350" si="227">IF(AF350&gt;0,(AF350/AF350),0)</f>
        <v>0</v>
      </c>
      <c r="P350" s="579">
        <f t="shared" si="227"/>
        <v>0</v>
      </c>
      <c r="Q350" s="577">
        <f t="shared" si="227"/>
        <v>0</v>
      </c>
      <c r="R350" s="357"/>
      <c r="S350" s="858"/>
      <c r="T350" s="858">
        <v>606</v>
      </c>
      <c r="U350" s="858"/>
      <c r="V350" s="858"/>
      <c r="W350" s="858">
        <v>48</v>
      </c>
      <c r="X350" s="858">
        <v>234</v>
      </c>
      <c r="Y350" s="859">
        <v>888</v>
      </c>
      <c r="Z350" s="859"/>
      <c r="AA350" s="858"/>
      <c r="AB350" s="858"/>
      <c r="AC350" s="858"/>
      <c r="AD350" s="858"/>
      <c r="AE350" s="859"/>
      <c r="AF350" s="859"/>
      <c r="AG350" s="858"/>
      <c r="AH350" s="859"/>
    </row>
    <row r="351" spans="1:34">
      <c r="A351" s="240" t="s">
        <v>170</v>
      </c>
      <c r="B351" s="240" t="s">
        <v>53</v>
      </c>
      <c r="C351" s="806">
        <f>IF(S356&gt;0,(S351/S356),0)</f>
        <v>0</v>
      </c>
      <c r="D351" s="806">
        <f t="shared" ref="D351:M351" si="228">IF(T356&gt;0,(T351/T356),0)</f>
        <v>0</v>
      </c>
      <c r="E351" s="806">
        <f t="shared" si="228"/>
        <v>0</v>
      </c>
      <c r="F351" s="806">
        <f t="shared" si="228"/>
        <v>0.30232558139534882</v>
      </c>
      <c r="G351" s="806">
        <f t="shared" si="228"/>
        <v>0</v>
      </c>
      <c r="H351" s="806">
        <f t="shared" si="228"/>
        <v>0</v>
      </c>
      <c r="I351" s="613">
        <f t="shared" si="228"/>
        <v>0.30232558139534882</v>
      </c>
      <c r="J351" s="613">
        <f t="shared" si="228"/>
        <v>0</v>
      </c>
      <c r="K351" s="614">
        <f t="shared" si="228"/>
        <v>0</v>
      </c>
      <c r="L351" s="614">
        <f t="shared" si="228"/>
        <v>0</v>
      </c>
      <c r="M351" s="614">
        <f t="shared" si="228"/>
        <v>0</v>
      </c>
      <c r="N351" s="613">
        <f>IF(AE356&gt;0,(AE351/AE356),0)</f>
        <v>0</v>
      </c>
      <c r="O351" s="613">
        <f t="shared" ref="O351:Q351" si="229">IF(AF356&gt;0,(AF351/AF356),0)</f>
        <v>0</v>
      </c>
      <c r="P351" s="615">
        <f t="shared" si="229"/>
        <v>0</v>
      </c>
      <c r="Q351" s="613">
        <f t="shared" si="229"/>
        <v>0</v>
      </c>
      <c r="R351" s="799"/>
      <c r="S351" s="856"/>
      <c r="T351" s="856"/>
      <c r="U351" s="856"/>
      <c r="V351" s="856">
        <v>78</v>
      </c>
      <c r="W351" s="856"/>
      <c r="X351" s="856"/>
      <c r="Y351" s="857">
        <v>78</v>
      </c>
      <c r="Z351" s="857"/>
      <c r="AA351" s="856"/>
      <c r="AB351" s="856"/>
      <c r="AC351" s="856"/>
      <c r="AD351" s="856"/>
      <c r="AE351" s="857"/>
      <c r="AF351" s="857"/>
      <c r="AG351" s="856"/>
      <c r="AH351" s="857"/>
    </row>
    <row r="352" spans="1:34">
      <c r="A352" s="239"/>
      <c r="B352" s="239" t="s">
        <v>93</v>
      </c>
      <c r="C352" s="806">
        <f>IF(S356&gt;0,(S352/S356),0)</f>
        <v>0</v>
      </c>
      <c r="D352" s="806">
        <f t="shared" ref="D352:M352" si="230">IF(T356&gt;0,(T352/T356),0)</f>
        <v>0</v>
      </c>
      <c r="E352" s="806">
        <f t="shared" si="230"/>
        <v>0</v>
      </c>
      <c r="F352" s="806">
        <f t="shared" si="230"/>
        <v>0.32170542635658916</v>
      </c>
      <c r="G352" s="806">
        <f t="shared" si="230"/>
        <v>0</v>
      </c>
      <c r="H352" s="806">
        <f t="shared" si="230"/>
        <v>0</v>
      </c>
      <c r="I352" s="624">
        <f t="shared" si="230"/>
        <v>0.32170542635658916</v>
      </c>
      <c r="J352" s="624">
        <f t="shared" si="230"/>
        <v>0</v>
      </c>
      <c r="K352" s="625">
        <f t="shared" si="230"/>
        <v>0</v>
      </c>
      <c r="L352" s="625">
        <f t="shared" si="230"/>
        <v>0</v>
      </c>
      <c r="M352" s="625">
        <f t="shared" si="230"/>
        <v>0</v>
      </c>
      <c r="N352" s="624">
        <f>IF(AE356&gt;0,(AE352/AE356),0)</f>
        <v>0</v>
      </c>
      <c r="O352" s="624">
        <f t="shared" ref="O352:Q352" si="231">IF(AF356&gt;0,(AF352/AF356),0)</f>
        <v>0</v>
      </c>
      <c r="P352" s="626">
        <f t="shared" si="231"/>
        <v>0</v>
      </c>
      <c r="Q352" s="624">
        <f t="shared" si="231"/>
        <v>0</v>
      </c>
      <c r="R352" s="357"/>
      <c r="S352" s="858"/>
      <c r="T352" s="858"/>
      <c r="U352" s="858"/>
      <c r="V352" s="858">
        <v>83</v>
      </c>
      <c r="W352" s="858"/>
      <c r="X352" s="858"/>
      <c r="Y352" s="859">
        <v>83</v>
      </c>
      <c r="Z352" s="859"/>
      <c r="AA352" s="858"/>
      <c r="AB352" s="858"/>
      <c r="AC352" s="858"/>
      <c r="AD352" s="858"/>
      <c r="AE352" s="859"/>
      <c r="AF352" s="859"/>
      <c r="AG352" s="858"/>
      <c r="AH352" s="859"/>
    </row>
    <row r="353" spans="1:34">
      <c r="A353" s="239"/>
      <c r="B353" s="239" t="s">
        <v>55</v>
      </c>
      <c r="C353" s="806">
        <f>IF(S356&gt;0,(S353/S356),0)</f>
        <v>0</v>
      </c>
      <c r="D353" s="806">
        <f t="shared" ref="D353:M353" si="232">IF(T356&gt;0,(T353/T356),0)</f>
        <v>0</v>
      </c>
      <c r="E353" s="806">
        <f t="shared" si="232"/>
        <v>0</v>
      </c>
      <c r="F353" s="806">
        <f t="shared" si="232"/>
        <v>0.31007751937984496</v>
      </c>
      <c r="G353" s="806">
        <f t="shared" si="232"/>
        <v>0</v>
      </c>
      <c r="H353" s="806">
        <f t="shared" si="232"/>
        <v>0</v>
      </c>
      <c r="I353" s="624">
        <f t="shared" si="232"/>
        <v>0.31007751937984496</v>
      </c>
      <c r="J353" s="624">
        <f t="shared" si="232"/>
        <v>0</v>
      </c>
      <c r="K353" s="625">
        <f t="shared" si="232"/>
        <v>0</v>
      </c>
      <c r="L353" s="625">
        <f t="shared" si="232"/>
        <v>0</v>
      </c>
      <c r="M353" s="625">
        <f t="shared" si="232"/>
        <v>0</v>
      </c>
      <c r="N353" s="624">
        <f>IF(AE356&gt;0,(AE353/AE356),0)</f>
        <v>0</v>
      </c>
      <c r="O353" s="624">
        <f t="shared" ref="O353:Q353" si="233">IF(AF356&gt;0,(AF353/AF356),0)</f>
        <v>0</v>
      </c>
      <c r="P353" s="626">
        <f t="shared" si="233"/>
        <v>0</v>
      </c>
      <c r="Q353" s="624">
        <f t="shared" si="233"/>
        <v>0</v>
      </c>
      <c r="R353" s="357"/>
      <c r="S353" s="858"/>
      <c r="T353" s="858"/>
      <c r="U353" s="858"/>
      <c r="V353" s="858">
        <v>80</v>
      </c>
      <c r="W353" s="858"/>
      <c r="X353" s="858"/>
      <c r="Y353" s="859">
        <v>80</v>
      </c>
      <c r="Z353" s="859"/>
      <c r="AA353" s="858"/>
      <c r="AB353" s="858"/>
      <c r="AC353" s="858"/>
      <c r="AD353" s="858"/>
      <c r="AE353" s="859"/>
      <c r="AF353" s="859"/>
      <c r="AG353" s="858"/>
      <c r="AH353" s="859"/>
    </row>
    <row r="354" spans="1:34">
      <c r="A354" s="239"/>
      <c r="B354" s="239" t="s">
        <v>78</v>
      </c>
      <c r="C354" s="806">
        <f>IF(S356&gt;0,(S354/S356),0)</f>
        <v>0</v>
      </c>
      <c r="D354" s="806">
        <f t="shared" ref="D354:M354" si="234">IF(T356&gt;0,(T354/T356),0)</f>
        <v>0</v>
      </c>
      <c r="E354" s="806">
        <f t="shared" si="234"/>
        <v>0</v>
      </c>
      <c r="F354" s="806">
        <f t="shared" si="234"/>
        <v>6.589147286821706E-2</v>
      </c>
      <c r="G354" s="806">
        <f t="shared" si="234"/>
        <v>0</v>
      </c>
      <c r="H354" s="806">
        <f t="shared" si="234"/>
        <v>0</v>
      </c>
      <c r="I354" s="624">
        <f t="shared" si="234"/>
        <v>6.589147286821706E-2</v>
      </c>
      <c r="J354" s="624">
        <f t="shared" si="234"/>
        <v>0</v>
      </c>
      <c r="K354" s="625">
        <f t="shared" si="234"/>
        <v>0</v>
      </c>
      <c r="L354" s="625">
        <f t="shared" si="234"/>
        <v>0</v>
      </c>
      <c r="M354" s="625">
        <f t="shared" si="234"/>
        <v>0</v>
      </c>
      <c r="N354" s="624">
        <f>IF(AE356&gt;0,(AE354/AE356),0)</f>
        <v>0</v>
      </c>
      <c r="O354" s="624">
        <f t="shared" ref="O354:Q354" si="235">IF(AF356&gt;0,(AF354/AF356),0)</f>
        <v>0</v>
      </c>
      <c r="P354" s="626">
        <f t="shared" si="235"/>
        <v>0</v>
      </c>
      <c r="Q354" s="624">
        <f t="shared" si="235"/>
        <v>0</v>
      </c>
      <c r="R354" s="357"/>
      <c r="S354" s="858"/>
      <c r="T354" s="858"/>
      <c r="U354" s="858"/>
      <c r="V354" s="858">
        <v>17</v>
      </c>
      <c r="W354" s="858"/>
      <c r="X354" s="858"/>
      <c r="Y354" s="859">
        <v>17</v>
      </c>
      <c r="Z354" s="859"/>
      <c r="AA354" s="858"/>
      <c r="AB354" s="858"/>
      <c r="AC354" s="858"/>
      <c r="AD354" s="858"/>
      <c r="AE354" s="859"/>
      <c r="AF354" s="859"/>
      <c r="AG354" s="858"/>
      <c r="AH354" s="859"/>
    </row>
    <row r="355" spans="1:34">
      <c r="A355" s="580"/>
      <c r="B355" s="580" t="s">
        <v>131</v>
      </c>
      <c r="C355" s="806">
        <f>IF(S356&gt;0,(S355/S356),0)</f>
        <v>0</v>
      </c>
      <c r="D355" s="806">
        <f t="shared" ref="D355:M355" si="236">IF(T356&gt;0,(T355/T356),0)</f>
        <v>0</v>
      </c>
      <c r="E355" s="806">
        <f t="shared" si="236"/>
        <v>0</v>
      </c>
      <c r="F355" s="806">
        <f t="shared" si="236"/>
        <v>0</v>
      </c>
      <c r="G355" s="806">
        <f t="shared" si="236"/>
        <v>0</v>
      </c>
      <c r="H355" s="806">
        <f t="shared" si="236"/>
        <v>0</v>
      </c>
      <c r="I355" s="624">
        <f t="shared" si="236"/>
        <v>0</v>
      </c>
      <c r="J355" s="624">
        <f t="shared" si="236"/>
        <v>0</v>
      </c>
      <c r="K355" s="625">
        <f t="shared" si="236"/>
        <v>0</v>
      </c>
      <c r="L355" s="625">
        <f t="shared" si="236"/>
        <v>0</v>
      </c>
      <c r="M355" s="625">
        <f t="shared" si="236"/>
        <v>0</v>
      </c>
      <c r="N355" s="624">
        <f>IF(AE356&gt;0,(AE355/AE356),0)</f>
        <v>0</v>
      </c>
      <c r="O355" s="624">
        <f t="shared" ref="O355:Q355" si="237">IF(AF356&gt;0,(AF355/AF356),0)</f>
        <v>0</v>
      </c>
      <c r="P355" s="626">
        <f t="shared" si="237"/>
        <v>0</v>
      </c>
      <c r="Q355" s="624">
        <f t="shared" si="237"/>
        <v>0</v>
      </c>
      <c r="R355" s="357"/>
      <c r="S355" s="858"/>
      <c r="T355" s="858"/>
      <c r="U355" s="858"/>
      <c r="V355" s="858"/>
      <c r="W355" s="858"/>
      <c r="X355" s="858"/>
      <c r="Y355" s="859"/>
      <c r="Z355" s="859"/>
      <c r="AA355" s="858"/>
      <c r="AB355" s="858"/>
      <c r="AC355" s="858"/>
      <c r="AD355" s="858"/>
      <c r="AE355" s="859"/>
      <c r="AF355" s="859"/>
      <c r="AG355" s="858"/>
      <c r="AH355" s="859"/>
    </row>
    <row r="356" spans="1:34">
      <c r="A356" s="436"/>
      <c r="B356" s="436" t="s">
        <v>59</v>
      </c>
      <c r="C356" s="806">
        <f>IF(S356&gt;0,(S356/S356),0)</f>
        <v>0</v>
      </c>
      <c r="D356" s="806">
        <f t="shared" ref="D356:M356" si="238">IF(T356&gt;0,(T356/T356),0)</f>
        <v>0</v>
      </c>
      <c r="E356" s="806">
        <f t="shared" si="238"/>
        <v>0</v>
      </c>
      <c r="F356" s="806">
        <f t="shared" si="238"/>
        <v>1</v>
      </c>
      <c r="G356" s="806">
        <f t="shared" si="238"/>
        <v>0</v>
      </c>
      <c r="H356" s="806">
        <f t="shared" si="238"/>
        <v>0</v>
      </c>
      <c r="I356" s="577">
        <f t="shared" si="238"/>
        <v>1</v>
      </c>
      <c r="J356" s="577">
        <f t="shared" si="238"/>
        <v>0</v>
      </c>
      <c r="K356" s="578">
        <f t="shared" si="238"/>
        <v>0</v>
      </c>
      <c r="L356" s="578">
        <f t="shared" si="238"/>
        <v>0</v>
      </c>
      <c r="M356" s="578">
        <f t="shared" si="238"/>
        <v>0</v>
      </c>
      <c r="N356" s="577">
        <f>IF(AE356&gt;0,(AE356/AE356),0)</f>
        <v>0</v>
      </c>
      <c r="O356" s="577">
        <f t="shared" ref="O356:Q356" si="239">IF(AF356&gt;0,(AF356/AF356),0)</f>
        <v>0</v>
      </c>
      <c r="P356" s="579">
        <f t="shared" si="239"/>
        <v>0</v>
      </c>
      <c r="Q356" s="577">
        <f t="shared" si="239"/>
        <v>0</v>
      </c>
      <c r="R356" s="357"/>
      <c r="S356" s="858"/>
      <c r="T356" s="858"/>
      <c r="U356" s="858"/>
      <c r="V356" s="858">
        <v>258</v>
      </c>
      <c r="W356" s="858"/>
      <c r="X356" s="858"/>
      <c r="Y356" s="864">
        <v>258</v>
      </c>
      <c r="Z356" s="864"/>
      <c r="AA356" s="858"/>
      <c r="AB356" s="858"/>
      <c r="AC356" s="858"/>
      <c r="AD356" s="858"/>
      <c r="AE356" s="864"/>
      <c r="AF356" s="864"/>
      <c r="AG356" s="858"/>
      <c r="AH356" s="864"/>
    </row>
    <row r="358" spans="1:34">
      <c r="A358" t="s">
        <v>222</v>
      </c>
    </row>
  </sheetData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J357"/>
  <sheetViews>
    <sheetView workbookViewId="0">
      <selection activeCell="C10" sqref="C10"/>
    </sheetView>
  </sheetViews>
  <sheetFormatPr defaultColWidth="7.88671875" defaultRowHeight="12.75"/>
  <cols>
    <col min="1" max="1" width="4.77734375" style="9" customWidth="1"/>
    <col min="2" max="2" width="13.88671875" style="340" customWidth="1"/>
    <col min="3" max="3" width="5.5546875" style="9" bestFit="1" customWidth="1"/>
    <col min="4" max="4" width="5.21875" style="9" customWidth="1"/>
    <col min="5" max="5" width="5.109375" style="9" customWidth="1"/>
    <col min="6" max="6" width="4.6640625" style="9" customWidth="1"/>
    <col min="7" max="7" width="5.109375" style="9" customWidth="1"/>
    <col min="8" max="8" width="4.88671875" style="9" customWidth="1"/>
    <col min="9" max="9" width="5.21875" style="9" bestFit="1" customWidth="1"/>
    <col min="10" max="10" width="5.21875" style="9" customWidth="1"/>
    <col min="11" max="11" width="5" style="9" customWidth="1"/>
    <col min="12" max="13" width="5.5546875" style="9" customWidth="1"/>
    <col min="14" max="16" width="5.21875" style="9" customWidth="1"/>
    <col min="17" max="17" width="5.88671875" style="340" customWidth="1"/>
    <col min="18" max="18" width="3.21875" style="357" customWidth="1"/>
    <col min="19" max="19" width="6.77734375" style="349" bestFit="1" customWidth="1"/>
    <col min="20" max="24" width="6.44140625" style="349" customWidth="1"/>
    <col min="25" max="25" width="8" style="349" customWidth="1"/>
    <col min="26" max="26" width="6" style="349" customWidth="1"/>
    <col min="27" max="27" width="6.44140625" style="349" customWidth="1"/>
    <col min="28" max="28" width="7.21875" style="349" customWidth="1"/>
    <col min="29" max="29" width="5.77734375" style="349" customWidth="1"/>
    <col min="30" max="30" width="6.44140625" style="349" bestFit="1" customWidth="1"/>
    <col min="31" max="31" width="7.44140625" style="349" customWidth="1"/>
    <col min="32" max="32" width="6" style="349" customWidth="1"/>
    <col min="33" max="33" width="7" style="349" customWidth="1"/>
    <col min="34" max="34" width="5.6640625" style="358" customWidth="1"/>
    <col min="35" max="35" width="4.77734375" style="349" customWidth="1"/>
    <col min="36" max="36" width="7.88671875" style="349" customWidth="1"/>
    <col min="37" max="16384" width="7.88671875" style="9"/>
  </cols>
  <sheetData>
    <row r="1" spans="1:36">
      <c r="A1" s="359"/>
      <c r="B1" s="360"/>
      <c r="C1" s="361" t="s">
        <v>95</v>
      </c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3"/>
      <c r="S1" s="361" t="s">
        <v>52</v>
      </c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</row>
    <row r="2" spans="1:36">
      <c r="A2" s="365"/>
      <c r="B2" s="366"/>
      <c r="C2" s="367" t="s">
        <v>96</v>
      </c>
      <c r="D2" s="368"/>
      <c r="E2" s="368"/>
      <c r="F2" s="368"/>
      <c r="G2" s="368"/>
      <c r="H2" s="368"/>
      <c r="I2" s="368"/>
      <c r="J2" s="369" t="s">
        <v>97</v>
      </c>
      <c r="K2" s="370"/>
      <c r="L2" s="370"/>
      <c r="M2" s="370"/>
      <c r="N2" s="372"/>
      <c r="O2" s="369" t="s">
        <v>110</v>
      </c>
      <c r="P2" s="370"/>
      <c r="Q2" s="368"/>
      <c r="S2" s="367" t="s">
        <v>96</v>
      </c>
      <c r="T2" s="373"/>
      <c r="U2" s="373"/>
      <c r="V2" s="373"/>
      <c r="W2" s="373"/>
      <c r="X2" s="373"/>
      <c r="Y2" s="373"/>
      <c r="Z2" s="374" t="s">
        <v>97</v>
      </c>
      <c r="AA2" s="375"/>
      <c r="AB2" s="375"/>
      <c r="AC2" s="375"/>
      <c r="AD2" s="375"/>
      <c r="AE2" s="377"/>
      <c r="AF2" s="374" t="s">
        <v>110</v>
      </c>
      <c r="AG2" s="375"/>
      <c r="AH2" s="373"/>
    </row>
    <row r="3" spans="1:36" ht="41.25" customHeight="1">
      <c r="A3" s="378"/>
      <c r="B3" s="379"/>
      <c r="C3" s="380">
        <v>1</v>
      </c>
      <c r="D3" s="381">
        <v>2</v>
      </c>
      <c r="E3" s="381">
        <v>3</v>
      </c>
      <c r="F3" s="381">
        <v>4</v>
      </c>
      <c r="G3" s="381">
        <v>5</v>
      </c>
      <c r="H3" s="381">
        <v>6</v>
      </c>
      <c r="I3" s="382" t="s">
        <v>119</v>
      </c>
      <c r="J3" s="383" t="s">
        <v>111</v>
      </c>
      <c r="K3" s="381">
        <v>1</v>
      </c>
      <c r="L3" s="381">
        <v>2</v>
      </c>
      <c r="M3" s="381">
        <v>3</v>
      </c>
      <c r="N3" s="382" t="s">
        <v>121</v>
      </c>
      <c r="O3" s="383">
        <v>1</v>
      </c>
      <c r="P3" s="383">
        <v>2</v>
      </c>
      <c r="Q3" s="384" t="s">
        <v>113</v>
      </c>
      <c r="R3" s="385"/>
      <c r="S3" s="386">
        <v>1</v>
      </c>
      <c r="T3" s="387">
        <v>2</v>
      </c>
      <c r="U3" s="387">
        <v>3</v>
      </c>
      <c r="V3" s="387">
        <v>4</v>
      </c>
      <c r="W3" s="387">
        <v>5</v>
      </c>
      <c r="X3" s="387">
        <v>6</v>
      </c>
      <c r="Y3" s="388" t="s">
        <v>98</v>
      </c>
      <c r="Z3" s="389" t="s">
        <v>111</v>
      </c>
      <c r="AA3" s="387">
        <v>1</v>
      </c>
      <c r="AB3" s="387">
        <v>2</v>
      </c>
      <c r="AC3" s="387">
        <v>3</v>
      </c>
      <c r="AD3" s="389" t="s">
        <v>216</v>
      </c>
      <c r="AE3" s="388" t="s">
        <v>113</v>
      </c>
      <c r="AF3" s="389">
        <v>1</v>
      </c>
      <c r="AG3" s="389">
        <v>2</v>
      </c>
      <c r="AH3" s="390" t="s">
        <v>113</v>
      </c>
    </row>
    <row r="4" spans="1:36">
      <c r="A4" s="240" t="s">
        <v>128</v>
      </c>
      <c r="B4" s="240" t="s">
        <v>53</v>
      </c>
      <c r="C4" s="613">
        <f>IF(S9&gt;0,(S4/S9),0)</f>
        <v>0.34974996848342227</v>
      </c>
      <c r="D4" s="614">
        <f t="shared" ref="D4" si="0">IF(T9&gt;0,(T4/T9),0)</f>
        <v>0.27771635910083059</v>
      </c>
      <c r="E4" s="614">
        <f t="shared" ref="E4" si="1">IF(U9&gt;0,(U4/U9),0)</f>
        <v>0.29150984142654407</v>
      </c>
      <c r="F4" s="614">
        <f t="shared" ref="F4" si="2">IF(V9&gt;0,(V4/V9),0)</f>
        <v>0.26651918019785448</v>
      </c>
      <c r="G4" s="614">
        <f t="shared" ref="G4" si="3">IF(W9&gt;0,(W4/W9),0)</f>
        <v>0.23863539445628998</v>
      </c>
      <c r="H4" s="615">
        <f t="shared" ref="H4" si="4">IF(X9&gt;0,(X4/X9),0)</f>
        <v>0.20682226211849192</v>
      </c>
      <c r="I4" s="613">
        <f t="shared" ref="I4" si="5">IF(Y9&gt;0,(Y4/Y9),0)</f>
        <v>0.30776561522988721</v>
      </c>
      <c r="J4" s="613">
        <f t="shared" ref="J4" si="6">IF(Z9&gt;0,(Z4/Z9),0)</f>
        <v>4.9136786188579015E-2</v>
      </c>
      <c r="K4" s="614">
        <f t="shared" ref="K4" si="7">IF(AA9&gt;0,(AA4/AA9),0)</f>
        <v>0.12134563804969349</v>
      </c>
      <c r="L4" s="614">
        <f t="shared" ref="L4" si="8">IF(AB9&gt;0,(AB4/AB9),0)</f>
        <v>9.1176711096573715E-2</v>
      </c>
      <c r="M4" s="614">
        <f t="shared" ref="M4" si="9">IF(AC9&gt;0,(AC4/AC9),0)</f>
        <v>6.0873215785054578E-2</v>
      </c>
      <c r="N4" s="613">
        <f>IF(AE9&gt;0,(AE4/AE9),0)</f>
        <v>0.12547973096177795</v>
      </c>
      <c r="O4" s="613">
        <f t="shared" ref="O4" si="10">IF(AF9&gt;0,(AF4/AF9),0)</f>
        <v>2.8429073856975382E-2</v>
      </c>
      <c r="P4" s="615">
        <f t="shared" ref="P4" si="11">IF(AG9&gt;0,(AG4/AG9),0)</f>
        <v>0</v>
      </c>
      <c r="Q4" s="613">
        <f t="shared" ref="Q4" si="12">IF(AH9&gt;0,(AH4/AH9),0)</f>
        <v>6.1245674740484431E-2</v>
      </c>
      <c r="R4" s="391"/>
      <c r="S4" s="797">
        <f>S10+S129+S213+S291+S351</f>
        <v>41615</v>
      </c>
      <c r="T4" s="797">
        <f t="shared" ref="T4:AH4" si="13">T10+T129+T213+T291+T351</f>
        <v>9797</v>
      </c>
      <c r="U4" s="797">
        <f t="shared" si="13"/>
        <v>18898</v>
      </c>
      <c r="V4" s="797">
        <f t="shared" si="13"/>
        <v>6385</v>
      </c>
      <c r="W4" s="797">
        <f t="shared" si="13"/>
        <v>2798</v>
      </c>
      <c r="X4" s="797">
        <f t="shared" si="13"/>
        <v>2304</v>
      </c>
      <c r="Y4" s="797">
        <f t="shared" si="13"/>
        <v>81705</v>
      </c>
      <c r="Z4" s="797">
        <f t="shared" si="13"/>
        <v>185</v>
      </c>
      <c r="AA4" s="797">
        <f t="shared" si="13"/>
        <v>2710</v>
      </c>
      <c r="AB4" s="797">
        <f t="shared" si="13"/>
        <v>1115</v>
      </c>
      <c r="AC4" s="797">
        <f t="shared" si="13"/>
        <v>290</v>
      </c>
      <c r="AD4" s="797">
        <f t="shared" si="13"/>
        <v>443</v>
      </c>
      <c r="AE4" s="797">
        <f t="shared" si="13"/>
        <v>14520</v>
      </c>
      <c r="AF4" s="797">
        <f t="shared" si="13"/>
        <v>97</v>
      </c>
      <c r="AG4" s="797">
        <f t="shared" si="13"/>
        <v>0</v>
      </c>
      <c r="AH4" s="797">
        <f t="shared" si="13"/>
        <v>354</v>
      </c>
    </row>
    <row r="5" spans="1:36">
      <c r="A5" s="239"/>
      <c r="B5" s="239" t="s">
        <v>93</v>
      </c>
      <c r="C5" s="624">
        <f>IF(S9&gt;0,(S5/S9),0)</f>
        <v>0.26531075345631805</v>
      </c>
      <c r="D5" s="625">
        <f t="shared" ref="D5" si="14">IF(T9&gt;0,(T5/T9),0)</f>
        <v>0.28335742835275107</v>
      </c>
      <c r="E5" s="625">
        <f t="shared" ref="E5" si="15">IF(U9&gt;0,(U5/U9),0)</f>
        <v>0.26723020916887763</v>
      </c>
      <c r="F5" s="625">
        <f t="shared" ref="F5" si="16">IF(V9&gt;0,(V5/V9),0)</f>
        <v>0.26338857119004883</v>
      </c>
      <c r="G5" s="625">
        <f t="shared" ref="G5" si="17">IF(W9&gt;0,(W5/W9),0)</f>
        <v>0.26916844349680169</v>
      </c>
      <c r="H5" s="626">
        <f t="shared" ref="H5" si="18">IF(X9&gt;0,(X5/X9),0)</f>
        <v>0.259245960502693</v>
      </c>
      <c r="I5" s="624">
        <f t="shared" ref="I5" si="19">IF(Y9&gt;0,(Y5/Y9),0)</f>
        <v>0.2678979049111414</v>
      </c>
      <c r="J5" s="624">
        <f t="shared" ref="J5" si="20">IF(Z9&gt;0,(Z5/Z9),0)</f>
        <v>5.790172642762284E-2</v>
      </c>
      <c r="K5" s="625">
        <f t="shared" ref="K5" si="21">IF(AA9&gt;0,(AA5/AA9),0)</f>
        <v>0.10258407998961173</v>
      </c>
      <c r="L5" s="625">
        <f t="shared" ref="L5" si="22">IF(AB9&gt;0,(AB5/AB9),0)</f>
        <v>9.6900809551067141E-2</v>
      </c>
      <c r="M5" s="625">
        <f t="shared" ref="M5" si="23">IF(AC9&gt;0,(AC5/AC9),0)</f>
        <v>5.1427371956339209E-2</v>
      </c>
      <c r="N5" s="624">
        <f>IF(AE9&gt;0,(AE5/AE9),0)</f>
        <v>9.5215955629260982E-2</v>
      </c>
      <c r="O5" s="624">
        <f t="shared" ref="O5" si="24">IF(AF9&gt;0,(AF5/AF9),0)</f>
        <v>1.7584994138335287E-2</v>
      </c>
      <c r="P5" s="626">
        <f t="shared" ref="P5" si="25">IF(AG9&gt;0,(AG5/AG9),0)</f>
        <v>0</v>
      </c>
      <c r="Q5" s="624">
        <f t="shared" ref="Q5" si="26">IF(AH9&gt;0,(AH5/AH9),0)</f>
        <v>3.3391003460207611E-2</v>
      </c>
      <c r="R5" s="391"/>
      <c r="S5" s="797">
        <f t="shared" ref="S5:AH7" si="27">S11+S130+S214+S292+S352</f>
        <v>31568</v>
      </c>
      <c r="T5" s="797">
        <f t="shared" si="27"/>
        <v>9996</v>
      </c>
      <c r="U5" s="797">
        <f t="shared" si="27"/>
        <v>17324</v>
      </c>
      <c r="V5" s="797">
        <f t="shared" si="27"/>
        <v>6310</v>
      </c>
      <c r="W5" s="797">
        <f t="shared" si="27"/>
        <v>3156</v>
      </c>
      <c r="X5" s="797">
        <f t="shared" si="27"/>
        <v>2888</v>
      </c>
      <c r="Y5" s="797">
        <f t="shared" si="27"/>
        <v>71121</v>
      </c>
      <c r="Z5" s="797">
        <f t="shared" si="27"/>
        <v>218</v>
      </c>
      <c r="AA5" s="797">
        <f t="shared" si="27"/>
        <v>2291</v>
      </c>
      <c r="AB5" s="797">
        <f t="shared" si="27"/>
        <v>1185</v>
      </c>
      <c r="AC5" s="797">
        <f t="shared" si="27"/>
        <v>245</v>
      </c>
      <c r="AD5" s="797">
        <f t="shared" si="27"/>
        <v>699</v>
      </c>
      <c r="AE5" s="797">
        <f t="shared" si="27"/>
        <v>11018</v>
      </c>
      <c r="AF5" s="797">
        <f t="shared" si="27"/>
        <v>60</v>
      </c>
      <c r="AG5" s="797">
        <f t="shared" si="27"/>
        <v>0</v>
      </c>
      <c r="AH5" s="797">
        <f t="shared" si="27"/>
        <v>193</v>
      </c>
    </row>
    <row r="6" spans="1:36">
      <c r="A6" s="239"/>
      <c r="B6" s="239" t="s">
        <v>55</v>
      </c>
      <c r="C6" s="624">
        <f>IF(S9&gt;0,(S6/S9),0)</f>
        <v>0.22813800058830946</v>
      </c>
      <c r="D6" s="625">
        <f t="shared" ref="D6" si="28">IF(T9&gt;0,(T6/T9),0)</f>
        <v>0.24290614281259745</v>
      </c>
      <c r="E6" s="625">
        <f t="shared" ref="E6" si="29">IF(U9&gt;0,(U6/U9),0)</f>
        <v>0.26116801382118837</v>
      </c>
      <c r="F6" s="625">
        <f t="shared" ref="F6" si="30">IF(V9&gt;0,(V6/V9),0)</f>
        <v>0.30275076178152521</v>
      </c>
      <c r="G6" s="625">
        <f t="shared" ref="G6" si="31">IF(W9&gt;0,(W6/W9),0)</f>
        <v>0.30942430703624735</v>
      </c>
      <c r="H6" s="626">
        <f t="shared" ref="H6" si="32">IF(X9&gt;0,(X6/X9),0)</f>
        <v>0.32791741472172353</v>
      </c>
      <c r="I6" s="624">
        <f t="shared" ref="I6" si="33">IF(Y9&gt;0,(Y6/Y9),0)</f>
        <v>0.25235236064758659</v>
      </c>
      <c r="J6" s="624">
        <f t="shared" ref="J6" si="34">IF(Z9&gt;0,(Z6/Z9),0)</f>
        <v>7.8353253652058433E-2</v>
      </c>
      <c r="K6" s="625">
        <f t="shared" ref="K6" si="35">IF(AA9&gt;0,(AA6/AA9),0)</f>
        <v>7.8001513462201494E-2</v>
      </c>
      <c r="L6" s="625">
        <f t="shared" ref="L6" si="36">IF(AB9&gt;0,(AB6/AB9),0)</f>
        <v>9.2648622127729174E-2</v>
      </c>
      <c r="M6" s="625">
        <f t="shared" ref="M6" si="37">IF(AC9&gt;0,(AC6/AC9),0)</f>
        <v>8.2283795130142737E-2</v>
      </c>
      <c r="N6" s="624">
        <f>IF(AE9&gt;0,(AE6/AE9),0)</f>
        <v>0.10291584821100644</v>
      </c>
      <c r="O6" s="624">
        <f t="shared" ref="O6" si="38">IF(AF9&gt;0,(AF6/AF9),0)</f>
        <v>2.2274325908558032E-2</v>
      </c>
      <c r="P6" s="626">
        <f t="shared" ref="P6" si="39">IF(AG9&gt;0,(AG6/AG9),0)</f>
        <v>0</v>
      </c>
      <c r="Q6" s="624">
        <f t="shared" ref="Q6" si="40">IF(AH9&gt;0,(AH6/AH9),0)</f>
        <v>2.698961937716263E-2</v>
      </c>
      <c r="R6" s="391"/>
      <c r="S6" s="797">
        <f t="shared" si="27"/>
        <v>27145</v>
      </c>
      <c r="T6" s="797">
        <f t="shared" si="27"/>
        <v>8569</v>
      </c>
      <c r="U6" s="797">
        <f t="shared" si="27"/>
        <v>16931</v>
      </c>
      <c r="V6" s="797">
        <f t="shared" si="27"/>
        <v>7253</v>
      </c>
      <c r="W6" s="797">
        <f t="shared" si="27"/>
        <v>3628</v>
      </c>
      <c r="X6" s="797">
        <f t="shared" si="27"/>
        <v>3653</v>
      </c>
      <c r="Y6" s="797">
        <f t="shared" si="27"/>
        <v>66994</v>
      </c>
      <c r="Z6" s="797">
        <f t="shared" si="27"/>
        <v>295</v>
      </c>
      <c r="AA6" s="797">
        <f t="shared" si="27"/>
        <v>1742</v>
      </c>
      <c r="AB6" s="797">
        <f t="shared" si="27"/>
        <v>1133</v>
      </c>
      <c r="AC6" s="797">
        <f t="shared" si="27"/>
        <v>392</v>
      </c>
      <c r="AD6" s="797">
        <f t="shared" si="27"/>
        <v>678</v>
      </c>
      <c r="AE6" s="797">
        <f t="shared" si="27"/>
        <v>11909</v>
      </c>
      <c r="AF6" s="797">
        <f t="shared" si="27"/>
        <v>76</v>
      </c>
      <c r="AG6" s="797">
        <f t="shared" si="27"/>
        <v>0</v>
      </c>
      <c r="AH6" s="797">
        <f t="shared" si="27"/>
        <v>156</v>
      </c>
    </row>
    <row r="7" spans="1:36">
      <c r="A7" s="239"/>
      <c r="B7" s="239" t="s">
        <v>78</v>
      </c>
      <c r="C7" s="624">
        <f>IF(S9&gt;0,(S7/S9),0)</f>
        <v>5.5637265201495985E-2</v>
      </c>
      <c r="D7" s="625">
        <f t="shared" ref="D7" si="41">IF(T9&gt;0,(T7/T9),0)</f>
        <v>9.0143719704056463E-2</v>
      </c>
      <c r="E7" s="625">
        <f t="shared" ref="E7" si="42">IF(U9&gt;0,(U7/U9),0)</f>
        <v>8.3235638921453692E-2</v>
      </c>
      <c r="F7" s="625">
        <f t="shared" ref="F7" si="43">IF(V9&gt;0,(V7/V9),0)</f>
        <v>7.6178152523270856E-2</v>
      </c>
      <c r="G7" s="625">
        <f t="shared" ref="G7" si="44">IF(W9&gt;0,(W7/W9),0)</f>
        <v>8.6311300639658847E-2</v>
      </c>
      <c r="H7" s="626">
        <f t="shared" ref="H7" si="45">IF(X9&gt;0,(X7/X9),0)</f>
        <v>0.14048473967684022</v>
      </c>
      <c r="I7" s="624">
        <f t="shared" ref="I7" si="46">IF(Y9&gt;0,(Y7/Y9),0)</f>
        <v>7.3697255516464638E-2</v>
      </c>
      <c r="J7" s="624">
        <f t="shared" ref="J7" si="47">IF(Z9&gt;0,(Z7/Z9),0)</f>
        <v>0.15112881806108897</v>
      </c>
      <c r="K7" s="625">
        <f t="shared" ref="K7" si="48">IF(AA9&gt;0,(AA7/AA9),0)</f>
        <v>0.15291341473789788</v>
      </c>
      <c r="L7" s="625">
        <f t="shared" ref="L7" si="49">IF(AB9&gt;0,(AB7/AB9),0)</f>
        <v>0.16460871698421783</v>
      </c>
      <c r="M7" s="625">
        <f t="shared" ref="M7" si="50">IF(AC9&gt;0,(AC7/AC9),0)</f>
        <v>0.17086481947942905</v>
      </c>
      <c r="N7" s="624">
        <f>IF(AE9&gt;0,(AE7/AE9),0)</f>
        <v>0.33686813998767673</v>
      </c>
      <c r="O7" s="624">
        <f t="shared" ref="O7" si="51">IF(AF9&gt;0,(AF7/AF9),0)</f>
        <v>0.15709261430246191</v>
      </c>
      <c r="P7" s="626">
        <f t="shared" ref="P7" si="52">IF(AG9&gt;0,(AG7/AG9),0)</f>
        <v>0</v>
      </c>
      <c r="Q7" s="624">
        <f t="shared" ref="Q7" si="53">IF(AH9&gt;0,(AH7/AH9),0)</f>
        <v>0.16332179930795848</v>
      </c>
      <c r="R7" s="391"/>
      <c r="S7" s="797">
        <f t="shared" si="27"/>
        <v>6620</v>
      </c>
      <c r="T7" s="797">
        <f t="shared" si="27"/>
        <v>3180</v>
      </c>
      <c r="U7" s="797">
        <f t="shared" si="27"/>
        <v>5396</v>
      </c>
      <c r="V7" s="797">
        <f t="shared" si="27"/>
        <v>1825</v>
      </c>
      <c r="W7" s="797">
        <f t="shared" si="27"/>
        <v>1012</v>
      </c>
      <c r="X7" s="797">
        <f t="shared" si="27"/>
        <v>1565</v>
      </c>
      <c r="Y7" s="797">
        <f t="shared" si="27"/>
        <v>19565</v>
      </c>
      <c r="Z7" s="797">
        <f t="shared" si="27"/>
        <v>569</v>
      </c>
      <c r="AA7" s="797">
        <f t="shared" si="27"/>
        <v>3415</v>
      </c>
      <c r="AB7" s="797">
        <f t="shared" si="27"/>
        <v>2013</v>
      </c>
      <c r="AC7" s="797">
        <f t="shared" si="27"/>
        <v>814</v>
      </c>
      <c r="AD7" s="797">
        <f t="shared" si="27"/>
        <v>520</v>
      </c>
      <c r="AE7" s="797">
        <f t="shared" si="27"/>
        <v>38981</v>
      </c>
      <c r="AF7" s="797">
        <f t="shared" si="27"/>
        <v>536</v>
      </c>
      <c r="AG7" s="797">
        <f t="shared" si="27"/>
        <v>0</v>
      </c>
      <c r="AH7" s="797">
        <f t="shared" si="27"/>
        <v>944</v>
      </c>
    </row>
    <row r="8" spans="1:36">
      <c r="A8" s="580"/>
      <c r="B8" s="580" t="s">
        <v>131</v>
      </c>
      <c r="C8" s="624">
        <f>IF(S9&gt;0,(S8/S9),0)</f>
        <v>0.10116401227045425</v>
      </c>
      <c r="D8" s="625">
        <f t="shared" ref="D8" si="54">IF(T9&gt;0,(T8/T9),0)</f>
        <v>0.10587635002976443</v>
      </c>
      <c r="E8" s="625">
        <f t="shared" ref="E8" si="55">IF(U9&gt;0,(U8/U9),0)</f>
        <v>9.6856296661936195E-2</v>
      </c>
      <c r="F8" s="625">
        <f t="shared" ref="F8" si="56">IF(V9&gt;0,(V8/V9),0)</f>
        <v>9.1163334307300586E-2</v>
      </c>
      <c r="G8" s="625">
        <f t="shared" ref="G8" si="57">IF(W9&gt;0,(W8/W9),0)</f>
        <v>9.6460554371002136E-2</v>
      </c>
      <c r="H8" s="626">
        <f t="shared" ref="H8" si="58">IF(X9&gt;0,(X8/X9),0)</f>
        <v>6.5529622980251348E-2</v>
      </c>
      <c r="I8" s="624">
        <f t="shared" ref="I8" si="59">IF(Y9&gt;0,(Y8/Y9),0)</f>
        <v>9.828686369492011E-2</v>
      </c>
      <c r="J8" s="624">
        <f t="shared" ref="J8" si="60">IF(Z9&gt;0,(Z8/Z9),0)</f>
        <v>0.66347941567065072</v>
      </c>
      <c r="K8" s="625">
        <f t="shared" ref="K8" si="61">IF(AA9&gt;0,(AA8/AA9),0)</f>
        <v>0.54515535376059543</v>
      </c>
      <c r="L8" s="625">
        <f t="shared" ref="L8" si="62">IF(AB9&gt;0,(AB8/AB9),0)</f>
        <v>0.55466514024041214</v>
      </c>
      <c r="M8" s="625">
        <f t="shared" ref="M8" si="63">IF(AC9&gt;0,(AC8/AC9),0)</f>
        <v>0.63455079764903444</v>
      </c>
      <c r="N8" s="624">
        <f>IF(AE9&gt;0,(AE8/AE9),0)</f>
        <v>0.33952032521027797</v>
      </c>
      <c r="O8" s="624">
        <f t="shared" ref="O8" si="64">IF(AF9&gt;0,(AF8/AF9),0)</f>
        <v>0.77461899179366944</v>
      </c>
      <c r="P8" s="626">
        <f t="shared" ref="P8" si="65">IF(AG9&gt;0,(AG8/AG9),0)</f>
        <v>1</v>
      </c>
      <c r="Q8" s="624">
        <f t="shared" ref="Q8" si="66">IF(AH9&gt;0,(AH8/AH9),0)</f>
        <v>0.71505190311418687</v>
      </c>
      <c r="R8" s="391"/>
      <c r="S8" s="797">
        <f>S14+S15+S133+S217+S295+S355</f>
        <v>12037</v>
      </c>
      <c r="T8" s="797">
        <f t="shared" ref="T8:AH8" si="67">T14+T15+T133+T217+T295+T355</f>
        <v>3735</v>
      </c>
      <c r="U8" s="797">
        <f t="shared" si="67"/>
        <v>6279</v>
      </c>
      <c r="V8" s="797">
        <f>V14+V15+V133+V217+V295+V355</f>
        <v>2184</v>
      </c>
      <c r="W8" s="797">
        <f t="shared" si="67"/>
        <v>1131</v>
      </c>
      <c r="X8" s="797">
        <f t="shared" si="67"/>
        <v>730</v>
      </c>
      <c r="Y8" s="797">
        <f t="shared" si="67"/>
        <v>26093</v>
      </c>
      <c r="Z8" s="797">
        <f t="shared" si="67"/>
        <v>2498</v>
      </c>
      <c r="AA8" s="797">
        <f t="shared" si="67"/>
        <v>12174.900000000001</v>
      </c>
      <c r="AB8" s="797">
        <f t="shared" si="67"/>
        <v>6783</v>
      </c>
      <c r="AC8" s="797">
        <f t="shared" si="67"/>
        <v>3023</v>
      </c>
      <c r="AD8" s="797">
        <f t="shared" si="67"/>
        <v>2</v>
      </c>
      <c r="AE8" s="797">
        <f t="shared" si="67"/>
        <v>39287.9</v>
      </c>
      <c r="AF8" s="797">
        <f t="shared" si="67"/>
        <v>2643</v>
      </c>
      <c r="AG8" s="797">
        <f t="shared" si="67"/>
        <v>1463</v>
      </c>
      <c r="AH8" s="797">
        <f t="shared" si="67"/>
        <v>4133</v>
      </c>
    </row>
    <row r="9" spans="1:36">
      <c r="A9" s="436" t="s">
        <v>86</v>
      </c>
      <c r="B9" s="436" t="s">
        <v>59</v>
      </c>
      <c r="C9" s="577">
        <f>IF(S9&gt;0,(S9/S9),0)</f>
        <v>1</v>
      </c>
      <c r="D9" s="578">
        <f t="shared" ref="D9" si="68">IF(T9&gt;0,(T9/T9),0)</f>
        <v>1</v>
      </c>
      <c r="E9" s="578">
        <f t="shared" ref="E9" si="69">IF(U9&gt;0,(U9/U9),0)</f>
        <v>1</v>
      </c>
      <c r="F9" s="578">
        <f t="shared" ref="F9" si="70">IF(V9&gt;0,(V9/V9),0)</f>
        <v>1</v>
      </c>
      <c r="G9" s="578">
        <f t="shared" ref="G9" si="71">IF(W9&gt;0,(W9/W9),0)</f>
        <v>1</v>
      </c>
      <c r="H9" s="579">
        <f t="shared" ref="H9" si="72">IF(X9&gt;0,(X9/X9),0)</f>
        <v>1</v>
      </c>
      <c r="I9" s="577">
        <f t="shared" ref="I9" si="73">IF(Y9&gt;0,(Y9/Y9),0)</f>
        <v>1</v>
      </c>
      <c r="J9" s="577">
        <f t="shared" ref="J9" si="74">IF(Z9&gt;0,(Z9/Z9),0)</f>
        <v>1</v>
      </c>
      <c r="K9" s="578">
        <f t="shared" ref="K9" si="75">IF(AA9&gt;0,(AA9/AA9),0)</f>
        <v>1</v>
      </c>
      <c r="L9" s="578">
        <f t="shared" ref="L9" si="76">IF(AB9&gt;0,(AB9/AB9),0)</f>
        <v>1</v>
      </c>
      <c r="M9" s="578">
        <f t="shared" ref="M9" si="77">IF(AC9&gt;0,(AC9/AC9),0)</f>
        <v>1</v>
      </c>
      <c r="N9" s="577">
        <f>IF(AE9&gt;0,(AE9/AE9),0)</f>
        <v>1</v>
      </c>
      <c r="O9" s="577">
        <f t="shared" ref="O9" si="78">IF(AF9&gt;0,(AF9/AF9),0)</f>
        <v>1</v>
      </c>
      <c r="P9" s="579">
        <f t="shared" ref="P9" si="79">IF(AG9&gt;0,(AG9/AG9),0)</f>
        <v>1</v>
      </c>
      <c r="Q9" s="577">
        <f t="shared" ref="Q9" si="80">IF(AH9&gt;0,(AH9/AH9),0)</f>
        <v>1</v>
      </c>
      <c r="R9" s="391"/>
      <c r="S9" s="797">
        <f>S16+S134+S218+S296+S356</f>
        <v>118985</v>
      </c>
      <c r="T9" s="797">
        <f t="shared" ref="T9:AH9" si="81">T16+T134+T218+T296+T356</f>
        <v>35277</v>
      </c>
      <c r="U9" s="797">
        <f t="shared" si="81"/>
        <v>64828</v>
      </c>
      <c r="V9" s="797">
        <f t="shared" si="81"/>
        <v>23957</v>
      </c>
      <c r="W9" s="797">
        <f t="shared" si="81"/>
        <v>11725</v>
      </c>
      <c r="X9" s="797">
        <f t="shared" si="81"/>
        <v>11140</v>
      </c>
      <c r="Y9" s="797">
        <f t="shared" si="81"/>
        <v>265478</v>
      </c>
      <c r="Z9" s="797">
        <f t="shared" si="81"/>
        <v>3765</v>
      </c>
      <c r="AA9" s="797">
        <f t="shared" si="81"/>
        <v>22332.9</v>
      </c>
      <c r="AB9" s="797">
        <f t="shared" si="81"/>
        <v>12229</v>
      </c>
      <c r="AC9" s="797">
        <f t="shared" si="81"/>
        <v>4764</v>
      </c>
      <c r="AD9" s="797">
        <f t="shared" si="81"/>
        <v>2342</v>
      </c>
      <c r="AE9" s="797">
        <f t="shared" si="81"/>
        <v>115715.9</v>
      </c>
      <c r="AF9" s="797">
        <f t="shared" si="81"/>
        <v>3412</v>
      </c>
      <c r="AG9" s="797">
        <f t="shared" si="81"/>
        <v>1463</v>
      </c>
      <c r="AH9" s="797">
        <f t="shared" si="81"/>
        <v>5780</v>
      </c>
    </row>
    <row r="10" spans="1:36">
      <c r="A10" s="239" t="s">
        <v>3</v>
      </c>
      <c r="B10" s="240" t="s">
        <v>53</v>
      </c>
      <c r="C10" s="613">
        <f t="shared" ref="C10:M16" si="82">IF(S$16&gt;0,(S10/S$16),0)</f>
        <v>0.32749725112069694</v>
      </c>
      <c r="D10" s="614">
        <f t="shared" si="82"/>
        <v>0.24735049205147616</v>
      </c>
      <c r="E10" s="614">
        <f t="shared" si="82"/>
        <v>0.24305300975144806</v>
      </c>
      <c r="F10" s="614">
        <f t="shared" si="82"/>
        <v>0.2103762827822121</v>
      </c>
      <c r="G10" s="614">
        <f t="shared" si="82"/>
        <v>0.20620961952620245</v>
      </c>
      <c r="H10" s="615">
        <f t="shared" si="82"/>
        <v>0.18449030644152595</v>
      </c>
      <c r="I10" s="613">
        <f t="shared" si="82"/>
        <v>0.27577475213775104</v>
      </c>
      <c r="J10" s="613">
        <f t="shared" si="82"/>
        <v>4.9136786188579015E-2</v>
      </c>
      <c r="K10" s="614">
        <f t="shared" si="82"/>
        <v>0.12134563804969349</v>
      </c>
      <c r="L10" s="614">
        <f t="shared" si="82"/>
        <v>9.1176711096573715E-2</v>
      </c>
      <c r="M10" s="614">
        <f t="shared" si="82"/>
        <v>6.0873215785054578E-2</v>
      </c>
      <c r="N10" s="613">
        <f t="shared" ref="N10:Q16" si="83">IF(AE$16&gt;0,(AE10/AE$16),0)</f>
        <v>0.10439571323864424</v>
      </c>
      <c r="O10" s="788">
        <f t="shared" si="83"/>
        <v>2.8429073856975382E-2</v>
      </c>
      <c r="P10" s="789">
        <f t="shared" si="83"/>
        <v>0</v>
      </c>
      <c r="Q10" s="788">
        <f t="shared" si="83"/>
        <v>1.9897435897435898E-2</v>
      </c>
      <c r="R10" s="244"/>
      <c r="S10" s="245">
        <v>15488</v>
      </c>
      <c r="T10" s="246">
        <v>2614</v>
      </c>
      <c r="U10" s="246">
        <v>6630</v>
      </c>
      <c r="V10" s="246">
        <v>1845</v>
      </c>
      <c r="W10" s="246">
        <v>1149</v>
      </c>
      <c r="X10" s="246">
        <v>590</v>
      </c>
      <c r="Y10" s="247">
        <v>28316</v>
      </c>
      <c r="Z10" s="245">
        <v>185</v>
      </c>
      <c r="AA10" s="246">
        <v>2710</v>
      </c>
      <c r="AB10" s="246">
        <v>1115</v>
      </c>
      <c r="AC10" s="246">
        <v>290</v>
      </c>
      <c r="AD10" s="246">
        <v>443</v>
      </c>
      <c r="AE10" s="247">
        <v>4743</v>
      </c>
      <c r="AF10" s="245">
        <v>97</v>
      </c>
      <c r="AG10" s="246">
        <v>0</v>
      </c>
      <c r="AH10" s="245">
        <v>97</v>
      </c>
    </row>
    <row r="11" spans="1:36">
      <c r="A11" s="249"/>
      <c r="B11" s="239" t="s">
        <v>93</v>
      </c>
      <c r="C11" s="624">
        <f t="shared" si="82"/>
        <v>0.27063773999830837</v>
      </c>
      <c r="D11" s="625">
        <f t="shared" si="82"/>
        <v>0.27715745647236939</v>
      </c>
      <c r="E11" s="625">
        <f t="shared" si="82"/>
        <v>0.25823007551873306</v>
      </c>
      <c r="F11" s="625">
        <f t="shared" si="82"/>
        <v>0.25849486887115164</v>
      </c>
      <c r="G11" s="625">
        <f t="shared" si="82"/>
        <v>0.26561378320172291</v>
      </c>
      <c r="H11" s="626">
        <f t="shared" si="82"/>
        <v>0.25328330206378985</v>
      </c>
      <c r="I11" s="624">
        <f t="shared" si="82"/>
        <v>0.26616217690254973</v>
      </c>
      <c r="J11" s="624">
        <f t="shared" si="82"/>
        <v>5.790172642762284E-2</v>
      </c>
      <c r="K11" s="625">
        <f t="shared" si="82"/>
        <v>0.10258407998961173</v>
      </c>
      <c r="L11" s="625">
        <f t="shared" si="82"/>
        <v>9.6900809551067141E-2</v>
      </c>
      <c r="M11" s="625">
        <f t="shared" si="82"/>
        <v>5.1427371956339209E-2</v>
      </c>
      <c r="N11" s="624">
        <f t="shared" si="83"/>
        <v>0.10208461269256419</v>
      </c>
      <c r="O11" s="624">
        <f t="shared" si="83"/>
        <v>1.7584994138335287E-2</v>
      </c>
      <c r="P11" s="625">
        <f t="shared" si="83"/>
        <v>0</v>
      </c>
      <c r="Q11" s="624">
        <f t="shared" si="83"/>
        <v>1.2307692307692308E-2</v>
      </c>
      <c r="R11" s="253"/>
      <c r="S11" s="254">
        <v>12799</v>
      </c>
      <c r="T11" s="255">
        <v>2929</v>
      </c>
      <c r="U11" s="255">
        <v>7044</v>
      </c>
      <c r="V11" s="255">
        <v>2267</v>
      </c>
      <c r="W11" s="255">
        <v>1480</v>
      </c>
      <c r="X11" s="255">
        <v>810</v>
      </c>
      <c r="Y11" s="256">
        <v>27329</v>
      </c>
      <c r="Z11" s="254">
        <v>218</v>
      </c>
      <c r="AA11" s="255">
        <v>2291</v>
      </c>
      <c r="AB11" s="255">
        <v>1185</v>
      </c>
      <c r="AC11" s="255">
        <v>245</v>
      </c>
      <c r="AD11" s="255">
        <v>699</v>
      </c>
      <c r="AE11" s="256">
        <v>4638</v>
      </c>
      <c r="AF11" s="254">
        <v>60</v>
      </c>
      <c r="AG11" s="255">
        <v>0</v>
      </c>
      <c r="AH11" s="254">
        <v>60</v>
      </c>
    </row>
    <row r="12" spans="1:36">
      <c r="A12" s="249"/>
      <c r="B12" s="239" t="s">
        <v>55</v>
      </c>
      <c r="C12" s="624">
        <f t="shared" si="82"/>
        <v>0.23350672418167978</v>
      </c>
      <c r="D12" s="625">
        <f t="shared" si="82"/>
        <v>0.244890234670704</v>
      </c>
      <c r="E12" s="625">
        <f t="shared" si="82"/>
        <v>0.28733778136226995</v>
      </c>
      <c r="F12" s="625">
        <f t="shared" si="82"/>
        <v>0.34321550741163054</v>
      </c>
      <c r="G12" s="625">
        <f t="shared" si="82"/>
        <v>0.3165829145728643</v>
      </c>
      <c r="H12" s="626">
        <f t="shared" si="82"/>
        <v>0.3608505315822389</v>
      </c>
      <c r="I12" s="624">
        <f t="shared" si="82"/>
        <v>0.26682444145776113</v>
      </c>
      <c r="J12" s="624">
        <f t="shared" si="82"/>
        <v>7.8353253652058433E-2</v>
      </c>
      <c r="K12" s="625">
        <f t="shared" si="82"/>
        <v>7.8001513462201494E-2</v>
      </c>
      <c r="L12" s="625">
        <f t="shared" si="82"/>
        <v>9.2648622127729174E-2</v>
      </c>
      <c r="M12" s="625">
        <f t="shared" si="82"/>
        <v>8.2283795130142737E-2</v>
      </c>
      <c r="N12" s="624">
        <f t="shared" si="83"/>
        <v>9.3324441098851268E-2</v>
      </c>
      <c r="O12" s="624">
        <f t="shared" si="83"/>
        <v>2.2274325908558032E-2</v>
      </c>
      <c r="P12" s="625">
        <f t="shared" si="83"/>
        <v>0</v>
      </c>
      <c r="Q12" s="624">
        <f t="shared" si="83"/>
        <v>1.558974358974359E-2</v>
      </c>
      <c r="R12" s="253"/>
      <c r="S12" s="254">
        <v>11043</v>
      </c>
      <c r="T12" s="255">
        <v>2588</v>
      </c>
      <c r="U12" s="255">
        <v>7838</v>
      </c>
      <c r="V12" s="255">
        <v>3010</v>
      </c>
      <c r="W12" s="255">
        <v>1764</v>
      </c>
      <c r="X12" s="255">
        <v>1154</v>
      </c>
      <c r="Y12" s="256">
        <v>27397</v>
      </c>
      <c r="Z12" s="254">
        <v>295</v>
      </c>
      <c r="AA12" s="255">
        <v>1742</v>
      </c>
      <c r="AB12" s="255">
        <v>1133</v>
      </c>
      <c r="AC12" s="255">
        <v>392</v>
      </c>
      <c r="AD12" s="255">
        <v>678</v>
      </c>
      <c r="AE12" s="256">
        <v>4240</v>
      </c>
      <c r="AF12" s="254">
        <v>76</v>
      </c>
      <c r="AG12" s="255">
        <v>0</v>
      </c>
      <c r="AH12" s="254">
        <v>76</v>
      </c>
    </row>
    <row r="13" spans="1:36">
      <c r="A13" s="249"/>
      <c r="B13" s="239" t="s">
        <v>78</v>
      </c>
      <c r="C13" s="624">
        <f t="shared" si="82"/>
        <v>7.2380106571936054E-2</v>
      </c>
      <c r="D13" s="625">
        <f t="shared" si="82"/>
        <v>9.727479182437547E-2</v>
      </c>
      <c r="E13" s="625">
        <f t="shared" si="82"/>
        <v>0.10609282205440282</v>
      </c>
      <c r="F13" s="625">
        <f t="shared" si="82"/>
        <v>0.10935005701254276</v>
      </c>
      <c r="G13" s="625">
        <f t="shared" si="82"/>
        <v>0.12132089016511127</v>
      </c>
      <c r="H13" s="626">
        <f t="shared" si="82"/>
        <v>0.14915572232645402</v>
      </c>
      <c r="I13" s="624">
        <f t="shared" si="82"/>
        <v>9.2103469097567156E-2</v>
      </c>
      <c r="J13" s="624">
        <f t="shared" si="82"/>
        <v>0.15112881806108897</v>
      </c>
      <c r="K13" s="625">
        <f t="shared" si="82"/>
        <v>0.15291341473789788</v>
      </c>
      <c r="L13" s="625">
        <f t="shared" si="82"/>
        <v>0.16460871698421783</v>
      </c>
      <c r="M13" s="625">
        <f t="shared" si="82"/>
        <v>0.17086481947942905</v>
      </c>
      <c r="N13" s="624">
        <f t="shared" si="83"/>
        <v>0.16135883907916951</v>
      </c>
      <c r="O13" s="624">
        <f t="shared" si="83"/>
        <v>0.15709261430246191</v>
      </c>
      <c r="P13" s="625">
        <f t="shared" si="83"/>
        <v>0</v>
      </c>
      <c r="Q13" s="624">
        <f t="shared" si="83"/>
        <v>0.10994871794871795</v>
      </c>
      <c r="R13" s="253"/>
      <c r="S13" s="254">
        <v>3423</v>
      </c>
      <c r="T13" s="255">
        <v>1028</v>
      </c>
      <c r="U13" s="255">
        <v>2894</v>
      </c>
      <c r="V13" s="255">
        <v>959</v>
      </c>
      <c r="W13" s="255">
        <v>676</v>
      </c>
      <c r="X13" s="255">
        <v>477</v>
      </c>
      <c r="Y13" s="256">
        <v>9457</v>
      </c>
      <c r="Z13" s="254">
        <v>569</v>
      </c>
      <c r="AA13" s="255">
        <v>3415</v>
      </c>
      <c r="AB13" s="255">
        <v>2013</v>
      </c>
      <c r="AC13" s="255">
        <v>814</v>
      </c>
      <c r="AD13" s="255">
        <v>520</v>
      </c>
      <c r="AE13" s="256">
        <v>7331</v>
      </c>
      <c r="AF13" s="254">
        <v>536</v>
      </c>
      <c r="AG13" s="255">
        <v>0</v>
      </c>
      <c r="AH13" s="254">
        <v>536</v>
      </c>
    </row>
    <row r="14" spans="1:36">
      <c r="A14" s="249"/>
      <c r="B14" s="239" t="s">
        <v>32</v>
      </c>
      <c r="C14" s="624">
        <f t="shared" si="82"/>
        <v>9.5978178127378841E-2</v>
      </c>
      <c r="D14" s="625">
        <f t="shared" si="82"/>
        <v>0.13332702498107493</v>
      </c>
      <c r="E14" s="625">
        <f t="shared" si="82"/>
        <v>0.10528631131314613</v>
      </c>
      <c r="F14" s="625">
        <f t="shared" si="82"/>
        <v>7.8563283922462937E-2</v>
      </c>
      <c r="G14" s="625">
        <f t="shared" si="82"/>
        <v>9.0272792534099061E-2</v>
      </c>
      <c r="H14" s="626">
        <f t="shared" si="82"/>
        <v>5.2220137585991241E-2</v>
      </c>
      <c r="I14" s="624">
        <f t="shared" si="82"/>
        <v>9.9135160404370939E-2</v>
      </c>
      <c r="J14" s="624">
        <f t="shared" si="82"/>
        <v>1.2217795484727756E-2</v>
      </c>
      <c r="K14" s="625">
        <f t="shared" si="82"/>
        <v>5.5747350321722657E-2</v>
      </c>
      <c r="L14" s="625">
        <f t="shared" si="82"/>
        <v>5.9285305421538967E-2</v>
      </c>
      <c r="M14" s="625">
        <f t="shared" si="82"/>
        <v>3.6104114189756509E-2</v>
      </c>
      <c r="N14" s="624">
        <f t="shared" si="83"/>
        <v>4.8202954246812334E-2</v>
      </c>
      <c r="O14" s="624">
        <f t="shared" si="83"/>
        <v>1.7584994138335288E-3</v>
      </c>
      <c r="P14" s="790">
        <f t="shared" si="83"/>
        <v>0</v>
      </c>
      <c r="Q14" s="791">
        <f t="shared" si="83"/>
        <v>1.2307692307692308E-3</v>
      </c>
      <c r="R14" s="253"/>
      <c r="S14" s="254">
        <v>4539</v>
      </c>
      <c r="T14" s="255">
        <v>1409</v>
      </c>
      <c r="U14" s="255">
        <v>2872</v>
      </c>
      <c r="V14" s="255">
        <v>689</v>
      </c>
      <c r="W14" s="255">
        <v>503</v>
      </c>
      <c r="X14" s="255">
        <v>167</v>
      </c>
      <c r="Y14" s="256">
        <v>10179</v>
      </c>
      <c r="Z14" s="254">
        <v>46</v>
      </c>
      <c r="AA14" s="255">
        <v>1245</v>
      </c>
      <c r="AB14" s="255">
        <v>725</v>
      </c>
      <c r="AC14" s="255">
        <v>172</v>
      </c>
      <c r="AD14" s="255">
        <v>2</v>
      </c>
      <c r="AE14" s="256">
        <v>2190</v>
      </c>
      <c r="AF14" s="254">
        <v>6</v>
      </c>
      <c r="AG14" s="255">
        <v>0</v>
      </c>
      <c r="AH14" s="254">
        <v>6</v>
      </c>
    </row>
    <row r="15" spans="1:36">
      <c r="A15" s="249"/>
      <c r="B15" s="239" t="s">
        <v>58</v>
      </c>
      <c r="C15" s="624">
        <f t="shared" si="82"/>
        <v>0</v>
      </c>
      <c r="D15" s="790">
        <f t="shared" si="82"/>
        <v>0</v>
      </c>
      <c r="E15" s="625">
        <f t="shared" si="82"/>
        <v>0</v>
      </c>
      <c r="F15" s="790">
        <f t="shared" si="82"/>
        <v>0</v>
      </c>
      <c r="G15" s="790">
        <f t="shared" si="82"/>
        <v>0</v>
      </c>
      <c r="H15" s="626">
        <f t="shared" si="82"/>
        <v>0</v>
      </c>
      <c r="I15" s="624">
        <f t="shared" si="82"/>
        <v>0</v>
      </c>
      <c r="J15" s="624">
        <f t="shared" si="82"/>
        <v>0.65126162018592293</v>
      </c>
      <c r="K15" s="625">
        <f t="shared" si="82"/>
        <v>0.48940800343887275</v>
      </c>
      <c r="L15" s="625">
        <f t="shared" si="82"/>
        <v>0.49537983481887315</v>
      </c>
      <c r="M15" s="625">
        <f t="shared" si="82"/>
        <v>0.59844668345927787</v>
      </c>
      <c r="N15" s="624">
        <f t="shared" si="83"/>
        <v>0.49063343964395845</v>
      </c>
      <c r="O15" s="624">
        <f t="shared" si="83"/>
        <v>0.77286049237983589</v>
      </c>
      <c r="P15" s="625">
        <f t="shared" si="83"/>
        <v>1</v>
      </c>
      <c r="Q15" s="624">
        <f t="shared" si="83"/>
        <v>0.84102564102564104</v>
      </c>
      <c r="R15" s="253"/>
      <c r="S15" s="254">
        <v>0</v>
      </c>
      <c r="T15" s="255">
        <v>0</v>
      </c>
      <c r="U15" s="255">
        <v>0</v>
      </c>
      <c r="V15" s="255">
        <v>0</v>
      </c>
      <c r="W15" s="255">
        <v>0</v>
      </c>
      <c r="X15" s="255">
        <v>0</v>
      </c>
      <c r="Y15" s="256">
        <v>0</v>
      </c>
      <c r="Z15" s="254">
        <v>2452</v>
      </c>
      <c r="AA15" s="255">
        <v>10929.900000000001</v>
      </c>
      <c r="AB15" s="255">
        <v>6058</v>
      </c>
      <c r="AC15" s="255">
        <v>2851</v>
      </c>
      <c r="AD15" s="255">
        <v>0</v>
      </c>
      <c r="AE15" s="256">
        <v>22290.9</v>
      </c>
      <c r="AF15" s="254">
        <v>2637</v>
      </c>
      <c r="AG15" s="255">
        <v>1463</v>
      </c>
      <c r="AH15" s="254">
        <v>4100</v>
      </c>
    </row>
    <row r="16" spans="1:36" s="406" customFormat="1">
      <c r="A16" s="435" t="s">
        <v>86</v>
      </c>
      <c r="B16" s="436" t="s">
        <v>59</v>
      </c>
      <c r="C16" s="577">
        <f>IF(S$16&gt;0,(S16/S$16),0)</f>
        <v>1</v>
      </c>
      <c r="D16" s="578">
        <f t="shared" si="82"/>
        <v>1</v>
      </c>
      <c r="E16" s="578">
        <f t="shared" si="82"/>
        <v>1</v>
      </c>
      <c r="F16" s="578">
        <f t="shared" si="82"/>
        <v>1</v>
      </c>
      <c r="G16" s="578">
        <f t="shared" si="82"/>
        <v>1</v>
      </c>
      <c r="H16" s="579">
        <f t="shared" si="82"/>
        <v>1</v>
      </c>
      <c r="I16" s="577">
        <f t="shared" si="82"/>
        <v>1</v>
      </c>
      <c r="J16" s="577">
        <f t="shared" si="82"/>
        <v>1</v>
      </c>
      <c r="K16" s="578">
        <f t="shared" si="82"/>
        <v>1</v>
      </c>
      <c r="L16" s="578">
        <f t="shared" si="82"/>
        <v>1</v>
      </c>
      <c r="M16" s="578">
        <f t="shared" si="82"/>
        <v>1</v>
      </c>
      <c r="N16" s="577">
        <f t="shared" si="83"/>
        <v>1</v>
      </c>
      <c r="O16" s="577">
        <f t="shared" si="83"/>
        <v>1</v>
      </c>
      <c r="P16" s="578">
        <f t="shared" si="83"/>
        <v>1</v>
      </c>
      <c r="Q16" s="577">
        <f t="shared" si="83"/>
        <v>1</v>
      </c>
      <c r="R16" s="264"/>
      <c r="S16" s="265">
        <v>47292</v>
      </c>
      <c r="T16" s="266">
        <v>10568</v>
      </c>
      <c r="U16" s="266">
        <v>27278</v>
      </c>
      <c r="V16" s="266">
        <v>8770</v>
      </c>
      <c r="W16" s="266">
        <v>5572</v>
      </c>
      <c r="X16" s="266">
        <v>3198</v>
      </c>
      <c r="Y16" s="267">
        <v>102678</v>
      </c>
      <c r="Z16" s="265">
        <v>3765</v>
      </c>
      <c r="AA16" s="266">
        <v>22332.9</v>
      </c>
      <c r="AB16" s="266">
        <v>12229</v>
      </c>
      <c r="AC16" s="266">
        <v>4764</v>
      </c>
      <c r="AD16" s="266">
        <v>2342</v>
      </c>
      <c r="AE16" s="267">
        <v>45432.9</v>
      </c>
      <c r="AF16" s="265">
        <v>3412</v>
      </c>
      <c r="AG16" s="266">
        <v>1463</v>
      </c>
      <c r="AH16" s="265">
        <v>4875</v>
      </c>
      <c r="AI16" s="405"/>
      <c r="AJ16" s="405"/>
    </row>
    <row r="17" spans="1:36">
      <c r="A17" s="239" t="s">
        <v>4</v>
      </c>
      <c r="B17" s="240" t="s">
        <v>53</v>
      </c>
      <c r="C17" s="613">
        <f t="shared" ref="C17:M23" si="84">IF(S$23&gt;0,(S17/S$23),0)</f>
        <v>0.30714725816389404</v>
      </c>
      <c r="D17" s="614">
        <f t="shared" si="84"/>
        <v>0.2581699346405229</v>
      </c>
      <c r="E17" s="614">
        <f t="shared" si="84"/>
        <v>0.20671494404213298</v>
      </c>
      <c r="F17" s="614">
        <f t="shared" si="84"/>
        <v>0.28862973760932947</v>
      </c>
      <c r="G17" s="614">
        <f t="shared" si="84"/>
        <v>0.189873417721519</v>
      </c>
      <c r="H17" s="615">
        <f t="shared" si="84"/>
        <v>0.23529411764705882</v>
      </c>
      <c r="I17" s="613">
        <f t="shared" si="84"/>
        <v>0.27191972363875638</v>
      </c>
      <c r="J17" s="613">
        <f t="shared" si="84"/>
        <v>0</v>
      </c>
      <c r="K17" s="614">
        <f t="shared" si="84"/>
        <v>0</v>
      </c>
      <c r="L17" s="614">
        <f t="shared" si="84"/>
        <v>0</v>
      </c>
      <c r="M17" s="614">
        <f t="shared" si="84"/>
        <v>0</v>
      </c>
      <c r="N17" s="613">
        <f t="shared" ref="N17:Q23" si="85">IF(AE$23&gt;0,(AE17/AE$23),0)</f>
        <v>0</v>
      </c>
      <c r="O17" s="788">
        <f t="shared" si="85"/>
        <v>0</v>
      </c>
      <c r="P17" s="614">
        <f t="shared" si="85"/>
        <v>0</v>
      </c>
      <c r="Q17" s="788">
        <f t="shared" si="85"/>
        <v>0</v>
      </c>
      <c r="R17" s="244"/>
      <c r="S17" s="245">
        <v>997</v>
      </c>
      <c r="T17" s="246">
        <v>79</v>
      </c>
      <c r="U17" s="246">
        <v>314</v>
      </c>
      <c r="V17" s="246">
        <v>198</v>
      </c>
      <c r="W17" s="246">
        <v>45</v>
      </c>
      <c r="X17" s="246">
        <v>20</v>
      </c>
      <c r="Y17" s="247">
        <v>1653</v>
      </c>
      <c r="Z17" s="245">
        <v>0</v>
      </c>
      <c r="AA17" s="246">
        <v>0</v>
      </c>
      <c r="AB17" s="246">
        <v>0</v>
      </c>
      <c r="AC17" s="246">
        <v>0</v>
      </c>
      <c r="AD17" s="246">
        <v>0</v>
      </c>
      <c r="AE17" s="247">
        <v>0</v>
      </c>
      <c r="AF17" s="245">
        <v>0</v>
      </c>
      <c r="AG17" s="246">
        <v>0</v>
      </c>
      <c r="AH17" s="245">
        <v>0</v>
      </c>
    </row>
    <row r="18" spans="1:36">
      <c r="A18" s="249"/>
      <c r="B18" s="239" t="s">
        <v>93</v>
      </c>
      <c r="C18" s="624">
        <f t="shared" si="84"/>
        <v>0.28157732593961798</v>
      </c>
      <c r="D18" s="625">
        <f t="shared" si="84"/>
        <v>0.28104575163398693</v>
      </c>
      <c r="E18" s="625">
        <f t="shared" si="84"/>
        <v>0.24094799210006584</v>
      </c>
      <c r="F18" s="625">
        <f t="shared" si="84"/>
        <v>0.24781341107871721</v>
      </c>
      <c r="G18" s="625">
        <f t="shared" si="84"/>
        <v>0.27004219409282698</v>
      </c>
      <c r="H18" s="626">
        <f t="shared" si="84"/>
        <v>0.27058823529411763</v>
      </c>
      <c r="I18" s="624">
        <f t="shared" si="84"/>
        <v>0.26698470143115643</v>
      </c>
      <c r="J18" s="624">
        <f t="shared" si="84"/>
        <v>0</v>
      </c>
      <c r="K18" s="625">
        <f t="shared" si="84"/>
        <v>0</v>
      </c>
      <c r="L18" s="625">
        <f t="shared" si="84"/>
        <v>0</v>
      </c>
      <c r="M18" s="625">
        <f t="shared" si="84"/>
        <v>0</v>
      </c>
      <c r="N18" s="624">
        <f t="shared" si="85"/>
        <v>0</v>
      </c>
      <c r="O18" s="624">
        <f t="shared" si="85"/>
        <v>0</v>
      </c>
      <c r="P18" s="625">
        <f t="shared" si="85"/>
        <v>0</v>
      </c>
      <c r="Q18" s="624">
        <f t="shared" si="85"/>
        <v>0</v>
      </c>
      <c r="R18" s="253"/>
      <c r="S18" s="254">
        <v>914</v>
      </c>
      <c r="T18" s="255">
        <v>86</v>
      </c>
      <c r="U18" s="255">
        <v>366</v>
      </c>
      <c r="V18" s="255">
        <v>170</v>
      </c>
      <c r="W18" s="255">
        <v>64</v>
      </c>
      <c r="X18" s="255">
        <v>23</v>
      </c>
      <c r="Y18" s="256">
        <v>1623</v>
      </c>
      <c r="Z18" s="254">
        <v>0</v>
      </c>
      <c r="AA18" s="255">
        <v>0</v>
      </c>
      <c r="AB18" s="255">
        <v>0</v>
      </c>
      <c r="AC18" s="255">
        <v>0</v>
      </c>
      <c r="AD18" s="255">
        <v>0</v>
      </c>
      <c r="AE18" s="256">
        <v>0</v>
      </c>
      <c r="AF18" s="254">
        <v>0</v>
      </c>
      <c r="AG18" s="255">
        <v>0</v>
      </c>
      <c r="AH18" s="254">
        <v>0</v>
      </c>
    </row>
    <row r="19" spans="1:36">
      <c r="A19" s="249"/>
      <c r="B19" s="239" t="s">
        <v>55</v>
      </c>
      <c r="C19" s="624">
        <f t="shared" si="84"/>
        <v>0.27325939617991374</v>
      </c>
      <c r="D19" s="625">
        <f t="shared" si="84"/>
        <v>0.28431372549019607</v>
      </c>
      <c r="E19" s="625">
        <f t="shared" si="84"/>
        <v>0.32587228439763</v>
      </c>
      <c r="F19" s="625">
        <f t="shared" si="84"/>
        <v>0.32069970845481049</v>
      </c>
      <c r="G19" s="625">
        <f t="shared" si="84"/>
        <v>0.43881856540084391</v>
      </c>
      <c r="H19" s="626">
        <f t="shared" si="84"/>
        <v>0.45882352941176469</v>
      </c>
      <c r="I19" s="624">
        <f t="shared" si="84"/>
        <v>0.30136535614410265</v>
      </c>
      <c r="J19" s="624">
        <f t="shared" si="84"/>
        <v>0</v>
      </c>
      <c r="K19" s="625">
        <f t="shared" si="84"/>
        <v>0</v>
      </c>
      <c r="L19" s="625">
        <f t="shared" si="84"/>
        <v>0</v>
      </c>
      <c r="M19" s="625">
        <f t="shared" si="84"/>
        <v>0</v>
      </c>
      <c r="N19" s="624">
        <f t="shared" si="85"/>
        <v>0</v>
      </c>
      <c r="O19" s="624">
        <f t="shared" si="85"/>
        <v>0</v>
      </c>
      <c r="P19" s="625">
        <f t="shared" si="85"/>
        <v>0</v>
      </c>
      <c r="Q19" s="624">
        <f t="shared" si="85"/>
        <v>0</v>
      </c>
      <c r="R19" s="253"/>
      <c r="S19" s="254">
        <v>887</v>
      </c>
      <c r="T19" s="255">
        <v>87</v>
      </c>
      <c r="U19" s="255">
        <v>495</v>
      </c>
      <c r="V19" s="255">
        <v>220</v>
      </c>
      <c r="W19" s="255">
        <v>104</v>
      </c>
      <c r="X19" s="255">
        <v>39</v>
      </c>
      <c r="Y19" s="256">
        <v>1832</v>
      </c>
      <c r="Z19" s="254">
        <v>0</v>
      </c>
      <c r="AA19" s="255">
        <v>0</v>
      </c>
      <c r="AB19" s="255">
        <v>0</v>
      </c>
      <c r="AC19" s="255">
        <v>0</v>
      </c>
      <c r="AD19" s="255">
        <v>0</v>
      </c>
      <c r="AE19" s="256">
        <v>0</v>
      </c>
      <c r="AF19" s="254">
        <v>0</v>
      </c>
      <c r="AG19" s="255">
        <v>0</v>
      </c>
      <c r="AH19" s="254">
        <v>0</v>
      </c>
    </row>
    <row r="20" spans="1:36">
      <c r="A20" s="249"/>
      <c r="B20" s="239" t="s">
        <v>78</v>
      </c>
      <c r="C20" s="624">
        <f t="shared" si="84"/>
        <v>0.13031423290203328</v>
      </c>
      <c r="D20" s="625">
        <f t="shared" si="84"/>
        <v>4.5751633986928102E-2</v>
      </c>
      <c r="E20" s="625">
        <f t="shared" si="84"/>
        <v>0.17972350230414746</v>
      </c>
      <c r="F20" s="625">
        <f t="shared" si="84"/>
        <v>0.14139941690962099</v>
      </c>
      <c r="G20" s="625">
        <f t="shared" si="84"/>
        <v>6.3291139240506333E-2</v>
      </c>
      <c r="H20" s="626">
        <f t="shared" si="84"/>
        <v>3.5294117647058823E-2</v>
      </c>
      <c r="I20" s="624">
        <f t="shared" si="84"/>
        <v>0.13571311070899819</v>
      </c>
      <c r="J20" s="624">
        <f t="shared" si="84"/>
        <v>0</v>
      </c>
      <c r="K20" s="625">
        <f t="shared" si="84"/>
        <v>0</v>
      </c>
      <c r="L20" s="625">
        <f t="shared" si="84"/>
        <v>0</v>
      </c>
      <c r="M20" s="625">
        <f t="shared" si="84"/>
        <v>0</v>
      </c>
      <c r="N20" s="624">
        <f t="shared" si="85"/>
        <v>0</v>
      </c>
      <c r="O20" s="624">
        <f t="shared" si="85"/>
        <v>0</v>
      </c>
      <c r="P20" s="625">
        <f t="shared" si="85"/>
        <v>0</v>
      </c>
      <c r="Q20" s="624">
        <f t="shared" si="85"/>
        <v>0</v>
      </c>
      <c r="R20" s="253"/>
      <c r="S20" s="254">
        <v>423</v>
      </c>
      <c r="T20" s="255">
        <v>14</v>
      </c>
      <c r="U20" s="255">
        <v>273</v>
      </c>
      <c r="V20" s="255">
        <v>97</v>
      </c>
      <c r="W20" s="255">
        <v>15</v>
      </c>
      <c r="X20" s="255">
        <v>3</v>
      </c>
      <c r="Y20" s="256">
        <v>825</v>
      </c>
      <c r="Z20" s="254">
        <v>0</v>
      </c>
      <c r="AA20" s="255">
        <v>0</v>
      </c>
      <c r="AB20" s="255">
        <v>0</v>
      </c>
      <c r="AC20" s="255">
        <v>0</v>
      </c>
      <c r="AD20" s="255">
        <v>0</v>
      </c>
      <c r="AE20" s="256">
        <v>0</v>
      </c>
      <c r="AF20" s="254">
        <v>0</v>
      </c>
      <c r="AG20" s="255">
        <v>0</v>
      </c>
      <c r="AH20" s="254">
        <v>0</v>
      </c>
    </row>
    <row r="21" spans="1:36">
      <c r="A21" s="249"/>
      <c r="B21" s="239" t="s">
        <v>32</v>
      </c>
      <c r="C21" s="624">
        <f t="shared" si="84"/>
        <v>7.7017868145409733E-3</v>
      </c>
      <c r="D21" s="625">
        <f t="shared" si="84"/>
        <v>0.13071895424836602</v>
      </c>
      <c r="E21" s="625">
        <f t="shared" si="84"/>
        <v>4.6741277156023699E-2</v>
      </c>
      <c r="F21" s="790">
        <f t="shared" si="84"/>
        <v>1.4577259475218659E-3</v>
      </c>
      <c r="G21" s="625">
        <f t="shared" si="84"/>
        <v>3.7974683544303799E-2</v>
      </c>
      <c r="H21" s="626">
        <f t="shared" si="84"/>
        <v>0</v>
      </c>
      <c r="I21" s="624">
        <f t="shared" si="84"/>
        <v>2.4017108076986347E-2</v>
      </c>
      <c r="J21" s="624">
        <f t="shared" si="84"/>
        <v>0</v>
      </c>
      <c r="K21" s="625">
        <f t="shared" si="84"/>
        <v>0</v>
      </c>
      <c r="L21" s="625">
        <f t="shared" si="84"/>
        <v>0</v>
      </c>
      <c r="M21" s="625">
        <f t="shared" si="84"/>
        <v>0</v>
      </c>
      <c r="N21" s="624">
        <f t="shared" si="85"/>
        <v>0</v>
      </c>
      <c r="O21" s="624">
        <f t="shared" si="85"/>
        <v>0</v>
      </c>
      <c r="P21" s="625">
        <f t="shared" si="85"/>
        <v>0</v>
      </c>
      <c r="Q21" s="624">
        <f t="shared" si="85"/>
        <v>0</v>
      </c>
      <c r="R21" s="253"/>
      <c r="S21" s="254">
        <v>25</v>
      </c>
      <c r="T21" s="255">
        <v>40</v>
      </c>
      <c r="U21" s="255">
        <v>71</v>
      </c>
      <c r="V21" s="255">
        <v>1</v>
      </c>
      <c r="W21" s="255">
        <v>9</v>
      </c>
      <c r="X21" s="255">
        <v>0</v>
      </c>
      <c r="Y21" s="256">
        <v>146</v>
      </c>
      <c r="Z21" s="254">
        <v>0</v>
      </c>
      <c r="AA21" s="255">
        <v>0</v>
      </c>
      <c r="AB21" s="255">
        <v>0</v>
      </c>
      <c r="AC21" s="255">
        <v>0</v>
      </c>
      <c r="AD21" s="255">
        <v>0</v>
      </c>
      <c r="AE21" s="256">
        <v>0</v>
      </c>
      <c r="AF21" s="254">
        <v>0</v>
      </c>
      <c r="AG21" s="255">
        <v>0</v>
      </c>
      <c r="AH21" s="254">
        <v>0</v>
      </c>
    </row>
    <row r="22" spans="1:36">
      <c r="A22" s="249"/>
      <c r="B22" s="239" t="s">
        <v>58</v>
      </c>
      <c r="C22" s="624">
        <f t="shared" si="84"/>
        <v>0</v>
      </c>
      <c r="D22" s="625">
        <f t="shared" si="84"/>
        <v>0</v>
      </c>
      <c r="E22" s="792">
        <f t="shared" si="84"/>
        <v>0</v>
      </c>
      <c r="F22" s="625">
        <f t="shared" si="84"/>
        <v>0</v>
      </c>
      <c r="G22" s="790">
        <f t="shared" si="84"/>
        <v>0</v>
      </c>
      <c r="H22" s="626">
        <f t="shared" si="84"/>
        <v>0</v>
      </c>
      <c r="I22" s="793">
        <f t="shared" si="84"/>
        <v>0</v>
      </c>
      <c r="J22" s="624">
        <f t="shared" si="84"/>
        <v>0</v>
      </c>
      <c r="K22" s="625">
        <f t="shared" si="84"/>
        <v>1</v>
      </c>
      <c r="L22" s="625">
        <f t="shared" si="84"/>
        <v>1</v>
      </c>
      <c r="M22" s="625">
        <f t="shared" si="84"/>
        <v>1</v>
      </c>
      <c r="N22" s="624">
        <f t="shared" si="85"/>
        <v>1</v>
      </c>
      <c r="O22" s="624">
        <f t="shared" si="85"/>
        <v>1</v>
      </c>
      <c r="P22" s="625">
        <f t="shared" si="85"/>
        <v>1</v>
      </c>
      <c r="Q22" s="624">
        <f t="shared" si="85"/>
        <v>1</v>
      </c>
      <c r="R22" s="253"/>
      <c r="S22" s="254">
        <v>0</v>
      </c>
      <c r="T22" s="255">
        <v>0</v>
      </c>
      <c r="U22" s="255">
        <v>0</v>
      </c>
      <c r="V22" s="255">
        <v>0</v>
      </c>
      <c r="W22" s="255">
        <v>0</v>
      </c>
      <c r="X22" s="255">
        <v>0</v>
      </c>
      <c r="Y22" s="256">
        <v>0</v>
      </c>
      <c r="Z22" s="254">
        <v>0</v>
      </c>
      <c r="AA22" s="255">
        <v>327</v>
      </c>
      <c r="AB22" s="255">
        <v>122</v>
      </c>
      <c r="AC22" s="255">
        <v>85</v>
      </c>
      <c r="AD22" s="255">
        <v>0</v>
      </c>
      <c r="AE22" s="256">
        <v>1773</v>
      </c>
      <c r="AF22" s="254">
        <v>60</v>
      </c>
      <c r="AG22" s="255">
        <v>89</v>
      </c>
      <c r="AH22" s="254">
        <v>149</v>
      </c>
    </row>
    <row r="23" spans="1:36" s="406" customFormat="1">
      <c r="A23" s="435"/>
      <c r="B23" s="436" t="s">
        <v>59</v>
      </c>
      <c r="C23" s="577">
        <f t="shared" si="84"/>
        <v>1</v>
      </c>
      <c r="D23" s="578">
        <f t="shared" si="84"/>
        <v>1</v>
      </c>
      <c r="E23" s="578">
        <f t="shared" si="84"/>
        <v>1</v>
      </c>
      <c r="F23" s="578">
        <f t="shared" si="84"/>
        <v>1</v>
      </c>
      <c r="G23" s="578">
        <f t="shared" si="84"/>
        <v>1</v>
      </c>
      <c r="H23" s="579">
        <f t="shared" si="84"/>
        <v>1</v>
      </c>
      <c r="I23" s="577">
        <f t="shared" si="84"/>
        <v>1</v>
      </c>
      <c r="J23" s="577">
        <f t="shared" si="84"/>
        <v>0</v>
      </c>
      <c r="K23" s="578">
        <f t="shared" si="84"/>
        <v>1</v>
      </c>
      <c r="L23" s="578">
        <f t="shared" si="84"/>
        <v>1</v>
      </c>
      <c r="M23" s="578">
        <f t="shared" si="84"/>
        <v>1</v>
      </c>
      <c r="N23" s="577">
        <f t="shared" si="85"/>
        <v>1</v>
      </c>
      <c r="O23" s="577">
        <f t="shared" si="85"/>
        <v>1</v>
      </c>
      <c r="P23" s="578">
        <f t="shared" si="85"/>
        <v>1</v>
      </c>
      <c r="Q23" s="577">
        <f t="shared" si="85"/>
        <v>1</v>
      </c>
      <c r="R23" s="264"/>
      <c r="S23" s="265">
        <v>3246</v>
      </c>
      <c r="T23" s="266">
        <v>306</v>
      </c>
      <c r="U23" s="266">
        <v>1519</v>
      </c>
      <c r="V23" s="266">
        <v>686</v>
      </c>
      <c r="W23" s="266">
        <v>237</v>
      </c>
      <c r="X23" s="266">
        <v>85</v>
      </c>
      <c r="Y23" s="267">
        <v>6079</v>
      </c>
      <c r="Z23" s="265">
        <v>0</v>
      </c>
      <c r="AA23" s="266">
        <v>327</v>
      </c>
      <c r="AB23" s="266">
        <v>122</v>
      </c>
      <c r="AC23" s="266">
        <v>85</v>
      </c>
      <c r="AD23" s="266">
        <v>0</v>
      </c>
      <c r="AE23" s="267">
        <v>1773</v>
      </c>
      <c r="AF23" s="265">
        <v>60</v>
      </c>
      <c r="AG23" s="266">
        <v>89</v>
      </c>
      <c r="AH23" s="265">
        <v>149</v>
      </c>
      <c r="AI23" s="405"/>
      <c r="AJ23" s="405"/>
    </row>
    <row r="24" spans="1:36">
      <c r="A24" s="239" t="s">
        <v>5</v>
      </c>
      <c r="B24" s="240" t="s">
        <v>53</v>
      </c>
      <c r="C24" s="613">
        <f t="shared" ref="C24:M30" si="86">IF(S$30&gt;0,(S24/S$30),0)</f>
        <v>0.36482412060301506</v>
      </c>
      <c r="D24" s="614">
        <f t="shared" si="86"/>
        <v>0</v>
      </c>
      <c r="E24" s="614">
        <f t="shared" si="86"/>
        <v>0.22347480106100795</v>
      </c>
      <c r="F24" s="614">
        <f t="shared" si="86"/>
        <v>0.21739130434782608</v>
      </c>
      <c r="G24" s="614">
        <f t="shared" si="86"/>
        <v>0.12987012987012986</v>
      </c>
      <c r="H24" s="615">
        <f t="shared" si="86"/>
        <v>9.7387173396674589E-2</v>
      </c>
      <c r="I24" s="613">
        <f t="shared" si="86"/>
        <v>0.24207415368081678</v>
      </c>
      <c r="J24" s="613">
        <f t="shared" si="86"/>
        <v>0</v>
      </c>
      <c r="K24" s="614">
        <f t="shared" si="86"/>
        <v>0</v>
      </c>
      <c r="L24" s="614">
        <f t="shared" si="86"/>
        <v>0</v>
      </c>
      <c r="M24" s="614">
        <f t="shared" si="86"/>
        <v>0</v>
      </c>
      <c r="N24" s="788">
        <f t="shared" ref="N24:Q30" si="87">IF(AE$30&gt;0,(AE24/AE$30),0)</f>
        <v>1.3783597518952447E-2</v>
      </c>
      <c r="O24" s="788">
        <f t="shared" si="87"/>
        <v>0</v>
      </c>
      <c r="P24" s="614">
        <f t="shared" si="87"/>
        <v>0</v>
      </c>
      <c r="Q24" s="788">
        <f t="shared" si="87"/>
        <v>0</v>
      </c>
      <c r="R24" s="244"/>
      <c r="S24" s="245">
        <v>363</v>
      </c>
      <c r="T24" s="246">
        <v>0</v>
      </c>
      <c r="U24" s="246">
        <v>337</v>
      </c>
      <c r="V24" s="246">
        <v>140</v>
      </c>
      <c r="W24" s="246">
        <v>20</v>
      </c>
      <c r="X24" s="246">
        <v>41</v>
      </c>
      <c r="Y24" s="247">
        <v>901</v>
      </c>
      <c r="Z24" s="245">
        <v>0</v>
      </c>
      <c r="AA24" s="246">
        <v>0</v>
      </c>
      <c r="AB24" s="246">
        <v>0</v>
      </c>
      <c r="AC24" s="246">
        <v>0</v>
      </c>
      <c r="AD24" s="246">
        <v>0</v>
      </c>
      <c r="AE24" s="247">
        <v>20</v>
      </c>
      <c r="AF24" s="245">
        <v>0</v>
      </c>
      <c r="AG24" s="246">
        <v>0</v>
      </c>
      <c r="AH24" s="245">
        <v>0</v>
      </c>
    </row>
    <row r="25" spans="1:36">
      <c r="A25" s="249"/>
      <c r="B25" s="239" t="s">
        <v>93</v>
      </c>
      <c r="C25" s="624">
        <f t="shared" si="86"/>
        <v>0.2150753768844221</v>
      </c>
      <c r="D25" s="625">
        <f t="shared" si="86"/>
        <v>0</v>
      </c>
      <c r="E25" s="625">
        <f t="shared" si="86"/>
        <v>0.24933687002652519</v>
      </c>
      <c r="F25" s="625">
        <f t="shared" si="86"/>
        <v>0.21583850931677018</v>
      </c>
      <c r="G25" s="625">
        <f t="shared" si="86"/>
        <v>0.29220779220779219</v>
      </c>
      <c r="H25" s="626">
        <f t="shared" si="86"/>
        <v>0.2161520190023753</v>
      </c>
      <c r="I25" s="624">
        <f t="shared" si="86"/>
        <v>0.23240193444384741</v>
      </c>
      <c r="J25" s="624">
        <f t="shared" si="86"/>
        <v>0</v>
      </c>
      <c r="K25" s="625">
        <f t="shared" si="86"/>
        <v>0</v>
      </c>
      <c r="L25" s="625">
        <f t="shared" si="86"/>
        <v>0</v>
      </c>
      <c r="M25" s="625">
        <f t="shared" si="86"/>
        <v>0</v>
      </c>
      <c r="N25" s="624">
        <f t="shared" si="87"/>
        <v>9.6485182632667123E-3</v>
      </c>
      <c r="O25" s="624">
        <f t="shared" si="87"/>
        <v>0</v>
      </c>
      <c r="P25" s="625">
        <f t="shared" si="87"/>
        <v>0</v>
      </c>
      <c r="Q25" s="624">
        <f t="shared" si="87"/>
        <v>0</v>
      </c>
      <c r="R25" s="253"/>
      <c r="S25" s="254">
        <v>214</v>
      </c>
      <c r="T25" s="255">
        <v>0</v>
      </c>
      <c r="U25" s="255">
        <v>376</v>
      </c>
      <c r="V25" s="255">
        <v>139</v>
      </c>
      <c r="W25" s="255">
        <v>45</v>
      </c>
      <c r="X25" s="255">
        <v>91</v>
      </c>
      <c r="Y25" s="256">
        <v>865</v>
      </c>
      <c r="Z25" s="254">
        <v>0</v>
      </c>
      <c r="AA25" s="255">
        <v>0</v>
      </c>
      <c r="AB25" s="255">
        <v>0</v>
      </c>
      <c r="AC25" s="255">
        <v>0</v>
      </c>
      <c r="AD25" s="255">
        <v>0</v>
      </c>
      <c r="AE25" s="256">
        <v>14</v>
      </c>
      <c r="AF25" s="254">
        <v>0</v>
      </c>
      <c r="AG25" s="255">
        <v>0</v>
      </c>
      <c r="AH25" s="254">
        <v>0</v>
      </c>
    </row>
    <row r="26" spans="1:36">
      <c r="A26" s="249"/>
      <c r="B26" s="239" t="s">
        <v>55</v>
      </c>
      <c r="C26" s="624">
        <f t="shared" si="86"/>
        <v>0.16783919597989949</v>
      </c>
      <c r="D26" s="625">
        <f t="shared" si="86"/>
        <v>0</v>
      </c>
      <c r="E26" s="625">
        <f t="shared" si="86"/>
        <v>0.27387267904509283</v>
      </c>
      <c r="F26" s="625">
        <f t="shared" si="86"/>
        <v>0.34161490683229812</v>
      </c>
      <c r="G26" s="625">
        <f t="shared" si="86"/>
        <v>0.14935064935064934</v>
      </c>
      <c r="H26" s="626">
        <f t="shared" si="86"/>
        <v>0.36342042755344417</v>
      </c>
      <c r="I26" s="624">
        <f t="shared" si="86"/>
        <v>0.26222461042450296</v>
      </c>
      <c r="J26" s="624">
        <f t="shared" si="86"/>
        <v>0</v>
      </c>
      <c r="K26" s="625">
        <f t="shared" si="86"/>
        <v>0</v>
      </c>
      <c r="L26" s="625">
        <f t="shared" si="86"/>
        <v>0</v>
      </c>
      <c r="M26" s="625">
        <f t="shared" si="86"/>
        <v>0</v>
      </c>
      <c r="N26" s="624">
        <f t="shared" si="87"/>
        <v>5.2377670572019294E-2</v>
      </c>
      <c r="O26" s="624">
        <f t="shared" si="87"/>
        <v>0</v>
      </c>
      <c r="P26" s="625">
        <f t="shared" si="87"/>
        <v>0</v>
      </c>
      <c r="Q26" s="624">
        <f t="shared" si="87"/>
        <v>0</v>
      </c>
      <c r="R26" s="253"/>
      <c r="S26" s="254">
        <v>167</v>
      </c>
      <c r="T26" s="255">
        <v>0</v>
      </c>
      <c r="U26" s="255">
        <v>413</v>
      </c>
      <c r="V26" s="255">
        <v>220</v>
      </c>
      <c r="W26" s="255">
        <v>23</v>
      </c>
      <c r="X26" s="255">
        <v>153</v>
      </c>
      <c r="Y26" s="256">
        <v>976</v>
      </c>
      <c r="Z26" s="254">
        <v>0</v>
      </c>
      <c r="AA26" s="255">
        <v>0</v>
      </c>
      <c r="AB26" s="255">
        <v>0</v>
      </c>
      <c r="AC26" s="255">
        <v>0</v>
      </c>
      <c r="AD26" s="255">
        <v>0</v>
      </c>
      <c r="AE26" s="256">
        <v>76</v>
      </c>
      <c r="AF26" s="254">
        <v>0</v>
      </c>
      <c r="AG26" s="255">
        <v>0</v>
      </c>
      <c r="AH26" s="254">
        <v>0</v>
      </c>
    </row>
    <row r="27" spans="1:36">
      <c r="A27" s="249"/>
      <c r="B27" s="239" t="s">
        <v>78</v>
      </c>
      <c r="C27" s="624">
        <f t="shared" si="86"/>
        <v>0.17889447236180905</v>
      </c>
      <c r="D27" s="625">
        <f t="shared" si="86"/>
        <v>0</v>
      </c>
      <c r="E27" s="625">
        <f t="shared" si="86"/>
        <v>0.19893899204244031</v>
      </c>
      <c r="F27" s="625">
        <f t="shared" si="86"/>
        <v>0.15062111801242237</v>
      </c>
      <c r="G27" s="625">
        <f t="shared" si="86"/>
        <v>0.18831168831168832</v>
      </c>
      <c r="H27" s="626">
        <f t="shared" si="86"/>
        <v>0.30166270783847982</v>
      </c>
      <c r="I27" s="624">
        <f t="shared" si="86"/>
        <v>0.19639978506179473</v>
      </c>
      <c r="J27" s="624">
        <f t="shared" si="86"/>
        <v>0</v>
      </c>
      <c r="K27" s="625">
        <f t="shared" si="86"/>
        <v>0</v>
      </c>
      <c r="L27" s="625">
        <f t="shared" si="86"/>
        <v>0</v>
      </c>
      <c r="M27" s="625">
        <f t="shared" si="86"/>
        <v>0</v>
      </c>
      <c r="N27" s="624">
        <f t="shared" si="87"/>
        <v>0.12749827705031014</v>
      </c>
      <c r="O27" s="624">
        <f t="shared" si="87"/>
        <v>0</v>
      </c>
      <c r="P27" s="625">
        <f t="shared" si="87"/>
        <v>0</v>
      </c>
      <c r="Q27" s="624">
        <f t="shared" si="87"/>
        <v>0</v>
      </c>
      <c r="R27" s="253"/>
      <c r="S27" s="254">
        <v>178</v>
      </c>
      <c r="T27" s="255">
        <v>0</v>
      </c>
      <c r="U27" s="255">
        <v>300</v>
      </c>
      <c r="V27" s="255">
        <v>97</v>
      </c>
      <c r="W27" s="255">
        <v>29</v>
      </c>
      <c r="X27" s="255">
        <v>127</v>
      </c>
      <c r="Y27" s="256">
        <v>731</v>
      </c>
      <c r="Z27" s="254">
        <v>0</v>
      </c>
      <c r="AA27" s="255">
        <v>0</v>
      </c>
      <c r="AB27" s="255">
        <v>0</v>
      </c>
      <c r="AC27" s="255">
        <v>0</v>
      </c>
      <c r="AD27" s="255">
        <v>0</v>
      </c>
      <c r="AE27" s="256">
        <v>185</v>
      </c>
      <c r="AF27" s="254">
        <v>0</v>
      </c>
      <c r="AG27" s="255">
        <v>0</v>
      </c>
      <c r="AH27" s="254">
        <v>0</v>
      </c>
    </row>
    <row r="28" spans="1:36">
      <c r="A28" s="249"/>
      <c r="B28" s="239" t="s">
        <v>32</v>
      </c>
      <c r="C28" s="624">
        <f t="shared" si="86"/>
        <v>7.3366834170854267E-2</v>
      </c>
      <c r="D28" s="625">
        <f t="shared" si="86"/>
        <v>0</v>
      </c>
      <c r="E28" s="625">
        <f t="shared" si="86"/>
        <v>5.4376657824933686E-2</v>
      </c>
      <c r="F28" s="625">
        <f t="shared" si="86"/>
        <v>7.4534161490683232E-2</v>
      </c>
      <c r="G28" s="625">
        <f t="shared" si="86"/>
        <v>0.24025974025974026</v>
      </c>
      <c r="H28" s="626">
        <f t="shared" si="86"/>
        <v>2.1377672209026127E-2</v>
      </c>
      <c r="I28" s="624">
        <f t="shared" si="86"/>
        <v>6.6899516389038155E-2</v>
      </c>
      <c r="J28" s="624">
        <f t="shared" si="86"/>
        <v>0</v>
      </c>
      <c r="K28" s="625">
        <f t="shared" si="86"/>
        <v>0</v>
      </c>
      <c r="L28" s="625">
        <f t="shared" si="86"/>
        <v>0</v>
      </c>
      <c r="M28" s="625">
        <f t="shared" si="86"/>
        <v>0</v>
      </c>
      <c r="N28" s="624">
        <f t="shared" si="87"/>
        <v>0</v>
      </c>
      <c r="O28" s="624">
        <f t="shared" si="87"/>
        <v>0</v>
      </c>
      <c r="P28" s="625">
        <f t="shared" si="87"/>
        <v>0</v>
      </c>
      <c r="Q28" s="624">
        <f t="shared" si="87"/>
        <v>0</v>
      </c>
      <c r="R28" s="253"/>
      <c r="S28" s="254">
        <v>73</v>
      </c>
      <c r="T28" s="255">
        <v>0</v>
      </c>
      <c r="U28" s="255">
        <v>82</v>
      </c>
      <c r="V28" s="255">
        <v>48</v>
      </c>
      <c r="W28" s="255">
        <v>37</v>
      </c>
      <c r="X28" s="255">
        <v>9</v>
      </c>
      <c r="Y28" s="256">
        <v>249</v>
      </c>
      <c r="Z28" s="254">
        <v>0</v>
      </c>
      <c r="AA28" s="255">
        <v>0</v>
      </c>
      <c r="AB28" s="255">
        <v>0</v>
      </c>
      <c r="AC28" s="255">
        <v>0</v>
      </c>
      <c r="AD28" s="255">
        <v>0</v>
      </c>
      <c r="AE28" s="256">
        <v>0</v>
      </c>
      <c r="AF28" s="254">
        <v>0</v>
      </c>
      <c r="AG28" s="255">
        <v>0</v>
      </c>
      <c r="AH28" s="254">
        <v>0</v>
      </c>
    </row>
    <row r="29" spans="1:36">
      <c r="A29" s="249"/>
      <c r="B29" s="239" t="s">
        <v>58</v>
      </c>
      <c r="C29" s="624">
        <f t="shared" si="86"/>
        <v>0</v>
      </c>
      <c r="D29" s="625">
        <f t="shared" si="86"/>
        <v>0</v>
      </c>
      <c r="E29" s="792">
        <f t="shared" si="86"/>
        <v>0</v>
      </c>
      <c r="F29" s="625">
        <f t="shared" si="86"/>
        <v>0</v>
      </c>
      <c r="G29" s="792">
        <f t="shared" si="86"/>
        <v>0</v>
      </c>
      <c r="H29" s="626">
        <f t="shared" si="86"/>
        <v>0</v>
      </c>
      <c r="I29" s="793">
        <f t="shared" si="86"/>
        <v>0</v>
      </c>
      <c r="J29" s="624">
        <f t="shared" si="86"/>
        <v>0</v>
      </c>
      <c r="K29" s="625">
        <f t="shared" si="86"/>
        <v>1</v>
      </c>
      <c r="L29" s="625">
        <f t="shared" si="86"/>
        <v>1</v>
      </c>
      <c r="M29" s="625">
        <f t="shared" si="86"/>
        <v>1</v>
      </c>
      <c r="N29" s="624">
        <f t="shared" si="87"/>
        <v>0.79669193659545146</v>
      </c>
      <c r="O29" s="624">
        <f t="shared" si="87"/>
        <v>0</v>
      </c>
      <c r="P29" s="625">
        <f t="shared" si="87"/>
        <v>0</v>
      </c>
      <c r="Q29" s="624">
        <f t="shared" si="87"/>
        <v>0</v>
      </c>
      <c r="R29" s="253"/>
      <c r="S29" s="254">
        <v>0</v>
      </c>
      <c r="T29" s="255">
        <v>0</v>
      </c>
      <c r="U29" s="255">
        <v>0</v>
      </c>
      <c r="V29" s="255">
        <v>0</v>
      </c>
      <c r="W29" s="255">
        <v>0</v>
      </c>
      <c r="X29" s="255">
        <v>0</v>
      </c>
      <c r="Y29" s="256">
        <v>0</v>
      </c>
      <c r="Z29" s="254">
        <v>0</v>
      </c>
      <c r="AA29" s="255">
        <v>327</v>
      </c>
      <c r="AB29" s="255">
        <v>122</v>
      </c>
      <c r="AC29" s="255">
        <v>85</v>
      </c>
      <c r="AD29" s="255">
        <v>0</v>
      </c>
      <c r="AE29" s="256">
        <v>1156</v>
      </c>
      <c r="AF29" s="254">
        <v>0</v>
      </c>
      <c r="AG29" s="255">
        <v>0</v>
      </c>
      <c r="AH29" s="254">
        <v>0</v>
      </c>
    </row>
    <row r="30" spans="1:36" s="406" customFormat="1">
      <c r="A30" s="435"/>
      <c r="B30" s="436" t="s">
        <v>59</v>
      </c>
      <c r="C30" s="577">
        <f t="shared" si="86"/>
        <v>1</v>
      </c>
      <c r="D30" s="578">
        <f t="shared" si="86"/>
        <v>0</v>
      </c>
      <c r="E30" s="578">
        <f t="shared" si="86"/>
        <v>1</v>
      </c>
      <c r="F30" s="578">
        <f t="shared" si="86"/>
        <v>1</v>
      </c>
      <c r="G30" s="578">
        <f t="shared" si="86"/>
        <v>1</v>
      </c>
      <c r="H30" s="579">
        <f t="shared" si="86"/>
        <v>1</v>
      </c>
      <c r="I30" s="577">
        <f t="shared" si="86"/>
        <v>1</v>
      </c>
      <c r="J30" s="577">
        <f t="shared" si="86"/>
        <v>0</v>
      </c>
      <c r="K30" s="578">
        <f t="shared" si="86"/>
        <v>1</v>
      </c>
      <c r="L30" s="578">
        <f t="shared" si="86"/>
        <v>1</v>
      </c>
      <c r="M30" s="578">
        <f t="shared" si="86"/>
        <v>1</v>
      </c>
      <c r="N30" s="577">
        <f t="shared" si="87"/>
        <v>1</v>
      </c>
      <c r="O30" s="577">
        <f t="shared" si="87"/>
        <v>0</v>
      </c>
      <c r="P30" s="578">
        <f t="shared" si="87"/>
        <v>0</v>
      </c>
      <c r="Q30" s="577">
        <f t="shared" si="87"/>
        <v>0</v>
      </c>
      <c r="R30" s="264"/>
      <c r="S30" s="265">
        <v>995</v>
      </c>
      <c r="T30" s="266">
        <v>0</v>
      </c>
      <c r="U30" s="266">
        <v>1508</v>
      </c>
      <c r="V30" s="266">
        <v>644</v>
      </c>
      <c r="W30" s="266">
        <v>154</v>
      </c>
      <c r="X30" s="266">
        <v>421</v>
      </c>
      <c r="Y30" s="267">
        <v>3722</v>
      </c>
      <c r="Z30" s="265">
        <v>0</v>
      </c>
      <c r="AA30" s="266">
        <v>327</v>
      </c>
      <c r="AB30" s="266">
        <v>122</v>
      </c>
      <c r="AC30" s="266">
        <v>85</v>
      </c>
      <c r="AD30" s="266">
        <v>0</v>
      </c>
      <c r="AE30" s="267">
        <v>1451</v>
      </c>
      <c r="AF30" s="265">
        <v>0</v>
      </c>
      <c r="AG30" s="266">
        <v>0</v>
      </c>
      <c r="AH30" s="265">
        <v>0</v>
      </c>
      <c r="AI30" s="405"/>
      <c r="AJ30" s="405"/>
    </row>
    <row r="31" spans="1:36">
      <c r="A31" s="239" t="s">
        <v>82</v>
      </c>
      <c r="B31" s="240" t="s">
        <v>53</v>
      </c>
      <c r="C31" s="613">
        <f t="shared" ref="C31:M37" si="88">IF(S$37&gt;0,(S31/S$37),0)</f>
        <v>0.34924845269672855</v>
      </c>
      <c r="D31" s="614">
        <f t="shared" si="88"/>
        <v>0</v>
      </c>
      <c r="E31" s="614">
        <f t="shared" si="88"/>
        <v>0</v>
      </c>
      <c r="F31" s="614">
        <f t="shared" si="88"/>
        <v>0.18840579710144928</v>
      </c>
      <c r="G31" s="614">
        <f t="shared" si="88"/>
        <v>0</v>
      </c>
      <c r="H31" s="615">
        <f t="shared" si="88"/>
        <v>0</v>
      </c>
      <c r="I31" s="613">
        <f t="shared" si="88"/>
        <v>0.32436472346786249</v>
      </c>
      <c r="J31" s="613">
        <f t="shared" si="88"/>
        <v>0</v>
      </c>
      <c r="K31" s="614">
        <f t="shared" si="88"/>
        <v>0</v>
      </c>
      <c r="L31" s="614">
        <f t="shared" si="88"/>
        <v>0</v>
      </c>
      <c r="M31" s="614">
        <f t="shared" si="88"/>
        <v>0</v>
      </c>
      <c r="N31" s="613">
        <f t="shared" ref="N31:Q37" si="89">IF(AE$37&gt;0,(AE31/AE$37),0)</f>
        <v>0</v>
      </c>
      <c r="O31" s="788">
        <f t="shared" si="89"/>
        <v>0</v>
      </c>
      <c r="P31" s="614">
        <f t="shared" si="89"/>
        <v>0</v>
      </c>
      <c r="Q31" s="788">
        <f t="shared" si="89"/>
        <v>0</v>
      </c>
      <c r="R31" s="244"/>
      <c r="S31" s="245">
        <v>395</v>
      </c>
      <c r="T31" s="246">
        <v>0</v>
      </c>
      <c r="U31" s="246">
        <v>0</v>
      </c>
      <c r="V31" s="246">
        <v>39</v>
      </c>
      <c r="W31" s="246">
        <v>0</v>
      </c>
      <c r="X31" s="246">
        <v>0</v>
      </c>
      <c r="Y31" s="247">
        <v>434</v>
      </c>
      <c r="Z31" s="245">
        <v>0</v>
      </c>
      <c r="AA31" s="246">
        <v>0</v>
      </c>
      <c r="AB31" s="246">
        <v>0</v>
      </c>
      <c r="AC31" s="246">
        <v>0</v>
      </c>
      <c r="AD31" s="246">
        <v>0</v>
      </c>
      <c r="AE31" s="247">
        <v>0</v>
      </c>
      <c r="AF31" s="245">
        <v>0</v>
      </c>
      <c r="AG31" s="246">
        <v>0</v>
      </c>
      <c r="AH31" s="245">
        <v>0</v>
      </c>
    </row>
    <row r="32" spans="1:36">
      <c r="A32" s="249"/>
      <c r="B32" s="239" t="s">
        <v>93</v>
      </c>
      <c r="C32" s="624">
        <f t="shared" si="88"/>
        <v>0.29531388152077809</v>
      </c>
      <c r="D32" s="625">
        <f t="shared" si="88"/>
        <v>0</v>
      </c>
      <c r="E32" s="625">
        <f t="shared" si="88"/>
        <v>0</v>
      </c>
      <c r="F32" s="625">
        <f t="shared" si="88"/>
        <v>0.43961352657004832</v>
      </c>
      <c r="G32" s="625">
        <f t="shared" si="88"/>
        <v>0</v>
      </c>
      <c r="H32" s="626">
        <f t="shared" si="88"/>
        <v>0</v>
      </c>
      <c r="I32" s="624">
        <f t="shared" si="88"/>
        <v>0.31763826606875933</v>
      </c>
      <c r="J32" s="624">
        <f t="shared" si="88"/>
        <v>0</v>
      </c>
      <c r="K32" s="625">
        <f t="shared" si="88"/>
        <v>0</v>
      </c>
      <c r="L32" s="625">
        <f t="shared" si="88"/>
        <v>0</v>
      </c>
      <c r="M32" s="625">
        <f t="shared" si="88"/>
        <v>0</v>
      </c>
      <c r="N32" s="624">
        <f t="shared" si="89"/>
        <v>0</v>
      </c>
      <c r="O32" s="624">
        <f t="shared" si="89"/>
        <v>0</v>
      </c>
      <c r="P32" s="625">
        <f t="shared" si="89"/>
        <v>0</v>
      </c>
      <c r="Q32" s="624">
        <f t="shared" si="89"/>
        <v>0</v>
      </c>
      <c r="R32" s="253"/>
      <c r="S32" s="254">
        <v>334</v>
      </c>
      <c r="T32" s="255">
        <v>0</v>
      </c>
      <c r="U32" s="255">
        <v>0</v>
      </c>
      <c r="V32" s="255">
        <v>91</v>
      </c>
      <c r="W32" s="255">
        <v>0</v>
      </c>
      <c r="X32" s="255">
        <v>0</v>
      </c>
      <c r="Y32" s="256">
        <v>425</v>
      </c>
      <c r="Z32" s="254">
        <v>0</v>
      </c>
      <c r="AA32" s="255">
        <v>0</v>
      </c>
      <c r="AB32" s="255">
        <v>0</v>
      </c>
      <c r="AC32" s="255">
        <v>0</v>
      </c>
      <c r="AD32" s="255">
        <v>0</v>
      </c>
      <c r="AE32" s="256">
        <v>0</v>
      </c>
      <c r="AF32" s="254">
        <v>0</v>
      </c>
      <c r="AG32" s="255">
        <v>0</v>
      </c>
      <c r="AH32" s="254">
        <v>0</v>
      </c>
    </row>
    <row r="33" spans="1:36">
      <c r="A33" s="249"/>
      <c r="B33" s="239" t="s">
        <v>55</v>
      </c>
      <c r="C33" s="624">
        <f t="shared" si="88"/>
        <v>0.26525198938992045</v>
      </c>
      <c r="D33" s="625">
        <f t="shared" si="88"/>
        <v>0</v>
      </c>
      <c r="E33" s="625">
        <f t="shared" si="88"/>
        <v>0</v>
      </c>
      <c r="F33" s="625">
        <f t="shared" si="88"/>
        <v>0.30434782608695654</v>
      </c>
      <c r="G33" s="625">
        <f t="shared" si="88"/>
        <v>0</v>
      </c>
      <c r="H33" s="626">
        <f t="shared" si="88"/>
        <v>0</v>
      </c>
      <c r="I33" s="624">
        <f t="shared" si="88"/>
        <v>0.27130044843049328</v>
      </c>
      <c r="J33" s="624">
        <f t="shared" si="88"/>
        <v>0</v>
      </c>
      <c r="K33" s="625">
        <f t="shared" si="88"/>
        <v>0</v>
      </c>
      <c r="L33" s="625">
        <f t="shared" si="88"/>
        <v>0</v>
      </c>
      <c r="M33" s="625">
        <f t="shared" si="88"/>
        <v>0</v>
      </c>
      <c r="N33" s="624">
        <f t="shared" si="89"/>
        <v>0</v>
      </c>
      <c r="O33" s="624">
        <f t="shared" si="89"/>
        <v>0</v>
      </c>
      <c r="P33" s="625">
        <f t="shared" si="89"/>
        <v>0</v>
      </c>
      <c r="Q33" s="624">
        <f t="shared" si="89"/>
        <v>0</v>
      </c>
      <c r="R33" s="253"/>
      <c r="S33" s="254">
        <v>300</v>
      </c>
      <c r="T33" s="255">
        <v>0</v>
      </c>
      <c r="U33" s="255">
        <v>0</v>
      </c>
      <c r="V33" s="255">
        <v>63</v>
      </c>
      <c r="W33" s="255">
        <v>0</v>
      </c>
      <c r="X33" s="255">
        <v>0</v>
      </c>
      <c r="Y33" s="256">
        <v>363</v>
      </c>
      <c r="Z33" s="254">
        <v>0</v>
      </c>
      <c r="AA33" s="255">
        <v>0</v>
      </c>
      <c r="AB33" s="255">
        <v>0</v>
      </c>
      <c r="AC33" s="255">
        <v>0</v>
      </c>
      <c r="AD33" s="255">
        <v>0</v>
      </c>
      <c r="AE33" s="256">
        <v>0</v>
      </c>
      <c r="AF33" s="254">
        <v>0</v>
      </c>
      <c r="AG33" s="255">
        <v>0</v>
      </c>
      <c r="AH33" s="254">
        <v>0</v>
      </c>
    </row>
    <row r="34" spans="1:36">
      <c r="A34" s="249"/>
      <c r="B34" s="239" t="s">
        <v>78</v>
      </c>
      <c r="C34" s="624">
        <f t="shared" si="88"/>
        <v>9.0185676392572939E-2</v>
      </c>
      <c r="D34" s="625">
        <f t="shared" si="88"/>
        <v>0</v>
      </c>
      <c r="E34" s="625">
        <f t="shared" si="88"/>
        <v>0</v>
      </c>
      <c r="F34" s="625">
        <f t="shared" si="88"/>
        <v>5.7971014492753624E-2</v>
      </c>
      <c r="G34" s="625">
        <f t="shared" si="88"/>
        <v>0</v>
      </c>
      <c r="H34" s="626">
        <f t="shared" si="88"/>
        <v>0</v>
      </c>
      <c r="I34" s="624">
        <f t="shared" si="88"/>
        <v>8.520179372197309E-2</v>
      </c>
      <c r="J34" s="624">
        <f t="shared" si="88"/>
        <v>0</v>
      </c>
      <c r="K34" s="625">
        <f t="shared" si="88"/>
        <v>0</v>
      </c>
      <c r="L34" s="625">
        <f t="shared" si="88"/>
        <v>0</v>
      </c>
      <c r="M34" s="625">
        <f t="shared" si="88"/>
        <v>0</v>
      </c>
      <c r="N34" s="624">
        <f t="shared" si="89"/>
        <v>0</v>
      </c>
      <c r="O34" s="624">
        <f t="shared" si="89"/>
        <v>0</v>
      </c>
      <c r="P34" s="625">
        <f t="shared" si="89"/>
        <v>0</v>
      </c>
      <c r="Q34" s="624">
        <f t="shared" si="89"/>
        <v>0</v>
      </c>
      <c r="R34" s="253"/>
      <c r="S34" s="254">
        <v>102</v>
      </c>
      <c r="T34" s="255">
        <v>0</v>
      </c>
      <c r="U34" s="255">
        <v>0</v>
      </c>
      <c r="V34" s="255">
        <v>12</v>
      </c>
      <c r="W34" s="255">
        <v>0</v>
      </c>
      <c r="X34" s="255">
        <v>0</v>
      </c>
      <c r="Y34" s="256">
        <v>114</v>
      </c>
      <c r="Z34" s="254">
        <v>0</v>
      </c>
      <c r="AA34" s="255">
        <v>0</v>
      </c>
      <c r="AB34" s="255">
        <v>0</v>
      </c>
      <c r="AC34" s="255">
        <v>0</v>
      </c>
      <c r="AD34" s="255">
        <v>0</v>
      </c>
      <c r="AE34" s="256">
        <v>0</v>
      </c>
      <c r="AF34" s="254">
        <v>0</v>
      </c>
      <c r="AG34" s="255">
        <v>0</v>
      </c>
      <c r="AH34" s="254">
        <v>0</v>
      </c>
    </row>
    <row r="35" spans="1:36">
      <c r="A35" s="249"/>
      <c r="B35" s="239" t="s">
        <v>32</v>
      </c>
      <c r="C35" s="791">
        <f t="shared" si="88"/>
        <v>0</v>
      </c>
      <c r="D35" s="625">
        <f t="shared" si="88"/>
        <v>0</v>
      </c>
      <c r="E35" s="625">
        <f t="shared" si="88"/>
        <v>0</v>
      </c>
      <c r="F35" s="625">
        <f t="shared" si="88"/>
        <v>9.6618357487922701E-3</v>
      </c>
      <c r="G35" s="625">
        <f t="shared" si="88"/>
        <v>0</v>
      </c>
      <c r="H35" s="626">
        <f t="shared" si="88"/>
        <v>0</v>
      </c>
      <c r="I35" s="791">
        <f t="shared" si="88"/>
        <v>1.4947683109118087E-3</v>
      </c>
      <c r="J35" s="624">
        <f t="shared" si="88"/>
        <v>0</v>
      </c>
      <c r="K35" s="625">
        <f t="shared" si="88"/>
        <v>0</v>
      </c>
      <c r="L35" s="625">
        <f t="shared" si="88"/>
        <v>0</v>
      </c>
      <c r="M35" s="625">
        <f t="shared" si="88"/>
        <v>0</v>
      </c>
      <c r="N35" s="624">
        <f t="shared" si="89"/>
        <v>0</v>
      </c>
      <c r="O35" s="624">
        <f t="shared" si="89"/>
        <v>0</v>
      </c>
      <c r="P35" s="625">
        <f t="shared" si="89"/>
        <v>0</v>
      </c>
      <c r="Q35" s="624">
        <f t="shared" si="89"/>
        <v>0</v>
      </c>
      <c r="R35" s="253"/>
      <c r="S35" s="254">
        <v>0</v>
      </c>
      <c r="T35" s="255">
        <v>0</v>
      </c>
      <c r="U35" s="255">
        <v>0</v>
      </c>
      <c r="V35" s="255">
        <v>2</v>
      </c>
      <c r="W35" s="255">
        <v>0</v>
      </c>
      <c r="X35" s="255">
        <v>0</v>
      </c>
      <c r="Y35" s="256">
        <v>2</v>
      </c>
      <c r="Z35" s="254">
        <v>0</v>
      </c>
      <c r="AA35" s="255">
        <v>0</v>
      </c>
      <c r="AB35" s="255">
        <v>0</v>
      </c>
      <c r="AC35" s="255">
        <v>0</v>
      </c>
      <c r="AD35" s="255">
        <v>0</v>
      </c>
      <c r="AE35" s="256">
        <v>0</v>
      </c>
      <c r="AF35" s="254">
        <v>0</v>
      </c>
      <c r="AG35" s="255">
        <v>0</v>
      </c>
      <c r="AH35" s="254">
        <v>0</v>
      </c>
    </row>
    <row r="36" spans="1:36">
      <c r="A36" s="249"/>
      <c r="B36" s="239" t="s">
        <v>58</v>
      </c>
      <c r="C36" s="624">
        <f t="shared" si="88"/>
        <v>0</v>
      </c>
      <c r="D36" s="625">
        <f t="shared" si="88"/>
        <v>0</v>
      </c>
      <c r="E36" s="792">
        <f t="shared" si="88"/>
        <v>0</v>
      </c>
      <c r="F36" s="625">
        <f t="shared" si="88"/>
        <v>0</v>
      </c>
      <c r="G36" s="792">
        <f t="shared" si="88"/>
        <v>0</v>
      </c>
      <c r="H36" s="626">
        <f t="shared" si="88"/>
        <v>0</v>
      </c>
      <c r="I36" s="793">
        <f t="shared" si="88"/>
        <v>0</v>
      </c>
      <c r="J36" s="624">
        <f t="shared" si="88"/>
        <v>0</v>
      </c>
      <c r="K36" s="625">
        <f t="shared" si="88"/>
        <v>1</v>
      </c>
      <c r="L36" s="625">
        <f t="shared" si="88"/>
        <v>1</v>
      </c>
      <c r="M36" s="625">
        <f t="shared" si="88"/>
        <v>1</v>
      </c>
      <c r="N36" s="624">
        <f t="shared" si="89"/>
        <v>1</v>
      </c>
      <c r="O36" s="624">
        <f t="shared" si="89"/>
        <v>0</v>
      </c>
      <c r="P36" s="625">
        <f t="shared" si="89"/>
        <v>0</v>
      </c>
      <c r="Q36" s="624">
        <f t="shared" si="89"/>
        <v>0</v>
      </c>
      <c r="R36" s="253"/>
      <c r="S36" s="254">
        <v>0</v>
      </c>
      <c r="T36" s="255">
        <v>0</v>
      </c>
      <c r="U36" s="255">
        <v>0</v>
      </c>
      <c r="V36" s="255">
        <v>0</v>
      </c>
      <c r="W36" s="255">
        <v>0</v>
      </c>
      <c r="X36" s="255">
        <v>0</v>
      </c>
      <c r="Y36" s="256">
        <v>0</v>
      </c>
      <c r="Z36" s="254">
        <v>0</v>
      </c>
      <c r="AA36" s="255">
        <v>327</v>
      </c>
      <c r="AB36" s="255">
        <v>122</v>
      </c>
      <c r="AC36" s="255">
        <v>85</v>
      </c>
      <c r="AD36" s="255">
        <v>0</v>
      </c>
      <c r="AE36" s="256">
        <v>383</v>
      </c>
      <c r="AF36" s="254">
        <v>0</v>
      </c>
      <c r="AG36" s="255">
        <v>0</v>
      </c>
      <c r="AH36" s="254">
        <v>0</v>
      </c>
    </row>
    <row r="37" spans="1:36" s="406" customFormat="1">
      <c r="A37" s="435"/>
      <c r="B37" s="436" t="s">
        <v>59</v>
      </c>
      <c r="C37" s="577">
        <f t="shared" si="88"/>
        <v>1</v>
      </c>
      <c r="D37" s="578">
        <f t="shared" si="88"/>
        <v>0</v>
      </c>
      <c r="E37" s="578">
        <f t="shared" si="88"/>
        <v>0</v>
      </c>
      <c r="F37" s="578">
        <f t="shared" si="88"/>
        <v>1</v>
      </c>
      <c r="G37" s="578">
        <f t="shared" si="88"/>
        <v>0</v>
      </c>
      <c r="H37" s="579">
        <f t="shared" si="88"/>
        <v>0</v>
      </c>
      <c r="I37" s="577">
        <f t="shared" si="88"/>
        <v>1</v>
      </c>
      <c r="J37" s="577">
        <f t="shared" si="88"/>
        <v>0</v>
      </c>
      <c r="K37" s="578">
        <f t="shared" si="88"/>
        <v>1</v>
      </c>
      <c r="L37" s="578">
        <f t="shared" si="88"/>
        <v>1</v>
      </c>
      <c r="M37" s="578">
        <f t="shared" si="88"/>
        <v>1</v>
      </c>
      <c r="N37" s="577">
        <f t="shared" si="89"/>
        <v>1</v>
      </c>
      <c r="O37" s="577">
        <f t="shared" si="89"/>
        <v>0</v>
      </c>
      <c r="P37" s="578">
        <f t="shared" si="89"/>
        <v>0</v>
      </c>
      <c r="Q37" s="577">
        <f t="shared" si="89"/>
        <v>0</v>
      </c>
      <c r="R37" s="264"/>
      <c r="S37" s="265">
        <v>1131</v>
      </c>
      <c r="T37" s="266">
        <v>0</v>
      </c>
      <c r="U37" s="266">
        <v>0</v>
      </c>
      <c r="V37" s="266">
        <v>207</v>
      </c>
      <c r="W37" s="266">
        <v>0</v>
      </c>
      <c r="X37" s="266">
        <v>0</v>
      </c>
      <c r="Y37" s="267">
        <v>1338</v>
      </c>
      <c r="Z37" s="265">
        <v>0</v>
      </c>
      <c r="AA37" s="266">
        <v>327</v>
      </c>
      <c r="AB37" s="266">
        <v>122</v>
      </c>
      <c r="AC37" s="266">
        <v>85</v>
      </c>
      <c r="AD37" s="266">
        <v>0</v>
      </c>
      <c r="AE37" s="267">
        <v>383</v>
      </c>
      <c r="AF37" s="265">
        <v>0</v>
      </c>
      <c r="AG37" s="266">
        <v>0</v>
      </c>
      <c r="AH37" s="265">
        <v>0</v>
      </c>
      <c r="AI37" s="405"/>
      <c r="AJ37" s="405"/>
    </row>
    <row r="38" spans="1:36">
      <c r="A38" s="239" t="s">
        <v>6</v>
      </c>
      <c r="B38" s="240" t="s">
        <v>53</v>
      </c>
      <c r="C38" s="613">
        <f t="shared" ref="C38:M44" si="90">IF(S$44&gt;0,(S38/S$44),0)</f>
        <v>0.31092974875980156</v>
      </c>
      <c r="D38" s="614">
        <f t="shared" si="90"/>
        <v>0.2572178477690289</v>
      </c>
      <c r="E38" s="614">
        <f t="shared" si="90"/>
        <v>0.23464566929133859</v>
      </c>
      <c r="F38" s="614">
        <f t="shared" si="90"/>
        <v>0.16243654822335024</v>
      </c>
      <c r="G38" s="614">
        <f t="shared" si="90"/>
        <v>0</v>
      </c>
      <c r="H38" s="615">
        <f t="shared" si="90"/>
        <v>0.37681159420289856</v>
      </c>
      <c r="I38" s="613">
        <f t="shared" si="90"/>
        <v>0.2889981701738335</v>
      </c>
      <c r="J38" s="613">
        <f t="shared" si="90"/>
        <v>0</v>
      </c>
      <c r="K38" s="614">
        <f t="shared" si="90"/>
        <v>0</v>
      </c>
      <c r="L38" s="614">
        <f t="shared" si="90"/>
        <v>0</v>
      </c>
      <c r="M38" s="614">
        <f t="shared" si="90"/>
        <v>0</v>
      </c>
      <c r="N38" s="613">
        <f t="shared" ref="N38:Q44" si="91">IF(AE$44&gt;0,(AE38/AE$44),0)</f>
        <v>0</v>
      </c>
      <c r="O38" s="788">
        <f t="shared" si="91"/>
        <v>0</v>
      </c>
      <c r="P38" s="614">
        <f t="shared" si="91"/>
        <v>0</v>
      </c>
      <c r="Q38" s="788">
        <f t="shared" si="91"/>
        <v>0</v>
      </c>
      <c r="R38" s="244"/>
      <c r="S38" s="245">
        <v>1943</v>
      </c>
      <c r="T38" s="246">
        <v>196</v>
      </c>
      <c r="U38" s="246">
        <v>298</v>
      </c>
      <c r="V38" s="246">
        <v>64</v>
      </c>
      <c r="W38" s="246">
        <v>0</v>
      </c>
      <c r="X38" s="246">
        <v>26</v>
      </c>
      <c r="Y38" s="247">
        <v>2527</v>
      </c>
      <c r="Z38" s="245">
        <v>0</v>
      </c>
      <c r="AA38" s="246">
        <v>0</v>
      </c>
      <c r="AB38" s="246">
        <v>0</v>
      </c>
      <c r="AC38" s="246">
        <v>0</v>
      </c>
      <c r="AD38" s="246">
        <v>0</v>
      </c>
      <c r="AE38" s="247">
        <v>0</v>
      </c>
      <c r="AF38" s="245">
        <v>0</v>
      </c>
      <c r="AG38" s="246">
        <v>0</v>
      </c>
      <c r="AH38" s="245">
        <v>0</v>
      </c>
    </row>
    <row r="39" spans="1:36">
      <c r="A39" s="249"/>
      <c r="B39" s="239" t="s">
        <v>93</v>
      </c>
      <c r="C39" s="624">
        <f t="shared" si="90"/>
        <v>0.29860777724435911</v>
      </c>
      <c r="D39" s="625">
        <f t="shared" si="90"/>
        <v>0.3005249343832021</v>
      </c>
      <c r="E39" s="625">
        <f t="shared" si="90"/>
        <v>0.31889763779527558</v>
      </c>
      <c r="F39" s="625">
        <f t="shared" si="90"/>
        <v>0.2512690355329949</v>
      </c>
      <c r="G39" s="625">
        <f t="shared" si="90"/>
        <v>0</v>
      </c>
      <c r="H39" s="626">
        <f t="shared" si="90"/>
        <v>0.27536231884057971</v>
      </c>
      <c r="I39" s="624">
        <f t="shared" si="90"/>
        <v>0.29940530649588287</v>
      </c>
      <c r="J39" s="624">
        <f t="shared" si="90"/>
        <v>0</v>
      </c>
      <c r="K39" s="625">
        <f t="shared" si="90"/>
        <v>0</v>
      </c>
      <c r="L39" s="625">
        <f t="shared" si="90"/>
        <v>0</v>
      </c>
      <c r="M39" s="625">
        <f t="shared" si="90"/>
        <v>0</v>
      </c>
      <c r="N39" s="624">
        <f t="shared" si="91"/>
        <v>0</v>
      </c>
      <c r="O39" s="624">
        <f t="shared" si="91"/>
        <v>0</v>
      </c>
      <c r="P39" s="625">
        <f t="shared" si="91"/>
        <v>0</v>
      </c>
      <c r="Q39" s="624">
        <f t="shared" si="91"/>
        <v>0</v>
      </c>
      <c r="R39" s="253"/>
      <c r="S39" s="254">
        <v>1866</v>
      </c>
      <c r="T39" s="255">
        <v>229</v>
      </c>
      <c r="U39" s="255">
        <v>405</v>
      </c>
      <c r="V39" s="255">
        <v>99</v>
      </c>
      <c r="W39" s="255">
        <v>0</v>
      </c>
      <c r="X39" s="255">
        <v>19</v>
      </c>
      <c r="Y39" s="256">
        <v>2618</v>
      </c>
      <c r="Z39" s="254">
        <v>0</v>
      </c>
      <c r="AA39" s="255">
        <v>0</v>
      </c>
      <c r="AB39" s="255">
        <v>0</v>
      </c>
      <c r="AC39" s="255">
        <v>0</v>
      </c>
      <c r="AD39" s="255">
        <v>0</v>
      </c>
      <c r="AE39" s="256">
        <v>0</v>
      </c>
      <c r="AF39" s="254">
        <v>0</v>
      </c>
      <c r="AG39" s="255">
        <v>0</v>
      </c>
      <c r="AH39" s="254">
        <v>0</v>
      </c>
    </row>
    <row r="40" spans="1:36">
      <c r="A40" s="249"/>
      <c r="B40" s="239" t="s">
        <v>55</v>
      </c>
      <c r="C40" s="624">
        <f t="shared" si="90"/>
        <v>0.24355896943510963</v>
      </c>
      <c r="D40" s="625">
        <f t="shared" si="90"/>
        <v>0.1942257217847769</v>
      </c>
      <c r="E40" s="625">
        <f t="shared" si="90"/>
        <v>0.29763779527559053</v>
      </c>
      <c r="F40" s="625">
        <f t="shared" si="90"/>
        <v>0.3350253807106599</v>
      </c>
      <c r="G40" s="625">
        <f t="shared" si="90"/>
        <v>0</v>
      </c>
      <c r="H40" s="626">
        <f t="shared" si="90"/>
        <v>0.33333333333333331</v>
      </c>
      <c r="I40" s="624">
        <f t="shared" si="90"/>
        <v>0.25194419030192133</v>
      </c>
      <c r="J40" s="624">
        <f t="shared" si="90"/>
        <v>0</v>
      </c>
      <c r="K40" s="625">
        <f t="shared" si="90"/>
        <v>0</v>
      </c>
      <c r="L40" s="625">
        <f t="shared" si="90"/>
        <v>0</v>
      </c>
      <c r="M40" s="625">
        <f t="shared" si="90"/>
        <v>0</v>
      </c>
      <c r="N40" s="624">
        <f t="shared" si="91"/>
        <v>0</v>
      </c>
      <c r="O40" s="624">
        <f t="shared" si="91"/>
        <v>0</v>
      </c>
      <c r="P40" s="625">
        <f t="shared" si="91"/>
        <v>0</v>
      </c>
      <c r="Q40" s="624">
        <f t="shared" si="91"/>
        <v>0</v>
      </c>
      <c r="R40" s="253"/>
      <c r="S40" s="254">
        <v>1522</v>
      </c>
      <c r="T40" s="255">
        <v>148</v>
      </c>
      <c r="U40" s="255">
        <v>378</v>
      </c>
      <c r="V40" s="255">
        <v>132</v>
      </c>
      <c r="W40" s="255">
        <v>0</v>
      </c>
      <c r="X40" s="255">
        <v>23</v>
      </c>
      <c r="Y40" s="256">
        <v>2203</v>
      </c>
      <c r="Z40" s="254">
        <v>0</v>
      </c>
      <c r="AA40" s="255">
        <v>0</v>
      </c>
      <c r="AB40" s="255">
        <v>0</v>
      </c>
      <c r="AC40" s="255">
        <v>0</v>
      </c>
      <c r="AD40" s="255">
        <v>0</v>
      </c>
      <c r="AE40" s="256">
        <v>0</v>
      </c>
      <c r="AF40" s="254">
        <v>0</v>
      </c>
      <c r="AG40" s="255">
        <v>0</v>
      </c>
      <c r="AH40" s="254">
        <v>0</v>
      </c>
    </row>
    <row r="41" spans="1:36">
      <c r="A41" s="249"/>
      <c r="B41" s="239" t="s">
        <v>78</v>
      </c>
      <c r="C41" s="624">
        <f t="shared" si="90"/>
        <v>0.11041766682669227</v>
      </c>
      <c r="D41" s="625">
        <f t="shared" si="90"/>
        <v>0.24671916010498687</v>
      </c>
      <c r="E41" s="625">
        <f t="shared" si="90"/>
        <v>0.14173228346456693</v>
      </c>
      <c r="F41" s="625">
        <f t="shared" si="90"/>
        <v>0.2512690355329949</v>
      </c>
      <c r="G41" s="625">
        <f t="shared" si="90"/>
        <v>0</v>
      </c>
      <c r="H41" s="626">
        <f t="shared" si="90"/>
        <v>1.4492753623188406E-2</v>
      </c>
      <c r="I41" s="624">
        <f t="shared" si="90"/>
        <v>0.13243366880146387</v>
      </c>
      <c r="J41" s="624">
        <f t="shared" si="90"/>
        <v>0</v>
      </c>
      <c r="K41" s="625">
        <f t="shared" si="90"/>
        <v>0</v>
      </c>
      <c r="L41" s="625">
        <f t="shared" si="90"/>
        <v>0</v>
      </c>
      <c r="M41" s="625">
        <f t="shared" si="90"/>
        <v>0</v>
      </c>
      <c r="N41" s="624">
        <f t="shared" si="91"/>
        <v>0</v>
      </c>
      <c r="O41" s="624">
        <f t="shared" si="91"/>
        <v>0</v>
      </c>
      <c r="P41" s="625">
        <f t="shared" si="91"/>
        <v>0</v>
      </c>
      <c r="Q41" s="624">
        <f t="shared" si="91"/>
        <v>0</v>
      </c>
      <c r="R41" s="253"/>
      <c r="S41" s="254">
        <v>690</v>
      </c>
      <c r="T41" s="255">
        <v>188</v>
      </c>
      <c r="U41" s="255">
        <v>180</v>
      </c>
      <c r="V41" s="255">
        <v>99</v>
      </c>
      <c r="W41" s="255">
        <v>0</v>
      </c>
      <c r="X41" s="255">
        <v>1</v>
      </c>
      <c r="Y41" s="256">
        <v>1158</v>
      </c>
      <c r="Z41" s="254">
        <v>0</v>
      </c>
      <c r="AA41" s="255">
        <v>0</v>
      </c>
      <c r="AB41" s="255">
        <v>0</v>
      </c>
      <c r="AC41" s="255">
        <v>0</v>
      </c>
      <c r="AD41" s="255">
        <v>0</v>
      </c>
      <c r="AE41" s="256">
        <v>0</v>
      </c>
      <c r="AF41" s="254">
        <v>0</v>
      </c>
      <c r="AG41" s="255">
        <v>0</v>
      </c>
      <c r="AH41" s="254">
        <v>0</v>
      </c>
    </row>
    <row r="42" spans="1:36">
      <c r="A42" s="249"/>
      <c r="B42" s="239" t="s">
        <v>32</v>
      </c>
      <c r="C42" s="624">
        <f t="shared" si="90"/>
        <v>3.6485837734037449E-2</v>
      </c>
      <c r="D42" s="625">
        <f t="shared" si="90"/>
        <v>1.3123359580052493E-3</v>
      </c>
      <c r="E42" s="625">
        <f t="shared" si="90"/>
        <v>7.0866141732283464E-3</v>
      </c>
      <c r="F42" s="625">
        <f t="shared" si="90"/>
        <v>0</v>
      </c>
      <c r="G42" s="790">
        <f t="shared" si="90"/>
        <v>0</v>
      </c>
      <c r="H42" s="626">
        <f t="shared" si="90"/>
        <v>0</v>
      </c>
      <c r="I42" s="624">
        <f t="shared" si="90"/>
        <v>2.7218664226898445E-2</v>
      </c>
      <c r="J42" s="624">
        <f t="shared" si="90"/>
        <v>0</v>
      </c>
      <c r="K42" s="625">
        <f t="shared" si="90"/>
        <v>0</v>
      </c>
      <c r="L42" s="625">
        <f t="shared" si="90"/>
        <v>0</v>
      </c>
      <c r="M42" s="625">
        <f t="shared" si="90"/>
        <v>0</v>
      </c>
      <c r="N42" s="624">
        <f t="shared" si="91"/>
        <v>0</v>
      </c>
      <c r="O42" s="624">
        <f t="shared" si="91"/>
        <v>0</v>
      </c>
      <c r="P42" s="625">
        <f t="shared" si="91"/>
        <v>0</v>
      </c>
      <c r="Q42" s="624">
        <f t="shared" si="91"/>
        <v>0</v>
      </c>
      <c r="R42" s="253"/>
      <c r="S42" s="254">
        <v>228</v>
      </c>
      <c r="T42" s="255">
        <v>1</v>
      </c>
      <c r="U42" s="255">
        <v>9</v>
      </c>
      <c r="V42" s="255">
        <v>0</v>
      </c>
      <c r="W42" s="255">
        <v>0</v>
      </c>
      <c r="X42" s="255">
        <v>0</v>
      </c>
      <c r="Y42" s="256">
        <v>238</v>
      </c>
      <c r="Z42" s="254">
        <v>0</v>
      </c>
      <c r="AA42" s="255">
        <v>0</v>
      </c>
      <c r="AB42" s="255">
        <v>0</v>
      </c>
      <c r="AC42" s="255">
        <v>0</v>
      </c>
      <c r="AD42" s="255">
        <v>0</v>
      </c>
      <c r="AE42" s="256">
        <v>0</v>
      </c>
      <c r="AF42" s="254">
        <v>0</v>
      </c>
      <c r="AG42" s="255">
        <v>0</v>
      </c>
      <c r="AH42" s="254">
        <v>0</v>
      </c>
    </row>
    <row r="43" spans="1:36">
      <c r="A43" s="249"/>
      <c r="B43" s="239" t="s">
        <v>58</v>
      </c>
      <c r="C43" s="624">
        <f t="shared" si="90"/>
        <v>0</v>
      </c>
      <c r="D43" s="625">
        <f t="shared" si="90"/>
        <v>0</v>
      </c>
      <c r="E43" s="792">
        <f t="shared" si="90"/>
        <v>0</v>
      </c>
      <c r="F43" s="625">
        <f t="shared" si="90"/>
        <v>0</v>
      </c>
      <c r="G43" s="792">
        <f t="shared" si="90"/>
        <v>0</v>
      </c>
      <c r="H43" s="626">
        <f t="shared" si="90"/>
        <v>0</v>
      </c>
      <c r="I43" s="793">
        <f t="shared" si="90"/>
        <v>0</v>
      </c>
      <c r="J43" s="624">
        <f t="shared" si="90"/>
        <v>0</v>
      </c>
      <c r="K43" s="625">
        <f t="shared" si="90"/>
        <v>1</v>
      </c>
      <c r="L43" s="625">
        <f t="shared" si="90"/>
        <v>1</v>
      </c>
      <c r="M43" s="625">
        <f t="shared" si="90"/>
        <v>1</v>
      </c>
      <c r="N43" s="624">
        <f t="shared" si="91"/>
        <v>1</v>
      </c>
      <c r="O43" s="624">
        <f t="shared" si="91"/>
        <v>0</v>
      </c>
      <c r="P43" s="625">
        <f t="shared" si="91"/>
        <v>0</v>
      </c>
      <c r="Q43" s="624">
        <f t="shared" si="91"/>
        <v>0</v>
      </c>
      <c r="R43" s="253"/>
      <c r="S43" s="254">
        <v>0</v>
      </c>
      <c r="T43" s="255">
        <v>0</v>
      </c>
      <c r="U43" s="255">
        <v>0</v>
      </c>
      <c r="V43" s="255">
        <v>0</v>
      </c>
      <c r="W43" s="255">
        <v>0</v>
      </c>
      <c r="X43" s="255">
        <v>0</v>
      </c>
      <c r="Y43" s="256">
        <v>0</v>
      </c>
      <c r="Z43" s="254">
        <v>0</v>
      </c>
      <c r="AA43" s="255">
        <v>327</v>
      </c>
      <c r="AB43" s="255">
        <v>122</v>
      </c>
      <c r="AC43" s="255">
        <v>85</v>
      </c>
      <c r="AD43" s="255">
        <v>0</v>
      </c>
      <c r="AE43" s="256">
        <v>5691</v>
      </c>
      <c r="AF43" s="254">
        <v>0</v>
      </c>
      <c r="AG43" s="255">
        <v>0</v>
      </c>
      <c r="AH43" s="254">
        <v>0</v>
      </c>
    </row>
    <row r="44" spans="1:36" s="406" customFormat="1">
      <c r="A44" s="435"/>
      <c r="B44" s="436" t="s">
        <v>59</v>
      </c>
      <c r="C44" s="577">
        <f t="shared" si="90"/>
        <v>1</v>
      </c>
      <c r="D44" s="578">
        <f t="shared" si="90"/>
        <v>1</v>
      </c>
      <c r="E44" s="578">
        <f t="shared" si="90"/>
        <v>1</v>
      </c>
      <c r="F44" s="578">
        <f t="shared" si="90"/>
        <v>1</v>
      </c>
      <c r="G44" s="578">
        <f t="shared" si="90"/>
        <v>0</v>
      </c>
      <c r="H44" s="579">
        <f t="shared" si="90"/>
        <v>1</v>
      </c>
      <c r="I44" s="577">
        <f t="shared" si="90"/>
        <v>1</v>
      </c>
      <c r="J44" s="577">
        <f t="shared" si="90"/>
        <v>0</v>
      </c>
      <c r="K44" s="578">
        <f t="shared" si="90"/>
        <v>1</v>
      </c>
      <c r="L44" s="578">
        <f t="shared" si="90"/>
        <v>1</v>
      </c>
      <c r="M44" s="578">
        <f t="shared" si="90"/>
        <v>1</v>
      </c>
      <c r="N44" s="577">
        <f t="shared" si="91"/>
        <v>1</v>
      </c>
      <c r="O44" s="577">
        <f t="shared" si="91"/>
        <v>0</v>
      </c>
      <c r="P44" s="578">
        <f t="shared" si="91"/>
        <v>0</v>
      </c>
      <c r="Q44" s="577">
        <f t="shared" si="91"/>
        <v>0</v>
      </c>
      <c r="R44" s="264"/>
      <c r="S44" s="265">
        <v>6249</v>
      </c>
      <c r="T44" s="266">
        <v>762</v>
      </c>
      <c r="U44" s="266">
        <v>1270</v>
      </c>
      <c r="V44" s="266">
        <v>394</v>
      </c>
      <c r="W44" s="266">
        <v>0</v>
      </c>
      <c r="X44" s="266">
        <v>69</v>
      </c>
      <c r="Y44" s="267">
        <v>8744</v>
      </c>
      <c r="Z44" s="265">
        <v>0</v>
      </c>
      <c r="AA44" s="266">
        <v>327</v>
      </c>
      <c r="AB44" s="266">
        <v>122</v>
      </c>
      <c r="AC44" s="266">
        <v>85</v>
      </c>
      <c r="AD44" s="266">
        <v>0</v>
      </c>
      <c r="AE44" s="267">
        <v>5691</v>
      </c>
      <c r="AF44" s="265">
        <v>0</v>
      </c>
      <c r="AG44" s="266">
        <v>0</v>
      </c>
      <c r="AH44" s="265">
        <v>0</v>
      </c>
      <c r="AI44" s="405"/>
      <c r="AJ44" s="405"/>
    </row>
    <row r="45" spans="1:36">
      <c r="A45" s="239" t="s">
        <v>7</v>
      </c>
      <c r="B45" s="240" t="s">
        <v>53</v>
      </c>
      <c r="C45" s="613">
        <f t="shared" ref="C45:M51" si="92">IF(S$51&gt;0,(S45/S$51),0)</f>
        <v>0.31657420249653262</v>
      </c>
      <c r="D45" s="614">
        <f t="shared" si="92"/>
        <v>0.4056420233463035</v>
      </c>
      <c r="E45" s="614">
        <f t="shared" si="92"/>
        <v>0.22502937720329025</v>
      </c>
      <c r="F45" s="614">
        <f t="shared" si="92"/>
        <v>0.19291109819872168</v>
      </c>
      <c r="G45" s="614">
        <f t="shared" si="92"/>
        <v>0.19039145907473309</v>
      </c>
      <c r="H45" s="615">
        <f t="shared" si="92"/>
        <v>6.5817409766454352E-2</v>
      </c>
      <c r="I45" s="613">
        <f t="shared" si="92"/>
        <v>0.2564389697648376</v>
      </c>
      <c r="J45" s="613">
        <f t="shared" si="92"/>
        <v>0</v>
      </c>
      <c r="K45" s="614">
        <f t="shared" si="92"/>
        <v>0</v>
      </c>
      <c r="L45" s="614">
        <f t="shared" si="92"/>
        <v>0</v>
      </c>
      <c r="M45" s="614">
        <f t="shared" si="92"/>
        <v>0</v>
      </c>
      <c r="N45" s="613">
        <f t="shared" ref="N45:Q51" si="93">IF(AE$51&gt;0,(AE45/AE$51),0)</f>
        <v>9.4874591057797164E-2</v>
      </c>
      <c r="O45" s="788">
        <f t="shared" si="93"/>
        <v>0</v>
      </c>
      <c r="P45" s="614">
        <f t="shared" si="93"/>
        <v>0</v>
      </c>
      <c r="Q45" s="788">
        <f t="shared" si="93"/>
        <v>0</v>
      </c>
      <c r="R45" s="244"/>
      <c r="S45" s="245">
        <v>913</v>
      </c>
      <c r="T45" s="246">
        <v>417</v>
      </c>
      <c r="U45" s="246">
        <v>383</v>
      </c>
      <c r="V45" s="246">
        <v>332</v>
      </c>
      <c r="W45" s="246">
        <v>214</v>
      </c>
      <c r="X45" s="246">
        <v>31</v>
      </c>
      <c r="Y45" s="247">
        <v>2290</v>
      </c>
      <c r="Z45" s="245">
        <v>0</v>
      </c>
      <c r="AA45" s="246">
        <v>0</v>
      </c>
      <c r="AB45" s="246">
        <v>0</v>
      </c>
      <c r="AC45" s="246">
        <v>0</v>
      </c>
      <c r="AD45" s="246">
        <v>0</v>
      </c>
      <c r="AE45" s="247">
        <v>174</v>
      </c>
      <c r="AF45" s="245">
        <v>0</v>
      </c>
      <c r="AG45" s="246">
        <v>0</v>
      </c>
      <c r="AH45" s="245">
        <v>0</v>
      </c>
    </row>
    <row r="46" spans="1:36">
      <c r="A46" s="249"/>
      <c r="B46" s="239" t="s">
        <v>93</v>
      </c>
      <c r="C46" s="624">
        <f t="shared" si="92"/>
        <v>0.28987517337031898</v>
      </c>
      <c r="D46" s="625">
        <f t="shared" si="92"/>
        <v>0.24708171206225682</v>
      </c>
      <c r="E46" s="625">
        <f t="shared" si="92"/>
        <v>0.23619271445358403</v>
      </c>
      <c r="F46" s="625">
        <f t="shared" si="92"/>
        <v>0.24578733294596164</v>
      </c>
      <c r="G46" s="625">
        <f t="shared" si="92"/>
        <v>0.25177935943060498</v>
      </c>
      <c r="H46" s="626">
        <f t="shared" si="92"/>
        <v>0.22717622080679406</v>
      </c>
      <c r="I46" s="624">
        <f t="shared" si="92"/>
        <v>0.25811870100783874</v>
      </c>
      <c r="J46" s="624">
        <f t="shared" si="92"/>
        <v>0</v>
      </c>
      <c r="K46" s="625">
        <f t="shared" si="92"/>
        <v>0</v>
      </c>
      <c r="L46" s="625">
        <f t="shared" si="92"/>
        <v>0</v>
      </c>
      <c r="M46" s="625">
        <f t="shared" si="92"/>
        <v>0</v>
      </c>
      <c r="N46" s="624">
        <f t="shared" si="93"/>
        <v>0.23336968375136313</v>
      </c>
      <c r="O46" s="624">
        <f t="shared" si="93"/>
        <v>0</v>
      </c>
      <c r="P46" s="625">
        <f t="shared" si="93"/>
        <v>0</v>
      </c>
      <c r="Q46" s="624">
        <f t="shared" si="93"/>
        <v>0</v>
      </c>
      <c r="R46" s="253"/>
      <c r="S46" s="254">
        <v>836</v>
      </c>
      <c r="T46" s="255">
        <v>254</v>
      </c>
      <c r="U46" s="255">
        <v>402</v>
      </c>
      <c r="V46" s="255">
        <v>423</v>
      </c>
      <c r="W46" s="255">
        <v>283</v>
      </c>
      <c r="X46" s="255">
        <v>107</v>
      </c>
      <c r="Y46" s="256">
        <v>2305</v>
      </c>
      <c r="Z46" s="254">
        <v>0</v>
      </c>
      <c r="AA46" s="255">
        <v>0</v>
      </c>
      <c r="AB46" s="255">
        <v>0</v>
      </c>
      <c r="AC46" s="255">
        <v>0</v>
      </c>
      <c r="AD46" s="255">
        <v>0</v>
      </c>
      <c r="AE46" s="256">
        <v>428</v>
      </c>
      <c r="AF46" s="254">
        <v>0</v>
      </c>
      <c r="AG46" s="255">
        <v>0</v>
      </c>
      <c r="AH46" s="254">
        <v>0</v>
      </c>
    </row>
    <row r="47" spans="1:36">
      <c r="A47" s="249"/>
      <c r="B47" s="239" t="s">
        <v>55</v>
      </c>
      <c r="C47" s="624">
        <f t="shared" si="92"/>
        <v>0.25381414701803051</v>
      </c>
      <c r="D47" s="625">
        <f t="shared" si="92"/>
        <v>0.2188715953307393</v>
      </c>
      <c r="E47" s="625">
        <f t="shared" si="92"/>
        <v>0.33313748531139836</v>
      </c>
      <c r="F47" s="625">
        <f t="shared" si="92"/>
        <v>0.38698431144683326</v>
      </c>
      <c r="G47" s="625">
        <f t="shared" si="92"/>
        <v>0.36387900355871888</v>
      </c>
      <c r="H47" s="626">
        <f t="shared" si="92"/>
        <v>0.63481953290870485</v>
      </c>
      <c r="I47" s="624">
        <f t="shared" si="92"/>
        <v>0.32452407614781636</v>
      </c>
      <c r="J47" s="624">
        <f t="shared" si="92"/>
        <v>0</v>
      </c>
      <c r="K47" s="625">
        <f t="shared" si="92"/>
        <v>0</v>
      </c>
      <c r="L47" s="625">
        <f t="shared" si="92"/>
        <v>0</v>
      </c>
      <c r="M47" s="625">
        <f t="shared" si="92"/>
        <v>0</v>
      </c>
      <c r="N47" s="624">
        <f t="shared" si="93"/>
        <v>0.34460196292257361</v>
      </c>
      <c r="O47" s="624">
        <f t="shared" si="93"/>
        <v>0</v>
      </c>
      <c r="P47" s="625">
        <f t="shared" si="93"/>
        <v>0</v>
      </c>
      <c r="Q47" s="624">
        <f t="shared" si="93"/>
        <v>0</v>
      </c>
      <c r="R47" s="253"/>
      <c r="S47" s="254">
        <v>732</v>
      </c>
      <c r="T47" s="255">
        <v>225</v>
      </c>
      <c r="U47" s="255">
        <v>567</v>
      </c>
      <c r="V47" s="255">
        <v>666</v>
      </c>
      <c r="W47" s="255">
        <v>409</v>
      </c>
      <c r="X47" s="255">
        <v>299</v>
      </c>
      <c r="Y47" s="256">
        <v>2898</v>
      </c>
      <c r="Z47" s="254">
        <v>0</v>
      </c>
      <c r="AA47" s="255">
        <v>0</v>
      </c>
      <c r="AB47" s="255">
        <v>0</v>
      </c>
      <c r="AC47" s="255">
        <v>0</v>
      </c>
      <c r="AD47" s="255">
        <v>0</v>
      </c>
      <c r="AE47" s="256">
        <v>632</v>
      </c>
      <c r="AF47" s="254">
        <v>0</v>
      </c>
      <c r="AG47" s="255">
        <v>0</v>
      </c>
      <c r="AH47" s="254">
        <v>0</v>
      </c>
    </row>
    <row r="48" spans="1:36">
      <c r="A48" s="249"/>
      <c r="B48" s="239" t="s">
        <v>78</v>
      </c>
      <c r="C48" s="624">
        <f t="shared" si="92"/>
        <v>3.640776699029126E-2</v>
      </c>
      <c r="D48" s="625">
        <f t="shared" si="92"/>
        <v>4.3774319066147857E-2</v>
      </c>
      <c r="E48" s="625">
        <f t="shared" si="92"/>
        <v>0.13983548766157461</v>
      </c>
      <c r="F48" s="625">
        <f t="shared" si="92"/>
        <v>7.9023823358512491E-2</v>
      </c>
      <c r="G48" s="625">
        <f t="shared" si="92"/>
        <v>0.10854092526690391</v>
      </c>
      <c r="H48" s="626">
        <f t="shared" si="92"/>
        <v>3.8216560509554139E-2</v>
      </c>
      <c r="I48" s="624">
        <f t="shared" si="92"/>
        <v>7.4356103023516237E-2</v>
      </c>
      <c r="J48" s="624">
        <f t="shared" si="92"/>
        <v>0</v>
      </c>
      <c r="K48" s="625">
        <f t="shared" si="92"/>
        <v>0</v>
      </c>
      <c r="L48" s="625">
        <f t="shared" si="92"/>
        <v>0</v>
      </c>
      <c r="M48" s="625">
        <f t="shared" si="92"/>
        <v>0</v>
      </c>
      <c r="N48" s="624">
        <f t="shared" si="93"/>
        <v>0.27480916030534353</v>
      </c>
      <c r="O48" s="624">
        <f t="shared" si="93"/>
        <v>0</v>
      </c>
      <c r="P48" s="625">
        <f t="shared" si="93"/>
        <v>0</v>
      </c>
      <c r="Q48" s="624">
        <f t="shared" si="93"/>
        <v>0</v>
      </c>
      <c r="R48" s="253"/>
      <c r="S48" s="254">
        <v>105</v>
      </c>
      <c r="T48" s="255">
        <v>45</v>
      </c>
      <c r="U48" s="255">
        <v>238</v>
      </c>
      <c r="V48" s="255">
        <v>136</v>
      </c>
      <c r="W48" s="255">
        <v>122</v>
      </c>
      <c r="X48" s="255">
        <v>18</v>
      </c>
      <c r="Y48" s="256">
        <v>664</v>
      </c>
      <c r="Z48" s="254">
        <v>0</v>
      </c>
      <c r="AA48" s="255">
        <v>0</v>
      </c>
      <c r="AB48" s="255">
        <v>0</v>
      </c>
      <c r="AC48" s="255">
        <v>0</v>
      </c>
      <c r="AD48" s="255">
        <v>0</v>
      </c>
      <c r="AE48" s="256">
        <v>504</v>
      </c>
      <c r="AF48" s="254">
        <v>0</v>
      </c>
      <c r="AG48" s="255">
        <v>0</v>
      </c>
      <c r="AH48" s="254">
        <v>0</v>
      </c>
    </row>
    <row r="49" spans="1:36">
      <c r="A49" s="249"/>
      <c r="B49" s="239" t="s">
        <v>32</v>
      </c>
      <c r="C49" s="624">
        <f t="shared" si="92"/>
        <v>0.10332871012482663</v>
      </c>
      <c r="D49" s="625">
        <f t="shared" si="92"/>
        <v>8.4630350194552534E-2</v>
      </c>
      <c r="E49" s="790">
        <f t="shared" si="92"/>
        <v>6.5804935370152765E-2</v>
      </c>
      <c r="F49" s="625">
        <f t="shared" si="92"/>
        <v>9.529343404997094E-2</v>
      </c>
      <c r="G49" s="625">
        <f t="shared" si="92"/>
        <v>8.5409252669039148E-2</v>
      </c>
      <c r="H49" s="794">
        <f t="shared" si="92"/>
        <v>3.3970276008492568E-2</v>
      </c>
      <c r="I49" s="624">
        <f t="shared" si="92"/>
        <v>8.6562150055991036E-2</v>
      </c>
      <c r="J49" s="624">
        <f t="shared" si="92"/>
        <v>0</v>
      </c>
      <c r="K49" s="625">
        <f t="shared" si="92"/>
        <v>0</v>
      </c>
      <c r="L49" s="625">
        <f t="shared" si="92"/>
        <v>0</v>
      </c>
      <c r="M49" s="625">
        <f t="shared" si="92"/>
        <v>0</v>
      </c>
      <c r="N49" s="624">
        <f t="shared" si="93"/>
        <v>5.2344601962922573E-2</v>
      </c>
      <c r="O49" s="624">
        <f t="shared" si="93"/>
        <v>0</v>
      </c>
      <c r="P49" s="625">
        <f t="shared" si="93"/>
        <v>0</v>
      </c>
      <c r="Q49" s="624">
        <f t="shared" si="93"/>
        <v>0</v>
      </c>
      <c r="R49" s="253"/>
      <c r="S49" s="254">
        <v>298</v>
      </c>
      <c r="T49" s="255">
        <v>87</v>
      </c>
      <c r="U49" s="255">
        <v>112</v>
      </c>
      <c r="V49" s="255">
        <v>164</v>
      </c>
      <c r="W49" s="255">
        <v>96</v>
      </c>
      <c r="X49" s="255">
        <v>16</v>
      </c>
      <c r="Y49" s="256">
        <v>773</v>
      </c>
      <c r="Z49" s="254">
        <v>0</v>
      </c>
      <c r="AA49" s="255">
        <v>0</v>
      </c>
      <c r="AB49" s="255">
        <v>0</v>
      </c>
      <c r="AC49" s="255">
        <v>0</v>
      </c>
      <c r="AD49" s="255">
        <v>0</v>
      </c>
      <c r="AE49" s="256">
        <v>96</v>
      </c>
      <c r="AF49" s="254">
        <v>0</v>
      </c>
      <c r="AG49" s="255">
        <v>0</v>
      </c>
      <c r="AH49" s="254">
        <v>0</v>
      </c>
    </row>
    <row r="50" spans="1:36">
      <c r="A50" s="249"/>
      <c r="B50" s="239" t="s">
        <v>58</v>
      </c>
      <c r="C50" s="624">
        <f t="shared" si="92"/>
        <v>0</v>
      </c>
      <c r="D50" s="625">
        <f t="shared" si="92"/>
        <v>0</v>
      </c>
      <c r="E50" s="792">
        <f t="shared" si="92"/>
        <v>0</v>
      </c>
      <c r="F50" s="625">
        <f t="shared" si="92"/>
        <v>0</v>
      </c>
      <c r="G50" s="792">
        <f t="shared" si="92"/>
        <v>0</v>
      </c>
      <c r="H50" s="626">
        <f t="shared" si="92"/>
        <v>0</v>
      </c>
      <c r="I50" s="793">
        <f t="shared" si="92"/>
        <v>0</v>
      </c>
      <c r="J50" s="624">
        <f t="shared" si="92"/>
        <v>0</v>
      </c>
      <c r="K50" s="625">
        <f t="shared" si="92"/>
        <v>1</v>
      </c>
      <c r="L50" s="625">
        <f t="shared" si="92"/>
        <v>1</v>
      </c>
      <c r="M50" s="625">
        <f t="shared" si="92"/>
        <v>1</v>
      </c>
      <c r="N50" s="624">
        <f t="shared" si="93"/>
        <v>0</v>
      </c>
      <c r="O50" s="624">
        <f t="shared" si="93"/>
        <v>1</v>
      </c>
      <c r="P50" s="625">
        <f t="shared" si="93"/>
        <v>0</v>
      </c>
      <c r="Q50" s="624">
        <f t="shared" si="93"/>
        <v>1</v>
      </c>
      <c r="R50" s="253"/>
      <c r="S50" s="254">
        <v>0</v>
      </c>
      <c r="T50" s="255">
        <v>0</v>
      </c>
      <c r="U50" s="255">
        <v>0</v>
      </c>
      <c r="V50" s="255">
        <v>0</v>
      </c>
      <c r="W50" s="255">
        <v>0</v>
      </c>
      <c r="X50" s="255">
        <v>0</v>
      </c>
      <c r="Y50" s="256">
        <v>0</v>
      </c>
      <c r="Z50" s="254">
        <v>0</v>
      </c>
      <c r="AA50" s="255">
        <v>327</v>
      </c>
      <c r="AB50" s="255">
        <v>122</v>
      </c>
      <c r="AC50" s="255">
        <v>85</v>
      </c>
      <c r="AD50" s="255">
        <v>0</v>
      </c>
      <c r="AE50" s="256">
        <v>0</v>
      </c>
      <c r="AF50" s="254">
        <v>2288</v>
      </c>
      <c r="AG50" s="255">
        <v>0</v>
      </c>
      <c r="AH50" s="254">
        <v>2288</v>
      </c>
    </row>
    <row r="51" spans="1:36" s="406" customFormat="1">
      <c r="A51" s="435"/>
      <c r="B51" s="436" t="s">
        <v>59</v>
      </c>
      <c r="C51" s="577">
        <f t="shared" si="92"/>
        <v>1</v>
      </c>
      <c r="D51" s="578">
        <f t="shared" si="92"/>
        <v>1</v>
      </c>
      <c r="E51" s="578">
        <f t="shared" si="92"/>
        <v>1</v>
      </c>
      <c r="F51" s="578">
        <f t="shared" si="92"/>
        <v>1</v>
      </c>
      <c r="G51" s="578">
        <f t="shared" si="92"/>
        <v>1</v>
      </c>
      <c r="H51" s="579">
        <f t="shared" si="92"/>
        <v>1</v>
      </c>
      <c r="I51" s="577">
        <f t="shared" si="92"/>
        <v>1</v>
      </c>
      <c r="J51" s="577">
        <f t="shared" si="92"/>
        <v>0</v>
      </c>
      <c r="K51" s="578">
        <f t="shared" si="92"/>
        <v>1</v>
      </c>
      <c r="L51" s="578">
        <f t="shared" si="92"/>
        <v>1</v>
      </c>
      <c r="M51" s="578">
        <f t="shared" si="92"/>
        <v>1</v>
      </c>
      <c r="N51" s="577">
        <f t="shared" si="93"/>
        <v>1</v>
      </c>
      <c r="O51" s="577">
        <f t="shared" si="93"/>
        <v>1</v>
      </c>
      <c r="P51" s="578">
        <f t="shared" si="93"/>
        <v>0</v>
      </c>
      <c r="Q51" s="577">
        <f t="shared" si="93"/>
        <v>1</v>
      </c>
      <c r="R51" s="264"/>
      <c r="S51" s="265">
        <v>2884</v>
      </c>
      <c r="T51" s="266">
        <v>1028</v>
      </c>
      <c r="U51" s="266">
        <v>1702</v>
      </c>
      <c r="V51" s="266">
        <v>1721</v>
      </c>
      <c r="W51" s="266">
        <v>1124</v>
      </c>
      <c r="X51" s="266">
        <v>471</v>
      </c>
      <c r="Y51" s="267">
        <v>8930</v>
      </c>
      <c r="Z51" s="265">
        <v>0</v>
      </c>
      <c r="AA51" s="266">
        <v>327</v>
      </c>
      <c r="AB51" s="266">
        <v>122</v>
      </c>
      <c r="AC51" s="266">
        <v>85</v>
      </c>
      <c r="AD51" s="266">
        <v>0</v>
      </c>
      <c r="AE51" s="267">
        <v>1834</v>
      </c>
      <c r="AF51" s="265">
        <v>2288</v>
      </c>
      <c r="AG51" s="266">
        <v>0</v>
      </c>
      <c r="AH51" s="265">
        <v>2288</v>
      </c>
      <c r="AI51" s="405"/>
      <c r="AJ51" s="405"/>
    </row>
    <row r="52" spans="1:36">
      <c r="A52" s="239" t="s">
        <v>8</v>
      </c>
      <c r="B52" s="240" t="s">
        <v>53</v>
      </c>
      <c r="C52" s="613">
        <f t="shared" ref="C52:M58" si="94">IF(S$58&gt;0,(S52/S$58),0)</f>
        <v>0.34232640424590888</v>
      </c>
      <c r="D52" s="614">
        <f t="shared" si="94"/>
        <v>0</v>
      </c>
      <c r="E52" s="614">
        <f t="shared" si="94"/>
        <v>0.20477047704770476</v>
      </c>
      <c r="F52" s="614">
        <f t="shared" si="94"/>
        <v>0.16468842729970326</v>
      </c>
      <c r="G52" s="614">
        <f t="shared" si="94"/>
        <v>0</v>
      </c>
      <c r="H52" s="615">
        <f t="shared" si="94"/>
        <v>0</v>
      </c>
      <c r="I52" s="613">
        <f t="shared" si="94"/>
        <v>0.259840992825286</v>
      </c>
      <c r="J52" s="613">
        <f t="shared" si="94"/>
        <v>0</v>
      </c>
      <c r="K52" s="614">
        <f t="shared" si="94"/>
        <v>0</v>
      </c>
      <c r="L52" s="614">
        <f t="shared" si="94"/>
        <v>0</v>
      </c>
      <c r="M52" s="614">
        <f t="shared" si="94"/>
        <v>0</v>
      </c>
      <c r="N52" s="613">
        <f t="shared" ref="N52:Q58" si="95">IF(AE$58&gt;0,(AE52/AE$58),0)</f>
        <v>0.33407202216066484</v>
      </c>
      <c r="O52" s="613">
        <f t="shared" si="95"/>
        <v>7.2289156626506021E-2</v>
      </c>
      <c r="P52" s="614">
        <f t="shared" si="95"/>
        <v>0</v>
      </c>
      <c r="Q52" s="613">
        <f t="shared" si="95"/>
        <v>7.2289156626506021E-2</v>
      </c>
      <c r="R52" s="244"/>
      <c r="S52" s="245">
        <v>774</v>
      </c>
      <c r="T52" s="246">
        <v>0</v>
      </c>
      <c r="U52" s="246">
        <v>455</v>
      </c>
      <c r="V52" s="246">
        <v>111</v>
      </c>
      <c r="W52" s="246">
        <v>0</v>
      </c>
      <c r="X52" s="246">
        <v>0</v>
      </c>
      <c r="Y52" s="247">
        <v>1340</v>
      </c>
      <c r="Z52" s="245">
        <v>0</v>
      </c>
      <c r="AA52" s="246">
        <v>0</v>
      </c>
      <c r="AB52" s="246">
        <v>0</v>
      </c>
      <c r="AC52" s="246">
        <v>0</v>
      </c>
      <c r="AD52" s="246">
        <v>0</v>
      </c>
      <c r="AE52" s="247">
        <v>603</v>
      </c>
      <c r="AF52" s="245">
        <v>12</v>
      </c>
      <c r="AG52" s="246">
        <v>0</v>
      </c>
      <c r="AH52" s="245">
        <v>12</v>
      </c>
    </row>
    <row r="53" spans="1:36">
      <c r="A53" s="249"/>
      <c r="B53" s="239" t="s">
        <v>93</v>
      </c>
      <c r="C53" s="624">
        <f t="shared" si="94"/>
        <v>0.26934984520123839</v>
      </c>
      <c r="D53" s="625">
        <f t="shared" si="94"/>
        <v>0</v>
      </c>
      <c r="E53" s="625">
        <f t="shared" si="94"/>
        <v>0.27362736273627364</v>
      </c>
      <c r="F53" s="625">
        <f t="shared" si="94"/>
        <v>0.30415430267062316</v>
      </c>
      <c r="G53" s="625">
        <f t="shared" si="94"/>
        <v>0</v>
      </c>
      <c r="H53" s="626">
        <f t="shared" si="94"/>
        <v>0</v>
      </c>
      <c r="I53" s="624">
        <f t="shared" si="94"/>
        <v>0.27574171029668409</v>
      </c>
      <c r="J53" s="624">
        <f t="shared" si="94"/>
        <v>0</v>
      </c>
      <c r="K53" s="625">
        <f t="shared" si="94"/>
        <v>0</v>
      </c>
      <c r="L53" s="625">
        <f t="shared" si="94"/>
        <v>0</v>
      </c>
      <c r="M53" s="625">
        <f t="shared" si="94"/>
        <v>0</v>
      </c>
      <c r="N53" s="624">
        <f t="shared" si="95"/>
        <v>0.32354570637119112</v>
      </c>
      <c r="O53" s="624">
        <f t="shared" si="95"/>
        <v>0.25301204819277107</v>
      </c>
      <c r="P53" s="625">
        <f t="shared" si="95"/>
        <v>0</v>
      </c>
      <c r="Q53" s="624">
        <f t="shared" si="95"/>
        <v>0.25301204819277107</v>
      </c>
      <c r="R53" s="253"/>
      <c r="S53" s="254">
        <v>609</v>
      </c>
      <c r="T53" s="255">
        <v>0</v>
      </c>
      <c r="U53" s="255">
        <v>608</v>
      </c>
      <c r="V53" s="255">
        <v>205</v>
      </c>
      <c r="W53" s="255">
        <v>0</v>
      </c>
      <c r="X53" s="255">
        <v>0</v>
      </c>
      <c r="Y53" s="256">
        <v>1422</v>
      </c>
      <c r="Z53" s="254">
        <v>0</v>
      </c>
      <c r="AA53" s="255">
        <v>0</v>
      </c>
      <c r="AB53" s="255">
        <v>0</v>
      </c>
      <c r="AC53" s="255">
        <v>0</v>
      </c>
      <c r="AD53" s="255">
        <v>0</v>
      </c>
      <c r="AE53" s="256">
        <v>584</v>
      </c>
      <c r="AF53" s="254">
        <v>42</v>
      </c>
      <c r="AG53" s="255">
        <v>0</v>
      </c>
      <c r="AH53" s="254">
        <v>42</v>
      </c>
    </row>
    <row r="54" spans="1:36">
      <c r="A54" s="249"/>
      <c r="B54" s="239" t="s">
        <v>55</v>
      </c>
      <c r="C54" s="624">
        <f t="shared" si="94"/>
        <v>0.26315789473684209</v>
      </c>
      <c r="D54" s="625">
        <f t="shared" si="94"/>
        <v>0</v>
      </c>
      <c r="E54" s="625">
        <f t="shared" si="94"/>
        <v>0.31638163816381637</v>
      </c>
      <c r="F54" s="625">
        <f t="shared" si="94"/>
        <v>0.26409495548961426</v>
      </c>
      <c r="G54" s="625">
        <f t="shared" si="94"/>
        <v>0</v>
      </c>
      <c r="H54" s="626">
        <f t="shared" si="94"/>
        <v>0</v>
      </c>
      <c r="I54" s="624">
        <f t="shared" si="94"/>
        <v>0.28621291448516578</v>
      </c>
      <c r="J54" s="624">
        <f t="shared" si="94"/>
        <v>0</v>
      </c>
      <c r="K54" s="625">
        <f t="shared" si="94"/>
        <v>0</v>
      </c>
      <c r="L54" s="625">
        <f t="shared" si="94"/>
        <v>0</v>
      </c>
      <c r="M54" s="625">
        <f t="shared" si="94"/>
        <v>0</v>
      </c>
      <c r="N54" s="624">
        <f t="shared" si="95"/>
        <v>0.12631578947368421</v>
      </c>
      <c r="O54" s="624">
        <f t="shared" si="95"/>
        <v>0.24096385542168675</v>
      </c>
      <c r="P54" s="625">
        <f t="shared" si="95"/>
        <v>0</v>
      </c>
      <c r="Q54" s="624">
        <f t="shared" si="95"/>
        <v>0.24096385542168675</v>
      </c>
      <c r="R54" s="253"/>
      <c r="S54" s="254">
        <v>595</v>
      </c>
      <c r="T54" s="255">
        <v>0</v>
      </c>
      <c r="U54" s="255">
        <v>703</v>
      </c>
      <c r="V54" s="255">
        <v>178</v>
      </c>
      <c r="W54" s="255">
        <v>0</v>
      </c>
      <c r="X54" s="255">
        <v>0</v>
      </c>
      <c r="Y54" s="256">
        <v>1476</v>
      </c>
      <c r="Z54" s="254">
        <v>0</v>
      </c>
      <c r="AA54" s="255">
        <v>0</v>
      </c>
      <c r="AB54" s="255">
        <v>0</v>
      </c>
      <c r="AC54" s="255">
        <v>0</v>
      </c>
      <c r="AD54" s="255">
        <v>0</v>
      </c>
      <c r="AE54" s="256">
        <v>228</v>
      </c>
      <c r="AF54" s="254">
        <v>40</v>
      </c>
      <c r="AG54" s="255">
        <v>0</v>
      </c>
      <c r="AH54" s="254">
        <v>40</v>
      </c>
    </row>
    <row r="55" spans="1:36">
      <c r="A55" s="249"/>
      <c r="B55" s="239" t="s">
        <v>78</v>
      </c>
      <c r="C55" s="791">
        <f t="shared" si="94"/>
        <v>4.5112781954887216E-2</v>
      </c>
      <c r="D55" s="625">
        <f t="shared" si="94"/>
        <v>0</v>
      </c>
      <c r="E55" s="625">
        <f t="shared" si="94"/>
        <v>0.13411341134113411</v>
      </c>
      <c r="F55" s="625">
        <f t="shared" si="94"/>
        <v>2.5222551928783383E-2</v>
      </c>
      <c r="G55" s="625">
        <f t="shared" si="94"/>
        <v>0</v>
      </c>
      <c r="H55" s="626">
        <f t="shared" si="94"/>
        <v>0</v>
      </c>
      <c r="I55" s="624">
        <f t="shared" si="94"/>
        <v>8.086096567771961E-2</v>
      </c>
      <c r="J55" s="624">
        <f t="shared" si="94"/>
        <v>0</v>
      </c>
      <c r="K55" s="625">
        <f t="shared" si="94"/>
        <v>0</v>
      </c>
      <c r="L55" s="625">
        <f t="shared" si="94"/>
        <v>0</v>
      </c>
      <c r="M55" s="625">
        <f t="shared" si="94"/>
        <v>0</v>
      </c>
      <c r="N55" s="624">
        <f t="shared" si="95"/>
        <v>0.21606648199445982</v>
      </c>
      <c r="O55" s="624">
        <f t="shared" si="95"/>
        <v>0.43373493975903615</v>
      </c>
      <c r="P55" s="625">
        <f t="shared" si="95"/>
        <v>0</v>
      </c>
      <c r="Q55" s="624">
        <f t="shared" si="95"/>
        <v>0.43373493975903615</v>
      </c>
      <c r="R55" s="253"/>
      <c r="S55" s="254">
        <v>102</v>
      </c>
      <c r="T55" s="255">
        <v>0</v>
      </c>
      <c r="U55" s="255">
        <v>298</v>
      </c>
      <c r="V55" s="255">
        <v>17</v>
      </c>
      <c r="W55" s="255">
        <v>0</v>
      </c>
      <c r="X55" s="255">
        <v>0</v>
      </c>
      <c r="Y55" s="256">
        <v>417</v>
      </c>
      <c r="Z55" s="254">
        <v>0</v>
      </c>
      <c r="AA55" s="255">
        <v>0</v>
      </c>
      <c r="AB55" s="255">
        <v>0</v>
      </c>
      <c r="AC55" s="255">
        <v>0</v>
      </c>
      <c r="AD55" s="255">
        <v>0</v>
      </c>
      <c r="AE55" s="256">
        <v>390</v>
      </c>
      <c r="AF55" s="254">
        <v>72</v>
      </c>
      <c r="AG55" s="255">
        <v>0</v>
      </c>
      <c r="AH55" s="254">
        <v>72</v>
      </c>
    </row>
    <row r="56" spans="1:36">
      <c r="A56" s="249"/>
      <c r="B56" s="239" t="s">
        <v>32</v>
      </c>
      <c r="C56" s="624">
        <f t="shared" si="94"/>
        <v>8.0053073861123397E-2</v>
      </c>
      <c r="D56" s="790">
        <f t="shared" si="94"/>
        <v>0</v>
      </c>
      <c r="E56" s="625">
        <f t="shared" si="94"/>
        <v>7.1107110711071106E-2</v>
      </c>
      <c r="F56" s="625">
        <f t="shared" si="94"/>
        <v>0.24183976261127596</v>
      </c>
      <c r="G56" s="625">
        <f t="shared" si="94"/>
        <v>0</v>
      </c>
      <c r="H56" s="626">
        <f t="shared" si="94"/>
        <v>0</v>
      </c>
      <c r="I56" s="624">
        <f t="shared" si="94"/>
        <v>9.734341671514446E-2</v>
      </c>
      <c r="J56" s="624">
        <f t="shared" si="94"/>
        <v>0</v>
      </c>
      <c r="K56" s="625">
        <f t="shared" si="94"/>
        <v>0</v>
      </c>
      <c r="L56" s="625">
        <f t="shared" si="94"/>
        <v>0</v>
      </c>
      <c r="M56" s="625">
        <f t="shared" si="94"/>
        <v>0</v>
      </c>
      <c r="N56" s="624">
        <f t="shared" si="95"/>
        <v>0</v>
      </c>
      <c r="O56" s="624">
        <f t="shared" si="95"/>
        <v>0</v>
      </c>
      <c r="P56" s="625">
        <f t="shared" si="95"/>
        <v>0</v>
      </c>
      <c r="Q56" s="624">
        <f t="shared" si="95"/>
        <v>0</v>
      </c>
      <c r="R56" s="253"/>
      <c r="S56" s="254">
        <v>181</v>
      </c>
      <c r="T56" s="255">
        <v>0</v>
      </c>
      <c r="U56" s="255">
        <v>158</v>
      </c>
      <c r="V56" s="255">
        <v>163</v>
      </c>
      <c r="W56" s="255">
        <v>0</v>
      </c>
      <c r="X56" s="255">
        <v>0</v>
      </c>
      <c r="Y56" s="256">
        <v>502</v>
      </c>
      <c r="Z56" s="254">
        <v>0</v>
      </c>
      <c r="AA56" s="255">
        <v>0</v>
      </c>
      <c r="AB56" s="255">
        <v>0</v>
      </c>
      <c r="AC56" s="255">
        <v>0</v>
      </c>
      <c r="AD56" s="255">
        <v>0</v>
      </c>
      <c r="AE56" s="256">
        <v>0</v>
      </c>
      <c r="AF56" s="254">
        <v>0</v>
      </c>
      <c r="AG56" s="255">
        <v>0</v>
      </c>
      <c r="AH56" s="254">
        <v>0</v>
      </c>
    </row>
    <row r="57" spans="1:36">
      <c r="A57" s="249"/>
      <c r="B57" s="239" t="s">
        <v>58</v>
      </c>
      <c r="C57" s="624">
        <f t="shared" si="94"/>
        <v>0</v>
      </c>
      <c r="D57" s="625">
        <f t="shared" si="94"/>
        <v>0</v>
      </c>
      <c r="E57" s="792">
        <f t="shared" si="94"/>
        <v>0</v>
      </c>
      <c r="F57" s="625">
        <f t="shared" si="94"/>
        <v>0</v>
      </c>
      <c r="G57" s="792">
        <f t="shared" si="94"/>
        <v>0</v>
      </c>
      <c r="H57" s="626">
        <f t="shared" si="94"/>
        <v>0</v>
      </c>
      <c r="I57" s="793">
        <f t="shared" si="94"/>
        <v>0</v>
      </c>
      <c r="J57" s="624">
        <f t="shared" si="94"/>
        <v>0</v>
      </c>
      <c r="K57" s="625">
        <f t="shared" si="94"/>
        <v>1</v>
      </c>
      <c r="L57" s="625">
        <f t="shared" si="94"/>
        <v>1</v>
      </c>
      <c r="M57" s="625">
        <f t="shared" si="94"/>
        <v>1</v>
      </c>
      <c r="N57" s="624">
        <f t="shared" si="95"/>
        <v>0</v>
      </c>
      <c r="O57" s="624">
        <f t="shared" si="95"/>
        <v>0</v>
      </c>
      <c r="P57" s="625">
        <f t="shared" si="95"/>
        <v>0</v>
      </c>
      <c r="Q57" s="624">
        <f t="shared" si="95"/>
        <v>0</v>
      </c>
      <c r="R57" s="253"/>
      <c r="S57" s="254">
        <v>0</v>
      </c>
      <c r="T57" s="255">
        <v>0</v>
      </c>
      <c r="U57" s="255">
        <v>0</v>
      </c>
      <c r="V57" s="255">
        <v>0</v>
      </c>
      <c r="W57" s="255">
        <v>0</v>
      </c>
      <c r="X57" s="255">
        <v>0</v>
      </c>
      <c r="Y57" s="256">
        <v>0</v>
      </c>
      <c r="Z57" s="254">
        <v>0</v>
      </c>
      <c r="AA57" s="255">
        <v>327</v>
      </c>
      <c r="AB57" s="255">
        <v>122</v>
      </c>
      <c r="AC57" s="255">
        <v>85</v>
      </c>
      <c r="AD57" s="255">
        <v>0</v>
      </c>
      <c r="AE57" s="256">
        <v>0</v>
      </c>
      <c r="AF57" s="254">
        <v>0</v>
      </c>
      <c r="AG57" s="255">
        <v>0</v>
      </c>
      <c r="AH57" s="254">
        <v>0</v>
      </c>
    </row>
    <row r="58" spans="1:36" s="406" customFormat="1">
      <c r="A58" s="435"/>
      <c r="B58" s="436" t="s">
        <v>59</v>
      </c>
      <c r="C58" s="577">
        <f t="shared" si="94"/>
        <v>1</v>
      </c>
      <c r="D58" s="578">
        <f t="shared" si="94"/>
        <v>0</v>
      </c>
      <c r="E58" s="578">
        <f t="shared" si="94"/>
        <v>1</v>
      </c>
      <c r="F58" s="578">
        <f t="shared" si="94"/>
        <v>1</v>
      </c>
      <c r="G58" s="578">
        <f t="shared" si="94"/>
        <v>0</v>
      </c>
      <c r="H58" s="579">
        <f t="shared" si="94"/>
        <v>0</v>
      </c>
      <c r="I58" s="577">
        <f t="shared" si="94"/>
        <v>1</v>
      </c>
      <c r="J58" s="577">
        <f t="shared" si="94"/>
        <v>0</v>
      </c>
      <c r="K58" s="578">
        <f t="shared" si="94"/>
        <v>1</v>
      </c>
      <c r="L58" s="578">
        <f t="shared" si="94"/>
        <v>1</v>
      </c>
      <c r="M58" s="578">
        <f t="shared" si="94"/>
        <v>1</v>
      </c>
      <c r="N58" s="577">
        <f t="shared" si="95"/>
        <v>1</v>
      </c>
      <c r="O58" s="577">
        <f t="shared" si="95"/>
        <v>1</v>
      </c>
      <c r="P58" s="578">
        <f t="shared" si="95"/>
        <v>0</v>
      </c>
      <c r="Q58" s="577">
        <f t="shared" si="95"/>
        <v>1</v>
      </c>
      <c r="R58" s="264"/>
      <c r="S58" s="265">
        <v>2261</v>
      </c>
      <c r="T58" s="266">
        <v>0</v>
      </c>
      <c r="U58" s="266">
        <v>2222</v>
      </c>
      <c r="V58" s="266">
        <v>674</v>
      </c>
      <c r="W58" s="266">
        <v>0</v>
      </c>
      <c r="X58" s="266">
        <v>0</v>
      </c>
      <c r="Y58" s="267">
        <v>5157</v>
      </c>
      <c r="Z58" s="265">
        <v>0</v>
      </c>
      <c r="AA58" s="266">
        <v>327</v>
      </c>
      <c r="AB58" s="266">
        <v>122</v>
      </c>
      <c r="AC58" s="266">
        <v>85</v>
      </c>
      <c r="AD58" s="266">
        <v>0</v>
      </c>
      <c r="AE58" s="267">
        <v>1805</v>
      </c>
      <c r="AF58" s="265">
        <v>166</v>
      </c>
      <c r="AG58" s="266">
        <v>0</v>
      </c>
      <c r="AH58" s="265">
        <v>166</v>
      </c>
      <c r="AI58" s="405"/>
      <c r="AJ58" s="405"/>
    </row>
    <row r="59" spans="1:36">
      <c r="A59" s="239" t="s">
        <v>9</v>
      </c>
      <c r="B59" s="240" t="s">
        <v>53</v>
      </c>
      <c r="C59" s="613">
        <f t="shared" ref="C59:M65" si="96">IF(S$65&gt;0,(S59/S$65),0)</f>
        <v>0.34991423670668953</v>
      </c>
      <c r="D59" s="614">
        <f t="shared" si="96"/>
        <v>0.26199543031226202</v>
      </c>
      <c r="E59" s="614">
        <f t="shared" si="96"/>
        <v>0.24132231404958679</v>
      </c>
      <c r="F59" s="614">
        <f t="shared" si="96"/>
        <v>0.18088467614533965</v>
      </c>
      <c r="G59" s="614">
        <f t="shared" si="96"/>
        <v>0</v>
      </c>
      <c r="H59" s="615">
        <f t="shared" si="96"/>
        <v>0.17894736842105263</v>
      </c>
      <c r="I59" s="613">
        <f t="shared" si="96"/>
        <v>0.25544554455445545</v>
      </c>
      <c r="J59" s="613">
        <f t="shared" si="96"/>
        <v>0</v>
      </c>
      <c r="K59" s="614">
        <f t="shared" si="96"/>
        <v>0</v>
      </c>
      <c r="L59" s="614">
        <f t="shared" si="96"/>
        <v>0</v>
      </c>
      <c r="M59" s="614">
        <f t="shared" si="96"/>
        <v>0</v>
      </c>
      <c r="N59" s="613">
        <f t="shared" ref="N59:Q65" si="97">IF(AE$65&gt;0,(AE59/AE$65),0)</f>
        <v>0.10708117443868739</v>
      </c>
      <c r="O59" s="788">
        <f t="shared" si="97"/>
        <v>0.12445095168374817</v>
      </c>
      <c r="P59" s="614">
        <f t="shared" si="97"/>
        <v>0</v>
      </c>
      <c r="Q59" s="788">
        <f t="shared" si="97"/>
        <v>0.12445095168374817</v>
      </c>
      <c r="R59" s="244"/>
      <c r="S59" s="245">
        <v>408</v>
      </c>
      <c r="T59" s="246">
        <v>344</v>
      </c>
      <c r="U59" s="246">
        <v>292</v>
      </c>
      <c r="V59" s="246">
        <v>229</v>
      </c>
      <c r="W59" s="246">
        <v>0</v>
      </c>
      <c r="X59" s="246">
        <v>17</v>
      </c>
      <c r="Y59" s="247">
        <v>1290</v>
      </c>
      <c r="Z59" s="245">
        <v>0</v>
      </c>
      <c r="AA59" s="246">
        <v>0</v>
      </c>
      <c r="AB59" s="246">
        <v>0</v>
      </c>
      <c r="AC59" s="246">
        <v>0</v>
      </c>
      <c r="AD59" s="246">
        <v>0</v>
      </c>
      <c r="AE59" s="247">
        <v>124</v>
      </c>
      <c r="AF59" s="245">
        <v>85</v>
      </c>
      <c r="AG59" s="246">
        <v>0</v>
      </c>
      <c r="AH59" s="245">
        <v>85</v>
      </c>
    </row>
    <row r="60" spans="1:36">
      <c r="A60" s="249"/>
      <c r="B60" s="239" t="s">
        <v>93</v>
      </c>
      <c r="C60" s="624">
        <f t="shared" si="96"/>
        <v>0.25557461406518012</v>
      </c>
      <c r="D60" s="625">
        <f t="shared" si="96"/>
        <v>0.24828636709824828</v>
      </c>
      <c r="E60" s="625">
        <f t="shared" si="96"/>
        <v>0.23471074380165288</v>
      </c>
      <c r="F60" s="625">
        <f t="shared" si="96"/>
        <v>0.22511848341232227</v>
      </c>
      <c r="G60" s="625">
        <f t="shared" si="96"/>
        <v>0</v>
      </c>
      <c r="H60" s="626">
        <f t="shared" si="96"/>
        <v>0.3473684210526316</v>
      </c>
      <c r="I60" s="624">
        <f t="shared" si="96"/>
        <v>0.24277227722772277</v>
      </c>
      <c r="J60" s="624">
        <f t="shared" si="96"/>
        <v>0</v>
      </c>
      <c r="K60" s="625">
        <f t="shared" si="96"/>
        <v>0</v>
      </c>
      <c r="L60" s="625">
        <f t="shared" si="96"/>
        <v>0</v>
      </c>
      <c r="M60" s="625">
        <f t="shared" si="96"/>
        <v>0</v>
      </c>
      <c r="N60" s="624">
        <f t="shared" si="97"/>
        <v>0.15889464594127806</v>
      </c>
      <c r="O60" s="624">
        <f t="shared" si="97"/>
        <v>2.6354319180087848E-2</v>
      </c>
      <c r="P60" s="625">
        <f t="shared" si="97"/>
        <v>0</v>
      </c>
      <c r="Q60" s="624">
        <f t="shared" si="97"/>
        <v>2.6354319180087848E-2</v>
      </c>
      <c r="R60" s="253"/>
      <c r="S60" s="254">
        <v>298</v>
      </c>
      <c r="T60" s="255">
        <v>326</v>
      </c>
      <c r="U60" s="255">
        <v>284</v>
      </c>
      <c r="V60" s="255">
        <v>285</v>
      </c>
      <c r="W60" s="255">
        <v>0</v>
      </c>
      <c r="X60" s="255">
        <v>33</v>
      </c>
      <c r="Y60" s="256">
        <v>1226</v>
      </c>
      <c r="Z60" s="254">
        <v>0</v>
      </c>
      <c r="AA60" s="255">
        <v>0</v>
      </c>
      <c r="AB60" s="255">
        <v>0</v>
      </c>
      <c r="AC60" s="255">
        <v>0</v>
      </c>
      <c r="AD60" s="255">
        <v>0</v>
      </c>
      <c r="AE60" s="256">
        <v>184</v>
      </c>
      <c r="AF60" s="254">
        <v>18</v>
      </c>
      <c r="AG60" s="255">
        <v>0</v>
      </c>
      <c r="AH60" s="254">
        <v>18</v>
      </c>
    </row>
    <row r="61" spans="1:36">
      <c r="A61" s="249"/>
      <c r="B61" s="239" t="s">
        <v>55</v>
      </c>
      <c r="C61" s="624">
        <f t="shared" si="96"/>
        <v>0.21612349914236706</v>
      </c>
      <c r="D61" s="625">
        <f t="shared" si="96"/>
        <v>0.26275704493526275</v>
      </c>
      <c r="E61" s="625">
        <f t="shared" si="96"/>
        <v>0.25123966942148762</v>
      </c>
      <c r="F61" s="625">
        <f t="shared" si="96"/>
        <v>0.38309636650868878</v>
      </c>
      <c r="G61" s="625">
        <f t="shared" si="96"/>
        <v>0</v>
      </c>
      <c r="H61" s="626">
        <f t="shared" si="96"/>
        <v>0.36842105263157893</v>
      </c>
      <c r="I61" s="624">
        <f t="shared" si="96"/>
        <v>0.28138613861386136</v>
      </c>
      <c r="J61" s="624">
        <f t="shared" si="96"/>
        <v>0</v>
      </c>
      <c r="K61" s="625">
        <f t="shared" si="96"/>
        <v>0</v>
      </c>
      <c r="L61" s="625">
        <f t="shared" si="96"/>
        <v>0</v>
      </c>
      <c r="M61" s="625">
        <f t="shared" si="96"/>
        <v>0</v>
      </c>
      <c r="N61" s="624">
        <f t="shared" si="97"/>
        <v>0.21243523316062177</v>
      </c>
      <c r="O61" s="624">
        <f t="shared" si="97"/>
        <v>5.2708638360175697E-2</v>
      </c>
      <c r="P61" s="625">
        <f t="shared" si="97"/>
        <v>0</v>
      </c>
      <c r="Q61" s="624">
        <f t="shared" si="97"/>
        <v>5.2708638360175697E-2</v>
      </c>
      <c r="R61" s="253"/>
      <c r="S61" s="254">
        <v>252</v>
      </c>
      <c r="T61" s="255">
        <v>345</v>
      </c>
      <c r="U61" s="255">
        <v>304</v>
      </c>
      <c r="V61" s="255">
        <v>485</v>
      </c>
      <c r="W61" s="255">
        <v>0</v>
      </c>
      <c r="X61" s="255">
        <v>35</v>
      </c>
      <c r="Y61" s="256">
        <v>1421</v>
      </c>
      <c r="Z61" s="254">
        <v>0</v>
      </c>
      <c r="AA61" s="255">
        <v>0</v>
      </c>
      <c r="AB61" s="255">
        <v>0</v>
      </c>
      <c r="AC61" s="255">
        <v>0</v>
      </c>
      <c r="AD61" s="255">
        <v>0</v>
      </c>
      <c r="AE61" s="256">
        <v>246</v>
      </c>
      <c r="AF61" s="254">
        <v>36</v>
      </c>
      <c r="AG61" s="255">
        <v>0</v>
      </c>
      <c r="AH61" s="254">
        <v>36</v>
      </c>
    </row>
    <row r="62" spans="1:36">
      <c r="A62" s="249"/>
      <c r="B62" s="239" t="s">
        <v>78</v>
      </c>
      <c r="C62" s="624">
        <f t="shared" si="96"/>
        <v>0.16209262435677529</v>
      </c>
      <c r="D62" s="625">
        <f t="shared" si="96"/>
        <v>0.21477532368621477</v>
      </c>
      <c r="E62" s="625">
        <f t="shared" si="96"/>
        <v>0.26942148760330581</v>
      </c>
      <c r="F62" s="625">
        <f t="shared" si="96"/>
        <v>0.19194312796208532</v>
      </c>
      <c r="G62" s="625">
        <f t="shared" si="96"/>
        <v>0</v>
      </c>
      <c r="H62" s="626">
        <f t="shared" si="96"/>
        <v>0.10526315789473684</v>
      </c>
      <c r="I62" s="624">
        <f t="shared" si="96"/>
        <v>0.20792079207920791</v>
      </c>
      <c r="J62" s="624">
        <f t="shared" si="96"/>
        <v>0</v>
      </c>
      <c r="K62" s="625">
        <f t="shared" si="96"/>
        <v>0</v>
      </c>
      <c r="L62" s="625">
        <f t="shared" si="96"/>
        <v>0</v>
      </c>
      <c r="M62" s="625">
        <f t="shared" si="96"/>
        <v>0</v>
      </c>
      <c r="N62" s="624">
        <f t="shared" si="97"/>
        <v>0.41709844559585491</v>
      </c>
      <c r="O62" s="624">
        <f t="shared" si="97"/>
        <v>0.6793557833089312</v>
      </c>
      <c r="P62" s="625">
        <f t="shared" si="97"/>
        <v>0</v>
      </c>
      <c r="Q62" s="624">
        <f t="shared" si="97"/>
        <v>0.6793557833089312</v>
      </c>
      <c r="R62" s="253"/>
      <c r="S62" s="254">
        <v>189</v>
      </c>
      <c r="T62" s="255">
        <v>282</v>
      </c>
      <c r="U62" s="255">
        <v>326</v>
      </c>
      <c r="V62" s="255">
        <v>243</v>
      </c>
      <c r="W62" s="255">
        <v>0</v>
      </c>
      <c r="X62" s="255">
        <v>10</v>
      </c>
      <c r="Y62" s="256">
        <v>1050</v>
      </c>
      <c r="Z62" s="254">
        <v>0</v>
      </c>
      <c r="AA62" s="255">
        <v>0</v>
      </c>
      <c r="AB62" s="255">
        <v>0</v>
      </c>
      <c r="AC62" s="255">
        <v>0</v>
      </c>
      <c r="AD62" s="255">
        <v>0</v>
      </c>
      <c r="AE62" s="256">
        <v>483</v>
      </c>
      <c r="AF62" s="254">
        <v>464</v>
      </c>
      <c r="AG62" s="255">
        <v>0</v>
      </c>
      <c r="AH62" s="254">
        <v>464</v>
      </c>
    </row>
    <row r="63" spans="1:36">
      <c r="A63" s="249"/>
      <c r="B63" s="239" t="s">
        <v>32</v>
      </c>
      <c r="C63" s="624">
        <f t="shared" si="96"/>
        <v>1.6295025728987993E-2</v>
      </c>
      <c r="D63" s="625">
        <f t="shared" si="96"/>
        <v>1.2185833968012186E-2</v>
      </c>
      <c r="E63" s="625">
        <f t="shared" si="96"/>
        <v>3.3057851239669421E-3</v>
      </c>
      <c r="F63" s="790">
        <f t="shared" si="96"/>
        <v>1.8957345971563982E-2</v>
      </c>
      <c r="G63" s="625">
        <f t="shared" si="96"/>
        <v>0</v>
      </c>
      <c r="H63" s="626">
        <f t="shared" si="96"/>
        <v>0</v>
      </c>
      <c r="I63" s="624">
        <f t="shared" si="96"/>
        <v>1.2475247524752476E-2</v>
      </c>
      <c r="J63" s="624">
        <f t="shared" si="96"/>
        <v>0</v>
      </c>
      <c r="K63" s="625">
        <f t="shared" si="96"/>
        <v>0</v>
      </c>
      <c r="L63" s="625">
        <f t="shared" si="96"/>
        <v>0</v>
      </c>
      <c r="M63" s="625">
        <f t="shared" si="96"/>
        <v>0</v>
      </c>
      <c r="N63" s="624">
        <f t="shared" si="97"/>
        <v>0</v>
      </c>
      <c r="O63" s="624">
        <f t="shared" si="97"/>
        <v>8.7847730600292828E-3</v>
      </c>
      <c r="P63" s="625">
        <f t="shared" si="97"/>
        <v>0</v>
      </c>
      <c r="Q63" s="791">
        <f t="shared" si="97"/>
        <v>8.7847730600292828E-3</v>
      </c>
      <c r="R63" s="253"/>
      <c r="S63" s="254">
        <v>19</v>
      </c>
      <c r="T63" s="255">
        <v>16</v>
      </c>
      <c r="U63" s="255">
        <v>4</v>
      </c>
      <c r="V63" s="255">
        <v>24</v>
      </c>
      <c r="W63" s="255">
        <v>0</v>
      </c>
      <c r="X63" s="255">
        <v>0</v>
      </c>
      <c r="Y63" s="256">
        <v>63</v>
      </c>
      <c r="Z63" s="254">
        <v>0</v>
      </c>
      <c r="AA63" s="255">
        <v>0</v>
      </c>
      <c r="AB63" s="255">
        <v>0</v>
      </c>
      <c r="AC63" s="255">
        <v>0</v>
      </c>
      <c r="AD63" s="255">
        <v>0</v>
      </c>
      <c r="AE63" s="256">
        <v>0</v>
      </c>
      <c r="AF63" s="254">
        <v>6</v>
      </c>
      <c r="AG63" s="255">
        <v>0</v>
      </c>
      <c r="AH63" s="254">
        <v>6</v>
      </c>
    </row>
    <row r="64" spans="1:36">
      <c r="A64" s="249"/>
      <c r="B64" s="239" t="s">
        <v>58</v>
      </c>
      <c r="C64" s="624">
        <f t="shared" si="96"/>
        <v>0</v>
      </c>
      <c r="D64" s="625">
        <f t="shared" si="96"/>
        <v>0</v>
      </c>
      <c r="E64" s="625">
        <f t="shared" si="96"/>
        <v>0</v>
      </c>
      <c r="F64" s="790">
        <f t="shared" si="96"/>
        <v>0</v>
      </c>
      <c r="G64" s="792">
        <f t="shared" si="96"/>
        <v>0</v>
      </c>
      <c r="H64" s="626">
        <f t="shared" si="96"/>
        <v>0</v>
      </c>
      <c r="I64" s="624">
        <f t="shared" si="96"/>
        <v>0</v>
      </c>
      <c r="J64" s="624">
        <f t="shared" si="96"/>
        <v>0</v>
      </c>
      <c r="K64" s="625">
        <f t="shared" si="96"/>
        <v>1</v>
      </c>
      <c r="L64" s="625">
        <f t="shared" si="96"/>
        <v>1</v>
      </c>
      <c r="M64" s="625">
        <f t="shared" si="96"/>
        <v>1</v>
      </c>
      <c r="N64" s="624">
        <f t="shared" si="97"/>
        <v>0.10449050086355786</v>
      </c>
      <c r="O64" s="624">
        <f t="shared" si="97"/>
        <v>0.10834553440702782</v>
      </c>
      <c r="P64" s="625">
        <f t="shared" si="97"/>
        <v>0</v>
      </c>
      <c r="Q64" s="624">
        <f t="shared" si="97"/>
        <v>0.10834553440702782</v>
      </c>
      <c r="R64" s="253"/>
      <c r="S64" s="254">
        <v>0</v>
      </c>
      <c r="T64" s="255">
        <v>0</v>
      </c>
      <c r="U64" s="255">
        <v>0</v>
      </c>
      <c r="V64" s="255">
        <v>0</v>
      </c>
      <c r="W64" s="255">
        <v>0</v>
      </c>
      <c r="X64" s="255">
        <v>0</v>
      </c>
      <c r="Y64" s="256">
        <v>0</v>
      </c>
      <c r="Z64" s="254">
        <v>0</v>
      </c>
      <c r="AA64" s="255">
        <v>327</v>
      </c>
      <c r="AB64" s="255">
        <v>122</v>
      </c>
      <c r="AC64" s="255">
        <v>85</v>
      </c>
      <c r="AD64" s="255">
        <v>0</v>
      </c>
      <c r="AE64" s="256">
        <v>121</v>
      </c>
      <c r="AF64" s="254">
        <v>74</v>
      </c>
      <c r="AG64" s="255">
        <v>0</v>
      </c>
      <c r="AH64" s="254">
        <v>74</v>
      </c>
    </row>
    <row r="65" spans="1:36" s="406" customFormat="1">
      <c r="A65" s="435"/>
      <c r="B65" s="436" t="s">
        <v>59</v>
      </c>
      <c r="C65" s="577">
        <f t="shared" si="96"/>
        <v>1</v>
      </c>
      <c r="D65" s="578">
        <f t="shared" si="96"/>
        <v>1</v>
      </c>
      <c r="E65" s="578">
        <f t="shared" si="96"/>
        <v>1</v>
      </c>
      <c r="F65" s="578">
        <f t="shared" si="96"/>
        <v>1</v>
      </c>
      <c r="G65" s="578">
        <f t="shared" si="96"/>
        <v>0</v>
      </c>
      <c r="H65" s="579">
        <f t="shared" si="96"/>
        <v>1</v>
      </c>
      <c r="I65" s="577">
        <f t="shared" si="96"/>
        <v>1</v>
      </c>
      <c r="J65" s="577">
        <f t="shared" si="96"/>
        <v>0</v>
      </c>
      <c r="K65" s="578">
        <f t="shared" si="96"/>
        <v>1</v>
      </c>
      <c r="L65" s="578">
        <f t="shared" si="96"/>
        <v>1</v>
      </c>
      <c r="M65" s="578">
        <f t="shared" si="96"/>
        <v>1</v>
      </c>
      <c r="N65" s="577">
        <f t="shared" si="97"/>
        <v>1</v>
      </c>
      <c r="O65" s="577">
        <f t="shared" si="97"/>
        <v>1</v>
      </c>
      <c r="P65" s="578">
        <f t="shared" si="97"/>
        <v>0</v>
      </c>
      <c r="Q65" s="577">
        <f t="shared" si="97"/>
        <v>1</v>
      </c>
      <c r="R65" s="264"/>
      <c r="S65" s="265">
        <v>1166</v>
      </c>
      <c r="T65" s="266">
        <v>1313</v>
      </c>
      <c r="U65" s="266">
        <v>1210</v>
      </c>
      <c r="V65" s="266">
        <v>1266</v>
      </c>
      <c r="W65" s="266">
        <v>0</v>
      </c>
      <c r="X65" s="266">
        <v>95</v>
      </c>
      <c r="Y65" s="267">
        <v>5050</v>
      </c>
      <c r="Z65" s="265">
        <v>0</v>
      </c>
      <c r="AA65" s="266">
        <v>327</v>
      </c>
      <c r="AB65" s="266">
        <v>122</v>
      </c>
      <c r="AC65" s="266">
        <v>85</v>
      </c>
      <c r="AD65" s="266">
        <v>0</v>
      </c>
      <c r="AE65" s="267">
        <v>1158</v>
      </c>
      <c r="AF65" s="265">
        <v>683</v>
      </c>
      <c r="AG65" s="266">
        <v>0</v>
      </c>
      <c r="AH65" s="265">
        <v>683</v>
      </c>
      <c r="AI65" s="405"/>
      <c r="AJ65" s="405"/>
    </row>
    <row r="66" spans="1:36">
      <c r="A66" s="239" t="s">
        <v>10</v>
      </c>
      <c r="B66" s="240" t="s">
        <v>53</v>
      </c>
      <c r="C66" s="613">
        <f t="shared" ref="C66:M72" si="98">IF(S$72&gt;0,(S66/S$72),0)</f>
        <v>0.39388489208633093</v>
      </c>
      <c r="D66" s="614">
        <f t="shared" si="98"/>
        <v>0.20811099252934898</v>
      </c>
      <c r="E66" s="614">
        <f t="shared" si="98"/>
        <v>0.22235434007134364</v>
      </c>
      <c r="F66" s="614">
        <f t="shared" si="98"/>
        <v>0.23043478260869565</v>
      </c>
      <c r="G66" s="614">
        <f t="shared" si="98"/>
        <v>0</v>
      </c>
      <c r="H66" s="615">
        <f t="shared" si="98"/>
        <v>0.31914893617021278</v>
      </c>
      <c r="I66" s="613">
        <f t="shared" si="98"/>
        <v>0.28226293537346486</v>
      </c>
      <c r="J66" s="613">
        <f t="shared" si="98"/>
        <v>0</v>
      </c>
      <c r="K66" s="614">
        <f t="shared" si="98"/>
        <v>0</v>
      </c>
      <c r="L66" s="614">
        <f t="shared" si="98"/>
        <v>0</v>
      </c>
      <c r="M66" s="614">
        <f t="shared" si="98"/>
        <v>0</v>
      </c>
      <c r="N66" s="613">
        <f t="shared" ref="N66:Q72" si="99">IF(AE$72&gt;0,(AE66/AE$72),0)</f>
        <v>0.33078778135048231</v>
      </c>
      <c r="O66" s="788">
        <f t="shared" si="99"/>
        <v>0</v>
      </c>
      <c r="P66" s="614">
        <f t="shared" si="99"/>
        <v>0</v>
      </c>
      <c r="Q66" s="788">
        <f t="shared" si="99"/>
        <v>0</v>
      </c>
      <c r="R66" s="244"/>
      <c r="S66" s="245">
        <v>657</v>
      </c>
      <c r="T66" s="246">
        <v>195</v>
      </c>
      <c r="U66" s="246">
        <v>187</v>
      </c>
      <c r="V66" s="246">
        <v>318</v>
      </c>
      <c r="W66" s="246">
        <v>0</v>
      </c>
      <c r="X66" s="246">
        <v>45</v>
      </c>
      <c r="Y66" s="247">
        <v>1402</v>
      </c>
      <c r="Z66" s="245">
        <v>0</v>
      </c>
      <c r="AA66" s="246">
        <v>0</v>
      </c>
      <c r="AB66" s="246">
        <v>0</v>
      </c>
      <c r="AC66" s="246">
        <v>0</v>
      </c>
      <c r="AD66" s="246">
        <v>0</v>
      </c>
      <c r="AE66" s="247">
        <v>823</v>
      </c>
      <c r="AF66" s="245">
        <v>0</v>
      </c>
      <c r="AG66" s="246">
        <v>0</v>
      </c>
      <c r="AH66" s="245">
        <v>0</v>
      </c>
    </row>
    <row r="67" spans="1:36">
      <c r="A67" s="249"/>
      <c r="B67" s="239" t="s">
        <v>93</v>
      </c>
      <c r="C67" s="624">
        <f t="shared" si="98"/>
        <v>0.25359712230215825</v>
      </c>
      <c r="D67" s="625">
        <f t="shared" si="98"/>
        <v>0.31163287086446106</v>
      </c>
      <c r="E67" s="625">
        <f t="shared" si="98"/>
        <v>0.20689655172413793</v>
      </c>
      <c r="F67" s="625">
        <f t="shared" si="98"/>
        <v>0.24637681159420291</v>
      </c>
      <c r="G67" s="625">
        <f t="shared" si="98"/>
        <v>0</v>
      </c>
      <c r="H67" s="626">
        <f t="shared" si="98"/>
        <v>0.36170212765957449</v>
      </c>
      <c r="I67" s="624">
        <f t="shared" si="98"/>
        <v>0.25770082544795653</v>
      </c>
      <c r="J67" s="624">
        <f t="shared" si="98"/>
        <v>0</v>
      </c>
      <c r="K67" s="625">
        <f t="shared" si="98"/>
        <v>0</v>
      </c>
      <c r="L67" s="625">
        <f t="shared" si="98"/>
        <v>0</v>
      </c>
      <c r="M67" s="625">
        <f t="shared" si="98"/>
        <v>0</v>
      </c>
      <c r="N67" s="624">
        <f t="shared" si="99"/>
        <v>0.27733118971061094</v>
      </c>
      <c r="O67" s="624">
        <f t="shared" si="99"/>
        <v>0</v>
      </c>
      <c r="P67" s="625">
        <f t="shared" si="99"/>
        <v>0</v>
      </c>
      <c r="Q67" s="624">
        <f t="shared" si="99"/>
        <v>0</v>
      </c>
      <c r="R67" s="253"/>
      <c r="S67" s="254">
        <v>423</v>
      </c>
      <c r="T67" s="255">
        <v>292</v>
      </c>
      <c r="U67" s="255">
        <v>174</v>
      </c>
      <c r="V67" s="255">
        <v>340</v>
      </c>
      <c r="W67" s="255">
        <v>0</v>
      </c>
      <c r="X67" s="255">
        <v>51</v>
      </c>
      <c r="Y67" s="256">
        <v>1280</v>
      </c>
      <c r="Z67" s="254">
        <v>0</v>
      </c>
      <c r="AA67" s="255">
        <v>0</v>
      </c>
      <c r="AB67" s="255">
        <v>0</v>
      </c>
      <c r="AC67" s="255">
        <v>0</v>
      </c>
      <c r="AD67" s="255">
        <v>0</v>
      </c>
      <c r="AE67" s="256">
        <v>690</v>
      </c>
      <c r="AF67" s="254">
        <v>0</v>
      </c>
      <c r="AG67" s="255">
        <v>0</v>
      </c>
      <c r="AH67" s="254">
        <v>0</v>
      </c>
    </row>
    <row r="68" spans="1:36">
      <c r="A68" s="249"/>
      <c r="B68" s="239" t="s">
        <v>55</v>
      </c>
      <c r="C68" s="624">
        <f t="shared" si="98"/>
        <v>0.18944844124700239</v>
      </c>
      <c r="D68" s="625">
        <f t="shared" si="98"/>
        <v>0.18996798292422626</v>
      </c>
      <c r="E68" s="625">
        <f t="shared" si="98"/>
        <v>0.34244946492271106</v>
      </c>
      <c r="F68" s="625">
        <f t="shared" si="98"/>
        <v>0.3253623188405797</v>
      </c>
      <c r="G68" s="625">
        <f t="shared" si="98"/>
        <v>0</v>
      </c>
      <c r="H68" s="626">
        <f t="shared" si="98"/>
        <v>0.2978723404255319</v>
      </c>
      <c r="I68" s="624">
        <f t="shared" si="98"/>
        <v>0.25629152405878802</v>
      </c>
      <c r="J68" s="624">
        <f t="shared" si="98"/>
        <v>0</v>
      </c>
      <c r="K68" s="625">
        <f t="shared" si="98"/>
        <v>0</v>
      </c>
      <c r="L68" s="625">
        <f t="shared" si="98"/>
        <v>0</v>
      </c>
      <c r="M68" s="625">
        <f t="shared" si="98"/>
        <v>0</v>
      </c>
      <c r="N68" s="624">
        <f t="shared" si="99"/>
        <v>0.31471061093247588</v>
      </c>
      <c r="O68" s="624">
        <f t="shared" si="99"/>
        <v>0</v>
      </c>
      <c r="P68" s="625">
        <f t="shared" si="99"/>
        <v>0</v>
      </c>
      <c r="Q68" s="624">
        <f t="shared" si="99"/>
        <v>0</v>
      </c>
      <c r="R68" s="253"/>
      <c r="S68" s="254">
        <v>316</v>
      </c>
      <c r="T68" s="255">
        <v>178</v>
      </c>
      <c r="U68" s="255">
        <v>288</v>
      </c>
      <c r="V68" s="255">
        <v>449</v>
      </c>
      <c r="W68" s="255">
        <v>0</v>
      </c>
      <c r="X68" s="255">
        <v>42</v>
      </c>
      <c r="Y68" s="256">
        <v>1273</v>
      </c>
      <c r="Z68" s="254">
        <v>0</v>
      </c>
      <c r="AA68" s="255">
        <v>0</v>
      </c>
      <c r="AB68" s="255">
        <v>0</v>
      </c>
      <c r="AC68" s="255">
        <v>0</v>
      </c>
      <c r="AD68" s="255">
        <v>0</v>
      </c>
      <c r="AE68" s="256">
        <v>783</v>
      </c>
      <c r="AF68" s="254">
        <v>0</v>
      </c>
      <c r="AG68" s="255">
        <v>0</v>
      </c>
      <c r="AH68" s="254">
        <v>0</v>
      </c>
    </row>
    <row r="69" spans="1:36">
      <c r="A69" s="249"/>
      <c r="B69" s="239" t="s">
        <v>78</v>
      </c>
      <c r="C69" s="624">
        <f t="shared" si="98"/>
        <v>7.1942446043165471E-3</v>
      </c>
      <c r="D69" s="625">
        <f t="shared" si="98"/>
        <v>1.7075773745997867E-2</v>
      </c>
      <c r="E69" s="625">
        <f t="shared" si="98"/>
        <v>2.6159334126040427E-2</v>
      </c>
      <c r="F69" s="625">
        <f t="shared" si="98"/>
        <v>2.6086956521739129E-2</v>
      </c>
      <c r="G69" s="625">
        <f t="shared" si="98"/>
        <v>0</v>
      </c>
      <c r="H69" s="626">
        <f t="shared" si="98"/>
        <v>2.1276595744680851E-2</v>
      </c>
      <c r="I69" s="624">
        <f t="shared" si="98"/>
        <v>1.7918260519428228E-2</v>
      </c>
      <c r="J69" s="624">
        <f t="shared" si="98"/>
        <v>0</v>
      </c>
      <c r="K69" s="625">
        <f t="shared" si="98"/>
        <v>0</v>
      </c>
      <c r="L69" s="625">
        <f t="shared" si="98"/>
        <v>0</v>
      </c>
      <c r="M69" s="625">
        <f t="shared" si="98"/>
        <v>0</v>
      </c>
      <c r="N69" s="624">
        <f t="shared" si="99"/>
        <v>7.5160771704180063E-2</v>
      </c>
      <c r="O69" s="624">
        <f t="shared" si="99"/>
        <v>0</v>
      </c>
      <c r="P69" s="625">
        <f t="shared" si="99"/>
        <v>0</v>
      </c>
      <c r="Q69" s="624">
        <f t="shared" si="99"/>
        <v>0</v>
      </c>
      <c r="R69" s="253"/>
      <c r="S69" s="254">
        <v>12</v>
      </c>
      <c r="T69" s="255">
        <v>16</v>
      </c>
      <c r="U69" s="255">
        <v>22</v>
      </c>
      <c r="V69" s="255">
        <v>36</v>
      </c>
      <c r="W69" s="255">
        <v>0</v>
      </c>
      <c r="X69" s="255">
        <v>3</v>
      </c>
      <c r="Y69" s="256">
        <v>89</v>
      </c>
      <c r="Z69" s="254">
        <v>0</v>
      </c>
      <c r="AA69" s="255">
        <v>0</v>
      </c>
      <c r="AB69" s="255">
        <v>0</v>
      </c>
      <c r="AC69" s="255">
        <v>0</v>
      </c>
      <c r="AD69" s="255">
        <v>0</v>
      </c>
      <c r="AE69" s="256">
        <v>187</v>
      </c>
      <c r="AF69" s="254">
        <v>0</v>
      </c>
      <c r="AG69" s="255">
        <v>0</v>
      </c>
      <c r="AH69" s="254">
        <v>0</v>
      </c>
    </row>
    <row r="70" spans="1:36">
      <c r="A70" s="249"/>
      <c r="B70" s="239" t="s">
        <v>32</v>
      </c>
      <c r="C70" s="624">
        <f t="shared" si="98"/>
        <v>0.15587529976019185</v>
      </c>
      <c r="D70" s="625">
        <f t="shared" si="98"/>
        <v>0.27321237993596587</v>
      </c>
      <c r="E70" s="625">
        <f t="shared" si="98"/>
        <v>0.20214030915576695</v>
      </c>
      <c r="F70" s="625">
        <f t="shared" si="98"/>
        <v>0.17173913043478262</v>
      </c>
      <c r="G70" s="625">
        <f t="shared" si="98"/>
        <v>0</v>
      </c>
      <c r="H70" s="626">
        <f t="shared" si="98"/>
        <v>0</v>
      </c>
      <c r="I70" s="624">
        <f t="shared" si="98"/>
        <v>0.1858264546003624</v>
      </c>
      <c r="J70" s="624">
        <f t="shared" si="98"/>
        <v>0</v>
      </c>
      <c r="K70" s="625">
        <f t="shared" si="98"/>
        <v>0</v>
      </c>
      <c r="L70" s="625">
        <f t="shared" si="98"/>
        <v>0</v>
      </c>
      <c r="M70" s="790">
        <f t="shared" si="98"/>
        <v>0</v>
      </c>
      <c r="N70" s="791">
        <f t="shared" si="99"/>
        <v>2.0096463022508037E-3</v>
      </c>
      <c r="O70" s="624">
        <f t="shared" si="99"/>
        <v>0</v>
      </c>
      <c r="P70" s="625">
        <f t="shared" si="99"/>
        <v>0</v>
      </c>
      <c r="Q70" s="624">
        <f t="shared" si="99"/>
        <v>0</v>
      </c>
      <c r="R70" s="253"/>
      <c r="S70" s="254">
        <v>260</v>
      </c>
      <c r="T70" s="255">
        <v>256</v>
      </c>
      <c r="U70" s="255">
        <v>170</v>
      </c>
      <c r="V70" s="255">
        <v>237</v>
      </c>
      <c r="W70" s="255">
        <v>0</v>
      </c>
      <c r="X70" s="255">
        <v>0</v>
      </c>
      <c r="Y70" s="256">
        <v>923</v>
      </c>
      <c r="Z70" s="254">
        <v>0</v>
      </c>
      <c r="AA70" s="255">
        <v>0</v>
      </c>
      <c r="AB70" s="255">
        <v>0</v>
      </c>
      <c r="AC70" s="255">
        <v>0</v>
      </c>
      <c r="AD70" s="255">
        <v>0</v>
      </c>
      <c r="AE70" s="256">
        <v>5</v>
      </c>
      <c r="AF70" s="254">
        <v>0</v>
      </c>
      <c r="AG70" s="255">
        <v>0</v>
      </c>
      <c r="AH70" s="254">
        <v>0</v>
      </c>
    </row>
    <row r="71" spans="1:36">
      <c r="A71" s="249"/>
      <c r="B71" s="239" t="s">
        <v>58</v>
      </c>
      <c r="C71" s="624">
        <f t="shared" si="98"/>
        <v>0</v>
      </c>
      <c r="D71" s="625">
        <f t="shared" si="98"/>
        <v>0</v>
      </c>
      <c r="E71" s="792">
        <f t="shared" si="98"/>
        <v>0</v>
      </c>
      <c r="F71" s="625">
        <f t="shared" si="98"/>
        <v>0</v>
      </c>
      <c r="G71" s="792">
        <f t="shared" si="98"/>
        <v>0</v>
      </c>
      <c r="H71" s="626">
        <f t="shared" si="98"/>
        <v>0</v>
      </c>
      <c r="I71" s="793">
        <f t="shared" si="98"/>
        <v>0</v>
      </c>
      <c r="J71" s="624">
        <f t="shared" si="98"/>
        <v>0</v>
      </c>
      <c r="K71" s="625">
        <f t="shared" si="98"/>
        <v>1</v>
      </c>
      <c r="L71" s="625">
        <f t="shared" si="98"/>
        <v>1</v>
      </c>
      <c r="M71" s="625">
        <f t="shared" si="98"/>
        <v>1</v>
      </c>
      <c r="N71" s="624">
        <f t="shared" si="99"/>
        <v>0</v>
      </c>
      <c r="O71" s="624">
        <f t="shared" si="99"/>
        <v>0</v>
      </c>
      <c r="P71" s="625">
        <f t="shared" si="99"/>
        <v>0</v>
      </c>
      <c r="Q71" s="624">
        <f t="shared" si="99"/>
        <v>0</v>
      </c>
      <c r="R71" s="253"/>
      <c r="S71" s="254">
        <v>0</v>
      </c>
      <c r="T71" s="255">
        <v>0</v>
      </c>
      <c r="U71" s="255">
        <v>0</v>
      </c>
      <c r="V71" s="255">
        <v>0</v>
      </c>
      <c r="W71" s="255">
        <v>0</v>
      </c>
      <c r="X71" s="255">
        <v>0</v>
      </c>
      <c r="Y71" s="256">
        <v>0</v>
      </c>
      <c r="Z71" s="254">
        <v>0</v>
      </c>
      <c r="AA71" s="255">
        <v>327</v>
      </c>
      <c r="AB71" s="255">
        <v>122</v>
      </c>
      <c r="AC71" s="255">
        <v>85</v>
      </c>
      <c r="AD71" s="255">
        <v>0</v>
      </c>
      <c r="AE71" s="256">
        <v>0</v>
      </c>
      <c r="AF71" s="254">
        <v>0</v>
      </c>
      <c r="AG71" s="255">
        <v>0</v>
      </c>
      <c r="AH71" s="254">
        <v>0</v>
      </c>
    </row>
    <row r="72" spans="1:36" s="406" customFormat="1">
      <c r="A72" s="435"/>
      <c r="B72" s="436" t="s">
        <v>59</v>
      </c>
      <c r="C72" s="577">
        <f t="shared" si="98"/>
        <v>1</v>
      </c>
      <c r="D72" s="578">
        <f t="shared" si="98"/>
        <v>1</v>
      </c>
      <c r="E72" s="578">
        <f t="shared" si="98"/>
        <v>1</v>
      </c>
      <c r="F72" s="578">
        <f t="shared" si="98"/>
        <v>1</v>
      </c>
      <c r="G72" s="578">
        <f t="shared" si="98"/>
        <v>0</v>
      </c>
      <c r="H72" s="579">
        <f t="shared" si="98"/>
        <v>1</v>
      </c>
      <c r="I72" s="577">
        <f t="shared" si="98"/>
        <v>1</v>
      </c>
      <c r="J72" s="577">
        <f t="shared" si="98"/>
        <v>0</v>
      </c>
      <c r="K72" s="578">
        <f t="shared" si="98"/>
        <v>1</v>
      </c>
      <c r="L72" s="578">
        <f t="shared" si="98"/>
        <v>1</v>
      </c>
      <c r="M72" s="578">
        <f t="shared" si="98"/>
        <v>1</v>
      </c>
      <c r="N72" s="577">
        <f t="shared" si="99"/>
        <v>1</v>
      </c>
      <c r="O72" s="577">
        <f t="shared" si="99"/>
        <v>0</v>
      </c>
      <c r="P72" s="578">
        <f t="shared" si="99"/>
        <v>0</v>
      </c>
      <c r="Q72" s="577">
        <f t="shared" si="99"/>
        <v>0</v>
      </c>
      <c r="R72" s="264"/>
      <c r="S72" s="265">
        <v>1668</v>
      </c>
      <c r="T72" s="266">
        <v>937</v>
      </c>
      <c r="U72" s="266">
        <v>841</v>
      </c>
      <c r="V72" s="266">
        <v>1380</v>
      </c>
      <c r="W72" s="266">
        <v>0</v>
      </c>
      <c r="X72" s="266">
        <v>141</v>
      </c>
      <c r="Y72" s="267">
        <v>4967</v>
      </c>
      <c r="Z72" s="265">
        <v>0</v>
      </c>
      <c r="AA72" s="266">
        <v>327</v>
      </c>
      <c r="AB72" s="266">
        <v>122</v>
      </c>
      <c r="AC72" s="266">
        <v>85</v>
      </c>
      <c r="AD72" s="266">
        <v>0</v>
      </c>
      <c r="AE72" s="267">
        <v>2488</v>
      </c>
      <c r="AF72" s="265">
        <v>0</v>
      </c>
      <c r="AG72" s="266">
        <v>0</v>
      </c>
      <c r="AH72" s="265">
        <v>0</v>
      </c>
      <c r="AI72" s="405"/>
      <c r="AJ72" s="405"/>
    </row>
    <row r="73" spans="1:36">
      <c r="A73" s="239" t="s">
        <v>11</v>
      </c>
      <c r="B73" s="240" t="s">
        <v>53</v>
      </c>
      <c r="C73" s="613">
        <f t="shared" ref="C73:M79" si="100">IF(S$79&gt;0,(S73/S$79),0)</f>
        <v>0.22672577580747308</v>
      </c>
      <c r="D73" s="614">
        <f t="shared" si="100"/>
        <v>0.21628721541155868</v>
      </c>
      <c r="E73" s="614">
        <f t="shared" si="100"/>
        <v>0</v>
      </c>
      <c r="F73" s="614">
        <f t="shared" si="100"/>
        <v>0.18029350104821804</v>
      </c>
      <c r="G73" s="614">
        <f t="shared" si="100"/>
        <v>0.21897810218978103</v>
      </c>
      <c r="H73" s="615">
        <f t="shared" si="100"/>
        <v>0</v>
      </c>
      <c r="I73" s="613">
        <f t="shared" si="100"/>
        <v>0.216191904047976</v>
      </c>
      <c r="J73" s="613">
        <f t="shared" si="100"/>
        <v>0</v>
      </c>
      <c r="K73" s="614">
        <f t="shared" si="100"/>
        <v>0</v>
      </c>
      <c r="L73" s="614">
        <f t="shared" si="100"/>
        <v>0</v>
      </c>
      <c r="M73" s="614">
        <f t="shared" si="100"/>
        <v>0</v>
      </c>
      <c r="N73" s="613">
        <f t="shared" ref="N73:Q79" si="101">IF(AE$79&gt;0,(AE73/AE$79),0)</f>
        <v>0</v>
      </c>
      <c r="O73" s="788">
        <f t="shared" si="101"/>
        <v>0</v>
      </c>
      <c r="P73" s="614">
        <f t="shared" si="101"/>
        <v>0</v>
      </c>
      <c r="Q73" s="788">
        <f t="shared" si="101"/>
        <v>0</v>
      </c>
      <c r="R73" s="244"/>
      <c r="S73" s="245">
        <v>358</v>
      </c>
      <c r="T73" s="246">
        <v>247</v>
      </c>
      <c r="U73" s="246">
        <v>0</v>
      </c>
      <c r="V73" s="246">
        <v>86</v>
      </c>
      <c r="W73" s="246">
        <v>30</v>
      </c>
      <c r="X73" s="246">
        <v>0</v>
      </c>
      <c r="Y73" s="247">
        <v>721</v>
      </c>
      <c r="Z73" s="245">
        <v>0</v>
      </c>
      <c r="AA73" s="246">
        <v>0</v>
      </c>
      <c r="AB73" s="246">
        <v>0</v>
      </c>
      <c r="AC73" s="246">
        <v>0</v>
      </c>
      <c r="AD73" s="246">
        <v>0</v>
      </c>
      <c r="AE73" s="247">
        <v>0</v>
      </c>
      <c r="AF73" s="245">
        <v>0</v>
      </c>
      <c r="AG73" s="246">
        <v>0</v>
      </c>
      <c r="AH73" s="245">
        <v>0</v>
      </c>
    </row>
    <row r="74" spans="1:36">
      <c r="A74" s="249"/>
      <c r="B74" s="239" t="s">
        <v>93</v>
      </c>
      <c r="C74" s="624">
        <f t="shared" si="100"/>
        <v>0.25585813806206459</v>
      </c>
      <c r="D74" s="625">
        <f t="shared" si="100"/>
        <v>0.28809106830122594</v>
      </c>
      <c r="E74" s="625">
        <f t="shared" si="100"/>
        <v>0</v>
      </c>
      <c r="F74" s="625">
        <f t="shared" si="100"/>
        <v>0.23480083857442349</v>
      </c>
      <c r="G74" s="625">
        <f t="shared" si="100"/>
        <v>0.16788321167883211</v>
      </c>
      <c r="H74" s="626">
        <f t="shared" si="100"/>
        <v>0</v>
      </c>
      <c r="I74" s="624">
        <f t="shared" si="100"/>
        <v>0.26026986506746624</v>
      </c>
      <c r="J74" s="624">
        <f t="shared" si="100"/>
        <v>0</v>
      </c>
      <c r="K74" s="625">
        <f t="shared" si="100"/>
        <v>0</v>
      </c>
      <c r="L74" s="625">
        <f t="shared" si="100"/>
        <v>0</v>
      </c>
      <c r="M74" s="625">
        <f t="shared" si="100"/>
        <v>0</v>
      </c>
      <c r="N74" s="624">
        <f t="shared" si="101"/>
        <v>0</v>
      </c>
      <c r="O74" s="624">
        <f t="shared" si="101"/>
        <v>0</v>
      </c>
      <c r="P74" s="625">
        <f t="shared" si="101"/>
        <v>0</v>
      </c>
      <c r="Q74" s="624">
        <f t="shared" si="101"/>
        <v>0</v>
      </c>
      <c r="R74" s="253"/>
      <c r="S74" s="254">
        <v>404</v>
      </c>
      <c r="T74" s="255">
        <v>329</v>
      </c>
      <c r="U74" s="255">
        <v>0</v>
      </c>
      <c r="V74" s="255">
        <v>112</v>
      </c>
      <c r="W74" s="255">
        <v>23</v>
      </c>
      <c r="X74" s="255">
        <v>0</v>
      </c>
      <c r="Y74" s="256">
        <v>868</v>
      </c>
      <c r="Z74" s="254">
        <v>0</v>
      </c>
      <c r="AA74" s="255">
        <v>0</v>
      </c>
      <c r="AB74" s="255">
        <v>0</v>
      </c>
      <c r="AC74" s="255">
        <v>0</v>
      </c>
      <c r="AD74" s="255">
        <v>0</v>
      </c>
      <c r="AE74" s="256">
        <v>0</v>
      </c>
      <c r="AF74" s="254">
        <v>0</v>
      </c>
      <c r="AG74" s="255">
        <v>0</v>
      </c>
      <c r="AH74" s="254">
        <v>0</v>
      </c>
    </row>
    <row r="75" spans="1:36">
      <c r="A75" s="249"/>
      <c r="B75" s="239" t="s">
        <v>55</v>
      </c>
      <c r="C75" s="624">
        <f t="shared" si="100"/>
        <v>0.30018999366687776</v>
      </c>
      <c r="D75" s="625">
        <f t="shared" si="100"/>
        <v>0.29334500875656744</v>
      </c>
      <c r="E75" s="625">
        <f t="shared" si="100"/>
        <v>0</v>
      </c>
      <c r="F75" s="625">
        <f t="shared" si="100"/>
        <v>0.33333333333333331</v>
      </c>
      <c r="G75" s="625">
        <f t="shared" si="100"/>
        <v>0.22627737226277372</v>
      </c>
      <c r="H75" s="626">
        <f t="shared" si="100"/>
        <v>0</v>
      </c>
      <c r="I75" s="624">
        <f t="shared" si="100"/>
        <v>0.29955022488755623</v>
      </c>
      <c r="J75" s="624">
        <f t="shared" si="100"/>
        <v>0</v>
      </c>
      <c r="K75" s="625">
        <f t="shared" si="100"/>
        <v>0</v>
      </c>
      <c r="L75" s="625">
        <f t="shared" si="100"/>
        <v>0</v>
      </c>
      <c r="M75" s="625">
        <f t="shared" si="100"/>
        <v>0</v>
      </c>
      <c r="N75" s="624">
        <f t="shared" si="101"/>
        <v>0</v>
      </c>
      <c r="O75" s="624">
        <f t="shared" si="101"/>
        <v>0</v>
      </c>
      <c r="P75" s="625">
        <f t="shared" si="101"/>
        <v>0</v>
      </c>
      <c r="Q75" s="624">
        <f t="shared" si="101"/>
        <v>0</v>
      </c>
      <c r="R75" s="253"/>
      <c r="S75" s="254">
        <v>474</v>
      </c>
      <c r="T75" s="255">
        <v>335</v>
      </c>
      <c r="U75" s="255">
        <v>0</v>
      </c>
      <c r="V75" s="255">
        <v>159</v>
      </c>
      <c r="W75" s="255">
        <v>31</v>
      </c>
      <c r="X75" s="255">
        <v>0</v>
      </c>
      <c r="Y75" s="256">
        <v>999</v>
      </c>
      <c r="Z75" s="254">
        <v>0</v>
      </c>
      <c r="AA75" s="255">
        <v>0</v>
      </c>
      <c r="AB75" s="255">
        <v>0</v>
      </c>
      <c r="AC75" s="255">
        <v>0</v>
      </c>
      <c r="AD75" s="255">
        <v>0</v>
      </c>
      <c r="AE75" s="256">
        <v>0</v>
      </c>
      <c r="AF75" s="254">
        <v>0</v>
      </c>
      <c r="AG75" s="255">
        <v>0</v>
      </c>
      <c r="AH75" s="254">
        <v>0</v>
      </c>
    </row>
    <row r="76" spans="1:36">
      <c r="A76" s="249"/>
      <c r="B76" s="239" t="s">
        <v>78</v>
      </c>
      <c r="C76" s="624">
        <f t="shared" si="100"/>
        <v>0.1779607346421786</v>
      </c>
      <c r="D76" s="625">
        <f t="shared" si="100"/>
        <v>0.18826619964973731</v>
      </c>
      <c r="E76" s="625">
        <f t="shared" si="100"/>
        <v>0</v>
      </c>
      <c r="F76" s="625">
        <f t="shared" si="100"/>
        <v>0.25157232704402516</v>
      </c>
      <c r="G76" s="625">
        <f t="shared" si="100"/>
        <v>0.38686131386861317</v>
      </c>
      <c r="H76" s="626">
        <f t="shared" si="100"/>
        <v>0</v>
      </c>
      <c r="I76" s="624">
        <f t="shared" si="100"/>
        <v>0.20059970014992504</v>
      </c>
      <c r="J76" s="624">
        <f t="shared" si="100"/>
        <v>0</v>
      </c>
      <c r="K76" s="625">
        <f t="shared" si="100"/>
        <v>0</v>
      </c>
      <c r="L76" s="625">
        <f t="shared" si="100"/>
        <v>0</v>
      </c>
      <c r="M76" s="625">
        <f t="shared" si="100"/>
        <v>0</v>
      </c>
      <c r="N76" s="624">
        <f t="shared" si="101"/>
        <v>0</v>
      </c>
      <c r="O76" s="624">
        <f t="shared" si="101"/>
        <v>0</v>
      </c>
      <c r="P76" s="625">
        <f t="shared" si="101"/>
        <v>0</v>
      </c>
      <c r="Q76" s="624">
        <f t="shared" si="101"/>
        <v>0</v>
      </c>
      <c r="R76" s="253"/>
      <c r="S76" s="254">
        <v>281</v>
      </c>
      <c r="T76" s="255">
        <v>215</v>
      </c>
      <c r="U76" s="255">
        <v>0</v>
      </c>
      <c r="V76" s="255">
        <v>120</v>
      </c>
      <c r="W76" s="255">
        <v>53</v>
      </c>
      <c r="X76" s="255">
        <v>0</v>
      </c>
      <c r="Y76" s="256">
        <v>669</v>
      </c>
      <c r="Z76" s="254">
        <v>0</v>
      </c>
      <c r="AA76" s="255">
        <v>0</v>
      </c>
      <c r="AB76" s="255">
        <v>0</v>
      </c>
      <c r="AC76" s="255">
        <v>0</v>
      </c>
      <c r="AD76" s="255">
        <v>0</v>
      </c>
      <c r="AE76" s="256">
        <v>0</v>
      </c>
      <c r="AF76" s="254">
        <v>0</v>
      </c>
      <c r="AG76" s="255">
        <v>0</v>
      </c>
      <c r="AH76" s="254">
        <v>0</v>
      </c>
    </row>
    <row r="77" spans="1:36">
      <c r="A77" s="249"/>
      <c r="B77" s="239" t="s">
        <v>32</v>
      </c>
      <c r="C77" s="624">
        <f t="shared" si="100"/>
        <v>3.9265357821405951E-2</v>
      </c>
      <c r="D77" s="625">
        <f t="shared" si="100"/>
        <v>1.4010507880910683E-2</v>
      </c>
      <c r="E77" s="625">
        <f t="shared" si="100"/>
        <v>0</v>
      </c>
      <c r="F77" s="625">
        <f t="shared" si="100"/>
        <v>0</v>
      </c>
      <c r="G77" s="625">
        <f t="shared" si="100"/>
        <v>0</v>
      </c>
      <c r="H77" s="626">
        <f t="shared" si="100"/>
        <v>0</v>
      </c>
      <c r="I77" s="624">
        <f t="shared" si="100"/>
        <v>2.3388305847076463E-2</v>
      </c>
      <c r="J77" s="624">
        <f t="shared" si="100"/>
        <v>0</v>
      </c>
      <c r="K77" s="625">
        <f t="shared" si="100"/>
        <v>0</v>
      </c>
      <c r="L77" s="625">
        <f t="shared" si="100"/>
        <v>0</v>
      </c>
      <c r="M77" s="625">
        <f t="shared" si="100"/>
        <v>0</v>
      </c>
      <c r="N77" s="624">
        <f t="shared" si="101"/>
        <v>0</v>
      </c>
      <c r="O77" s="624">
        <f t="shared" si="101"/>
        <v>0</v>
      </c>
      <c r="P77" s="625">
        <f t="shared" si="101"/>
        <v>0</v>
      </c>
      <c r="Q77" s="624">
        <f t="shared" si="101"/>
        <v>0</v>
      </c>
      <c r="R77" s="253"/>
      <c r="S77" s="254">
        <v>62</v>
      </c>
      <c r="T77" s="255">
        <v>16</v>
      </c>
      <c r="U77" s="255">
        <v>0</v>
      </c>
      <c r="V77" s="255">
        <v>0</v>
      </c>
      <c r="W77" s="255">
        <v>0</v>
      </c>
      <c r="X77" s="255">
        <v>0</v>
      </c>
      <c r="Y77" s="256">
        <v>78</v>
      </c>
      <c r="Z77" s="254">
        <v>0</v>
      </c>
      <c r="AA77" s="255">
        <v>0</v>
      </c>
      <c r="AB77" s="255">
        <v>0</v>
      </c>
      <c r="AC77" s="255">
        <v>0</v>
      </c>
      <c r="AD77" s="255">
        <v>0</v>
      </c>
      <c r="AE77" s="256">
        <v>0</v>
      </c>
      <c r="AF77" s="254">
        <v>0</v>
      </c>
      <c r="AG77" s="255">
        <v>0</v>
      </c>
      <c r="AH77" s="254">
        <v>0</v>
      </c>
    </row>
    <row r="78" spans="1:36">
      <c r="A78" s="249"/>
      <c r="B78" s="239" t="s">
        <v>58</v>
      </c>
      <c r="C78" s="624">
        <f t="shared" si="100"/>
        <v>0</v>
      </c>
      <c r="D78" s="625">
        <f t="shared" si="100"/>
        <v>0</v>
      </c>
      <c r="E78" s="792">
        <f t="shared" si="100"/>
        <v>0</v>
      </c>
      <c r="F78" s="625">
        <f t="shared" si="100"/>
        <v>0</v>
      </c>
      <c r="G78" s="792">
        <f t="shared" si="100"/>
        <v>0</v>
      </c>
      <c r="H78" s="626">
        <f t="shared" si="100"/>
        <v>0</v>
      </c>
      <c r="I78" s="793">
        <f t="shared" si="100"/>
        <v>0</v>
      </c>
      <c r="J78" s="624">
        <f t="shared" si="100"/>
        <v>0</v>
      </c>
      <c r="K78" s="625">
        <f t="shared" si="100"/>
        <v>1</v>
      </c>
      <c r="L78" s="625">
        <f t="shared" si="100"/>
        <v>1</v>
      </c>
      <c r="M78" s="625">
        <f t="shared" si="100"/>
        <v>1</v>
      </c>
      <c r="N78" s="624">
        <f t="shared" si="101"/>
        <v>1</v>
      </c>
      <c r="O78" s="624">
        <f t="shared" si="101"/>
        <v>0</v>
      </c>
      <c r="P78" s="625">
        <f t="shared" si="101"/>
        <v>0</v>
      </c>
      <c r="Q78" s="624">
        <f t="shared" si="101"/>
        <v>0</v>
      </c>
      <c r="R78" s="253"/>
      <c r="S78" s="254">
        <v>0</v>
      </c>
      <c r="T78" s="255">
        <v>0</v>
      </c>
      <c r="U78" s="255">
        <v>0</v>
      </c>
      <c r="V78" s="255">
        <v>0</v>
      </c>
      <c r="W78" s="255">
        <v>0</v>
      </c>
      <c r="X78" s="255">
        <v>0</v>
      </c>
      <c r="Y78" s="256">
        <v>0</v>
      </c>
      <c r="Z78" s="254">
        <v>0</v>
      </c>
      <c r="AA78" s="255">
        <v>327</v>
      </c>
      <c r="AB78" s="255">
        <v>122</v>
      </c>
      <c r="AC78" s="255">
        <v>85</v>
      </c>
      <c r="AD78" s="255">
        <v>0</v>
      </c>
      <c r="AE78" s="256">
        <v>2521.9</v>
      </c>
      <c r="AF78" s="254">
        <v>0</v>
      </c>
      <c r="AG78" s="255">
        <v>0</v>
      </c>
      <c r="AH78" s="254">
        <v>0</v>
      </c>
    </row>
    <row r="79" spans="1:36" s="406" customFormat="1">
      <c r="A79" s="435"/>
      <c r="B79" s="436" t="s">
        <v>59</v>
      </c>
      <c r="C79" s="577">
        <f t="shared" si="100"/>
        <v>1</v>
      </c>
      <c r="D79" s="578">
        <f t="shared" si="100"/>
        <v>1</v>
      </c>
      <c r="E79" s="578">
        <f t="shared" si="100"/>
        <v>0</v>
      </c>
      <c r="F79" s="578">
        <f t="shared" si="100"/>
        <v>1</v>
      </c>
      <c r="G79" s="578">
        <f t="shared" si="100"/>
        <v>1</v>
      </c>
      <c r="H79" s="579">
        <f t="shared" si="100"/>
        <v>0</v>
      </c>
      <c r="I79" s="577">
        <f t="shared" si="100"/>
        <v>1</v>
      </c>
      <c r="J79" s="577">
        <f t="shared" si="100"/>
        <v>0</v>
      </c>
      <c r="K79" s="578">
        <f t="shared" si="100"/>
        <v>1</v>
      </c>
      <c r="L79" s="578">
        <f t="shared" si="100"/>
        <v>1</v>
      </c>
      <c r="M79" s="578">
        <f t="shared" si="100"/>
        <v>1</v>
      </c>
      <c r="N79" s="577">
        <f t="shared" si="101"/>
        <v>1</v>
      </c>
      <c r="O79" s="577">
        <f t="shared" si="101"/>
        <v>0</v>
      </c>
      <c r="P79" s="578">
        <f t="shared" si="101"/>
        <v>0</v>
      </c>
      <c r="Q79" s="577">
        <f t="shared" si="101"/>
        <v>0</v>
      </c>
      <c r="R79" s="264"/>
      <c r="S79" s="265">
        <v>1579</v>
      </c>
      <c r="T79" s="266">
        <v>1142</v>
      </c>
      <c r="U79" s="266">
        <v>0</v>
      </c>
      <c r="V79" s="266">
        <v>477</v>
      </c>
      <c r="W79" s="266">
        <v>137</v>
      </c>
      <c r="X79" s="266">
        <v>0</v>
      </c>
      <c r="Y79" s="267">
        <v>3335</v>
      </c>
      <c r="Z79" s="265">
        <v>0</v>
      </c>
      <c r="AA79" s="266">
        <v>327</v>
      </c>
      <c r="AB79" s="266">
        <v>122</v>
      </c>
      <c r="AC79" s="266">
        <v>85</v>
      </c>
      <c r="AD79" s="266">
        <v>0</v>
      </c>
      <c r="AE79" s="267">
        <v>2521.9</v>
      </c>
      <c r="AF79" s="265">
        <v>0</v>
      </c>
      <c r="AG79" s="266">
        <v>0</v>
      </c>
      <c r="AH79" s="265">
        <v>0</v>
      </c>
      <c r="AI79" s="405"/>
      <c r="AJ79" s="405"/>
    </row>
    <row r="80" spans="1:36">
      <c r="A80" s="239" t="s">
        <v>12</v>
      </c>
      <c r="B80" s="240" t="s">
        <v>53</v>
      </c>
      <c r="C80" s="613">
        <f t="shared" ref="C80:M86" si="102">IF(S$86&gt;0,(S80/S$86),0)</f>
        <v>0.34720908230842007</v>
      </c>
      <c r="D80" s="614">
        <f t="shared" si="102"/>
        <v>0.22039134912461381</v>
      </c>
      <c r="E80" s="614">
        <f t="shared" si="102"/>
        <v>0.22440944881889763</v>
      </c>
      <c r="F80" s="614">
        <f t="shared" si="102"/>
        <v>0.17857142857142858</v>
      </c>
      <c r="G80" s="614">
        <f t="shared" si="102"/>
        <v>0.14732142857142858</v>
      </c>
      <c r="H80" s="615">
        <f t="shared" si="102"/>
        <v>0.30107526881720431</v>
      </c>
      <c r="I80" s="613">
        <f t="shared" si="102"/>
        <v>0.26967035042977239</v>
      </c>
      <c r="J80" s="613">
        <f t="shared" si="102"/>
        <v>0</v>
      </c>
      <c r="K80" s="614">
        <f t="shared" si="102"/>
        <v>0</v>
      </c>
      <c r="L80" s="614">
        <f t="shared" si="102"/>
        <v>0</v>
      </c>
      <c r="M80" s="614">
        <f t="shared" si="102"/>
        <v>0</v>
      </c>
      <c r="N80" s="613">
        <f t="shared" ref="N80:Q86" si="103">IF(AE$86&gt;0,(AE80/AE$86),0)</f>
        <v>0</v>
      </c>
      <c r="O80" s="788">
        <f t="shared" si="103"/>
        <v>0</v>
      </c>
      <c r="P80" s="614">
        <f t="shared" si="103"/>
        <v>0</v>
      </c>
      <c r="Q80" s="788">
        <f t="shared" si="103"/>
        <v>0</v>
      </c>
      <c r="R80" s="244"/>
      <c r="S80" s="245">
        <v>1468</v>
      </c>
      <c r="T80" s="246">
        <v>214</v>
      </c>
      <c r="U80" s="246">
        <v>912</v>
      </c>
      <c r="V80" s="246">
        <v>50</v>
      </c>
      <c r="W80" s="246">
        <v>99</v>
      </c>
      <c r="X80" s="246">
        <v>112</v>
      </c>
      <c r="Y80" s="247">
        <v>2855</v>
      </c>
      <c r="Z80" s="245">
        <v>0</v>
      </c>
      <c r="AA80" s="246">
        <v>0</v>
      </c>
      <c r="AB80" s="246">
        <v>0</v>
      </c>
      <c r="AC80" s="246">
        <v>0</v>
      </c>
      <c r="AD80" s="246">
        <v>0</v>
      </c>
      <c r="AE80" s="247">
        <v>0</v>
      </c>
      <c r="AF80" s="245">
        <v>0</v>
      </c>
      <c r="AG80" s="246">
        <v>0</v>
      </c>
      <c r="AH80" s="245">
        <v>0</v>
      </c>
    </row>
    <row r="81" spans="1:36">
      <c r="A81" s="249"/>
      <c r="B81" s="239" t="s">
        <v>93</v>
      </c>
      <c r="C81" s="624">
        <f t="shared" si="102"/>
        <v>0.25070955534531691</v>
      </c>
      <c r="D81" s="625">
        <f t="shared" si="102"/>
        <v>0.31307929969104015</v>
      </c>
      <c r="E81" s="625">
        <f t="shared" si="102"/>
        <v>0.30536417322834647</v>
      </c>
      <c r="F81" s="625">
        <f t="shared" si="102"/>
        <v>0.31785714285714284</v>
      </c>
      <c r="G81" s="625">
        <f t="shared" si="102"/>
        <v>0.27976190476190477</v>
      </c>
      <c r="H81" s="626">
        <f t="shared" si="102"/>
        <v>0.26881720430107525</v>
      </c>
      <c r="I81" s="624">
        <f t="shared" si="102"/>
        <v>0.28166619438934543</v>
      </c>
      <c r="J81" s="624">
        <f t="shared" si="102"/>
        <v>0</v>
      </c>
      <c r="K81" s="625">
        <f t="shared" si="102"/>
        <v>0</v>
      </c>
      <c r="L81" s="625">
        <f t="shared" si="102"/>
        <v>0</v>
      </c>
      <c r="M81" s="625">
        <f t="shared" si="102"/>
        <v>0</v>
      </c>
      <c r="N81" s="624">
        <f t="shared" si="103"/>
        <v>0</v>
      </c>
      <c r="O81" s="624">
        <f t="shared" si="103"/>
        <v>0</v>
      </c>
      <c r="P81" s="625">
        <f t="shared" si="103"/>
        <v>0</v>
      </c>
      <c r="Q81" s="624">
        <f t="shared" si="103"/>
        <v>0</v>
      </c>
      <c r="R81" s="253"/>
      <c r="S81" s="254">
        <v>1060</v>
      </c>
      <c r="T81" s="255">
        <v>304</v>
      </c>
      <c r="U81" s="255">
        <v>1241</v>
      </c>
      <c r="V81" s="255">
        <v>89</v>
      </c>
      <c r="W81" s="255">
        <v>188</v>
      </c>
      <c r="X81" s="255">
        <v>100</v>
      </c>
      <c r="Y81" s="256">
        <v>2982</v>
      </c>
      <c r="Z81" s="254">
        <v>0</v>
      </c>
      <c r="AA81" s="255">
        <v>0</v>
      </c>
      <c r="AB81" s="255">
        <v>0</v>
      </c>
      <c r="AC81" s="255">
        <v>0</v>
      </c>
      <c r="AD81" s="255">
        <v>0</v>
      </c>
      <c r="AE81" s="256">
        <v>0</v>
      </c>
      <c r="AF81" s="254">
        <v>0</v>
      </c>
      <c r="AG81" s="255">
        <v>0</v>
      </c>
      <c r="AH81" s="254">
        <v>0</v>
      </c>
    </row>
    <row r="82" spans="1:36">
      <c r="A82" s="249"/>
      <c r="B82" s="239" t="s">
        <v>55</v>
      </c>
      <c r="C82" s="624">
        <f t="shared" si="102"/>
        <v>0.19607379375591297</v>
      </c>
      <c r="D82" s="625">
        <f t="shared" si="102"/>
        <v>0.22039134912461381</v>
      </c>
      <c r="E82" s="625">
        <f t="shared" si="102"/>
        <v>0.24483267716535434</v>
      </c>
      <c r="F82" s="625">
        <f t="shared" si="102"/>
        <v>0.36071428571428571</v>
      </c>
      <c r="G82" s="625">
        <f t="shared" si="102"/>
        <v>0.33035714285714285</v>
      </c>
      <c r="H82" s="626">
        <f t="shared" si="102"/>
        <v>0.22580645161290322</v>
      </c>
      <c r="I82" s="624">
        <f t="shared" si="102"/>
        <v>0.23094361008784359</v>
      </c>
      <c r="J82" s="624">
        <f t="shared" si="102"/>
        <v>0</v>
      </c>
      <c r="K82" s="625">
        <f t="shared" si="102"/>
        <v>0</v>
      </c>
      <c r="L82" s="625">
        <f t="shared" si="102"/>
        <v>0</v>
      </c>
      <c r="M82" s="625">
        <f t="shared" si="102"/>
        <v>0</v>
      </c>
      <c r="N82" s="624">
        <f t="shared" si="103"/>
        <v>0</v>
      </c>
      <c r="O82" s="624">
        <f t="shared" si="103"/>
        <v>0</v>
      </c>
      <c r="P82" s="625">
        <f t="shared" si="103"/>
        <v>0</v>
      </c>
      <c r="Q82" s="624">
        <f t="shared" si="103"/>
        <v>0</v>
      </c>
      <c r="R82" s="253"/>
      <c r="S82" s="254">
        <v>829</v>
      </c>
      <c r="T82" s="255">
        <v>214</v>
      </c>
      <c r="U82" s="255">
        <v>995</v>
      </c>
      <c r="V82" s="255">
        <v>101</v>
      </c>
      <c r="W82" s="255">
        <v>222</v>
      </c>
      <c r="X82" s="255">
        <v>84</v>
      </c>
      <c r="Y82" s="256">
        <v>2445</v>
      </c>
      <c r="Z82" s="254">
        <v>0</v>
      </c>
      <c r="AA82" s="255">
        <v>0</v>
      </c>
      <c r="AB82" s="255">
        <v>0</v>
      </c>
      <c r="AC82" s="255">
        <v>0</v>
      </c>
      <c r="AD82" s="255">
        <v>0</v>
      </c>
      <c r="AE82" s="256">
        <v>0</v>
      </c>
      <c r="AF82" s="254">
        <v>0</v>
      </c>
      <c r="AG82" s="255">
        <v>0</v>
      </c>
      <c r="AH82" s="254">
        <v>0</v>
      </c>
    </row>
    <row r="83" spans="1:36">
      <c r="A83" s="249"/>
      <c r="B83" s="239" t="s">
        <v>78</v>
      </c>
      <c r="C83" s="624">
        <f t="shared" si="102"/>
        <v>1.5610217596972564E-2</v>
      </c>
      <c r="D83" s="790">
        <f t="shared" si="102"/>
        <v>0</v>
      </c>
      <c r="E83" s="625">
        <f t="shared" si="102"/>
        <v>1.0580708661417323E-2</v>
      </c>
      <c r="F83" s="625">
        <f t="shared" si="102"/>
        <v>2.5000000000000001E-2</v>
      </c>
      <c r="G83" s="625">
        <f t="shared" si="102"/>
        <v>7.8869047619047616E-2</v>
      </c>
      <c r="H83" s="626">
        <f t="shared" si="102"/>
        <v>1.3440860215053764E-2</v>
      </c>
      <c r="I83" s="624">
        <f t="shared" si="102"/>
        <v>1.6435250779257581E-2</v>
      </c>
      <c r="J83" s="624">
        <f t="shared" si="102"/>
        <v>0</v>
      </c>
      <c r="K83" s="625">
        <f t="shared" si="102"/>
        <v>0</v>
      </c>
      <c r="L83" s="625">
        <f t="shared" si="102"/>
        <v>0</v>
      </c>
      <c r="M83" s="625">
        <f t="shared" si="102"/>
        <v>0</v>
      </c>
      <c r="N83" s="624">
        <f t="shared" si="103"/>
        <v>0</v>
      </c>
      <c r="O83" s="624">
        <f t="shared" si="103"/>
        <v>0</v>
      </c>
      <c r="P83" s="625">
        <f t="shared" si="103"/>
        <v>0</v>
      </c>
      <c r="Q83" s="624">
        <f t="shared" si="103"/>
        <v>0</v>
      </c>
      <c r="R83" s="253"/>
      <c r="S83" s="254">
        <v>66</v>
      </c>
      <c r="T83" s="255">
        <v>0</v>
      </c>
      <c r="U83" s="255">
        <v>43</v>
      </c>
      <c r="V83" s="255">
        <v>7</v>
      </c>
      <c r="W83" s="255">
        <v>53</v>
      </c>
      <c r="X83" s="255">
        <v>5</v>
      </c>
      <c r="Y83" s="256">
        <v>174</v>
      </c>
      <c r="Z83" s="254">
        <v>0</v>
      </c>
      <c r="AA83" s="255">
        <v>0</v>
      </c>
      <c r="AB83" s="255">
        <v>0</v>
      </c>
      <c r="AC83" s="255">
        <v>0</v>
      </c>
      <c r="AD83" s="255">
        <v>0</v>
      </c>
      <c r="AE83" s="256">
        <v>0</v>
      </c>
      <c r="AF83" s="254">
        <v>0</v>
      </c>
      <c r="AG83" s="255">
        <v>0</v>
      </c>
      <c r="AH83" s="254">
        <v>0</v>
      </c>
    </row>
    <row r="84" spans="1:36">
      <c r="A84" s="249"/>
      <c r="B84" s="239" t="s">
        <v>32</v>
      </c>
      <c r="C84" s="624">
        <f t="shared" si="102"/>
        <v>0.19039735099337748</v>
      </c>
      <c r="D84" s="625">
        <f t="shared" si="102"/>
        <v>0.24613800205973224</v>
      </c>
      <c r="E84" s="625">
        <f t="shared" si="102"/>
        <v>0.21481299212598426</v>
      </c>
      <c r="F84" s="625">
        <f t="shared" si="102"/>
        <v>0.11785714285714285</v>
      </c>
      <c r="G84" s="625">
        <f t="shared" si="102"/>
        <v>0.16369047619047619</v>
      </c>
      <c r="H84" s="626">
        <f t="shared" si="102"/>
        <v>0.19086021505376344</v>
      </c>
      <c r="I84" s="624">
        <f t="shared" si="102"/>
        <v>0.20128459431378104</v>
      </c>
      <c r="J84" s="624">
        <f t="shared" si="102"/>
        <v>0</v>
      </c>
      <c r="K84" s="625">
        <f t="shared" si="102"/>
        <v>0</v>
      </c>
      <c r="L84" s="625">
        <f t="shared" si="102"/>
        <v>0</v>
      </c>
      <c r="M84" s="625">
        <f t="shared" si="102"/>
        <v>0</v>
      </c>
      <c r="N84" s="624">
        <f t="shared" si="103"/>
        <v>0</v>
      </c>
      <c r="O84" s="624">
        <f t="shared" si="103"/>
        <v>0</v>
      </c>
      <c r="P84" s="625">
        <f t="shared" si="103"/>
        <v>0</v>
      </c>
      <c r="Q84" s="624">
        <f t="shared" si="103"/>
        <v>0</v>
      </c>
      <c r="R84" s="253"/>
      <c r="S84" s="254">
        <v>805</v>
      </c>
      <c r="T84" s="255">
        <v>239</v>
      </c>
      <c r="U84" s="255">
        <v>873</v>
      </c>
      <c r="V84" s="255">
        <v>33</v>
      </c>
      <c r="W84" s="255">
        <v>110</v>
      </c>
      <c r="X84" s="255">
        <v>71</v>
      </c>
      <c r="Y84" s="256">
        <v>2131</v>
      </c>
      <c r="Z84" s="254">
        <v>0</v>
      </c>
      <c r="AA84" s="255">
        <v>0</v>
      </c>
      <c r="AB84" s="255">
        <v>0</v>
      </c>
      <c r="AC84" s="255">
        <v>0</v>
      </c>
      <c r="AD84" s="255">
        <v>0</v>
      </c>
      <c r="AE84" s="256">
        <v>0</v>
      </c>
      <c r="AF84" s="254">
        <v>0</v>
      </c>
      <c r="AG84" s="255">
        <v>0</v>
      </c>
      <c r="AH84" s="254">
        <v>0</v>
      </c>
    </row>
    <row r="85" spans="1:36">
      <c r="A85" s="249"/>
      <c r="B85" s="239" t="s">
        <v>58</v>
      </c>
      <c r="C85" s="624">
        <f t="shared" si="102"/>
        <v>0</v>
      </c>
      <c r="D85" s="625">
        <f t="shared" si="102"/>
        <v>0</v>
      </c>
      <c r="E85" s="792">
        <f t="shared" si="102"/>
        <v>0</v>
      </c>
      <c r="F85" s="625">
        <f t="shared" si="102"/>
        <v>0</v>
      </c>
      <c r="G85" s="792">
        <f t="shared" si="102"/>
        <v>0</v>
      </c>
      <c r="H85" s="626">
        <f t="shared" si="102"/>
        <v>0</v>
      </c>
      <c r="I85" s="793">
        <f t="shared" si="102"/>
        <v>0</v>
      </c>
      <c r="J85" s="624">
        <f t="shared" si="102"/>
        <v>0</v>
      </c>
      <c r="K85" s="625">
        <f t="shared" si="102"/>
        <v>1</v>
      </c>
      <c r="L85" s="625">
        <f t="shared" si="102"/>
        <v>1</v>
      </c>
      <c r="M85" s="625">
        <f t="shared" si="102"/>
        <v>1</v>
      </c>
      <c r="N85" s="624">
        <f t="shared" si="103"/>
        <v>1</v>
      </c>
      <c r="O85" s="624">
        <f t="shared" si="103"/>
        <v>0</v>
      </c>
      <c r="P85" s="625">
        <f t="shared" si="103"/>
        <v>0</v>
      </c>
      <c r="Q85" s="624">
        <f t="shared" si="103"/>
        <v>0</v>
      </c>
      <c r="R85" s="253"/>
      <c r="S85" s="254">
        <v>0</v>
      </c>
      <c r="T85" s="255">
        <v>0</v>
      </c>
      <c r="U85" s="255">
        <v>0</v>
      </c>
      <c r="V85" s="255">
        <v>0</v>
      </c>
      <c r="W85" s="255">
        <v>0</v>
      </c>
      <c r="X85" s="255">
        <v>0</v>
      </c>
      <c r="Y85" s="256">
        <v>0</v>
      </c>
      <c r="Z85" s="254">
        <v>0</v>
      </c>
      <c r="AA85" s="255">
        <v>327</v>
      </c>
      <c r="AB85" s="255">
        <v>122</v>
      </c>
      <c r="AC85" s="255">
        <v>85</v>
      </c>
      <c r="AD85" s="255">
        <v>0</v>
      </c>
      <c r="AE85" s="256">
        <v>6216</v>
      </c>
      <c r="AF85" s="254">
        <v>0</v>
      </c>
      <c r="AG85" s="255">
        <v>0</v>
      </c>
      <c r="AH85" s="254">
        <v>0</v>
      </c>
    </row>
    <row r="86" spans="1:36" s="406" customFormat="1">
      <c r="A86" s="435"/>
      <c r="B86" s="436" t="s">
        <v>59</v>
      </c>
      <c r="C86" s="577">
        <f t="shared" si="102"/>
        <v>1</v>
      </c>
      <c r="D86" s="578">
        <f t="shared" si="102"/>
        <v>1</v>
      </c>
      <c r="E86" s="578">
        <f t="shared" si="102"/>
        <v>1</v>
      </c>
      <c r="F86" s="578">
        <f t="shared" si="102"/>
        <v>1</v>
      </c>
      <c r="G86" s="578">
        <f t="shared" si="102"/>
        <v>1</v>
      </c>
      <c r="H86" s="579">
        <f t="shared" si="102"/>
        <v>1</v>
      </c>
      <c r="I86" s="577">
        <f t="shared" si="102"/>
        <v>1</v>
      </c>
      <c r="J86" s="577">
        <f t="shared" si="102"/>
        <v>0</v>
      </c>
      <c r="K86" s="578">
        <f t="shared" si="102"/>
        <v>1</v>
      </c>
      <c r="L86" s="578">
        <f t="shared" si="102"/>
        <v>1</v>
      </c>
      <c r="M86" s="578">
        <f t="shared" si="102"/>
        <v>1</v>
      </c>
      <c r="N86" s="577">
        <f t="shared" si="103"/>
        <v>1</v>
      </c>
      <c r="O86" s="577">
        <f t="shared" si="103"/>
        <v>0</v>
      </c>
      <c r="P86" s="578">
        <f t="shared" si="103"/>
        <v>0</v>
      </c>
      <c r="Q86" s="577">
        <f t="shared" si="103"/>
        <v>0</v>
      </c>
      <c r="R86" s="264"/>
      <c r="S86" s="265">
        <v>4228</v>
      </c>
      <c r="T86" s="266">
        <v>971</v>
      </c>
      <c r="U86" s="266">
        <v>4064</v>
      </c>
      <c r="V86" s="266">
        <v>280</v>
      </c>
      <c r="W86" s="266">
        <v>672</v>
      </c>
      <c r="X86" s="266">
        <v>372</v>
      </c>
      <c r="Y86" s="267">
        <v>10587</v>
      </c>
      <c r="Z86" s="265">
        <v>0</v>
      </c>
      <c r="AA86" s="266">
        <v>327</v>
      </c>
      <c r="AB86" s="266">
        <v>122</v>
      </c>
      <c r="AC86" s="266">
        <v>85</v>
      </c>
      <c r="AD86" s="266">
        <v>0</v>
      </c>
      <c r="AE86" s="267">
        <v>6216</v>
      </c>
      <c r="AF86" s="265">
        <v>0</v>
      </c>
      <c r="AG86" s="266">
        <v>0</v>
      </c>
      <c r="AH86" s="265">
        <v>0</v>
      </c>
      <c r="AI86" s="405"/>
      <c r="AJ86" s="405"/>
    </row>
    <row r="87" spans="1:36">
      <c r="A87" s="239" t="s">
        <v>13</v>
      </c>
      <c r="B87" s="240" t="s">
        <v>53</v>
      </c>
      <c r="C87" s="613">
        <f t="shared" ref="C87:M93" si="104">IF(S$93&gt;0,(S87/S$93),0)</f>
        <v>0.34514563106796114</v>
      </c>
      <c r="D87" s="614">
        <f t="shared" si="104"/>
        <v>0</v>
      </c>
      <c r="E87" s="614">
        <f t="shared" si="104"/>
        <v>0.28774193548387095</v>
      </c>
      <c r="F87" s="614">
        <f t="shared" si="104"/>
        <v>0</v>
      </c>
      <c r="G87" s="614">
        <f t="shared" si="104"/>
        <v>0.21577217962760131</v>
      </c>
      <c r="H87" s="615">
        <f t="shared" si="104"/>
        <v>0.18357487922705315</v>
      </c>
      <c r="I87" s="613">
        <f t="shared" si="104"/>
        <v>0.29557522123893804</v>
      </c>
      <c r="J87" s="613">
        <f t="shared" si="104"/>
        <v>0</v>
      </c>
      <c r="K87" s="614">
        <f t="shared" si="104"/>
        <v>0</v>
      </c>
      <c r="L87" s="614">
        <f t="shared" si="104"/>
        <v>0</v>
      </c>
      <c r="M87" s="614">
        <f t="shared" si="104"/>
        <v>0</v>
      </c>
      <c r="N87" s="613">
        <f t="shared" ref="N87:Q93" si="105">IF(AE$93&gt;0,(AE87/AE$93),0)</f>
        <v>0</v>
      </c>
      <c r="O87" s="788">
        <f t="shared" si="105"/>
        <v>0</v>
      </c>
      <c r="P87" s="614">
        <f t="shared" si="105"/>
        <v>0</v>
      </c>
      <c r="Q87" s="788">
        <f t="shared" si="105"/>
        <v>0</v>
      </c>
      <c r="R87" s="244"/>
      <c r="S87" s="245">
        <v>711</v>
      </c>
      <c r="T87" s="246">
        <v>0</v>
      </c>
      <c r="U87" s="246">
        <v>223</v>
      </c>
      <c r="V87" s="246">
        <v>0</v>
      </c>
      <c r="W87" s="246">
        <v>197</v>
      </c>
      <c r="X87" s="246">
        <v>38</v>
      </c>
      <c r="Y87" s="247">
        <v>1169</v>
      </c>
      <c r="Z87" s="245">
        <v>0</v>
      </c>
      <c r="AA87" s="246">
        <v>0</v>
      </c>
      <c r="AB87" s="246">
        <v>0</v>
      </c>
      <c r="AC87" s="246">
        <v>0</v>
      </c>
      <c r="AD87" s="246">
        <v>0</v>
      </c>
      <c r="AE87" s="247">
        <v>0</v>
      </c>
      <c r="AF87" s="245">
        <v>0</v>
      </c>
      <c r="AG87" s="246">
        <v>0</v>
      </c>
      <c r="AH87" s="245">
        <v>0</v>
      </c>
    </row>
    <row r="88" spans="1:36">
      <c r="A88" s="249"/>
      <c r="B88" s="239" t="s">
        <v>93</v>
      </c>
      <c r="C88" s="624">
        <f t="shared" si="104"/>
        <v>0.279126213592233</v>
      </c>
      <c r="D88" s="625">
        <f t="shared" si="104"/>
        <v>0</v>
      </c>
      <c r="E88" s="625">
        <f t="shared" si="104"/>
        <v>0.19741935483870968</v>
      </c>
      <c r="F88" s="625">
        <f t="shared" si="104"/>
        <v>0</v>
      </c>
      <c r="G88" s="625">
        <f t="shared" si="104"/>
        <v>0.20700985761226726</v>
      </c>
      <c r="H88" s="626">
        <f t="shared" si="104"/>
        <v>0.28019323671497587</v>
      </c>
      <c r="I88" s="624">
        <f t="shared" si="104"/>
        <v>0.24652338811630847</v>
      </c>
      <c r="J88" s="624">
        <f t="shared" si="104"/>
        <v>0</v>
      </c>
      <c r="K88" s="625">
        <f t="shared" si="104"/>
        <v>0</v>
      </c>
      <c r="L88" s="625">
        <f t="shared" si="104"/>
        <v>0</v>
      </c>
      <c r="M88" s="625">
        <f t="shared" si="104"/>
        <v>0</v>
      </c>
      <c r="N88" s="791">
        <f t="shared" si="105"/>
        <v>0</v>
      </c>
      <c r="O88" s="624">
        <f t="shared" si="105"/>
        <v>0</v>
      </c>
      <c r="P88" s="625">
        <f t="shared" si="105"/>
        <v>0</v>
      </c>
      <c r="Q88" s="624">
        <f t="shared" si="105"/>
        <v>0</v>
      </c>
      <c r="R88" s="253"/>
      <c r="S88" s="254">
        <v>575</v>
      </c>
      <c r="T88" s="255">
        <v>0</v>
      </c>
      <c r="U88" s="255">
        <v>153</v>
      </c>
      <c r="V88" s="255">
        <v>0</v>
      </c>
      <c r="W88" s="255">
        <v>189</v>
      </c>
      <c r="X88" s="255">
        <v>58</v>
      </c>
      <c r="Y88" s="256">
        <v>975</v>
      </c>
      <c r="Z88" s="254">
        <v>0</v>
      </c>
      <c r="AA88" s="255">
        <v>0</v>
      </c>
      <c r="AB88" s="255">
        <v>0</v>
      </c>
      <c r="AC88" s="255">
        <v>0</v>
      </c>
      <c r="AD88" s="255">
        <v>0</v>
      </c>
      <c r="AE88" s="256">
        <v>0</v>
      </c>
      <c r="AF88" s="254">
        <v>0</v>
      </c>
      <c r="AG88" s="255">
        <v>0</v>
      </c>
      <c r="AH88" s="254">
        <v>0</v>
      </c>
    </row>
    <row r="89" spans="1:36">
      <c r="A89" s="249"/>
      <c r="B89" s="239" t="s">
        <v>55</v>
      </c>
      <c r="C89" s="624">
        <f t="shared" si="104"/>
        <v>0.23592233009708738</v>
      </c>
      <c r="D89" s="625">
        <f t="shared" si="104"/>
        <v>0</v>
      </c>
      <c r="E89" s="625">
        <f t="shared" si="104"/>
        <v>0.28387096774193549</v>
      </c>
      <c r="F89" s="625">
        <f t="shared" si="104"/>
        <v>0</v>
      </c>
      <c r="G89" s="625">
        <f t="shared" si="104"/>
        <v>0.28477546549835708</v>
      </c>
      <c r="H89" s="626">
        <f t="shared" si="104"/>
        <v>0.29468599033816423</v>
      </c>
      <c r="I89" s="624">
        <f t="shared" si="104"/>
        <v>0.25967130214917827</v>
      </c>
      <c r="J89" s="624">
        <f t="shared" si="104"/>
        <v>0</v>
      </c>
      <c r="K89" s="625">
        <f t="shared" si="104"/>
        <v>0</v>
      </c>
      <c r="L89" s="625">
        <f t="shared" si="104"/>
        <v>0</v>
      </c>
      <c r="M89" s="625">
        <f t="shared" si="104"/>
        <v>0</v>
      </c>
      <c r="N89" s="624">
        <f t="shared" si="105"/>
        <v>0</v>
      </c>
      <c r="O89" s="624">
        <f t="shared" si="105"/>
        <v>0</v>
      </c>
      <c r="P89" s="625">
        <f t="shared" si="105"/>
        <v>0</v>
      </c>
      <c r="Q89" s="624">
        <f t="shared" si="105"/>
        <v>0</v>
      </c>
      <c r="R89" s="253"/>
      <c r="S89" s="254">
        <v>486</v>
      </c>
      <c r="T89" s="255">
        <v>0</v>
      </c>
      <c r="U89" s="255">
        <v>220</v>
      </c>
      <c r="V89" s="255">
        <v>0</v>
      </c>
      <c r="W89" s="255">
        <v>260</v>
      </c>
      <c r="X89" s="255">
        <v>61</v>
      </c>
      <c r="Y89" s="256">
        <v>1027</v>
      </c>
      <c r="Z89" s="254">
        <v>0</v>
      </c>
      <c r="AA89" s="255">
        <v>0</v>
      </c>
      <c r="AB89" s="255">
        <v>0</v>
      </c>
      <c r="AC89" s="255">
        <v>0</v>
      </c>
      <c r="AD89" s="255">
        <v>0</v>
      </c>
      <c r="AE89" s="256">
        <v>0</v>
      </c>
      <c r="AF89" s="254">
        <v>0</v>
      </c>
      <c r="AG89" s="255">
        <v>0</v>
      </c>
      <c r="AH89" s="254">
        <v>0</v>
      </c>
    </row>
    <row r="90" spans="1:36">
      <c r="A90" s="249"/>
      <c r="B90" s="239" t="s">
        <v>78</v>
      </c>
      <c r="C90" s="624">
        <f t="shared" si="104"/>
        <v>0.13980582524271845</v>
      </c>
      <c r="D90" s="625">
        <f t="shared" si="104"/>
        <v>0</v>
      </c>
      <c r="E90" s="625">
        <f t="shared" si="104"/>
        <v>0.23096774193548386</v>
      </c>
      <c r="F90" s="625">
        <f t="shared" si="104"/>
        <v>0</v>
      </c>
      <c r="G90" s="625">
        <f t="shared" si="104"/>
        <v>0.29244249726177435</v>
      </c>
      <c r="H90" s="626">
        <f t="shared" si="104"/>
        <v>0.24154589371980675</v>
      </c>
      <c r="I90" s="624">
        <f t="shared" si="104"/>
        <v>0.19823008849557522</v>
      </c>
      <c r="J90" s="624">
        <f t="shared" si="104"/>
        <v>0</v>
      </c>
      <c r="K90" s="625">
        <f t="shared" si="104"/>
        <v>0</v>
      </c>
      <c r="L90" s="625">
        <f t="shared" si="104"/>
        <v>0</v>
      </c>
      <c r="M90" s="625">
        <f t="shared" si="104"/>
        <v>0</v>
      </c>
      <c r="N90" s="624">
        <f t="shared" si="105"/>
        <v>0</v>
      </c>
      <c r="O90" s="624">
        <f t="shared" si="105"/>
        <v>0</v>
      </c>
      <c r="P90" s="625">
        <f t="shared" si="105"/>
        <v>0</v>
      </c>
      <c r="Q90" s="624">
        <f t="shared" si="105"/>
        <v>0</v>
      </c>
      <c r="R90" s="253"/>
      <c r="S90" s="254">
        <v>288</v>
      </c>
      <c r="T90" s="255">
        <v>0</v>
      </c>
      <c r="U90" s="255">
        <v>179</v>
      </c>
      <c r="V90" s="255">
        <v>0</v>
      </c>
      <c r="W90" s="255">
        <v>267</v>
      </c>
      <c r="X90" s="255">
        <v>50</v>
      </c>
      <c r="Y90" s="256">
        <v>784</v>
      </c>
      <c r="Z90" s="254">
        <v>0</v>
      </c>
      <c r="AA90" s="255">
        <v>0</v>
      </c>
      <c r="AB90" s="255">
        <v>0</v>
      </c>
      <c r="AC90" s="255">
        <v>0</v>
      </c>
      <c r="AD90" s="255">
        <v>0</v>
      </c>
      <c r="AE90" s="256">
        <v>0</v>
      </c>
      <c r="AF90" s="254">
        <v>0</v>
      </c>
      <c r="AG90" s="255">
        <v>0</v>
      </c>
      <c r="AH90" s="254">
        <v>0</v>
      </c>
    </row>
    <row r="91" spans="1:36">
      <c r="A91" s="249"/>
      <c r="B91" s="239" t="s">
        <v>32</v>
      </c>
      <c r="C91" s="624">
        <f t="shared" si="104"/>
        <v>0</v>
      </c>
      <c r="D91" s="625">
        <f t="shared" si="104"/>
        <v>0</v>
      </c>
      <c r="E91" s="625">
        <f t="shared" si="104"/>
        <v>0</v>
      </c>
      <c r="F91" s="625">
        <f t="shared" si="104"/>
        <v>0</v>
      </c>
      <c r="G91" s="625">
        <f t="shared" si="104"/>
        <v>0</v>
      </c>
      <c r="H91" s="626">
        <f t="shared" si="104"/>
        <v>0</v>
      </c>
      <c r="I91" s="624">
        <f t="shared" si="104"/>
        <v>0</v>
      </c>
      <c r="J91" s="624">
        <f t="shared" si="104"/>
        <v>0</v>
      </c>
      <c r="K91" s="625">
        <f t="shared" si="104"/>
        <v>0</v>
      </c>
      <c r="L91" s="625">
        <f t="shared" si="104"/>
        <v>0</v>
      </c>
      <c r="M91" s="625">
        <f t="shared" si="104"/>
        <v>0</v>
      </c>
      <c r="N91" s="624">
        <f t="shared" si="105"/>
        <v>0</v>
      </c>
      <c r="O91" s="624">
        <f t="shared" si="105"/>
        <v>0</v>
      </c>
      <c r="P91" s="625">
        <f t="shared" si="105"/>
        <v>0</v>
      </c>
      <c r="Q91" s="624">
        <f t="shared" si="105"/>
        <v>0</v>
      </c>
      <c r="R91" s="253"/>
      <c r="S91" s="254">
        <v>0</v>
      </c>
      <c r="T91" s="255">
        <v>0</v>
      </c>
      <c r="U91" s="255">
        <v>0</v>
      </c>
      <c r="V91" s="255">
        <v>0</v>
      </c>
      <c r="W91" s="255">
        <v>0</v>
      </c>
      <c r="X91" s="255">
        <v>0</v>
      </c>
      <c r="Y91" s="256">
        <v>0</v>
      </c>
      <c r="Z91" s="254">
        <v>0</v>
      </c>
      <c r="AA91" s="255">
        <v>0</v>
      </c>
      <c r="AB91" s="255">
        <v>0</v>
      </c>
      <c r="AC91" s="255">
        <v>0</v>
      </c>
      <c r="AD91" s="255">
        <v>0</v>
      </c>
      <c r="AE91" s="256">
        <v>0</v>
      </c>
      <c r="AF91" s="254">
        <v>0</v>
      </c>
      <c r="AG91" s="255">
        <v>0</v>
      </c>
      <c r="AH91" s="254">
        <v>0</v>
      </c>
    </row>
    <row r="92" spans="1:36">
      <c r="A92" s="249"/>
      <c r="B92" s="239" t="s">
        <v>58</v>
      </c>
      <c r="C92" s="624">
        <f t="shared" si="104"/>
        <v>0</v>
      </c>
      <c r="D92" s="625">
        <f t="shared" si="104"/>
        <v>0</v>
      </c>
      <c r="E92" s="792">
        <f t="shared" si="104"/>
        <v>0</v>
      </c>
      <c r="F92" s="625">
        <f t="shared" si="104"/>
        <v>0</v>
      </c>
      <c r="G92" s="792">
        <f t="shared" si="104"/>
        <v>0</v>
      </c>
      <c r="H92" s="626">
        <f t="shared" si="104"/>
        <v>0</v>
      </c>
      <c r="I92" s="793">
        <f t="shared" si="104"/>
        <v>0</v>
      </c>
      <c r="J92" s="624">
        <f t="shared" si="104"/>
        <v>0</v>
      </c>
      <c r="K92" s="625">
        <f t="shared" si="104"/>
        <v>1</v>
      </c>
      <c r="L92" s="625">
        <f t="shared" si="104"/>
        <v>1</v>
      </c>
      <c r="M92" s="625">
        <f t="shared" si="104"/>
        <v>1</v>
      </c>
      <c r="N92" s="624">
        <f t="shared" si="105"/>
        <v>1</v>
      </c>
      <c r="O92" s="624">
        <f t="shared" si="105"/>
        <v>1</v>
      </c>
      <c r="P92" s="625">
        <f t="shared" si="105"/>
        <v>1</v>
      </c>
      <c r="Q92" s="624">
        <f t="shared" si="105"/>
        <v>1</v>
      </c>
      <c r="R92" s="253"/>
      <c r="S92" s="254">
        <v>0</v>
      </c>
      <c r="T92" s="255">
        <v>0</v>
      </c>
      <c r="U92" s="255">
        <v>0</v>
      </c>
      <c r="V92" s="255">
        <v>0</v>
      </c>
      <c r="W92" s="255">
        <v>0</v>
      </c>
      <c r="X92" s="255">
        <v>0</v>
      </c>
      <c r="Y92" s="256">
        <v>0</v>
      </c>
      <c r="Z92" s="254">
        <v>0</v>
      </c>
      <c r="AA92" s="255">
        <v>327</v>
      </c>
      <c r="AB92" s="255">
        <v>122</v>
      </c>
      <c r="AC92" s="255">
        <v>85</v>
      </c>
      <c r="AD92" s="255">
        <v>0</v>
      </c>
      <c r="AE92" s="256">
        <v>1261</v>
      </c>
      <c r="AF92" s="254">
        <v>215</v>
      </c>
      <c r="AG92" s="255">
        <v>916</v>
      </c>
      <c r="AH92" s="254">
        <v>1131</v>
      </c>
    </row>
    <row r="93" spans="1:36" s="406" customFormat="1">
      <c r="A93" s="435"/>
      <c r="B93" s="436" t="s">
        <v>59</v>
      </c>
      <c r="C93" s="577">
        <f t="shared" si="104"/>
        <v>1</v>
      </c>
      <c r="D93" s="578">
        <f t="shared" si="104"/>
        <v>0</v>
      </c>
      <c r="E93" s="578">
        <f t="shared" si="104"/>
        <v>1</v>
      </c>
      <c r="F93" s="578">
        <f t="shared" si="104"/>
        <v>0</v>
      </c>
      <c r="G93" s="578">
        <f t="shared" si="104"/>
        <v>1</v>
      </c>
      <c r="H93" s="579">
        <f t="shared" si="104"/>
        <v>1</v>
      </c>
      <c r="I93" s="577">
        <f t="shared" si="104"/>
        <v>1</v>
      </c>
      <c r="J93" s="577">
        <f t="shared" si="104"/>
        <v>0</v>
      </c>
      <c r="K93" s="578">
        <f t="shared" si="104"/>
        <v>1</v>
      </c>
      <c r="L93" s="578">
        <f t="shared" si="104"/>
        <v>1</v>
      </c>
      <c r="M93" s="578">
        <f t="shared" si="104"/>
        <v>1</v>
      </c>
      <c r="N93" s="577">
        <f t="shared" si="105"/>
        <v>1</v>
      </c>
      <c r="O93" s="577">
        <f t="shared" si="105"/>
        <v>1</v>
      </c>
      <c r="P93" s="578">
        <f t="shared" si="105"/>
        <v>1</v>
      </c>
      <c r="Q93" s="577">
        <f t="shared" si="105"/>
        <v>1</v>
      </c>
      <c r="R93" s="264"/>
      <c r="S93" s="265">
        <v>2060</v>
      </c>
      <c r="T93" s="266">
        <v>0</v>
      </c>
      <c r="U93" s="266">
        <v>775</v>
      </c>
      <c r="V93" s="266">
        <v>0</v>
      </c>
      <c r="W93" s="266">
        <v>913</v>
      </c>
      <c r="X93" s="266">
        <v>207</v>
      </c>
      <c r="Y93" s="267">
        <v>3955</v>
      </c>
      <c r="Z93" s="265">
        <v>0</v>
      </c>
      <c r="AA93" s="266">
        <v>327</v>
      </c>
      <c r="AB93" s="266">
        <v>122</v>
      </c>
      <c r="AC93" s="266">
        <v>85</v>
      </c>
      <c r="AD93" s="266">
        <v>0</v>
      </c>
      <c r="AE93" s="267">
        <v>1261</v>
      </c>
      <c r="AF93" s="265">
        <v>215</v>
      </c>
      <c r="AG93" s="266">
        <v>916</v>
      </c>
      <c r="AH93" s="265">
        <v>1131</v>
      </c>
      <c r="AI93" s="405"/>
      <c r="AJ93" s="405"/>
    </row>
    <row r="94" spans="1:36">
      <c r="A94" s="239" t="s">
        <v>14</v>
      </c>
      <c r="B94" s="240" t="s">
        <v>53</v>
      </c>
      <c r="C94" s="613">
        <f t="shared" ref="C94:M100" si="106">IF(S$100&gt;0,(S94/S$100),0)</f>
        <v>0.30227374052608114</v>
      </c>
      <c r="D94" s="614">
        <f t="shared" si="106"/>
        <v>0</v>
      </c>
      <c r="E94" s="614">
        <f t="shared" si="106"/>
        <v>0.26889714993804215</v>
      </c>
      <c r="F94" s="614">
        <f t="shared" si="106"/>
        <v>0.3258426966292135</v>
      </c>
      <c r="G94" s="614">
        <f t="shared" si="106"/>
        <v>0.21642764015645372</v>
      </c>
      <c r="H94" s="615">
        <f t="shared" si="106"/>
        <v>0.15315315315315314</v>
      </c>
      <c r="I94" s="613">
        <f t="shared" si="106"/>
        <v>0.26461538461538464</v>
      </c>
      <c r="J94" s="613">
        <f t="shared" si="106"/>
        <v>0</v>
      </c>
      <c r="K94" s="614">
        <f t="shared" si="106"/>
        <v>0</v>
      </c>
      <c r="L94" s="614">
        <f t="shared" si="106"/>
        <v>0</v>
      </c>
      <c r="M94" s="614">
        <f t="shared" si="106"/>
        <v>0</v>
      </c>
      <c r="N94" s="613">
        <f t="shared" ref="N94:Q100" si="107">IF(AE$100&gt;0,(AE94/AE$100),0)</f>
        <v>8.126195028680689E-3</v>
      </c>
      <c r="O94" s="788">
        <f t="shared" si="107"/>
        <v>0</v>
      </c>
      <c r="P94" s="614">
        <f t="shared" si="107"/>
        <v>0</v>
      </c>
      <c r="Q94" s="788">
        <f t="shared" si="107"/>
        <v>0</v>
      </c>
      <c r="R94" s="244"/>
      <c r="S94" s="245">
        <v>678</v>
      </c>
      <c r="T94" s="246">
        <v>0</v>
      </c>
      <c r="U94" s="246">
        <v>217</v>
      </c>
      <c r="V94" s="246">
        <v>58</v>
      </c>
      <c r="W94" s="246">
        <v>166</v>
      </c>
      <c r="X94" s="246">
        <v>85</v>
      </c>
      <c r="Y94" s="247">
        <v>1204</v>
      </c>
      <c r="Z94" s="245">
        <v>0</v>
      </c>
      <c r="AA94" s="246">
        <v>0</v>
      </c>
      <c r="AB94" s="246">
        <v>0</v>
      </c>
      <c r="AC94" s="246">
        <v>0</v>
      </c>
      <c r="AD94" s="246">
        <v>0</v>
      </c>
      <c r="AE94" s="247">
        <v>17</v>
      </c>
      <c r="AF94" s="245">
        <v>0</v>
      </c>
      <c r="AG94" s="246">
        <v>0</v>
      </c>
      <c r="AH94" s="245">
        <v>0</v>
      </c>
    </row>
    <row r="95" spans="1:36">
      <c r="A95" s="249"/>
      <c r="B95" s="239" t="s">
        <v>93</v>
      </c>
      <c r="C95" s="624">
        <f t="shared" si="106"/>
        <v>0.27017387427552386</v>
      </c>
      <c r="D95" s="625">
        <f t="shared" si="106"/>
        <v>0</v>
      </c>
      <c r="E95" s="625">
        <f t="shared" si="106"/>
        <v>0.31598513011152418</v>
      </c>
      <c r="F95" s="625">
        <f t="shared" si="106"/>
        <v>0.29775280898876405</v>
      </c>
      <c r="G95" s="625">
        <f t="shared" si="106"/>
        <v>0.26466753585397651</v>
      </c>
      <c r="H95" s="626">
        <f t="shared" si="106"/>
        <v>0.24144144144144145</v>
      </c>
      <c r="I95" s="624">
        <f t="shared" si="106"/>
        <v>0.27494505494505495</v>
      </c>
      <c r="J95" s="624">
        <f t="shared" si="106"/>
        <v>0</v>
      </c>
      <c r="K95" s="625">
        <f t="shared" si="106"/>
        <v>0</v>
      </c>
      <c r="L95" s="625">
        <f t="shared" si="106"/>
        <v>0</v>
      </c>
      <c r="M95" s="625">
        <f t="shared" si="106"/>
        <v>0</v>
      </c>
      <c r="N95" s="624">
        <f t="shared" si="107"/>
        <v>1.1472275334608031E-2</v>
      </c>
      <c r="O95" s="624">
        <f t="shared" si="107"/>
        <v>0</v>
      </c>
      <c r="P95" s="625">
        <f t="shared" si="107"/>
        <v>0</v>
      </c>
      <c r="Q95" s="624">
        <f t="shared" si="107"/>
        <v>0</v>
      </c>
      <c r="R95" s="253"/>
      <c r="S95" s="254">
        <v>606</v>
      </c>
      <c r="T95" s="255">
        <v>0</v>
      </c>
      <c r="U95" s="255">
        <v>255</v>
      </c>
      <c r="V95" s="255">
        <v>53</v>
      </c>
      <c r="W95" s="255">
        <v>203</v>
      </c>
      <c r="X95" s="255">
        <v>134</v>
      </c>
      <c r="Y95" s="256">
        <v>1251</v>
      </c>
      <c r="Z95" s="254">
        <v>0</v>
      </c>
      <c r="AA95" s="255">
        <v>0</v>
      </c>
      <c r="AB95" s="255">
        <v>0</v>
      </c>
      <c r="AC95" s="255">
        <v>0</v>
      </c>
      <c r="AD95" s="255">
        <v>0</v>
      </c>
      <c r="AE95" s="256">
        <v>24</v>
      </c>
      <c r="AF95" s="254">
        <v>0</v>
      </c>
      <c r="AG95" s="255">
        <v>0</v>
      </c>
      <c r="AH95" s="254">
        <v>0</v>
      </c>
    </row>
    <row r="96" spans="1:36">
      <c r="A96" s="249"/>
      <c r="B96" s="239" t="s">
        <v>55</v>
      </c>
      <c r="C96" s="624">
        <f t="shared" si="106"/>
        <v>0.25590726705305394</v>
      </c>
      <c r="D96" s="625">
        <f t="shared" si="106"/>
        <v>0</v>
      </c>
      <c r="E96" s="625">
        <f t="shared" si="106"/>
        <v>0.30235439900867411</v>
      </c>
      <c r="F96" s="625">
        <f t="shared" si="106"/>
        <v>0.3595505617977528</v>
      </c>
      <c r="G96" s="625">
        <f t="shared" si="106"/>
        <v>0.32855280312907431</v>
      </c>
      <c r="H96" s="626">
        <f t="shared" si="106"/>
        <v>0.31531531531531531</v>
      </c>
      <c r="I96" s="624">
        <f t="shared" si="106"/>
        <v>0.28769230769230769</v>
      </c>
      <c r="J96" s="624">
        <f t="shared" si="106"/>
        <v>0</v>
      </c>
      <c r="K96" s="625">
        <f t="shared" si="106"/>
        <v>0</v>
      </c>
      <c r="L96" s="625">
        <f t="shared" si="106"/>
        <v>0</v>
      </c>
      <c r="M96" s="625">
        <f t="shared" si="106"/>
        <v>0</v>
      </c>
      <c r="N96" s="624">
        <f t="shared" si="107"/>
        <v>1.7208413001912046E-2</v>
      </c>
      <c r="O96" s="624">
        <f t="shared" si="107"/>
        <v>0</v>
      </c>
      <c r="P96" s="625">
        <f t="shared" si="107"/>
        <v>0</v>
      </c>
      <c r="Q96" s="624">
        <f t="shared" si="107"/>
        <v>0</v>
      </c>
      <c r="R96" s="253"/>
      <c r="S96" s="254">
        <v>574</v>
      </c>
      <c r="T96" s="255">
        <v>0</v>
      </c>
      <c r="U96" s="255">
        <v>244</v>
      </c>
      <c r="V96" s="255">
        <v>64</v>
      </c>
      <c r="W96" s="255">
        <v>252</v>
      </c>
      <c r="X96" s="255">
        <v>175</v>
      </c>
      <c r="Y96" s="256">
        <v>1309</v>
      </c>
      <c r="Z96" s="254">
        <v>0</v>
      </c>
      <c r="AA96" s="255">
        <v>0</v>
      </c>
      <c r="AB96" s="255">
        <v>0</v>
      </c>
      <c r="AC96" s="255">
        <v>0</v>
      </c>
      <c r="AD96" s="255">
        <v>0</v>
      </c>
      <c r="AE96" s="256">
        <v>36</v>
      </c>
      <c r="AF96" s="254">
        <v>0</v>
      </c>
      <c r="AG96" s="255">
        <v>0</v>
      </c>
      <c r="AH96" s="254">
        <v>0</v>
      </c>
    </row>
    <row r="97" spans="1:36">
      <c r="A97" s="249"/>
      <c r="B97" s="239" t="s">
        <v>78</v>
      </c>
      <c r="C97" s="624">
        <f t="shared" si="106"/>
        <v>6.9995541685242982E-2</v>
      </c>
      <c r="D97" s="625">
        <f t="shared" si="106"/>
        <v>0</v>
      </c>
      <c r="E97" s="625">
        <f t="shared" si="106"/>
        <v>0.11152416356877323</v>
      </c>
      <c r="F97" s="625">
        <f t="shared" si="106"/>
        <v>1.6853932584269662E-2</v>
      </c>
      <c r="G97" s="625">
        <f t="shared" si="106"/>
        <v>7.9530638852672753E-2</v>
      </c>
      <c r="H97" s="626">
        <f t="shared" si="106"/>
        <v>0.2810810810810811</v>
      </c>
      <c r="I97" s="624">
        <f t="shared" si="106"/>
        <v>0.10263736263736263</v>
      </c>
      <c r="J97" s="624">
        <f t="shared" si="106"/>
        <v>0</v>
      </c>
      <c r="K97" s="625">
        <f t="shared" si="106"/>
        <v>0</v>
      </c>
      <c r="L97" s="625">
        <f t="shared" si="106"/>
        <v>0</v>
      </c>
      <c r="M97" s="625">
        <f t="shared" si="106"/>
        <v>0</v>
      </c>
      <c r="N97" s="624">
        <f t="shared" si="107"/>
        <v>2.390057361376673E-2</v>
      </c>
      <c r="O97" s="624">
        <f t="shared" si="107"/>
        <v>0</v>
      </c>
      <c r="P97" s="625">
        <f t="shared" si="107"/>
        <v>0</v>
      </c>
      <c r="Q97" s="624">
        <f t="shared" si="107"/>
        <v>0</v>
      </c>
      <c r="R97" s="253"/>
      <c r="S97" s="254">
        <v>157</v>
      </c>
      <c r="T97" s="255">
        <v>0</v>
      </c>
      <c r="U97" s="255">
        <v>90</v>
      </c>
      <c r="V97" s="255">
        <v>3</v>
      </c>
      <c r="W97" s="255">
        <v>61</v>
      </c>
      <c r="X97" s="255">
        <v>156</v>
      </c>
      <c r="Y97" s="256">
        <v>467</v>
      </c>
      <c r="Z97" s="254">
        <v>0</v>
      </c>
      <c r="AA97" s="255">
        <v>0</v>
      </c>
      <c r="AB97" s="255">
        <v>0</v>
      </c>
      <c r="AC97" s="255">
        <v>0</v>
      </c>
      <c r="AD97" s="255">
        <v>0</v>
      </c>
      <c r="AE97" s="256">
        <v>50</v>
      </c>
      <c r="AF97" s="254">
        <v>0</v>
      </c>
      <c r="AG97" s="255">
        <v>0</v>
      </c>
      <c r="AH97" s="254">
        <v>0</v>
      </c>
    </row>
    <row r="98" spans="1:36">
      <c r="A98" s="249"/>
      <c r="B98" s="239" t="s">
        <v>32</v>
      </c>
      <c r="C98" s="624">
        <f t="shared" si="106"/>
        <v>0.10164957646009808</v>
      </c>
      <c r="D98" s="625">
        <f t="shared" si="106"/>
        <v>0</v>
      </c>
      <c r="E98" s="625">
        <f t="shared" si="106"/>
        <v>1.2391573729863693E-3</v>
      </c>
      <c r="F98" s="625">
        <f t="shared" si="106"/>
        <v>0</v>
      </c>
      <c r="G98" s="625">
        <f t="shared" si="106"/>
        <v>0.11082138200782268</v>
      </c>
      <c r="H98" s="626">
        <f t="shared" si="106"/>
        <v>9.0090090090090089E-3</v>
      </c>
      <c r="I98" s="624">
        <f t="shared" si="106"/>
        <v>7.0109890109890105E-2</v>
      </c>
      <c r="J98" s="624">
        <f t="shared" si="106"/>
        <v>0</v>
      </c>
      <c r="K98" s="625">
        <f t="shared" si="106"/>
        <v>0</v>
      </c>
      <c r="L98" s="625">
        <f t="shared" si="106"/>
        <v>0</v>
      </c>
      <c r="M98" s="625">
        <f t="shared" si="106"/>
        <v>0</v>
      </c>
      <c r="N98" s="624">
        <f t="shared" si="107"/>
        <v>0.93929254302103249</v>
      </c>
      <c r="O98" s="624">
        <f t="shared" si="107"/>
        <v>0</v>
      </c>
      <c r="P98" s="625">
        <f t="shared" si="107"/>
        <v>0</v>
      </c>
      <c r="Q98" s="624">
        <f t="shared" si="107"/>
        <v>0</v>
      </c>
      <c r="R98" s="253"/>
      <c r="S98" s="254">
        <v>228</v>
      </c>
      <c r="T98" s="255">
        <v>0</v>
      </c>
      <c r="U98" s="255">
        <v>1</v>
      </c>
      <c r="V98" s="255">
        <v>0</v>
      </c>
      <c r="W98" s="255">
        <v>85</v>
      </c>
      <c r="X98" s="255">
        <v>5</v>
      </c>
      <c r="Y98" s="256">
        <v>319</v>
      </c>
      <c r="Z98" s="254">
        <v>0</v>
      </c>
      <c r="AA98" s="255">
        <v>0</v>
      </c>
      <c r="AB98" s="255">
        <v>0</v>
      </c>
      <c r="AC98" s="255">
        <v>0</v>
      </c>
      <c r="AD98" s="255">
        <v>0</v>
      </c>
      <c r="AE98" s="256">
        <v>1965</v>
      </c>
      <c r="AF98" s="254">
        <v>0</v>
      </c>
      <c r="AG98" s="255">
        <v>0</v>
      </c>
      <c r="AH98" s="254">
        <v>0</v>
      </c>
    </row>
    <row r="99" spans="1:36">
      <c r="A99" s="249"/>
      <c r="B99" s="239" t="s">
        <v>58</v>
      </c>
      <c r="C99" s="624">
        <f t="shared" si="106"/>
        <v>0</v>
      </c>
      <c r="D99" s="625">
        <f t="shared" si="106"/>
        <v>0</v>
      </c>
      <c r="E99" s="792">
        <f t="shared" si="106"/>
        <v>0</v>
      </c>
      <c r="F99" s="625">
        <f t="shared" si="106"/>
        <v>0</v>
      </c>
      <c r="G99" s="792">
        <f t="shared" si="106"/>
        <v>0</v>
      </c>
      <c r="H99" s="626">
        <f t="shared" si="106"/>
        <v>0</v>
      </c>
      <c r="I99" s="793">
        <f t="shared" si="106"/>
        <v>0</v>
      </c>
      <c r="J99" s="624">
        <f t="shared" si="106"/>
        <v>0</v>
      </c>
      <c r="K99" s="625">
        <f t="shared" si="106"/>
        <v>1</v>
      </c>
      <c r="L99" s="625">
        <f t="shared" si="106"/>
        <v>1</v>
      </c>
      <c r="M99" s="625">
        <f t="shared" si="106"/>
        <v>1</v>
      </c>
      <c r="N99" s="624">
        <f t="shared" si="107"/>
        <v>0</v>
      </c>
      <c r="O99" s="624">
        <f t="shared" si="107"/>
        <v>0</v>
      </c>
      <c r="P99" s="625">
        <f t="shared" si="107"/>
        <v>0</v>
      </c>
      <c r="Q99" s="624">
        <f t="shared" si="107"/>
        <v>0</v>
      </c>
      <c r="R99" s="253"/>
      <c r="S99" s="254">
        <v>0</v>
      </c>
      <c r="T99" s="255">
        <v>0</v>
      </c>
      <c r="U99" s="255">
        <v>0</v>
      </c>
      <c r="V99" s="255">
        <v>0</v>
      </c>
      <c r="W99" s="255">
        <v>0</v>
      </c>
      <c r="X99" s="255">
        <v>0</v>
      </c>
      <c r="Y99" s="256">
        <v>0</v>
      </c>
      <c r="Z99" s="254">
        <v>0</v>
      </c>
      <c r="AA99" s="255">
        <v>327</v>
      </c>
      <c r="AB99" s="255">
        <v>122</v>
      </c>
      <c r="AC99" s="255">
        <v>85</v>
      </c>
      <c r="AD99" s="255">
        <v>0</v>
      </c>
      <c r="AE99" s="256">
        <v>0</v>
      </c>
      <c r="AF99" s="254">
        <v>0</v>
      </c>
      <c r="AG99" s="255">
        <v>0</v>
      </c>
      <c r="AH99" s="254">
        <v>0</v>
      </c>
    </row>
    <row r="100" spans="1:36" s="406" customFormat="1">
      <c r="A100" s="435"/>
      <c r="B100" s="436" t="s">
        <v>59</v>
      </c>
      <c r="C100" s="577">
        <f t="shared" si="106"/>
        <v>1</v>
      </c>
      <c r="D100" s="578">
        <f t="shared" si="106"/>
        <v>0</v>
      </c>
      <c r="E100" s="578">
        <f t="shared" si="106"/>
        <v>1</v>
      </c>
      <c r="F100" s="578">
        <f t="shared" si="106"/>
        <v>1</v>
      </c>
      <c r="G100" s="578">
        <f t="shared" si="106"/>
        <v>1</v>
      </c>
      <c r="H100" s="579">
        <f t="shared" si="106"/>
        <v>1</v>
      </c>
      <c r="I100" s="577">
        <f t="shared" si="106"/>
        <v>1</v>
      </c>
      <c r="J100" s="577">
        <f t="shared" si="106"/>
        <v>0</v>
      </c>
      <c r="K100" s="578">
        <f t="shared" si="106"/>
        <v>1</v>
      </c>
      <c r="L100" s="578">
        <f t="shared" si="106"/>
        <v>1</v>
      </c>
      <c r="M100" s="578">
        <f t="shared" si="106"/>
        <v>1</v>
      </c>
      <c r="N100" s="577">
        <f t="shared" si="107"/>
        <v>1</v>
      </c>
      <c r="O100" s="577">
        <f t="shared" si="107"/>
        <v>0</v>
      </c>
      <c r="P100" s="578">
        <f t="shared" si="107"/>
        <v>0</v>
      </c>
      <c r="Q100" s="577">
        <f t="shared" si="107"/>
        <v>0</v>
      </c>
      <c r="R100" s="264"/>
      <c r="S100" s="265">
        <v>2243</v>
      </c>
      <c r="T100" s="266">
        <v>0</v>
      </c>
      <c r="U100" s="266">
        <v>807</v>
      </c>
      <c r="V100" s="266">
        <v>178</v>
      </c>
      <c r="W100" s="266">
        <v>767</v>
      </c>
      <c r="X100" s="266">
        <v>555</v>
      </c>
      <c r="Y100" s="267">
        <v>4550</v>
      </c>
      <c r="Z100" s="265">
        <v>0</v>
      </c>
      <c r="AA100" s="266">
        <v>327</v>
      </c>
      <c r="AB100" s="266">
        <v>122</v>
      </c>
      <c r="AC100" s="266">
        <v>85</v>
      </c>
      <c r="AD100" s="266">
        <v>0</v>
      </c>
      <c r="AE100" s="267">
        <v>2092</v>
      </c>
      <c r="AF100" s="265">
        <v>0</v>
      </c>
      <c r="AG100" s="266">
        <v>0</v>
      </c>
      <c r="AH100" s="265">
        <v>0</v>
      </c>
      <c r="AI100" s="405"/>
      <c r="AJ100" s="405"/>
    </row>
    <row r="101" spans="1:36">
      <c r="A101" s="239" t="s">
        <v>15</v>
      </c>
      <c r="B101" s="240" t="s">
        <v>53</v>
      </c>
      <c r="C101" s="613">
        <f t="shared" ref="C101:M107" si="108">IF(S$107&gt;0,(S101/S$107),0)</f>
        <v>0.31541218637992829</v>
      </c>
      <c r="D101" s="614">
        <f t="shared" si="108"/>
        <v>0.2446043165467626</v>
      </c>
      <c r="E101" s="614">
        <f t="shared" si="108"/>
        <v>0.33967499009116131</v>
      </c>
      <c r="F101" s="614">
        <f t="shared" si="108"/>
        <v>0</v>
      </c>
      <c r="G101" s="614">
        <f t="shared" si="108"/>
        <v>0.27941176470588236</v>
      </c>
      <c r="H101" s="615">
        <f t="shared" si="108"/>
        <v>0</v>
      </c>
      <c r="I101" s="613">
        <f t="shared" si="108"/>
        <v>0.31923816180325004</v>
      </c>
      <c r="J101" s="613">
        <f t="shared" si="108"/>
        <v>0</v>
      </c>
      <c r="K101" s="614">
        <f t="shared" si="108"/>
        <v>0</v>
      </c>
      <c r="L101" s="614">
        <f t="shared" si="108"/>
        <v>0</v>
      </c>
      <c r="M101" s="614">
        <f t="shared" si="108"/>
        <v>0</v>
      </c>
      <c r="N101" s="613">
        <f t="shared" ref="N101:Q107" si="109">IF(AE$107&gt;0,(AE101/AE$107),0)</f>
        <v>0.11794298490776971</v>
      </c>
      <c r="O101" s="788">
        <f t="shared" si="109"/>
        <v>0</v>
      </c>
      <c r="P101" s="614">
        <f t="shared" si="109"/>
        <v>0</v>
      </c>
      <c r="Q101" s="788">
        <f t="shared" si="109"/>
        <v>0</v>
      </c>
      <c r="R101" s="244"/>
      <c r="S101" s="245">
        <v>792</v>
      </c>
      <c r="T101" s="246">
        <v>102</v>
      </c>
      <c r="U101" s="246">
        <v>857</v>
      </c>
      <c r="V101" s="246">
        <v>0</v>
      </c>
      <c r="W101" s="246">
        <v>76</v>
      </c>
      <c r="X101" s="246">
        <v>0</v>
      </c>
      <c r="Y101" s="247">
        <v>1827</v>
      </c>
      <c r="Z101" s="245">
        <v>0</v>
      </c>
      <c r="AA101" s="246">
        <v>0</v>
      </c>
      <c r="AB101" s="246">
        <v>0</v>
      </c>
      <c r="AC101" s="246">
        <v>0</v>
      </c>
      <c r="AD101" s="246">
        <v>0</v>
      </c>
      <c r="AE101" s="247">
        <v>211</v>
      </c>
      <c r="AF101" s="245">
        <v>0</v>
      </c>
      <c r="AG101" s="246">
        <v>0</v>
      </c>
      <c r="AH101" s="245">
        <v>0</v>
      </c>
    </row>
    <row r="102" spans="1:36">
      <c r="A102" s="249"/>
      <c r="B102" s="239" t="s">
        <v>93</v>
      </c>
      <c r="C102" s="624">
        <f t="shared" si="108"/>
        <v>0.26762246117084826</v>
      </c>
      <c r="D102" s="625">
        <f t="shared" si="108"/>
        <v>0.27817745803357313</v>
      </c>
      <c r="E102" s="625">
        <f t="shared" si="108"/>
        <v>0.21918351169242964</v>
      </c>
      <c r="F102" s="625">
        <f t="shared" si="108"/>
        <v>0</v>
      </c>
      <c r="G102" s="625">
        <f t="shared" si="108"/>
        <v>0.23529411764705882</v>
      </c>
      <c r="H102" s="626">
        <f t="shared" si="108"/>
        <v>0</v>
      </c>
      <c r="I102" s="624">
        <f t="shared" si="108"/>
        <v>0.24550061156735978</v>
      </c>
      <c r="J102" s="624">
        <f t="shared" si="108"/>
        <v>0</v>
      </c>
      <c r="K102" s="625">
        <f t="shared" si="108"/>
        <v>0</v>
      </c>
      <c r="L102" s="625">
        <f t="shared" si="108"/>
        <v>0</v>
      </c>
      <c r="M102" s="625">
        <f t="shared" si="108"/>
        <v>0</v>
      </c>
      <c r="N102" s="624">
        <f t="shared" si="109"/>
        <v>0.42425936277249859</v>
      </c>
      <c r="O102" s="624">
        <f t="shared" si="109"/>
        <v>0</v>
      </c>
      <c r="P102" s="625">
        <f t="shared" si="109"/>
        <v>0</v>
      </c>
      <c r="Q102" s="624">
        <f t="shared" si="109"/>
        <v>0</v>
      </c>
      <c r="R102" s="253"/>
      <c r="S102" s="254">
        <v>672</v>
      </c>
      <c r="T102" s="255">
        <v>116</v>
      </c>
      <c r="U102" s="255">
        <v>553</v>
      </c>
      <c r="V102" s="255">
        <v>0</v>
      </c>
      <c r="W102" s="255">
        <v>64</v>
      </c>
      <c r="X102" s="255">
        <v>0</v>
      </c>
      <c r="Y102" s="256">
        <v>1405</v>
      </c>
      <c r="Z102" s="254">
        <v>0</v>
      </c>
      <c r="AA102" s="255">
        <v>0</v>
      </c>
      <c r="AB102" s="255">
        <v>0</v>
      </c>
      <c r="AC102" s="255">
        <v>0</v>
      </c>
      <c r="AD102" s="255">
        <v>0</v>
      </c>
      <c r="AE102" s="256">
        <v>759</v>
      </c>
      <c r="AF102" s="254">
        <v>0</v>
      </c>
      <c r="AG102" s="255">
        <v>0</v>
      </c>
      <c r="AH102" s="254">
        <v>0</v>
      </c>
    </row>
    <row r="103" spans="1:36">
      <c r="A103" s="249"/>
      <c r="B103" s="239" t="s">
        <v>55</v>
      </c>
      <c r="C103" s="624">
        <f t="shared" si="108"/>
        <v>0.2321784149741139</v>
      </c>
      <c r="D103" s="625">
        <f t="shared" si="108"/>
        <v>0.30215827338129497</v>
      </c>
      <c r="E103" s="625">
        <f t="shared" si="108"/>
        <v>0.27506936187078873</v>
      </c>
      <c r="F103" s="625">
        <f t="shared" si="108"/>
        <v>0</v>
      </c>
      <c r="G103" s="625">
        <f t="shared" si="108"/>
        <v>0.29044117647058826</v>
      </c>
      <c r="H103" s="626">
        <f t="shared" si="108"/>
        <v>0</v>
      </c>
      <c r="I103" s="624">
        <f t="shared" si="108"/>
        <v>0.25895509348243928</v>
      </c>
      <c r="J103" s="624">
        <f t="shared" si="108"/>
        <v>0</v>
      </c>
      <c r="K103" s="625">
        <f t="shared" si="108"/>
        <v>0</v>
      </c>
      <c r="L103" s="625">
        <f t="shared" si="108"/>
        <v>0</v>
      </c>
      <c r="M103" s="625">
        <f t="shared" si="108"/>
        <v>0</v>
      </c>
      <c r="N103" s="624">
        <f t="shared" si="109"/>
        <v>0.20067076579094467</v>
      </c>
      <c r="O103" s="624">
        <f t="shared" si="109"/>
        <v>0</v>
      </c>
      <c r="P103" s="625">
        <f t="shared" si="109"/>
        <v>0</v>
      </c>
      <c r="Q103" s="624">
        <f t="shared" si="109"/>
        <v>0</v>
      </c>
      <c r="R103" s="253"/>
      <c r="S103" s="254">
        <v>583</v>
      </c>
      <c r="T103" s="255">
        <v>126</v>
      </c>
      <c r="U103" s="255">
        <v>694</v>
      </c>
      <c r="V103" s="255">
        <v>0</v>
      </c>
      <c r="W103" s="255">
        <v>79</v>
      </c>
      <c r="X103" s="255">
        <v>0</v>
      </c>
      <c r="Y103" s="256">
        <v>1482</v>
      </c>
      <c r="Z103" s="254">
        <v>0</v>
      </c>
      <c r="AA103" s="255">
        <v>0</v>
      </c>
      <c r="AB103" s="255">
        <v>0</v>
      </c>
      <c r="AC103" s="255">
        <v>0</v>
      </c>
      <c r="AD103" s="255">
        <v>0</v>
      </c>
      <c r="AE103" s="256">
        <v>359</v>
      </c>
      <c r="AF103" s="254">
        <v>0</v>
      </c>
      <c r="AG103" s="255">
        <v>0</v>
      </c>
      <c r="AH103" s="254">
        <v>0</v>
      </c>
    </row>
    <row r="104" spans="1:36">
      <c r="A104" s="249"/>
      <c r="B104" s="239" t="s">
        <v>78</v>
      </c>
      <c r="C104" s="624">
        <f t="shared" si="108"/>
        <v>6.8100358422939072E-2</v>
      </c>
      <c r="D104" s="625">
        <f t="shared" si="108"/>
        <v>2.8776978417266189E-2</v>
      </c>
      <c r="E104" s="625">
        <f t="shared" si="108"/>
        <v>0.10622275069361871</v>
      </c>
      <c r="F104" s="625">
        <f t="shared" si="108"/>
        <v>0</v>
      </c>
      <c r="G104" s="625">
        <f t="shared" si="108"/>
        <v>6.985294117647059E-2</v>
      </c>
      <c r="H104" s="626">
        <f t="shared" si="108"/>
        <v>0</v>
      </c>
      <c r="I104" s="624">
        <f t="shared" si="108"/>
        <v>8.2124759741394368E-2</v>
      </c>
      <c r="J104" s="624">
        <f t="shared" si="108"/>
        <v>0</v>
      </c>
      <c r="K104" s="625">
        <f t="shared" si="108"/>
        <v>0</v>
      </c>
      <c r="L104" s="625">
        <f t="shared" si="108"/>
        <v>0</v>
      </c>
      <c r="M104" s="625">
        <f t="shared" si="108"/>
        <v>0</v>
      </c>
      <c r="N104" s="624">
        <f t="shared" si="109"/>
        <v>0.25712688652878701</v>
      </c>
      <c r="O104" s="624">
        <f t="shared" si="109"/>
        <v>0</v>
      </c>
      <c r="P104" s="625">
        <f t="shared" si="109"/>
        <v>0</v>
      </c>
      <c r="Q104" s="624">
        <f t="shared" si="109"/>
        <v>0</v>
      </c>
      <c r="R104" s="253"/>
      <c r="S104" s="254">
        <v>171</v>
      </c>
      <c r="T104" s="255">
        <v>12</v>
      </c>
      <c r="U104" s="255">
        <v>268</v>
      </c>
      <c r="V104" s="255">
        <v>0</v>
      </c>
      <c r="W104" s="255">
        <v>19</v>
      </c>
      <c r="X104" s="255">
        <v>0</v>
      </c>
      <c r="Y104" s="256">
        <v>470</v>
      </c>
      <c r="Z104" s="254">
        <v>0</v>
      </c>
      <c r="AA104" s="255">
        <v>0</v>
      </c>
      <c r="AB104" s="255">
        <v>0</v>
      </c>
      <c r="AC104" s="255">
        <v>0</v>
      </c>
      <c r="AD104" s="255">
        <v>0</v>
      </c>
      <c r="AE104" s="256">
        <v>460</v>
      </c>
      <c r="AF104" s="254">
        <v>0</v>
      </c>
      <c r="AG104" s="255">
        <v>0</v>
      </c>
      <c r="AH104" s="254">
        <v>0</v>
      </c>
    </row>
    <row r="105" spans="1:36">
      <c r="A105" s="249"/>
      <c r="B105" s="239" t="s">
        <v>32</v>
      </c>
      <c r="C105" s="624">
        <f t="shared" si="108"/>
        <v>0.11668657905217045</v>
      </c>
      <c r="D105" s="625">
        <f t="shared" si="108"/>
        <v>0.14628297362110312</v>
      </c>
      <c r="E105" s="625">
        <f t="shared" si="108"/>
        <v>5.9849385652001583E-2</v>
      </c>
      <c r="F105" s="625">
        <f t="shared" si="108"/>
        <v>0</v>
      </c>
      <c r="G105" s="625">
        <f t="shared" si="108"/>
        <v>0.125</v>
      </c>
      <c r="H105" s="626">
        <f t="shared" si="108"/>
        <v>0</v>
      </c>
      <c r="I105" s="624">
        <f t="shared" si="108"/>
        <v>9.4181373405556532E-2</v>
      </c>
      <c r="J105" s="624">
        <f t="shared" si="108"/>
        <v>0</v>
      </c>
      <c r="K105" s="790">
        <f t="shared" si="108"/>
        <v>0</v>
      </c>
      <c r="L105" s="625">
        <f t="shared" si="108"/>
        <v>0</v>
      </c>
      <c r="M105" s="625">
        <f t="shared" si="108"/>
        <v>0</v>
      </c>
      <c r="N105" s="791">
        <f t="shared" si="109"/>
        <v>0</v>
      </c>
      <c r="O105" s="624">
        <f t="shared" si="109"/>
        <v>0</v>
      </c>
      <c r="P105" s="625">
        <f t="shared" si="109"/>
        <v>0</v>
      </c>
      <c r="Q105" s="624">
        <f t="shared" si="109"/>
        <v>0</v>
      </c>
      <c r="R105" s="253"/>
      <c r="S105" s="254">
        <v>293</v>
      </c>
      <c r="T105" s="255">
        <v>61</v>
      </c>
      <c r="U105" s="255">
        <v>151</v>
      </c>
      <c r="V105" s="255">
        <v>0</v>
      </c>
      <c r="W105" s="255">
        <v>34</v>
      </c>
      <c r="X105" s="255">
        <v>0</v>
      </c>
      <c r="Y105" s="256">
        <v>539</v>
      </c>
      <c r="Z105" s="254">
        <v>0</v>
      </c>
      <c r="AA105" s="255">
        <v>0</v>
      </c>
      <c r="AB105" s="255">
        <v>0</v>
      </c>
      <c r="AC105" s="255">
        <v>0</v>
      </c>
      <c r="AD105" s="255">
        <v>0</v>
      </c>
      <c r="AE105" s="256">
        <v>0</v>
      </c>
      <c r="AF105" s="254">
        <v>0</v>
      </c>
      <c r="AG105" s="255">
        <v>0</v>
      </c>
      <c r="AH105" s="254">
        <v>0</v>
      </c>
    </row>
    <row r="106" spans="1:36">
      <c r="A106" s="249"/>
      <c r="B106" s="239" t="s">
        <v>58</v>
      </c>
      <c r="C106" s="624">
        <f t="shared" si="108"/>
        <v>0</v>
      </c>
      <c r="D106" s="625">
        <f t="shared" si="108"/>
        <v>0</v>
      </c>
      <c r="E106" s="792">
        <f t="shared" si="108"/>
        <v>0</v>
      </c>
      <c r="F106" s="625">
        <f t="shared" si="108"/>
        <v>0</v>
      </c>
      <c r="G106" s="792">
        <f t="shared" si="108"/>
        <v>0</v>
      </c>
      <c r="H106" s="626">
        <f t="shared" si="108"/>
        <v>0</v>
      </c>
      <c r="I106" s="793">
        <f t="shared" si="108"/>
        <v>0</v>
      </c>
      <c r="J106" s="624">
        <f t="shared" si="108"/>
        <v>0</v>
      </c>
      <c r="K106" s="625">
        <f t="shared" si="108"/>
        <v>1</v>
      </c>
      <c r="L106" s="625">
        <f t="shared" si="108"/>
        <v>1</v>
      </c>
      <c r="M106" s="625">
        <f t="shared" si="108"/>
        <v>1</v>
      </c>
      <c r="N106" s="624">
        <f t="shared" si="109"/>
        <v>0</v>
      </c>
      <c r="O106" s="624">
        <f t="shared" si="109"/>
        <v>0</v>
      </c>
      <c r="P106" s="625">
        <f t="shared" si="109"/>
        <v>1</v>
      </c>
      <c r="Q106" s="624">
        <f t="shared" si="109"/>
        <v>1</v>
      </c>
      <c r="R106" s="253"/>
      <c r="S106" s="254">
        <v>0</v>
      </c>
      <c r="T106" s="255">
        <v>0</v>
      </c>
      <c r="U106" s="255">
        <v>0</v>
      </c>
      <c r="V106" s="255">
        <v>0</v>
      </c>
      <c r="W106" s="255">
        <v>0</v>
      </c>
      <c r="X106" s="255">
        <v>0</v>
      </c>
      <c r="Y106" s="256">
        <v>0</v>
      </c>
      <c r="Z106" s="254">
        <v>0</v>
      </c>
      <c r="AA106" s="255">
        <v>327</v>
      </c>
      <c r="AB106" s="255">
        <v>122</v>
      </c>
      <c r="AC106" s="255">
        <v>85</v>
      </c>
      <c r="AD106" s="255">
        <v>0</v>
      </c>
      <c r="AE106" s="256">
        <v>0</v>
      </c>
      <c r="AF106" s="254">
        <v>0</v>
      </c>
      <c r="AG106" s="255">
        <v>458</v>
      </c>
      <c r="AH106" s="254">
        <v>458</v>
      </c>
    </row>
    <row r="107" spans="1:36" s="406" customFormat="1">
      <c r="A107" s="435"/>
      <c r="B107" s="436" t="s">
        <v>59</v>
      </c>
      <c r="C107" s="577">
        <f t="shared" si="108"/>
        <v>1</v>
      </c>
      <c r="D107" s="578">
        <f t="shared" si="108"/>
        <v>1</v>
      </c>
      <c r="E107" s="578">
        <f t="shared" si="108"/>
        <v>1</v>
      </c>
      <c r="F107" s="578">
        <f t="shared" si="108"/>
        <v>0</v>
      </c>
      <c r="G107" s="578">
        <f t="shared" si="108"/>
        <v>1</v>
      </c>
      <c r="H107" s="579">
        <f t="shared" si="108"/>
        <v>0</v>
      </c>
      <c r="I107" s="577">
        <f t="shared" si="108"/>
        <v>1</v>
      </c>
      <c r="J107" s="577">
        <f t="shared" si="108"/>
        <v>0</v>
      </c>
      <c r="K107" s="578">
        <f t="shared" si="108"/>
        <v>1</v>
      </c>
      <c r="L107" s="578">
        <f t="shared" si="108"/>
        <v>1</v>
      </c>
      <c r="M107" s="578">
        <f t="shared" si="108"/>
        <v>1</v>
      </c>
      <c r="N107" s="577">
        <f t="shared" si="109"/>
        <v>1</v>
      </c>
      <c r="O107" s="577">
        <f t="shared" si="109"/>
        <v>0</v>
      </c>
      <c r="P107" s="578">
        <f t="shared" si="109"/>
        <v>1</v>
      </c>
      <c r="Q107" s="577">
        <f t="shared" si="109"/>
        <v>1</v>
      </c>
      <c r="R107" s="264"/>
      <c r="S107" s="265">
        <v>2511</v>
      </c>
      <c r="T107" s="266">
        <v>417</v>
      </c>
      <c r="U107" s="266">
        <v>2523</v>
      </c>
      <c r="V107" s="266">
        <v>0</v>
      </c>
      <c r="W107" s="266">
        <v>272</v>
      </c>
      <c r="X107" s="266">
        <v>0</v>
      </c>
      <c r="Y107" s="267">
        <v>5723</v>
      </c>
      <c r="Z107" s="265">
        <v>0</v>
      </c>
      <c r="AA107" s="266">
        <v>327</v>
      </c>
      <c r="AB107" s="266">
        <v>122</v>
      </c>
      <c r="AC107" s="266">
        <v>85</v>
      </c>
      <c r="AD107" s="266">
        <v>0</v>
      </c>
      <c r="AE107" s="267">
        <v>1789</v>
      </c>
      <c r="AF107" s="265">
        <v>0</v>
      </c>
      <c r="AG107" s="266">
        <v>458</v>
      </c>
      <c r="AH107" s="265">
        <v>458</v>
      </c>
      <c r="AI107" s="405"/>
      <c r="AJ107" s="405"/>
    </row>
    <row r="108" spans="1:36">
      <c r="A108" s="239" t="s">
        <v>16</v>
      </c>
      <c r="B108" s="240" t="s">
        <v>53</v>
      </c>
      <c r="C108" s="613">
        <f t="shared" ref="C108:M114" si="110">IF(S$114&gt;0,(S108/S$114),0)</f>
        <v>0.33164058451653022</v>
      </c>
      <c r="D108" s="614">
        <f t="shared" si="110"/>
        <v>0.19846547314578006</v>
      </c>
      <c r="E108" s="614">
        <f t="shared" si="110"/>
        <v>0.22402461194238568</v>
      </c>
      <c r="F108" s="614">
        <f t="shared" si="110"/>
        <v>0.24870466321243523</v>
      </c>
      <c r="G108" s="614">
        <f t="shared" si="110"/>
        <v>0.18122977346278318</v>
      </c>
      <c r="H108" s="615">
        <f t="shared" si="110"/>
        <v>0.26732673267326734</v>
      </c>
      <c r="I108" s="613">
        <f t="shared" si="110"/>
        <v>0.27487343733856806</v>
      </c>
      <c r="J108" s="613">
        <f t="shared" si="110"/>
        <v>0</v>
      </c>
      <c r="K108" s="614">
        <f t="shared" si="110"/>
        <v>0</v>
      </c>
      <c r="L108" s="614">
        <f t="shared" si="110"/>
        <v>0</v>
      </c>
      <c r="M108" s="614">
        <f t="shared" si="110"/>
        <v>0</v>
      </c>
      <c r="N108" s="613">
        <f t="shared" ref="N108:Q114" si="111">IF(AE$114&gt;0,(AE108/AE$114),0)</f>
        <v>0.18301306047749771</v>
      </c>
      <c r="O108" s="788">
        <f t="shared" si="111"/>
        <v>0</v>
      </c>
      <c r="P108" s="614">
        <f t="shared" si="111"/>
        <v>0</v>
      </c>
      <c r="Q108" s="788">
        <f t="shared" si="111"/>
        <v>0</v>
      </c>
      <c r="R108" s="244"/>
      <c r="S108" s="245">
        <v>3200</v>
      </c>
      <c r="T108" s="246">
        <v>388</v>
      </c>
      <c r="U108" s="246">
        <v>1602</v>
      </c>
      <c r="V108" s="246">
        <v>48</v>
      </c>
      <c r="W108" s="246">
        <v>56</v>
      </c>
      <c r="X108" s="246">
        <v>27</v>
      </c>
      <c r="Y108" s="247">
        <v>5321</v>
      </c>
      <c r="Z108" s="245">
        <v>0</v>
      </c>
      <c r="AA108" s="246">
        <v>0</v>
      </c>
      <c r="AB108" s="246">
        <v>0</v>
      </c>
      <c r="AC108" s="246">
        <v>0</v>
      </c>
      <c r="AD108" s="246">
        <v>0</v>
      </c>
      <c r="AE108" s="247">
        <v>2200</v>
      </c>
      <c r="AF108" s="245">
        <v>0</v>
      </c>
      <c r="AG108" s="246">
        <v>0</v>
      </c>
      <c r="AH108" s="245">
        <v>0</v>
      </c>
    </row>
    <row r="109" spans="1:36">
      <c r="A109" s="249"/>
      <c r="B109" s="239" t="s">
        <v>93</v>
      </c>
      <c r="C109" s="624">
        <f t="shared" si="110"/>
        <v>0.24790133692610633</v>
      </c>
      <c r="D109" s="625">
        <f t="shared" si="110"/>
        <v>0.24705882352941178</v>
      </c>
      <c r="E109" s="625">
        <f t="shared" si="110"/>
        <v>0.25367081527059154</v>
      </c>
      <c r="F109" s="625">
        <f t="shared" si="110"/>
        <v>0.26424870466321243</v>
      </c>
      <c r="G109" s="625">
        <f t="shared" si="110"/>
        <v>0.33656957928802589</v>
      </c>
      <c r="H109" s="626">
        <f t="shared" si="110"/>
        <v>0.13861386138613863</v>
      </c>
      <c r="I109" s="624">
        <f t="shared" si="110"/>
        <v>0.25095567723938422</v>
      </c>
      <c r="J109" s="624">
        <f t="shared" si="110"/>
        <v>0</v>
      </c>
      <c r="K109" s="625">
        <f t="shared" si="110"/>
        <v>0</v>
      </c>
      <c r="L109" s="625">
        <f t="shared" si="110"/>
        <v>0</v>
      </c>
      <c r="M109" s="625">
        <f t="shared" si="110"/>
        <v>0</v>
      </c>
      <c r="N109" s="624">
        <f t="shared" si="111"/>
        <v>9.7745611845936275E-2</v>
      </c>
      <c r="O109" s="624">
        <f t="shared" si="111"/>
        <v>0</v>
      </c>
      <c r="P109" s="625">
        <f t="shared" si="111"/>
        <v>0</v>
      </c>
      <c r="Q109" s="624">
        <f t="shared" si="111"/>
        <v>0</v>
      </c>
      <c r="R109" s="253"/>
      <c r="S109" s="254">
        <v>2392</v>
      </c>
      <c r="T109" s="255">
        <v>483</v>
      </c>
      <c r="U109" s="255">
        <v>1814</v>
      </c>
      <c r="V109" s="255">
        <v>51</v>
      </c>
      <c r="W109" s="255">
        <v>104</v>
      </c>
      <c r="X109" s="255">
        <v>14</v>
      </c>
      <c r="Y109" s="256">
        <v>4858</v>
      </c>
      <c r="Z109" s="254">
        <v>0</v>
      </c>
      <c r="AA109" s="255">
        <v>0</v>
      </c>
      <c r="AB109" s="255">
        <v>0</v>
      </c>
      <c r="AC109" s="255">
        <v>0</v>
      </c>
      <c r="AD109" s="255">
        <v>0</v>
      </c>
      <c r="AE109" s="256">
        <v>1175</v>
      </c>
      <c r="AF109" s="254">
        <v>0</v>
      </c>
      <c r="AG109" s="255">
        <v>0</v>
      </c>
      <c r="AH109" s="254">
        <v>0</v>
      </c>
    </row>
    <row r="110" spans="1:36">
      <c r="A110" s="249"/>
      <c r="B110" s="239" t="s">
        <v>55</v>
      </c>
      <c r="C110" s="624">
        <f t="shared" si="110"/>
        <v>0.20178256814177634</v>
      </c>
      <c r="D110" s="625">
        <f t="shared" si="110"/>
        <v>0.19948849104859334</v>
      </c>
      <c r="E110" s="625">
        <f t="shared" si="110"/>
        <v>0.28807159837784924</v>
      </c>
      <c r="F110" s="625">
        <f t="shared" si="110"/>
        <v>0.36269430051813473</v>
      </c>
      <c r="G110" s="625">
        <f t="shared" si="110"/>
        <v>0.27831715210355989</v>
      </c>
      <c r="H110" s="626">
        <f t="shared" si="110"/>
        <v>0.14851485148514851</v>
      </c>
      <c r="I110" s="624">
        <f t="shared" si="110"/>
        <v>0.23597479078417191</v>
      </c>
      <c r="J110" s="624">
        <f t="shared" si="110"/>
        <v>0</v>
      </c>
      <c r="K110" s="625">
        <f t="shared" si="110"/>
        <v>0</v>
      </c>
      <c r="L110" s="625">
        <f t="shared" si="110"/>
        <v>0</v>
      </c>
      <c r="M110" s="625">
        <f t="shared" si="110"/>
        <v>0</v>
      </c>
      <c r="N110" s="624">
        <f t="shared" si="111"/>
        <v>8.6265701688711421E-2</v>
      </c>
      <c r="O110" s="624">
        <f t="shared" si="111"/>
        <v>0</v>
      </c>
      <c r="P110" s="625">
        <f t="shared" si="111"/>
        <v>0</v>
      </c>
      <c r="Q110" s="624">
        <f t="shared" si="111"/>
        <v>0</v>
      </c>
      <c r="R110" s="253"/>
      <c r="S110" s="254">
        <v>1947</v>
      </c>
      <c r="T110" s="255">
        <v>390</v>
      </c>
      <c r="U110" s="255">
        <v>2060</v>
      </c>
      <c r="V110" s="255">
        <v>70</v>
      </c>
      <c r="W110" s="255">
        <v>86</v>
      </c>
      <c r="X110" s="255">
        <v>15</v>
      </c>
      <c r="Y110" s="256">
        <v>4568</v>
      </c>
      <c r="Z110" s="254">
        <v>0</v>
      </c>
      <c r="AA110" s="255">
        <v>0</v>
      </c>
      <c r="AB110" s="255">
        <v>0</v>
      </c>
      <c r="AC110" s="255">
        <v>0</v>
      </c>
      <c r="AD110" s="255">
        <v>0</v>
      </c>
      <c r="AE110" s="256">
        <v>1037</v>
      </c>
      <c r="AF110" s="254">
        <v>0</v>
      </c>
      <c r="AG110" s="255">
        <v>0</v>
      </c>
      <c r="AH110" s="254">
        <v>0</v>
      </c>
    </row>
    <row r="111" spans="1:36">
      <c r="A111" s="249"/>
      <c r="B111" s="239" t="s">
        <v>78</v>
      </c>
      <c r="C111" s="624">
        <f t="shared" si="110"/>
        <v>3.1713130894393204E-2</v>
      </c>
      <c r="D111" s="625">
        <f t="shared" si="110"/>
        <v>5.6265984654731462E-3</v>
      </c>
      <c r="E111" s="625">
        <f t="shared" si="110"/>
        <v>6.0690812473779894E-2</v>
      </c>
      <c r="F111" s="625">
        <f t="shared" si="110"/>
        <v>4.6632124352331605E-2</v>
      </c>
      <c r="G111" s="625">
        <f t="shared" si="110"/>
        <v>9.7087378640776691E-3</v>
      </c>
      <c r="H111" s="626">
        <f t="shared" si="110"/>
        <v>0</v>
      </c>
      <c r="I111" s="624">
        <f t="shared" si="110"/>
        <v>3.9415228845955164E-2</v>
      </c>
      <c r="J111" s="624">
        <f t="shared" si="110"/>
        <v>0</v>
      </c>
      <c r="K111" s="625">
        <f t="shared" si="110"/>
        <v>0</v>
      </c>
      <c r="L111" s="625">
        <f t="shared" si="110"/>
        <v>0</v>
      </c>
      <c r="M111" s="625">
        <f t="shared" si="110"/>
        <v>0</v>
      </c>
      <c r="N111" s="624">
        <f t="shared" si="111"/>
        <v>0.36319773729307048</v>
      </c>
      <c r="O111" s="624">
        <f t="shared" si="111"/>
        <v>0</v>
      </c>
      <c r="P111" s="625">
        <f t="shared" si="111"/>
        <v>0</v>
      </c>
      <c r="Q111" s="624">
        <f t="shared" si="111"/>
        <v>0</v>
      </c>
      <c r="R111" s="253"/>
      <c r="S111" s="254">
        <v>306</v>
      </c>
      <c r="T111" s="255">
        <v>11</v>
      </c>
      <c r="U111" s="255">
        <v>434</v>
      </c>
      <c r="V111" s="255">
        <v>9</v>
      </c>
      <c r="W111" s="255">
        <v>3</v>
      </c>
      <c r="X111" s="255">
        <v>0</v>
      </c>
      <c r="Y111" s="256">
        <v>763</v>
      </c>
      <c r="Z111" s="254">
        <v>0</v>
      </c>
      <c r="AA111" s="255">
        <v>0</v>
      </c>
      <c r="AB111" s="255">
        <v>0</v>
      </c>
      <c r="AC111" s="255">
        <v>0</v>
      </c>
      <c r="AD111" s="255">
        <v>0</v>
      </c>
      <c r="AE111" s="256">
        <v>4366</v>
      </c>
      <c r="AF111" s="254">
        <v>0</v>
      </c>
      <c r="AG111" s="255">
        <v>0</v>
      </c>
      <c r="AH111" s="254">
        <v>0</v>
      </c>
    </row>
    <row r="112" spans="1:36">
      <c r="A112" s="249"/>
      <c r="B112" s="239" t="s">
        <v>32</v>
      </c>
      <c r="C112" s="624">
        <f t="shared" si="110"/>
        <v>0.18696237952119391</v>
      </c>
      <c r="D112" s="625">
        <f t="shared" si="110"/>
        <v>0.34936061381074168</v>
      </c>
      <c r="E112" s="625">
        <f t="shared" si="110"/>
        <v>0.17354216193539365</v>
      </c>
      <c r="F112" s="625">
        <f t="shared" si="110"/>
        <v>7.7720207253886009E-2</v>
      </c>
      <c r="G112" s="625">
        <f t="shared" si="110"/>
        <v>0.1941747572815534</v>
      </c>
      <c r="H112" s="626">
        <f t="shared" si="110"/>
        <v>0.44554455445544555</v>
      </c>
      <c r="I112" s="624">
        <f t="shared" si="110"/>
        <v>0.19878086579192064</v>
      </c>
      <c r="J112" s="624">
        <f t="shared" si="110"/>
        <v>0</v>
      </c>
      <c r="K112" s="625">
        <f t="shared" si="110"/>
        <v>0</v>
      </c>
      <c r="L112" s="790">
        <f t="shared" si="110"/>
        <v>0</v>
      </c>
      <c r="M112" s="790">
        <f t="shared" si="110"/>
        <v>0</v>
      </c>
      <c r="N112" s="624">
        <f t="shared" si="111"/>
        <v>6.2390816071874224E-3</v>
      </c>
      <c r="O112" s="624">
        <f t="shared" si="111"/>
        <v>0</v>
      </c>
      <c r="P112" s="625">
        <f t="shared" si="111"/>
        <v>0</v>
      </c>
      <c r="Q112" s="624">
        <f t="shared" si="111"/>
        <v>0</v>
      </c>
      <c r="R112" s="253"/>
      <c r="S112" s="254">
        <v>1804</v>
      </c>
      <c r="T112" s="255">
        <v>683</v>
      </c>
      <c r="U112" s="255">
        <v>1241</v>
      </c>
      <c r="V112" s="255">
        <v>15</v>
      </c>
      <c r="W112" s="255">
        <v>60</v>
      </c>
      <c r="X112" s="255">
        <v>45</v>
      </c>
      <c r="Y112" s="256">
        <v>3848</v>
      </c>
      <c r="Z112" s="254">
        <v>0</v>
      </c>
      <c r="AA112" s="255">
        <v>0</v>
      </c>
      <c r="AB112" s="255">
        <v>0</v>
      </c>
      <c r="AC112" s="255">
        <v>0</v>
      </c>
      <c r="AD112" s="255">
        <v>0</v>
      </c>
      <c r="AE112" s="256">
        <v>75</v>
      </c>
      <c r="AF112" s="254">
        <v>0</v>
      </c>
      <c r="AG112" s="255">
        <v>0</v>
      </c>
      <c r="AH112" s="254">
        <v>0</v>
      </c>
    </row>
    <row r="113" spans="1:36">
      <c r="A113" s="249"/>
      <c r="B113" s="239" t="s">
        <v>58</v>
      </c>
      <c r="C113" s="624">
        <f t="shared" si="110"/>
        <v>0</v>
      </c>
      <c r="D113" s="625">
        <f t="shared" si="110"/>
        <v>0</v>
      </c>
      <c r="E113" s="625">
        <f t="shared" si="110"/>
        <v>0</v>
      </c>
      <c r="F113" s="625">
        <f t="shared" si="110"/>
        <v>0</v>
      </c>
      <c r="G113" s="625">
        <f t="shared" si="110"/>
        <v>0</v>
      </c>
      <c r="H113" s="626">
        <f t="shared" si="110"/>
        <v>0</v>
      </c>
      <c r="I113" s="624">
        <f t="shared" si="110"/>
        <v>0</v>
      </c>
      <c r="J113" s="624">
        <f t="shared" si="110"/>
        <v>0</v>
      </c>
      <c r="K113" s="625">
        <f t="shared" si="110"/>
        <v>1</v>
      </c>
      <c r="L113" s="625">
        <f t="shared" si="110"/>
        <v>1</v>
      </c>
      <c r="M113" s="625">
        <f t="shared" si="110"/>
        <v>1</v>
      </c>
      <c r="N113" s="624">
        <f t="shared" si="111"/>
        <v>0.26353880708759669</v>
      </c>
      <c r="O113" s="624">
        <f t="shared" si="111"/>
        <v>0</v>
      </c>
      <c r="P113" s="625">
        <f t="shared" si="111"/>
        <v>0</v>
      </c>
      <c r="Q113" s="624">
        <f t="shared" si="111"/>
        <v>0</v>
      </c>
      <c r="R113" s="253"/>
      <c r="S113" s="254">
        <v>0</v>
      </c>
      <c r="T113" s="255">
        <v>0</v>
      </c>
      <c r="U113" s="255">
        <v>0</v>
      </c>
      <c r="V113" s="255">
        <v>0</v>
      </c>
      <c r="W113" s="255">
        <v>0</v>
      </c>
      <c r="X113" s="255">
        <v>0</v>
      </c>
      <c r="Y113" s="256">
        <v>0</v>
      </c>
      <c r="Z113" s="254">
        <v>0</v>
      </c>
      <c r="AA113" s="255">
        <v>327</v>
      </c>
      <c r="AB113" s="255">
        <v>122</v>
      </c>
      <c r="AC113" s="255">
        <v>85</v>
      </c>
      <c r="AD113" s="255">
        <v>0</v>
      </c>
      <c r="AE113" s="256">
        <v>3168</v>
      </c>
      <c r="AF113" s="254">
        <v>0</v>
      </c>
      <c r="AG113" s="255">
        <v>0</v>
      </c>
      <c r="AH113" s="254">
        <v>0</v>
      </c>
    </row>
    <row r="114" spans="1:36" s="406" customFormat="1">
      <c r="A114" s="435"/>
      <c r="B114" s="436" t="s">
        <v>59</v>
      </c>
      <c r="C114" s="577">
        <f t="shared" si="110"/>
        <v>1</v>
      </c>
      <c r="D114" s="578">
        <f t="shared" si="110"/>
        <v>1</v>
      </c>
      <c r="E114" s="578">
        <f t="shared" si="110"/>
        <v>1</v>
      </c>
      <c r="F114" s="578">
        <f t="shared" si="110"/>
        <v>1</v>
      </c>
      <c r="G114" s="578">
        <f t="shared" si="110"/>
        <v>1</v>
      </c>
      <c r="H114" s="579">
        <f t="shared" si="110"/>
        <v>1</v>
      </c>
      <c r="I114" s="577">
        <f t="shared" si="110"/>
        <v>1</v>
      </c>
      <c r="J114" s="577">
        <f t="shared" si="110"/>
        <v>0</v>
      </c>
      <c r="K114" s="578">
        <f t="shared" si="110"/>
        <v>1</v>
      </c>
      <c r="L114" s="578">
        <f t="shared" si="110"/>
        <v>1</v>
      </c>
      <c r="M114" s="578">
        <f t="shared" si="110"/>
        <v>1</v>
      </c>
      <c r="N114" s="577">
        <f t="shared" si="111"/>
        <v>1</v>
      </c>
      <c r="O114" s="577">
        <f t="shared" si="111"/>
        <v>0</v>
      </c>
      <c r="P114" s="578">
        <f t="shared" si="111"/>
        <v>0</v>
      </c>
      <c r="Q114" s="577">
        <f t="shared" si="111"/>
        <v>0</v>
      </c>
      <c r="R114" s="264"/>
      <c r="S114" s="265">
        <v>9649</v>
      </c>
      <c r="T114" s="266">
        <v>1955</v>
      </c>
      <c r="U114" s="266">
        <v>7151</v>
      </c>
      <c r="V114" s="266">
        <v>193</v>
      </c>
      <c r="W114" s="266">
        <v>309</v>
      </c>
      <c r="X114" s="266">
        <v>101</v>
      </c>
      <c r="Y114" s="267">
        <v>19358</v>
      </c>
      <c r="Z114" s="265">
        <v>0</v>
      </c>
      <c r="AA114" s="266">
        <v>327</v>
      </c>
      <c r="AB114" s="266">
        <v>122</v>
      </c>
      <c r="AC114" s="266">
        <v>85</v>
      </c>
      <c r="AD114" s="266">
        <v>0</v>
      </c>
      <c r="AE114" s="267">
        <v>12021</v>
      </c>
      <c r="AF114" s="265">
        <v>0</v>
      </c>
      <c r="AG114" s="266">
        <v>0</v>
      </c>
      <c r="AH114" s="265">
        <v>0</v>
      </c>
      <c r="AI114" s="405"/>
      <c r="AJ114" s="405"/>
    </row>
    <row r="115" spans="1:36">
      <c r="A115" s="239" t="s">
        <v>17</v>
      </c>
      <c r="B115" s="240" t="s">
        <v>53</v>
      </c>
      <c r="C115" s="613">
        <f t="shared" ref="C115:M121" si="112">IF(S$121&gt;0,(S115/S$121),0)</f>
        <v>0.34724729241877256</v>
      </c>
      <c r="D115" s="614">
        <f t="shared" si="112"/>
        <v>0.24870466321243523</v>
      </c>
      <c r="E115" s="614">
        <f t="shared" si="112"/>
        <v>0.2951096121416526</v>
      </c>
      <c r="F115" s="614">
        <f t="shared" si="112"/>
        <v>0.25671641791044775</v>
      </c>
      <c r="G115" s="614">
        <f t="shared" si="112"/>
        <v>0.23391812865497075</v>
      </c>
      <c r="H115" s="615">
        <f t="shared" si="112"/>
        <v>0.17241379310344829</v>
      </c>
      <c r="I115" s="613">
        <f t="shared" si="112"/>
        <v>0.30331969076853116</v>
      </c>
      <c r="J115" s="613">
        <f t="shared" si="112"/>
        <v>0</v>
      </c>
      <c r="K115" s="614">
        <f t="shared" si="112"/>
        <v>0</v>
      </c>
      <c r="L115" s="614">
        <f t="shared" si="112"/>
        <v>0</v>
      </c>
      <c r="M115" s="614">
        <f t="shared" si="112"/>
        <v>0</v>
      </c>
      <c r="N115" s="613">
        <f t="shared" ref="N115:Q121" si="113">IF(AE$121&gt;0,(AE115/AE$121),0)</f>
        <v>0.19107744107744107</v>
      </c>
      <c r="O115" s="788">
        <f t="shared" si="113"/>
        <v>0</v>
      </c>
      <c r="P115" s="614">
        <f t="shared" si="113"/>
        <v>0</v>
      </c>
      <c r="Q115" s="788">
        <f t="shared" si="113"/>
        <v>0</v>
      </c>
      <c r="R115" s="244"/>
      <c r="S115" s="245">
        <v>1539</v>
      </c>
      <c r="T115" s="246">
        <v>432</v>
      </c>
      <c r="U115" s="246">
        <v>350</v>
      </c>
      <c r="V115" s="246">
        <v>172</v>
      </c>
      <c r="W115" s="246">
        <v>160</v>
      </c>
      <c r="X115" s="246">
        <v>15</v>
      </c>
      <c r="Y115" s="247">
        <v>2668</v>
      </c>
      <c r="Z115" s="245">
        <v>0</v>
      </c>
      <c r="AA115" s="246">
        <v>0</v>
      </c>
      <c r="AB115" s="246">
        <v>0</v>
      </c>
      <c r="AC115" s="246">
        <v>0</v>
      </c>
      <c r="AD115" s="246">
        <v>443</v>
      </c>
      <c r="AE115" s="247">
        <v>454</v>
      </c>
      <c r="AF115" s="245">
        <v>0</v>
      </c>
      <c r="AG115" s="246">
        <v>0</v>
      </c>
      <c r="AH115" s="245">
        <v>0</v>
      </c>
    </row>
    <row r="116" spans="1:36">
      <c r="A116" s="249"/>
      <c r="B116" s="239" t="s">
        <v>93</v>
      </c>
      <c r="C116" s="624">
        <f t="shared" si="112"/>
        <v>0.3009927797833935</v>
      </c>
      <c r="D116" s="625">
        <f t="shared" si="112"/>
        <v>0.29360967184801384</v>
      </c>
      <c r="E116" s="625">
        <f t="shared" si="112"/>
        <v>0.24873524451939291</v>
      </c>
      <c r="F116" s="625">
        <f t="shared" si="112"/>
        <v>0.31343283582089554</v>
      </c>
      <c r="G116" s="625">
        <f t="shared" si="112"/>
        <v>0.35087719298245612</v>
      </c>
      <c r="H116" s="626">
        <f t="shared" si="112"/>
        <v>0.35632183908045978</v>
      </c>
      <c r="I116" s="624">
        <f t="shared" si="112"/>
        <v>0.29786266484765805</v>
      </c>
      <c r="J116" s="624">
        <f t="shared" si="112"/>
        <v>0</v>
      </c>
      <c r="K116" s="625">
        <f t="shared" si="112"/>
        <v>0</v>
      </c>
      <c r="L116" s="625">
        <f t="shared" si="112"/>
        <v>0</v>
      </c>
      <c r="M116" s="625">
        <f t="shared" si="112"/>
        <v>0</v>
      </c>
      <c r="N116" s="624">
        <f t="shared" si="113"/>
        <v>0.29966329966329969</v>
      </c>
      <c r="O116" s="624">
        <f t="shared" si="113"/>
        <v>0</v>
      </c>
      <c r="P116" s="625">
        <f t="shared" si="113"/>
        <v>0</v>
      </c>
      <c r="Q116" s="624">
        <f t="shared" si="113"/>
        <v>0</v>
      </c>
      <c r="R116" s="253"/>
      <c r="S116" s="254">
        <v>1334</v>
      </c>
      <c r="T116" s="255">
        <v>510</v>
      </c>
      <c r="U116" s="255">
        <v>295</v>
      </c>
      <c r="V116" s="255">
        <v>210</v>
      </c>
      <c r="W116" s="255">
        <v>240</v>
      </c>
      <c r="X116" s="255">
        <v>31</v>
      </c>
      <c r="Y116" s="256">
        <v>2620</v>
      </c>
      <c r="Z116" s="254">
        <v>0</v>
      </c>
      <c r="AA116" s="255">
        <v>0</v>
      </c>
      <c r="AB116" s="255">
        <v>0</v>
      </c>
      <c r="AC116" s="255">
        <v>0</v>
      </c>
      <c r="AD116" s="255">
        <v>699</v>
      </c>
      <c r="AE116" s="256">
        <v>712</v>
      </c>
      <c r="AF116" s="254">
        <v>0</v>
      </c>
      <c r="AG116" s="255">
        <v>0</v>
      </c>
      <c r="AH116" s="254">
        <v>0</v>
      </c>
    </row>
    <row r="117" spans="1:36">
      <c r="A117" s="249"/>
      <c r="B117" s="239" t="s">
        <v>55</v>
      </c>
      <c r="C117" s="624">
        <f t="shared" si="112"/>
        <v>0.22991877256317689</v>
      </c>
      <c r="D117" s="625">
        <f t="shared" si="112"/>
        <v>0.31088082901554404</v>
      </c>
      <c r="E117" s="625">
        <f t="shared" si="112"/>
        <v>0.30354131534569984</v>
      </c>
      <c r="F117" s="625">
        <f t="shared" si="112"/>
        <v>0.30298507462686569</v>
      </c>
      <c r="G117" s="625">
        <f t="shared" si="112"/>
        <v>0.27631578947368424</v>
      </c>
      <c r="H117" s="626">
        <f t="shared" si="112"/>
        <v>0.17241379310344829</v>
      </c>
      <c r="I117" s="624">
        <f t="shared" si="112"/>
        <v>0.26443838108231016</v>
      </c>
      <c r="J117" s="624">
        <f t="shared" si="112"/>
        <v>0</v>
      </c>
      <c r="K117" s="625">
        <f t="shared" si="112"/>
        <v>0</v>
      </c>
      <c r="L117" s="625">
        <f t="shared" si="112"/>
        <v>0</v>
      </c>
      <c r="M117" s="625">
        <f t="shared" si="112"/>
        <v>0</v>
      </c>
      <c r="N117" s="624">
        <f t="shared" si="113"/>
        <v>0.28956228956228958</v>
      </c>
      <c r="O117" s="624">
        <f t="shared" si="113"/>
        <v>0</v>
      </c>
      <c r="P117" s="625">
        <f t="shared" si="113"/>
        <v>0</v>
      </c>
      <c r="Q117" s="624">
        <f t="shared" si="113"/>
        <v>0</v>
      </c>
      <c r="R117" s="253"/>
      <c r="S117" s="254">
        <v>1019</v>
      </c>
      <c r="T117" s="255">
        <v>540</v>
      </c>
      <c r="U117" s="255">
        <v>360</v>
      </c>
      <c r="V117" s="255">
        <v>203</v>
      </c>
      <c r="W117" s="255">
        <v>189</v>
      </c>
      <c r="X117" s="255">
        <v>15</v>
      </c>
      <c r="Y117" s="256">
        <v>2326</v>
      </c>
      <c r="Z117" s="254">
        <v>0</v>
      </c>
      <c r="AA117" s="255">
        <v>0</v>
      </c>
      <c r="AB117" s="255">
        <v>0</v>
      </c>
      <c r="AC117" s="255">
        <v>0</v>
      </c>
      <c r="AD117" s="255">
        <v>678</v>
      </c>
      <c r="AE117" s="256">
        <v>688</v>
      </c>
      <c r="AF117" s="254">
        <v>0</v>
      </c>
      <c r="AG117" s="255">
        <v>0</v>
      </c>
      <c r="AH117" s="254">
        <v>0</v>
      </c>
    </row>
    <row r="118" spans="1:36">
      <c r="A118" s="249"/>
      <c r="B118" s="239" t="s">
        <v>78</v>
      </c>
      <c r="C118" s="624">
        <f t="shared" si="112"/>
        <v>6.8140794223826712E-2</v>
      </c>
      <c r="D118" s="625">
        <f t="shared" si="112"/>
        <v>0.14104778353483016</v>
      </c>
      <c r="E118" s="625">
        <f t="shared" si="112"/>
        <v>0.15261382799325462</v>
      </c>
      <c r="F118" s="625">
        <f t="shared" si="112"/>
        <v>0.12388059701492538</v>
      </c>
      <c r="G118" s="625">
        <f t="shared" si="112"/>
        <v>5.701754385964912E-2</v>
      </c>
      <c r="H118" s="626">
        <f t="shared" si="112"/>
        <v>0.28735632183908044</v>
      </c>
      <c r="I118" s="624">
        <f t="shared" si="112"/>
        <v>9.9477035015916329E-2</v>
      </c>
      <c r="J118" s="624">
        <f t="shared" si="112"/>
        <v>0</v>
      </c>
      <c r="K118" s="625">
        <f t="shared" si="112"/>
        <v>0</v>
      </c>
      <c r="L118" s="625">
        <f t="shared" si="112"/>
        <v>0</v>
      </c>
      <c r="M118" s="625">
        <f t="shared" si="112"/>
        <v>0</v>
      </c>
      <c r="N118" s="624">
        <f t="shared" si="113"/>
        <v>0.21885521885521886</v>
      </c>
      <c r="O118" s="624">
        <f t="shared" si="113"/>
        <v>0</v>
      </c>
      <c r="P118" s="625">
        <f t="shared" si="113"/>
        <v>0</v>
      </c>
      <c r="Q118" s="624">
        <f t="shared" si="113"/>
        <v>0</v>
      </c>
      <c r="R118" s="253"/>
      <c r="S118" s="254">
        <v>302</v>
      </c>
      <c r="T118" s="255">
        <v>245</v>
      </c>
      <c r="U118" s="255">
        <v>181</v>
      </c>
      <c r="V118" s="255">
        <v>83</v>
      </c>
      <c r="W118" s="255">
        <v>39</v>
      </c>
      <c r="X118" s="255">
        <v>25</v>
      </c>
      <c r="Y118" s="256">
        <v>875</v>
      </c>
      <c r="Z118" s="254">
        <v>0</v>
      </c>
      <c r="AA118" s="255">
        <v>0</v>
      </c>
      <c r="AB118" s="255">
        <v>0</v>
      </c>
      <c r="AC118" s="255">
        <v>0</v>
      </c>
      <c r="AD118" s="255">
        <v>520</v>
      </c>
      <c r="AE118" s="256">
        <v>520</v>
      </c>
      <c r="AF118" s="254">
        <v>0</v>
      </c>
      <c r="AG118" s="255">
        <v>0</v>
      </c>
      <c r="AH118" s="254">
        <v>0</v>
      </c>
    </row>
    <row r="119" spans="1:36">
      <c r="A119" s="249"/>
      <c r="B119" s="239" t="s">
        <v>32</v>
      </c>
      <c r="C119" s="624">
        <f t="shared" si="112"/>
        <v>5.3700361010830325E-2</v>
      </c>
      <c r="D119" s="625">
        <f t="shared" si="112"/>
        <v>5.7570523891767415E-3</v>
      </c>
      <c r="E119" s="625">
        <f t="shared" si="112"/>
        <v>0</v>
      </c>
      <c r="F119" s="625">
        <f t="shared" si="112"/>
        <v>2.9850746268656717E-3</v>
      </c>
      <c r="G119" s="625">
        <f t="shared" si="112"/>
        <v>8.1871345029239762E-2</v>
      </c>
      <c r="H119" s="626">
        <f t="shared" si="112"/>
        <v>1.1494252873563218E-2</v>
      </c>
      <c r="I119" s="624">
        <f t="shared" si="112"/>
        <v>3.4902228285584355E-2</v>
      </c>
      <c r="J119" s="624">
        <f t="shared" si="112"/>
        <v>0</v>
      </c>
      <c r="K119" s="625">
        <f t="shared" si="112"/>
        <v>0</v>
      </c>
      <c r="L119" s="625">
        <f t="shared" si="112"/>
        <v>0</v>
      </c>
      <c r="M119" s="625">
        <f t="shared" si="112"/>
        <v>0</v>
      </c>
      <c r="N119" s="793">
        <f t="shared" si="113"/>
        <v>8.4175084175084171E-4</v>
      </c>
      <c r="O119" s="624">
        <f t="shared" si="113"/>
        <v>0</v>
      </c>
      <c r="P119" s="625">
        <f t="shared" si="113"/>
        <v>0</v>
      </c>
      <c r="Q119" s="624">
        <f t="shared" si="113"/>
        <v>0</v>
      </c>
      <c r="R119" s="253"/>
      <c r="S119" s="254">
        <v>238</v>
      </c>
      <c r="T119" s="255">
        <v>10</v>
      </c>
      <c r="U119" s="255">
        <v>0</v>
      </c>
      <c r="V119" s="255">
        <v>2</v>
      </c>
      <c r="W119" s="255">
        <v>56</v>
      </c>
      <c r="X119" s="255">
        <v>1</v>
      </c>
      <c r="Y119" s="256">
        <v>307</v>
      </c>
      <c r="Z119" s="254">
        <v>0</v>
      </c>
      <c r="AA119" s="255">
        <v>0</v>
      </c>
      <c r="AB119" s="255">
        <v>0</v>
      </c>
      <c r="AC119" s="255">
        <v>0</v>
      </c>
      <c r="AD119" s="255">
        <v>2</v>
      </c>
      <c r="AE119" s="256">
        <v>2</v>
      </c>
      <c r="AF119" s="254">
        <v>0</v>
      </c>
      <c r="AG119" s="255">
        <v>0</v>
      </c>
      <c r="AH119" s="254">
        <v>0</v>
      </c>
    </row>
    <row r="120" spans="1:36">
      <c r="A120" s="249"/>
      <c r="B120" s="239" t="s">
        <v>58</v>
      </c>
      <c r="C120" s="624">
        <f t="shared" si="112"/>
        <v>0</v>
      </c>
      <c r="D120" s="625">
        <f t="shared" si="112"/>
        <v>0</v>
      </c>
      <c r="E120" s="792">
        <f t="shared" si="112"/>
        <v>0</v>
      </c>
      <c r="F120" s="625">
        <f t="shared" si="112"/>
        <v>0</v>
      </c>
      <c r="G120" s="792">
        <f t="shared" si="112"/>
        <v>0</v>
      </c>
      <c r="H120" s="626">
        <f t="shared" si="112"/>
        <v>0</v>
      </c>
      <c r="I120" s="793">
        <f t="shared" si="112"/>
        <v>0</v>
      </c>
      <c r="J120" s="624">
        <f t="shared" si="112"/>
        <v>0</v>
      </c>
      <c r="K120" s="625">
        <f t="shared" si="112"/>
        <v>1</v>
      </c>
      <c r="L120" s="625">
        <f t="shared" si="112"/>
        <v>1</v>
      </c>
      <c r="M120" s="625">
        <f t="shared" si="112"/>
        <v>1</v>
      </c>
      <c r="N120" s="624">
        <f t="shared" si="113"/>
        <v>0</v>
      </c>
      <c r="O120" s="624">
        <f t="shared" si="113"/>
        <v>0</v>
      </c>
      <c r="P120" s="625">
        <f t="shared" si="113"/>
        <v>0</v>
      </c>
      <c r="Q120" s="624">
        <f t="shared" si="113"/>
        <v>0</v>
      </c>
      <c r="R120" s="253"/>
      <c r="S120" s="254">
        <v>0</v>
      </c>
      <c r="T120" s="255">
        <v>0</v>
      </c>
      <c r="U120" s="255">
        <v>0</v>
      </c>
      <c r="V120" s="255">
        <v>0</v>
      </c>
      <c r="W120" s="255">
        <v>0</v>
      </c>
      <c r="X120" s="255">
        <v>0</v>
      </c>
      <c r="Y120" s="256">
        <v>0</v>
      </c>
      <c r="Z120" s="254">
        <v>0</v>
      </c>
      <c r="AA120" s="255">
        <v>327</v>
      </c>
      <c r="AB120" s="255">
        <v>122</v>
      </c>
      <c r="AC120" s="255">
        <v>85</v>
      </c>
      <c r="AD120" s="255">
        <v>0</v>
      </c>
      <c r="AE120" s="256">
        <v>0</v>
      </c>
      <c r="AF120" s="254">
        <v>0</v>
      </c>
      <c r="AG120" s="255">
        <v>0</v>
      </c>
      <c r="AH120" s="254">
        <v>0</v>
      </c>
    </row>
    <row r="121" spans="1:36" s="406" customFormat="1">
      <c r="A121" s="435"/>
      <c r="B121" s="436" t="s">
        <v>59</v>
      </c>
      <c r="C121" s="577">
        <f t="shared" si="112"/>
        <v>1</v>
      </c>
      <c r="D121" s="578">
        <f t="shared" si="112"/>
        <v>1</v>
      </c>
      <c r="E121" s="578">
        <f t="shared" si="112"/>
        <v>1</v>
      </c>
      <c r="F121" s="578">
        <f t="shared" si="112"/>
        <v>1</v>
      </c>
      <c r="G121" s="578">
        <f t="shared" si="112"/>
        <v>1</v>
      </c>
      <c r="H121" s="579">
        <f t="shared" si="112"/>
        <v>1</v>
      </c>
      <c r="I121" s="577">
        <f t="shared" si="112"/>
        <v>1</v>
      </c>
      <c r="J121" s="577">
        <f t="shared" si="112"/>
        <v>0</v>
      </c>
      <c r="K121" s="578">
        <f t="shared" si="112"/>
        <v>1</v>
      </c>
      <c r="L121" s="578">
        <f t="shared" si="112"/>
        <v>1</v>
      </c>
      <c r="M121" s="578">
        <f t="shared" si="112"/>
        <v>1</v>
      </c>
      <c r="N121" s="577">
        <f t="shared" si="113"/>
        <v>1</v>
      </c>
      <c r="O121" s="577">
        <f t="shared" si="113"/>
        <v>0</v>
      </c>
      <c r="P121" s="578">
        <f t="shared" si="113"/>
        <v>0</v>
      </c>
      <c r="Q121" s="577">
        <f t="shared" si="113"/>
        <v>0</v>
      </c>
      <c r="R121" s="264"/>
      <c r="S121" s="265">
        <v>4432</v>
      </c>
      <c r="T121" s="266">
        <v>1737</v>
      </c>
      <c r="U121" s="266">
        <v>1186</v>
      </c>
      <c r="V121" s="266">
        <v>670</v>
      </c>
      <c r="W121" s="266">
        <v>684</v>
      </c>
      <c r="X121" s="266">
        <v>87</v>
      </c>
      <c r="Y121" s="267">
        <v>8796</v>
      </c>
      <c r="Z121" s="265">
        <v>0</v>
      </c>
      <c r="AA121" s="266">
        <v>327</v>
      </c>
      <c r="AB121" s="266">
        <v>122</v>
      </c>
      <c r="AC121" s="266">
        <v>85</v>
      </c>
      <c r="AD121" s="266">
        <v>2342</v>
      </c>
      <c r="AE121" s="267">
        <v>2376</v>
      </c>
      <c r="AF121" s="265">
        <v>0</v>
      </c>
      <c r="AG121" s="266">
        <v>0</v>
      </c>
      <c r="AH121" s="265">
        <v>0</v>
      </c>
      <c r="AI121" s="405"/>
      <c r="AJ121" s="405"/>
    </row>
    <row r="122" spans="1:36">
      <c r="A122" s="239" t="s">
        <v>18</v>
      </c>
      <c r="B122" s="240" t="s">
        <v>53</v>
      </c>
      <c r="C122" s="613">
        <f t="shared" ref="C122:M128" si="114">IF(S$128&gt;0,(S122/S$128),0)</f>
        <v>0.29494949494949496</v>
      </c>
      <c r="D122" s="614">
        <f t="shared" si="114"/>
        <v>0</v>
      </c>
      <c r="E122" s="614">
        <f t="shared" si="114"/>
        <v>0.40600000000000003</v>
      </c>
      <c r="F122" s="614">
        <f t="shared" si="114"/>
        <v>0</v>
      </c>
      <c r="G122" s="614">
        <f t="shared" si="114"/>
        <v>0.28382838283828382</v>
      </c>
      <c r="H122" s="615">
        <f t="shared" si="114"/>
        <v>0.22390572390572391</v>
      </c>
      <c r="I122" s="613">
        <f t="shared" si="114"/>
        <v>0.29912023460410558</v>
      </c>
      <c r="J122" s="613">
        <f t="shared" si="114"/>
        <v>0</v>
      </c>
      <c r="K122" s="614">
        <f t="shared" si="114"/>
        <v>0</v>
      </c>
      <c r="L122" s="614">
        <f t="shared" si="114"/>
        <v>0</v>
      </c>
      <c r="M122" s="614">
        <f t="shared" si="114"/>
        <v>0</v>
      </c>
      <c r="N122" s="613">
        <f t="shared" ref="N122:Q128" si="115">IF(AE$128&gt;0,(AE122/AE$128),0)</f>
        <v>0.20418848167539266</v>
      </c>
      <c r="O122" s="788">
        <f t="shared" si="115"/>
        <v>0</v>
      </c>
      <c r="P122" s="614">
        <f t="shared" si="115"/>
        <v>0</v>
      </c>
      <c r="Q122" s="788">
        <f t="shared" si="115"/>
        <v>0</v>
      </c>
      <c r="R122" s="244"/>
      <c r="S122" s="245">
        <v>292</v>
      </c>
      <c r="T122" s="246">
        <v>0</v>
      </c>
      <c r="U122" s="246">
        <v>203</v>
      </c>
      <c r="V122" s="246">
        <v>0</v>
      </c>
      <c r="W122" s="246">
        <v>86</v>
      </c>
      <c r="X122" s="246">
        <v>133</v>
      </c>
      <c r="Y122" s="247">
        <v>714</v>
      </c>
      <c r="Z122" s="245">
        <v>0</v>
      </c>
      <c r="AA122" s="246">
        <v>0</v>
      </c>
      <c r="AB122" s="246">
        <v>0</v>
      </c>
      <c r="AC122" s="246">
        <v>0</v>
      </c>
      <c r="AD122" s="246">
        <v>0</v>
      </c>
      <c r="AE122" s="247">
        <v>117</v>
      </c>
      <c r="AF122" s="245">
        <v>0</v>
      </c>
      <c r="AG122" s="246">
        <v>0</v>
      </c>
      <c r="AH122" s="245">
        <v>0</v>
      </c>
    </row>
    <row r="123" spans="1:36">
      <c r="A123" s="249"/>
      <c r="B123" s="239" t="s">
        <v>93</v>
      </c>
      <c r="C123" s="624">
        <f t="shared" si="114"/>
        <v>0.26464646464646463</v>
      </c>
      <c r="D123" s="625">
        <f t="shared" si="114"/>
        <v>0</v>
      </c>
      <c r="E123" s="625">
        <f t="shared" si="114"/>
        <v>0.23599999999999999</v>
      </c>
      <c r="F123" s="625">
        <f t="shared" si="114"/>
        <v>0</v>
      </c>
      <c r="G123" s="625">
        <f t="shared" si="114"/>
        <v>0.25412541254125415</v>
      </c>
      <c r="H123" s="626">
        <f t="shared" si="114"/>
        <v>0.25084175084175087</v>
      </c>
      <c r="I123" s="624">
        <f t="shared" si="114"/>
        <v>0.25387515710096353</v>
      </c>
      <c r="J123" s="624">
        <f t="shared" si="114"/>
        <v>0</v>
      </c>
      <c r="K123" s="625">
        <f t="shared" si="114"/>
        <v>0</v>
      </c>
      <c r="L123" s="625">
        <f t="shared" si="114"/>
        <v>0</v>
      </c>
      <c r="M123" s="625">
        <f t="shared" si="114"/>
        <v>0</v>
      </c>
      <c r="N123" s="624">
        <f t="shared" si="115"/>
        <v>0.11867364746945899</v>
      </c>
      <c r="O123" s="624">
        <f t="shared" si="115"/>
        <v>0</v>
      </c>
      <c r="P123" s="625">
        <f t="shared" si="115"/>
        <v>0</v>
      </c>
      <c r="Q123" s="624">
        <f t="shared" si="115"/>
        <v>0</v>
      </c>
      <c r="R123" s="253"/>
      <c r="S123" s="254">
        <v>262</v>
      </c>
      <c r="T123" s="255">
        <v>0</v>
      </c>
      <c r="U123" s="255">
        <v>118</v>
      </c>
      <c r="V123" s="255">
        <v>0</v>
      </c>
      <c r="W123" s="255">
        <v>77</v>
      </c>
      <c r="X123" s="255">
        <v>149</v>
      </c>
      <c r="Y123" s="256">
        <v>606</v>
      </c>
      <c r="Z123" s="254">
        <v>0</v>
      </c>
      <c r="AA123" s="255">
        <v>0</v>
      </c>
      <c r="AB123" s="255">
        <v>0</v>
      </c>
      <c r="AC123" s="255">
        <v>0</v>
      </c>
      <c r="AD123" s="255">
        <v>0</v>
      </c>
      <c r="AE123" s="256">
        <v>68</v>
      </c>
      <c r="AF123" s="254">
        <v>0</v>
      </c>
      <c r="AG123" s="255">
        <v>0</v>
      </c>
      <c r="AH123" s="254">
        <v>0</v>
      </c>
    </row>
    <row r="124" spans="1:36">
      <c r="A124" s="249"/>
      <c r="B124" s="239" t="s">
        <v>55</v>
      </c>
      <c r="C124" s="624">
        <f t="shared" si="114"/>
        <v>0.36363636363636365</v>
      </c>
      <c r="D124" s="625">
        <f t="shared" si="114"/>
        <v>0</v>
      </c>
      <c r="E124" s="625">
        <f t="shared" si="114"/>
        <v>0.23400000000000001</v>
      </c>
      <c r="F124" s="625">
        <f t="shared" si="114"/>
        <v>0</v>
      </c>
      <c r="G124" s="625">
        <f t="shared" si="114"/>
        <v>0.35973597359735976</v>
      </c>
      <c r="H124" s="626">
        <f t="shared" si="114"/>
        <v>0.35858585858585856</v>
      </c>
      <c r="I124" s="624">
        <f t="shared" si="114"/>
        <v>0.33472978634268957</v>
      </c>
      <c r="J124" s="624">
        <f t="shared" si="114"/>
        <v>0</v>
      </c>
      <c r="K124" s="625">
        <f t="shared" si="114"/>
        <v>0</v>
      </c>
      <c r="L124" s="625">
        <f t="shared" si="114"/>
        <v>0</v>
      </c>
      <c r="M124" s="625">
        <f t="shared" si="114"/>
        <v>0</v>
      </c>
      <c r="N124" s="624">
        <f t="shared" si="115"/>
        <v>0.27050610820244331</v>
      </c>
      <c r="O124" s="624">
        <f t="shared" si="115"/>
        <v>0</v>
      </c>
      <c r="P124" s="625">
        <f t="shared" si="115"/>
        <v>0</v>
      </c>
      <c r="Q124" s="624">
        <f t="shared" si="115"/>
        <v>0</v>
      </c>
      <c r="R124" s="253"/>
      <c r="S124" s="254">
        <v>360</v>
      </c>
      <c r="T124" s="255">
        <v>0</v>
      </c>
      <c r="U124" s="255">
        <v>117</v>
      </c>
      <c r="V124" s="255">
        <v>0</v>
      </c>
      <c r="W124" s="255">
        <v>109</v>
      </c>
      <c r="X124" s="255">
        <v>213</v>
      </c>
      <c r="Y124" s="256">
        <v>799</v>
      </c>
      <c r="Z124" s="254">
        <v>0</v>
      </c>
      <c r="AA124" s="255">
        <v>0</v>
      </c>
      <c r="AB124" s="255">
        <v>0</v>
      </c>
      <c r="AC124" s="255">
        <v>0</v>
      </c>
      <c r="AD124" s="255">
        <v>0</v>
      </c>
      <c r="AE124" s="256">
        <v>155</v>
      </c>
      <c r="AF124" s="254">
        <v>0</v>
      </c>
      <c r="AG124" s="255">
        <v>0</v>
      </c>
      <c r="AH124" s="254">
        <v>0</v>
      </c>
    </row>
    <row r="125" spans="1:36">
      <c r="A125" s="249"/>
      <c r="B125" s="239" t="s">
        <v>78</v>
      </c>
      <c r="C125" s="624">
        <f t="shared" si="114"/>
        <v>5.1515151515151514E-2</v>
      </c>
      <c r="D125" s="625">
        <f t="shared" si="114"/>
        <v>0</v>
      </c>
      <c r="E125" s="625">
        <f t="shared" si="114"/>
        <v>0.124</v>
      </c>
      <c r="F125" s="625">
        <f t="shared" si="114"/>
        <v>0</v>
      </c>
      <c r="G125" s="625">
        <f t="shared" si="114"/>
        <v>4.9504950495049507E-2</v>
      </c>
      <c r="H125" s="626">
        <f t="shared" si="114"/>
        <v>0.132996632996633</v>
      </c>
      <c r="I125" s="624">
        <f t="shared" si="114"/>
        <v>8.6719731881022208E-2</v>
      </c>
      <c r="J125" s="624">
        <f t="shared" si="114"/>
        <v>0</v>
      </c>
      <c r="K125" s="625">
        <f t="shared" si="114"/>
        <v>0</v>
      </c>
      <c r="L125" s="625">
        <f t="shared" si="114"/>
        <v>0</v>
      </c>
      <c r="M125" s="625">
        <f t="shared" si="114"/>
        <v>0</v>
      </c>
      <c r="N125" s="624">
        <f t="shared" si="115"/>
        <v>0.32460732984293195</v>
      </c>
      <c r="O125" s="624">
        <f t="shared" si="115"/>
        <v>0</v>
      </c>
      <c r="P125" s="625">
        <f t="shared" si="115"/>
        <v>0</v>
      </c>
      <c r="Q125" s="624">
        <f t="shared" si="115"/>
        <v>0</v>
      </c>
      <c r="R125" s="253"/>
      <c r="S125" s="254">
        <v>51</v>
      </c>
      <c r="T125" s="255">
        <v>0</v>
      </c>
      <c r="U125" s="255">
        <v>62</v>
      </c>
      <c r="V125" s="255">
        <v>0</v>
      </c>
      <c r="W125" s="255">
        <v>15</v>
      </c>
      <c r="X125" s="255">
        <v>79</v>
      </c>
      <c r="Y125" s="256">
        <v>207</v>
      </c>
      <c r="Z125" s="254">
        <v>0</v>
      </c>
      <c r="AA125" s="255">
        <v>0</v>
      </c>
      <c r="AB125" s="255">
        <v>0</v>
      </c>
      <c r="AC125" s="255">
        <v>0</v>
      </c>
      <c r="AD125" s="255">
        <v>0</v>
      </c>
      <c r="AE125" s="256">
        <v>186</v>
      </c>
      <c r="AF125" s="254">
        <v>0</v>
      </c>
      <c r="AG125" s="255">
        <v>0</v>
      </c>
      <c r="AH125" s="254">
        <v>0</v>
      </c>
    </row>
    <row r="126" spans="1:36">
      <c r="A126" s="249"/>
      <c r="B126" s="239" t="s">
        <v>32</v>
      </c>
      <c r="C126" s="624">
        <f t="shared" si="114"/>
        <v>2.5252525252525252E-2</v>
      </c>
      <c r="D126" s="625">
        <f t="shared" si="114"/>
        <v>0</v>
      </c>
      <c r="E126" s="625">
        <f t="shared" si="114"/>
        <v>0</v>
      </c>
      <c r="F126" s="625">
        <f t="shared" si="114"/>
        <v>0</v>
      </c>
      <c r="G126" s="625">
        <f t="shared" si="114"/>
        <v>5.2805280528052806E-2</v>
      </c>
      <c r="H126" s="626">
        <f t="shared" si="114"/>
        <v>3.3670033670033669E-2</v>
      </c>
      <c r="I126" s="624">
        <f t="shared" si="114"/>
        <v>2.5555090071219103E-2</v>
      </c>
      <c r="J126" s="624">
        <f t="shared" si="114"/>
        <v>0</v>
      </c>
      <c r="K126" s="625">
        <f t="shared" si="114"/>
        <v>0</v>
      </c>
      <c r="L126" s="625">
        <f t="shared" si="114"/>
        <v>0</v>
      </c>
      <c r="M126" s="625">
        <f t="shared" si="114"/>
        <v>0</v>
      </c>
      <c r="N126" s="624">
        <f t="shared" si="115"/>
        <v>8.2024432809773118E-2</v>
      </c>
      <c r="O126" s="624">
        <f t="shared" si="115"/>
        <v>0</v>
      </c>
      <c r="P126" s="625">
        <f t="shared" si="115"/>
        <v>0</v>
      </c>
      <c r="Q126" s="624">
        <f t="shared" si="115"/>
        <v>0</v>
      </c>
      <c r="R126" s="253"/>
      <c r="S126" s="254">
        <v>25</v>
      </c>
      <c r="T126" s="255">
        <v>0</v>
      </c>
      <c r="U126" s="255">
        <v>0</v>
      </c>
      <c r="V126" s="255">
        <v>0</v>
      </c>
      <c r="W126" s="255">
        <v>16</v>
      </c>
      <c r="X126" s="255">
        <v>20</v>
      </c>
      <c r="Y126" s="256">
        <v>61</v>
      </c>
      <c r="Z126" s="254">
        <v>0</v>
      </c>
      <c r="AA126" s="255">
        <v>0</v>
      </c>
      <c r="AB126" s="255">
        <v>0</v>
      </c>
      <c r="AC126" s="255">
        <v>0</v>
      </c>
      <c r="AD126" s="255">
        <v>0</v>
      </c>
      <c r="AE126" s="256">
        <v>47</v>
      </c>
      <c r="AF126" s="254">
        <v>0</v>
      </c>
      <c r="AG126" s="255">
        <v>0</v>
      </c>
      <c r="AH126" s="254">
        <v>0</v>
      </c>
    </row>
    <row r="127" spans="1:36">
      <c r="A127" s="249"/>
      <c r="B127" s="239" t="s">
        <v>58</v>
      </c>
      <c r="C127" s="624">
        <f t="shared" si="114"/>
        <v>0</v>
      </c>
      <c r="D127" s="625">
        <f t="shared" si="114"/>
        <v>0</v>
      </c>
      <c r="E127" s="792">
        <f t="shared" si="114"/>
        <v>0</v>
      </c>
      <c r="F127" s="625">
        <f t="shared" si="114"/>
        <v>0</v>
      </c>
      <c r="G127" s="792">
        <f t="shared" si="114"/>
        <v>0</v>
      </c>
      <c r="H127" s="626">
        <f t="shared" si="114"/>
        <v>0</v>
      </c>
      <c r="I127" s="793">
        <f t="shared" si="114"/>
        <v>0</v>
      </c>
      <c r="J127" s="624">
        <f t="shared" si="114"/>
        <v>0</v>
      </c>
      <c r="K127" s="625">
        <f t="shared" si="114"/>
        <v>1</v>
      </c>
      <c r="L127" s="625">
        <f t="shared" si="114"/>
        <v>1</v>
      </c>
      <c r="M127" s="625">
        <f t="shared" si="114"/>
        <v>1</v>
      </c>
      <c r="N127" s="624">
        <f t="shared" si="115"/>
        <v>0</v>
      </c>
      <c r="O127" s="624">
        <f t="shared" si="115"/>
        <v>0</v>
      </c>
      <c r="P127" s="625">
        <f t="shared" si="115"/>
        <v>0</v>
      </c>
      <c r="Q127" s="624">
        <f t="shared" si="115"/>
        <v>0</v>
      </c>
      <c r="R127" s="253"/>
      <c r="S127" s="254">
        <v>0</v>
      </c>
      <c r="T127" s="255">
        <v>0</v>
      </c>
      <c r="U127" s="255">
        <v>0</v>
      </c>
      <c r="V127" s="255">
        <v>0</v>
      </c>
      <c r="W127" s="255">
        <v>0</v>
      </c>
      <c r="X127" s="255">
        <v>0</v>
      </c>
      <c r="Y127" s="256">
        <v>0</v>
      </c>
      <c r="Z127" s="254">
        <v>0</v>
      </c>
      <c r="AA127" s="255">
        <v>327</v>
      </c>
      <c r="AB127" s="255">
        <v>122</v>
      </c>
      <c r="AC127" s="255">
        <v>85</v>
      </c>
      <c r="AD127" s="255">
        <v>0</v>
      </c>
      <c r="AE127" s="256">
        <v>0</v>
      </c>
      <c r="AF127" s="254">
        <v>0</v>
      </c>
      <c r="AG127" s="255">
        <v>0</v>
      </c>
      <c r="AH127" s="254">
        <v>0</v>
      </c>
    </row>
    <row r="128" spans="1:36" s="406" customFormat="1">
      <c r="A128" s="435"/>
      <c r="B128" s="436" t="s">
        <v>59</v>
      </c>
      <c r="C128" s="577">
        <f t="shared" si="114"/>
        <v>1</v>
      </c>
      <c r="D128" s="578">
        <f t="shared" si="114"/>
        <v>0</v>
      </c>
      <c r="E128" s="578">
        <f t="shared" si="114"/>
        <v>1</v>
      </c>
      <c r="F128" s="578">
        <f t="shared" si="114"/>
        <v>0</v>
      </c>
      <c r="G128" s="578">
        <f t="shared" si="114"/>
        <v>1</v>
      </c>
      <c r="H128" s="579">
        <f t="shared" si="114"/>
        <v>1</v>
      </c>
      <c r="I128" s="577">
        <f t="shared" si="114"/>
        <v>1</v>
      </c>
      <c r="J128" s="577">
        <f t="shared" si="114"/>
        <v>0</v>
      </c>
      <c r="K128" s="578">
        <f t="shared" si="114"/>
        <v>1</v>
      </c>
      <c r="L128" s="578">
        <f t="shared" si="114"/>
        <v>1</v>
      </c>
      <c r="M128" s="578">
        <f t="shared" si="114"/>
        <v>1</v>
      </c>
      <c r="N128" s="577">
        <f t="shared" si="115"/>
        <v>1</v>
      </c>
      <c r="O128" s="577">
        <f t="shared" si="115"/>
        <v>0</v>
      </c>
      <c r="P128" s="578">
        <f t="shared" si="115"/>
        <v>0</v>
      </c>
      <c r="Q128" s="577">
        <f t="shared" si="115"/>
        <v>0</v>
      </c>
      <c r="R128" s="264"/>
      <c r="S128" s="265">
        <v>990</v>
      </c>
      <c r="T128" s="266">
        <v>0</v>
      </c>
      <c r="U128" s="266">
        <v>500</v>
      </c>
      <c r="V128" s="266">
        <v>0</v>
      </c>
      <c r="W128" s="266">
        <v>303</v>
      </c>
      <c r="X128" s="266">
        <v>594</v>
      </c>
      <c r="Y128" s="267">
        <v>2387</v>
      </c>
      <c r="Z128" s="265">
        <v>0</v>
      </c>
      <c r="AA128" s="266">
        <v>327</v>
      </c>
      <c r="AB128" s="266">
        <v>122</v>
      </c>
      <c r="AC128" s="266">
        <v>85</v>
      </c>
      <c r="AD128" s="266">
        <v>0</v>
      </c>
      <c r="AE128" s="267">
        <v>573</v>
      </c>
      <c r="AF128" s="265">
        <v>0</v>
      </c>
      <c r="AG128" s="266">
        <v>0</v>
      </c>
      <c r="AH128" s="265">
        <v>0</v>
      </c>
      <c r="AI128" s="405"/>
      <c r="AJ128" s="405"/>
    </row>
    <row r="129" spans="1:34">
      <c r="A129" s="240" t="s">
        <v>171</v>
      </c>
      <c r="B129" s="240" t="s">
        <v>53</v>
      </c>
      <c r="C129" s="613">
        <f>IF(S$134&gt;0,(S129/S$134),0)</f>
        <v>0.40762533296227088</v>
      </c>
      <c r="D129" s="614">
        <f t="shared" ref="D129:M134" si="116">IF(T$134&gt;0,(T129/T$134),0)</f>
        <v>0.30877561744613768</v>
      </c>
      <c r="E129" s="614">
        <f t="shared" si="116"/>
        <v>0.3739698336184108</v>
      </c>
      <c r="F129" s="614">
        <f t="shared" si="116"/>
        <v>0.27927321668909827</v>
      </c>
      <c r="G129" s="614">
        <f t="shared" si="116"/>
        <v>0.20946745562130178</v>
      </c>
      <c r="H129" s="615">
        <f t="shared" si="116"/>
        <v>0.26121372031662271</v>
      </c>
      <c r="I129" s="613">
        <f t="shared" si="116"/>
        <v>0.36681895952018351</v>
      </c>
      <c r="J129" s="613">
        <f t="shared" si="116"/>
        <v>0</v>
      </c>
      <c r="K129" s="614">
        <f t="shared" si="116"/>
        <v>0</v>
      </c>
      <c r="L129" s="614">
        <f t="shared" si="116"/>
        <v>0</v>
      </c>
      <c r="M129" s="614">
        <f t="shared" si="116"/>
        <v>0</v>
      </c>
      <c r="N129" s="613">
        <f>IF(AE$134&gt;0,(AE129/AE$134),0)</f>
        <v>5.2998826477211457E-2</v>
      </c>
      <c r="O129" s="613">
        <f t="shared" ref="O129:Q134" si="117">IF(AF$134&gt;0,(AF129/AF$134),0)</f>
        <v>0</v>
      </c>
      <c r="P129" s="615">
        <f t="shared" si="117"/>
        <v>0</v>
      </c>
      <c r="Q129" s="613">
        <f t="shared" si="117"/>
        <v>0</v>
      </c>
      <c r="S129" s="796">
        <f t="shared" ref="S129:S134" si="118">T135+S141+S147+S153+S159+S165+S171+S177+S183+S189+S195+S201+S207</f>
        <v>10253</v>
      </c>
      <c r="T129" s="796">
        <f t="shared" ref="T129:T134" si="119">T135+T141+T147+T153+T159+T165+T171+T177+T183+T189+T195+T201+T207</f>
        <v>2938</v>
      </c>
      <c r="U129" s="796">
        <f t="shared" ref="U129:AE129" si="120">U135+U141+U147+U153+U159+U165+U171+U177+U183+U189+U195+U201+U207</f>
        <v>4810</v>
      </c>
      <c r="V129" s="796">
        <f t="shared" si="120"/>
        <v>830</v>
      </c>
      <c r="W129" s="796">
        <f t="shared" si="120"/>
        <v>177</v>
      </c>
      <c r="X129" s="796">
        <f t="shared" si="120"/>
        <v>594</v>
      </c>
      <c r="Y129" s="801">
        <f t="shared" si="120"/>
        <v>19510</v>
      </c>
      <c r="Z129" s="801">
        <f t="shared" si="120"/>
        <v>0</v>
      </c>
      <c r="AA129" s="796">
        <f t="shared" si="120"/>
        <v>0</v>
      </c>
      <c r="AB129" s="796">
        <f t="shared" si="120"/>
        <v>0</v>
      </c>
      <c r="AC129" s="796">
        <f t="shared" si="120"/>
        <v>0</v>
      </c>
      <c r="AD129" s="796">
        <f t="shared" si="120"/>
        <v>0</v>
      </c>
      <c r="AE129" s="801">
        <f t="shared" si="120"/>
        <v>1671</v>
      </c>
      <c r="AF129" s="803"/>
      <c r="AH129" s="803"/>
    </row>
    <row r="130" spans="1:34">
      <c r="A130" s="239"/>
      <c r="B130" s="239" t="s">
        <v>93</v>
      </c>
      <c r="C130" s="624">
        <f t="shared" ref="C130:C134" si="121">IF(S$134&gt;0,(S130/S$134),0)</f>
        <v>0.23774500059635034</v>
      </c>
      <c r="D130" s="625">
        <f t="shared" si="116"/>
        <v>0.26473988439306356</v>
      </c>
      <c r="E130" s="625">
        <f t="shared" si="116"/>
        <v>0.2424195303996268</v>
      </c>
      <c r="F130" s="625">
        <f t="shared" si="116"/>
        <v>0.23620457604306863</v>
      </c>
      <c r="G130" s="625">
        <f t="shared" si="116"/>
        <v>0.15976331360946747</v>
      </c>
      <c r="H130" s="626">
        <f t="shared" si="116"/>
        <v>0.23658751099384345</v>
      </c>
      <c r="I130" s="624">
        <f t="shared" si="116"/>
        <v>0.2419952243969391</v>
      </c>
      <c r="J130" s="624">
        <f t="shared" si="116"/>
        <v>0</v>
      </c>
      <c r="K130" s="625">
        <f t="shared" si="116"/>
        <v>0</v>
      </c>
      <c r="L130" s="625">
        <f t="shared" si="116"/>
        <v>0</v>
      </c>
      <c r="M130" s="625">
        <f t="shared" si="116"/>
        <v>0</v>
      </c>
      <c r="N130" s="624">
        <f t="shared" ref="N130:N134" si="122">IF(AE$134&gt;0,(AE130/AE$134),0)</f>
        <v>2.2233499318088108E-2</v>
      </c>
      <c r="O130" s="624">
        <f t="shared" si="117"/>
        <v>0</v>
      </c>
      <c r="P130" s="626">
        <f t="shared" si="117"/>
        <v>0</v>
      </c>
      <c r="Q130" s="624">
        <f t="shared" si="117"/>
        <v>0</v>
      </c>
      <c r="S130" s="796">
        <f t="shared" si="118"/>
        <v>5980</v>
      </c>
      <c r="T130" s="796">
        <f t="shared" si="119"/>
        <v>2519</v>
      </c>
      <c r="U130" s="796">
        <f t="shared" ref="U130:AE134" si="123">U136+U142+U148+U154+U160+U166+U172+U178+U184+U190+U196+U202+U208</f>
        <v>3118</v>
      </c>
      <c r="V130" s="796">
        <f t="shared" si="123"/>
        <v>702</v>
      </c>
      <c r="W130" s="796">
        <f t="shared" si="123"/>
        <v>135</v>
      </c>
      <c r="X130" s="796">
        <f t="shared" si="123"/>
        <v>538</v>
      </c>
      <c r="Y130" s="802">
        <f t="shared" si="123"/>
        <v>12871</v>
      </c>
      <c r="Z130" s="802">
        <f t="shared" si="123"/>
        <v>0</v>
      </c>
      <c r="AA130" s="796">
        <f t="shared" si="123"/>
        <v>0</v>
      </c>
      <c r="AB130" s="796">
        <f t="shared" si="123"/>
        <v>0</v>
      </c>
      <c r="AC130" s="796">
        <f t="shared" si="123"/>
        <v>0</v>
      </c>
      <c r="AD130" s="796">
        <f t="shared" si="123"/>
        <v>0</v>
      </c>
      <c r="AE130" s="802">
        <f t="shared" si="123"/>
        <v>701</v>
      </c>
      <c r="AF130" s="804"/>
      <c r="AH130" s="804"/>
    </row>
    <row r="131" spans="1:34">
      <c r="A131" s="239"/>
      <c r="B131" s="239" t="s">
        <v>55</v>
      </c>
      <c r="C131" s="624">
        <f t="shared" si="121"/>
        <v>0.20140738679282788</v>
      </c>
      <c r="D131" s="625">
        <f t="shared" si="116"/>
        <v>0.24529689963215975</v>
      </c>
      <c r="E131" s="625">
        <f t="shared" si="116"/>
        <v>0.211631161561188</v>
      </c>
      <c r="F131" s="625">
        <f t="shared" si="116"/>
        <v>0.26884253028263794</v>
      </c>
      <c r="G131" s="625">
        <f t="shared" si="116"/>
        <v>0.27928994082840236</v>
      </c>
      <c r="H131" s="626">
        <f t="shared" si="116"/>
        <v>0.31398416886543534</v>
      </c>
      <c r="I131" s="624">
        <f t="shared" si="116"/>
        <v>0.21971534397503148</v>
      </c>
      <c r="J131" s="624">
        <f t="shared" si="116"/>
        <v>0</v>
      </c>
      <c r="K131" s="625">
        <f t="shared" si="116"/>
        <v>0</v>
      </c>
      <c r="L131" s="625">
        <f t="shared" si="116"/>
        <v>0</v>
      </c>
      <c r="M131" s="625">
        <f t="shared" si="116"/>
        <v>0</v>
      </c>
      <c r="N131" s="624">
        <f t="shared" si="122"/>
        <v>2.7815661771702242E-2</v>
      </c>
      <c r="O131" s="624">
        <f t="shared" si="117"/>
        <v>0</v>
      </c>
      <c r="P131" s="626">
        <f t="shared" si="117"/>
        <v>0</v>
      </c>
      <c r="Q131" s="624">
        <f t="shared" si="117"/>
        <v>0</v>
      </c>
      <c r="S131" s="796">
        <f t="shared" si="118"/>
        <v>5066</v>
      </c>
      <c r="T131" s="796">
        <f t="shared" si="119"/>
        <v>2334</v>
      </c>
      <c r="U131" s="796">
        <f t="shared" si="123"/>
        <v>2722</v>
      </c>
      <c r="V131" s="796">
        <f t="shared" si="123"/>
        <v>799</v>
      </c>
      <c r="W131" s="796">
        <f t="shared" si="123"/>
        <v>236</v>
      </c>
      <c r="X131" s="796">
        <f t="shared" si="123"/>
        <v>714</v>
      </c>
      <c r="Y131" s="802">
        <f t="shared" si="123"/>
        <v>11686</v>
      </c>
      <c r="Z131" s="802">
        <f t="shared" si="123"/>
        <v>0</v>
      </c>
      <c r="AA131" s="796">
        <f t="shared" si="123"/>
        <v>0</v>
      </c>
      <c r="AB131" s="796">
        <f t="shared" si="123"/>
        <v>0</v>
      </c>
      <c r="AC131" s="796">
        <f t="shared" si="123"/>
        <v>0</v>
      </c>
      <c r="AD131" s="796">
        <f t="shared" si="123"/>
        <v>0</v>
      </c>
      <c r="AE131" s="802">
        <f t="shared" si="123"/>
        <v>877</v>
      </c>
      <c r="AF131" s="804"/>
      <c r="AH131" s="804"/>
    </row>
    <row r="132" spans="1:34">
      <c r="A132" s="239"/>
      <c r="B132" s="239" t="s">
        <v>78</v>
      </c>
      <c r="C132" s="624">
        <f t="shared" si="121"/>
        <v>5.7011092116248559E-2</v>
      </c>
      <c r="D132" s="625">
        <f t="shared" si="116"/>
        <v>9.6058854440357333E-2</v>
      </c>
      <c r="E132" s="625">
        <f t="shared" si="116"/>
        <v>2.1458560099517961E-2</v>
      </c>
      <c r="F132" s="625">
        <f t="shared" si="116"/>
        <v>7.839838492597577E-2</v>
      </c>
      <c r="G132" s="625">
        <f t="shared" si="116"/>
        <v>0.11242603550295859</v>
      </c>
      <c r="H132" s="626">
        <f t="shared" si="116"/>
        <v>7.4758135444151275E-2</v>
      </c>
      <c r="I132" s="624">
        <f t="shared" si="116"/>
        <v>5.807810179179123E-2</v>
      </c>
      <c r="J132" s="624">
        <f t="shared" si="116"/>
        <v>0</v>
      </c>
      <c r="K132" s="625">
        <f t="shared" si="116"/>
        <v>0</v>
      </c>
      <c r="L132" s="625">
        <f t="shared" si="116"/>
        <v>0</v>
      </c>
      <c r="M132" s="625">
        <f t="shared" si="116"/>
        <v>0</v>
      </c>
      <c r="N132" s="624">
        <f t="shared" si="122"/>
        <v>0.68210219163309971</v>
      </c>
      <c r="O132" s="624">
        <f t="shared" si="117"/>
        <v>0</v>
      </c>
      <c r="P132" s="626">
        <f t="shared" si="117"/>
        <v>0</v>
      </c>
      <c r="Q132" s="624">
        <f t="shared" si="117"/>
        <v>0</v>
      </c>
      <c r="S132" s="796">
        <f t="shared" si="118"/>
        <v>1434</v>
      </c>
      <c r="T132" s="796">
        <f t="shared" si="119"/>
        <v>914</v>
      </c>
      <c r="U132" s="796">
        <f t="shared" si="123"/>
        <v>276</v>
      </c>
      <c r="V132" s="796">
        <f t="shared" si="123"/>
        <v>233</v>
      </c>
      <c r="W132" s="796">
        <f t="shared" si="123"/>
        <v>95</v>
      </c>
      <c r="X132" s="796">
        <f t="shared" si="123"/>
        <v>170</v>
      </c>
      <c r="Y132" s="802">
        <f t="shared" si="123"/>
        <v>3089</v>
      </c>
      <c r="Z132" s="802">
        <f t="shared" si="123"/>
        <v>0</v>
      </c>
      <c r="AA132" s="796">
        <f t="shared" si="123"/>
        <v>0</v>
      </c>
      <c r="AB132" s="796">
        <f t="shared" si="123"/>
        <v>0</v>
      </c>
      <c r="AC132" s="796">
        <f t="shared" si="123"/>
        <v>0</v>
      </c>
      <c r="AD132" s="796">
        <f t="shared" si="123"/>
        <v>0</v>
      </c>
      <c r="AE132" s="802">
        <f t="shared" si="123"/>
        <v>21506</v>
      </c>
      <c r="AF132" s="804"/>
      <c r="AH132" s="804"/>
    </row>
    <row r="133" spans="1:34">
      <c r="A133" s="580"/>
      <c r="B133" s="580" t="s">
        <v>131</v>
      </c>
      <c r="C133" s="624">
        <f t="shared" si="121"/>
        <v>9.6211187532302303E-2</v>
      </c>
      <c r="D133" s="625">
        <f t="shared" si="116"/>
        <v>8.5128744088281666E-2</v>
      </c>
      <c r="E133" s="625">
        <f t="shared" si="116"/>
        <v>0.15052091432125642</v>
      </c>
      <c r="F133" s="625">
        <f t="shared" si="116"/>
        <v>0.13728129205921938</v>
      </c>
      <c r="G133" s="625">
        <f t="shared" si="116"/>
        <v>0.23905325443786982</v>
      </c>
      <c r="H133" s="626">
        <f t="shared" si="116"/>
        <v>0.11345646437994723</v>
      </c>
      <c r="I133" s="624">
        <f t="shared" si="116"/>
        <v>0.11339237031605467</v>
      </c>
      <c r="J133" s="624">
        <f t="shared" si="116"/>
        <v>0</v>
      </c>
      <c r="K133" s="625">
        <f t="shared" si="116"/>
        <v>0</v>
      </c>
      <c r="L133" s="625">
        <f t="shared" si="116"/>
        <v>0</v>
      </c>
      <c r="M133" s="625">
        <f t="shared" si="116"/>
        <v>0</v>
      </c>
      <c r="N133" s="624">
        <f t="shared" si="122"/>
        <v>0.21484982079989851</v>
      </c>
      <c r="O133" s="624">
        <f t="shared" si="117"/>
        <v>0</v>
      </c>
      <c r="P133" s="626">
        <f t="shared" si="117"/>
        <v>0</v>
      </c>
      <c r="Q133" s="624">
        <f t="shared" si="117"/>
        <v>0</v>
      </c>
      <c r="S133" s="796">
        <f t="shared" si="118"/>
        <v>2420</v>
      </c>
      <c r="T133" s="796">
        <f t="shared" si="119"/>
        <v>810</v>
      </c>
      <c r="U133" s="796">
        <f>U139+U145+U151+U157+U163+U169+U175+U181+U187+U193+U199+U205+U211</f>
        <v>1936</v>
      </c>
      <c r="V133" s="796">
        <f t="shared" si="123"/>
        <v>408</v>
      </c>
      <c r="W133" s="796">
        <f t="shared" si="123"/>
        <v>202</v>
      </c>
      <c r="X133" s="796">
        <f t="shared" si="123"/>
        <v>258</v>
      </c>
      <c r="Y133" s="802">
        <f t="shared" si="123"/>
        <v>6031</v>
      </c>
      <c r="Z133" s="802">
        <f t="shared" si="123"/>
        <v>0</v>
      </c>
      <c r="AA133" s="796">
        <f t="shared" si="123"/>
        <v>0</v>
      </c>
      <c r="AB133" s="796">
        <f t="shared" si="123"/>
        <v>0</v>
      </c>
      <c r="AC133" s="796">
        <f t="shared" si="123"/>
        <v>0</v>
      </c>
      <c r="AD133" s="796">
        <f t="shared" si="123"/>
        <v>0</v>
      </c>
      <c r="AE133" s="802">
        <f t="shared" si="123"/>
        <v>6774</v>
      </c>
      <c r="AF133" s="804"/>
      <c r="AH133" s="804"/>
    </row>
    <row r="134" spans="1:34">
      <c r="A134" s="436" t="s">
        <v>86</v>
      </c>
      <c r="B134" s="436" t="s">
        <v>59</v>
      </c>
      <c r="C134" s="577">
        <f t="shared" si="121"/>
        <v>1</v>
      </c>
      <c r="D134" s="578">
        <f t="shared" si="116"/>
        <v>1</v>
      </c>
      <c r="E134" s="578">
        <f t="shared" si="116"/>
        <v>1</v>
      </c>
      <c r="F134" s="578">
        <f t="shared" si="116"/>
        <v>1</v>
      </c>
      <c r="G134" s="578">
        <f t="shared" si="116"/>
        <v>1</v>
      </c>
      <c r="H134" s="579">
        <f t="shared" si="116"/>
        <v>1</v>
      </c>
      <c r="I134" s="577">
        <f t="shared" si="116"/>
        <v>1</v>
      </c>
      <c r="J134" s="577">
        <f t="shared" si="116"/>
        <v>0</v>
      </c>
      <c r="K134" s="578">
        <f t="shared" si="116"/>
        <v>0</v>
      </c>
      <c r="L134" s="578">
        <f t="shared" si="116"/>
        <v>0</v>
      </c>
      <c r="M134" s="578">
        <f t="shared" si="116"/>
        <v>0</v>
      </c>
      <c r="N134" s="577">
        <f t="shared" si="122"/>
        <v>1</v>
      </c>
      <c r="O134" s="577">
        <f t="shared" si="117"/>
        <v>0</v>
      </c>
      <c r="P134" s="579">
        <f t="shared" si="117"/>
        <v>0</v>
      </c>
      <c r="Q134" s="577">
        <f t="shared" si="117"/>
        <v>0</v>
      </c>
      <c r="S134" s="796">
        <f t="shared" si="118"/>
        <v>25153</v>
      </c>
      <c r="T134" s="796">
        <f t="shared" si="119"/>
        <v>9515</v>
      </c>
      <c r="U134" s="796">
        <f t="shared" si="123"/>
        <v>12862</v>
      </c>
      <c r="V134" s="796">
        <f t="shared" si="123"/>
        <v>2972</v>
      </c>
      <c r="W134" s="796">
        <f t="shared" si="123"/>
        <v>845</v>
      </c>
      <c r="X134" s="796">
        <f t="shared" si="123"/>
        <v>2274</v>
      </c>
      <c r="Y134" s="802">
        <f t="shared" si="123"/>
        <v>53187</v>
      </c>
      <c r="Z134" s="802">
        <f t="shared" si="123"/>
        <v>0</v>
      </c>
      <c r="AA134" s="796">
        <f t="shared" si="123"/>
        <v>0</v>
      </c>
      <c r="AB134" s="796">
        <f t="shared" si="123"/>
        <v>0</v>
      </c>
      <c r="AC134" s="796">
        <f t="shared" si="123"/>
        <v>0</v>
      </c>
      <c r="AD134" s="796">
        <f t="shared" si="123"/>
        <v>0</v>
      </c>
      <c r="AE134" s="802">
        <f t="shared" si="123"/>
        <v>31529</v>
      </c>
      <c r="AF134" s="804"/>
      <c r="AH134" s="804"/>
    </row>
    <row r="135" spans="1:34">
      <c r="A135" s="240" t="s">
        <v>136</v>
      </c>
      <c r="B135" s="240" t="s">
        <v>53</v>
      </c>
      <c r="C135" s="613">
        <f t="shared" ref="C135:D140" si="124">IF(T$140&gt;0,(T135/T$140),0)</f>
        <v>0.2119815668202765</v>
      </c>
      <c r="D135" s="614">
        <f t="shared" si="124"/>
        <v>0.21150278293135436</v>
      </c>
      <c r="E135" s="614">
        <f t="shared" ref="E135:M140" si="125">IF(U$140&gt;0,(U135/U$140),0)</f>
        <v>0.21150278293135436</v>
      </c>
      <c r="F135" s="614">
        <f t="shared" si="125"/>
        <v>0</v>
      </c>
      <c r="G135" s="614">
        <f t="shared" si="125"/>
        <v>6.1855670103092786E-2</v>
      </c>
      <c r="H135" s="615">
        <f t="shared" si="125"/>
        <v>0</v>
      </c>
      <c r="I135" s="613">
        <f t="shared" si="125"/>
        <v>0.19813084112149532</v>
      </c>
      <c r="J135" s="613">
        <f t="shared" si="125"/>
        <v>0</v>
      </c>
      <c r="K135" s="614">
        <f t="shared" si="125"/>
        <v>0</v>
      </c>
      <c r="L135" s="614">
        <f t="shared" si="125"/>
        <v>0</v>
      </c>
      <c r="M135" s="614">
        <f t="shared" si="125"/>
        <v>0</v>
      </c>
      <c r="N135" s="613">
        <f>IF(AE$140&gt;0,(AE135/AE$140),0)</f>
        <v>0.18181818181818182</v>
      </c>
      <c r="O135" s="613">
        <f t="shared" ref="O135:Q140" si="126">IF(AF$140&gt;0,(AF135/AF$140),0)</f>
        <v>0</v>
      </c>
      <c r="P135" s="615">
        <f t="shared" si="126"/>
        <v>0</v>
      </c>
      <c r="Q135" s="613">
        <f t="shared" si="126"/>
        <v>0</v>
      </c>
      <c r="S135" s="798"/>
      <c r="T135" s="798">
        <v>92</v>
      </c>
      <c r="U135" s="798">
        <v>114</v>
      </c>
      <c r="V135" s="798"/>
      <c r="W135" s="798">
        <v>6</v>
      </c>
      <c r="X135" s="798"/>
      <c r="Y135" s="803">
        <v>212</v>
      </c>
      <c r="Z135" s="803"/>
      <c r="AA135" s="798"/>
      <c r="AB135" s="798"/>
      <c r="AC135" s="798"/>
      <c r="AD135" s="798"/>
      <c r="AE135" s="803">
        <v>4</v>
      </c>
      <c r="AF135" s="803"/>
      <c r="AG135" s="798"/>
      <c r="AH135" s="803"/>
    </row>
    <row r="136" spans="1:34">
      <c r="A136" s="239"/>
      <c r="B136" s="239" t="s">
        <v>93</v>
      </c>
      <c r="C136" s="624">
        <f t="shared" si="124"/>
        <v>0.27880184331797236</v>
      </c>
      <c r="D136" s="625">
        <f t="shared" si="124"/>
        <v>0.24489795918367346</v>
      </c>
      <c r="E136" s="625">
        <f t="shared" si="125"/>
        <v>0.24489795918367346</v>
      </c>
      <c r="F136" s="625">
        <f t="shared" si="125"/>
        <v>0</v>
      </c>
      <c r="G136" s="625">
        <f t="shared" si="125"/>
        <v>0.29896907216494845</v>
      </c>
      <c r="H136" s="626">
        <f t="shared" si="125"/>
        <v>0</v>
      </c>
      <c r="I136" s="624">
        <f t="shared" si="125"/>
        <v>0.26355140186915887</v>
      </c>
      <c r="J136" s="624">
        <f t="shared" si="125"/>
        <v>0</v>
      </c>
      <c r="K136" s="625">
        <f t="shared" si="125"/>
        <v>0</v>
      </c>
      <c r="L136" s="625">
        <f t="shared" si="125"/>
        <v>0</v>
      </c>
      <c r="M136" s="625">
        <f t="shared" si="125"/>
        <v>0</v>
      </c>
      <c r="N136" s="624">
        <f t="shared" ref="N136:N140" si="127">IF(AE$140&gt;0,(AE136/AE$140),0)</f>
        <v>4.5454545454545456E-2</v>
      </c>
      <c r="O136" s="624">
        <f t="shared" si="126"/>
        <v>0</v>
      </c>
      <c r="P136" s="626">
        <f t="shared" si="126"/>
        <v>0</v>
      </c>
      <c r="Q136" s="624">
        <f t="shared" si="126"/>
        <v>0</v>
      </c>
      <c r="T136" s="349">
        <v>121</v>
      </c>
      <c r="U136" s="349">
        <v>132</v>
      </c>
      <c r="W136" s="349">
        <v>29</v>
      </c>
      <c r="Y136" s="804">
        <v>282</v>
      </c>
      <c r="Z136" s="804"/>
      <c r="AE136" s="804">
        <v>1</v>
      </c>
      <c r="AF136" s="804"/>
      <c r="AH136" s="804"/>
    </row>
    <row r="137" spans="1:34">
      <c r="A137" s="239"/>
      <c r="B137" s="239" t="s">
        <v>55</v>
      </c>
      <c r="C137" s="624">
        <f t="shared" si="124"/>
        <v>0.42626728110599077</v>
      </c>
      <c r="D137" s="625">
        <f t="shared" si="124"/>
        <v>0.34508348794063082</v>
      </c>
      <c r="E137" s="625">
        <f t="shared" si="125"/>
        <v>0.34508348794063082</v>
      </c>
      <c r="F137" s="625">
        <f t="shared" si="125"/>
        <v>0</v>
      </c>
      <c r="G137" s="625">
        <f t="shared" si="125"/>
        <v>0.62886597938144329</v>
      </c>
      <c r="H137" s="626">
        <f t="shared" si="125"/>
        <v>0</v>
      </c>
      <c r="I137" s="624">
        <f t="shared" si="125"/>
        <v>0.40373831775700936</v>
      </c>
      <c r="J137" s="624">
        <f t="shared" si="125"/>
        <v>0</v>
      </c>
      <c r="K137" s="625">
        <f t="shared" si="125"/>
        <v>0</v>
      </c>
      <c r="L137" s="625">
        <f t="shared" si="125"/>
        <v>0</v>
      </c>
      <c r="M137" s="625">
        <f t="shared" si="125"/>
        <v>0</v>
      </c>
      <c r="N137" s="624">
        <f t="shared" si="127"/>
        <v>0.45454545454545453</v>
      </c>
      <c r="O137" s="624">
        <f t="shared" si="126"/>
        <v>0</v>
      </c>
      <c r="P137" s="626">
        <f t="shared" si="126"/>
        <v>0</v>
      </c>
      <c r="Q137" s="624">
        <f t="shared" si="126"/>
        <v>0</v>
      </c>
      <c r="T137" s="349">
        <v>185</v>
      </c>
      <c r="U137" s="349">
        <v>186</v>
      </c>
      <c r="W137" s="349">
        <v>61</v>
      </c>
      <c r="Y137" s="804">
        <v>432</v>
      </c>
      <c r="Z137" s="804"/>
      <c r="AE137" s="804">
        <v>10</v>
      </c>
      <c r="AF137" s="804"/>
      <c r="AH137" s="804"/>
    </row>
    <row r="138" spans="1:34">
      <c r="A138" s="239"/>
      <c r="B138" s="239" t="s">
        <v>78</v>
      </c>
      <c r="C138" s="624">
        <f t="shared" si="124"/>
        <v>7.6036866359447008E-2</v>
      </c>
      <c r="D138" s="625">
        <f t="shared" si="124"/>
        <v>9.4619666048237475E-2</v>
      </c>
      <c r="E138" s="625">
        <f t="shared" si="125"/>
        <v>9.4619666048237475E-2</v>
      </c>
      <c r="F138" s="625">
        <f t="shared" si="125"/>
        <v>0</v>
      </c>
      <c r="G138" s="625">
        <f t="shared" si="125"/>
        <v>1.0309278350515464E-2</v>
      </c>
      <c r="H138" s="626">
        <f t="shared" si="125"/>
        <v>0</v>
      </c>
      <c r="I138" s="624">
        <f t="shared" si="125"/>
        <v>7.9439252336448593E-2</v>
      </c>
      <c r="J138" s="624">
        <f t="shared" si="125"/>
        <v>0</v>
      </c>
      <c r="K138" s="625">
        <f t="shared" si="125"/>
        <v>0</v>
      </c>
      <c r="L138" s="625">
        <f t="shared" si="125"/>
        <v>0</v>
      </c>
      <c r="M138" s="625">
        <f t="shared" si="125"/>
        <v>0</v>
      </c>
      <c r="N138" s="624">
        <f t="shared" si="127"/>
        <v>0.18181818181818182</v>
      </c>
      <c r="O138" s="624">
        <f t="shared" si="126"/>
        <v>0</v>
      </c>
      <c r="P138" s="626">
        <f t="shared" si="126"/>
        <v>0</v>
      </c>
      <c r="Q138" s="624">
        <f t="shared" si="126"/>
        <v>0</v>
      </c>
      <c r="T138" s="349">
        <v>33</v>
      </c>
      <c r="U138" s="349">
        <v>51</v>
      </c>
      <c r="W138" s="349">
        <v>1</v>
      </c>
      <c r="Y138" s="804">
        <v>85</v>
      </c>
      <c r="Z138" s="804"/>
      <c r="AE138" s="804">
        <v>4</v>
      </c>
      <c r="AF138" s="804"/>
      <c r="AH138" s="804"/>
    </row>
    <row r="139" spans="1:34">
      <c r="A139" s="580"/>
      <c r="B139" s="580" t="s">
        <v>131</v>
      </c>
      <c r="C139" s="624">
        <f t="shared" si="124"/>
        <v>6.9124423963133645E-3</v>
      </c>
      <c r="D139" s="625">
        <f t="shared" si="124"/>
        <v>0.1038961038961039</v>
      </c>
      <c r="E139" s="625">
        <f t="shared" si="125"/>
        <v>0.1038961038961039</v>
      </c>
      <c r="F139" s="625">
        <f t="shared" si="125"/>
        <v>0</v>
      </c>
      <c r="G139" s="625">
        <f t="shared" si="125"/>
        <v>0</v>
      </c>
      <c r="H139" s="626">
        <f t="shared" si="125"/>
        <v>0</v>
      </c>
      <c r="I139" s="624">
        <f t="shared" si="125"/>
        <v>5.5140186915887852E-2</v>
      </c>
      <c r="J139" s="624">
        <f t="shared" si="125"/>
        <v>0</v>
      </c>
      <c r="K139" s="625">
        <f t="shared" si="125"/>
        <v>0</v>
      </c>
      <c r="L139" s="625">
        <f t="shared" si="125"/>
        <v>0</v>
      </c>
      <c r="M139" s="625">
        <f t="shared" si="125"/>
        <v>0</v>
      </c>
      <c r="N139" s="624">
        <f t="shared" si="127"/>
        <v>0.13636363636363635</v>
      </c>
      <c r="O139" s="624">
        <f t="shared" si="126"/>
        <v>0</v>
      </c>
      <c r="P139" s="626">
        <f t="shared" si="126"/>
        <v>0</v>
      </c>
      <c r="Q139" s="624">
        <f t="shared" si="126"/>
        <v>0</v>
      </c>
      <c r="T139" s="349">
        <v>3</v>
      </c>
      <c r="U139" s="349">
        <v>56</v>
      </c>
      <c r="Y139" s="804">
        <v>59</v>
      </c>
      <c r="Z139" s="804"/>
      <c r="AE139" s="804">
        <v>3</v>
      </c>
      <c r="AF139" s="804"/>
      <c r="AH139" s="804"/>
    </row>
    <row r="140" spans="1:34">
      <c r="A140" s="436"/>
      <c r="B140" s="436" t="s">
        <v>59</v>
      </c>
      <c r="C140" s="577">
        <f t="shared" si="124"/>
        <v>1</v>
      </c>
      <c r="D140" s="578">
        <f t="shared" si="124"/>
        <v>1</v>
      </c>
      <c r="E140" s="578">
        <f t="shared" si="125"/>
        <v>1</v>
      </c>
      <c r="F140" s="578">
        <f t="shared" si="125"/>
        <v>0</v>
      </c>
      <c r="G140" s="578">
        <f t="shared" si="125"/>
        <v>1</v>
      </c>
      <c r="H140" s="579">
        <f t="shared" si="125"/>
        <v>0</v>
      </c>
      <c r="I140" s="577">
        <f t="shared" si="125"/>
        <v>1</v>
      </c>
      <c r="J140" s="577">
        <f t="shared" si="125"/>
        <v>0</v>
      </c>
      <c r="K140" s="578">
        <f t="shared" si="125"/>
        <v>0</v>
      </c>
      <c r="L140" s="578">
        <f t="shared" si="125"/>
        <v>0</v>
      </c>
      <c r="M140" s="578">
        <f t="shared" si="125"/>
        <v>0</v>
      </c>
      <c r="N140" s="577">
        <f t="shared" si="127"/>
        <v>1</v>
      </c>
      <c r="O140" s="577">
        <f t="shared" si="126"/>
        <v>0</v>
      </c>
      <c r="P140" s="579">
        <f t="shared" si="126"/>
        <v>0</v>
      </c>
      <c r="Q140" s="577">
        <f t="shared" si="126"/>
        <v>0</v>
      </c>
      <c r="T140" s="349">
        <v>434</v>
      </c>
      <c r="U140" s="349">
        <v>539</v>
      </c>
      <c r="W140" s="349">
        <v>97</v>
      </c>
      <c r="Y140" s="804">
        <v>1070</v>
      </c>
      <c r="Z140" s="804"/>
      <c r="AE140" s="804">
        <v>22</v>
      </c>
      <c r="AF140" s="804"/>
      <c r="AH140" s="804"/>
    </row>
    <row r="141" spans="1:34">
      <c r="A141" s="240" t="s">
        <v>137</v>
      </c>
      <c r="B141" s="240" t="s">
        <v>53</v>
      </c>
      <c r="C141" s="806">
        <f>IF(S$146&gt;0,(S141/S$146),0)</f>
        <v>0.34626180147996938</v>
      </c>
      <c r="D141" s="806">
        <f t="shared" ref="D141:M146" si="128">IF(T$146&gt;0,(T141/T$146),0)</f>
        <v>0.30317273795534666</v>
      </c>
      <c r="E141" s="806">
        <f t="shared" si="128"/>
        <v>0</v>
      </c>
      <c r="F141" s="806">
        <f t="shared" si="128"/>
        <v>0</v>
      </c>
      <c r="G141" s="806">
        <f t="shared" si="128"/>
        <v>0</v>
      </c>
      <c r="H141" s="806">
        <f t="shared" si="128"/>
        <v>0</v>
      </c>
      <c r="I141" s="613">
        <f t="shared" si="128"/>
        <v>0.33857442348008387</v>
      </c>
      <c r="J141" s="613">
        <f t="shared" si="128"/>
        <v>0</v>
      </c>
      <c r="K141" s="614">
        <f t="shared" si="128"/>
        <v>0</v>
      </c>
      <c r="L141" s="614">
        <f t="shared" si="128"/>
        <v>0</v>
      </c>
      <c r="M141" s="614">
        <f t="shared" si="128"/>
        <v>0</v>
      </c>
      <c r="N141" s="613">
        <f>IF(AE$146&gt;0,(AE141/AE$146),0)</f>
        <v>0</v>
      </c>
      <c r="O141" s="613">
        <f t="shared" ref="O141:Q146" si="129">IF(AF$146&gt;0,(AF141/AF$146),0)</f>
        <v>0</v>
      </c>
      <c r="P141" s="615">
        <f t="shared" si="129"/>
        <v>0</v>
      </c>
      <c r="Q141" s="613">
        <f t="shared" si="129"/>
        <v>0</v>
      </c>
      <c r="S141" s="798">
        <v>1357</v>
      </c>
      <c r="T141" s="798">
        <v>258</v>
      </c>
      <c r="U141" s="798"/>
      <c r="V141" s="798"/>
      <c r="W141" s="798"/>
      <c r="X141" s="798"/>
      <c r="Y141" s="803">
        <v>1615</v>
      </c>
      <c r="Z141" s="803"/>
      <c r="AA141" s="798"/>
      <c r="AB141" s="798"/>
      <c r="AC141" s="798"/>
      <c r="AD141" s="798"/>
      <c r="AE141" s="803"/>
      <c r="AF141" s="803"/>
      <c r="AG141" s="798"/>
      <c r="AH141" s="803"/>
    </row>
    <row r="142" spans="1:34">
      <c r="A142" s="239"/>
      <c r="B142" s="239" t="s">
        <v>93</v>
      </c>
      <c r="C142" s="806">
        <f t="shared" ref="C142:C146" si="130">IF(S$146&gt;0,(S142/S$146),0)</f>
        <v>0.26078081143148762</v>
      </c>
      <c r="D142" s="806">
        <f t="shared" si="128"/>
        <v>0.22444183313748531</v>
      </c>
      <c r="E142" s="806">
        <f t="shared" si="128"/>
        <v>0</v>
      </c>
      <c r="F142" s="806">
        <f t="shared" si="128"/>
        <v>0</v>
      </c>
      <c r="G142" s="806">
        <f t="shared" si="128"/>
        <v>0</v>
      </c>
      <c r="H142" s="806">
        <f t="shared" si="128"/>
        <v>0</v>
      </c>
      <c r="I142" s="624">
        <f t="shared" si="128"/>
        <v>0.25429769392033541</v>
      </c>
      <c r="J142" s="624">
        <f t="shared" si="128"/>
        <v>0</v>
      </c>
      <c r="K142" s="625">
        <f t="shared" si="128"/>
        <v>0</v>
      </c>
      <c r="L142" s="625">
        <f t="shared" si="128"/>
        <v>0</v>
      </c>
      <c r="M142" s="625">
        <f t="shared" si="128"/>
        <v>0</v>
      </c>
      <c r="N142" s="624">
        <f t="shared" ref="N142:N146" si="131">IF(AE$146&gt;0,(AE142/AE$146),0)</f>
        <v>0</v>
      </c>
      <c r="O142" s="624">
        <f t="shared" si="129"/>
        <v>0</v>
      </c>
      <c r="P142" s="626">
        <f t="shared" si="129"/>
        <v>0</v>
      </c>
      <c r="Q142" s="624">
        <f t="shared" si="129"/>
        <v>0</v>
      </c>
      <c r="S142" s="349">
        <v>1022</v>
      </c>
      <c r="T142" s="349">
        <v>191</v>
      </c>
      <c r="Y142" s="804">
        <v>1213</v>
      </c>
      <c r="Z142" s="804"/>
      <c r="AE142" s="804"/>
      <c r="AF142" s="804"/>
      <c r="AH142" s="804"/>
    </row>
    <row r="143" spans="1:34">
      <c r="A143" s="239"/>
      <c r="B143" s="239" t="s">
        <v>55</v>
      </c>
      <c r="C143" s="806">
        <f t="shared" si="130"/>
        <v>0.19979586629242155</v>
      </c>
      <c r="D143" s="806">
        <f t="shared" si="128"/>
        <v>0.209165687426557</v>
      </c>
      <c r="E143" s="806">
        <f t="shared" si="128"/>
        <v>0</v>
      </c>
      <c r="F143" s="806">
        <f t="shared" si="128"/>
        <v>0</v>
      </c>
      <c r="G143" s="806">
        <f t="shared" si="128"/>
        <v>0</v>
      </c>
      <c r="H143" s="806">
        <f t="shared" si="128"/>
        <v>0</v>
      </c>
      <c r="I143" s="624">
        <f t="shared" si="128"/>
        <v>0.20146750524109014</v>
      </c>
      <c r="J143" s="624">
        <f t="shared" si="128"/>
        <v>0</v>
      </c>
      <c r="K143" s="625">
        <f t="shared" si="128"/>
        <v>0</v>
      </c>
      <c r="L143" s="625">
        <f t="shared" si="128"/>
        <v>0</v>
      </c>
      <c r="M143" s="625">
        <f t="shared" si="128"/>
        <v>0</v>
      </c>
      <c r="N143" s="624">
        <f t="shared" si="131"/>
        <v>0</v>
      </c>
      <c r="O143" s="624">
        <f t="shared" si="129"/>
        <v>0</v>
      </c>
      <c r="P143" s="626">
        <f t="shared" si="129"/>
        <v>0</v>
      </c>
      <c r="Q143" s="624">
        <f t="shared" si="129"/>
        <v>0</v>
      </c>
      <c r="S143" s="349">
        <v>783</v>
      </c>
      <c r="T143" s="349">
        <v>178</v>
      </c>
      <c r="Y143" s="804">
        <v>961</v>
      </c>
      <c r="Z143" s="804"/>
      <c r="AE143" s="804"/>
      <c r="AF143" s="804"/>
      <c r="AH143" s="804"/>
    </row>
    <row r="144" spans="1:34">
      <c r="A144" s="239"/>
      <c r="B144" s="239" t="s">
        <v>78</v>
      </c>
      <c r="C144" s="806">
        <f t="shared" si="130"/>
        <v>5.7922939525389128E-2</v>
      </c>
      <c r="D144" s="806">
        <f t="shared" si="128"/>
        <v>0.10693301997649823</v>
      </c>
      <c r="E144" s="806">
        <f t="shared" si="128"/>
        <v>0</v>
      </c>
      <c r="F144" s="806">
        <f t="shared" si="128"/>
        <v>0</v>
      </c>
      <c r="G144" s="806">
        <f t="shared" si="128"/>
        <v>0</v>
      </c>
      <c r="H144" s="806">
        <f t="shared" si="128"/>
        <v>0</v>
      </c>
      <c r="I144" s="624">
        <f t="shared" si="128"/>
        <v>6.6666666666666666E-2</v>
      </c>
      <c r="J144" s="624">
        <f t="shared" si="128"/>
        <v>0</v>
      </c>
      <c r="K144" s="625">
        <f t="shared" si="128"/>
        <v>0</v>
      </c>
      <c r="L144" s="625">
        <f t="shared" si="128"/>
        <v>0</v>
      </c>
      <c r="M144" s="625">
        <f t="shared" si="128"/>
        <v>0</v>
      </c>
      <c r="N144" s="624">
        <f t="shared" si="131"/>
        <v>0.13885647607934656</v>
      </c>
      <c r="O144" s="624">
        <f t="shared" si="129"/>
        <v>0</v>
      </c>
      <c r="P144" s="626">
        <f t="shared" si="129"/>
        <v>0</v>
      </c>
      <c r="Q144" s="624">
        <f t="shared" si="129"/>
        <v>0</v>
      </c>
      <c r="S144" s="349">
        <v>227</v>
      </c>
      <c r="T144" s="349">
        <v>91</v>
      </c>
      <c r="Y144" s="804">
        <v>318</v>
      </c>
      <c r="Z144" s="804"/>
      <c r="AE144" s="804">
        <v>357</v>
      </c>
      <c r="AF144" s="804"/>
      <c r="AH144" s="804"/>
    </row>
    <row r="145" spans="1:34">
      <c r="A145" s="580"/>
      <c r="B145" s="580" t="s">
        <v>131</v>
      </c>
      <c r="C145" s="806">
        <f t="shared" si="130"/>
        <v>0.13523858127073232</v>
      </c>
      <c r="D145" s="806">
        <f t="shared" si="128"/>
        <v>0.1562867215041128</v>
      </c>
      <c r="E145" s="806">
        <f t="shared" si="128"/>
        <v>0</v>
      </c>
      <c r="F145" s="806">
        <f t="shared" si="128"/>
        <v>0</v>
      </c>
      <c r="G145" s="806">
        <f t="shared" si="128"/>
        <v>0</v>
      </c>
      <c r="H145" s="806">
        <f t="shared" si="128"/>
        <v>0</v>
      </c>
      <c r="I145" s="624">
        <f t="shared" si="128"/>
        <v>0.1389937106918239</v>
      </c>
      <c r="J145" s="624">
        <f t="shared" si="128"/>
        <v>0</v>
      </c>
      <c r="K145" s="625">
        <f t="shared" si="128"/>
        <v>0</v>
      </c>
      <c r="L145" s="625">
        <f t="shared" si="128"/>
        <v>0</v>
      </c>
      <c r="M145" s="625">
        <f t="shared" si="128"/>
        <v>0</v>
      </c>
      <c r="N145" s="624">
        <f t="shared" si="131"/>
        <v>0.86114352392065341</v>
      </c>
      <c r="O145" s="624">
        <f t="shared" si="129"/>
        <v>0</v>
      </c>
      <c r="P145" s="626">
        <f t="shared" si="129"/>
        <v>0</v>
      </c>
      <c r="Q145" s="624">
        <f t="shared" si="129"/>
        <v>0</v>
      </c>
      <c r="S145" s="349">
        <v>530</v>
      </c>
      <c r="T145" s="349">
        <v>133</v>
      </c>
      <c r="Y145" s="804">
        <v>663</v>
      </c>
      <c r="Z145" s="804"/>
      <c r="AE145" s="804">
        <v>2214</v>
      </c>
      <c r="AF145" s="804"/>
      <c r="AH145" s="804"/>
    </row>
    <row r="146" spans="1:34">
      <c r="A146" s="436"/>
      <c r="B146" s="436" t="s">
        <v>59</v>
      </c>
      <c r="C146" s="807">
        <f t="shared" si="130"/>
        <v>1</v>
      </c>
      <c r="D146" s="808">
        <f t="shared" si="128"/>
        <v>1</v>
      </c>
      <c r="E146" s="808">
        <f t="shared" si="128"/>
        <v>0</v>
      </c>
      <c r="F146" s="808">
        <f t="shared" si="128"/>
        <v>0</v>
      </c>
      <c r="G146" s="808">
        <f t="shared" si="128"/>
        <v>0</v>
      </c>
      <c r="H146" s="809">
        <f t="shared" si="128"/>
        <v>0</v>
      </c>
      <c r="I146" s="577">
        <f t="shared" si="128"/>
        <v>1</v>
      </c>
      <c r="J146" s="577">
        <f t="shared" si="128"/>
        <v>0</v>
      </c>
      <c r="K146" s="578">
        <f t="shared" si="128"/>
        <v>0</v>
      </c>
      <c r="L146" s="578">
        <f t="shared" si="128"/>
        <v>0</v>
      </c>
      <c r="M146" s="578">
        <f t="shared" si="128"/>
        <v>0</v>
      </c>
      <c r="N146" s="577">
        <f t="shared" si="131"/>
        <v>1</v>
      </c>
      <c r="O146" s="577">
        <f t="shared" si="129"/>
        <v>0</v>
      </c>
      <c r="P146" s="579">
        <f t="shared" si="129"/>
        <v>0</v>
      </c>
      <c r="Q146" s="577">
        <f t="shared" si="129"/>
        <v>0</v>
      </c>
      <c r="S146" s="349">
        <v>3919</v>
      </c>
      <c r="T146" s="349">
        <v>851</v>
      </c>
      <c r="Y146" s="804">
        <v>4770</v>
      </c>
      <c r="Z146" s="804"/>
      <c r="AE146" s="804">
        <v>2571</v>
      </c>
      <c r="AF146" s="804"/>
      <c r="AH146" s="804"/>
    </row>
    <row r="147" spans="1:34">
      <c r="A147" s="240" t="s">
        <v>138</v>
      </c>
      <c r="B147" s="240" t="s">
        <v>53</v>
      </c>
      <c r="C147" s="806">
        <f>IF(S$152&gt;0,(S147/S$152),0)</f>
        <v>0.53367875647668395</v>
      </c>
      <c r="D147" s="806">
        <f t="shared" ref="D147:M152" si="132">IF(T$152&gt;0,(T147/T$152),0)</f>
        <v>0.44093778178539222</v>
      </c>
      <c r="E147" s="806">
        <f t="shared" si="132"/>
        <v>0.40117575511858911</v>
      </c>
      <c r="F147" s="806">
        <f t="shared" si="132"/>
        <v>0.28356336260978671</v>
      </c>
      <c r="G147" s="806">
        <f t="shared" si="132"/>
        <v>0</v>
      </c>
      <c r="H147" s="806">
        <f t="shared" si="132"/>
        <v>0</v>
      </c>
      <c r="I147" s="613">
        <f t="shared" si="132"/>
        <v>0.45786424231004758</v>
      </c>
      <c r="J147" s="613">
        <f t="shared" si="132"/>
        <v>0</v>
      </c>
      <c r="K147" s="614">
        <f t="shared" si="132"/>
        <v>0</v>
      </c>
      <c r="L147" s="614">
        <f t="shared" si="132"/>
        <v>0</v>
      </c>
      <c r="M147" s="614">
        <f t="shared" si="132"/>
        <v>0</v>
      </c>
      <c r="N147" s="613">
        <f>IF(AE$152&gt;0,(AE147/AE$152),0)</f>
        <v>1.0823239120681919E-2</v>
      </c>
      <c r="O147" s="613">
        <f t="shared" ref="O147:Q152" si="133">IF(AF$152&gt;0,(AF147/AF$152),0)</f>
        <v>0</v>
      </c>
      <c r="P147" s="615">
        <f t="shared" si="133"/>
        <v>0</v>
      </c>
      <c r="Q147" s="613">
        <f t="shared" si="133"/>
        <v>0</v>
      </c>
      <c r="R147" s="799"/>
      <c r="S147" s="798">
        <v>5047</v>
      </c>
      <c r="T147" s="798">
        <v>489</v>
      </c>
      <c r="U147" s="798">
        <v>3958</v>
      </c>
      <c r="V147" s="798">
        <v>226</v>
      </c>
      <c r="W147" s="798"/>
      <c r="X147" s="798"/>
      <c r="Y147" s="803">
        <v>9720</v>
      </c>
      <c r="Z147" s="803"/>
      <c r="AA147" s="798"/>
      <c r="AB147" s="798"/>
      <c r="AC147" s="798"/>
      <c r="AD147" s="798"/>
      <c r="AE147" s="803">
        <v>193</v>
      </c>
      <c r="AF147" s="803"/>
      <c r="AG147" s="798"/>
      <c r="AH147" s="803"/>
    </row>
    <row r="148" spans="1:34">
      <c r="A148" s="239"/>
      <c r="B148" s="239" t="s">
        <v>93</v>
      </c>
      <c r="C148" s="806">
        <f t="shared" ref="C148:C152" si="134">IF(S$152&gt;0,(S148/S$152),0)</f>
        <v>0.19234429523104579</v>
      </c>
      <c r="D148" s="806">
        <f t="shared" si="132"/>
        <v>0.25879170423805231</v>
      </c>
      <c r="E148" s="806">
        <f t="shared" si="132"/>
        <v>0.23687411311575107</v>
      </c>
      <c r="F148" s="806">
        <f t="shared" si="132"/>
        <v>0.19573400250941028</v>
      </c>
      <c r="G148" s="806">
        <f t="shared" si="132"/>
        <v>0</v>
      </c>
      <c r="H148" s="806">
        <f t="shared" si="132"/>
        <v>0</v>
      </c>
      <c r="I148" s="624">
        <f t="shared" si="132"/>
        <v>0.21663761835225398</v>
      </c>
      <c r="J148" s="624">
        <f t="shared" si="132"/>
        <v>0</v>
      </c>
      <c r="K148" s="625">
        <f t="shared" si="132"/>
        <v>0</v>
      </c>
      <c r="L148" s="625">
        <f t="shared" si="132"/>
        <v>0</v>
      </c>
      <c r="M148" s="625">
        <f t="shared" si="132"/>
        <v>0</v>
      </c>
      <c r="N148" s="624">
        <f t="shared" ref="N148:N152" si="135">IF(AE$152&gt;0,(AE148/AE$152),0)</f>
        <v>4.7106325706594886E-3</v>
      </c>
      <c r="O148" s="624">
        <f t="shared" si="133"/>
        <v>0</v>
      </c>
      <c r="P148" s="626">
        <f t="shared" si="133"/>
        <v>0</v>
      </c>
      <c r="Q148" s="624">
        <f t="shared" si="133"/>
        <v>0</v>
      </c>
      <c r="S148" s="349">
        <v>1819</v>
      </c>
      <c r="T148" s="349">
        <v>287</v>
      </c>
      <c r="U148" s="349">
        <v>2337</v>
      </c>
      <c r="V148" s="349">
        <v>156</v>
      </c>
      <c r="Y148" s="804">
        <v>4599</v>
      </c>
      <c r="Z148" s="804"/>
      <c r="AE148" s="804">
        <v>84</v>
      </c>
      <c r="AF148" s="804"/>
      <c r="AH148" s="804"/>
    </row>
    <row r="149" spans="1:34">
      <c r="A149" s="239"/>
      <c r="B149" s="239" t="s">
        <v>55</v>
      </c>
      <c r="C149" s="806">
        <f t="shared" si="134"/>
        <v>0.16982129639420535</v>
      </c>
      <c r="D149" s="806">
        <f t="shared" si="132"/>
        <v>0.17132551848512173</v>
      </c>
      <c r="E149" s="806">
        <f t="shared" si="132"/>
        <v>0.20180417595783498</v>
      </c>
      <c r="F149" s="806">
        <f t="shared" si="132"/>
        <v>0.21204516938519449</v>
      </c>
      <c r="G149" s="806">
        <f t="shared" si="132"/>
        <v>0</v>
      </c>
      <c r="H149" s="806">
        <f t="shared" si="132"/>
        <v>0</v>
      </c>
      <c r="I149" s="624">
        <f t="shared" si="132"/>
        <v>0.18634886240520043</v>
      </c>
      <c r="J149" s="624">
        <f t="shared" si="132"/>
        <v>0</v>
      </c>
      <c r="K149" s="625">
        <f t="shared" si="132"/>
        <v>0</v>
      </c>
      <c r="L149" s="625">
        <f t="shared" si="132"/>
        <v>0</v>
      </c>
      <c r="M149" s="625">
        <f t="shared" si="132"/>
        <v>0</v>
      </c>
      <c r="N149" s="624">
        <f t="shared" si="135"/>
        <v>1.9066846119336026E-3</v>
      </c>
      <c r="O149" s="624">
        <f t="shared" si="133"/>
        <v>0</v>
      </c>
      <c r="P149" s="626">
        <f t="shared" si="133"/>
        <v>0</v>
      </c>
      <c r="Q149" s="624">
        <f t="shared" si="133"/>
        <v>0</v>
      </c>
      <c r="S149" s="349">
        <v>1606</v>
      </c>
      <c r="T149" s="349">
        <v>190</v>
      </c>
      <c r="U149" s="349">
        <v>1991</v>
      </c>
      <c r="V149" s="349">
        <v>169</v>
      </c>
      <c r="Y149" s="804">
        <v>3956</v>
      </c>
      <c r="Z149" s="804"/>
      <c r="AE149" s="804">
        <v>34</v>
      </c>
      <c r="AF149" s="804"/>
      <c r="AH149" s="804"/>
    </row>
    <row r="150" spans="1:34">
      <c r="A150" s="239"/>
      <c r="B150" s="239" t="s">
        <v>78</v>
      </c>
      <c r="C150" s="806">
        <f t="shared" si="134"/>
        <v>9.5167600719044099E-4</v>
      </c>
      <c r="D150" s="806">
        <f t="shared" si="132"/>
        <v>0</v>
      </c>
      <c r="E150" s="806">
        <f t="shared" si="132"/>
        <v>0</v>
      </c>
      <c r="F150" s="806">
        <f t="shared" si="132"/>
        <v>0</v>
      </c>
      <c r="G150" s="806">
        <f t="shared" si="132"/>
        <v>0</v>
      </c>
      <c r="H150" s="806">
        <f t="shared" si="132"/>
        <v>0</v>
      </c>
      <c r="I150" s="624">
        <f t="shared" si="132"/>
        <v>4.239483725093033E-4</v>
      </c>
      <c r="J150" s="624">
        <f t="shared" si="132"/>
        <v>0</v>
      </c>
      <c r="K150" s="625">
        <f t="shared" si="132"/>
        <v>0</v>
      </c>
      <c r="L150" s="625">
        <f t="shared" si="132"/>
        <v>0</v>
      </c>
      <c r="M150" s="625">
        <f t="shared" si="132"/>
        <v>0</v>
      </c>
      <c r="N150" s="624">
        <f t="shared" si="135"/>
        <v>0.9786899955136833</v>
      </c>
      <c r="O150" s="624">
        <f t="shared" si="133"/>
        <v>0</v>
      </c>
      <c r="P150" s="626">
        <f t="shared" si="133"/>
        <v>0</v>
      </c>
      <c r="Q150" s="624">
        <f t="shared" si="133"/>
        <v>0</v>
      </c>
      <c r="S150" s="349">
        <v>9</v>
      </c>
      <c r="Y150" s="804">
        <v>9</v>
      </c>
      <c r="Z150" s="804"/>
      <c r="AE150" s="804">
        <v>17452</v>
      </c>
      <c r="AF150" s="804"/>
      <c r="AH150" s="804"/>
    </row>
    <row r="151" spans="1:34">
      <c r="A151" s="580"/>
      <c r="B151" s="580" t="s">
        <v>131</v>
      </c>
      <c r="C151" s="806">
        <f t="shared" si="134"/>
        <v>0.10320397589087449</v>
      </c>
      <c r="D151" s="806">
        <f t="shared" si="132"/>
        <v>0.12894499549143373</v>
      </c>
      <c r="E151" s="806">
        <f t="shared" si="132"/>
        <v>0.16014595580782484</v>
      </c>
      <c r="F151" s="806">
        <f t="shared" si="132"/>
        <v>0.30865746549560852</v>
      </c>
      <c r="G151" s="806">
        <f t="shared" si="132"/>
        <v>0</v>
      </c>
      <c r="H151" s="806">
        <f t="shared" si="132"/>
        <v>0</v>
      </c>
      <c r="I151" s="624">
        <f t="shared" si="132"/>
        <v>0.1387253285599887</v>
      </c>
      <c r="J151" s="624">
        <f t="shared" si="132"/>
        <v>0</v>
      </c>
      <c r="K151" s="625">
        <f t="shared" si="132"/>
        <v>0</v>
      </c>
      <c r="L151" s="625">
        <f t="shared" si="132"/>
        <v>0</v>
      </c>
      <c r="M151" s="625">
        <f t="shared" si="132"/>
        <v>0</v>
      </c>
      <c r="N151" s="624">
        <f t="shared" si="135"/>
        <v>3.8694481830417226E-3</v>
      </c>
      <c r="O151" s="624">
        <f t="shared" si="133"/>
        <v>0</v>
      </c>
      <c r="P151" s="626">
        <f t="shared" si="133"/>
        <v>0</v>
      </c>
      <c r="Q151" s="624">
        <f t="shared" si="133"/>
        <v>0</v>
      </c>
      <c r="S151" s="349">
        <v>976</v>
      </c>
      <c r="T151" s="349">
        <v>143</v>
      </c>
      <c r="U151" s="349">
        <v>1580</v>
      </c>
      <c r="V151" s="349">
        <v>246</v>
      </c>
      <c r="Y151" s="804">
        <v>2945</v>
      </c>
      <c r="Z151" s="804"/>
      <c r="AE151" s="804">
        <v>69</v>
      </c>
      <c r="AF151" s="804"/>
      <c r="AH151" s="804"/>
    </row>
    <row r="152" spans="1:34">
      <c r="A152" s="436"/>
      <c r="B152" s="436" t="s">
        <v>59</v>
      </c>
      <c r="C152" s="807">
        <f t="shared" si="134"/>
        <v>1</v>
      </c>
      <c r="D152" s="808">
        <f t="shared" si="132"/>
        <v>1</v>
      </c>
      <c r="E152" s="808">
        <f t="shared" si="132"/>
        <v>1</v>
      </c>
      <c r="F152" s="808">
        <f t="shared" si="132"/>
        <v>1</v>
      </c>
      <c r="G152" s="808">
        <f t="shared" si="132"/>
        <v>0</v>
      </c>
      <c r="H152" s="809">
        <f t="shared" si="132"/>
        <v>0</v>
      </c>
      <c r="I152" s="577">
        <f t="shared" si="132"/>
        <v>1</v>
      </c>
      <c r="J152" s="577">
        <f t="shared" si="132"/>
        <v>0</v>
      </c>
      <c r="K152" s="578">
        <f t="shared" si="132"/>
        <v>0</v>
      </c>
      <c r="L152" s="578">
        <f t="shared" si="132"/>
        <v>0</v>
      </c>
      <c r="M152" s="578">
        <f t="shared" si="132"/>
        <v>0</v>
      </c>
      <c r="N152" s="577">
        <f t="shared" si="135"/>
        <v>1</v>
      </c>
      <c r="O152" s="577">
        <f t="shared" si="133"/>
        <v>0</v>
      </c>
      <c r="P152" s="579">
        <f t="shared" si="133"/>
        <v>0</v>
      </c>
      <c r="Q152" s="577">
        <f t="shared" si="133"/>
        <v>0</v>
      </c>
      <c r="S152" s="349">
        <v>9457</v>
      </c>
      <c r="T152" s="349">
        <v>1109</v>
      </c>
      <c r="U152" s="349">
        <v>9866</v>
      </c>
      <c r="V152" s="349">
        <v>797</v>
      </c>
      <c r="Y152" s="804">
        <v>21229</v>
      </c>
      <c r="Z152" s="804"/>
      <c r="AE152" s="804">
        <v>17832</v>
      </c>
      <c r="AF152" s="804"/>
      <c r="AH152" s="804"/>
    </row>
    <row r="153" spans="1:34">
      <c r="A153" s="240" t="s">
        <v>139</v>
      </c>
      <c r="B153" s="240" t="s">
        <v>53</v>
      </c>
      <c r="C153" s="806">
        <f>IF(S$158&gt;0,(S153/S$158),0)</f>
        <v>0.32751784298176051</v>
      </c>
      <c r="D153" s="806">
        <f t="shared" ref="D153:M158" si="136">IF(T$158&gt;0,(T153/T$158),0)</f>
        <v>0.24813153961136025</v>
      </c>
      <c r="E153" s="806">
        <f t="shared" si="136"/>
        <v>0.22089552238805971</v>
      </c>
      <c r="F153" s="806">
        <f t="shared" si="136"/>
        <v>0.25405405405405407</v>
      </c>
      <c r="G153" s="806">
        <f t="shared" si="136"/>
        <v>0.28291316526610644</v>
      </c>
      <c r="H153" s="806">
        <f t="shared" si="136"/>
        <v>0.27463054187192121</v>
      </c>
      <c r="I153" s="613">
        <f t="shared" si="136"/>
        <v>0.28888087943773655</v>
      </c>
      <c r="J153" s="613">
        <f t="shared" si="136"/>
        <v>0</v>
      </c>
      <c r="K153" s="614">
        <f t="shared" si="136"/>
        <v>0</v>
      </c>
      <c r="L153" s="614">
        <f t="shared" si="136"/>
        <v>0</v>
      </c>
      <c r="M153" s="614">
        <f t="shared" si="136"/>
        <v>0</v>
      </c>
      <c r="N153" s="613">
        <f>IF(AE$158&gt;0,(AE153/AE$158),0)</f>
        <v>0.29936808846761453</v>
      </c>
      <c r="O153" s="613">
        <f t="shared" ref="O153:Q158" si="137">IF(AF$158&gt;0,(AF153/AF$158),0)</f>
        <v>0</v>
      </c>
      <c r="P153" s="615">
        <f t="shared" si="137"/>
        <v>0</v>
      </c>
      <c r="Q153" s="613">
        <f t="shared" si="137"/>
        <v>0</v>
      </c>
      <c r="R153" s="799"/>
      <c r="S153" s="798">
        <v>826</v>
      </c>
      <c r="T153" s="798">
        <v>332</v>
      </c>
      <c r="U153" s="798">
        <v>74</v>
      </c>
      <c r="V153" s="798">
        <v>47</v>
      </c>
      <c r="W153" s="798">
        <v>101</v>
      </c>
      <c r="X153" s="798">
        <v>223</v>
      </c>
      <c r="Y153" s="803">
        <v>1603</v>
      </c>
      <c r="Z153" s="803"/>
      <c r="AA153" s="798"/>
      <c r="AB153" s="798"/>
      <c r="AC153" s="798"/>
      <c r="AD153" s="798"/>
      <c r="AE153" s="803">
        <v>379</v>
      </c>
      <c r="AF153" s="803"/>
      <c r="AG153" s="798"/>
      <c r="AH153" s="803"/>
    </row>
    <row r="154" spans="1:34">
      <c r="A154" s="239"/>
      <c r="B154" s="239" t="s">
        <v>93</v>
      </c>
      <c r="C154" s="806">
        <f t="shared" ref="C154:C158" si="138">IF(S$158&gt;0,(S154/S$158),0)</f>
        <v>0.26724821570182394</v>
      </c>
      <c r="D154" s="806">
        <f t="shared" si="136"/>
        <v>0.23692077727952168</v>
      </c>
      <c r="E154" s="806">
        <f t="shared" si="136"/>
        <v>0.20298507462686566</v>
      </c>
      <c r="F154" s="806">
        <f t="shared" si="136"/>
        <v>0.22702702702702704</v>
      </c>
      <c r="G154" s="806">
        <f t="shared" si="136"/>
        <v>0.15686274509803921</v>
      </c>
      <c r="H154" s="806">
        <f t="shared" si="136"/>
        <v>0.19704433497536947</v>
      </c>
      <c r="I154" s="624">
        <f t="shared" si="136"/>
        <v>0.23734006127230131</v>
      </c>
      <c r="J154" s="624">
        <f t="shared" si="136"/>
        <v>0</v>
      </c>
      <c r="K154" s="625">
        <f t="shared" si="136"/>
        <v>0</v>
      </c>
      <c r="L154" s="625">
        <f t="shared" si="136"/>
        <v>0</v>
      </c>
      <c r="M154" s="625">
        <f t="shared" si="136"/>
        <v>0</v>
      </c>
      <c r="N154" s="624">
        <f t="shared" ref="N154:N158" si="139">IF(AE$158&gt;0,(AE154/AE$158),0)</f>
        <v>7.5039494470774099E-2</v>
      </c>
      <c r="O154" s="624">
        <f t="shared" si="137"/>
        <v>0</v>
      </c>
      <c r="P154" s="626">
        <f t="shared" si="137"/>
        <v>0</v>
      </c>
      <c r="Q154" s="624">
        <f t="shared" si="137"/>
        <v>0</v>
      </c>
      <c r="S154" s="349">
        <v>674</v>
      </c>
      <c r="T154" s="349">
        <v>317</v>
      </c>
      <c r="U154" s="349">
        <v>68</v>
      </c>
      <c r="V154" s="349">
        <v>42</v>
      </c>
      <c r="W154" s="349">
        <v>56</v>
      </c>
      <c r="X154" s="349">
        <v>160</v>
      </c>
      <c r="Y154" s="804">
        <v>1317</v>
      </c>
      <c r="Z154" s="804"/>
      <c r="AE154" s="804">
        <v>95</v>
      </c>
      <c r="AF154" s="804"/>
      <c r="AH154" s="804"/>
    </row>
    <row r="155" spans="1:34">
      <c r="A155" s="239"/>
      <c r="B155" s="239" t="s">
        <v>55</v>
      </c>
      <c r="C155" s="806">
        <f t="shared" si="138"/>
        <v>0.24266455194290246</v>
      </c>
      <c r="D155" s="806">
        <f t="shared" si="136"/>
        <v>0.25112107623318386</v>
      </c>
      <c r="E155" s="806">
        <f t="shared" si="136"/>
        <v>0.22388059701492538</v>
      </c>
      <c r="F155" s="806">
        <f t="shared" si="136"/>
        <v>0.33513513513513515</v>
      </c>
      <c r="G155" s="806">
        <f t="shared" si="136"/>
        <v>0.27731092436974791</v>
      </c>
      <c r="H155" s="806">
        <f t="shared" si="136"/>
        <v>0.35098522167487683</v>
      </c>
      <c r="I155" s="624">
        <f t="shared" si="136"/>
        <v>0.26473238421337175</v>
      </c>
      <c r="J155" s="624">
        <f t="shared" si="136"/>
        <v>0</v>
      </c>
      <c r="K155" s="625">
        <f t="shared" si="136"/>
        <v>0</v>
      </c>
      <c r="L155" s="625">
        <f t="shared" si="136"/>
        <v>0</v>
      </c>
      <c r="M155" s="625">
        <f t="shared" si="136"/>
        <v>0</v>
      </c>
      <c r="N155" s="624">
        <f t="shared" si="139"/>
        <v>7.0300157977883096E-2</v>
      </c>
      <c r="O155" s="624">
        <f t="shared" si="137"/>
        <v>0</v>
      </c>
      <c r="P155" s="626">
        <f t="shared" si="137"/>
        <v>0</v>
      </c>
      <c r="Q155" s="624">
        <f t="shared" si="137"/>
        <v>0</v>
      </c>
      <c r="S155" s="349">
        <v>612</v>
      </c>
      <c r="T155" s="349">
        <v>336</v>
      </c>
      <c r="U155" s="349">
        <v>75</v>
      </c>
      <c r="V155" s="349">
        <v>62</v>
      </c>
      <c r="W155" s="349">
        <v>99</v>
      </c>
      <c r="X155" s="349">
        <v>285</v>
      </c>
      <c r="Y155" s="804">
        <v>1469</v>
      </c>
      <c r="Z155" s="804"/>
      <c r="AE155" s="804">
        <v>89</v>
      </c>
      <c r="AF155" s="804"/>
      <c r="AH155" s="804"/>
    </row>
    <row r="156" spans="1:34">
      <c r="A156" s="239"/>
      <c r="B156" s="239" t="s">
        <v>78</v>
      </c>
      <c r="C156" s="806">
        <f t="shared" si="138"/>
        <v>0.16256938937351309</v>
      </c>
      <c r="D156" s="806">
        <f t="shared" si="136"/>
        <v>0.22346786248131539</v>
      </c>
      <c r="E156" s="806">
        <f t="shared" si="136"/>
        <v>0.33731343283582088</v>
      </c>
      <c r="F156" s="806">
        <f t="shared" si="136"/>
        <v>5.4054054054054057E-3</v>
      </c>
      <c r="G156" s="806">
        <f t="shared" si="136"/>
        <v>0.22689075630252101</v>
      </c>
      <c r="H156" s="806">
        <f t="shared" si="136"/>
        <v>4.8029556650246302E-2</v>
      </c>
      <c r="I156" s="624">
        <f t="shared" si="136"/>
        <v>0.16994052982519373</v>
      </c>
      <c r="J156" s="624">
        <f t="shared" si="136"/>
        <v>0</v>
      </c>
      <c r="K156" s="625">
        <f t="shared" si="136"/>
        <v>0</v>
      </c>
      <c r="L156" s="625">
        <f t="shared" si="136"/>
        <v>0</v>
      </c>
      <c r="M156" s="625">
        <f t="shared" si="136"/>
        <v>0</v>
      </c>
      <c r="N156" s="624">
        <f t="shared" si="139"/>
        <v>0.23854660347551343</v>
      </c>
      <c r="O156" s="624">
        <f t="shared" si="137"/>
        <v>0</v>
      </c>
      <c r="P156" s="626">
        <f t="shared" si="137"/>
        <v>0</v>
      </c>
      <c r="Q156" s="624">
        <f t="shared" si="137"/>
        <v>0</v>
      </c>
      <c r="S156" s="349">
        <v>410</v>
      </c>
      <c r="T156" s="349">
        <v>299</v>
      </c>
      <c r="U156" s="349">
        <v>113</v>
      </c>
      <c r="V156" s="349">
        <v>1</v>
      </c>
      <c r="W156" s="349">
        <v>81</v>
      </c>
      <c r="X156" s="349">
        <v>39</v>
      </c>
      <c r="Y156" s="804">
        <v>943</v>
      </c>
      <c r="Z156" s="804"/>
      <c r="AE156" s="804">
        <v>302</v>
      </c>
      <c r="AF156" s="804"/>
      <c r="AH156" s="804"/>
    </row>
    <row r="157" spans="1:34">
      <c r="A157" s="580"/>
      <c r="B157" s="580" t="s">
        <v>131</v>
      </c>
      <c r="C157" s="806">
        <f t="shared" si="138"/>
        <v>0</v>
      </c>
      <c r="D157" s="806">
        <f t="shared" si="136"/>
        <v>4.0358744394618833E-2</v>
      </c>
      <c r="E157" s="806">
        <f t="shared" si="136"/>
        <v>1.4925373134328358E-2</v>
      </c>
      <c r="F157" s="806">
        <f t="shared" si="136"/>
        <v>0.17837837837837839</v>
      </c>
      <c r="G157" s="806">
        <f t="shared" si="136"/>
        <v>5.6022408963585436E-2</v>
      </c>
      <c r="H157" s="806">
        <f t="shared" si="136"/>
        <v>0.12931034482758622</v>
      </c>
      <c r="I157" s="624">
        <f t="shared" si="136"/>
        <v>3.9106145251396648E-2</v>
      </c>
      <c r="J157" s="624">
        <f t="shared" si="136"/>
        <v>0</v>
      </c>
      <c r="K157" s="625">
        <f t="shared" si="136"/>
        <v>0</v>
      </c>
      <c r="L157" s="625">
        <f t="shared" si="136"/>
        <v>0</v>
      </c>
      <c r="M157" s="625">
        <f t="shared" si="136"/>
        <v>0</v>
      </c>
      <c r="N157" s="624">
        <f t="shared" si="139"/>
        <v>0.31674565560821483</v>
      </c>
      <c r="O157" s="624">
        <f t="shared" si="137"/>
        <v>0</v>
      </c>
      <c r="P157" s="626">
        <f t="shared" si="137"/>
        <v>0</v>
      </c>
      <c r="Q157" s="624">
        <f t="shared" si="137"/>
        <v>0</v>
      </c>
      <c r="T157" s="349">
        <v>54</v>
      </c>
      <c r="U157" s="349">
        <v>5</v>
      </c>
      <c r="V157" s="349">
        <v>33</v>
      </c>
      <c r="W157" s="349">
        <v>20</v>
      </c>
      <c r="X157" s="349">
        <v>105</v>
      </c>
      <c r="Y157" s="804">
        <v>217</v>
      </c>
      <c r="Z157" s="804"/>
      <c r="AE157" s="804">
        <v>401</v>
      </c>
      <c r="AF157" s="804"/>
      <c r="AH157" s="804"/>
    </row>
    <row r="158" spans="1:34">
      <c r="A158" s="436"/>
      <c r="B158" s="436" t="s">
        <v>59</v>
      </c>
      <c r="C158" s="807">
        <f t="shared" si="138"/>
        <v>1</v>
      </c>
      <c r="D158" s="808">
        <f t="shared" si="136"/>
        <v>1</v>
      </c>
      <c r="E158" s="808">
        <f t="shared" si="136"/>
        <v>1</v>
      </c>
      <c r="F158" s="808">
        <f t="shared" si="136"/>
        <v>1</v>
      </c>
      <c r="G158" s="808">
        <f t="shared" si="136"/>
        <v>1</v>
      </c>
      <c r="H158" s="809">
        <f t="shared" si="136"/>
        <v>1</v>
      </c>
      <c r="I158" s="577">
        <f t="shared" si="136"/>
        <v>1</v>
      </c>
      <c r="J158" s="577">
        <f t="shared" si="136"/>
        <v>0</v>
      </c>
      <c r="K158" s="578">
        <f t="shared" si="136"/>
        <v>0</v>
      </c>
      <c r="L158" s="578">
        <f t="shared" si="136"/>
        <v>0</v>
      </c>
      <c r="M158" s="578">
        <f t="shared" si="136"/>
        <v>0</v>
      </c>
      <c r="N158" s="577">
        <f t="shared" si="139"/>
        <v>1</v>
      </c>
      <c r="O158" s="577">
        <f t="shared" si="137"/>
        <v>0</v>
      </c>
      <c r="P158" s="579">
        <f t="shared" si="137"/>
        <v>0</v>
      </c>
      <c r="Q158" s="577">
        <f t="shared" si="137"/>
        <v>0</v>
      </c>
      <c r="S158" s="349">
        <v>2522</v>
      </c>
      <c r="T158" s="349">
        <v>1338</v>
      </c>
      <c r="U158" s="349">
        <v>335</v>
      </c>
      <c r="V158" s="349">
        <v>185</v>
      </c>
      <c r="W158" s="349">
        <v>357</v>
      </c>
      <c r="X158" s="349">
        <v>812</v>
      </c>
      <c r="Y158" s="804">
        <v>5549</v>
      </c>
      <c r="Z158" s="804"/>
      <c r="AE158" s="804">
        <v>1266</v>
      </c>
      <c r="AF158" s="804"/>
      <c r="AH158" s="804"/>
    </row>
    <row r="159" spans="1:34">
      <c r="A159" s="240" t="s">
        <v>141</v>
      </c>
      <c r="B159" s="240" t="s">
        <v>53</v>
      </c>
      <c r="C159" s="806">
        <f>IF(S$164&gt;0,(S159/S$164),0)</f>
        <v>0.39295392953929537</v>
      </c>
      <c r="D159" s="806">
        <f t="shared" ref="D159:M164" si="140">IF(T$164&gt;0,(T159/T$164),0)</f>
        <v>0</v>
      </c>
      <c r="E159" s="806">
        <f t="shared" si="140"/>
        <v>0</v>
      </c>
      <c r="F159" s="806">
        <f t="shared" si="140"/>
        <v>0.24553571428571427</v>
      </c>
      <c r="G159" s="806">
        <f t="shared" si="140"/>
        <v>0</v>
      </c>
      <c r="H159" s="806">
        <f t="shared" si="140"/>
        <v>0.31914893617021278</v>
      </c>
      <c r="I159" s="613">
        <f t="shared" si="140"/>
        <v>0.36647314949201742</v>
      </c>
      <c r="J159" s="613">
        <f t="shared" si="140"/>
        <v>0</v>
      </c>
      <c r="K159" s="614">
        <f t="shared" si="140"/>
        <v>0</v>
      </c>
      <c r="L159" s="614">
        <f t="shared" si="140"/>
        <v>0</v>
      </c>
      <c r="M159" s="614">
        <f t="shared" si="140"/>
        <v>0</v>
      </c>
      <c r="N159" s="613">
        <f>IF(AE$164&gt;0,(AE159/AE$164),0)</f>
        <v>0.24803149606299213</v>
      </c>
      <c r="O159" s="613">
        <f t="shared" ref="O159:Q164" si="141">IF(AF$164&gt;0,(AF159/AF$164),0)</f>
        <v>0</v>
      </c>
      <c r="P159" s="615">
        <f t="shared" si="141"/>
        <v>0</v>
      </c>
      <c r="Q159" s="613">
        <f t="shared" si="141"/>
        <v>0</v>
      </c>
      <c r="R159" s="799"/>
      <c r="S159" s="798">
        <v>435</v>
      </c>
      <c r="T159" s="798"/>
      <c r="U159" s="798"/>
      <c r="V159" s="798">
        <v>55</v>
      </c>
      <c r="W159" s="798"/>
      <c r="X159" s="798">
        <v>15</v>
      </c>
      <c r="Y159" s="803">
        <v>505</v>
      </c>
      <c r="Z159" s="803"/>
      <c r="AA159" s="798"/>
      <c r="AB159" s="798"/>
      <c r="AC159" s="798"/>
      <c r="AD159" s="798"/>
      <c r="AE159" s="803">
        <v>189</v>
      </c>
      <c r="AF159" s="803"/>
      <c r="AG159" s="798"/>
      <c r="AH159" s="803"/>
    </row>
    <row r="160" spans="1:34">
      <c r="A160" s="239"/>
      <c r="B160" s="239" t="s">
        <v>93</v>
      </c>
      <c r="C160" s="806">
        <f t="shared" ref="C160:C164" si="142">IF(S$164&gt;0,(S160/S$164),0)</f>
        <v>0.25474254742547425</v>
      </c>
      <c r="D160" s="806">
        <f t="shared" si="140"/>
        <v>0</v>
      </c>
      <c r="E160" s="806">
        <f t="shared" si="140"/>
        <v>0</v>
      </c>
      <c r="F160" s="806">
        <f t="shared" si="140"/>
        <v>0.27232142857142855</v>
      </c>
      <c r="G160" s="806">
        <f t="shared" si="140"/>
        <v>0</v>
      </c>
      <c r="H160" s="806">
        <f t="shared" si="140"/>
        <v>0.1702127659574468</v>
      </c>
      <c r="I160" s="624">
        <f t="shared" si="140"/>
        <v>0.25471698113207547</v>
      </c>
      <c r="J160" s="624">
        <f t="shared" si="140"/>
        <v>0</v>
      </c>
      <c r="K160" s="625">
        <f t="shared" si="140"/>
        <v>0</v>
      </c>
      <c r="L160" s="625">
        <f t="shared" si="140"/>
        <v>0</v>
      </c>
      <c r="M160" s="625">
        <f t="shared" si="140"/>
        <v>0</v>
      </c>
      <c r="N160" s="624">
        <f t="shared" ref="N160:N164" si="143">IF(AE$164&gt;0,(AE160/AE$164),0)</f>
        <v>0.15354330708661418</v>
      </c>
      <c r="O160" s="624">
        <f t="shared" si="141"/>
        <v>0</v>
      </c>
      <c r="P160" s="626">
        <f t="shared" si="141"/>
        <v>0</v>
      </c>
      <c r="Q160" s="624">
        <f t="shared" si="141"/>
        <v>0</v>
      </c>
      <c r="S160" s="349">
        <v>282</v>
      </c>
      <c r="V160" s="349">
        <v>61</v>
      </c>
      <c r="X160" s="349">
        <v>8</v>
      </c>
      <c r="Y160" s="804">
        <v>351</v>
      </c>
      <c r="Z160" s="804"/>
      <c r="AE160" s="804">
        <v>117</v>
      </c>
      <c r="AF160" s="804"/>
      <c r="AH160" s="804"/>
    </row>
    <row r="161" spans="1:34">
      <c r="A161" s="239"/>
      <c r="B161" s="239" t="s">
        <v>55</v>
      </c>
      <c r="C161" s="806">
        <f t="shared" si="142"/>
        <v>0.24480578139114725</v>
      </c>
      <c r="D161" s="806">
        <f t="shared" si="140"/>
        <v>0</v>
      </c>
      <c r="E161" s="806">
        <f t="shared" si="140"/>
        <v>0</v>
      </c>
      <c r="F161" s="806">
        <f t="shared" si="140"/>
        <v>0.3705357142857143</v>
      </c>
      <c r="G161" s="806">
        <f t="shared" si="140"/>
        <v>0</v>
      </c>
      <c r="H161" s="806">
        <f t="shared" si="140"/>
        <v>0.46808510638297873</v>
      </c>
      <c r="I161" s="624">
        <f t="shared" si="140"/>
        <v>0.27285921625544268</v>
      </c>
      <c r="J161" s="624">
        <f t="shared" si="140"/>
        <v>0</v>
      </c>
      <c r="K161" s="625">
        <f t="shared" si="140"/>
        <v>0</v>
      </c>
      <c r="L161" s="625">
        <f t="shared" si="140"/>
        <v>0</v>
      </c>
      <c r="M161" s="625">
        <f t="shared" si="140"/>
        <v>0</v>
      </c>
      <c r="N161" s="624">
        <f t="shared" si="143"/>
        <v>0.2572178477690289</v>
      </c>
      <c r="O161" s="624">
        <f t="shared" si="141"/>
        <v>0</v>
      </c>
      <c r="P161" s="626">
        <f t="shared" si="141"/>
        <v>0</v>
      </c>
      <c r="Q161" s="624">
        <f t="shared" si="141"/>
        <v>0</v>
      </c>
      <c r="S161" s="349">
        <v>271</v>
      </c>
      <c r="V161" s="349">
        <v>83</v>
      </c>
      <c r="X161" s="349">
        <v>22</v>
      </c>
      <c r="Y161" s="804">
        <v>376</v>
      </c>
      <c r="Z161" s="804"/>
      <c r="AE161" s="804">
        <v>196</v>
      </c>
      <c r="AF161" s="804"/>
      <c r="AH161" s="804"/>
    </row>
    <row r="162" spans="1:34">
      <c r="A162" s="239"/>
      <c r="B162" s="239" t="s">
        <v>78</v>
      </c>
      <c r="C162" s="806">
        <f t="shared" si="142"/>
        <v>0.10749774164408311</v>
      </c>
      <c r="D162" s="806">
        <f t="shared" si="140"/>
        <v>0</v>
      </c>
      <c r="E162" s="806">
        <f t="shared" si="140"/>
        <v>0</v>
      </c>
      <c r="F162" s="806">
        <f t="shared" si="140"/>
        <v>0.11160714285714286</v>
      </c>
      <c r="G162" s="806">
        <f t="shared" si="140"/>
        <v>0</v>
      </c>
      <c r="H162" s="806">
        <f t="shared" si="140"/>
        <v>4.2553191489361701E-2</v>
      </c>
      <c r="I162" s="624">
        <f t="shared" si="140"/>
        <v>0.10595065312046444</v>
      </c>
      <c r="J162" s="624">
        <f t="shared" si="140"/>
        <v>0</v>
      </c>
      <c r="K162" s="625">
        <f t="shared" si="140"/>
        <v>0</v>
      </c>
      <c r="L162" s="625">
        <f t="shared" si="140"/>
        <v>0</v>
      </c>
      <c r="M162" s="625">
        <f t="shared" si="140"/>
        <v>0</v>
      </c>
      <c r="N162" s="624">
        <f t="shared" si="143"/>
        <v>0.34120734908136485</v>
      </c>
      <c r="O162" s="624">
        <f t="shared" si="141"/>
        <v>0</v>
      </c>
      <c r="P162" s="626">
        <f t="shared" si="141"/>
        <v>0</v>
      </c>
      <c r="Q162" s="624">
        <f t="shared" si="141"/>
        <v>0</v>
      </c>
      <c r="S162" s="349">
        <v>119</v>
      </c>
      <c r="V162" s="349">
        <v>25</v>
      </c>
      <c r="X162" s="349">
        <v>2</v>
      </c>
      <c r="Y162" s="804">
        <v>146</v>
      </c>
      <c r="Z162" s="804"/>
      <c r="AE162" s="804">
        <v>260</v>
      </c>
      <c r="AF162" s="804"/>
      <c r="AH162" s="804"/>
    </row>
    <row r="163" spans="1:34">
      <c r="A163" s="580"/>
      <c r="B163" s="580" t="s">
        <v>131</v>
      </c>
      <c r="C163" s="806">
        <f t="shared" si="142"/>
        <v>0</v>
      </c>
      <c r="D163" s="806">
        <f t="shared" si="140"/>
        <v>0</v>
      </c>
      <c r="E163" s="806">
        <f t="shared" si="140"/>
        <v>0</v>
      </c>
      <c r="F163" s="806">
        <f t="shared" si="140"/>
        <v>0</v>
      </c>
      <c r="G163" s="806">
        <f t="shared" si="140"/>
        <v>0</v>
      </c>
      <c r="H163" s="806">
        <f t="shared" si="140"/>
        <v>0</v>
      </c>
      <c r="I163" s="624">
        <f t="shared" si="140"/>
        <v>0</v>
      </c>
      <c r="J163" s="624">
        <f t="shared" si="140"/>
        <v>0</v>
      </c>
      <c r="K163" s="625">
        <f t="shared" si="140"/>
        <v>0</v>
      </c>
      <c r="L163" s="625">
        <f t="shared" si="140"/>
        <v>0</v>
      </c>
      <c r="M163" s="625">
        <f t="shared" si="140"/>
        <v>0</v>
      </c>
      <c r="N163" s="624">
        <f t="shared" si="143"/>
        <v>0</v>
      </c>
      <c r="O163" s="624">
        <f t="shared" si="141"/>
        <v>0</v>
      </c>
      <c r="P163" s="626">
        <f t="shared" si="141"/>
        <v>0</v>
      </c>
      <c r="Q163" s="624">
        <f t="shared" si="141"/>
        <v>0</v>
      </c>
      <c r="Y163" s="804"/>
      <c r="Z163" s="804"/>
      <c r="AE163" s="804"/>
      <c r="AF163" s="804"/>
      <c r="AH163" s="804"/>
    </row>
    <row r="164" spans="1:34">
      <c r="A164" s="436"/>
      <c r="B164" s="436" t="s">
        <v>59</v>
      </c>
      <c r="C164" s="807">
        <f t="shared" si="142"/>
        <v>1</v>
      </c>
      <c r="D164" s="808">
        <f t="shared" si="140"/>
        <v>0</v>
      </c>
      <c r="E164" s="808">
        <f t="shared" si="140"/>
        <v>0</v>
      </c>
      <c r="F164" s="808">
        <f t="shared" si="140"/>
        <v>1</v>
      </c>
      <c r="G164" s="808">
        <f t="shared" si="140"/>
        <v>0</v>
      </c>
      <c r="H164" s="809">
        <f t="shared" si="140"/>
        <v>1</v>
      </c>
      <c r="I164" s="577">
        <f t="shared" si="140"/>
        <v>1</v>
      </c>
      <c r="J164" s="577">
        <f t="shared" si="140"/>
        <v>0</v>
      </c>
      <c r="K164" s="578">
        <f t="shared" si="140"/>
        <v>0</v>
      </c>
      <c r="L164" s="578">
        <f t="shared" si="140"/>
        <v>0</v>
      </c>
      <c r="M164" s="578">
        <f t="shared" si="140"/>
        <v>0</v>
      </c>
      <c r="N164" s="577">
        <f t="shared" si="143"/>
        <v>1</v>
      </c>
      <c r="O164" s="577">
        <f t="shared" si="141"/>
        <v>0</v>
      </c>
      <c r="P164" s="579">
        <f t="shared" si="141"/>
        <v>0</v>
      </c>
      <c r="Q164" s="577">
        <f t="shared" si="141"/>
        <v>0</v>
      </c>
      <c r="S164" s="349">
        <v>1107</v>
      </c>
      <c r="V164" s="349">
        <v>224</v>
      </c>
      <c r="X164" s="349">
        <v>47</v>
      </c>
      <c r="Y164" s="804">
        <v>1378</v>
      </c>
      <c r="Z164" s="804"/>
      <c r="AE164" s="804">
        <v>762</v>
      </c>
      <c r="AF164" s="804"/>
      <c r="AH164" s="804"/>
    </row>
    <row r="165" spans="1:34">
      <c r="A165" s="240" t="s">
        <v>143</v>
      </c>
      <c r="B165" s="240" t="s">
        <v>53</v>
      </c>
      <c r="C165" s="806">
        <f>IF(S$170&gt;0,(S165/S$170),0)</f>
        <v>0</v>
      </c>
      <c r="D165" s="806">
        <f t="shared" ref="D165:M170" si="144">IF(T$170&gt;0,(T165/T$170),0)</f>
        <v>0.29768270944741532</v>
      </c>
      <c r="E165" s="806">
        <f t="shared" si="144"/>
        <v>0.27835051546391754</v>
      </c>
      <c r="F165" s="806">
        <f t="shared" si="144"/>
        <v>0</v>
      </c>
      <c r="G165" s="806">
        <f t="shared" si="144"/>
        <v>0</v>
      </c>
      <c r="H165" s="806">
        <f t="shared" si="144"/>
        <v>0.40127388535031849</v>
      </c>
      <c r="I165" s="613">
        <f t="shared" si="144"/>
        <v>0.30037614185921546</v>
      </c>
      <c r="J165" s="613">
        <f t="shared" si="144"/>
        <v>0</v>
      </c>
      <c r="K165" s="614">
        <f t="shared" si="144"/>
        <v>0</v>
      </c>
      <c r="L165" s="614">
        <f t="shared" si="144"/>
        <v>0</v>
      </c>
      <c r="M165" s="614">
        <f t="shared" si="144"/>
        <v>0</v>
      </c>
      <c r="N165" s="613">
        <f>IF(AE$170&gt;0,(AE165/AE$170),0)</f>
        <v>0.11839323467230443</v>
      </c>
      <c r="O165" s="613">
        <f t="shared" ref="O165:Q170" si="145">IF(AF$170&gt;0,(AF165/AF$170),0)</f>
        <v>0</v>
      </c>
      <c r="P165" s="615">
        <f t="shared" si="145"/>
        <v>0</v>
      </c>
      <c r="Q165" s="613">
        <f t="shared" si="145"/>
        <v>0</v>
      </c>
      <c r="R165" s="799"/>
      <c r="S165" s="798"/>
      <c r="T165" s="798">
        <v>334</v>
      </c>
      <c r="U165" s="798">
        <v>162</v>
      </c>
      <c r="V165" s="798"/>
      <c r="W165" s="798"/>
      <c r="X165" s="798">
        <v>63</v>
      </c>
      <c r="Y165" s="803">
        <v>559</v>
      </c>
      <c r="Z165" s="803"/>
      <c r="AA165" s="798"/>
      <c r="AB165" s="798"/>
      <c r="AC165" s="798"/>
      <c r="AD165" s="798"/>
      <c r="AE165" s="803">
        <v>56</v>
      </c>
      <c r="AF165" s="803"/>
      <c r="AG165" s="798"/>
      <c r="AH165" s="803"/>
    </row>
    <row r="166" spans="1:34">
      <c r="A166" s="239"/>
      <c r="B166" s="239" t="s">
        <v>93</v>
      </c>
      <c r="C166" s="806">
        <f t="shared" ref="C166:C170" si="146">IF(S$170&gt;0,(S166/S$170),0)</f>
        <v>0</v>
      </c>
      <c r="D166" s="806">
        <f t="shared" si="144"/>
        <v>0.21925133689839571</v>
      </c>
      <c r="E166" s="806">
        <f t="shared" si="144"/>
        <v>0.30756013745704469</v>
      </c>
      <c r="F166" s="806">
        <f t="shared" si="144"/>
        <v>0</v>
      </c>
      <c r="G166" s="806">
        <f t="shared" si="144"/>
        <v>0</v>
      </c>
      <c r="H166" s="806">
        <f t="shared" si="144"/>
        <v>0.19745222929936307</v>
      </c>
      <c r="I166" s="624">
        <f t="shared" si="144"/>
        <v>0.24502955400322407</v>
      </c>
      <c r="J166" s="624">
        <f t="shared" si="144"/>
        <v>0</v>
      </c>
      <c r="K166" s="625">
        <f t="shared" si="144"/>
        <v>0</v>
      </c>
      <c r="L166" s="625">
        <f t="shared" si="144"/>
        <v>0</v>
      </c>
      <c r="M166" s="625">
        <f t="shared" si="144"/>
        <v>0</v>
      </c>
      <c r="N166" s="624">
        <f t="shared" ref="N166:N170" si="147">IF(AE$170&gt;0,(AE166/AE$170),0)</f>
        <v>8.2452431289640596E-2</v>
      </c>
      <c r="O166" s="624">
        <f t="shared" si="145"/>
        <v>0</v>
      </c>
      <c r="P166" s="626">
        <f t="shared" si="145"/>
        <v>0</v>
      </c>
      <c r="Q166" s="624">
        <f t="shared" si="145"/>
        <v>0</v>
      </c>
      <c r="T166" s="349">
        <v>246</v>
      </c>
      <c r="U166" s="349">
        <v>179</v>
      </c>
      <c r="X166" s="349">
        <v>31</v>
      </c>
      <c r="Y166" s="804">
        <v>456</v>
      </c>
      <c r="Z166" s="804"/>
      <c r="AE166" s="804">
        <v>39</v>
      </c>
      <c r="AF166" s="804"/>
      <c r="AH166" s="804"/>
    </row>
    <row r="167" spans="1:34">
      <c r="A167" s="239"/>
      <c r="B167" s="239" t="s">
        <v>55</v>
      </c>
      <c r="C167" s="806">
        <f t="shared" si="146"/>
        <v>0</v>
      </c>
      <c r="D167" s="806">
        <f t="shared" si="144"/>
        <v>0.24777183600713013</v>
      </c>
      <c r="E167" s="806">
        <f t="shared" si="144"/>
        <v>0.2422680412371134</v>
      </c>
      <c r="F167" s="806">
        <f t="shared" si="144"/>
        <v>0</v>
      </c>
      <c r="G167" s="806">
        <f t="shared" si="144"/>
        <v>0</v>
      </c>
      <c r="H167" s="806">
        <f t="shared" si="144"/>
        <v>0.26751592356687898</v>
      </c>
      <c r="I167" s="624">
        <f t="shared" si="144"/>
        <v>0.2477162815690489</v>
      </c>
      <c r="J167" s="624">
        <f t="shared" si="144"/>
        <v>0</v>
      </c>
      <c r="K167" s="625">
        <f t="shared" si="144"/>
        <v>0</v>
      </c>
      <c r="L167" s="625">
        <f t="shared" si="144"/>
        <v>0</v>
      </c>
      <c r="M167" s="625">
        <f t="shared" si="144"/>
        <v>0</v>
      </c>
      <c r="N167" s="624">
        <f t="shared" si="147"/>
        <v>7.399577167019028E-2</v>
      </c>
      <c r="O167" s="624">
        <f t="shared" si="145"/>
        <v>0</v>
      </c>
      <c r="P167" s="626">
        <f t="shared" si="145"/>
        <v>0</v>
      </c>
      <c r="Q167" s="624">
        <f t="shared" si="145"/>
        <v>0</v>
      </c>
      <c r="T167" s="349">
        <v>278</v>
      </c>
      <c r="U167" s="349">
        <v>141</v>
      </c>
      <c r="X167" s="349">
        <v>42</v>
      </c>
      <c r="Y167" s="804">
        <v>461</v>
      </c>
      <c r="Z167" s="804"/>
      <c r="AE167" s="804">
        <v>35</v>
      </c>
      <c r="AF167" s="804"/>
      <c r="AH167" s="804"/>
    </row>
    <row r="168" spans="1:34">
      <c r="A168" s="239"/>
      <c r="B168" s="239" t="s">
        <v>78</v>
      </c>
      <c r="C168" s="806">
        <f t="shared" si="146"/>
        <v>0</v>
      </c>
      <c r="D168" s="806">
        <f t="shared" si="144"/>
        <v>0.12299465240641712</v>
      </c>
      <c r="E168" s="806">
        <f t="shared" si="144"/>
        <v>1.0309278350515464E-2</v>
      </c>
      <c r="F168" s="806">
        <f t="shared" si="144"/>
        <v>0</v>
      </c>
      <c r="G168" s="806">
        <f t="shared" si="144"/>
        <v>0</v>
      </c>
      <c r="H168" s="806">
        <f t="shared" si="144"/>
        <v>1.9108280254777069E-2</v>
      </c>
      <c r="I168" s="624">
        <f t="shared" si="144"/>
        <v>7.8989790435249868E-2</v>
      </c>
      <c r="J168" s="624">
        <f t="shared" si="144"/>
        <v>0</v>
      </c>
      <c r="K168" s="625">
        <f t="shared" si="144"/>
        <v>0</v>
      </c>
      <c r="L168" s="625">
        <f t="shared" si="144"/>
        <v>0</v>
      </c>
      <c r="M168" s="625">
        <f t="shared" si="144"/>
        <v>0</v>
      </c>
      <c r="N168" s="624">
        <f t="shared" si="147"/>
        <v>0.5031712473572939</v>
      </c>
      <c r="O168" s="624">
        <f t="shared" si="145"/>
        <v>0</v>
      </c>
      <c r="P168" s="626">
        <f t="shared" si="145"/>
        <v>0</v>
      </c>
      <c r="Q168" s="624">
        <f t="shared" si="145"/>
        <v>0</v>
      </c>
      <c r="T168" s="349">
        <v>138</v>
      </c>
      <c r="U168" s="349">
        <v>6</v>
      </c>
      <c r="X168" s="349">
        <v>3</v>
      </c>
      <c r="Y168" s="804">
        <v>147</v>
      </c>
      <c r="Z168" s="804"/>
      <c r="AE168" s="804">
        <v>238</v>
      </c>
      <c r="AF168" s="804"/>
      <c r="AH168" s="804"/>
    </row>
    <row r="169" spans="1:34">
      <c r="A169" s="580"/>
      <c r="B169" s="580" t="s">
        <v>131</v>
      </c>
      <c r="C169" s="806">
        <f t="shared" si="146"/>
        <v>0</v>
      </c>
      <c r="D169" s="806">
        <f t="shared" si="144"/>
        <v>0.11229946524064172</v>
      </c>
      <c r="E169" s="806">
        <f t="shared" si="144"/>
        <v>0.16151202749140894</v>
      </c>
      <c r="F169" s="806">
        <f t="shared" si="144"/>
        <v>0</v>
      </c>
      <c r="G169" s="806">
        <f t="shared" si="144"/>
        <v>0</v>
      </c>
      <c r="H169" s="806">
        <f t="shared" si="144"/>
        <v>0.11464968152866242</v>
      </c>
      <c r="I169" s="624">
        <f t="shared" si="144"/>
        <v>0.1278882321332617</v>
      </c>
      <c r="J169" s="624">
        <f t="shared" si="144"/>
        <v>0</v>
      </c>
      <c r="K169" s="625">
        <f t="shared" si="144"/>
        <v>0</v>
      </c>
      <c r="L169" s="625">
        <f t="shared" si="144"/>
        <v>0</v>
      </c>
      <c r="M169" s="625">
        <f t="shared" si="144"/>
        <v>0</v>
      </c>
      <c r="N169" s="624">
        <f t="shared" si="147"/>
        <v>0.22198731501057081</v>
      </c>
      <c r="O169" s="624">
        <f t="shared" si="145"/>
        <v>0</v>
      </c>
      <c r="P169" s="626">
        <f t="shared" si="145"/>
        <v>0</v>
      </c>
      <c r="Q169" s="624">
        <f t="shared" si="145"/>
        <v>0</v>
      </c>
      <c r="T169" s="349">
        <v>126</v>
      </c>
      <c r="U169" s="349">
        <v>94</v>
      </c>
      <c r="X169" s="349">
        <v>18</v>
      </c>
      <c r="Y169" s="804">
        <v>238</v>
      </c>
      <c r="Z169" s="804"/>
      <c r="AE169" s="804">
        <v>105</v>
      </c>
      <c r="AF169" s="804"/>
      <c r="AH169" s="804"/>
    </row>
    <row r="170" spans="1:34">
      <c r="A170" s="436"/>
      <c r="B170" s="436" t="s">
        <v>59</v>
      </c>
      <c r="C170" s="807">
        <f t="shared" si="146"/>
        <v>0</v>
      </c>
      <c r="D170" s="808">
        <f t="shared" si="144"/>
        <v>1</v>
      </c>
      <c r="E170" s="808">
        <f t="shared" si="144"/>
        <v>1</v>
      </c>
      <c r="F170" s="808">
        <f t="shared" si="144"/>
        <v>0</v>
      </c>
      <c r="G170" s="808">
        <f t="shared" si="144"/>
        <v>0</v>
      </c>
      <c r="H170" s="809">
        <f t="shared" si="144"/>
        <v>1</v>
      </c>
      <c r="I170" s="577">
        <f t="shared" si="144"/>
        <v>1</v>
      </c>
      <c r="J170" s="577">
        <f t="shared" si="144"/>
        <v>0</v>
      </c>
      <c r="K170" s="578">
        <f t="shared" si="144"/>
        <v>0</v>
      </c>
      <c r="L170" s="578">
        <f t="shared" si="144"/>
        <v>0</v>
      </c>
      <c r="M170" s="578">
        <f t="shared" si="144"/>
        <v>0</v>
      </c>
      <c r="N170" s="577">
        <f t="shared" si="147"/>
        <v>1</v>
      </c>
      <c r="O170" s="577">
        <f t="shared" si="145"/>
        <v>0</v>
      </c>
      <c r="P170" s="579">
        <f t="shared" si="145"/>
        <v>0</v>
      </c>
      <c r="Q170" s="577">
        <f t="shared" si="145"/>
        <v>0</v>
      </c>
      <c r="T170" s="349">
        <v>1122</v>
      </c>
      <c r="U170" s="349">
        <v>582</v>
      </c>
      <c r="X170" s="349">
        <v>157</v>
      </c>
      <c r="Y170" s="804">
        <v>1861</v>
      </c>
      <c r="Z170" s="804"/>
      <c r="AE170" s="804">
        <v>473</v>
      </c>
      <c r="AF170" s="804"/>
      <c r="AH170" s="804"/>
    </row>
    <row r="171" spans="1:34">
      <c r="A171" s="240" t="s">
        <v>152</v>
      </c>
      <c r="B171" s="240" t="s">
        <v>53</v>
      </c>
      <c r="C171" s="806">
        <f>IF(S$176&gt;0,(S171/S$176),0)</f>
        <v>0</v>
      </c>
      <c r="D171" s="806">
        <f t="shared" ref="D171:M176" si="148">IF(T$176&gt;0,(T171/T$176),0)</f>
        <v>0.33890845070422537</v>
      </c>
      <c r="E171" s="806">
        <f t="shared" si="148"/>
        <v>0</v>
      </c>
      <c r="F171" s="806">
        <f t="shared" si="148"/>
        <v>0.2792207792207792</v>
      </c>
      <c r="G171" s="806">
        <f t="shared" si="148"/>
        <v>0</v>
      </c>
      <c r="H171" s="806">
        <f t="shared" si="148"/>
        <v>0.22006472491909385</v>
      </c>
      <c r="I171" s="613">
        <f t="shared" si="148"/>
        <v>0.31019387116948094</v>
      </c>
      <c r="J171" s="613">
        <f t="shared" si="148"/>
        <v>0</v>
      </c>
      <c r="K171" s="614">
        <f t="shared" si="148"/>
        <v>0</v>
      </c>
      <c r="L171" s="614">
        <f t="shared" si="148"/>
        <v>0</v>
      </c>
      <c r="M171" s="614">
        <f t="shared" si="148"/>
        <v>0</v>
      </c>
      <c r="N171" s="613">
        <f>IF(AE$176&gt;0,(AE171/AE$176),0)</f>
        <v>3.937007874015748E-3</v>
      </c>
      <c r="O171" s="613">
        <f t="shared" ref="O171:Q176" si="149">IF(AF$176&gt;0,(AF171/AF$176),0)</f>
        <v>0</v>
      </c>
      <c r="P171" s="615">
        <f t="shared" si="149"/>
        <v>0</v>
      </c>
      <c r="Q171" s="613">
        <f t="shared" si="149"/>
        <v>0</v>
      </c>
      <c r="R171" s="799"/>
      <c r="S171" s="798"/>
      <c r="T171" s="798">
        <v>385</v>
      </c>
      <c r="U171" s="798"/>
      <c r="V171" s="798">
        <v>43</v>
      </c>
      <c r="W171" s="798"/>
      <c r="X171" s="798">
        <v>68</v>
      </c>
      <c r="Y171" s="803">
        <v>496</v>
      </c>
      <c r="Z171" s="803"/>
      <c r="AA171" s="798"/>
      <c r="AB171" s="798"/>
      <c r="AC171" s="798"/>
      <c r="AD171" s="798"/>
      <c r="AE171" s="803">
        <v>1</v>
      </c>
      <c r="AF171" s="803"/>
      <c r="AG171" s="798"/>
      <c r="AH171" s="803"/>
    </row>
    <row r="172" spans="1:34">
      <c r="A172" s="239"/>
      <c r="B172" s="239" t="s">
        <v>93</v>
      </c>
      <c r="C172" s="806">
        <f t="shared" ref="C172:C176" si="150">IF(S$176&gt;0,(S172/S$176),0)</f>
        <v>0</v>
      </c>
      <c r="D172" s="806">
        <f t="shared" si="148"/>
        <v>0.25440140845070425</v>
      </c>
      <c r="E172" s="806">
        <f t="shared" si="148"/>
        <v>0</v>
      </c>
      <c r="F172" s="806">
        <f t="shared" si="148"/>
        <v>0.16233766233766234</v>
      </c>
      <c r="G172" s="806">
        <f t="shared" si="148"/>
        <v>0</v>
      </c>
      <c r="H172" s="806">
        <f t="shared" si="148"/>
        <v>0.17799352750809061</v>
      </c>
      <c r="I172" s="624">
        <f t="shared" si="148"/>
        <v>0.23076923076923078</v>
      </c>
      <c r="J172" s="624">
        <f t="shared" si="148"/>
        <v>0</v>
      </c>
      <c r="K172" s="625">
        <f t="shared" si="148"/>
        <v>0</v>
      </c>
      <c r="L172" s="625">
        <f t="shared" si="148"/>
        <v>0</v>
      </c>
      <c r="M172" s="625">
        <f t="shared" si="148"/>
        <v>0</v>
      </c>
      <c r="N172" s="624">
        <f t="shared" ref="N172:N176" si="151">IF(AE$176&gt;0,(AE172/AE$176),0)</f>
        <v>0</v>
      </c>
      <c r="O172" s="624">
        <f t="shared" si="149"/>
        <v>0</v>
      </c>
      <c r="P172" s="626">
        <f t="shared" si="149"/>
        <v>0</v>
      </c>
      <c r="Q172" s="624">
        <f t="shared" si="149"/>
        <v>0</v>
      </c>
      <c r="T172" s="349">
        <v>289</v>
      </c>
      <c r="V172" s="349">
        <v>25</v>
      </c>
      <c r="X172" s="349">
        <v>55</v>
      </c>
      <c r="Y172" s="804">
        <v>369</v>
      </c>
      <c r="Z172" s="804"/>
      <c r="AE172" s="804"/>
      <c r="AF172" s="804"/>
      <c r="AH172" s="804"/>
    </row>
    <row r="173" spans="1:34">
      <c r="A173" s="239"/>
      <c r="B173" s="239" t="s">
        <v>55</v>
      </c>
      <c r="C173" s="806">
        <f t="shared" si="150"/>
        <v>0</v>
      </c>
      <c r="D173" s="806">
        <f t="shared" si="148"/>
        <v>0.22623239436619719</v>
      </c>
      <c r="E173" s="806">
        <f t="shared" si="148"/>
        <v>0</v>
      </c>
      <c r="F173" s="806">
        <f t="shared" si="148"/>
        <v>0.20129870129870131</v>
      </c>
      <c r="G173" s="806">
        <f t="shared" si="148"/>
        <v>0</v>
      </c>
      <c r="H173" s="806">
        <f t="shared" si="148"/>
        <v>0.27184466019417475</v>
      </c>
      <c r="I173" s="624">
        <f t="shared" si="148"/>
        <v>0.2326454033771107</v>
      </c>
      <c r="J173" s="624">
        <f t="shared" si="148"/>
        <v>0</v>
      </c>
      <c r="K173" s="625">
        <f t="shared" si="148"/>
        <v>0</v>
      </c>
      <c r="L173" s="625">
        <f t="shared" si="148"/>
        <v>0</v>
      </c>
      <c r="M173" s="625">
        <f t="shared" si="148"/>
        <v>0</v>
      </c>
      <c r="N173" s="624">
        <f t="shared" si="151"/>
        <v>0</v>
      </c>
      <c r="O173" s="624">
        <f t="shared" si="149"/>
        <v>0</v>
      </c>
      <c r="P173" s="626">
        <f t="shared" si="149"/>
        <v>0</v>
      </c>
      <c r="Q173" s="624">
        <f t="shared" si="149"/>
        <v>0</v>
      </c>
      <c r="T173" s="349">
        <v>257</v>
      </c>
      <c r="V173" s="349">
        <v>31</v>
      </c>
      <c r="X173" s="349">
        <v>84</v>
      </c>
      <c r="Y173" s="804">
        <v>372</v>
      </c>
      <c r="Z173" s="804"/>
      <c r="AE173" s="804"/>
      <c r="AF173" s="804"/>
      <c r="AH173" s="804"/>
    </row>
    <row r="174" spans="1:34">
      <c r="A174" s="239"/>
      <c r="B174" s="239" t="s">
        <v>78</v>
      </c>
      <c r="C174" s="806">
        <f t="shared" si="150"/>
        <v>0</v>
      </c>
      <c r="D174" s="806">
        <f t="shared" si="148"/>
        <v>0.10123239436619719</v>
      </c>
      <c r="E174" s="806">
        <f t="shared" si="148"/>
        <v>0</v>
      </c>
      <c r="F174" s="806">
        <f t="shared" si="148"/>
        <v>0.31168831168831168</v>
      </c>
      <c r="G174" s="806">
        <f t="shared" si="148"/>
        <v>0</v>
      </c>
      <c r="H174" s="806">
        <f t="shared" si="148"/>
        <v>0.17475728155339806</v>
      </c>
      <c r="I174" s="624">
        <f t="shared" si="148"/>
        <v>0.13570981863664791</v>
      </c>
      <c r="J174" s="624">
        <f t="shared" si="148"/>
        <v>0</v>
      </c>
      <c r="K174" s="625">
        <f t="shared" si="148"/>
        <v>0</v>
      </c>
      <c r="L174" s="625">
        <f t="shared" si="148"/>
        <v>0</v>
      </c>
      <c r="M174" s="625">
        <f t="shared" si="148"/>
        <v>0</v>
      </c>
      <c r="N174" s="624">
        <f t="shared" si="151"/>
        <v>0.71259842519685035</v>
      </c>
      <c r="O174" s="624">
        <f t="shared" si="149"/>
        <v>0</v>
      </c>
      <c r="P174" s="626">
        <f t="shared" si="149"/>
        <v>0</v>
      </c>
      <c r="Q174" s="624">
        <f t="shared" si="149"/>
        <v>0</v>
      </c>
      <c r="T174" s="349">
        <v>115</v>
      </c>
      <c r="V174" s="349">
        <v>48</v>
      </c>
      <c r="X174" s="349">
        <v>54</v>
      </c>
      <c r="Y174" s="804">
        <v>217</v>
      </c>
      <c r="Z174" s="804"/>
      <c r="AE174" s="804">
        <v>181</v>
      </c>
      <c r="AF174" s="804"/>
      <c r="AH174" s="804"/>
    </row>
    <row r="175" spans="1:34">
      <c r="A175" s="580"/>
      <c r="B175" s="580" t="s">
        <v>131</v>
      </c>
      <c r="C175" s="806">
        <f t="shared" si="150"/>
        <v>0</v>
      </c>
      <c r="D175" s="806">
        <f t="shared" si="148"/>
        <v>7.9225352112676062E-2</v>
      </c>
      <c r="E175" s="806">
        <f t="shared" si="148"/>
        <v>0</v>
      </c>
      <c r="F175" s="806">
        <f t="shared" si="148"/>
        <v>4.5454545454545456E-2</v>
      </c>
      <c r="G175" s="806">
        <f t="shared" si="148"/>
        <v>0</v>
      </c>
      <c r="H175" s="806">
        <f t="shared" si="148"/>
        <v>0.1553398058252427</v>
      </c>
      <c r="I175" s="624">
        <f t="shared" si="148"/>
        <v>9.0681676047529705E-2</v>
      </c>
      <c r="J175" s="624">
        <f t="shared" si="148"/>
        <v>0</v>
      </c>
      <c r="K175" s="625">
        <f t="shared" si="148"/>
        <v>0</v>
      </c>
      <c r="L175" s="625">
        <f t="shared" si="148"/>
        <v>0</v>
      </c>
      <c r="M175" s="625">
        <f t="shared" si="148"/>
        <v>0</v>
      </c>
      <c r="N175" s="624">
        <f t="shared" si="151"/>
        <v>0.28346456692913385</v>
      </c>
      <c r="O175" s="624">
        <f t="shared" si="149"/>
        <v>0</v>
      </c>
      <c r="P175" s="626">
        <f t="shared" si="149"/>
        <v>0</v>
      </c>
      <c r="Q175" s="624">
        <f t="shared" si="149"/>
        <v>0</v>
      </c>
      <c r="T175" s="349">
        <v>90</v>
      </c>
      <c r="V175" s="349">
        <v>7</v>
      </c>
      <c r="X175" s="349">
        <v>48</v>
      </c>
      <c r="Y175" s="804">
        <v>145</v>
      </c>
      <c r="Z175" s="804"/>
      <c r="AE175" s="804">
        <v>72</v>
      </c>
      <c r="AF175" s="804"/>
      <c r="AH175" s="804"/>
    </row>
    <row r="176" spans="1:34">
      <c r="A176" s="436"/>
      <c r="B176" s="436" t="s">
        <v>59</v>
      </c>
      <c r="C176" s="807">
        <f t="shared" si="150"/>
        <v>0</v>
      </c>
      <c r="D176" s="808">
        <f t="shared" si="148"/>
        <v>1</v>
      </c>
      <c r="E176" s="808">
        <f t="shared" si="148"/>
        <v>0</v>
      </c>
      <c r="F176" s="808">
        <f t="shared" si="148"/>
        <v>1</v>
      </c>
      <c r="G176" s="808">
        <f t="shared" si="148"/>
        <v>0</v>
      </c>
      <c r="H176" s="809">
        <f t="shared" si="148"/>
        <v>1</v>
      </c>
      <c r="I176" s="577">
        <f t="shared" si="148"/>
        <v>1</v>
      </c>
      <c r="J176" s="577">
        <f t="shared" si="148"/>
        <v>0</v>
      </c>
      <c r="K176" s="578">
        <f t="shared" si="148"/>
        <v>0</v>
      </c>
      <c r="L176" s="578">
        <f t="shared" si="148"/>
        <v>0</v>
      </c>
      <c r="M176" s="578">
        <f t="shared" si="148"/>
        <v>0</v>
      </c>
      <c r="N176" s="577">
        <f t="shared" si="151"/>
        <v>1</v>
      </c>
      <c r="O176" s="577">
        <f t="shared" si="149"/>
        <v>0</v>
      </c>
      <c r="P176" s="579">
        <f t="shared" si="149"/>
        <v>0</v>
      </c>
      <c r="Q176" s="577">
        <f t="shared" si="149"/>
        <v>0</v>
      </c>
      <c r="T176" s="349">
        <v>1136</v>
      </c>
      <c r="V176" s="349">
        <v>154</v>
      </c>
      <c r="X176" s="349">
        <v>309</v>
      </c>
      <c r="Y176" s="804">
        <v>1599</v>
      </c>
      <c r="Z176" s="804"/>
      <c r="AE176" s="804">
        <v>254</v>
      </c>
      <c r="AF176" s="804"/>
      <c r="AH176" s="804"/>
    </row>
    <row r="177" spans="1:34">
      <c r="A177" s="240" t="s">
        <v>158</v>
      </c>
      <c r="B177" s="240" t="s">
        <v>53</v>
      </c>
      <c r="C177" s="806">
        <f>IF(S$182&gt;0,(S177/S$182),0)</f>
        <v>0.33205128205128204</v>
      </c>
      <c r="D177" s="806">
        <f t="shared" ref="D177:M182" si="152">IF(T$182&gt;0,(T177/T$182),0)</f>
        <v>0.2953795379537954</v>
      </c>
      <c r="E177" s="806">
        <f t="shared" si="152"/>
        <v>0</v>
      </c>
      <c r="F177" s="806">
        <f t="shared" si="152"/>
        <v>0</v>
      </c>
      <c r="G177" s="806">
        <f t="shared" si="152"/>
        <v>0</v>
      </c>
      <c r="H177" s="806">
        <f t="shared" si="152"/>
        <v>0.4</v>
      </c>
      <c r="I177" s="613">
        <f t="shared" si="152"/>
        <v>0.32166890982503366</v>
      </c>
      <c r="J177" s="613">
        <f t="shared" si="152"/>
        <v>0</v>
      </c>
      <c r="K177" s="614">
        <f t="shared" si="152"/>
        <v>0</v>
      </c>
      <c r="L177" s="614">
        <f t="shared" si="152"/>
        <v>0</v>
      </c>
      <c r="M177" s="614">
        <f t="shared" si="152"/>
        <v>0</v>
      </c>
      <c r="N177" s="613">
        <f>IF(AE$182&gt;0,(AE177/AE$182),0)</f>
        <v>0.72112676056338032</v>
      </c>
      <c r="O177" s="613">
        <f t="shared" ref="O177:Q182" si="153">IF(AF$182&gt;0,(AF177/AF$182),0)</f>
        <v>0</v>
      </c>
      <c r="P177" s="615">
        <f t="shared" si="153"/>
        <v>0</v>
      </c>
      <c r="Q177" s="613">
        <f t="shared" si="153"/>
        <v>0</v>
      </c>
      <c r="R177" s="799"/>
      <c r="S177" s="798">
        <v>259</v>
      </c>
      <c r="T177" s="798">
        <v>179</v>
      </c>
      <c r="U177" s="798"/>
      <c r="V177" s="798"/>
      <c r="W177" s="798"/>
      <c r="X177" s="798">
        <v>40</v>
      </c>
      <c r="Y177" s="803">
        <v>478</v>
      </c>
      <c r="Z177" s="803"/>
      <c r="AA177" s="798"/>
      <c r="AB177" s="798"/>
      <c r="AC177" s="798"/>
      <c r="AD177" s="798"/>
      <c r="AE177" s="803">
        <v>512</v>
      </c>
      <c r="AF177" s="803"/>
      <c r="AG177" s="798"/>
      <c r="AH177" s="803"/>
    </row>
    <row r="178" spans="1:34">
      <c r="A178" s="239"/>
      <c r="B178" s="239" t="s">
        <v>93</v>
      </c>
      <c r="C178" s="806">
        <f t="shared" ref="C178:C182" si="154">IF(S$182&gt;0,(S178/S$182),0)</f>
        <v>0.34743589743589742</v>
      </c>
      <c r="D178" s="806">
        <f t="shared" si="152"/>
        <v>0.33828382838283827</v>
      </c>
      <c r="E178" s="806">
        <f t="shared" si="152"/>
        <v>0</v>
      </c>
      <c r="F178" s="806">
        <f t="shared" si="152"/>
        <v>0</v>
      </c>
      <c r="G178" s="806">
        <f t="shared" si="152"/>
        <v>0</v>
      </c>
      <c r="H178" s="806">
        <f t="shared" si="152"/>
        <v>7.0000000000000007E-2</v>
      </c>
      <c r="I178" s="624">
        <f t="shared" si="152"/>
        <v>0.32503364737550472</v>
      </c>
      <c r="J178" s="624">
        <f t="shared" si="152"/>
        <v>0</v>
      </c>
      <c r="K178" s="625">
        <f t="shared" si="152"/>
        <v>0</v>
      </c>
      <c r="L178" s="625">
        <f t="shared" si="152"/>
        <v>0</v>
      </c>
      <c r="M178" s="625">
        <f t="shared" si="152"/>
        <v>0</v>
      </c>
      <c r="N178" s="624">
        <f t="shared" ref="N178:N182" si="155">IF(AE$182&gt;0,(AE178/AE$182),0)</f>
        <v>0</v>
      </c>
      <c r="O178" s="624">
        <f t="shared" si="153"/>
        <v>0</v>
      </c>
      <c r="P178" s="626">
        <f t="shared" si="153"/>
        <v>0</v>
      </c>
      <c r="Q178" s="624">
        <f t="shared" si="153"/>
        <v>0</v>
      </c>
      <c r="S178" s="349">
        <v>271</v>
      </c>
      <c r="T178" s="349">
        <v>205</v>
      </c>
      <c r="X178" s="349">
        <v>7</v>
      </c>
      <c r="Y178" s="804">
        <v>483</v>
      </c>
      <c r="Z178" s="804"/>
      <c r="AE178" s="804"/>
      <c r="AF178" s="804"/>
      <c r="AH178" s="804"/>
    </row>
    <row r="179" spans="1:34">
      <c r="A179" s="239"/>
      <c r="B179" s="239" t="s">
        <v>55</v>
      </c>
      <c r="C179" s="806">
        <f t="shared" si="154"/>
        <v>0.23333333333333334</v>
      </c>
      <c r="D179" s="806">
        <f t="shared" si="152"/>
        <v>0.23597359735973597</v>
      </c>
      <c r="E179" s="806">
        <f t="shared" si="152"/>
        <v>0</v>
      </c>
      <c r="F179" s="806">
        <f t="shared" si="152"/>
        <v>0</v>
      </c>
      <c r="G179" s="806">
        <f t="shared" si="152"/>
        <v>0</v>
      </c>
      <c r="H179" s="806">
        <f t="shared" si="152"/>
        <v>0.12</v>
      </c>
      <c r="I179" s="624">
        <f t="shared" si="152"/>
        <v>0.22678331090174966</v>
      </c>
      <c r="J179" s="624">
        <f t="shared" si="152"/>
        <v>0</v>
      </c>
      <c r="K179" s="625">
        <f t="shared" si="152"/>
        <v>0</v>
      </c>
      <c r="L179" s="625">
        <f t="shared" si="152"/>
        <v>0</v>
      </c>
      <c r="M179" s="625">
        <f t="shared" si="152"/>
        <v>0</v>
      </c>
      <c r="N179" s="624">
        <f t="shared" si="155"/>
        <v>0</v>
      </c>
      <c r="O179" s="624">
        <f t="shared" si="153"/>
        <v>0</v>
      </c>
      <c r="P179" s="626">
        <f t="shared" si="153"/>
        <v>0</v>
      </c>
      <c r="Q179" s="624">
        <f t="shared" si="153"/>
        <v>0</v>
      </c>
      <c r="S179" s="349">
        <v>182</v>
      </c>
      <c r="T179" s="349">
        <v>143</v>
      </c>
      <c r="X179" s="349">
        <v>12</v>
      </c>
      <c r="Y179" s="804">
        <v>337</v>
      </c>
      <c r="Z179" s="804"/>
      <c r="AE179" s="804"/>
      <c r="AF179" s="804"/>
      <c r="AH179" s="804"/>
    </row>
    <row r="180" spans="1:34">
      <c r="A180" s="239"/>
      <c r="B180" s="239" t="s">
        <v>78</v>
      </c>
      <c r="C180" s="806">
        <f t="shared" si="154"/>
        <v>1.2820512820512821E-3</v>
      </c>
      <c r="D180" s="806">
        <f t="shared" si="152"/>
        <v>0.13036303630363036</v>
      </c>
      <c r="E180" s="806">
        <f t="shared" si="152"/>
        <v>0</v>
      </c>
      <c r="F180" s="806">
        <f t="shared" si="152"/>
        <v>0</v>
      </c>
      <c r="G180" s="806">
        <f t="shared" si="152"/>
        <v>0</v>
      </c>
      <c r="H180" s="806">
        <f t="shared" si="152"/>
        <v>0.25</v>
      </c>
      <c r="I180" s="624">
        <f t="shared" si="152"/>
        <v>7.0659488559892333E-2</v>
      </c>
      <c r="J180" s="624">
        <f t="shared" si="152"/>
        <v>0</v>
      </c>
      <c r="K180" s="625">
        <f t="shared" si="152"/>
        <v>0</v>
      </c>
      <c r="L180" s="625">
        <f t="shared" si="152"/>
        <v>0</v>
      </c>
      <c r="M180" s="625">
        <f t="shared" si="152"/>
        <v>0</v>
      </c>
      <c r="N180" s="624">
        <f t="shared" si="155"/>
        <v>0.27887323943661974</v>
      </c>
      <c r="O180" s="624">
        <f t="shared" si="153"/>
        <v>0</v>
      </c>
      <c r="P180" s="626">
        <f t="shared" si="153"/>
        <v>0</v>
      </c>
      <c r="Q180" s="624">
        <f t="shared" si="153"/>
        <v>0</v>
      </c>
      <c r="S180" s="349">
        <v>1</v>
      </c>
      <c r="T180" s="349">
        <v>79</v>
      </c>
      <c r="X180" s="349">
        <v>25</v>
      </c>
      <c r="Y180" s="804">
        <v>105</v>
      </c>
      <c r="Z180" s="804"/>
      <c r="AE180" s="804">
        <v>198</v>
      </c>
      <c r="AF180" s="804"/>
      <c r="AH180" s="804"/>
    </row>
    <row r="181" spans="1:34">
      <c r="A181" s="580"/>
      <c r="B181" s="580" t="s">
        <v>131</v>
      </c>
      <c r="C181" s="806">
        <f t="shared" si="154"/>
        <v>8.5897435897435898E-2</v>
      </c>
      <c r="D181" s="806">
        <f t="shared" si="152"/>
        <v>0</v>
      </c>
      <c r="E181" s="806">
        <f t="shared" si="152"/>
        <v>0</v>
      </c>
      <c r="F181" s="806">
        <f t="shared" si="152"/>
        <v>0</v>
      </c>
      <c r="G181" s="806">
        <f t="shared" si="152"/>
        <v>0</v>
      </c>
      <c r="H181" s="806">
        <f t="shared" si="152"/>
        <v>0.16</v>
      </c>
      <c r="I181" s="624">
        <f t="shared" si="152"/>
        <v>5.585464333781965E-2</v>
      </c>
      <c r="J181" s="624">
        <f t="shared" si="152"/>
        <v>0</v>
      </c>
      <c r="K181" s="625">
        <f t="shared" si="152"/>
        <v>0</v>
      </c>
      <c r="L181" s="625">
        <f t="shared" si="152"/>
        <v>0</v>
      </c>
      <c r="M181" s="625">
        <f t="shared" si="152"/>
        <v>0</v>
      </c>
      <c r="N181" s="624">
        <f t="shared" si="155"/>
        <v>0</v>
      </c>
      <c r="O181" s="624">
        <f t="shared" si="153"/>
        <v>0</v>
      </c>
      <c r="P181" s="626">
        <f t="shared" si="153"/>
        <v>0</v>
      </c>
      <c r="Q181" s="624">
        <f t="shared" si="153"/>
        <v>0</v>
      </c>
      <c r="S181" s="349">
        <v>67</v>
      </c>
      <c r="X181" s="349">
        <v>16</v>
      </c>
      <c r="Y181" s="804">
        <v>83</v>
      </c>
      <c r="Z181" s="804"/>
      <c r="AE181" s="804"/>
      <c r="AF181" s="804"/>
      <c r="AH181" s="804"/>
    </row>
    <row r="182" spans="1:34">
      <c r="A182" s="436"/>
      <c r="B182" s="436" t="s">
        <v>59</v>
      </c>
      <c r="C182" s="807">
        <f t="shared" si="154"/>
        <v>1</v>
      </c>
      <c r="D182" s="808">
        <f t="shared" si="152"/>
        <v>1</v>
      </c>
      <c r="E182" s="808">
        <f t="shared" si="152"/>
        <v>0</v>
      </c>
      <c r="F182" s="808">
        <f t="shared" si="152"/>
        <v>0</v>
      </c>
      <c r="G182" s="808">
        <f t="shared" si="152"/>
        <v>0</v>
      </c>
      <c r="H182" s="809">
        <f t="shared" si="152"/>
        <v>1</v>
      </c>
      <c r="I182" s="577">
        <f t="shared" si="152"/>
        <v>1</v>
      </c>
      <c r="J182" s="577">
        <f t="shared" si="152"/>
        <v>0</v>
      </c>
      <c r="K182" s="578">
        <f t="shared" si="152"/>
        <v>0</v>
      </c>
      <c r="L182" s="578">
        <f t="shared" si="152"/>
        <v>0</v>
      </c>
      <c r="M182" s="578">
        <f t="shared" si="152"/>
        <v>0</v>
      </c>
      <c r="N182" s="577">
        <f t="shared" si="155"/>
        <v>1</v>
      </c>
      <c r="O182" s="577">
        <f t="shared" si="153"/>
        <v>0</v>
      </c>
      <c r="P182" s="579">
        <f t="shared" si="153"/>
        <v>0</v>
      </c>
      <c r="Q182" s="577">
        <f t="shared" si="153"/>
        <v>0</v>
      </c>
      <c r="S182" s="349">
        <v>780</v>
      </c>
      <c r="T182" s="349">
        <v>606</v>
      </c>
      <c r="X182" s="349">
        <v>100</v>
      </c>
      <c r="Y182" s="804">
        <v>1486</v>
      </c>
      <c r="Z182" s="804"/>
      <c r="AE182" s="804">
        <v>710</v>
      </c>
      <c r="AF182" s="804"/>
      <c r="AH182" s="804"/>
    </row>
    <row r="183" spans="1:34">
      <c r="A183" s="240" t="s">
        <v>157</v>
      </c>
      <c r="B183" s="240" t="s">
        <v>53</v>
      </c>
      <c r="C183" s="806">
        <f>IF(S$188&gt;0,(S183/S$188),0)</f>
        <v>0.32139093782929401</v>
      </c>
      <c r="D183" s="806">
        <f t="shared" ref="D183:M188" si="156">IF(T$188&gt;0,(T183/T$188),0)</f>
        <v>0.33478893740902477</v>
      </c>
      <c r="E183" s="806">
        <f t="shared" si="156"/>
        <v>0</v>
      </c>
      <c r="F183" s="806">
        <f t="shared" si="156"/>
        <v>0.27020202020202022</v>
      </c>
      <c r="G183" s="806">
        <f t="shared" si="156"/>
        <v>0.37864077669902912</v>
      </c>
      <c r="H183" s="806">
        <f t="shared" si="156"/>
        <v>0</v>
      </c>
      <c r="I183" s="613">
        <f t="shared" si="156"/>
        <v>0.3189695550351288</v>
      </c>
      <c r="J183" s="613">
        <f t="shared" si="156"/>
        <v>0</v>
      </c>
      <c r="K183" s="614">
        <f t="shared" si="156"/>
        <v>0</v>
      </c>
      <c r="L183" s="614">
        <f t="shared" si="156"/>
        <v>0</v>
      </c>
      <c r="M183" s="614">
        <f t="shared" si="156"/>
        <v>0</v>
      </c>
      <c r="N183" s="613">
        <f>IF(AE$188&gt;0,(AE183/AE$188),0)</f>
        <v>7.0318887980376124E-2</v>
      </c>
      <c r="O183" s="613">
        <f t="shared" ref="O183:Q188" si="157">IF(AF$188&gt;0,(AF183/AF$188),0)</f>
        <v>0</v>
      </c>
      <c r="P183" s="615">
        <f t="shared" si="157"/>
        <v>0</v>
      </c>
      <c r="Q183" s="613">
        <f t="shared" si="157"/>
        <v>0</v>
      </c>
      <c r="R183" s="799"/>
      <c r="S183" s="798">
        <v>305</v>
      </c>
      <c r="T183" s="798">
        <v>230</v>
      </c>
      <c r="U183" s="798"/>
      <c r="V183" s="798">
        <v>107</v>
      </c>
      <c r="W183" s="798">
        <v>39</v>
      </c>
      <c r="X183" s="798"/>
      <c r="Y183" s="803">
        <v>681</v>
      </c>
      <c r="Z183" s="803"/>
      <c r="AA183" s="798"/>
      <c r="AB183" s="798"/>
      <c r="AC183" s="798"/>
      <c r="AD183" s="798"/>
      <c r="AE183" s="803">
        <v>86</v>
      </c>
      <c r="AF183" s="803"/>
      <c r="AG183" s="798"/>
      <c r="AH183" s="803"/>
    </row>
    <row r="184" spans="1:34">
      <c r="A184" s="239"/>
      <c r="B184" s="239" t="s">
        <v>93</v>
      </c>
      <c r="C184" s="806">
        <f t="shared" ref="C184:C188" si="158">IF(S$188&gt;0,(S184/S$188),0)</f>
        <v>0.30769230769230771</v>
      </c>
      <c r="D184" s="806">
        <f t="shared" si="156"/>
        <v>0.33478893740902477</v>
      </c>
      <c r="E184" s="806">
        <f t="shared" si="156"/>
        <v>0</v>
      </c>
      <c r="F184" s="806">
        <f t="shared" si="156"/>
        <v>0.3005050505050505</v>
      </c>
      <c r="G184" s="806">
        <f t="shared" si="156"/>
        <v>0.1941747572815534</v>
      </c>
      <c r="H184" s="806">
        <f t="shared" si="156"/>
        <v>0</v>
      </c>
      <c r="I184" s="624">
        <f t="shared" si="156"/>
        <v>0.30960187353629975</v>
      </c>
      <c r="J184" s="624">
        <f t="shared" si="156"/>
        <v>0</v>
      </c>
      <c r="K184" s="625">
        <f t="shared" si="156"/>
        <v>0</v>
      </c>
      <c r="L184" s="625">
        <f t="shared" si="156"/>
        <v>0</v>
      </c>
      <c r="M184" s="625">
        <f t="shared" si="156"/>
        <v>0</v>
      </c>
      <c r="N184" s="624">
        <f t="shared" ref="N184:N188" si="159">IF(AE$188&gt;0,(AE184/AE$188),0)</f>
        <v>8.5036794766966475E-2</v>
      </c>
      <c r="O184" s="624">
        <f t="shared" si="157"/>
        <v>0</v>
      </c>
      <c r="P184" s="626">
        <f t="shared" si="157"/>
        <v>0</v>
      </c>
      <c r="Q184" s="624">
        <f t="shared" si="157"/>
        <v>0</v>
      </c>
      <c r="S184" s="349">
        <v>292</v>
      </c>
      <c r="T184" s="349">
        <v>230</v>
      </c>
      <c r="V184" s="349">
        <v>119</v>
      </c>
      <c r="W184" s="349">
        <v>20</v>
      </c>
      <c r="Y184" s="804">
        <v>661</v>
      </c>
      <c r="Z184" s="804"/>
      <c r="AE184" s="804">
        <v>104</v>
      </c>
      <c r="AF184" s="804"/>
      <c r="AH184" s="804"/>
    </row>
    <row r="185" spans="1:34">
      <c r="A185" s="239"/>
      <c r="B185" s="239" t="s">
        <v>55</v>
      </c>
      <c r="C185" s="806">
        <f t="shared" si="158"/>
        <v>0.220231822971549</v>
      </c>
      <c r="D185" s="806">
        <f t="shared" si="156"/>
        <v>0.29694323144104806</v>
      </c>
      <c r="E185" s="806">
        <f t="shared" si="156"/>
        <v>0</v>
      </c>
      <c r="F185" s="806">
        <f t="shared" si="156"/>
        <v>0.28535353535353536</v>
      </c>
      <c r="G185" s="806">
        <f t="shared" si="156"/>
        <v>0.39805825242718446</v>
      </c>
      <c r="H185" s="806">
        <f t="shared" si="156"/>
        <v>0</v>
      </c>
      <c r="I185" s="624">
        <f t="shared" si="156"/>
        <v>0.26557377049180325</v>
      </c>
      <c r="J185" s="624">
        <f t="shared" si="156"/>
        <v>0</v>
      </c>
      <c r="K185" s="625">
        <f t="shared" si="156"/>
        <v>0</v>
      </c>
      <c r="L185" s="625">
        <f t="shared" si="156"/>
        <v>0</v>
      </c>
      <c r="M185" s="625">
        <f t="shared" si="156"/>
        <v>0</v>
      </c>
      <c r="N185" s="624">
        <f t="shared" si="159"/>
        <v>0.21668029435813574</v>
      </c>
      <c r="O185" s="624">
        <f t="shared" si="157"/>
        <v>0</v>
      </c>
      <c r="P185" s="626">
        <f t="shared" si="157"/>
        <v>0</v>
      </c>
      <c r="Q185" s="624">
        <f t="shared" si="157"/>
        <v>0</v>
      </c>
      <c r="S185" s="349">
        <v>209</v>
      </c>
      <c r="T185" s="349">
        <v>204</v>
      </c>
      <c r="V185" s="349">
        <v>113</v>
      </c>
      <c r="W185" s="349">
        <v>41</v>
      </c>
      <c r="Y185" s="804">
        <v>567</v>
      </c>
      <c r="Z185" s="804"/>
      <c r="AE185" s="804">
        <v>265</v>
      </c>
      <c r="AF185" s="804"/>
      <c r="AH185" s="804"/>
    </row>
    <row r="186" spans="1:34">
      <c r="A186" s="239"/>
      <c r="B186" s="239" t="s">
        <v>78</v>
      </c>
      <c r="C186" s="806">
        <f t="shared" si="158"/>
        <v>1.1591148577449948E-2</v>
      </c>
      <c r="D186" s="806">
        <f t="shared" si="156"/>
        <v>2.1834061135371178E-2</v>
      </c>
      <c r="E186" s="806">
        <f t="shared" si="156"/>
        <v>0</v>
      </c>
      <c r="F186" s="806">
        <f t="shared" si="156"/>
        <v>0.11363636363636363</v>
      </c>
      <c r="G186" s="806">
        <f t="shared" si="156"/>
        <v>2.9126213592233011E-2</v>
      </c>
      <c r="H186" s="806">
        <f t="shared" si="156"/>
        <v>0</v>
      </c>
      <c r="I186" s="624">
        <f t="shared" si="156"/>
        <v>3.4660421545667446E-2</v>
      </c>
      <c r="J186" s="624">
        <f t="shared" si="156"/>
        <v>0</v>
      </c>
      <c r="K186" s="625">
        <f t="shared" si="156"/>
        <v>0</v>
      </c>
      <c r="L186" s="625">
        <f t="shared" si="156"/>
        <v>0</v>
      </c>
      <c r="M186" s="625">
        <f t="shared" si="156"/>
        <v>0</v>
      </c>
      <c r="N186" s="624">
        <f t="shared" si="159"/>
        <v>0.21504497138184792</v>
      </c>
      <c r="O186" s="624">
        <f t="shared" si="157"/>
        <v>0</v>
      </c>
      <c r="P186" s="626">
        <f t="shared" si="157"/>
        <v>0</v>
      </c>
      <c r="Q186" s="624">
        <f t="shared" si="157"/>
        <v>0</v>
      </c>
      <c r="S186" s="349">
        <v>11</v>
      </c>
      <c r="T186" s="349">
        <v>15</v>
      </c>
      <c r="V186" s="349">
        <v>45</v>
      </c>
      <c r="W186" s="349">
        <v>3</v>
      </c>
      <c r="Y186" s="804">
        <v>74</v>
      </c>
      <c r="Z186" s="804"/>
      <c r="AE186" s="804">
        <v>263</v>
      </c>
      <c r="AF186" s="804"/>
      <c r="AH186" s="804"/>
    </row>
    <row r="187" spans="1:34">
      <c r="A187" s="580"/>
      <c r="B187" s="580" t="s">
        <v>131</v>
      </c>
      <c r="C187" s="806">
        <f t="shared" si="158"/>
        <v>0.13909378292939936</v>
      </c>
      <c r="D187" s="806">
        <f t="shared" si="156"/>
        <v>1.1644832605531296E-2</v>
      </c>
      <c r="E187" s="806">
        <f t="shared" si="156"/>
        <v>0</v>
      </c>
      <c r="F187" s="806">
        <f t="shared" si="156"/>
        <v>3.0303030303030304E-2</v>
      </c>
      <c r="G187" s="806">
        <f t="shared" si="156"/>
        <v>0</v>
      </c>
      <c r="H187" s="806">
        <f t="shared" si="156"/>
        <v>0</v>
      </c>
      <c r="I187" s="624">
        <f t="shared" si="156"/>
        <v>7.1194379391100709E-2</v>
      </c>
      <c r="J187" s="624">
        <f t="shared" si="156"/>
        <v>0</v>
      </c>
      <c r="K187" s="625">
        <f t="shared" si="156"/>
        <v>0</v>
      </c>
      <c r="L187" s="625">
        <f t="shared" si="156"/>
        <v>0</v>
      </c>
      <c r="M187" s="625">
        <f t="shared" si="156"/>
        <v>0</v>
      </c>
      <c r="N187" s="624">
        <f t="shared" si="159"/>
        <v>0.41291905151267377</v>
      </c>
      <c r="O187" s="624">
        <f t="shared" si="157"/>
        <v>0</v>
      </c>
      <c r="P187" s="626">
        <f t="shared" si="157"/>
        <v>0</v>
      </c>
      <c r="Q187" s="624">
        <f t="shared" si="157"/>
        <v>0</v>
      </c>
      <c r="S187" s="349">
        <v>132</v>
      </c>
      <c r="T187" s="349">
        <v>8</v>
      </c>
      <c r="V187" s="349">
        <v>12</v>
      </c>
      <c r="Y187" s="804">
        <v>152</v>
      </c>
      <c r="Z187" s="804"/>
      <c r="AE187" s="804">
        <v>505</v>
      </c>
      <c r="AF187" s="804"/>
      <c r="AH187" s="804"/>
    </row>
    <row r="188" spans="1:34">
      <c r="A188" s="436"/>
      <c r="B188" s="436" t="s">
        <v>59</v>
      </c>
      <c r="C188" s="807">
        <f t="shared" si="158"/>
        <v>1</v>
      </c>
      <c r="D188" s="808">
        <f t="shared" si="156"/>
        <v>1</v>
      </c>
      <c r="E188" s="808">
        <f t="shared" si="156"/>
        <v>0</v>
      </c>
      <c r="F188" s="808">
        <f t="shared" si="156"/>
        <v>1</v>
      </c>
      <c r="G188" s="808">
        <f t="shared" si="156"/>
        <v>1</v>
      </c>
      <c r="H188" s="809">
        <f t="shared" si="156"/>
        <v>0</v>
      </c>
      <c r="I188" s="577">
        <f t="shared" si="156"/>
        <v>1</v>
      </c>
      <c r="J188" s="577">
        <f t="shared" si="156"/>
        <v>0</v>
      </c>
      <c r="K188" s="578">
        <f t="shared" si="156"/>
        <v>0</v>
      </c>
      <c r="L188" s="578">
        <f t="shared" si="156"/>
        <v>0</v>
      </c>
      <c r="M188" s="578">
        <f t="shared" si="156"/>
        <v>0</v>
      </c>
      <c r="N188" s="577">
        <f t="shared" si="159"/>
        <v>1</v>
      </c>
      <c r="O188" s="577">
        <f t="shared" si="157"/>
        <v>0</v>
      </c>
      <c r="P188" s="579">
        <f t="shared" si="157"/>
        <v>0</v>
      </c>
      <c r="Q188" s="577">
        <f t="shared" si="157"/>
        <v>0</v>
      </c>
      <c r="S188" s="349">
        <v>949</v>
      </c>
      <c r="T188" s="349">
        <v>687</v>
      </c>
      <c r="V188" s="349">
        <v>396</v>
      </c>
      <c r="W188" s="349">
        <v>103</v>
      </c>
      <c r="Y188" s="804">
        <v>2135</v>
      </c>
      <c r="Z188" s="804"/>
      <c r="AE188" s="804">
        <v>1223</v>
      </c>
      <c r="AF188" s="804"/>
      <c r="AH188" s="804"/>
    </row>
    <row r="189" spans="1:34">
      <c r="A189" s="240" t="s">
        <v>161</v>
      </c>
      <c r="B189" s="240" t="s">
        <v>53</v>
      </c>
      <c r="C189" s="806">
        <f>IF(S$194&gt;0,(S189/S$194),0)</f>
        <v>0.23978685612788633</v>
      </c>
      <c r="D189" s="806">
        <f t="shared" ref="D189:M194" si="160">IF(T$194&gt;0,(T189/T$194),0)</f>
        <v>0.2939521800281294</v>
      </c>
      <c r="E189" s="806">
        <f t="shared" si="160"/>
        <v>0.3235294117647059</v>
      </c>
      <c r="F189" s="806">
        <f t="shared" si="160"/>
        <v>0.34928229665071769</v>
      </c>
      <c r="G189" s="806">
        <f t="shared" si="160"/>
        <v>0.27433628318584069</v>
      </c>
      <c r="H189" s="806">
        <f t="shared" si="160"/>
        <v>0.31343283582089554</v>
      </c>
      <c r="I189" s="613">
        <f t="shared" si="160"/>
        <v>0.2699346405228758</v>
      </c>
      <c r="J189" s="613">
        <f t="shared" si="160"/>
        <v>0</v>
      </c>
      <c r="K189" s="614">
        <f t="shared" si="160"/>
        <v>0</v>
      </c>
      <c r="L189" s="614">
        <f t="shared" si="160"/>
        <v>0</v>
      </c>
      <c r="M189" s="614">
        <f t="shared" si="160"/>
        <v>0</v>
      </c>
      <c r="N189" s="613">
        <f>IF(AE$194&gt;0,(AE189/AE$194),0)</f>
        <v>3.1283138918345707E-2</v>
      </c>
      <c r="O189" s="613">
        <f t="shared" ref="O189:Q194" si="161">IF(AF$194&gt;0,(AF189/AF$194),0)</f>
        <v>0</v>
      </c>
      <c r="P189" s="615">
        <f t="shared" si="161"/>
        <v>0</v>
      </c>
      <c r="Q189" s="613">
        <f t="shared" si="161"/>
        <v>0</v>
      </c>
      <c r="R189" s="799"/>
      <c r="S189" s="798">
        <v>405</v>
      </c>
      <c r="T189" s="798">
        <v>209</v>
      </c>
      <c r="U189" s="798">
        <v>66</v>
      </c>
      <c r="V189" s="798">
        <v>73</v>
      </c>
      <c r="W189" s="798">
        <v>31</v>
      </c>
      <c r="X189" s="798">
        <v>42</v>
      </c>
      <c r="Y189" s="803">
        <v>826</v>
      </c>
      <c r="Z189" s="803"/>
      <c r="AA189" s="798"/>
      <c r="AB189" s="798"/>
      <c r="AC189" s="798"/>
      <c r="AD189" s="798"/>
      <c r="AE189" s="803">
        <v>59</v>
      </c>
      <c r="AF189" s="803"/>
      <c r="AG189" s="798"/>
      <c r="AH189" s="803"/>
    </row>
    <row r="190" spans="1:34">
      <c r="A190" s="239"/>
      <c r="B190" s="239" t="s">
        <v>93</v>
      </c>
      <c r="C190" s="806">
        <f t="shared" ref="C190:C194" si="162">IF(S$194&gt;0,(S190/S$194),0)</f>
        <v>0.27945529899348726</v>
      </c>
      <c r="D190" s="806">
        <f t="shared" si="160"/>
        <v>0.23909985935302391</v>
      </c>
      <c r="E190" s="806">
        <f t="shared" si="160"/>
        <v>0.22058823529411764</v>
      </c>
      <c r="F190" s="806">
        <f t="shared" si="160"/>
        <v>0.27751196172248804</v>
      </c>
      <c r="G190" s="806">
        <f t="shared" si="160"/>
        <v>0.26548672566371684</v>
      </c>
      <c r="H190" s="806">
        <f t="shared" si="160"/>
        <v>0.2537313432835821</v>
      </c>
      <c r="I190" s="624">
        <f t="shared" si="160"/>
        <v>0.26437908496732027</v>
      </c>
      <c r="J190" s="624">
        <f t="shared" si="160"/>
        <v>0</v>
      </c>
      <c r="K190" s="625">
        <f t="shared" si="160"/>
        <v>0</v>
      </c>
      <c r="L190" s="625">
        <f t="shared" si="160"/>
        <v>0</v>
      </c>
      <c r="M190" s="625">
        <f t="shared" si="160"/>
        <v>0</v>
      </c>
      <c r="N190" s="624">
        <f t="shared" ref="N190:N194" si="163">IF(AE$194&gt;0,(AE190/AE$194),0)</f>
        <v>1.9088016967126194E-2</v>
      </c>
      <c r="O190" s="624">
        <f t="shared" si="161"/>
        <v>0</v>
      </c>
      <c r="P190" s="626">
        <f t="shared" si="161"/>
        <v>0</v>
      </c>
      <c r="Q190" s="624">
        <f t="shared" si="161"/>
        <v>0</v>
      </c>
      <c r="S190" s="349">
        <v>472</v>
      </c>
      <c r="T190" s="349">
        <v>170</v>
      </c>
      <c r="U190" s="349">
        <v>45</v>
      </c>
      <c r="V190" s="349">
        <v>58</v>
      </c>
      <c r="W190" s="349">
        <v>30</v>
      </c>
      <c r="X190" s="349">
        <v>34</v>
      </c>
      <c r="Y190" s="804">
        <v>809</v>
      </c>
      <c r="Z190" s="804"/>
      <c r="AE190" s="804">
        <v>36</v>
      </c>
      <c r="AF190" s="804"/>
      <c r="AH190" s="804"/>
    </row>
    <row r="191" spans="1:34">
      <c r="A191" s="239"/>
      <c r="B191" s="239" t="s">
        <v>55</v>
      </c>
      <c r="C191" s="806">
        <f t="shared" si="162"/>
        <v>0.22380106571936056</v>
      </c>
      <c r="D191" s="806">
        <f t="shared" si="160"/>
        <v>0.28129395218002812</v>
      </c>
      <c r="E191" s="806">
        <f t="shared" si="160"/>
        <v>0.25980392156862747</v>
      </c>
      <c r="F191" s="806">
        <f t="shared" si="160"/>
        <v>0.14354066985645933</v>
      </c>
      <c r="G191" s="806">
        <f t="shared" si="160"/>
        <v>0.30973451327433627</v>
      </c>
      <c r="H191" s="806">
        <f t="shared" si="160"/>
        <v>0.33582089552238809</v>
      </c>
      <c r="I191" s="624">
        <f t="shared" si="160"/>
        <v>0.24215686274509804</v>
      </c>
      <c r="J191" s="624">
        <f t="shared" si="160"/>
        <v>0</v>
      </c>
      <c r="K191" s="625">
        <f t="shared" si="160"/>
        <v>0</v>
      </c>
      <c r="L191" s="625">
        <f t="shared" si="160"/>
        <v>0</v>
      </c>
      <c r="M191" s="625">
        <f t="shared" si="160"/>
        <v>0</v>
      </c>
      <c r="N191" s="624">
        <f t="shared" si="163"/>
        <v>2.3329798515376459E-2</v>
      </c>
      <c r="O191" s="624">
        <f t="shared" si="161"/>
        <v>0</v>
      </c>
      <c r="P191" s="626">
        <f t="shared" si="161"/>
        <v>0</v>
      </c>
      <c r="Q191" s="624">
        <f t="shared" si="161"/>
        <v>0</v>
      </c>
      <c r="S191" s="349">
        <v>378</v>
      </c>
      <c r="T191" s="349">
        <v>200</v>
      </c>
      <c r="U191" s="349">
        <v>53</v>
      </c>
      <c r="V191" s="349">
        <v>30</v>
      </c>
      <c r="W191" s="349">
        <v>35</v>
      </c>
      <c r="X191" s="349">
        <v>45</v>
      </c>
      <c r="Y191" s="804">
        <v>741</v>
      </c>
      <c r="Z191" s="804"/>
      <c r="AE191" s="804">
        <v>44</v>
      </c>
      <c r="AF191" s="804"/>
      <c r="AH191" s="804"/>
    </row>
    <row r="192" spans="1:34">
      <c r="A192" s="239"/>
      <c r="B192" s="239" t="s">
        <v>78</v>
      </c>
      <c r="C192" s="806">
        <f t="shared" si="162"/>
        <v>0.22616933096506808</v>
      </c>
      <c r="D192" s="806">
        <f t="shared" si="160"/>
        <v>0.17721518987341772</v>
      </c>
      <c r="E192" s="806">
        <f t="shared" si="160"/>
        <v>0.17647058823529413</v>
      </c>
      <c r="F192" s="806">
        <f t="shared" si="160"/>
        <v>0.22966507177033493</v>
      </c>
      <c r="G192" s="806">
        <f t="shared" si="160"/>
        <v>8.8495575221238937E-2</v>
      </c>
      <c r="H192" s="806">
        <f t="shared" si="160"/>
        <v>9.7014925373134331E-2</v>
      </c>
      <c r="I192" s="624">
        <f t="shared" si="160"/>
        <v>0.20098039215686275</v>
      </c>
      <c r="J192" s="624">
        <f t="shared" si="160"/>
        <v>0</v>
      </c>
      <c r="K192" s="625">
        <f t="shared" si="160"/>
        <v>0</v>
      </c>
      <c r="L192" s="625">
        <f t="shared" si="160"/>
        <v>0</v>
      </c>
      <c r="M192" s="625">
        <f t="shared" si="160"/>
        <v>0</v>
      </c>
      <c r="N192" s="624">
        <f t="shared" si="163"/>
        <v>0.82873806998939559</v>
      </c>
      <c r="O192" s="624">
        <f t="shared" si="161"/>
        <v>0</v>
      </c>
      <c r="P192" s="626">
        <f t="shared" si="161"/>
        <v>0</v>
      </c>
      <c r="Q192" s="624">
        <f t="shared" si="161"/>
        <v>0</v>
      </c>
      <c r="S192" s="349">
        <v>382</v>
      </c>
      <c r="T192" s="349">
        <v>126</v>
      </c>
      <c r="U192" s="349">
        <v>36</v>
      </c>
      <c r="V192" s="349">
        <v>48</v>
      </c>
      <c r="W192" s="349">
        <v>10</v>
      </c>
      <c r="X192" s="349">
        <v>13</v>
      </c>
      <c r="Y192" s="804">
        <v>615</v>
      </c>
      <c r="Z192" s="804"/>
      <c r="AE192" s="804">
        <v>1563</v>
      </c>
      <c r="AF192" s="804"/>
      <c r="AH192" s="804"/>
    </row>
    <row r="193" spans="1:34">
      <c r="A193" s="580"/>
      <c r="B193" s="580" t="s">
        <v>131</v>
      </c>
      <c r="C193" s="806">
        <f t="shared" si="162"/>
        <v>3.078744819419775E-2</v>
      </c>
      <c r="D193" s="806">
        <f t="shared" si="160"/>
        <v>8.4388185654008432E-3</v>
      </c>
      <c r="E193" s="806">
        <f t="shared" si="160"/>
        <v>1.9607843137254902E-2</v>
      </c>
      <c r="F193" s="806">
        <f t="shared" si="160"/>
        <v>0</v>
      </c>
      <c r="G193" s="806">
        <f t="shared" si="160"/>
        <v>6.1946902654867256E-2</v>
      </c>
      <c r="H193" s="806">
        <f t="shared" si="160"/>
        <v>0</v>
      </c>
      <c r="I193" s="624">
        <f t="shared" si="160"/>
        <v>2.2549019607843137E-2</v>
      </c>
      <c r="J193" s="624">
        <f t="shared" si="160"/>
        <v>0</v>
      </c>
      <c r="K193" s="625">
        <f t="shared" si="160"/>
        <v>0</v>
      </c>
      <c r="L193" s="625">
        <f t="shared" si="160"/>
        <v>0</v>
      </c>
      <c r="M193" s="625">
        <f t="shared" si="160"/>
        <v>0</v>
      </c>
      <c r="N193" s="624">
        <f t="shared" si="163"/>
        <v>9.7560975609756101E-2</v>
      </c>
      <c r="O193" s="624">
        <f t="shared" si="161"/>
        <v>0</v>
      </c>
      <c r="P193" s="626">
        <f t="shared" si="161"/>
        <v>0</v>
      </c>
      <c r="Q193" s="624">
        <f t="shared" si="161"/>
        <v>0</v>
      </c>
      <c r="S193" s="349">
        <v>52</v>
      </c>
      <c r="T193" s="349">
        <v>6</v>
      </c>
      <c r="U193" s="349">
        <v>4</v>
      </c>
      <c r="W193" s="349">
        <v>7</v>
      </c>
      <c r="Y193" s="804">
        <v>69</v>
      </c>
      <c r="Z193" s="804"/>
      <c r="AE193" s="804">
        <v>184</v>
      </c>
      <c r="AF193" s="804"/>
      <c r="AH193" s="804"/>
    </row>
    <row r="194" spans="1:34">
      <c r="A194" s="436"/>
      <c r="B194" s="436" t="s">
        <v>59</v>
      </c>
      <c r="C194" s="807">
        <f t="shared" si="162"/>
        <v>1</v>
      </c>
      <c r="D194" s="808">
        <f t="shared" si="160"/>
        <v>1</v>
      </c>
      <c r="E194" s="808">
        <f t="shared" si="160"/>
        <v>1</v>
      </c>
      <c r="F194" s="808">
        <f t="shared" si="160"/>
        <v>1</v>
      </c>
      <c r="G194" s="808">
        <f t="shared" si="160"/>
        <v>1</v>
      </c>
      <c r="H194" s="809">
        <f t="shared" si="160"/>
        <v>1</v>
      </c>
      <c r="I194" s="577">
        <f t="shared" si="160"/>
        <v>1</v>
      </c>
      <c r="J194" s="577">
        <f t="shared" si="160"/>
        <v>0</v>
      </c>
      <c r="K194" s="578">
        <f t="shared" si="160"/>
        <v>0</v>
      </c>
      <c r="L194" s="578">
        <f t="shared" si="160"/>
        <v>0</v>
      </c>
      <c r="M194" s="578">
        <f t="shared" si="160"/>
        <v>0</v>
      </c>
      <c r="N194" s="577">
        <f t="shared" si="163"/>
        <v>1</v>
      </c>
      <c r="O194" s="577">
        <f t="shared" si="161"/>
        <v>0</v>
      </c>
      <c r="P194" s="579">
        <f t="shared" si="161"/>
        <v>0</v>
      </c>
      <c r="Q194" s="577">
        <f t="shared" si="161"/>
        <v>0</v>
      </c>
      <c r="S194" s="349">
        <v>1689</v>
      </c>
      <c r="T194" s="349">
        <v>711</v>
      </c>
      <c r="U194" s="349">
        <v>204</v>
      </c>
      <c r="V194" s="349">
        <v>209</v>
      </c>
      <c r="W194" s="349">
        <v>113</v>
      </c>
      <c r="X194" s="349">
        <v>134</v>
      </c>
      <c r="Y194" s="804">
        <v>3060</v>
      </c>
      <c r="Z194" s="804"/>
      <c r="AE194" s="804">
        <v>1886</v>
      </c>
      <c r="AF194" s="804"/>
      <c r="AH194" s="804"/>
    </row>
    <row r="195" spans="1:34">
      <c r="A195" s="240" t="s">
        <v>165</v>
      </c>
      <c r="B195" s="240" t="s">
        <v>53</v>
      </c>
      <c r="C195" s="806">
        <f>IF(S$200&gt;0,(S195/S$200),0)</f>
        <v>0.33076923076923076</v>
      </c>
      <c r="D195" s="806">
        <f t="shared" ref="D195:M200" si="164">IF(T$200&gt;0,(T195/T$200),0)</f>
        <v>0.27720207253886009</v>
      </c>
      <c r="E195" s="806">
        <f t="shared" si="164"/>
        <v>0</v>
      </c>
      <c r="F195" s="806">
        <f t="shared" si="164"/>
        <v>0.30513176144244103</v>
      </c>
      <c r="G195" s="806">
        <f t="shared" si="164"/>
        <v>0</v>
      </c>
      <c r="H195" s="806">
        <f t="shared" si="164"/>
        <v>0.2</v>
      </c>
      <c r="I195" s="613">
        <f t="shared" si="164"/>
        <v>0.28705815279361457</v>
      </c>
      <c r="J195" s="613">
        <f t="shared" si="164"/>
        <v>0</v>
      </c>
      <c r="K195" s="614">
        <f t="shared" si="164"/>
        <v>0</v>
      </c>
      <c r="L195" s="614">
        <f t="shared" si="164"/>
        <v>0</v>
      </c>
      <c r="M195" s="614">
        <f t="shared" si="164"/>
        <v>0</v>
      </c>
      <c r="N195" s="613">
        <f>IF(AE$200&gt;0,(AE195/AE$200),0)</f>
        <v>0.12059369202226346</v>
      </c>
      <c r="O195" s="613">
        <f t="shared" ref="O195:Q200" si="165">IF(AF$200&gt;0,(AF195/AF$200),0)</f>
        <v>0</v>
      </c>
      <c r="P195" s="615">
        <f t="shared" si="165"/>
        <v>0</v>
      </c>
      <c r="Q195" s="613">
        <f t="shared" si="165"/>
        <v>0</v>
      </c>
      <c r="R195" s="799"/>
      <c r="S195" s="798">
        <v>430</v>
      </c>
      <c r="T195" s="798">
        <v>214</v>
      </c>
      <c r="U195" s="798"/>
      <c r="V195" s="798">
        <v>220</v>
      </c>
      <c r="W195" s="798"/>
      <c r="X195" s="798">
        <v>143</v>
      </c>
      <c r="Y195" s="803">
        <v>1007</v>
      </c>
      <c r="Z195" s="803"/>
      <c r="AA195" s="798"/>
      <c r="AB195" s="798"/>
      <c r="AC195" s="798"/>
      <c r="AD195" s="798"/>
      <c r="AE195" s="803">
        <v>65</v>
      </c>
      <c r="AF195" s="803"/>
      <c r="AG195" s="798"/>
      <c r="AH195" s="803"/>
    </row>
    <row r="196" spans="1:34">
      <c r="A196" s="239"/>
      <c r="B196" s="239" t="s">
        <v>93</v>
      </c>
      <c r="C196" s="806">
        <f t="shared" ref="C196:C200" si="166">IF(S$200&gt;0,(S196/S$200),0)</f>
        <v>0.23307692307692307</v>
      </c>
      <c r="D196" s="806">
        <f t="shared" si="164"/>
        <v>0.31994818652849744</v>
      </c>
      <c r="E196" s="806">
        <f t="shared" si="164"/>
        <v>0</v>
      </c>
      <c r="F196" s="806">
        <f t="shared" si="164"/>
        <v>0.24687933425797504</v>
      </c>
      <c r="G196" s="806">
        <f t="shared" si="164"/>
        <v>0</v>
      </c>
      <c r="H196" s="806">
        <f t="shared" si="164"/>
        <v>0.33986013986013985</v>
      </c>
      <c r="I196" s="624">
        <f t="shared" si="164"/>
        <v>0.27679589509692132</v>
      </c>
      <c r="J196" s="624">
        <f t="shared" si="164"/>
        <v>0</v>
      </c>
      <c r="K196" s="625">
        <f t="shared" si="164"/>
        <v>0</v>
      </c>
      <c r="L196" s="625">
        <f t="shared" si="164"/>
        <v>0</v>
      </c>
      <c r="M196" s="625">
        <f t="shared" si="164"/>
        <v>0</v>
      </c>
      <c r="N196" s="624">
        <f t="shared" ref="N196:N200" si="167">IF(AE$200&gt;0,(AE196/AE$200),0)</f>
        <v>0.33024118738404451</v>
      </c>
      <c r="O196" s="624">
        <f t="shared" si="165"/>
        <v>0</v>
      </c>
      <c r="P196" s="626">
        <f t="shared" si="165"/>
        <v>0</v>
      </c>
      <c r="Q196" s="624">
        <f t="shared" si="165"/>
        <v>0</v>
      </c>
      <c r="S196" s="349">
        <v>303</v>
      </c>
      <c r="T196" s="349">
        <v>247</v>
      </c>
      <c r="V196" s="349">
        <v>178</v>
      </c>
      <c r="X196" s="349">
        <v>243</v>
      </c>
      <c r="Y196" s="804">
        <v>971</v>
      </c>
      <c r="Z196" s="804"/>
      <c r="AE196" s="804">
        <v>178</v>
      </c>
      <c r="AF196" s="804"/>
      <c r="AH196" s="804"/>
    </row>
    <row r="197" spans="1:34">
      <c r="A197" s="239"/>
      <c r="B197" s="239" t="s">
        <v>55</v>
      </c>
      <c r="C197" s="806">
        <f t="shared" si="166"/>
        <v>0.22538461538461538</v>
      </c>
      <c r="D197" s="806">
        <f t="shared" si="164"/>
        <v>0.25518134715025909</v>
      </c>
      <c r="E197" s="806">
        <f t="shared" si="164"/>
        <v>0</v>
      </c>
      <c r="F197" s="806">
        <f t="shared" si="164"/>
        <v>0.32732316227461861</v>
      </c>
      <c r="G197" s="806">
        <f t="shared" si="164"/>
        <v>0</v>
      </c>
      <c r="H197" s="806">
        <f t="shared" si="164"/>
        <v>0.31328671328671331</v>
      </c>
      <c r="I197" s="624">
        <f t="shared" si="164"/>
        <v>0.27080957810718359</v>
      </c>
      <c r="J197" s="624">
        <f t="shared" si="164"/>
        <v>0</v>
      </c>
      <c r="K197" s="625">
        <f t="shared" si="164"/>
        <v>0</v>
      </c>
      <c r="L197" s="625">
        <f t="shared" si="164"/>
        <v>0</v>
      </c>
      <c r="M197" s="625">
        <f t="shared" si="164"/>
        <v>0</v>
      </c>
      <c r="N197" s="624">
        <f t="shared" si="167"/>
        <v>0.25231910946196662</v>
      </c>
      <c r="O197" s="624">
        <f t="shared" si="165"/>
        <v>0</v>
      </c>
      <c r="P197" s="626">
        <f t="shared" si="165"/>
        <v>0</v>
      </c>
      <c r="Q197" s="624">
        <f t="shared" si="165"/>
        <v>0</v>
      </c>
      <c r="S197" s="349">
        <v>293</v>
      </c>
      <c r="T197" s="349">
        <v>197</v>
      </c>
      <c r="V197" s="349">
        <v>236</v>
      </c>
      <c r="X197" s="349">
        <v>224</v>
      </c>
      <c r="Y197" s="804">
        <v>950</v>
      </c>
      <c r="Z197" s="804"/>
      <c r="AE197" s="804">
        <v>136</v>
      </c>
      <c r="AF197" s="804"/>
      <c r="AH197" s="804"/>
    </row>
    <row r="198" spans="1:34">
      <c r="A198" s="239"/>
      <c r="B198" s="239" t="s">
        <v>78</v>
      </c>
      <c r="C198" s="806">
        <f t="shared" si="166"/>
        <v>3.9230769230769229E-2</v>
      </c>
      <c r="D198" s="806">
        <f t="shared" si="164"/>
        <v>2.2020725388601035E-2</v>
      </c>
      <c r="E198" s="806">
        <f t="shared" si="164"/>
        <v>0</v>
      </c>
      <c r="F198" s="806">
        <f t="shared" si="164"/>
        <v>8.8765603328710127E-2</v>
      </c>
      <c r="G198" s="806">
        <f t="shared" si="164"/>
        <v>0</v>
      </c>
      <c r="H198" s="806">
        <f t="shared" si="164"/>
        <v>4.7552447552447551E-2</v>
      </c>
      <c r="I198" s="624">
        <f t="shared" si="164"/>
        <v>4.7320410490307871E-2</v>
      </c>
      <c r="J198" s="624">
        <f t="shared" si="164"/>
        <v>0</v>
      </c>
      <c r="K198" s="625">
        <f t="shared" si="164"/>
        <v>0</v>
      </c>
      <c r="L198" s="625">
        <f t="shared" si="164"/>
        <v>0</v>
      </c>
      <c r="M198" s="625">
        <f t="shared" si="164"/>
        <v>0</v>
      </c>
      <c r="N198" s="624">
        <f t="shared" si="167"/>
        <v>0.26159554730983303</v>
      </c>
      <c r="O198" s="624">
        <f t="shared" si="165"/>
        <v>0</v>
      </c>
      <c r="P198" s="626">
        <f t="shared" si="165"/>
        <v>0</v>
      </c>
      <c r="Q198" s="624">
        <f t="shared" si="165"/>
        <v>0</v>
      </c>
      <c r="S198" s="349">
        <v>51</v>
      </c>
      <c r="T198" s="349">
        <v>17</v>
      </c>
      <c r="V198" s="349">
        <v>64</v>
      </c>
      <c r="X198" s="349">
        <v>34</v>
      </c>
      <c r="Y198" s="804">
        <v>166</v>
      </c>
      <c r="Z198" s="804"/>
      <c r="AE198" s="804">
        <v>141</v>
      </c>
      <c r="AF198" s="804"/>
      <c r="AH198" s="804"/>
    </row>
    <row r="199" spans="1:34">
      <c r="A199" s="580"/>
      <c r="B199" s="580" t="s">
        <v>131</v>
      </c>
      <c r="C199" s="806">
        <f t="shared" si="166"/>
        <v>0.17153846153846153</v>
      </c>
      <c r="D199" s="806">
        <f t="shared" si="164"/>
        <v>0.12564766839378239</v>
      </c>
      <c r="E199" s="806">
        <f t="shared" si="164"/>
        <v>0</v>
      </c>
      <c r="F199" s="806">
        <f t="shared" si="164"/>
        <v>3.1900138696255201E-2</v>
      </c>
      <c r="G199" s="806">
        <f t="shared" si="164"/>
        <v>0</v>
      </c>
      <c r="H199" s="806">
        <f t="shared" si="164"/>
        <v>9.9300699300699305E-2</v>
      </c>
      <c r="I199" s="624">
        <f t="shared" si="164"/>
        <v>0.11801596351197263</v>
      </c>
      <c r="J199" s="624">
        <f t="shared" si="164"/>
        <v>0</v>
      </c>
      <c r="K199" s="625">
        <f t="shared" si="164"/>
        <v>0</v>
      </c>
      <c r="L199" s="625">
        <f t="shared" si="164"/>
        <v>0</v>
      </c>
      <c r="M199" s="625">
        <f t="shared" si="164"/>
        <v>0</v>
      </c>
      <c r="N199" s="624">
        <f t="shared" si="167"/>
        <v>3.525046382189239E-2</v>
      </c>
      <c r="O199" s="624">
        <f t="shared" si="165"/>
        <v>0</v>
      </c>
      <c r="P199" s="626">
        <f t="shared" si="165"/>
        <v>0</v>
      </c>
      <c r="Q199" s="624">
        <f t="shared" si="165"/>
        <v>0</v>
      </c>
      <c r="S199" s="349">
        <v>223</v>
      </c>
      <c r="T199" s="349">
        <v>97</v>
      </c>
      <c r="V199" s="349">
        <v>23</v>
      </c>
      <c r="X199" s="349">
        <v>71</v>
      </c>
      <c r="Y199" s="804">
        <v>414</v>
      </c>
      <c r="Z199" s="804"/>
      <c r="AE199" s="804">
        <v>19</v>
      </c>
      <c r="AF199" s="804"/>
      <c r="AH199" s="804"/>
    </row>
    <row r="200" spans="1:34">
      <c r="A200" s="436"/>
      <c r="B200" s="436" t="s">
        <v>59</v>
      </c>
      <c r="C200" s="807">
        <f t="shared" si="166"/>
        <v>1</v>
      </c>
      <c r="D200" s="808">
        <f t="shared" si="164"/>
        <v>1</v>
      </c>
      <c r="E200" s="808">
        <f t="shared" si="164"/>
        <v>0</v>
      </c>
      <c r="F200" s="808">
        <f t="shared" si="164"/>
        <v>1</v>
      </c>
      <c r="G200" s="808">
        <f t="shared" si="164"/>
        <v>0</v>
      </c>
      <c r="H200" s="809">
        <f t="shared" si="164"/>
        <v>1</v>
      </c>
      <c r="I200" s="577">
        <f t="shared" si="164"/>
        <v>1</v>
      </c>
      <c r="J200" s="577">
        <f t="shared" si="164"/>
        <v>0</v>
      </c>
      <c r="K200" s="578">
        <f t="shared" si="164"/>
        <v>0</v>
      </c>
      <c r="L200" s="578">
        <f t="shared" si="164"/>
        <v>0</v>
      </c>
      <c r="M200" s="578">
        <f t="shared" si="164"/>
        <v>0</v>
      </c>
      <c r="N200" s="577">
        <f t="shared" si="167"/>
        <v>1</v>
      </c>
      <c r="O200" s="577">
        <f t="shared" si="165"/>
        <v>0</v>
      </c>
      <c r="P200" s="579">
        <f t="shared" si="165"/>
        <v>0</v>
      </c>
      <c r="Q200" s="577">
        <f t="shared" si="165"/>
        <v>0</v>
      </c>
      <c r="S200" s="349">
        <v>1300</v>
      </c>
      <c r="T200" s="349">
        <v>772</v>
      </c>
      <c r="V200" s="349">
        <v>721</v>
      </c>
      <c r="X200" s="349">
        <v>715</v>
      </c>
      <c r="Y200" s="804">
        <v>3508</v>
      </c>
      <c r="Z200" s="804"/>
      <c r="AE200" s="804">
        <v>539</v>
      </c>
      <c r="AF200" s="804"/>
      <c r="AH200" s="804"/>
    </row>
    <row r="201" spans="1:34">
      <c r="A201" s="240" t="s">
        <v>167</v>
      </c>
      <c r="B201" s="240" t="s">
        <v>53</v>
      </c>
      <c r="C201" s="806">
        <f>IF(S$206&gt;0,(S201/S$206),0)</f>
        <v>0.36615487316421896</v>
      </c>
      <c r="D201" s="806">
        <f t="shared" ref="D201:M206" si="168">IF(T$206&gt;0,(T201/T$206),0)</f>
        <v>0</v>
      </c>
      <c r="E201" s="806">
        <f t="shared" si="168"/>
        <v>0.32634730538922158</v>
      </c>
      <c r="F201" s="806">
        <f t="shared" si="168"/>
        <v>0.2062937062937063</v>
      </c>
      <c r="G201" s="806">
        <f t="shared" si="168"/>
        <v>0</v>
      </c>
      <c r="H201" s="806">
        <f t="shared" si="168"/>
        <v>0</v>
      </c>
      <c r="I201" s="613">
        <f t="shared" si="168"/>
        <v>0.3321510536198623</v>
      </c>
      <c r="J201" s="613">
        <f t="shared" si="168"/>
        <v>0</v>
      </c>
      <c r="K201" s="614">
        <f t="shared" si="168"/>
        <v>0</v>
      </c>
      <c r="L201" s="614">
        <f t="shared" si="168"/>
        <v>0</v>
      </c>
      <c r="M201" s="614">
        <f t="shared" si="168"/>
        <v>0</v>
      </c>
      <c r="N201" s="613">
        <f>IF(AE$206&gt;0,(AE201/AE$206),0)</f>
        <v>2.6595744680851064E-2</v>
      </c>
      <c r="O201" s="613">
        <f t="shared" ref="O201:Q206" si="169">IF(AF$206&gt;0,(AF201/AF$206),0)</f>
        <v>0</v>
      </c>
      <c r="P201" s="615">
        <f t="shared" si="169"/>
        <v>0</v>
      </c>
      <c r="Q201" s="613">
        <f t="shared" si="169"/>
        <v>0</v>
      </c>
      <c r="R201" s="799"/>
      <c r="S201" s="798">
        <v>1097</v>
      </c>
      <c r="T201" s="798"/>
      <c r="U201" s="798">
        <v>436</v>
      </c>
      <c r="V201" s="798">
        <v>59</v>
      </c>
      <c r="W201" s="798"/>
      <c r="X201" s="798"/>
      <c r="Y201" s="803">
        <v>1592</v>
      </c>
      <c r="Z201" s="803"/>
      <c r="AA201" s="798"/>
      <c r="AB201" s="798"/>
      <c r="AC201" s="798"/>
      <c r="AD201" s="798"/>
      <c r="AE201" s="803">
        <v>90</v>
      </c>
      <c r="AF201" s="803"/>
      <c r="AG201" s="798"/>
      <c r="AH201" s="803"/>
    </row>
    <row r="202" spans="1:34">
      <c r="A202" s="239"/>
      <c r="B202" s="239" t="s">
        <v>93</v>
      </c>
      <c r="C202" s="806">
        <f t="shared" ref="C202:C206" si="170">IF(S$206&gt;0,(S202/S$206),0)</f>
        <v>0.24165554072096129</v>
      </c>
      <c r="D202" s="806">
        <f t="shared" si="168"/>
        <v>0</v>
      </c>
      <c r="E202" s="806">
        <f t="shared" si="168"/>
        <v>0.26721556886227543</v>
      </c>
      <c r="F202" s="806">
        <f t="shared" si="168"/>
        <v>0.22027972027972029</v>
      </c>
      <c r="G202" s="806">
        <f t="shared" si="168"/>
        <v>0</v>
      </c>
      <c r="H202" s="806">
        <f t="shared" si="168"/>
        <v>0</v>
      </c>
      <c r="I202" s="624">
        <f t="shared" si="168"/>
        <v>0.23868141039015231</v>
      </c>
      <c r="J202" s="624">
        <f t="shared" si="168"/>
        <v>0</v>
      </c>
      <c r="K202" s="625">
        <f t="shared" si="168"/>
        <v>0</v>
      </c>
      <c r="L202" s="625">
        <f t="shared" si="168"/>
        <v>0</v>
      </c>
      <c r="M202" s="625">
        <f t="shared" si="168"/>
        <v>0</v>
      </c>
      <c r="N202" s="624">
        <f t="shared" ref="N202:N206" si="171">IF(AE$206&gt;0,(AE202/AE$206),0)</f>
        <v>0</v>
      </c>
      <c r="O202" s="624">
        <f t="shared" si="169"/>
        <v>0</v>
      </c>
      <c r="P202" s="626">
        <f t="shared" si="169"/>
        <v>0</v>
      </c>
      <c r="Q202" s="624">
        <f t="shared" si="169"/>
        <v>0</v>
      </c>
      <c r="S202" s="349">
        <v>724</v>
      </c>
      <c r="U202" s="349">
        <v>357</v>
      </c>
      <c r="V202" s="349">
        <v>63</v>
      </c>
      <c r="Y202" s="804">
        <v>1144</v>
      </c>
      <c r="Z202" s="804"/>
      <c r="AE202" s="804"/>
      <c r="AF202" s="804"/>
      <c r="AH202" s="804"/>
    </row>
    <row r="203" spans="1:34">
      <c r="A203" s="239"/>
      <c r="B203" s="239" t="s">
        <v>55</v>
      </c>
      <c r="C203" s="806">
        <f t="shared" si="170"/>
        <v>0.18257676902536715</v>
      </c>
      <c r="D203" s="806">
        <f t="shared" si="168"/>
        <v>0</v>
      </c>
      <c r="E203" s="806">
        <f t="shared" si="168"/>
        <v>0.20658682634730538</v>
      </c>
      <c r="F203" s="806">
        <f t="shared" si="168"/>
        <v>0.26223776223776224</v>
      </c>
      <c r="G203" s="806">
        <f t="shared" si="168"/>
        <v>0</v>
      </c>
      <c r="H203" s="806">
        <f t="shared" si="168"/>
        <v>0</v>
      </c>
      <c r="I203" s="624">
        <f t="shared" si="168"/>
        <v>0.18735656165240977</v>
      </c>
      <c r="J203" s="624">
        <f t="shared" si="168"/>
        <v>0</v>
      </c>
      <c r="K203" s="625">
        <f t="shared" si="168"/>
        <v>0</v>
      </c>
      <c r="L203" s="625">
        <f t="shared" si="168"/>
        <v>0</v>
      </c>
      <c r="M203" s="625">
        <f t="shared" si="168"/>
        <v>0</v>
      </c>
      <c r="N203" s="624">
        <f t="shared" si="171"/>
        <v>0</v>
      </c>
      <c r="O203" s="624">
        <f t="shared" si="169"/>
        <v>0</v>
      </c>
      <c r="P203" s="626">
        <f t="shared" si="169"/>
        <v>0</v>
      </c>
      <c r="Q203" s="624">
        <f t="shared" si="169"/>
        <v>0</v>
      </c>
      <c r="S203" s="349">
        <v>547</v>
      </c>
      <c r="U203" s="349">
        <v>276</v>
      </c>
      <c r="V203" s="349">
        <v>75</v>
      </c>
      <c r="Y203" s="804">
        <v>898</v>
      </c>
      <c r="Z203" s="804"/>
      <c r="AE203" s="804"/>
      <c r="AF203" s="804"/>
      <c r="AH203" s="804"/>
    </row>
    <row r="204" spans="1:34">
      <c r="A204" s="239"/>
      <c r="B204" s="239" t="s">
        <v>78</v>
      </c>
      <c r="C204" s="806">
        <f t="shared" si="170"/>
        <v>6.3751668891855809E-2</v>
      </c>
      <c r="D204" s="806">
        <f t="shared" si="168"/>
        <v>0</v>
      </c>
      <c r="E204" s="806">
        <f t="shared" si="168"/>
        <v>5.239520958083832E-2</v>
      </c>
      <c r="F204" s="806">
        <f t="shared" si="168"/>
        <v>6.993006993006993E-3</v>
      </c>
      <c r="G204" s="806">
        <f t="shared" si="168"/>
        <v>0</v>
      </c>
      <c r="H204" s="806">
        <f t="shared" si="168"/>
        <v>0</v>
      </c>
      <c r="I204" s="624">
        <f t="shared" si="168"/>
        <v>5.4871687878155641E-2</v>
      </c>
      <c r="J204" s="624">
        <f t="shared" si="168"/>
        <v>0</v>
      </c>
      <c r="K204" s="625">
        <f t="shared" si="168"/>
        <v>0</v>
      </c>
      <c r="L204" s="625">
        <f t="shared" si="168"/>
        <v>0</v>
      </c>
      <c r="M204" s="625">
        <f t="shared" si="168"/>
        <v>0</v>
      </c>
      <c r="N204" s="624">
        <f t="shared" si="171"/>
        <v>0.13120567375886524</v>
      </c>
      <c r="O204" s="624">
        <f t="shared" si="169"/>
        <v>0</v>
      </c>
      <c r="P204" s="626">
        <f t="shared" si="169"/>
        <v>0</v>
      </c>
      <c r="Q204" s="624">
        <f t="shared" si="169"/>
        <v>0</v>
      </c>
      <c r="S204" s="349">
        <v>191</v>
      </c>
      <c r="U204" s="349">
        <v>70</v>
      </c>
      <c r="V204" s="349">
        <v>2</v>
      </c>
      <c r="Y204" s="804">
        <v>263</v>
      </c>
      <c r="Z204" s="804"/>
      <c r="AE204" s="804">
        <v>444</v>
      </c>
      <c r="AF204" s="804"/>
      <c r="AH204" s="804"/>
    </row>
    <row r="205" spans="1:34">
      <c r="A205" s="580"/>
      <c r="B205" s="580" t="s">
        <v>131</v>
      </c>
      <c r="C205" s="806">
        <f t="shared" si="170"/>
        <v>0.1458611481975968</v>
      </c>
      <c r="D205" s="806">
        <f t="shared" si="168"/>
        <v>0</v>
      </c>
      <c r="E205" s="806">
        <f t="shared" si="168"/>
        <v>0.14745508982035929</v>
      </c>
      <c r="F205" s="806">
        <f t="shared" si="168"/>
        <v>0.30419580419580422</v>
      </c>
      <c r="G205" s="806">
        <f t="shared" si="168"/>
        <v>1</v>
      </c>
      <c r="H205" s="806">
        <f t="shared" si="168"/>
        <v>0</v>
      </c>
      <c r="I205" s="624">
        <f t="shared" si="168"/>
        <v>0.18693928645941998</v>
      </c>
      <c r="J205" s="624">
        <f t="shared" si="168"/>
        <v>0</v>
      </c>
      <c r="K205" s="625">
        <f t="shared" si="168"/>
        <v>0</v>
      </c>
      <c r="L205" s="625">
        <f t="shared" si="168"/>
        <v>0</v>
      </c>
      <c r="M205" s="625">
        <f t="shared" si="168"/>
        <v>0</v>
      </c>
      <c r="N205" s="624">
        <f t="shared" si="171"/>
        <v>0.84219858156028371</v>
      </c>
      <c r="O205" s="624">
        <f t="shared" si="169"/>
        <v>0</v>
      </c>
      <c r="P205" s="626">
        <f t="shared" si="169"/>
        <v>0</v>
      </c>
      <c r="Q205" s="624">
        <f t="shared" si="169"/>
        <v>0</v>
      </c>
      <c r="S205" s="349">
        <v>437</v>
      </c>
      <c r="U205" s="349">
        <v>197</v>
      </c>
      <c r="V205" s="349">
        <v>87</v>
      </c>
      <c r="W205" s="349">
        <v>175</v>
      </c>
      <c r="Y205" s="804">
        <v>896</v>
      </c>
      <c r="Z205" s="804"/>
      <c r="AE205" s="804">
        <v>2850</v>
      </c>
      <c r="AF205" s="804"/>
      <c r="AH205" s="804"/>
    </row>
    <row r="206" spans="1:34">
      <c r="A206" s="436"/>
      <c r="B206" s="436" t="s">
        <v>59</v>
      </c>
      <c r="C206" s="807">
        <f t="shared" si="170"/>
        <v>1</v>
      </c>
      <c r="D206" s="808">
        <f t="shared" si="168"/>
        <v>0</v>
      </c>
      <c r="E206" s="808">
        <f t="shared" si="168"/>
        <v>1</v>
      </c>
      <c r="F206" s="808">
        <f t="shared" si="168"/>
        <v>1</v>
      </c>
      <c r="G206" s="808">
        <f t="shared" si="168"/>
        <v>1</v>
      </c>
      <c r="H206" s="809">
        <f t="shared" si="168"/>
        <v>0</v>
      </c>
      <c r="I206" s="577">
        <f t="shared" si="168"/>
        <v>1</v>
      </c>
      <c r="J206" s="577">
        <f t="shared" si="168"/>
        <v>0</v>
      </c>
      <c r="K206" s="578">
        <f t="shared" si="168"/>
        <v>0</v>
      </c>
      <c r="L206" s="578">
        <f t="shared" si="168"/>
        <v>0</v>
      </c>
      <c r="M206" s="578">
        <f t="shared" si="168"/>
        <v>0</v>
      </c>
      <c r="N206" s="577">
        <f t="shared" si="171"/>
        <v>1</v>
      </c>
      <c r="O206" s="577">
        <f t="shared" si="169"/>
        <v>0</v>
      </c>
      <c r="P206" s="579">
        <f t="shared" si="169"/>
        <v>0</v>
      </c>
      <c r="Q206" s="577">
        <f t="shared" si="169"/>
        <v>0</v>
      </c>
      <c r="S206" s="349">
        <v>2996</v>
      </c>
      <c r="U206" s="349">
        <v>1336</v>
      </c>
      <c r="V206" s="349">
        <v>286</v>
      </c>
      <c r="W206" s="349">
        <v>175</v>
      </c>
      <c r="Y206" s="804">
        <v>4793</v>
      </c>
      <c r="Z206" s="804"/>
      <c r="AE206" s="804">
        <v>3384</v>
      </c>
      <c r="AF206" s="804"/>
      <c r="AH206" s="804"/>
    </row>
    <row r="207" spans="1:34">
      <c r="A207" s="240" t="s">
        <v>169</v>
      </c>
      <c r="B207" s="240" t="s">
        <v>53</v>
      </c>
      <c r="C207" s="806">
        <f>IF(S$212&gt;0,(S207/S$212),0)</f>
        <v>0</v>
      </c>
      <c r="D207" s="806">
        <f t="shared" ref="D207:M212" si="172">IF(T$212&gt;0,(T207/T$212),0)</f>
        <v>0.28838451268357812</v>
      </c>
      <c r="E207" s="806">
        <f t="shared" si="172"/>
        <v>0</v>
      </c>
      <c r="F207" s="806">
        <f t="shared" si="172"/>
        <v>0</v>
      </c>
      <c r="G207" s="806">
        <f t="shared" si="172"/>
        <v>0</v>
      </c>
      <c r="H207" s="806">
        <f t="shared" si="172"/>
        <v>0</v>
      </c>
      <c r="I207" s="613">
        <f t="shared" si="172"/>
        <v>0.28838451268357812</v>
      </c>
      <c r="J207" s="613">
        <f t="shared" si="172"/>
        <v>0</v>
      </c>
      <c r="K207" s="614">
        <f t="shared" si="172"/>
        <v>0</v>
      </c>
      <c r="L207" s="614">
        <f t="shared" si="172"/>
        <v>0</v>
      </c>
      <c r="M207" s="614">
        <f t="shared" si="172"/>
        <v>0</v>
      </c>
      <c r="N207" s="613">
        <f>IF(AE$212&gt;0,(AE207/AE$212),0)</f>
        <v>6.0955518945634266E-2</v>
      </c>
      <c r="O207" s="613">
        <f t="shared" ref="O207:Q212" si="173">IF(AF$212&gt;0,(AF207/AF$212),0)</f>
        <v>0</v>
      </c>
      <c r="P207" s="615">
        <f t="shared" si="173"/>
        <v>0</v>
      </c>
      <c r="Q207" s="613">
        <f t="shared" si="173"/>
        <v>0</v>
      </c>
      <c r="R207" s="799"/>
      <c r="S207" s="798"/>
      <c r="T207" s="798">
        <v>216</v>
      </c>
      <c r="U207" s="798"/>
      <c r="V207" s="798"/>
      <c r="W207" s="798"/>
      <c r="X207" s="798"/>
      <c r="Y207" s="803">
        <v>216</v>
      </c>
      <c r="Z207" s="803"/>
      <c r="AA207" s="798"/>
      <c r="AB207" s="798"/>
      <c r="AC207" s="798"/>
      <c r="AD207" s="798"/>
      <c r="AE207" s="803">
        <v>37</v>
      </c>
      <c r="AF207" s="803"/>
      <c r="AG207" s="798"/>
      <c r="AH207" s="803"/>
    </row>
    <row r="208" spans="1:34">
      <c r="A208" s="239"/>
      <c r="B208" s="239" t="s">
        <v>93</v>
      </c>
      <c r="C208" s="806">
        <f t="shared" ref="C208:C212" si="174">IF(S$212&gt;0,(S208/S$212),0)</f>
        <v>0</v>
      </c>
      <c r="D208" s="806">
        <f t="shared" si="172"/>
        <v>0.28838451268357812</v>
      </c>
      <c r="E208" s="806">
        <f t="shared" si="172"/>
        <v>0</v>
      </c>
      <c r="F208" s="806">
        <f t="shared" si="172"/>
        <v>0</v>
      </c>
      <c r="G208" s="806">
        <f t="shared" si="172"/>
        <v>0</v>
      </c>
      <c r="H208" s="806">
        <f t="shared" si="172"/>
        <v>0</v>
      </c>
      <c r="I208" s="624">
        <f t="shared" si="172"/>
        <v>0.28838451268357812</v>
      </c>
      <c r="J208" s="624">
        <f t="shared" si="172"/>
        <v>0</v>
      </c>
      <c r="K208" s="625">
        <f t="shared" si="172"/>
        <v>0</v>
      </c>
      <c r="L208" s="625">
        <f t="shared" si="172"/>
        <v>0</v>
      </c>
      <c r="M208" s="625">
        <f t="shared" si="172"/>
        <v>0</v>
      </c>
      <c r="N208" s="624">
        <f t="shared" ref="N208:N212" si="175">IF(AE$212&gt;0,(AE208/AE$212),0)</f>
        <v>7.7429983525535415E-2</v>
      </c>
      <c r="O208" s="624">
        <f t="shared" si="173"/>
        <v>0</v>
      </c>
      <c r="P208" s="626">
        <f t="shared" si="173"/>
        <v>0</v>
      </c>
      <c r="Q208" s="624">
        <f t="shared" si="173"/>
        <v>0</v>
      </c>
      <c r="T208" s="349">
        <v>216</v>
      </c>
      <c r="Y208" s="804">
        <v>216</v>
      </c>
      <c r="Z208" s="804"/>
      <c r="AE208" s="804">
        <v>47</v>
      </c>
      <c r="AF208" s="804"/>
      <c r="AH208" s="804"/>
    </row>
    <row r="209" spans="1:34">
      <c r="A209" s="239"/>
      <c r="B209" s="239" t="s">
        <v>55</v>
      </c>
      <c r="C209" s="806">
        <f t="shared" si="174"/>
        <v>0</v>
      </c>
      <c r="D209" s="806">
        <f t="shared" si="172"/>
        <v>0.22162883845126835</v>
      </c>
      <c r="E209" s="806">
        <f t="shared" si="172"/>
        <v>0</v>
      </c>
      <c r="F209" s="806">
        <f t="shared" si="172"/>
        <v>0</v>
      </c>
      <c r="G209" s="806">
        <f t="shared" si="172"/>
        <v>0</v>
      </c>
      <c r="H209" s="806">
        <f t="shared" si="172"/>
        <v>0</v>
      </c>
      <c r="I209" s="624">
        <f t="shared" si="172"/>
        <v>0.22162883845126835</v>
      </c>
      <c r="J209" s="624">
        <f t="shared" si="172"/>
        <v>0</v>
      </c>
      <c r="K209" s="625">
        <f t="shared" si="172"/>
        <v>0</v>
      </c>
      <c r="L209" s="625">
        <f t="shared" si="172"/>
        <v>0</v>
      </c>
      <c r="M209" s="625">
        <f t="shared" si="172"/>
        <v>0</v>
      </c>
      <c r="N209" s="624">
        <f t="shared" si="175"/>
        <v>0.11202635914332784</v>
      </c>
      <c r="O209" s="624">
        <f t="shared" si="173"/>
        <v>0</v>
      </c>
      <c r="P209" s="626">
        <f t="shared" si="173"/>
        <v>0</v>
      </c>
      <c r="Q209" s="624">
        <f t="shared" si="173"/>
        <v>0</v>
      </c>
      <c r="T209" s="349">
        <v>166</v>
      </c>
      <c r="Y209" s="804">
        <v>166</v>
      </c>
      <c r="Z209" s="804"/>
      <c r="AE209" s="804">
        <v>68</v>
      </c>
      <c r="AF209" s="804"/>
      <c r="AH209" s="804"/>
    </row>
    <row r="210" spans="1:34">
      <c r="A210" s="239"/>
      <c r="B210" s="239" t="s">
        <v>78</v>
      </c>
      <c r="C210" s="806">
        <f t="shared" si="174"/>
        <v>0</v>
      </c>
      <c r="D210" s="806">
        <f t="shared" si="172"/>
        <v>1.3351134846461949E-3</v>
      </c>
      <c r="E210" s="806">
        <f t="shared" si="172"/>
        <v>0</v>
      </c>
      <c r="F210" s="806">
        <f t="shared" si="172"/>
        <v>0</v>
      </c>
      <c r="G210" s="806">
        <f t="shared" si="172"/>
        <v>0</v>
      </c>
      <c r="H210" s="806">
        <f t="shared" si="172"/>
        <v>0</v>
      </c>
      <c r="I210" s="624">
        <f t="shared" si="172"/>
        <v>1.3351134846461949E-3</v>
      </c>
      <c r="J210" s="624">
        <f t="shared" si="172"/>
        <v>0</v>
      </c>
      <c r="K210" s="625">
        <f t="shared" si="172"/>
        <v>0</v>
      </c>
      <c r="L210" s="625">
        <f t="shared" si="172"/>
        <v>0</v>
      </c>
      <c r="M210" s="625">
        <f t="shared" si="172"/>
        <v>0</v>
      </c>
      <c r="N210" s="624">
        <f t="shared" si="175"/>
        <v>0.16968698517298189</v>
      </c>
      <c r="O210" s="624">
        <f t="shared" si="173"/>
        <v>0</v>
      </c>
      <c r="P210" s="626">
        <f t="shared" si="173"/>
        <v>0</v>
      </c>
      <c r="Q210" s="624">
        <f t="shared" si="173"/>
        <v>0</v>
      </c>
      <c r="T210" s="349">
        <v>1</v>
      </c>
      <c r="Y210" s="804">
        <v>1</v>
      </c>
      <c r="Z210" s="804"/>
      <c r="AE210" s="804">
        <v>103</v>
      </c>
      <c r="AF210" s="804"/>
      <c r="AH210" s="804"/>
    </row>
    <row r="211" spans="1:34">
      <c r="A211" s="580"/>
      <c r="B211" s="580" t="s">
        <v>131</v>
      </c>
      <c r="C211" s="806">
        <f t="shared" si="174"/>
        <v>0</v>
      </c>
      <c r="D211" s="806">
        <f t="shared" si="172"/>
        <v>0.20026702269692923</v>
      </c>
      <c r="E211" s="806">
        <f t="shared" si="172"/>
        <v>0</v>
      </c>
      <c r="F211" s="806">
        <f t="shared" si="172"/>
        <v>0</v>
      </c>
      <c r="G211" s="806">
        <f t="shared" si="172"/>
        <v>0</v>
      </c>
      <c r="H211" s="806">
        <f t="shared" si="172"/>
        <v>0</v>
      </c>
      <c r="I211" s="624">
        <f t="shared" si="172"/>
        <v>0.20026702269692923</v>
      </c>
      <c r="J211" s="624">
        <f t="shared" si="172"/>
        <v>0</v>
      </c>
      <c r="K211" s="625">
        <f t="shared" si="172"/>
        <v>0</v>
      </c>
      <c r="L211" s="625">
        <f t="shared" si="172"/>
        <v>0</v>
      </c>
      <c r="M211" s="625">
        <f t="shared" si="172"/>
        <v>0</v>
      </c>
      <c r="N211" s="624">
        <f t="shared" si="175"/>
        <v>0.57990115321252056</v>
      </c>
      <c r="O211" s="624">
        <f t="shared" si="173"/>
        <v>0</v>
      </c>
      <c r="P211" s="626">
        <f t="shared" si="173"/>
        <v>0</v>
      </c>
      <c r="Q211" s="624">
        <f t="shared" si="173"/>
        <v>0</v>
      </c>
      <c r="T211" s="349">
        <v>150</v>
      </c>
      <c r="Y211" s="804">
        <v>150</v>
      </c>
      <c r="Z211" s="804"/>
      <c r="AE211" s="804">
        <v>352</v>
      </c>
      <c r="AF211" s="804"/>
      <c r="AH211" s="804"/>
    </row>
    <row r="212" spans="1:34">
      <c r="A212" s="436"/>
      <c r="B212" s="436" t="s">
        <v>59</v>
      </c>
      <c r="C212" s="807">
        <f t="shared" si="174"/>
        <v>0</v>
      </c>
      <c r="D212" s="808">
        <f t="shared" si="172"/>
        <v>1</v>
      </c>
      <c r="E212" s="808">
        <f t="shared" si="172"/>
        <v>0</v>
      </c>
      <c r="F212" s="808">
        <f t="shared" si="172"/>
        <v>0</v>
      </c>
      <c r="G212" s="808">
        <f t="shared" si="172"/>
        <v>0</v>
      </c>
      <c r="H212" s="809">
        <f t="shared" si="172"/>
        <v>0</v>
      </c>
      <c r="I212" s="577">
        <f t="shared" si="172"/>
        <v>1</v>
      </c>
      <c r="J212" s="577">
        <f t="shared" si="172"/>
        <v>0</v>
      </c>
      <c r="K212" s="578">
        <f t="shared" si="172"/>
        <v>0</v>
      </c>
      <c r="L212" s="578">
        <f t="shared" si="172"/>
        <v>0</v>
      </c>
      <c r="M212" s="578">
        <f t="shared" si="172"/>
        <v>0</v>
      </c>
      <c r="N212" s="577">
        <f t="shared" si="175"/>
        <v>1</v>
      </c>
      <c r="O212" s="577">
        <f t="shared" si="173"/>
        <v>0</v>
      </c>
      <c r="P212" s="579">
        <f t="shared" si="173"/>
        <v>0</v>
      </c>
      <c r="Q212" s="577">
        <f t="shared" si="173"/>
        <v>0</v>
      </c>
      <c r="T212" s="349">
        <v>749</v>
      </c>
      <c r="Y212" s="804">
        <v>749</v>
      </c>
      <c r="Z212" s="804"/>
      <c r="AE212" s="804">
        <v>607</v>
      </c>
      <c r="AF212" s="804"/>
      <c r="AH212" s="804"/>
    </row>
    <row r="213" spans="1:34">
      <c r="A213" s="240" t="s">
        <v>172</v>
      </c>
      <c r="B213" s="240" t="s">
        <v>53</v>
      </c>
      <c r="C213" s="806">
        <f>IF(S$218&gt;0,(S213/S$218),0)</f>
        <v>0.34271893941655968</v>
      </c>
      <c r="D213" s="806">
        <f t="shared" ref="D213:M218" si="176">IF(T$218&gt;0,(T213/T$218),0)</f>
        <v>0.24985273905360297</v>
      </c>
      <c r="E213" s="806">
        <f t="shared" si="176"/>
        <v>0.28720016981532581</v>
      </c>
      <c r="F213" s="806">
        <f t="shared" si="176"/>
        <v>0.28683845085634935</v>
      </c>
      <c r="G213" s="806">
        <f t="shared" si="176"/>
        <v>0.27702962677953058</v>
      </c>
      <c r="H213" s="806">
        <f t="shared" si="176"/>
        <v>0.22943221320973348</v>
      </c>
      <c r="I213" s="613">
        <f t="shared" si="176"/>
        <v>0.30688177684505069</v>
      </c>
      <c r="J213" s="613">
        <f t="shared" si="176"/>
        <v>0</v>
      </c>
      <c r="K213" s="614">
        <f t="shared" si="176"/>
        <v>0</v>
      </c>
      <c r="L213" s="614">
        <f t="shared" si="176"/>
        <v>0</v>
      </c>
      <c r="M213" s="614">
        <f t="shared" si="176"/>
        <v>0</v>
      </c>
      <c r="N213" s="613">
        <f>IF(AE$218&gt;0,(AE213/AE$218),0)</f>
        <v>0.14135122184954479</v>
      </c>
      <c r="O213" s="613">
        <f t="shared" ref="O213:Q218" si="177">IF(AF$218&gt;0,(AF213/AF$218),0)</f>
        <v>0</v>
      </c>
      <c r="P213" s="615">
        <f t="shared" si="177"/>
        <v>0</v>
      </c>
      <c r="Q213" s="613">
        <f t="shared" si="177"/>
        <v>0.28397790055248617</v>
      </c>
      <c r="R213" s="799"/>
      <c r="S213" s="800">
        <f>S219+S225+S231+S237+S243+S249+S255+S261+S267+S273+S279+S285</f>
        <v>11478</v>
      </c>
      <c r="T213" s="800">
        <f t="shared" ref="T213:AE213" si="178">T219+T225+T231+T237+T243+T249+T255+T261+T267+T273+T279+T285</f>
        <v>2545</v>
      </c>
      <c r="U213" s="800">
        <f t="shared" si="178"/>
        <v>4059</v>
      </c>
      <c r="V213" s="800">
        <f t="shared" si="178"/>
        <v>1859</v>
      </c>
      <c r="W213" s="800">
        <f t="shared" si="178"/>
        <v>720</v>
      </c>
      <c r="X213" s="800">
        <f t="shared" si="178"/>
        <v>396</v>
      </c>
      <c r="Y213" s="801">
        <f t="shared" si="178"/>
        <v>21057</v>
      </c>
      <c r="Z213" s="801">
        <f t="shared" si="178"/>
        <v>0</v>
      </c>
      <c r="AA213" s="800">
        <f t="shared" si="178"/>
        <v>0</v>
      </c>
      <c r="AB213" s="800">
        <f t="shared" si="178"/>
        <v>0</v>
      </c>
      <c r="AC213" s="800">
        <f t="shared" si="178"/>
        <v>0</v>
      </c>
      <c r="AD213" s="800">
        <f t="shared" si="178"/>
        <v>0</v>
      </c>
      <c r="AE213" s="801">
        <f t="shared" si="178"/>
        <v>3540</v>
      </c>
      <c r="AF213" s="801">
        <f t="shared" ref="AF213:AH213" si="179">AF219+AF225+AF231+AF237+AF243+AF249+AF255+AF261+AF267+AF273+AF279+AF285</f>
        <v>0</v>
      </c>
      <c r="AG213" s="800">
        <f t="shared" si="179"/>
        <v>0</v>
      </c>
      <c r="AH213" s="801">
        <f t="shared" si="179"/>
        <v>257</v>
      </c>
    </row>
    <row r="214" spans="1:34">
      <c r="A214" s="239"/>
      <c r="B214" s="239" t="s">
        <v>93</v>
      </c>
      <c r="C214" s="806">
        <f t="shared" ref="C214:C218" si="180">IF(S$218&gt;0,(S214/S$218),0)</f>
        <v>0.27619360425188855</v>
      </c>
      <c r="D214" s="806">
        <f t="shared" si="176"/>
        <v>0.30090320047123503</v>
      </c>
      <c r="E214" s="806">
        <f t="shared" si="176"/>
        <v>0.27446402037783912</v>
      </c>
      <c r="F214" s="806">
        <f t="shared" si="176"/>
        <v>0.24610399629686777</v>
      </c>
      <c r="G214" s="806">
        <f t="shared" si="176"/>
        <v>0.25048095421315891</v>
      </c>
      <c r="H214" s="806">
        <f t="shared" si="176"/>
        <v>0.25955967555040554</v>
      </c>
      <c r="I214" s="624">
        <f t="shared" si="176"/>
        <v>0.2752710738020287</v>
      </c>
      <c r="J214" s="624">
        <f t="shared" si="176"/>
        <v>0</v>
      </c>
      <c r="K214" s="625">
        <f t="shared" si="176"/>
        <v>0</v>
      </c>
      <c r="L214" s="625">
        <f t="shared" si="176"/>
        <v>0</v>
      </c>
      <c r="M214" s="625">
        <f t="shared" si="176"/>
        <v>0</v>
      </c>
      <c r="N214" s="624">
        <f t="shared" ref="N214:N218" si="181">IF(AE$218&gt;0,(AE214/AE$218),0)</f>
        <v>0.10733109726880689</v>
      </c>
      <c r="O214" s="624">
        <f t="shared" si="177"/>
        <v>0</v>
      </c>
      <c r="P214" s="626">
        <f t="shared" si="177"/>
        <v>0</v>
      </c>
      <c r="Q214" s="624">
        <f t="shared" si="177"/>
        <v>0.14696132596685083</v>
      </c>
      <c r="S214" s="796">
        <f t="shared" ref="S214:AE218" si="182">S220+S226+S232+S238+S244+S250+S256+S262+S268+S274+S280+S286</f>
        <v>9250</v>
      </c>
      <c r="T214" s="796">
        <f t="shared" si="182"/>
        <v>3065</v>
      </c>
      <c r="U214" s="796">
        <f t="shared" si="182"/>
        <v>3879</v>
      </c>
      <c r="V214" s="796">
        <f t="shared" si="182"/>
        <v>1595</v>
      </c>
      <c r="W214" s="796">
        <f t="shared" si="182"/>
        <v>651</v>
      </c>
      <c r="X214" s="796">
        <f t="shared" si="182"/>
        <v>448</v>
      </c>
      <c r="Y214" s="802">
        <f t="shared" si="182"/>
        <v>18888</v>
      </c>
      <c r="Z214" s="802">
        <f t="shared" si="182"/>
        <v>0</v>
      </c>
      <c r="AA214" s="796">
        <f t="shared" si="182"/>
        <v>0</v>
      </c>
      <c r="AB214" s="796">
        <f t="shared" si="182"/>
        <v>0</v>
      </c>
      <c r="AC214" s="796">
        <f t="shared" si="182"/>
        <v>0</v>
      </c>
      <c r="AD214" s="796">
        <f t="shared" si="182"/>
        <v>0</v>
      </c>
      <c r="AE214" s="802">
        <f t="shared" si="182"/>
        <v>2688</v>
      </c>
      <c r="AF214" s="802">
        <f t="shared" ref="AF214:AH214" si="183">AF220+AF226+AF232+AF238+AF244+AF250+AF256+AF262+AF268+AF274+AF280+AF286</f>
        <v>0</v>
      </c>
      <c r="AG214" s="796">
        <f t="shared" si="183"/>
        <v>0</v>
      </c>
      <c r="AH214" s="802">
        <f t="shared" si="183"/>
        <v>133</v>
      </c>
    </row>
    <row r="215" spans="1:34">
      <c r="A215" s="239"/>
      <c r="B215" s="239" t="s">
        <v>55</v>
      </c>
      <c r="C215" s="806">
        <f t="shared" si="180"/>
        <v>0.231435310979069</v>
      </c>
      <c r="D215" s="806">
        <f t="shared" si="176"/>
        <v>0.25535048105242492</v>
      </c>
      <c r="E215" s="806">
        <f t="shared" si="176"/>
        <v>0.2413500318403736</v>
      </c>
      <c r="F215" s="806">
        <f t="shared" si="176"/>
        <v>0.2774263230982873</v>
      </c>
      <c r="G215" s="806">
        <f t="shared" si="176"/>
        <v>0.30434782608695654</v>
      </c>
      <c r="H215" s="806">
        <f t="shared" si="176"/>
        <v>0.31517960602549244</v>
      </c>
      <c r="I215" s="624">
        <f t="shared" si="176"/>
        <v>0.24623994403637636</v>
      </c>
      <c r="J215" s="624">
        <f t="shared" si="176"/>
        <v>0</v>
      </c>
      <c r="K215" s="625">
        <f t="shared" si="176"/>
        <v>0</v>
      </c>
      <c r="L215" s="625">
        <f t="shared" si="176"/>
        <v>0</v>
      </c>
      <c r="M215" s="625">
        <f t="shared" si="176"/>
        <v>0</v>
      </c>
      <c r="N215" s="624">
        <f t="shared" si="181"/>
        <v>0.12454080817760742</v>
      </c>
      <c r="O215" s="624">
        <f t="shared" si="177"/>
        <v>0</v>
      </c>
      <c r="P215" s="626">
        <f t="shared" si="177"/>
        <v>0</v>
      </c>
      <c r="Q215" s="624">
        <f t="shared" si="177"/>
        <v>8.8397790055248615E-2</v>
      </c>
      <c r="S215" s="796">
        <f t="shared" si="182"/>
        <v>7751</v>
      </c>
      <c r="T215" s="796">
        <f t="shared" si="182"/>
        <v>2601</v>
      </c>
      <c r="U215" s="796">
        <f t="shared" si="182"/>
        <v>3411</v>
      </c>
      <c r="V215" s="796">
        <f t="shared" si="182"/>
        <v>1798</v>
      </c>
      <c r="W215" s="796">
        <f t="shared" si="182"/>
        <v>791</v>
      </c>
      <c r="X215" s="796">
        <f t="shared" si="182"/>
        <v>544</v>
      </c>
      <c r="Y215" s="802">
        <f t="shared" si="182"/>
        <v>16896</v>
      </c>
      <c r="Z215" s="802">
        <f t="shared" si="182"/>
        <v>0</v>
      </c>
      <c r="AA215" s="796">
        <f t="shared" si="182"/>
        <v>0</v>
      </c>
      <c r="AB215" s="796">
        <f t="shared" si="182"/>
        <v>0</v>
      </c>
      <c r="AC215" s="796">
        <f t="shared" si="182"/>
        <v>0</v>
      </c>
      <c r="AD215" s="796">
        <f t="shared" si="182"/>
        <v>0</v>
      </c>
      <c r="AE215" s="802">
        <f t="shared" si="182"/>
        <v>3119</v>
      </c>
      <c r="AF215" s="802">
        <f t="shared" ref="AF215:AH215" si="184">AF221+AF227+AF233+AF239+AF245+AF251+AF257+AF263+AF269+AF275+AF281+AF287</f>
        <v>0</v>
      </c>
      <c r="AG215" s="796">
        <f t="shared" si="184"/>
        <v>0</v>
      </c>
      <c r="AH215" s="802">
        <f t="shared" si="184"/>
        <v>80</v>
      </c>
    </row>
    <row r="216" spans="1:34">
      <c r="A216" s="239"/>
      <c r="B216" s="239" t="s">
        <v>78</v>
      </c>
      <c r="C216" s="806">
        <f t="shared" si="180"/>
        <v>3.2516198381654773E-2</v>
      </c>
      <c r="D216" s="806">
        <f t="shared" si="176"/>
        <v>0.1050461417632044</v>
      </c>
      <c r="E216" s="806">
        <f t="shared" si="176"/>
        <v>0.13040401896271139</v>
      </c>
      <c r="F216" s="806">
        <f t="shared" si="176"/>
        <v>4.906650208301188E-2</v>
      </c>
      <c r="G216" s="806">
        <f t="shared" si="176"/>
        <v>6.8487879953828393E-2</v>
      </c>
      <c r="H216" s="806">
        <f t="shared" si="176"/>
        <v>0.16628041714947855</v>
      </c>
      <c r="I216" s="624">
        <f t="shared" si="176"/>
        <v>6.9735921650926902E-2</v>
      </c>
      <c r="J216" s="624">
        <f t="shared" si="176"/>
        <v>0</v>
      </c>
      <c r="K216" s="625">
        <f t="shared" si="176"/>
        <v>0</v>
      </c>
      <c r="L216" s="625">
        <f t="shared" si="176"/>
        <v>0</v>
      </c>
      <c r="M216" s="625">
        <f t="shared" si="176"/>
        <v>0</v>
      </c>
      <c r="N216" s="624">
        <f t="shared" si="181"/>
        <v>0.33105733908321355</v>
      </c>
      <c r="O216" s="624">
        <f t="shared" si="177"/>
        <v>0</v>
      </c>
      <c r="P216" s="626">
        <f t="shared" si="177"/>
        <v>0</v>
      </c>
      <c r="Q216" s="624">
        <f t="shared" si="177"/>
        <v>0.45082872928176798</v>
      </c>
      <c r="S216" s="796">
        <f t="shared" si="182"/>
        <v>1089</v>
      </c>
      <c r="T216" s="796">
        <f t="shared" si="182"/>
        <v>1070</v>
      </c>
      <c r="U216" s="796">
        <f t="shared" si="182"/>
        <v>1843</v>
      </c>
      <c r="V216" s="796">
        <f t="shared" si="182"/>
        <v>318</v>
      </c>
      <c r="W216" s="796">
        <f t="shared" si="182"/>
        <v>178</v>
      </c>
      <c r="X216" s="796">
        <f t="shared" si="182"/>
        <v>287</v>
      </c>
      <c r="Y216" s="802">
        <f t="shared" si="182"/>
        <v>4785</v>
      </c>
      <c r="Z216" s="802">
        <f t="shared" si="182"/>
        <v>0</v>
      </c>
      <c r="AA216" s="796">
        <f t="shared" si="182"/>
        <v>0</v>
      </c>
      <c r="AB216" s="796">
        <f t="shared" si="182"/>
        <v>0</v>
      </c>
      <c r="AC216" s="796">
        <f t="shared" si="182"/>
        <v>0</v>
      </c>
      <c r="AD216" s="796">
        <f t="shared" si="182"/>
        <v>0</v>
      </c>
      <c r="AE216" s="802">
        <f t="shared" si="182"/>
        <v>8291</v>
      </c>
      <c r="AF216" s="802">
        <f t="shared" ref="AF216:AH216" si="185">AF222+AF228+AF234+AF240+AF246+AF252+AF258+AF264+AF270+AF276+AF282+AF288</f>
        <v>0</v>
      </c>
      <c r="AG216" s="796">
        <f t="shared" si="185"/>
        <v>0</v>
      </c>
      <c r="AH216" s="802">
        <f t="shared" si="185"/>
        <v>408</v>
      </c>
    </row>
    <row r="217" spans="1:34">
      <c r="A217" s="580"/>
      <c r="B217" s="580" t="s">
        <v>131</v>
      </c>
      <c r="C217" s="806">
        <f t="shared" si="180"/>
        <v>0.11713594697082798</v>
      </c>
      <c r="D217" s="806">
        <f t="shared" si="176"/>
        <v>8.8847437659532694E-2</v>
      </c>
      <c r="E217" s="806">
        <f t="shared" si="176"/>
        <v>6.6581759003750088E-2</v>
      </c>
      <c r="F217" s="806">
        <f t="shared" si="176"/>
        <v>0.14056472766548372</v>
      </c>
      <c r="G217" s="806">
        <f t="shared" si="176"/>
        <v>9.9653712966525587E-2</v>
      </c>
      <c r="H217" s="806">
        <f t="shared" si="176"/>
        <v>2.954808806488992E-2</v>
      </c>
      <c r="I217" s="624">
        <f t="shared" si="176"/>
        <v>0.10187128366561735</v>
      </c>
      <c r="J217" s="624">
        <f t="shared" si="176"/>
        <v>0</v>
      </c>
      <c r="K217" s="625">
        <f t="shared" si="176"/>
        <v>0</v>
      </c>
      <c r="L217" s="625">
        <f t="shared" si="176"/>
        <v>0</v>
      </c>
      <c r="M217" s="625">
        <f t="shared" si="176"/>
        <v>0</v>
      </c>
      <c r="N217" s="624">
        <f t="shared" si="181"/>
        <v>0.29571953362082737</v>
      </c>
      <c r="O217" s="624">
        <f t="shared" si="177"/>
        <v>0</v>
      </c>
      <c r="P217" s="626">
        <f t="shared" si="177"/>
        <v>0</v>
      </c>
      <c r="Q217" s="624">
        <f t="shared" si="177"/>
        <v>2.9834254143646408E-2</v>
      </c>
      <c r="S217" s="796">
        <f t="shared" si="182"/>
        <v>3923</v>
      </c>
      <c r="T217" s="796">
        <f t="shared" si="182"/>
        <v>905</v>
      </c>
      <c r="U217" s="796">
        <f t="shared" si="182"/>
        <v>941</v>
      </c>
      <c r="V217" s="796">
        <f t="shared" si="182"/>
        <v>911</v>
      </c>
      <c r="W217" s="796">
        <f t="shared" si="182"/>
        <v>259</v>
      </c>
      <c r="X217" s="796">
        <f t="shared" si="182"/>
        <v>51</v>
      </c>
      <c r="Y217" s="802">
        <f t="shared" si="182"/>
        <v>6990</v>
      </c>
      <c r="Z217" s="802">
        <f t="shared" si="182"/>
        <v>0</v>
      </c>
      <c r="AA217" s="796">
        <f t="shared" si="182"/>
        <v>0</v>
      </c>
      <c r="AB217" s="796">
        <f t="shared" si="182"/>
        <v>0</v>
      </c>
      <c r="AC217" s="796">
        <f t="shared" si="182"/>
        <v>0</v>
      </c>
      <c r="AD217" s="796">
        <f t="shared" si="182"/>
        <v>0</v>
      </c>
      <c r="AE217" s="802">
        <f t="shared" si="182"/>
        <v>7406</v>
      </c>
      <c r="AF217" s="802">
        <f t="shared" ref="AF217:AH217" si="186">AF223+AF229+AF235+AF241+AF247+AF253+AF259+AF265+AF271+AF277+AF283+AF289</f>
        <v>0</v>
      </c>
      <c r="AG217" s="796">
        <f t="shared" si="186"/>
        <v>0</v>
      </c>
      <c r="AH217" s="802">
        <f t="shared" si="186"/>
        <v>27</v>
      </c>
    </row>
    <row r="218" spans="1:34">
      <c r="A218" s="436" t="s">
        <v>86</v>
      </c>
      <c r="B218" s="436" t="s">
        <v>59</v>
      </c>
      <c r="C218" s="807">
        <f t="shared" si="180"/>
        <v>1</v>
      </c>
      <c r="D218" s="808">
        <f t="shared" si="176"/>
        <v>1</v>
      </c>
      <c r="E218" s="808">
        <f t="shared" si="176"/>
        <v>1</v>
      </c>
      <c r="F218" s="808">
        <f t="shared" si="176"/>
        <v>1</v>
      </c>
      <c r="G218" s="808">
        <f t="shared" si="176"/>
        <v>1</v>
      </c>
      <c r="H218" s="809">
        <f t="shared" si="176"/>
        <v>1</v>
      </c>
      <c r="I218" s="577">
        <f t="shared" si="176"/>
        <v>1</v>
      </c>
      <c r="J218" s="577">
        <f t="shared" si="176"/>
        <v>0</v>
      </c>
      <c r="K218" s="578">
        <f t="shared" si="176"/>
        <v>0</v>
      </c>
      <c r="L218" s="578">
        <f t="shared" si="176"/>
        <v>0</v>
      </c>
      <c r="M218" s="578">
        <f t="shared" si="176"/>
        <v>0</v>
      </c>
      <c r="N218" s="577">
        <f t="shared" si="181"/>
        <v>1</v>
      </c>
      <c r="O218" s="577">
        <f t="shared" si="177"/>
        <v>0</v>
      </c>
      <c r="P218" s="579">
        <f t="shared" si="177"/>
        <v>0</v>
      </c>
      <c r="Q218" s="577">
        <f t="shared" si="177"/>
        <v>1</v>
      </c>
      <c r="S218" s="796">
        <f t="shared" si="182"/>
        <v>33491</v>
      </c>
      <c r="T218" s="796">
        <f t="shared" si="182"/>
        <v>10186</v>
      </c>
      <c r="U218" s="796">
        <f t="shared" si="182"/>
        <v>14133</v>
      </c>
      <c r="V218" s="796">
        <f t="shared" si="182"/>
        <v>6481</v>
      </c>
      <c r="W218" s="796">
        <f t="shared" si="182"/>
        <v>2599</v>
      </c>
      <c r="X218" s="796">
        <f t="shared" si="182"/>
        <v>1726</v>
      </c>
      <c r="Y218" s="802">
        <f t="shared" si="182"/>
        <v>68616</v>
      </c>
      <c r="Z218" s="802">
        <f t="shared" si="182"/>
        <v>0</v>
      </c>
      <c r="AA218" s="796">
        <f t="shared" si="182"/>
        <v>0</v>
      </c>
      <c r="AB218" s="796">
        <f t="shared" si="182"/>
        <v>0</v>
      </c>
      <c r="AC218" s="796">
        <f t="shared" si="182"/>
        <v>0</v>
      </c>
      <c r="AD218" s="796">
        <f t="shared" si="182"/>
        <v>0</v>
      </c>
      <c r="AE218" s="802">
        <f t="shared" si="182"/>
        <v>25044</v>
      </c>
      <c r="AF218" s="802">
        <f t="shared" ref="AF218:AH218" si="187">AF224+AF230+AF236+AF242+AF248+AF254+AF260+AF266+AF272+AF278+AF284+AF290</f>
        <v>0</v>
      </c>
      <c r="AG218" s="796">
        <f t="shared" si="187"/>
        <v>0</v>
      </c>
      <c r="AH218" s="802">
        <f t="shared" si="187"/>
        <v>905</v>
      </c>
    </row>
    <row r="219" spans="1:34">
      <c r="A219" s="240" t="s">
        <v>144</v>
      </c>
      <c r="B219" s="240" t="s">
        <v>53</v>
      </c>
      <c r="C219" s="806">
        <f>IF(S$224&gt;0,(S219/S$224),0)</f>
        <v>0.31660231660231658</v>
      </c>
      <c r="D219" s="806">
        <f t="shared" ref="D219:M224" si="188">IF(T$224&gt;0,(T219/T$224),0)</f>
        <v>0.24519774011299436</v>
      </c>
      <c r="E219" s="806">
        <f t="shared" si="188"/>
        <v>0.25220321410057023</v>
      </c>
      <c r="F219" s="806">
        <f t="shared" si="188"/>
        <v>0</v>
      </c>
      <c r="G219" s="806">
        <f t="shared" si="188"/>
        <v>0</v>
      </c>
      <c r="H219" s="806">
        <f t="shared" si="188"/>
        <v>0</v>
      </c>
      <c r="I219" s="613">
        <f t="shared" si="188"/>
        <v>0.28153482615055697</v>
      </c>
      <c r="J219" s="613">
        <f t="shared" si="188"/>
        <v>0</v>
      </c>
      <c r="K219" s="614">
        <f t="shared" si="188"/>
        <v>0</v>
      </c>
      <c r="L219" s="614">
        <f t="shared" si="188"/>
        <v>0</v>
      </c>
      <c r="M219" s="614">
        <f t="shared" si="188"/>
        <v>0</v>
      </c>
      <c r="N219" s="613">
        <f>IF(AE$224&gt;0,(AE219/AE$224),0)</f>
        <v>0.2474468085106383</v>
      </c>
      <c r="O219" s="613">
        <f t="shared" ref="O219:Q224" si="189">IF(AF$224&gt;0,(AF219/AF$224),0)</f>
        <v>0</v>
      </c>
      <c r="P219" s="615">
        <f t="shared" si="189"/>
        <v>0</v>
      </c>
      <c r="Q219" s="613">
        <f t="shared" si="189"/>
        <v>0</v>
      </c>
      <c r="R219" s="799"/>
      <c r="S219" s="798">
        <v>1312</v>
      </c>
      <c r="T219" s="798">
        <v>217</v>
      </c>
      <c r="U219" s="798">
        <v>973</v>
      </c>
      <c r="V219" s="798"/>
      <c r="W219" s="798"/>
      <c r="X219" s="798"/>
      <c r="Y219" s="803">
        <v>2502</v>
      </c>
      <c r="Z219" s="803"/>
      <c r="AA219" s="798"/>
      <c r="AB219" s="798"/>
      <c r="AC219" s="798"/>
      <c r="AD219" s="798"/>
      <c r="AE219" s="803">
        <v>1163</v>
      </c>
      <c r="AF219" s="803"/>
      <c r="AG219" s="798"/>
      <c r="AH219" s="803"/>
    </row>
    <row r="220" spans="1:34">
      <c r="A220" s="239"/>
      <c r="B220" s="239" t="s">
        <v>93</v>
      </c>
      <c r="C220" s="806">
        <f t="shared" ref="C220:C224" si="190">IF(S$224&gt;0,(S220/S$224),0)</f>
        <v>0.2734073359073359</v>
      </c>
      <c r="D220" s="806">
        <f t="shared" si="188"/>
        <v>0.34124293785310733</v>
      </c>
      <c r="E220" s="806">
        <f t="shared" si="188"/>
        <v>0.26257128045619493</v>
      </c>
      <c r="F220" s="806">
        <f t="shared" si="188"/>
        <v>0</v>
      </c>
      <c r="G220" s="806">
        <f t="shared" si="188"/>
        <v>0</v>
      </c>
      <c r="H220" s="806">
        <f t="shared" si="188"/>
        <v>0</v>
      </c>
      <c r="I220" s="624">
        <f t="shared" si="188"/>
        <v>0.27545853493867445</v>
      </c>
      <c r="J220" s="624">
        <f t="shared" si="188"/>
        <v>0</v>
      </c>
      <c r="K220" s="625">
        <f t="shared" si="188"/>
        <v>0</v>
      </c>
      <c r="L220" s="625">
        <f t="shared" si="188"/>
        <v>0</v>
      </c>
      <c r="M220" s="625">
        <f t="shared" si="188"/>
        <v>0</v>
      </c>
      <c r="N220" s="624">
        <f t="shared" ref="N220:N224" si="191">IF(AE$224&gt;0,(AE220/AE$224),0)</f>
        <v>0.15978723404255318</v>
      </c>
      <c r="O220" s="624">
        <f t="shared" si="189"/>
        <v>0</v>
      </c>
      <c r="P220" s="626">
        <f t="shared" si="189"/>
        <v>0</v>
      </c>
      <c r="Q220" s="624">
        <f t="shared" si="189"/>
        <v>0</v>
      </c>
      <c r="S220" s="349">
        <v>1133</v>
      </c>
      <c r="T220" s="349">
        <v>302</v>
      </c>
      <c r="U220" s="349">
        <v>1013</v>
      </c>
      <c r="Y220" s="804">
        <v>2448</v>
      </c>
      <c r="Z220" s="804"/>
      <c r="AE220" s="804">
        <v>751</v>
      </c>
      <c r="AF220" s="804"/>
      <c r="AH220" s="804"/>
    </row>
    <row r="221" spans="1:34">
      <c r="A221" s="239"/>
      <c r="B221" s="239" t="s">
        <v>55</v>
      </c>
      <c r="C221" s="806">
        <f t="shared" si="190"/>
        <v>0.25844594594594594</v>
      </c>
      <c r="D221" s="806">
        <f t="shared" si="188"/>
        <v>0.23050847457627119</v>
      </c>
      <c r="E221" s="806">
        <f t="shared" si="188"/>
        <v>0.25168481078278904</v>
      </c>
      <c r="F221" s="806">
        <f t="shared" si="188"/>
        <v>0</v>
      </c>
      <c r="G221" s="806">
        <f t="shared" si="188"/>
        <v>0</v>
      </c>
      <c r="H221" s="806">
        <f t="shared" si="188"/>
        <v>0</v>
      </c>
      <c r="I221" s="624">
        <f t="shared" si="188"/>
        <v>0.25272870484978061</v>
      </c>
      <c r="J221" s="624">
        <f t="shared" si="188"/>
        <v>0</v>
      </c>
      <c r="K221" s="625">
        <f t="shared" si="188"/>
        <v>0</v>
      </c>
      <c r="L221" s="625">
        <f t="shared" si="188"/>
        <v>0</v>
      </c>
      <c r="M221" s="625">
        <f t="shared" si="188"/>
        <v>0</v>
      </c>
      <c r="N221" s="624">
        <f t="shared" si="191"/>
        <v>0.14957446808510638</v>
      </c>
      <c r="O221" s="624">
        <f t="shared" si="189"/>
        <v>0</v>
      </c>
      <c r="P221" s="626">
        <f t="shared" si="189"/>
        <v>0</v>
      </c>
      <c r="Q221" s="624">
        <f t="shared" si="189"/>
        <v>0</v>
      </c>
      <c r="S221" s="349">
        <v>1071</v>
      </c>
      <c r="T221" s="349">
        <v>204</v>
      </c>
      <c r="U221" s="349">
        <v>971</v>
      </c>
      <c r="Y221" s="804">
        <v>2246</v>
      </c>
      <c r="Z221" s="804"/>
      <c r="AE221" s="804">
        <v>703</v>
      </c>
      <c r="AF221" s="804"/>
      <c r="AH221" s="804"/>
    </row>
    <row r="222" spans="1:34">
      <c r="A222" s="239"/>
      <c r="B222" s="239" t="s">
        <v>78</v>
      </c>
      <c r="C222" s="806">
        <f t="shared" si="190"/>
        <v>3.6679536679536683E-2</v>
      </c>
      <c r="D222" s="806">
        <f t="shared" si="188"/>
        <v>0.17966101694915254</v>
      </c>
      <c r="E222" s="806">
        <f t="shared" si="188"/>
        <v>0.15111456713322965</v>
      </c>
      <c r="F222" s="806">
        <f t="shared" si="188"/>
        <v>0</v>
      </c>
      <c r="G222" s="806">
        <f t="shared" si="188"/>
        <v>0</v>
      </c>
      <c r="H222" s="806">
        <f t="shared" si="188"/>
        <v>0</v>
      </c>
      <c r="I222" s="624">
        <f t="shared" si="188"/>
        <v>0.10059637673005514</v>
      </c>
      <c r="J222" s="624">
        <f t="shared" si="188"/>
        <v>0</v>
      </c>
      <c r="K222" s="625">
        <f t="shared" si="188"/>
        <v>0</v>
      </c>
      <c r="L222" s="625">
        <f t="shared" si="188"/>
        <v>0</v>
      </c>
      <c r="M222" s="625">
        <f t="shared" si="188"/>
        <v>0</v>
      </c>
      <c r="N222" s="624">
        <f t="shared" si="191"/>
        <v>0.23148936170212767</v>
      </c>
      <c r="O222" s="624">
        <f t="shared" si="189"/>
        <v>0</v>
      </c>
      <c r="P222" s="626">
        <f t="shared" si="189"/>
        <v>0</v>
      </c>
      <c r="Q222" s="624">
        <f t="shared" si="189"/>
        <v>0</v>
      </c>
      <c r="S222" s="349">
        <v>152</v>
      </c>
      <c r="T222" s="349">
        <v>159</v>
      </c>
      <c r="U222" s="349">
        <v>583</v>
      </c>
      <c r="Y222" s="804">
        <v>894</v>
      </c>
      <c r="Z222" s="804"/>
      <c r="AE222" s="804">
        <v>1088</v>
      </c>
      <c r="AF222" s="804"/>
      <c r="AH222" s="804"/>
    </row>
    <row r="223" spans="1:34">
      <c r="A223" s="580"/>
      <c r="B223" s="580" t="s">
        <v>131</v>
      </c>
      <c r="C223" s="806">
        <f t="shared" si="190"/>
        <v>0.11486486486486487</v>
      </c>
      <c r="D223" s="806">
        <f t="shared" si="188"/>
        <v>3.3898305084745762E-3</v>
      </c>
      <c r="E223" s="806">
        <f t="shared" si="188"/>
        <v>8.2426127527216175E-2</v>
      </c>
      <c r="F223" s="806">
        <f t="shared" si="188"/>
        <v>0</v>
      </c>
      <c r="G223" s="806">
        <f t="shared" si="188"/>
        <v>0</v>
      </c>
      <c r="H223" s="806">
        <f t="shared" si="188"/>
        <v>0</v>
      </c>
      <c r="I223" s="624">
        <f t="shared" si="188"/>
        <v>8.9681557330932818E-2</v>
      </c>
      <c r="J223" s="624">
        <f t="shared" si="188"/>
        <v>0</v>
      </c>
      <c r="K223" s="625">
        <f t="shared" si="188"/>
        <v>0</v>
      </c>
      <c r="L223" s="625">
        <f t="shared" si="188"/>
        <v>0</v>
      </c>
      <c r="M223" s="625">
        <f t="shared" si="188"/>
        <v>0</v>
      </c>
      <c r="N223" s="624">
        <f t="shared" si="191"/>
        <v>0.21170212765957447</v>
      </c>
      <c r="O223" s="624">
        <f t="shared" si="189"/>
        <v>0</v>
      </c>
      <c r="P223" s="626">
        <f t="shared" si="189"/>
        <v>0</v>
      </c>
      <c r="Q223" s="624">
        <f t="shared" si="189"/>
        <v>0</v>
      </c>
      <c r="S223" s="349">
        <v>476</v>
      </c>
      <c r="T223" s="349">
        <v>3</v>
      </c>
      <c r="U223" s="349">
        <v>318</v>
      </c>
      <c r="Y223" s="804">
        <v>797</v>
      </c>
      <c r="Z223" s="804"/>
      <c r="AE223" s="804">
        <v>995</v>
      </c>
      <c r="AF223" s="804"/>
      <c r="AH223" s="804"/>
    </row>
    <row r="224" spans="1:34">
      <c r="A224" s="436"/>
      <c r="B224" s="436" t="s">
        <v>59</v>
      </c>
      <c r="C224" s="807">
        <f t="shared" si="190"/>
        <v>1</v>
      </c>
      <c r="D224" s="808">
        <f t="shared" si="188"/>
        <v>1</v>
      </c>
      <c r="E224" s="808">
        <f t="shared" si="188"/>
        <v>1</v>
      </c>
      <c r="F224" s="808">
        <f t="shared" si="188"/>
        <v>0</v>
      </c>
      <c r="G224" s="808">
        <f t="shared" si="188"/>
        <v>0</v>
      </c>
      <c r="H224" s="809">
        <f t="shared" si="188"/>
        <v>0</v>
      </c>
      <c r="I224" s="577">
        <f t="shared" si="188"/>
        <v>1</v>
      </c>
      <c r="J224" s="577">
        <f t="shared" si="188"/>
        <v>0</v>
      </c>
      <c r="K224" s="578">
        <f t="shared" si="188"/>
        <v>0</v>
      </c>
      <c r="L224" s="578">
        <f t="shared" si="188"/>
        <v>0</v>
      </c>
      <c r="M224" s="578">
        <f t="shared" si="188"/>
        <v>0</v>
      </c>
      <c r="N224" s="577">
        <f t="shared" si="191"/>
        <v>1</v>
      </c>
      <c r="O224" s="577">
        <f t="shared" si="189"/>
        <v>0</v>
      </c>
      <c r="P224" s="579">
        <f t="shared" si="189"/>
        <v>0</v>
      </c>
      <c r="Q224" s="577">
        <f t="shared" si="189"/>
        <v>0</v>
      </c>
      <c r="S224" s="349">
        <v>4144</v>
      </c>
      <c r="T224" s="349">
        <v>885</v>
      </c>
      <c r="U224" s="349">
        <v>3858</v>
      </c>
      <c r="Y224" s="804">
        <v>8887</v>
      </c>
      <c r="Z224" s="804"/>
      <c r="AE224" s="804">
        <v>4700</v>
      </c>
      <c r="AF224" s="804"/>
      <c r="AH224" s="804"/>
    </row>
    <row r="225" spans="1:34">
      <c r="A225" s="240" t="s">
        <v>145</v>
      </c>
      <c r="B225" s="240" t="s">
        <v>53</v>
      </c>
      <c r="C225" s="806">
        <f>IF(S$230&gt;0,(S225/S$230),0)</f>
        <v>0.36114570361145704</v>
      </c>
      <c r="D225" s="806">
        <f t="shared" ref="D225:M230" si="192">IF(T$230&gt;0,(T225/T$230),0)</f>
        <v>0.24010914051841747</v>
      </c>
      <c r="E225" s="806">
        <f t="shared" si="192"/>
        <v>0.2115987460815047</v>
      </c>
      <c r="F225" s="806">
        <f t="shared" si="192"/>
        <v>0.13277310924369748</v>
      </c>
      <c r="G225" s="806">
        <f t="shared" si="192"/>
        <v>0.20779220779220781</v>
      </c>
      <c r="H225" s="806">
        <f t="shared" si="192"/>
        <v>0.32601880877742945</v>
      </c>
      <c r="I225" s="613">
        <f t="shared" si="192"/>
        <v>0.28994581577363032</v>
      </c>
      <c r="J225" s="613">
        <f t="shared" si="192"/>
        <v>0</v>
      </c>
      <c r="K225" s="614">
        <f t="shared" si="192"/>
        <v>0</v>
      </c>
      <c r="L225" s="614">
        <f t="shared" si="192"/>
        <v>0</v>
      </c>
      <c r="M225" s="614">
        <f t="shared" si="192"/>
        <v>0</v>
      </c>
      <c r="N225" s="613">
        <f>IF(AE$230&gt;0,(AE225/AE$230),0)</f>
        <v>5.9968847352024922E-2</v>
      </c>
      <c r="O225" s="613">
        <f t="shared" ref="O225:Q230" si="193">IF(AF$230&gt;0,(AF225/AF$230),0)</f>
        <v>0</v>
      </c>
      <c r="P225" s="615">
        <f t="shared" si="193"/>
        <v>0</v>
      </c>
      <c r="Q225" s="613">
        <f t="shared" si="193"/>
        <v>0</v>
      </c>
      <c r="R225" s="799"/>
      <c r="S225" s="798">
        <v>1450</v>
      </c>
      <c r="T225" s="798">
        <v>528</v>
      </c>
      <c r="U225" s="798">
        <v>135</v>
      </c>
      <c r="V225" s="798">
        <v>79</v>
      </c>
      <c r="W225" s="798">
        <v>112</v>
      </c>
      <c r="X225" s="798">
        <v>104</v>
      </c>
      <c r="Y225" s="803">
        <v>2408</v>
      </c>
      <c r="Z225" s="803"/>
      <c r="AA225" s="798"/>
      <c r="AB225" s="798"/>
      <c r="AC225" s="798"/>
      <c r="AD225" s="798"/>
      <c r="AE225" s="803">
        <v>77</v>
      </c>
      <c r="AF225" s="803"/>
      <c r="AG225" s="798"/>
      <c r="AH225" s="803"/>
    </row>
    <row r="226" spans="1:34">
      <c r="A226" s="239"/>
      <c r="B226" s="239" t="s">
        <v>93</v>
      </c>
      <c r="C226" s="806">
        <f t="shared" ref="C226:C230" si="194">IF(S$230&gt;0,(S226/S$230),0)</f>
        <v>0.25877957658779577</v>
      </c>
      <c r="D226" s="806">
        <f t="shared" si="192"/>
        <v>0.28149158708503863</v>
      </c>
      <c r="E226" s="806">
        <f t="shared" si="192"/>
        <v>0.31818181818181818</v>
      </c>
      <c r="F226" s="806">
        <f t="shared" si="192"/>
        <v>0.28739495798319326</v>
      </c>
      <c r="G226" s="806">
        <f t="shared" si="192"/>
        <v>0.29684601113172543</v>
      </c>
      <c r="H226" s="806">
        <f t="shared" si="192"/>
        <v>0.18181818181818182</v>
      </c>
      <c r="I226" s="624">
        <f t="shared" si="192"/>
        <v>0.27092113184828415</v>
      </c>
      <c r="J226" s="624">
        <f t="shared" si="192"/>
        <v>0</v>
      </c>
      <c r="K226" s="625">
        <f t="shared" si="192"/>
        <v>0</v>
      </c>
      <c r="L226" s="625">
        <f t="shared" si="192"/>
        <v>0</v>
      </c>
      <c r="M226" s="625">
        <f t="shared" si="192"/>
        <v>0</v>
      </c>
      <c r="N226" s="624">
        <f t="shared" ref="N226:N230" si="195">IF(AE$230&gt;0,(AE226/AE$230),0)</f>
        <v>0.20093457943925233</v>
      </c>
      <c r="O226" s="624">
        <f t="shared" si="193"/>
        <v>0</v>
      </c>
      <c r="P226" s="626">
        <f t="shared" si="193"/>
        <v>0</v>
      </c>
      <c r="Q226" s="624">
        <f t="shared" si="193"/>
        <v>0</v>
      </c>
      <c r="S226" s="349">
        <v>1039</v>
      </c>
      <c r="T226" s="349">
        <v>619</v>
      </c>
      <c r="U226" s="349">
        <v>203</v>
      </c>
      <c r="V226" s="349">
        <v>171</v>
      </c>
      <c r="W226" s="349">
        <v>160</v>
      </c>
      <c r="X226" s="349">
        <v>58</v>
      </c>
      <c r="Y226" s="804">
        <v>2250</v>
      </c>
      <c r="Z226" s="804"/>
      <c r="AE226" s="804">
        <v>258</v>
      </c>
      <c r="AF226" s="804"/>
      <c r="AH226" s="804"/>
    </row>
    <row r="227" spans="1:34">
      <c r="A227" s="239"/>
      <c r="B227" s="239" t="s">
        <v>55</v>
      </c>
      <c r="C227" s="806">
        <f t="shared" si="194"/>
        <v>0.20249066002490659</v>
      </c>
      <c r="D227" s="806">
        <f t="shared" si="192"/>
        <v>0.27921782628467484</v>
      </c>
      <c r="E227" s="806">
        <f t="shared" si="192"/>
        <v>0.27429467084639497</v>
      </c>
      <c r="F227" s="806">
        <f t="shared" si="192"/>
        <v>0.31596638655462184</v>
      </c>
      <c r="G227" s="806">
        <f t="shared" si="192"/>
        <v>0.28014842300556586</v>
      </c>
      <c r="H227" s="806">
        <f t="shared" si="192"/>
        <v>0.33855799373040751</v>
      </c>
      <c r="I227" s="624">
        <f t="shared" si="192"/>
        <v>0.24671884406983743</v>
      </c>
      <c r="J227" s="624">
        <f t="shared" si="192"/>
        <v>0</v>
      </c>
      <c r="K227" s="625">
        <f t="shared" si="192"/>
        <v>0</v>
      </c>
      <c r="L227" s="625">
        <f t="shared" si="192"/>
        <v>0</v>
      </c>
      <c r="M227" s="625">
        <f t="shared" si="192"/>
        <v>0</v>
      </c>
      <c r="N227" s="624">
        <f t="shared" si="195"/>
        <v>0.44236760124610591</v>
      </c>
      <c r="O227" s="624">
        <f t="shared" si="193"/>
        <v>0</v>
      </c>
      <c r="P227" s="626">
        <f t="shared" si="193"/>
        <v>0</v>
      </c>
      <c r="Q227" s="624">
        <f t="shared" si="193"/>
        <v>0</v>
      </c>
      <c r="S227" s="349">
        <v>813</v>
      </c>
      <c r="T227" s="349">
        <v>614</v>
      </c>
      <c r="U227" s="349">
        <v>175</v>
      </c>
      <c r="V227" s="349">
        <v>188</v>
      </c>
      <c r="W227" s="349">
        <v>151</v>
      </c>
      <c r="X227" s="349">
        <v>108</v>
      </c>
      <c r="Y227" s="804">
        <v>2049</v>
      </c>
      <c r="Z227" s="804"/>
      <c r="AE227" s="804">
        <v>568</v>
      </c>
      <c r="AF227" s="804"/>
      <c r="AH227" s="804"/>
    </row>
    <row r="228" spans="1:34">
      <c r="A228" s="239"/>
      <c r="B228" s="239" t="s">
        <v>78</v>
      </c>
      <c r="C228" s="806">
        <f t="shared" si="194"/>
        <v>3.2378580323785804E-3</v>
      </c>
      <c r="D228" s="806">
        <f t="shared" si="192"/>
        <v>0.11141427921782629</v>
      </c>
      <c r="E228" s="806">
        <f t="shared" si="192"/>
        <v>4.0752351097178681E-2</v>
      </c>
      <c r="F228" s="806">
        <f t="shared" si="192"/>
        <v>0.15798319327731092</v>
      </c>
      <c r="G228" s="806">
        <f t="shared" si="192"/>
        <v>0</v>
      </c>
      <c r="H228" s="806">
        <f t="shared" si="192"/>
        <v>8.1504702194357362E-2</v>
      </c>
      <c r="I228" s="624">
        <f t="shared" si="192"/>
        <v>4.8645394340758583E-2</v>
      </c>
      <c r="J228" s="624">
        <f t="shared" si="192"/>
        <v>0</v>
      </c>
      <c r="K228" s="625">
        <f t="shared" si="192"/>
        <v>0</v>
      </c>
      <c r="L228" s="625">
        <f t="shared" si="192"/>
        <v>0</v>
      </c>
      <c r="M228" s="625">
        <f t="shared" si="192"/>
        <v>0</v>
      </c>
      <c r="N228" s="624">
        <f t="shared" si="195"/>
        <v>0.26713395638629284</v>
      </c>
      <c r="O228" s="624">
        <f t="shared" si="193"/>
        <v>0</v>
      </c>
      <c r="P228" s="626">
        <f t="shared" si="193"/>
        <v>0</v>
      </c>
      <c r="Q228" s="624">
        <f t="shared" si="193"/>
        <v>0</v>
      </c>
      <c r="S228" s="349">
        <v>13</v>
      </c>
      <c r="T228" s="349">
        <v>245</v>
      </c>
      <c r="U228" s="349">
        <v>26</v>
      </c>
      <c r="V228" s="349">
        <v>94</v>
      </c>
      <c r="X228" s="349">
        <v>26</v>
      </c>
      <c r="Y228" s="804">
        <v>404</v>
      </c>
      <c r="Z228" s="804"/>
      <c r="AE228" s="804">
        <v>343</v>
      </c>
      <c r="AF228" s="804"/>
      <c r="AH228" s="804"/>
    </row>
    <row r="229" spans="1:34">
      <c r="A229" s="580"/>
      <c r="B229" s="580" t="s">
        <v>131</v>
      </c>
      <c r="C229" s="806">
        <f t="shared" si="194"/>
        <v>0.17434620174346202</v>
      </c>
      <c r="D229" s="806">
        <f t="shared" si="192"/>
        <v>8.776716689404275E-2</v>
      </c>
      <c r="E229" s="806">
        <f t="shared" si="192"/>
        <v>0.15517241379310345</v>
      </c>
      <c r="F229" s="806">
        <f t="shared" si="192"/>
        <v>0.10588235294117647</v>
      </c>
      <c r="G229" s="806">
        <f t="shared" si="192"/>
        <v>0.21521335807050093</v>
      </c>
      <c r="H229" s="806">
        <f t="shared" si="192"/>
        <v>7.2100313479623826E-2</v>
      </c>
      <c r="I229" s="624">
        <f t="shared" si="192"/>
        <v>0.14376881396748947</v>
      </c>
      <c r="J229" s="624">
        <f t="shared" si="192"/>
        <v>0</v>
      </c>
      <c r="K229" s="625">
        <f t="shared" si="192"/>
        <v>0</v>
      </c>
      <c r="L229" s="625">
        <f t="shared" si="192"/>
        <v>0</v>
      </c>
      <c r="M229" s="625">
        <f t="shared" si="192"/>
        <v>0</v>
      </c>
      <c r="N229" s="624">
        <f t="shared" si="195"/>
        <v>2.9595015576323987E-2</v>
      </c>
      <c r="O229" s="624">
        <f t="shared" si="193"/>
        <v>0</v>
      </c>
      <c r="P229" s="626">
        <f t="shared" si="193"/>
        <v>0</v>
      </c>
      <c r="Q229" s="624">
        <f t="shared" si="193"/>
        <v>0</v>
      </c>
      <c r="S229" s="349">
        <v>700</v>
      </c>
      <c r="T229" s="349">
        <v>193</v>
      </c>
      <c r="U229" s="349">
        <v>99</v>
      </c>
      <c r="V229" s="349">
        <v>63</v>
      </c>
      <c r="W229" s="349">
        <v>116</v>
      </c>
      <c r="X229" s="349">
        <v>23</v>
      </c>
      <c r="Y229" s="804">
        <v>1194</v>
      </c>
      <c r="Z229" s="804"/>
      <c r="AE229" s="804">
        <v>38</v>
      </c>
      <c r="AF229" s="804"/>
      <c r="AH229" s="804"/>
    </row>
    <row r="230" spans="1:34">
      <c r="A230" s="436"/>
      <c r="B230" s="436" t="s">
        <v>59</v>
      </c>
      <c r="C230" s="807">
        <f t="shared" si="194"/>
        <v>1</v>
      </c>
      <c r="D230" s="808">
        <f t="shared" si="192"/>
        <v>1</v>
      </c>
      <c r="E230" s="808">
        <f t="shared" si="192"/>
        <v>1</v>
      </c>
      <c r="F230" s="808">
        <f t="shared" si="192"/>
        <v>1</v>
      </c>
      <c r="G230" s="808">
        <f t="shared" si="192"/>
        <v>1</v>
      </c>
      <c r="H230" s="809">
        <f t="shared" si="192"/>
        <v>1</v>
      </c>
      <c r="I230" s="577">
        <f t="shared" si="192"/>
        <v>1</v>
      </c>
      <c r="J230" s="577">
        <f t="shared" si="192"/>
        <v>0</v>
      </c>
      <c r="K230" s="578">
        <f t="shared" si="192"/>
        <v>0</v>
      </c>
      <c r="L230" s="578">
        <f t="shared" si="192"/>
        <v>0</v>
      </c>
      <c r="M230" s="578">
        <f t="shared" si="192"/>
        <v>0</v>
      </c>
      <c r="N230" s="577">
        <f t="shared" si="195"/>
        <v>1</v>
      </c>
      <c r="O230" s="577">
        <f t="shared" si="193"/>
        <v>0</v>
      </c>
      <c r="P230" s="579">
        <f t="shared" si="193"/>
        <v>0</v>
      </c>
      <c r="Q230" s="577">
        <f t="shared" si="193"/>
        <v>0</v>
      </c>
      <c r="S230" s="349">
        <v>4015</v>
      </c>
      <c r="T230" s="349">
        <v>2199</v>
      </c>
      <c r="U230" s="349">
        <v>638</v>
      </c>
      <c r="V230" s="349">
        <v>595</v>
      </c>
      <c r="W230" s="349">
        <v>539</v>
      </c>
      <c r="X230" s="349">
        <v>319</v>
      </c>
      <c r="Y230" s="804">
        <v>8305</v>
      </c>
      <c r="Z230" s="804"/>
      <c r="AE230" s="804">
        <v>1284</v>
      </c>
      <c r="AF230" s="804"/>
      <c r="AH230" s="804"/>
    </row>
    <row r="231" spans="1:34">
      <c r="A231" s="240" t="s">
        <v>142</v>
      </c>
      <c r="B231" s="240" t="s">
        <v>53</v>
      </c>
      <c r="C231" s="806">
        <f>IF(S$236&gt;0,(S231/S$236),0)</f>
        <v>0.35822021116138764</v>
      </c>
      <c r="D231" s="806">
        <f t="shared" ref="D231:M236" si="196">IF(T$236&gt;0,(T231/T$236),0)</f>
        <v>0</v>
      </c>
      <c r="E231" s="806">
        <f t="shared" si="196"/>
        <v>0.26520270270270269</v>
      </c>
      <c r="F231" s="806">
        <f t="shared" si="196"/>
        <v>0</v>
      </c>
      <c r="G231" s="806">
        <f t="shared" si="196"/>
        <v>0</v>
      </c>
      <c r="H231" s="806">
        <f t="shared" si="196"/>
        <v>0</v>
      </c>
      <c r="I231" s="613">
        <f t="shared" si="196"/>
        <v>0.34124537607891492</v>
      </c>
      <c r="J231" s="613">
        <f t="shared" si="196"/>
        <v>0</v>
      </c>
      <c r="K231" s="614">
        <f t="shared" si="196"/>
        <v>0</v>
      </c>
      <c r="L231" s="614">
        <f t="shared" si="196"/>
        <v>0</v>
      </c>
      <c r="M231" s="614">
        <f t="shared" si="196"/>
        <v>0</v>
      </c>
      <c r="N231" s="613">
        <f>IF(AE$236&gt;0,(AE231/AE$236),0)</f>
        <v>0.22858701582105836</v>
      </c>
      <c r="O231" s="613">
        <f t="shared" ref="O231:Q236" si="197">IF(AF$236&gt;0,(AF231/AF$236),0)</f>
        <v>0</v>
      </c>
      <c r="P231" s="615">
        <f t="shared" si="197"/>
        <v>0</v>
      </c>
      <c r="Q231" s="613">
        <f t="shared" si="197"/>
        <v>0</v>
      </c>
      <c r="R231" s="799"/>
      <c r="S231" s="798">
        <v>950</v>
      </c>
      <c r="T231" s="798"/>
      <c r="U231" s="798">
        <v>157</v>
      </c>
      <c r="V231" s="798"/>
      <c r="W231" s="798"/>
      <c r="X231" s="798"/>
      <c r="Y231" s="803">
        <v>1107</v>
      </c>
      <c r="Z231" s="803"/>
      <c r="AA231" s="798"/>
      <c r="AB231" s="798"/>
      <c r="AC231" s="798"/>
      <c r="AD231" s="798"/>
      <c r="AE231" s="803">
        <v>419</v>
      </c>
      <c r="AF231" s="803"/>
      <c r="AG231" s="798"/>
      <c r="AH231" s="803"/>
    </row>
    <row r="232" spans="1:34">
      <c r="A232" s="239"/>
      <c r="B232" s="239" t="s">
        <v>93</v>
      </c>
      <c r="C232" s="806">
        <f t="shared" ref="C232:C236" si="198">IF(S$236&gt;0,(S232/S$236),0)</f>
        <v>0.28582202111613875</v>
      </c>
      <c r="D232" s="806">
        <f t="shared" si="196"/>
        <v>0</v>
      </c>
      <c r="E232" s="806">
        <f t="shared" si="196"/>
        <v>0.33108108108108109</v>
      </c>
      <c r="F232" s="806">
        <f t="shared" si="196"/>
        <v>0</v>
      </c>
      <c r="G232" s="806">
        <f t="shared" si="196"/>
        <v>0</v>
      </c>
      <c r="H232" s="806">
        <f t="shared" si="196"/>
        <v>0</v>
      </c>
      <c r="I232" s="624">
        <f t="shared" si="196"/>
        <v>0.29408138101109743</v>
      </c>
      <c r="J232" s="624">
        <f t="shared" si="196"/>
        <v>0</v>
      </c>
      <c r="K232" s="625">
        <f t="shared" si="196"/>
        <v>0</v>
      </c>
      <c r="L232" s="625">
        <f t="shared" si="196"/>
        <v>0</v>
      </c>
      <c r="M232" s="625">
        <f t="shared" si="196"/>
        <v>0</v>
      </c>
      <c r="N232" s="624">
        <f t="shared" ref="N232:N236" si="199">IF(AE$236&gt;0,(AE232/AE$236),0)</f>
        <v>0.11893071467539552</v>
      </c>
      <c r="O232" s="624">
        <f t="shared" si="197"/>
        <v>0</v>
      </c>
      <c r="P232" s="626">
        <f t="shared" si="197"/>
        <v>0</v>
      </c>
      <c r="Q232" s="624">
        <f t="shared" si="197"/>
        <v>0</v>
      </c>
      <c r="S232" s="349">
        <v>758</v>
      </c>
      <c r="U232" s="349">
        <v>196</v>
      </c>
      <c r="Y232" s="804">
        <v>954</v>
      </c>
      <c r="Z232" s="804"/>
      <c r="AE232" s="804">
        <v>218</v>
      </c>
      <c r="AF232" s="804"/>
      <c r="AH232" s="804"/>
    </row>
    <row r="233" spans="1:34">
      <c r="A233" s="239"/>
      <c r="B233" s="239" t="s">
        <v>55</v>
      </c>
      <c r="C233" s="806">
        <f t="shared" si="198"/>
        <v>0.22586726998491705</v>
      </c>
      <c r="D233" s="806">
        <f t="shared" si="196"/>
        <v>0</v>
      </c>
      <c r="E233" s="806">
        <f t="shared" si="196"/>
        <v>0.20777027027027026</v>
      </c>
      <c r="F233" s="806">
        <f t="shared" si="196"/>
        <v>0</v>
      </c>
      <c r="G233" s="806">
        <f t="shared" si="196"/>
        <v>0</v>
      </c>
      <c r="H233" s="806">
        <f t="shared" si="196"/>
        <v>0</v>
      </c>
      <c r="I233" s="624">
        <f t="shared" si="196"/>
        <v>0.22256473489519113</v>
      </c>
      <c r="J233" s="624">
        <f t="shared" si="196"/>
        <v>0</v>
      </c>
      <c r="K233" s="625">
        <f t="shared" si="196"/>
        <v>0</v>
      </c>
      <c r="L233" s="625">
        <f t="shared" si="196"/>
        <v>0</v>
      </c>
      <c r="M233" s="625">
        <f t="shared" si="196"/>
        <v>0</v>
      </c>
      <c r="N233" s="624">
        <f t="shared" si="199"/>
        <v>7.2558647026732134E-2</v>
      </c>
      <c r="O233" s="624">
        <f t="shared" si="197"/>
        <v>0</v>
      </c>
      <c r="P233" s="626">
        <f t="shared" si="197"/>
        <v>0</v>
      </c>
      <c r="Q233" s="624">
        <f t="shared" si="197"/>
        <v>0</v>
      </c>
      <c r="S233" s="349">
        <v>599</v>
      </c>
      <c r="U233" s="349">
        <v>123</v>
      </c>
      <c r="Y233" s="804">
        <v>722</v>
      </c>
      <c r="Z233" s="804"/>
      <c r="AE233" s="804">
        <v>133</v>
      </c>
      <c r="AF233" s="804"/>
      <c r="AH233" s="804"/>
    </row>
    <row r="234" spans="1:34">
      <c r="A234" s="239"/>
      <c r="B234" s="239" t="s">
        <v>78</v>
      </c>
      <c r="C234" s="806">
        <f t="shared" si="198"/>
        <v>1.3951734539969835E-2</v>
      </c>
      <c r="D234" s="806">
        <f t="shared" si="196"/>
        <v>0</v>
      </c>
      <c r="E234" s="806">
        <f t="shared" si="196"/>
        <v>0.19594594594594594</v>
      </c>
      <c r="F234" s="806">
        <f t="shared" si="196"/>
        <v>0</v>
      </c>
      <c r="G234" s="806">
        <f t="shared" si="196"/>
        <v>0</v>
      </c>
      <c r="H234" s="806">
        <f t="shared" si="196"/>
        <v>0</v>
      </c>
      <c r="I234" s="624">
        <f t="shared" si="196"/>
        <v>4.7163995067817509E-2</v>
      </c>
      <c r="J234" s="624">
        <f t="shared" si="196"/>
        <v>0</v>
      </c>
      <c r="K234" s="625">
        <f t="shared" si="196"/>
        <v>0</v>
      </c>
      <c r="L234" s="625">
        <f t="shared" si="196"/>
        <v>0</v>
      </c>
      <c r="M234" s="625">
        <f t="shared" si="196"/>
        <v>0</v>
      </c>
      <c r="N234" s="624">
        <f t="shared" si="199"/>
        <v>0.42716857610474634</v>
      </c>
      <c r="O234" s="624">
        <f t="shared" si="197"/>
        <v>0</v>
      </c>
      <c r="P234" s="626">
        <f t="shared" si="197"/>
        <v>0</v>
      </c>
      <c r="Q234" s="624">
        <f t="shared" si="197"/>
        <v>0</v>
      </c>
      <c r="S234" s="349">
        <v>37</v>
      </c>
      <c r="U234" s="349">
        <v>116</v>
      </c>
      <c r="Y234" s="804">
        <v>153</v>
      </c>
      <c r="Z234" s="804"/>
      <c r="AE234" s="804">
        <v>783</v>
      </c>
      <c r="AF234" s="804"/>
      <c r="AH234" s="804"/>
    </row>
    <row r="235" spans="1:34">
      <c r="A235" s="580"/>
      <c r="B235" s="580" t="s">
        <v>131</v>
      </c>
      <c r="C235" s="806">
        <f t="shared" si="198"/>
        <v>0.11613876319758673</v>
      </c>
      <c r="D235" s="806">
        <f t="shared" si="196"/>
        <v>0</v>
      </c>
      <c r="E235" s="806">
        <f t="shared" si="196"/>
        <v>0</v>
      </c>
      <c r="F235" s="806">
        <f t="shared" si="196"/>
        <v>0</v>
      </c>
      <c r="G235" s="806">
        <f t="shared" si="196"/>
        <v>0</v>
      </c>
      <c r="H235" s="806">
        <f t="shared" si="196"/>
        <v>0</v>
      </c>
      <c r="I235" s="624">
        <f t="shared" si="196"/>
        <v>9.4944512946979032E-2</v>
      </c>
      <c r="J235" s="624">
        <f t="shared" si="196"/>
        <v>0</v>
      </c>
      <c r="K235" s="625">
        <f t="shared" si="196"/>
        <v>0</v>
      </c>
      <c r="L235" s="625">
        <f t="shared" si="196"/>
        <v>0</v>
      </c>
      <c r="M235" s="625">
        <f t="shared" si="196"/>
        <v>0</v>
      </c>
      <c r="N235" s="624">
        <f t="shared" si="199"/>
        <v>0.15275504637206766</v>
      </c>
      <c r="O235" s="624">
        <f t="shared" si="197"/>
        <v>0</v>
      </c>
      <c r="P235" s="626">
        <f t="shared" si="197"/>
        <v>0</v>
      </c>
      <c r="Q235" s="624">
        <f t="shared" si="197"/>
        <v>0</v>
      </c>
      <c r="S235" s="349">
        <v>308</v>
      </c>
      <c r="Y235" s="804">
        <v>308</v>
      </c>
      <c r="Z235" s="804"/>
      <c r="AE235" s="804">
        <v>280</v>
      </c>
      <c r="AF235" s="804"/>
      <c r="AH235" s="804"/>
    </row>
    <row r="236" spans="1:34">
      <c r="A236" s="436"/>
      <c r="B236" s="436" t="s">
        <v>59</v>
      </c>
      <c r="C236" s="807">
        <f t="shared" si="198"/>
        <v>1</v>
      </c>
      <c r="D236" s="808">
        <f t="shared" si="196"/>
        <v>0</v>
      </c>
      <c r="E236" s="808">
        <f t="shared" si="196"/>
        <v>1</v>
      </c>
      <c r="F236" s="808">
        <f t="shared" si="196"/>
        <v>0</v>
      </c>
      <c r="G236" s="808">
        <f t="shared" si="196"/>
        <v>0</v>
      </c>
      <c r="H236" s="809">
        <f t="shared" si="196"/>
        <v>0</v>
      </c>
      <c r="I236" s="577">
        <f t="shared" si="196"/>
        <v>1</v>
      </c>
      <c r="J236" s="577">
        <f t="shared" si="196"/>
        <v>0</v>
      </c>
      <c r="K236" s="578">
        <f t="shared" si="196"/>
        <v>0</v>
      </c>
      <c r="L236" s="578">
        <f t="shared" si="196"/>
        <v>0</v>
      </c>
      <c r="M236" s="578">
        <f t="shared" si="196"/>
        <v>0</v>
      </c>
      <c r="N236" s="577">
        <f t="shared" si="199"/>
        <v>1</v>
      </c>
      <c r="O236" s="577">
        <f t="shared" si="197"/>
        <v>0</v>
      </c>
      <c r="P236" s="579">
        <f t="shared" si="197"/>
        <v>0</v>
      </c>
      <c r="Q236" s="577">
        <f t="shared" si="197"/>
        <v>0</v>
      </c>
      <c r="S236" s="349">
        <v>2652</v>
      </c>
      <c r="U236" s="349">
        <v>592</v>
      </c>
      <c r="Y236" s="804">
        <v>3244</v>
      </c>
      <c r="Z236" s="804"/>
      <c r="AE236" s="804">
        <v>1833</v>
      </c>
      <c r="AF236" s="804"/>
      <c r="AH236" s="804"/>
    </row>
    <row r="237" spans="1:34">
      <c r="A237" s="240" t="s">
        <v>146</v>
      </c>
      <c r="B237" s="240" t="s">
        <v>53</v>
      </c>
      <c r="C237" s="806">
        <f>IF(S$242&gt;0,(S237/S$242),0)</f>
        <v>0.3158139534883721</v>
      </c>
      <c r="D237" s="806">
        <f t="shared" ref="D237:M242" si="200">IF(T$242&gt;0,(T237/T$242),0)</f>
        <v>0</v>
      </c>
      <c r="E237" s="806">
        <f t="shared" si="200"/>
        <v>0.28637059724349156</v>
      </c>
      <c r="F237" s="806">
        <f t="shared" si="200"/>
        <v>0.24528301886792453</v>
      </c>
      <c r="G237" s="806">
        <f t="shared" si="200"/>
        <v>0</v>
      </c>
      <c r="H237" s="806">
        <f t="shared" si="200"/>
        <v>0</v>
      </c>
      <c r="I237" s="613">
        <f t="shared" si="200"/>
        <v>0.29749866950505588</v>
      </c>
      <c r="J237" s="613">
        <f t="shared" si="200"/>
        <v>0</v>
      </c>
      <c r="K237" s="614">
        <f t="shared" si="200"/>
        <v>0</v>
      </c>
      <c r="L237" s="614">
        <f t="shared" si="200"/>
        <v>0</v>
      </c>
      <c r="M237" s="614">
        <f t="shared" si="200"/>
        <v>0</v>
      </c>
      <c r="N237" s="613">
        <f>IF(AE$242&gt;0,(AE237/AE$242),0)</f>
        <v>0.21137206427688504</v>
      </c>
      <c r="O237" s="613">
        <f t="shared" ref="O237:Q242" si="201">IF(AF$242&gt;0,(AF237/AF$242),0)</f>
        <v>0</v>
      </c>
      <c r="P237" s="615">
        <f t="shared" si="201"/>
        <v>0</v>
      </c>
      <c r="Q237" s="613">
        <f t="shared" si="201"/>
        <v>0.28908886389201349</v>
      </c>
      <c r="R237" s="799"/>
      <c r="S237" s="798">
        <v>679</v>
      </c>
      <c r="T237" s="798"/>
      <c r="U237" s="798">
        <v>374</v>
      </c>
      <c r="V237" s="798">
        <v>65</v>
      </c>
      <c r="W237" s="798"/>
      <c r="X237" s="798"/>
      <c r="Y237" s="803">
        <v>1118</v>
      </c>
      <c r="Z237" s="803"/>
      <c r="AA237" s="798"/>
      <c r="AB237" s="798"/>
      <c r="AC237" s="798"/>
      <c r="AD237" s="798"/>
      <c r="AE237" s="803">
        <v>171</v>
      </c>
      <c r="AF237" s="803"/>
      <c r="AG237" s="798"/>
      <c r="AH237" s="803">
        <v>257</v>
      </c>
    </row>
    <row r="238" spans="1:34">
      <c r="A238" s="239"/>
      <c r="B238" s="239" t="s">
        <v>93</v>
      </c>
      <c r="C238" s="806">
        <f t="shared" ref="C238:C242" si="202">IF(S$242&gt;0,(S238/S$242),0)</f>
        <v>0.32139534883720933</v>
      </c>
      <c r="D238" s="806">
        <f t="shared" si="200"/>
        <v>0</v>
      </c>
      <c r="E238" s="806">
        <f t="shared" si="200"/>
        <v>0.25191424196018375</v>
      </c>
      <c r="F238" s="806">
        <f t="shared" si="200"/>
        <v>0.25660377358490566</v>
      </c>
      <c r="G238" s="806">
        <f t="shared" si="200"/>
        <v>0</v>
      </c>
      <c r="H238" s="806">
        <f t="shared" si="200"/>
        <v>0</v>
      </c>
      <c r="I238" s="624">
        <f t="shared" si="200"/>
        <v>0.28951569984034059</v>
      </c>
      <c r="J238" s="624">
        <f t="shared" si="200"/>
        <v>0</v>
      </c>
      <c r="K238" s="625">
        <f t="shared" si="200"/>
        <v>0</v>
      </c>
      <c r="L238" s="625">
        <f t="shared" si="200"/>
        <v>0</v>
      </c>
      <c r="M238" s="625">
        <f t="shared" si="200"/>
        <v>0</v>
      </c>
      <c r="N238" s="624">
        <f t="shared" ref="N238:N242" si="203">IF(AE$242&gt;0,(AE238/AE$242),0)</f>
        <v>4.0791100123609397E-2</v>
      </c>
      <c r="O238" s="624">
        <f t="shared" si="201"/>
        <v>0</v>
      </c>
      <c r="P238" s="626">
        <f t="shared" si="201"/>
        <v>0</v>
      </c>
      <c r="Q238" s="624">
        <f t="shared" si="201"/>
        <v>0.14960629921259844</v>
      </c>
      <c r="S238" s="349">
        <v>691</v>
      </c>
      <c r="U238" s="349">
        <v>329</v>
      </c>
      <c r="V238" s="349">
        <v>68</v>
      </c>
      <c r="Y238" s="804">
        <v>1088</v>
      </c>
      <c r="Z238" s="804"/>
      <c r="AE238" s="804">
        <v>33</v>
      </c>
      <c r="AF238" s="804"/>
      <c r="AH238" s="804">
        <v>133</v>
      </c>
    </row>
    <row r="239" spans="1:34">
      <c r="A239" s="239"/>
      <c r="B239" s="239" t="s">
        <v>55</v>
      </c>
      <c r="C239" s="806">
        <f t="shared" si="202"/>
        <v>0.23255813953488372</v>
      </c>
      <c r="D239" s="806">
        <f t="shared" si="200"/>
        <v>0</v>
      </c>
      <c r="E239" s="806">
        <f t="shared" si="200"/>
        <v>0.24042879019908117</v>
      </c>
      <c r="F239" s="806">
        <f t="shared" si="200"/>
        <v>0.25283018867924528</v>
      </c>
      <c r="G239" s="806">
        <f t="shared" si="200"/>
        <v>0</v>
      </c>
      <c r="H239" s="806">
        <f t="shared" si="200"/>
        <v>0</v>
      </c>
      <c r="I239" s="624">
        <f t="shared" si="200"/>
        <v>0.23443320915380522</v>
      </c>
      <c r="J239" s="624">
        <f t="shared" si="200"/>
        <v>0</v>
      </c>
      <c r="K239" s="625">
        <f t="shared" si="200"/>
        <v>0</v>
      </c>
      <c r="L239" s="625">
        <f t="shared" si="200"/>
        <v>0</v>
      </c>
      <c r="M239" s="625">
        <f t="shared" si="200"/>
        <v>0</v>
      </c>
      <c r="N239" s="624">
        <f t="shared" si="203"/>
        <v>3.8318912237330034E-2</v>
      </c>
      <c r="O239" s="624">
        <f t="shared" si="201"/>
        <v>0</v>
      </c>
      <c r="P239" s="626">
        <f t="shared" si="201"/>
        <v>0</v>
      </c>
      <c r="Q239" s="624">
        <f t="shared" si="201"/>
        <v>8.9988751406074236E-2</v>
      </c>
      <c r="S239" s="349">
        <v>500</v>
      </c>
      <c r="U239" s="349">
        <v>314</v>
      </c>
      <c r="V239" s="349">
        <v>67</v>
      </c>
      <c r="Y239" s="804">
        <v>881</v>
      </c>
      <c r="Z239" s="804"/>
      <c r="AE239" s="804">
        <v>31</v>
      </c>
      <c r="AF239" s="804"/>
      <c r="AH239" s="804">
        <v>80</v>
      </c>
    </row>
    <row r="240" spans="1:34">
      <c r="A240" s="239"/>
      <c r="B240" s="239" t="s">
        <v>78</v>
      </c>
      <c r="C240" s="806">
        <f t="shared" si="202"/>
        <v>8.2790697674418601E-2</v>
      </c>
      <c r="D240" s="806">
        <f t="shared" si="200"/>
        <v>0</v>
      </c>
      <c r="E240" s="806">
        <f t="shared" si="200"/>
        <v>0.17075038284839203</v>
      </c>
      <c r="F240" s="806">
        <f t="shared" si="200"/>
        <v>7.5471698113207548E-3</v>
      </c>
      <c r="G240" s="806">
        <f t="shared" si="200"/>
        <v>0</v>
      </c>
      <c r="H240" s="806">
        <f t="shared" si="200"/>
        <v>1</v>
      </c>
      <c r="I240" s="624">
        <f t="shared" si="200"/>
        <v>0.11708355508249069</v>
      </c>
      <c r="J240" s="624">
        <f t="shared" si="200"/>
        <v>0</v>
      </c>
      <c r="K240" s="625">
        <f t="shared" si="200"/>
        <v>0</v>
      </c>
      <c r="L240" s="625">
        <f t="shared" si="200"/>
        <v>0</v>
      </c>
      <c r="M240" s="625">
        <f t="shared" si="200"/>
        <v>0</v>
      </c>
      <c r="N240" s="624">
        <f t="shared" si="203"/>
        <v>0.55747836835599507</v>
      </c>
      <c r="O240" s="624">
        <f t="shared" si="201"/>
        <v>0</v>
      </c>
      <c r="P240" s="626">
        <f t="shared" si="201"/>
        <v>0</v>
      </c>
      <c r="Q240" s="624">
        <f t="shared" si="201"/>
        <v>0.45894263217097864</v>
      </c>
      <c r="S240" s="349">
        <v>178</v>
      </c>
      <c r="U240" s="349">
        <v>223</v>
      </c>
      <c r="V240" s="349">
        <v>2</v>
      </c>
      <c r="X240" s="349">
        <v>37</v>
      </c>
      <c r="Y240" s="804">
        <v>440</v>
      </c>
      <c r="Z240" s="804"/>
      <c r="AE240" s="804">
        <v>451</v>
      </c>
      <c r="AF240" s="804"/>
      <c r="AH240" s="804">
        <v>408</v>
      </c>
    </row>
    <row r="241" spans="1:34">
      <c r="A241" s="580"/>
      <c r="B241" s="580" t="s">
        <v>131</v>
      </c>
      <c r="C241" s="806">
        <f t="shared" si="202"/>
        <v>4.7441860465116281E-2</v>
      </c>
      <c r="D241" s="806">
        <f t="shared" si="200"/>
        <v>0</v>
      </c>
      <c r="E241" s="806">
        <f t="shared" si="200"/>
        <v>5.0535987748851458E-2</v>
      </c>
      <c r="F241" s="806">
        <f t="shared" si="200"/>
        <v>0.23773584905660378</v>
      </c>
      <c r="G241" s="806">
        <f t="shared" si="200"/>
        <v>0</v>
      </c>
      <c r="H241" s="806">
        <f t="shared" si="200"/>
        <v>0</v>
      </c>
      <c r="I241" s="624">
        <f t="shared" si="200"/>
        <v>6.1468866418307608E-2</v>
      </c>
      <c r="J241" s="624">
        <f t="shared" si="200"/>
        <v>0</v>
      </c>
      <c r="K241" s="625">
        <f t="shared" si="200"/>
        <v>0</v>
      </c>
      <c r="L241" s="625">
        <f t="shared" si="200"/>
        <v>0</v>
      </c>
      <c r="M241" s="625">
        <f t="shared" si="200"/>
        <v>0</v>
      </c>
      <c r="N241" s="624">
        <f t="shared" si="203"/>
        <v>0.15203955500618047</v>
      </c>
      <c r="O241" s="624">
        <f t="shared" si="201"/>
        <v>0</v>
      </c>
      <c r="P241" s="626">
        <f t="shared" si="201"/>
        <v>0</v>
      </c>
      <c r="Q241" s="624">
        <f t="shared" si="201"/>
        <v>1.2373453318335208E-2</v>
      </c>
      <c r="S241" s="349">
        <v>102</v>
      </c>
      <c r="U241" s="349">
        <v>66</v>
      </c>
      <c r="V241" s="349">
        <v>63</v>
      </c>
      <c r="Y241" s="804">
        <v>231</v>
      </c>
      <c r="Z241" s="804"/>
      <c r="AE241" s="804">
        <v>123</v>
      </c>
      <c r="AF241" s="804"/>
      <c r="AH241" s="804">
        <v>11</v>
      </c>
    </row>
    <row r="242" spans="1:34">
      <c r="A242" s="436"/>
      <c r="B242" s="436" t="s">
        <v>59</v>
      </c>
      <c r="C242" s="807">
        <f t="shared" si="202"/>
        <v>1</v>
      </c>
      <c r="D242" s="808">
        <f t="shared" si="200"/>
        <v>0</v>
      </c>
      <c r="E242" s="808">
        <f t="shared" si="200"/>
        <v>1</v>
      </c>
      <c r="F242" s="808">
        <f t="shared" si="200"/>
        <v>1</v>
      </c>
      <c r="G242" s="808">
        <f t="shared" si="200"/>
        <v>0</v>
      </c>
      <c r="H242" s="809">
        <f t="shared" si="200"/>
        <v>1</v>
      </c>
      <c r="I242" s="577">
        <f t="shared" si="200"/>
        <v>1</v>
      </c>
      <c r="J242" s="577">
        <f t="shared" si="200"/>
        <v>0</v>
      </c>
      <c r="K242" s="578">
        <f t="shared" si="200"/>
        <v>0</v>
      </c>
      <c r="L242" s="578">
        <f t="shared" si="200"/>
        <v>0</v>
      </c>
      <c r="M242" s="578">
        <f t="shared" si="200"/>
        <v>0</v>
      </c>
      <c r="N242" s="577">
        <f t="shared" si="203"/>
        <v>1</v>
      </c>
      <c r="O242" s="577">
        <f t="shared" si="201"/>
        <v>0</v>
      </c>
      <c r="P242" s="579">
        <f t="shared" si="201"/>
        <v>0</v>
      </c>
      <c r="Q242" s="577">
        <f t="shared" si="201"/>
        <v>1</v>
      </c>
      <c r="S242" s="349">
        <v>2150</v>
      </c>
      <c r="U242" s="349">
        <v>1306</v>
      </c>
      <c r="V242" s="349">
        <v>265</v>
      </c>
      <c r="X242" s="349">
        <v>37</v>
      </c>
      <c r="Y242" s="804">
        <v>3758</v>
      </c>
      <c r="Z242" s="804"/>
      <c r="AE242" s="804">
        <v>809</v>
      </c>
      <c r="AF242" s="804"/>
      <c r="AH242" s="804">
        <v>889</v>
      </c>
    </row>
    <row r="243" spans="1:34">
      <c r="A243" s="240" t="s">
        <v>149</v>
      </c>
      <c r="B243" s="240" t="s">
        <v>53</v>
      </c>
      <c r="C243" s="806">
        <f>IF(S$248&gt;0,(S243/S$248),0)</f>
        <v>0.33943383805134958</v>
      </c>
      <c r="D243" s="806">
        <f t="shared" ref="D243:M248" si="204">IF(T$248&gt;0,(T243/T$248),0)</f>
        <v>0.22510822510822512</v>
      </c>
      <c r="E243" s="806">
        <f t="shared" si="204"/>
        <v>0.30357142857142855</v>
      </c>
      <c r="F243" s="806">
        <f t="shared" si="204"/>
        <v>0.32213294375456536</v>
      </c>
      <c r="G243" s="806">
        <f t="shared" si="204"/>
        <v>0</v>
      </c>
      <c r="H243" s="806">
        <f t="shared" si="204"/>
        <v>0.20909090909090908</v>
      </c>
      <c r="I243" s="613">
        <f t="shared" si="204"/>
        <v>0.32014499460126483</v>
      </c>
      <c r="J243" s="613">
        <f t="shared" si="204"/>
        <v>0</v>
      </c>
      <c r="K243" s="614">
        <f t="shared" si="204"/>
        <v>0</v>
      </c>
      <c r="L243" s="614">
        <f t="shared" si="204"/>
        <v>0</v>
      </c>
      <c r="M243" s="614">
        <f t="shared" si="204"/>
        <v>0</v>
      </c>
      <c r="N243" s="613">
        <f>IF(AE$248&gt;0,(AE243/AE$248),0)</f>
        <v>0.22434367541766109</v>
      </c>
      <c r="O243" s="613">
        <f t="shared" ref="O243:Q248" si="205">IF(AF$248&gt;0,(AF243/AF$248),0)</f>
        <v>0</v>
      </c>
      <c r="P243" s="615">
        <f t="shared" si="205"/>
        <v>0</v>
      </c>
      <c r="Q243" s="613">
        <f t="shared" si="205"/>
        <v>0</v>
      </c>
      <c r="R243" s="799"/>
      <c r="S243" s="798">
        <v>2578</v>
      </c>
      <c r="T243" s="798">
        <v>208</v>
      </c>
      <c r="U243" s="798">
        <v>901</v>
      </c>
      <c r="V243" s="798">
        <v>441</v>
      </c>
      <c r="W243" s="798"/>
      <c r="X243" s="798">
        <v>23</v>
      </c>
      <c r="Y243" s="803">
        <v>4151</v>
      </c>
      <c r="Z243" s="803"/>
      <c r="AA243" s="798"/>
      <c r="AB243" s="798"/>
      <c r="AC243" s="798"/>
      <c r="AD243" s="798"/>
      <c r="AE243" s="803">
        <v>658</v>
      </c>
      <c r="AF243" s="803"/>
      <c r="AG243" s="798"/>
      <c r="AH243" s="803"/>
    </row>
    <row r="244" spans="1:34">
      <c r="A244" s="239"/>
      <c r="B244" s="239" t="s">
        <v>93</v>
      </c>
      <c r="C244" s="806">
        <f t="shared" ref="C244:C248" si="206">IF(S$248&gt;0,(S244/S$248),0)</f>
        <v>0.22988808426596444</v>
      </c>
      <c r="D244" s="806">
        <f t="shared" si="204"/>
        <v>0.34523809523809523</v>
      </c>
      <c r="E244" s="806">
        <f t="shared" si="204"/>
        <v>0.26583557951482478</v>
      </c>
      <c r="F244" s="806">
        <f t="shared" si="204"/>
        <v>0.24835646457268079</v>
      </c>
      <c r="G244" s="806">
        <f t="shared" si="204"/>
        <v>0</v>
      </c>
      <c r="H244" s="806">
        <f t="shared" si="204"/>
        <v>0.2818181818181818</v>
      </c>
      <c r="I244" s="624">
        <f t="shared" si="204"/>
        <v>0.24872744099953725</v>
      </c>
      <c r="J244" s="624">
        <f t="shared" si="204"/>
        <v>0</v>
      </c>
      <c r="K244" s="625">
        <f t="shared" si="204"/>
        <v>0</v>
      </c>
      <c r="L244" s="625">
        <f t="shared" si="204"/>
        <v>0</v>
      </c>
      <c r="M244" s="625">
        <f t="shared" si="204"/>
        <v>0</v>
      </c>
      <c r="N244" s="624">
        <f t="shared" ref="N244:N248" si="207">IF(AE$248&gt;0,(AE244/AE$248),0)</f>
        <v>4.9096488237299694E-2</v>
      </c>
      <c r="O244" s="624">
        <f t="shared" si="205"/>
        <v>0</v>
      </c>
      <c r="P244" s="626">
        <f t="shared" si="205"/>
        <v>0</v>
      </c>
      <c r="Q244" s="624">
        <f t="shared" si="205"/>
        <v>0</v>
      </c>
      <c r="S244" s="349">
        <v>1746</v>
      </c>
      <c r="T244" s="349">
        <v>319</v>
      </c>
      <c r="U244" s="349">
        <v>789</v>
      </c>
      <c r="V244" s="349">
        <v>340</v>
      </c>
      <c r="X244" s="349">
        <v>31</v>
      </c>
      <c r="Y244" s="804">
        <v>3225</v>
      </c>
      <c r="Z244" s="804"/>
      <c r="AE244" s="804">
        <v>144</v>
      </c>
      <c r="AF244" s="804"/>
      <c r="AH244" s="804"/>
    </row>
    <row r="245" spans="1:34">
      <c r="A245" s="239"/>
      <c r="B245" s="239" t="s">
        <v>55</v>
      </c>
      <c r="C245" s="806">
        <f t="shared" si="206"/>
        <v>0.22501645819618171</v>
      </c>
      <c r="D245" s="806">
        <f t="shared" si="204"/>
        <v>0.29870129870129869</v>
      </c>
      <c r="E245" s="806">
        <f t="shared" si="204"/>
        <v>0.25471698113207547</v>
      </c>
      <c r="F245" s="806">
        <f t="shared" si="204"/>
        <v>0.27392257121986852</v>
      </c>
      <c r="G245" s="806">
        <f t="shared" si="204"/>
        <v>0</v>
      </c>
      <c r="H245" s="806">
        <f t="shared" si="204"/>
        <v>0.41818181818181815</v>
      </c>
      <c r="I245" s="624">
        <f t="shared" si="204"/>
        <v>0.24386857936140677</v>
      </c>
      <c r="J245" s="624">
        <f t="shared" si="204"/>
        <v>0</v>
      </c>
      <c r="K245" s="625">
        <f t="shared" si="204"/>
        <v>0</v>
      </c>
      <c r="L245" s="625">
        <f t="shared" si="204"/>
        <v>0</v>
      </c>
      <c r="M245" s="625">
        <f t="shared" si="204"/>
        <v>0</v>
      </c>
      <c r="N245" s="624">
        <f t="shared" si="207"/>
        <v>6.5461984316399588E-2</v>
      </c>
      <c r="O245" s="624">
        <f t="shared" si="205"/>
        <v>0</v>
      </c>
      <c r="P245" s="626">
        <f t="shared" si="205"/>
        <v>0</v>
      </c>
      <c r="Q245" s="624">
        <f t="shared" si="205"/>
        <v>0</v>
      </c>
      <c r="S245" s="349">
        <v>1709</v>
      </c>
      <c r="T245" s="349">
        <v>276</v>
      </c>
      <c r="U245" s="349">
        <v>756</v>
      </c>
      <c r="V245" s="349">
        <v>375</v>
      </c>
      <c r="X245" s="349">
        <v>46</v>
      </c>
      <c r="Y245" s="804">
        <v>3162</v>
      </c>
      <c r="Z245" s="804"/>
      <c r="AE245" s="804">
        <v>192</v>
      </c>
      <c r="AF245" s="804"/>
      <c r="AH245" s="804"/>
    </row>
    <row r="246" spans="1:34">
      <c r="A246" s="239"/>
      <c r="B246" s="239" t="s">
        <v>78</v>
      </c>
      <c r="C246" s="806">
        <f t="shared" si="206"/>
        <v>3.6734693877551024E-2</v>
      </c>
      <c r="D246" s="806">
        <f t="shared" si="204"/>
        <v>8.8744588744588751E-2</v>
      </c>
      <c r="E246" s="806">
        <f t="shared" si="204"/>
        <v>8.3894878706199466E-2</v>
      </c>
      <c r="F246" s="806">
        <f t="shared" si="204"/>
        <v>4.6749452154857561E-2</v>
      </c>
      <c r="G246" s="806">
        <f t="shared" si="204"/>
        <v>0</v>
      </c>
      <c r="H246" s="806">
        <f t="shared" si="204"/>
        <v>9.0909090909090912E-2</v>
      </c>
      <c r="I246" s="624">
        <f t="shared" si="204"/>
        <v>5.2753354928273946E-2</v>
      </c>
      <c r="J246" s="624">
        <f t="shared" si="204"/>
        <v>0</v>
      </c>
      <c r="K246" s="625">
        <f t="shared" si="204"/>
        <v>0</v>
      </c>
      <c r="L246" s="625">
        <f t="shared" si="204"/>
        <v>0</v>
      </c>
      <c r="M246" s="625">
        <f t="shared" si="204"/>
        <v>0</v>
      </c>
      <c r="N246" s="624">
        <f t="shared" si="207"/>
        <v>0.26628025912035458</v>
      </c>
      <c r="O246" s="624">
        <f t="shared" si="205"/>
        <v>0</v>
      </c>
      <c r="P246" s="626">
        <f t="shared" si="205"/>
        <v>0</v>
      </c>
      <c r="Q246" s="624">
        <f t="shared" si="205"/>
        <v>0</v>
      </c>
      <c r="S246" s="349">
        <v>279</v>
      </c>
      <c r="T246" s="349">
        <v>82</v>
      </c>
      <c r="U246" s="349">
        <v>249</v>
      </c>
      <c r="V246" s="349">
        <v>64</v>
      </c>
      <c r="X246" s="349">
        <v>10</v>
      </c>
      <c r="Y246" s="804">
        <v>684</v>
      </c>
      <c r="Z246" s="804"/>
      <c r="AE246" s="804">
        <v>781</v>
      </c>
      <c r="AF246" s="804"/>
      <c r="AH246" s="804"/>
    </row>
    <row r="247" spans="1:34">
      <c r="A247" s="580"/>
      <c r="B247" s="580" t="s">
        <v>131</v>
      </c>
      <c r="C247" s="806">
        <f t="shared" si="206"/>
        <v>0.16892692560895325</v>
      </c>
      <c r="D247" s="806">
        <f t="shared" si="204"/>
        <v>4.2207792207792208E-2</v>
      </c>
      <c r="E247" s="806">
        <f t="shared" si="204"/>
        <v>9.1981132075471692E-2</v>
      </c>
      <c r="F247" s="806">
        <f t="shared" si="204"/>
        <v>0.10883856829802775</v>
      </c>
      <c r="G247" s="806">
        <f t="shared" si="204"/>
        <v>0</v>
      </c>
      <c r="H247" s="806">
        <f t="shared" si="204"/>
        <v>0</v>
      </c>
      <c r="I247" s="624">
        <f t="shared" si="204"/>
        <v>0.13450563010951719</v>
      </c>
      <c r="J247" s="624">
        <f t="shared" si="204"/>
        <v>0</v>
      </c>
      <c r="K247" s="625">
        <f t="shared" si="204"/>
        <v>0</v>
      </c>
      <c r="L247" s="625">
        <f t="shared" si="204"/>
        <v>0</v>
      </c>
      <c r="M247" s="625">
        <f t="shared" si="204"/>
        <v>0</v>
      </c>
      <c r="N247" s="624">
        <f t="shared" si="207"/>
        <v>0.39481759290828505</v>
      </c>
      <c r="O247" s="624">
        <f t="shared" si="205"/>
        <v>0</v>
      </c>
      <c r="P247" s="626">
        <f t="shared" si="205"/>
        <v>0</v>
      </c>
      <c r="Q247" s="624">
        <f t="shared" si="205"/>
        <v>0</v>
      </c>
      <c r="S247" s="349">
        <v>1283</v>
      </c>
      <c r="T247" s="349">
        <v>39</v>
      </c>
      <c r="U247" s="349">
        <v>273</v>
      </c>
      <c r="V247" s="349">
        <v>149</v>
      </c>
      <c r="Y247" s="804">
        <v>1744</v>
      </c>
      <c r="Z247" s="804"/>
      <c r="AE247" s="804">
        <v>1158</v>
      </c>
      <c r="AF247" s="804"/>
      <c r="AH247" s="804"/>
    </row>
    <row r="248" spans="1:34">
      <c r="A248" s="436"/>
      <c r="B248" s="436" t="s">
        <v>59</v>
      </c>
      <c r="C248" s="807">
        <f t="shared" si="206"/>
        <v>1</v>
      </c>
      <c r="D248" s="808">
        <f t="shared" si="204"/>
        <v>1</v>
      </c>
      <c r="E248" s="808">
        <f t="shared" si="204"/>
        <v>1</v>
      </c>
      <c r="F248" s="808">
        <f t="shared" si="204"/>
        <v>1</v>
      </c>
      <c r="G248" s="808">
        <f t="shared" si="204"/>
        <v>0</v>
      </c>
      <c r="H248" s="809">
        <f t="shared" si="204"/>
        <v>1</v>
      </c>
      <c r="I248" s="577">
        <f t="shared" si="204"/>
        <v>1</v>
      </c>
      <c r="J248" s="577">
        <f t="shared" si="204"/>
        <v>0</v>
      </c>
      <c r="K248" s="578">
        <f t="shared" si="204"/>
        <v>0</v>
      </c>
      <c r="L248" s="578">
        <f t="shared" si="204"/>
        <v>0</v>
      </c>
      <c r="M248" s="578">
        <f t="shared" si="204"/>
        <v>0</v>
      </c>
      <c r="N248" s="577">
        <f t="shared" si="207"/>
        <v>1</v>
      </c>
      <c r="O248" s="577">
        <f t="shared" si="205"/>
        <v>0</v>
      </c>
      <c r="P248" s="579">
        <f t="shared" si="205"/>
        <v>0</v>
      </c>
      <c r="Q248" s="577">
        <f t="shared" si="205"/>
        <v>0</v>
      </c>
      <c r="S248" s="349">
        <v>7595</v>
      </c>
      <c r="T248" s="349">
        <v>924</v>
      </c>
      <c r="U248" s="349">
        <v>2968</v>
      </c>
      <c r="V248" s="349">
        <v>1369</v>
      </c>
      <c r="X248" s="349">
        <v>110</v>
      </c>
      <c r="Y248" s="804">
        <v>12966</v>
      </c>
      <c r="Z248" s="804"/>
      <c r="AE248" s="804">
        <v>2933</v>
      </c>
      <c r="AF248" s="804"/>
      <c r="AH248" s="804"/>
    </row>
    <row r="249" spans="1:34">
      <c r="A249" s="240" t="s">
        <v>150</v>
      </c>
      <c r="B249" s="240" t="s">
        <v>53</v>
      </c>
      <c r="C249" s="806">
        <f>IF(S$254&gt;0,(S249/S$254),0)</f>
        <v>0.36844948676391143</v>
      </c>
      <c r="D249" s="806">
        <f t="shared" ref="D249:M254" si="208">IF(T$254&gt;0,(T249/T$254),0)</f>
        <v>0</v>
      </c>
      <c r="E249" s="806">
        <f t="shared" si="208"/>
        <v>0.33333333333333331</v>
      </c>
      <c r="F249" s="806">
        <f t="shared" si="208"/>
        <v>0.38691588785046727</v>
      </c>
      <c r="G249" s="806">
        <f t="shared" si="208"/>
        <v>0.40939597315436244</v>
      </c>
      <c r="H249" s="806">
        <f t="shared" si="208"/>
        <v>0.17222222222222222</v>
      </c>
      <c r="I249" s="613">
        <f t="shared" si="208"/>
        <v>0.35582402552997494</v>
      </c>
      <c r="J249" s="613">
        <f t="shared" si="208"/>
        <v>0</v>
      </c>
      <c r="K249" s="614">
        <f t="shared" si="208"/>
        <v>0</v>
      </c>
      <c r="L249" s="614">
        <f t="shared" si="208"/>
        <v>0</v>
      </c>
      <c r="M249" s="614">
        <f t="shared" si="208"/>
        <v>0</v>
      </c>
      <c r="N249" s="613">
        <f>IF(AE$254&gt;0,(AE249/AE$254),0)</f>
        <v>0</v>
      </c>
      <c r="O249" s="613">
        <f t="shared" ref="O249:Q254" si="209">IF(AF$254&gt;0,(AF249/AF$254),0)</f>
        <v>0</v>
      </c>
      <c r="P249" s="615">
        <f t="shared" si="209"/>
        <v>0</v>
      </c>
      <c r="Q249" s="613">
        <f t="shared" si="209"/>
        <v>0</v>
      </c>
      <c r="R249" s="799"/>
      <c r="S249" s="798">
        <v>682</v>
      </c>
      <c r="T249" s="798"/>
      <c r="U249" s="798">
        <v>458</v>
      </c>
      <c r="V249" s="798">
        <v>207</v>
      </c>
      <c r="W249" s="798">
        <v>183</v>
      </c>
      <c r="X249" s="798">
        <v>31</v>
      </c>
      <c r="Y249" s="803">
        <v>1561</v>
      </c>
      <c r="Z249" s="803"/>
      <c r="AA249" s="798"/>
      <c r="AB249" s="798"/>
      <c r="AC249" s="798"/>
      <c r="AD249" s="798"/>
      <c r="AE249" s="803"/>
      <c r="AF249" s="803"/>
      <c r="AG249" s="798"/>
      <c r="AH249" s="803"/>
    </row>
    <row r="250" spans="1:34">
      <c r="A250" s="239"/>
      <c r="B250" s="239" t="s">
        <v>93</v>
      </c>
      <c r="C250" s="806">
        <f t="shared" ref="C250:C254" si="210">IF(S$254&gt;0,(S250/S$254),0)</f>
        <v>0.27876823338735818</v>
      </c>
      <c r="D250" s="806">
        <f t="shared" si="208"/>
        <v>0</v>
      </c>
      <c r="E250" s="806">
        <f t="shared" si="208"/>
        <v>0.32168850072780203</v>
      </c>
      <c r="F250" s="806">
        <f t="shared" si="208"/>
        <v>0.27476635514018694</v>
      </c>
      <c r="G250" s="806">
        <f t="shared" si="208"/>
        <v>0.2348993288590604</v>
      </c>
      <c r="H250" s="806">
        <f t="shared" si="208"/>
        <v>0.37777777777777777</v>
      </c>
      <c r="I250" s="624">
        <f t="shared" si="208"/>
        <v>0.29131524960109412</v>
      </c>
      <c r="J250" s="624">
        <f t="shared" si="208"/>
        <v>0</v>
      </c>
      <c r="K250" s="625">
        <f t="shared" si="208"/>
        <v>0</v>
      </c>
      <c r="L250" s="625">
        <f t="shared" si="208"/>
        <v>0</v>
      </c>
      <c r="M250" s="625">
        <f t="shared" si="208"/>
        <v>0</v>
      </c>
      <c r="N250" s="624">
        <f t="shared" ref="N250:N254" si="211">IF(AE$254&gt;0,(AE250/AE$254),0)</f>
        <v>0</v>
      </c>
      <c r="O250" s="624">
        <f t="shared" si="209"/>
        <v>0</v>
      </c>
      <c r="P250" s="626">
        <f t="shared" si="209"/>
        <v>0</v>
      </c>
      <c r="Q250" s="624">
        <f t="shared" si="209"/>
        <v>0</v>
      </c>
      <c r="S250" s="349">
        <v>516</v>
      </c>
      <c r="U250" s="349">
        <v>442</v>
      </c>
      <c r="V250" s="349">
        <v>147</v>
      </c>
      <c r="W250" s="349">
        <v>105</v>
      </c>
      <c r="X250" s="349">
        <v>68</v>
      </c>
      <c r="Y250" s="804">
        <v>1278</v>
      </c>
      <c r="Z250" s="804"/>
      <c r="AE250" s="804"/>
      <c r="AF250" s="804"/>
      <c r="AH250" s="804"/>
    </row>
    <row r="251" spans="1:34">
      <c r="A251" s="239"/>
      <c r="B251" s="239" t="s">
        <v>55</v>
      </c>
      <c r="C251" s="806">
        <f t="shared" si="210"/>
        <v>0.17990275526742303</v>
      </c>
      <c r="D251" s="806">
        <f t="shared" si="208"/>
        <v>0</v>
      </c>
      <c r="E251" s="806">
        <f t="shared" si="208"/>
        <v>0.26419213973799127</v>
      </c>
      <c r="F251" s="806">
        <f t="shared" si="208"/>
        <v>0.2841121495327103</v>
      </c>
      <c r="G251" s="806">
        <f t="shared" si="208"/>
        <v>0.29306487695749439</v>
      </c>
      <c r="H251" s="806">
        <f t="shared" si="208"/>
        <v>0.15555555555555556</v>
      </c>
      <c r="I251" s="624">
        <f t="shared" si="208"/>
        <v>0.22954182812856166</v>
      </c>
      <c r="J251" s="624">
        <f t="shared" si="208"/>
        <v>0</v>
      </c>
      <c r="K251" s="625">
        <f t="shared" si="208"/>
        <v>0</v>
      </c>
      <c r="L251" s="625">
        <f t="shared" si="208"/>
        <v>0</v>
      </c>
      <c r="M251" s="625">
        <f t="shared" si="208"/>
        <v>0</v>
      </c>
      <c r="N251" s="624">
        <f t="shared" si="211"/>
        <v>0</v>
      </c>
      <c r="O251" s="624">
        <f t="shared" si="209"/>
        <v>0</v>
      </c>
      <c r="P251" s="626">
        <f t="shared" si="209"/>
        <v>0</v>
      </c>
      <c r="Q251" s="624">
        <f t="shared" si="209"/>
        <v>0</v>
      </c>
      <c r="S251" s="349">
        <v>333</v>
      </c>
      <c r="U251" s="349">
        <v>363</v>
      </c>
      <c r="V251" s="349">
        <v>152</v>
      </c>
      <c r="W251" s="349">
        <v>131</v>
      </c>
      <c r="X251" s="349">
        <v>28</v>
      </c>
      <c r="Y251" s="804">
        <v>1007</v>
      </c>
      <c r="Z251" s="804"/>
      <c r="AE251" s="804"/>
      <c r="AF251" s="804"/>
      <c r="AH251" s="804"/>
    </row>
    <row r="252" spans="1:34">
      <c r="A252" s="239"/>
      <c r="B252" s="239" t="s">
        <v>78</v>
      </c>
      <c r="C252" s="806">
        <f t="shared" si="210"/>
        <v>8.9141004862236625E-2</v>
      </c>
      <c r="D252" s="806">
        <f t="shared" si="208"/>
        <v>0</v>
      </c>
      <c r="E252" s="806">
        <f t="shared" si="208"/>
        <v>8.0058224163027658E-2</v>
      </c>
      <c r="F252" s="806">
        <f t="shared" si="208"/>
        <v>5.4205607476635512E-2</v>
      </c>
      <c r="G252" s="806">
        <f t="shared" si="208"/>
        <v>6.2639821029082776E-2</v>
      </c>
      <c r="H252" s="806">
        <f t="shared" si="208"/>
        <v>0.17777777777777778</v>
      </c>
      <c r="I252" s="624">
        <f t="shared" si="208"/>
        <v>8.2972418509231816E-2</v>
      </c>
      <c r="J252" s="624">
        <f t="shared" si="208"/>
        <v>0</v>
      </c>
      <c r="K252" s="625">
        <f t="shared" si="208"/>
        <v>0</v>
      </c>
      <c r="L252" s="625">
        <f t="shared" si="208"/>
        <v>0</v>
      </c>
      <c r="M252" s="625">
        <f t="shared" si="208"/>
        <v>0</v>
      </c>
      <c r="N252" s="624">
        <f t="shared" si="211"/>
        <v>4.7016274864376132E-3</v>
      </c>
      <c r="O252" s="624">
        <f t="shared" si="209"/>
        <v>0</v>
      </c>
      <c r="P252" s="626">
        <f t="shared" si="209"/>
        <v>0</v>
      </c>
      <c r="Q252" s="624">
        <f t="shared" si="209"/>
        <v>0</v>
      </c>
      <c r="S252" s="349">
        <v>165</v>
      </c>
      <c r="U252" s="349">
        <v>110</v>
      </c>
      <c r="V252" s="349">
        <v>29</v>
      </c>
      <c r="W252" s="349">
        <v>28</v>
      </c>
      <c r="X252" s="349">
        <v>32</v>
      </c>
      <c r="Y252" s="804">
        <v>364</v>
      </c>
      <c r="Z252" s="804"/>
      <c r="AE252" s="804">
        <v>13</v>
      </c>
      <c r="AF252" s="804"/>
      <c r="AH252" s="804"/>
    </row>
    <row r="253" spans="1:34">
      <c r="A253" s="580"/>
      <c r="B253" s="580" t="s">
        <v>131</v>
      </c>
      <c r="C253" s="806">
        <f t="shared" si="210"/>
        <v>8.3738519719070773E-2</v>
      </c>
      <c r="D253" s="806">
        <f t="shared" si="208"/>
        <v>0</v>
      </c>
      <c r="E253" s="806">
        <f t="shared" si="208"/>
        <v>7.27802037845706E-4</v>
      </c>
      <c r="F253" s="806">
        <f t="shared" si="208"/>
        <v>0</v>
      </c>
      <c r="G253" s="806">
        <f t="shared" si="208"/>
        <v>0</v>
      </c>
      <c r="H253" s="806">
        <f t="shared" si="208"/>
        <v>0.11666666666666667</v>
      </c>
      <c r="I253" s="624">
        <f t="shared" si="208"/>
        <v>4.0346478231137455E-2</v>
      </c>
      <c r="J253" s="624">
        <f t="shared" si="208"/>
        <v>0</v>
      </c>
      <c r="K253" s="625">
        <f t="shared" si="208"/>
        <v>0</v>
      </c>
      <c r="L253" s="625">
        <f t="shared" si="208"/>
        <v>0</v>
      </c>
      <c r="M253" s="625">
        <f t="shared" si="208"/>
        <v>0</v>
      </c>
      <c r="N253" s="624">
        <f t="shared" si="211"/>
        <v>0.99529837251356235</v>
      </c>
      <c r="O253" s="624">
        <f t="shared" si="209"/>
        <v>0</v>
      </c>
      <c r="P253" s="626">
        <f t="shared" si="209"/>
        <v>0</v>
      </c>
      <c r="Q253" s="624">
        <f t="shared" si="209"/>
        <v>0</v>
      </c>
      <c r="S253" s="349">
        <v>155</v>
      </c>
      <c r="U253" s="349">
        <v>1</v>
      </c>
      <c r="X253" s="349">
        <v>21</v>
      </c>
      <c r="Y253" s="804">
        <v>177</v>
      </c>
      <c r="Z253" s="804"/>
      <c r="AE253" s="804">
        <v>2752</v>
      </c>
      <c r="AF253" s="804"/>
      <c r="AH253" s="804"/>
    </row>
    <row r="254" spans="1:34">
      <c r="A254" s="436"/>
      <c r="B254" s="436" t="s">
        <v>59</v>
      </c>
      <c r="C254" s="807">
        <f t="shared" si="210"/>
        <v>1</v>
      </c>
      <c r="D254" s="808">
        <f t="shared" si="208"/>
        <v>0</v>
      </c>
      <c r="E254" s="808">
        <f t="shared" si="208"/>
        <v>1</v>
      </c>
      <c r="F254" s="808">
        <f t="shared" si="208"/>
        <v>1</v>
      </c>
      <c r="G254" s="808">
        <f t="shared" si="208"/>
        <v>1</v>
      </c>
      <c r="H254" s="809">
        <f t="shared" si="208"/>
        <v>1</v>
      </c>
      <c r="I254" s="577">
        <f t="shared" si="208"/>
        <v>1</v>
      </c>
      <c r="J254" s="577">
        <f t="shared" si="208"/>
        <v>0</v>
      </c>
      <c r="K254" s="578">
        <f t="shared" si="208"/>
        <v>0</v>
      </c>
      <c r="L254" s="578">
        <f t="shared" si="208"/>
        <v>0</v>
      </c>
      <c r="M254" s="578">
        <f t="shared" si="208"/>
        <v>0</v>
      </c>
      <c r="N254" s="577">
        <f t="shared" si="211"/>
        <v>1</v>
      </c>
      <c r="O254" s="577">
        <f t="shared" si="209"/>
        <v>0</v>
      </c>
      <c r="P254" s="579">
        <f t="shared" si="209"/>
        <v>0</v>
      </c>
      <c r="Q254" s="577">
        <f t="shared" si="209"/>
        <v>0</v>
      </c>
      <c r="S254" s="349">
        <v>1851</v>
      </c>
      <c r="U254" s="349">
        <v>1374</v>
      </c>
      <c r="V254" s="349">
        <v>535</v>
      </c>
      <c r="W254" s="349">
        <v>447</v>
      </c>
      <c r="X254" s="349">
        <v>180</v>
      </c>
      <c r="Y254" s="804">
        <v>4387</v>
      </c>
      <c r="Z254" s="804"/>
      <c r="AE254" s="804">
        <v>2765</v>
      </c>
      <c r="AF254" s="804"/>
      <c r="AH254" s="804"/>
    </row>
    <row r="255" spans="1:34">
      <c r="A255" s="240" t="s">
        <v>151</v>
      </c>
      <c r="B255" s="240" t="s">
        <v>53</v>
      </c>
      <c r="C255" s="806">
        <f>IF(S$260&gt;0,(S255/S$260),0)</f>
        <v>0.27619047619047621</v>
      </c>
      <c r="D255" s="806">
        <f t="shared" ref="D255:M260" si="212">IF(T$260&gt;0,(T255/T$260),0)</f>
        <v>0.25925925925925924</v>
      </c>
      <c r="E255" s="806">
        <f t="shared" si="212"/>
        <v>0.3394255874673629</v>
      </c>
      <c r="F255" s="806">
        <f t="shared" si="212"/>
        <v>0.38169257340241797</v>
      </c>
      <c r="G255" s="806">
        <f t="shared" si="212"/>
        <v>0.23972602739726026</v>
      </c>
      <c r="H255" s="806">
        <f t="shared" si="212"/>
        <v>0.28054298642533937</v>
      </c>
      <c r="I255" s="613">
        <f t="shared" si="212"/>
        <v>0.29893428063943162</v>
      </c>
      <c r="J255" s="613">
        <f t="shared" si="212"/>
        <v>0</v>
      </c>
      <c r="K255" s="614">
        <f t="shared" si="212"/>
        <v>0</v>
      </c>
      <c r="L255" s="614">
        <f t="shared" si="212"/>
        <v>0</v>
      </c>
      <c r="M255" s="614">
        <f t="shared" si="212"/>
        <v>0</v>
      </c>
      <c r="N255" s="613">
        <f>IF(AE$260&gt;0,(AE255/AE$260),0)</f>
        <v>0.15210932857991682</v>
      </c>
      <c r="O255" s="613">
        <f t="shared" ref="O255:Q260" si="213">IF(AF$260&gt;0,(AF255/AF$260),0)</f>
        <v>0</v>
      </c>
      <c r="P255" s="615">
        <f t="shared" si="213"/>
        <v>0</v>
      </c>
      <c r="Q255" s="613">
        <f t="shared" si="213"/>
        <v>0</v>
      </c>
      <c r="R255" s="799"/>
      <c r="S255" s="798">
        <v>377</v>
      </c>
      <c r="T255" s="798">
        <v>406</v>
      </c>
      <c r="U255" s="798">
        <v>520</v>
      </c>
      <c r="V255" s="798">
        <v>221</v>
      </c>
      <c r="W255" s="798">
        <v>35</v>
      </c>
      <c r="X255" s="798">
        <v>124</v>
      </c>
      <c r="Y255" s="803">
        <v>1683</v>
      </c>
      <c r="Z255" s="803"/>
      <c r="AA255" s="798"/>
      <c r="AB255" s="798"/>
      <c r="AC255" s="798"/>
      <c r="AD255" s="798"/>
      <c r="AE255" s="803">
        <v>256</v>
      </c>
      <c r="AF255" s="803"/>
      <c r="AG255" s="798"/>
      <c r="AH255" s="803"/>
    </row>
    <row r="256" spans="1:34">
      <c r="A256" s="239"/>
      <c r="B256" s="239" t="s">
        <v>93</v>
      </c>
      <c r="C256" s="806">
        <f t="shared" ref="C256:C260" si="214">IF(S$260&gt;0,(S256/S$260),0)</f>
        <v>0.31062271062271063</v>
      </c>
      <c r="D256" s="806">
        <f t="shared" si="212"/>
        <v>0.31928480204342274</v>
      </c>
      <c r="E256" s="806">
        <f t="shared" si="212"/>
        <v>0.23368146214099217</v>
      </c>
      <c r="F256" s="806">
        <f t="shared" si="212"/>
        <v>0.20552677029360966</v>
      </c>
      <c r="G256" s="806">
        <f t="shared" si="212"/>
        <v>0.21232876712328766</v>
      </c>
      <c r="H256" s="806">
        <f t="shared" si="212"/>
        <v>0.21719457013574661</v>
      </c>
      <c r="I256" s="624">
        <f t="shared" si="212"/>
        <v>0.2714031971580817</v>
      </c>
      <c r="J256" s="624">
        <f t="shared" si="212"/>
        <v>0</v>
      </c>
      <c r="K256" s="625">
        <f t="shared" si="212"/>
        <v>0</v>
      </c>
      <c r="L256" s="625">
        <f t="shared" si="212"/>
        <v>0</v>
      </c>
      <c r="M256" s="625">
        <f t="shared" si="212"/>
        <v>0</v>
      </c>
      <c r="N256" s="624">
        <f t="shared" ref="N256:N260" si="215">IF(AE$260&gt;0,(AE256/AE$260),0)</f>
        <v>0.11764705882352941</v>
      </c>
      <c r="O256" s="624">
        <f t="shared" si="213"/>
        <v>0</v>
      </c>
      <c r="P256" s="626">
        <f t="shared" si="213"/>
        <v>0</v>
      </c>
      <c r="Q256" s="624">
        <f t="shared" si="213"/>
        <v>0</v>
      </c>
      <c r="S256" s="349">
        <v>424</v>
      </c>
      <c r="T256" s="349">
        <v>500</v>
      </c>
      <c r="U256" s="349">
        <v>358</v>
      </c>
      <c r="V256" s="349">
        <v>119</v>
      </c>
      <c r="W256" s="349">
        <v>31</v>
      </c>
      <c r="X256" s="349">
        <v>96</v>
      </c>
      <c r="Y256" s="804">
        <v>1528</v>
      </c>
      <c r="Z256" s="804"/>
      <c r="AE256" s="804">
        <v>198</v>
      </c>
      <c r="AF256" s="804"/>
      <c r="AH256" s="804"/>
    </row>
    <row r="257" spans="1:34">
      <c r="A257" s="239"/>
      <c r="B257" s="239" t="s">
        <v>55</v>
      </c>
      <c r="C257" s="806">
        <f t="shared" si="214"/>
        <v>0.27619047619047621</v>
      </c>
      <c r="D257" s="806">
        <f t="shared" si="212"/>
        <v>0.28160919540229884</v>
      </c>
      <c r="E257" s="806">
        <f t="shared" si="212"/>
        <v>0.18015665796344649</v>
      </c>
      <c r="F257" s="806">
        <f t="shared" si="212"/>
        <v>0.22970639032815199</v>
      </c>
      <c r="G257" s="806">
        <f t="shared" si="212"/>
        <v>0.4726027397260274</v>
      </c>
      <c r="H257" s="806">
        <f t="shared" si="212"/>
        <v>0.36651583710407237</v>
      </c>
      <c r="I257" s="624">
        <f t="shared" si="212"/>
        <v>0.25896980461811725</v>
      </c>
      <c r="J257" s="624">
        <f t="shared" si="212"/>
        <v>0</v>
      </c>
      <c r="K257" s="625">
        <f t="shared" si="212"/>
        <v>0</v>
      </c>
      <c r="L257" s="625">
        <f t="shared" si="212"/>
        <v>0</v>
      </c>
      <c r="M257" s="625">
        <f t="shared" si="212"/>
        <v>0</v>
      </c>
      <c r="N257" s="624">
        <f t="shared" si="215"/>
        <v>0.11705288175876412</v>
      </c>
      <c r="O257" s="624">
        <f t="shared" si="213"/>
        <v>0</v>
      </c>
      <c r="P257" s="626">
        <f t="shared" si="213"/>
        <v>0</v>
      </c>
      <c r="Q257" s="624">
        <f t="shared" si="213"/>
        <v>0</v>
      </c>
      <c r="S257" s="349">
        <v>377</v>
      </c>
      <c r="T257" s="349">
        <v>441</v>
      </c>
      <c r="U257" s="349">
        <v>276</v>
      </c>
      <c r="V257" s="349">
        <v>133</v>
      </c>
      <c r="W257" s="349">
        <v>69</v>
      </c>
      <c r="X257" s="349">
        <v>162</v>
      </c>
      <c r="Y257" s="804">
        <v>1458</v>
      </c>
      <c r="Z257" s="804"/>
      <c r="AE257" s="804">
        <v>197</v>
      </c>
      <c r="AF257" s="804"/>
      <c r="AH257" s="804"/>
    </row>
    <row r="258" spans="1:34">
      <c r="A258" s="239"/>
      <c r="B258" s="239" t="s">
        <v>78</v>
      </c>
      <c r="C258" s="806">
        <f t="shared" si="214"/>
        <v>5.9340659340659338E-2</v>
      </c>
      <c r="D258" s="806">
        <f t="shared" si="212"/>
        <v>3.5759897828863345E-2</v>
      </c>
      <c r="E258" s="806">
        <f t="shared" si="212"/>
        <v>0.21409921671018275</v>
      </c>
      <c r="F258" s="806">
        <f t="shared" si="212"/>
        <v>0.17962003454231434</v>
      </c>
      <c r="G258" s="806">
        <f t="shared" si="212"/>
        <v>7.5342465753424653E-2</v>
      </c>
      <c r="H258" s="806">
        <f t="shared" si="212"/>
        <v>0.13574660633484162</v>
      </c>
      <c r="I258" s="624">
        <f t="shared" si="212"/>
        <v>0.11367673179396093</v>
      </c>
      <c r="J258" s="624">
        <f t="shared" si="212"/>
        <v>0</v>
      </c>
      <c r="K258" s="625">
        <f t="shared" si="212"/>
        <v>0</v>
      </c>
      <c r="L258" s="625">
        <f t="shared" si="212"/>
        <v>0</v>
      </c>
      <c r="M258" s="625">
        <f t="shared" si="212"/>
        <v>0</v>
      </c>
      <c r="N258" s="624">
        <f t="shared" si="215"/>
        <v>0.30778371954842543</v>
      </c>
      <c r="O258" s="624">
        <f t="shared" si="213"/>
        <v>0</v>
      </c>
      <c r="P258" s="626">
        <f t="shared" si="213"/>
        <v>0</v>
      </c>
      <c r="Q258" s="624">
        <f t="shared" si="213"/>
        <v>0</v>
      </c>
      <c r="S258" s="349">
        <v>81</v>
      </c>
      <c r="T258" s="349">
        <v>56</v>
      </c>
      <c r="U258" s="349">
        <v>328</v>
      </c>
      <c r="V258" s="349">
        <v>104</v>
      </c>
      <c r="W258" s="349">
        <v>11</v>
      </c>
      <c r="X258" s="349">
        <v>60</v>
      </c>
      <c r="Y258" s="804">
        <v>640</v>
      </c>
      <c r="Z258" s="804"/>
      <c r="AE258" s="804">
        <v>518</v>
      </c>
      <c r="AF258" s="804"/>
      <c r="AH258" s="804"/>
    </row>
    <row r="259" spans="1:34">
      <c r="A259" s="580"/>
      <c r="B259" s="580" t="s">
        <v>131</v>
      </c>
      <c r="C259" s="806">
        <f t="shared" si="214"/>
        <v>7.7655677655677657E-2</v>
      </c>
      <c r="D259" s="806">
        <f t="shared" si="212"/>
        <v>0.10408684546615581</v>
      </c>
      <c r="E259" s="806">
        <f t="shared" si="212"/>
        <v>3.2637075718015669E-2</v>
      </c>
      <c r="F259" s="806">
        <f t="shared" si="212"/>
        <v>3.4542314335060447E-3</v>
      </c>
      <c r="G259" s="806">
        <f t="shared" si="212"/>
        <v>0</v>
      </c>
      <c r="H259" s="806">
        <f t="shared" si="212"/>
        <v>0</v>
      </c>
      <c r="I259" s="624">
        <f t="shared" si="212"/>
        <v>5.7015985790408528E-2</v>
      </c>
      <c r="J259" s="624">
        <f t="shared" si="212"/>
        <v>0</v>
      </c>
      <c r="K259" s="625">
        <f t="shared" si="212"/>
        <v>0</v>
      </c>
      <c r="L259" s="625">
        <f t="shared" si="212"/>
        <v>0</v>
      </c>
      <c r="M259" s="625">
        <f t="shared" si="212"/>
        <v>0</v>
      </c>
      <c r="N259" s="624">
        <f t="shared" si="215"/>
        <v>0.30540701128936421</v>
      </c>
      <c r="O259" s="624">
        <f t="shared" si="213"/>
        <v>0</v>
      </c>
      <c r="P259" s="626">
        <f t="shared" si="213"/>
        <v>0</v>
      </c>
      <c r="Q259" s="624">
        <f t="shared" si="213"/>
        <v>1</v>
      </c>
      <c r="S259" s="349">
        <v>106</v>
      </c>
      <c r="T259" s="349">
        <v>163</v>
      </c>
      <c r="U259" s="349">
        <v>50</v>
      </c>
      <c r="V259" s="349">
        <v>2</v>
      </c>
      <c r="Y259" s="804">
        <v>321</v>
      </c>
      <c r="Z259" s="804"/>
      <c r="AE259" s="804">
        <v>514</v>
      </c>
      <c r="AF259" s="804"/>
      <c r="AH259" s="804">
        <v>16</v>
      </c>
    </row>
    <row r="260" spans="1:34">
      <c r="A260" s="436"/>
      <c r="B260" s="436" t="s">
        <v>59</v>
      </c>
      <c r="C260" s="807">
        <f t="shared" si="214"/>
        <v>1</v>
      </c>
      <c r="D260" s="808">
        <f t="shared" si="212"/>
        <v>1</v>
      </c>
      <c r="E260" s="808">
        <f t="shared" si="212"/>
        <v>1</v>
      </c>
      <c r="F260" s="808">
        <f t="shared" si="212"/>
        <v>1</v>
      </c>
      <c r="G260" s="808">
        <f t="shared" si="212"/>
        <v>1</v>
      </c>
      <c r="H260" s="809">
        <f t="shared" si="212"/>
        <v>1</v>
      </c>
      <c r="I260" s="577">
        <f t="shared" si="212"/>
        <v>1</v>
      </c>
      <c r="J260" s="577">
        <f t="shared" si="212"/>
        <v>0</v>
      </c>
      <c r="K260" s="578">
        <f t="shared" si="212"/>
        <v>0</v>
      </c>
      <c r="L260" s="578">
        <f t="shared" si="212"/>
        <v>0</v>
      </c>
      <c r="M260" s="578">
        <f t="shared" si="212"/>
        <v>0</v>
      </c>
      <c r="N260" s="577">
        <f t="shared" si="215"/>
        <v>1</v>
      </c>
      <c r="O260" s="577">
        <f t="shared" si="213"/>
        <v>0</v>
      </c>
      <c r="P260" s="579">
        <f t="shared" si="213"/>
        <v>0</v>
      </c>
      <c r="Q260" s="577">
        <f t="shared" si="213"/>
        <v>1</v>
      </c>
      <c r="S260" s="349">
        <v>1365</v>
      </c>
      <c r="T260" s="349">
        <v>1566</v>
      </c>
      <c r="U260" s="349">
        <v>1532</v>
      </c>
      <c r="V260" s="349">
        <v>579</v>
      </c>
      <c r="W260" s="349">
        <v>146</v>
      </c>
      <c r="X260" s="349">
        <v>442</v>
      </c>
      <c r="Y260" s="804">
        <v>5630</v>
      </c>
      <c r="Z260" s="804"/>
      <c r="AE260" s="804">
        <v>1683</v>
      </c>
      <c r="AF260" s="804"/>
      <c r="AH260" s="804">
        <v>16</v>
      </c>
    </row>
    <row r="261" spans="1:34">
      <c r="A261" s="240" t="s">
        <v>154</v>
      </c>
      <c r="B261" s="240" t="s">
        <v>53</v>
      </c>
      <c r="C261" s="806">
        <f>IF(S$266&gt;0,(S261/S$266),0)</f>
        <v>0.39501779359430605</v>
      </c>
      <c r="D261" s="806">
        <f t="shared" ref="D261:M266" si="216">IF(T$266&gt;0,(T261/T$266),0)</f>
        <v>0</v>
      </c>
      <c r="E261" s="806">
        <f t="shared" si="216"/>
        <v>0.30888888888888888</v>
      </c>
      <c r="F261" s="806">
        <f t="shared" si="216"/>
        <v>0.33080808080808083</v>
      </c>
      <c r="G261" s="806">
        <f t="shared" si="216"/>
        <v>0.46153846153846156</v>
      </c>
      <c r="H261" s="806">
        <f t="shared" si="216"/>
        <v>0</v>
      </c>
      <c r="I261" s="613">
        <f t="shared" si="216"/>
        <v>0.3702664796633941</v>
      </c>
      <c r="J261" s="613">
        <f t="shared" si="216"/>
        <v>0</v>
      </c>
      <c r="K261" s="614">
        <f t="shared" si="216"/>
        <v>0</v>
      </c>
      <c r="L261" s="614">
        <f t="shared" si="216"/>
        <v>0</v>
      </c>
      <c r="M261" s="614">
        <f t="shared" si="216"/>
        <v>0</v>
      </c>
      <c r="N261" s="613">
        <f>IF(AE$266&gt;0,(AE261/AE$266),0)</f>
        <v>1.9646365422396855E-3</v>
      </c>
      <c r="O261" s="613">
        <f t="shared" ref="O261:Q266" si="217">IF(AF$266&gt;0,(AF261/AF$266),0)</f>
        <v>0</v>
      </c>
      <c r="P261" s="615">
        <f t="shared" si="217"/>
        <v>0</v>
      </c>
      <c r="Q261" s="613">
        <f t="shared" si="217"/>
        <v>0</v>
      </c>
      <c r="R261" s="799"/>
      <c r="S261" s="798">
        <v>444</v>
      </c>
      <c r="T261" s="798"/>
      <c r="U261" s="798">
        <v>139</v>
      </c>
      <c r="V261" s="798">
        <v>131</v>
      </c>
      <c r="W261" s="798">
        <v>78</v>
      </c>
      <c r="X261" s="798"/>
      <c r="Y261" s="803">
        <v>792</v>
      </c>
      <c r="Z261" s="803"/>
      <c r="AA261" s="798"/>
      <c r="AB261" s="798"/>
      <c r="AC261" s="798"/>
      <c r="AD261" s="798"/>
      <c r="AE261" s="803">
        <v>2</v>
      </c>
      <c r="AF261" s="803"/>
      <c r="AG261" s="798"/>
      <c r="AH261" s="803"/>
    </row>
    <row r="262" spans="1:34">
      <c r="A262" s="239"/>
      <c r="B262" s="239" t="s">
        <v>93</v>
      </c>
      <c r="C262" s="806">
        <f t="shared" ref="C262:C266" si="218">IF(S$266&gt;0,(S262/S$266),0)</f>
        <v>0.26156583629893237</v>
      </c>
      <c r="D262" s="806">
        <f t="shared" si="216"/>
        <v>0</v>
      </c>
      <c r="E262" s="806">
        <f t="shared" si="216"/>
        <v>0.3288888888888889</v>
      </c>
      <c r="F262" s="806">
        <f t="shared" si="216"/>
        <v>0.25252525252525254</v>
      </c>
      <c r="G262" s="806">
        <f t="shared" si="216"/>
        <v>0.17751479289940827</v>
      </c>
      <c r="H262" s="806">
        <f t="shared" si="216"/>
        <v>0</v>
      </c>
      <c r="I262" s="624">
        <f t="shared" si="216"/>
        <v>0.26741467975689576</v>
      </c>
      <c r="J262" s="624">
        <f t="shared" si="216"/>
        <v>0</v>
      </c>
      <c r="K262" s="625">
        <f t="shared" si="216"/>
        <v>0</v>
      </c>
      <c r="L262" s="625">
        <f t="shared" si="216"/>
        <v>0</v>
      </c>
      <c r="M262" s="625">
        <f t="shared" si="216"/>
        <v>0</v>
      </c>
      <c r="N262" s="624">
        <f t="shared" ref="N262:N266" si="219">IF(AE$266&gt;0,(AE262/AE$266),0)</f>
        <v>9.8231827111984276E-4</v>
      </c>
      <c r="O262" s="624">
        <f t="shared" si="217"/>
        <v>0</v>
      </c>
      <c r="P262" s="626">
        <f t="shared" si="217"/>
        <v>0</v>
      </c>
      <c r="Q262" s="624">
        <f t="shared" si="217"/>
        <v>0</v>
      </c>
      <c r="S262" s="349">
        <v>294</v>
      </c>
      <c r="U262" s="349">
        <v>148</v>
      </c>
      <c r="V262" s="349">
        <v>100</v>
      </c>
      <c r="W262" s="349">
        <v>30</v>
      </c>
      <c r="Y262" s="804">
        <v>572</v>
      </c>
      <c r="Z262" s="804"/>
      <c r="AE262" s="804">
        <v>1</v>
      </c>
      <c r="AF262" s="804"/>
      <c r="AH262" s="804"/>
    </row>
    <row r="263" spans="1:34">
      <c r="A263" s="239"/>
      <c r="B263" s="239" t="s">
        <v>55</v>
      </c>
      <c r="C263" s="806">
        <f t="shared" si="218"/>
        <v>0.20729537366548043</v>
      </c>
      <c r="D263" s="806">
        <f t="shared" si="216"/>
        <v>0</v>
      </c>
      <c r="E263" s="806">
        <f t="shared" si="216"/>
        <v>0.21555555555555556</v>
      </c>
      <c r="F263" s="806">
        <f t="shared" si="216"/>
        <v>0.24242424242424243</v>
      </c>
      <c r="G263" s="806">
        <f t="shared" si="216"/>
        <v>0.23668639053254437</v>
      </c>
      <c r="H263" s="806">
        <f t="shared" si="216"/>
        <v>0</v>
      </c>
      <c r="I263" s="624">
        <f t="shared" si="216"/>
        <v>0.21785881252921926</v>
      </c>
      <c r="J263" s="624">
        <f t="shared" si="216"/>
        <v>0</v>
      </c>
      <c r="K263" s="625">
        <f t="shared" si="216"/>
        <v>0</v>
      </c>
      <c r="L263" s="625">
        <f t="shared" si="216"/>
        <v>0</v>
      </c>
      <c r="M263" s="625">
        <f t="shared" si="216"/>
        <v>0</v>
      </c>
      <c r="N263" s="624">
        <f t="shared" si="219"/>
        <v>9.823182711198428E-3</v>
      </c>
      <c r="O263" s="624">
        <f t="shared" si="217"/>
        <v>0</v>
      </c>
      <c r="P263" s="626">
        <f t="shared" si="217"/>
        <v>0</v>
      </c>
      <c r="Q263" s="624">
        <f t="shared" si="217"/>
        <v>0</v>
      </c>
      <c r="S263" s="349">
        <v>233</v>
      </c>
      <c r="U263" s="349">
        <v>97</v>
      </c>
      <c r="V263" s="349">
        <v>96</v>
      </c>
      <c r="W263" s="349">
        <v>40</v>
      </c>
      <c r="Y263" s="804">
        <v>466</v>
      </c>
      <c r="Z263" s="804"/>
      <c r="AE263" s="804">
        <v>10</v>
      </c>
      <c r="AF263" s="804"/>
      <c r="AH263" s="804"/>
    </row>
    <row r="264" spans="1:34">
      <c r="A264" s="239"/>
      <c r="B264" s="239" t="s">
        <v>78</v>
      </c>
      <c r="C264" s="806">
        <f t="shared" si="218"/>
        <v>0</v>
      </c>
      <c r="D264" s="806">
        <f t="shared" si="216"/>
        <v>0</v>
      </c>
      <c r="E264" s="806">
        <f t="shared" si="216"/>
        <v>9.7777777777777783E-2</v>
      </c>
      <c r="F264" s="806">
        <f t="shared" si="216"/>
        <v>1.5151515151515152E-2</v>
      </c>
      <c r="G264" s="806">
        <f t="shared" si="216"/>
        <v>0.1242603550295858</v>
      </c>
      <c r="H264" s="806">
        <f t="shared" si="216"/>
        <v>0</v>
      </c>
      <c r="I264" s="624">
        <f t="shared" si="216"/>
        <v>3.3193080878915378E-2</v>
      </c>
      <c r="J264" s="624">
        <f t="shared" si="216"/>
        <v>0</v>
      </c>
      <c r="K264" s="625">
        <f t="shared" si="216"/>
        <v>0</v>
      </c>
      <c r="L264" s="625">
        <f t="shared" si="216"/>
        <v>0</v>
      </c>
      <c r="M264" s="625">
        <f t="shared" si="216"/>
        <v>0</v>
      </c>
      <c r="N264" s="624">
        <f t="shared" si="219"/>
        <v>0.24852652259332023</v>
      </c>
      <c r="O264" s="624">
        <f t="shared" si="217"/>
        <v>0</v>
      </c>
      <c r="P264" s="626">
        <f t="shared" si="217"/>
        <v>0</v>
      </c>
      <c r="Q264" s="624">
        <f t="shared" si="217"/>
        <v>0</v>
      </c>
      <c r="U264" s="349">
        <v>44</v>
      </c>
      <c r="V264" s="349">
        <v>6</v>
      </c>
      <c r="W264" s="349">
        <v>21</v>
      </c>
      <c r="Y264" s="804">
        <v>71</v>
      </c>
      <c r="Z264" s="804"/>
      <c r="AE264" s="804">
        <v>253</v>
      </c>
      <c r="AF264" s="804"/>
      <c r="AH264" s="804"/>
    </row>
    <row r="265" spans="1:34">
      <c r="A265" s="580"/>
      <c r="B265" s="580" t="s">
        <v>131</v>
      </c>
      <c r="C265" s="806">
        <f t="shared" si="218"/>
        <v>0.13612099644128114</v>
      </c>
      <c r="D265" s="806">
        <f t="shared" si="216"/>
        <v>0</v>
      </c>
      <c r="E265" s="806">
        <f t="shared" si="216"/>
        <v>4.8888888888888891E-2</v>
      </c>
      <c r="F265" s="806">
        <f t="shared" si="216"/>
        <v>0.15909090909090909</v>
      </c>
      <c r="G265" s="806">
        <f t="shared" si="216"/>
        <v>0</v>
      </c>
      <c r="H265" s="806">
        <f t="shared" si="216"/>
        <v>0</v>
      </c>
      <c r="I265" s="624">
        <f t="shared" si="216"/>
        <v>0.11126694717157551</v>
      </c>
      <c r="J265" s="624">
        <f t="shared" si="216"/>
        <v>0</v>
      </c>
      <c r="K265" s="625">
        <f t="shared" si="216"/>
        <v>0</v>
      </c>
      <c r="L265" s="625">
        <f t="shared" si="216"/>
        <v>0</v>
      </c>
      <c r="M265" s="625">
        <f t="shared" si="216"/>
        <v>0</v>
      </c>
      <c r="N265" s="624">
        <f t="shared" si="219"/>
        <v>0.73870333988212178</v>
      </c>
      <c r="O265" s="624">
        <f t="shared" si="217"/>
        <v>0</v>
      </c>
      <c r="P265" s="626">
        <f t="shared" si="217"/>
        <v>0</v>
      </c>
      <c r="Q265" s="624">
        <f t="shared" si="217"/>
        <v>0</v>
      </c>
      <c r="S265" s="349">
        <v>153</v>
      </c>
      <c r="U265" s="349">
        <v>22</v>
      </c>
      <c r="V265" s="349">
        <v>63</v>
      </c>
      <c r="Y265" s="804">
        <v>238</v>
      </c>
      <c r="Z265" s="804"/>
      <c r="AE265" s="804">
        <v>752</v>
      </c>
      <c r="AF265" s="804"/>
      <c r="AH265" s="804"/>
    </row>
    <row r="266" spans="1:34">
      <c r="A266" s="436"/>
      <c r="B266" s="436" t="s">
        <v>59</v>
      </c>
      <c r="C266" s="807">
        <f t="shared" si="218"/>
        <v>1</v>
      </c>
      <c r="D266" s="808">
        <f t="shared" si="216"/>
        <v>0</v>
      </c>
      <c r="E266" s="808">
        <f t="shared" si="216"/>
        <v>1</v>
      </c>
      <c r="F266" s="808">
        <f t="shared" si="216"/>
        <v>1</v>
      </c>
      <c r="G266" s="808">
        <f t="shared" si="216"/>
        <v>1</v>
      </c>
      <c r="H266" s="809">
        <f t="shared" si="216"/>
        <v>0</v>
      </c>
      <c r="I266" s="577">
        <f t="shared" si="216"/>
        <v>1</v>
      </c>
      <c r="J266" s="577">
        <f t="shared" si="216"/>
        <v>0</v>
      </c>
      <c r="K266" s="578">
        <f t="shared" si="216"/>
        <v>0</v>
      </c>
      <c r="L266" s="578">
        <f t="shared" si="216"/>
        <v>0</v>
      </c>
      <c r="M266" s="578">
        <f t="shared" si="216"/>
        <v>0</v>
      </c>
      <c r="N266" s="577">
        <f t="shared" si="219"/>
        <v>1</v>
      </c>
      <c r="O266" s="577">
        <f t="shared" si="217"/>
        <v>0</v>
      </c>
      <c r="P266" s="579">
        <f t="shared" si="217"/>
        <v>0</v>
      </c>
      <c r="Q266" s="577">
        <f t="shared" si="217"/>
        <v>0</v>
      </c>
      <c r="S266" s="349">
        <v>1124</v>
      </c>
      <c r="U266" s="349">
        <v>450</v>
      </c>
      <c r="V266" s="349">
        <v>396</v>
      </c>
      <c r="W266" s="349">
        <v>169</v>
      </c>
      <c r="Y266" s="804">
        <v>2139</v>
      </c>
      <c r="Z266" s="804"/>
      <c r="AE266" s="804">
        <v>1018</v>
      </c>
      <c r="AF266" s="804"/>
      <c r="AH266" s="804"/>
    </row>
    <row r="267" spans="1:34">
      <c r="A267" s="240" t="s">
        <v>153</v>
      </c>
      <c r="B267" s="240" t="s">
        <v>53</v>
      </c>
      <c r="C267" s="806">
        <f>IF(S$272&gt;0,(S267/S$272),0)</f>
        <v>0</v>
      </c>
      <c r="D267" s="806">
        <f t="shared" ref="D267:M272" si="220">IF(T$272&gt;0,(T267/T$272),0)</f>
        <v>0.20980223559759242</v>
      </c>
      <c r="E267" s="806">
        <f t="shared" si="220"/>
        <v>0</v>
      </c>
      <c r="F267" s="806">
        <f t="shared" si="220"/>
        <v>0</v>
      </c>
      <c r="G267" s="806">
        <f t="shared" si="220"/>
        <v>0.17796610169491525</v>
      </c>
      <c r="H267" s="806">
        <f t="shared" si="220"/>
        <v>0.16058394160583941</v>
      </c>
      <c r="I267" s="613">
        <f t="shared" si="220"/>
        <v>0.20052083333333334</v>
      </c>
      <c r="J267" s="613">
        <f t="shared" si="220"/>
        <v>0</v>
      </c>
      <c r="K267" s="614">
        <f t="shared" si="220"/>
        <v>0</v>
      </c>
      <c r="L267" s="614">
        <f t="shared" si="220"/>
        <v>0</v>
      </c>
      <c r="M267" s="614">
        <f t="shared" si="220"/>
        <v>0</v>
      </c>
      <c r="N267" s="613">
        <f>IF(AE$272&gt;0,(AE267/AE$272),0)</f>
        <v>4.2328042328042326E-2</v>
      </c>
      <c r="O267" s="613">
        <f t="shared" ref="O267:Q272" si="221">IF(AF$272&gt;0,(AF267/AF$272),0)</f>
        <v>0</v>
      </c>
      <c r="P267" s="615">
        <f t="shared" si="221"/>
        <v>0</v>
      </c>
      <c r="Q267" s="613">
        <f t="shared" si="221"/>
        <v>0</v>
      </c>
      <c r="R267" s="799"/>
      <c r="S267" s="798"/>
      <c r="T267" s="798">
        <v>244</v>
      </c>
      <c r="U267" s="798"/>
      <c r="V267" s="798"/>
      <c r="W267" s="798">
        <v>42</v>
      </c>
      <c r="X267" s="798">
        <v>22</v>
      </c>
      <c r="Y267" s="803">
        <v>308</v>
      </c>
      <c r="Z267" s="803"/>
      <c r="AA267" s="798"/>
      <c r="AB267" s="798"/>
      <c r="AC267" s="798"/>
      <c r="AD267" s="798"/>
      <c r="AE267" s="803">
        <v>16</v>
      </c>
      <c r="AF267" s="803"/>
      <c r="AG267" s="798"/>
      <c r="AH267" s="803"/>
    </row>
    <row r="268" spans="1:34">
      <c r="A268" s="239"/>
      <c r="B268" s="239" t="s">
        <v>93</v>
      </c>
      <c r="C268" s="806">
        <f t="shared" ref="C268:C272" si="222">IF(S$272&gt;0,(S268/S$272),0)</f>
        <v>0</v>
      </c>
      <c r="D268" s="806">
        <f t="shared" si="220"/>
        <v>0.27429062768701634</v>
      </c>
      <c r="E268" s="806">
        <f t="shared" si="220"/>
        <v>0</v>
      </c>
      <c r="F268" s="806">
        <f t="shared" si="220"/>
        <v>0</v>
      </c>
      <c r="G268" s="806">
        <f t="shared" si="220"/>
        <v>0.22457627118644069</v>
      </c>
      <c r="H268" s="806">
        <f t="shared" si="220"/>
        <v>0.23357664233576642</v>
      </c>
      <c r="I268" s="624">
        <f t="shared" si="220"/>
        <v>0.26302083333333331</v>
      </c>
      <c r="J268" s="624">
        <f t="shared" si="220"/>
        <v>0</v>
      </c>
      <c r="K268" s="625">
        <f t="shared" si="220"/>
        <v>0</v>
      </c>
      <c r="L268" s="625">
        <f t="shared" si="220"/>
        <v>0</v>
      </c>
      <c r="M268" s="625">
        <f t="shared" si="220"/>
        <v>0</v>
      </c>
      <c r="N268" s="624">
        <f t="shared" ref="N268:N272" si="223">IF(AE$272&gt;0,(AE268/AE$272),0)</f>
        <v>0.35449735449735448</v>
      </c>
      <c r="O268" s="624">
        <f t="shared" si="221"/>
        <v>0</v>
      </c>
      <c r="P268" s="626">
        <f t="shared" si="221"/>
        <v>0</v>
      </c>
      <c r="Q268" s="624">
        <f t="shared" si="221"/>
        <v>0</v>
      </c>
      <c r="T268" s="349">
        <v>319</v>
      </c>
      <c r="W268" s="349">
        <v>53</v>
      </c>
      <c r="X268" s="349">
        <v>32</v>
      </c>
      <c r="Y268" s="804">
        <v>404</v>
      </c>
      <c r="Z268" s="804"/>
      <c r="AE268" s="804">
        <v>134</v>
      </c>
      <c r="AF268" s="804"/>
      <c r="AH268" s="804"/>
    </row>
    <row r="269" spans="1:34">
      <c r="A269" s="239"/>
      <c r="B269" s="239" t="s">
        <v>55</v>
      </c>
      <c r="C269" s="806">
        <f t="shared" si="222"/>
        <v>0</v>
      </c>
      <c r="D269" s="806">
        <f t="shared" si="220"/>
        <v>0.33190025795356837</v>
      </c>
      <c r="E269" s="806">
        <f t="shared" si="220"/>
        <v>0</v>
      </c>
      <c r="F269" s="806">
        <f t="shared" si="220"/>
        <v>0</v>
      </c>
      <c r="G269" s="806">
        <f t="shared" si="220"/>
        <v>0.3728813559322034</v>
      </c>
      <c r="H269" s="806">
        <f t="shared" si="220"/>
        <v>0.41605839416058393</v>
      </c>
      <c r="I269" s="624">
        <f t="shared" si="220"/>
        <v>0.345703125</v>
      </c>
      <c r="J269" s="624">
        <f t="shared" si="220"/>
        <v>0</v>
      </c>
      <c r="K269" s="625">
        <f t="shared" si="220"/>
        <v>0</v>
      </c>
      <c r="L269" s="625">
        <f t="shared" si="220"/>
        <v>0</v>
      </c>
      <c r="M269" s="625">
        <f t="shared" si="220"/>
        <v>0</v>
      </c>
      <c r="N269" s="624">
        <f t="shared" si="223"/>
        <v>0.28042328042328041</v>
      </c>
      <c r="O269" s="624">
        <f t="shared" si="221"/>
        <v>0</v>
      </c>
      <c r="P269" s="626">
        <f t="shared" si="221"/>
        <v>0</v>
      </c>
      <c r="Q269" s="624">
        <f t="shared" si="221"/>
        <v>0</v>
      </c>
      <c r="T269" s="349">
        <v>386</v>
      </c>
      <c r="W269" s="349">
        <v>88</v>
      </c>
      <c r="X269" s="349">
        <v>57</v>
      </c>
      <c r="Y269" s="804">
        <v>531</v>
      </c>
      <c r="Z269" s="804"/>
      <c r="AE269" s="804">
        <v>106</v>
      </c>
      <c r="AF269" s="804"/>
      <c r="AH269" s="804"/>
    </row>
    <row r="270" spans="1:34">
      <c r="A270" s="239"/>
      <c r="B270" s="239" t="s">
        <v>78</v>
      </c>
      <c r="C270" s="806">
        <f t="shared" si="222"/>
        <v>0</v>
      </c>
      <c r="D270" s="806">
        <f t="shared" si="220"/>
        <v>1.7196904557179708E-2</v>
      </c>
      <c r="E270" s="806">
        <f t="shared" si="220"/>
        <v>0</v>
      </c>
      <c r="F270" s="806">
        <f t="shared" si="220"/>
        <v>0</v>
      </c>
      <c r="G270" s="806">
        <f t="shared" si="220"/>
        <v>0.20338983050847459</v>
      </c>
      <c r="H270" s="806">
        <f t="shared" si="220"/>
        <v>0.13868613138686131</v>
      </c>
      <c r="I270" s="624">
        <f t="shared" si="220"/>
        <v>5.6640625E-2</v>
      </c>
      <c r="J270" s="624">
        <f t="shared" si="220"/>
        <v>0</v>
      </c>
      <c r="K270" s="625">
        <f t="shared" si="220"/>
        <v>0</v>
      </c>
      <c r="L270" s="625">
        <f t="shared" si="220"/>
        <v>0</v>
      </c>
      <c r="M270" s="625">
        <f t="shared" si="220"/>
        <v>0</v>
      </c>
      <c r="N270" s="624">
        <f t="shared" si="223"/>
        <v>0.21428571428571427</v>
      </c>
      <c r="O270" s="624">
        <f t="shared" si="221"/>
        <v>0</v>
      </c>
      <c r="P270" s="626">
        <f t="shared" si="221"/>
        <v>0</v>
      </c>
      <c r="Q270" s="624">
        <f t="shared" si="221"/>
        <v>0</v>
      </c>
      <c r="T270" s="349">
        <v>20</v>
      </c>
      <c r="W270" s="349">
        <v>48</v>
      </c>
      <c r="X270" s="349">
        <v>19</v>
      </c>
      <c r="Y270" s="804">
        <v>87</v>
      </c>
      <c r="Z270" s="804"/>
      <c r="AE270" s="804">
        <v>81</v>
      </c>
      <c r="AF270" s="804"/>
      <c r="AH270" s="804"/>
    </row>
    <row r="271" spans="1:34">
      <c r="A271" s="580"/>
      <c r="B271" s="580" t="s">
        <v>131</v>
      </c>
      <c r="C271" s="806">
        <f t="shared" si="222"/>
        <v>0</v>
      </c>
      <c r="D271" s="806">
        <f t="shared" si="220"/>
        <v>0.16680997420464316</v>
      </c>
      <c r="E271" s="806">
        <f t="shared" si="220"/>
        <v>0</v>
      </c>
      <c r="F271" s="806">
        <f t="shared" si="220"/>
        <v>0</v>
      </c>
      <c r="G271" s="806">
        <f t="shared" si="220"/>
        <v>2.1186440677966101E-2</v>
      </c>
      <c r="H271" s="806">
        <f t="shared" si="220"/>
        <v>5.1094890510948905E-2</v>
      </c>
      <c r="I271" s="624">
        <f t="shared" si="220"/>
        <v>0.13411458333333334</v>
      </c>
      <c r="J271" s="624">
        <f t="shared" si="220"/>
        <v>0</v>
      </c>
      <c r="K271" s="625">
        <f t="shared" si="220"/>
        <v>0</v>
      </c>
      <c r="L271" s="625">
        <f t="shared" si="220"/>
        <v>0</v>
      </c>
      <c r="M271" s="625">
        <f t="shared" si="220"/>
        <v>0</v>
      </c>
      <c r="N271" s="624">
        <f t="shared" si="223"/>
        <v>0.10846560846560846</v>
      </c>
      <c r="O271" s="624">
        <f t="shared" si="221"/>
        <v>0</v>
      </c>
      <c r="P271" s="626">
        <f t="shared" si="221"/>
        <v>0</v>
      </c>
      <c r="Q271" s="624">
        <f t="shared" si="221"/>
        <v>0</v>
      </c>
      <c r="T271" s="349">
        <v>194</v>
      </c>
      <c r="W271" s="349">
        <v>5</v>
      </c>
      <c r="X271" s="349">
        <v>7</v>
      </c>
      <c r="Y271" s="804">
        <v>206</v>
      </c>
      <c r="Z271" s="804"/>
      <c r="AE271" s="804">
        <v>41</v>
      </c>
      <c r="AF271" s="804"/>
      <c r="AH271" s="804"/>
    </row>
    <row r="272" spans="1:34">
      <c r="A272" s="436"/>
      <c r="B272" s="436" t="s">
        <v>59</v>
      </c>
      <c r="C272" s="807">
        <f t="shared" si="222"/>
        <v>0</v>
      </c>
      <c r="D272" s="808">
        <f t="shared" si="220"/>
        <v>1</v>
      </c>
      <c r="E272" s="808">
        <f t="shared" si="220"/>
        <v>0</v>
      </c>
      <c r="F272" s="808">
        <f t="shared" si="220"/>
        <v>0</v>
      </c>
      <c r="G272" s="808">
        <f t="shared" si="220"/>
        <v>1</v>
      </c>
      <c r="H272" s="809">
        <f t="shared" si="220"/>
        <v>1</v>
      </c>
      <c r="I272" s="577">
        <f t="shared" si="220"/>
        <v>1</v>
      </c>
      <c r="J272" s="577">
        <f t="shared" si="220"/>
        <v>0</v>
      </c>
      <c r="K272" s="578">
        <f t="shared" si="220"/>
        <v>0</v>
      </c>
      <c r="L272" s="578">
        <f t="shared" si="220"/>
        <v>0</v>
      </c>
      <c r="M272" s="578">
        <f t="shared" si="220"/>
        <v>0</v>
      </c>
      <c r="N272" s="577">
        <f t="shared" si="223"/>
        <v>1</v>
      </c>
      <c r="O272" s="577">
        <f t="shared" si="221"/>
        <v>0</v>
      </c>
      <c r="P272" s="579">
        <f t="shared" si="221"/>
        <v>0</v>
      </c>
      <c r="Q272" s="577">
        <f t="shared" si="221"/>
        <v>0</v>
      </c>
      <c r="T272" s="349">
        <v>1163</v>
      </c>
      <c r="W272" s="349">
        <v>236</v>
      </c>
      <c r="X272" s="349">
        <v>137</v>
      </c>
      <c r="Y272" s="804">
        <v>1536</v>
      </c>
      <c r="Z272" s="804"/>
      <c r="AE272" s="804">
        <v>378</v>
      </c>
      <c r="AF272" s="804"/>
      <c r="AH272" s="804"/>
    </row>
    <row r="273" spans="1:34">
      <c r="A273" s="240" t="s">
        <v>160</v>
      </c>
      <c r="B273" s="240" t="s">
        <v>53</v>
      </c>
      <c r="C273" s="806">
        <f>IF(S$278&gt;0,(S273/S$278),0)</f>
        <v>0.3264750892705322</v>
      </c>
      <c r="D273" s="806">
        <f t="shared" ref="D273:M278" si="224">IF(T$278&gt;0,(T273/T$278),0)</f>
        <v>0.26986255447536039</v>
      </c>
      <c r="E273" s="806">
        <f t="shared" si="224"/>
        <v>0.29453894359892568</v>
      </c>
      <c r="F273" s="806">
        <f t="shared" si="224"/>
        <v>0</v>
      </c>
      <c r="G273" s="806">
        <f t="shared" si="224"/>
        <v>0</v>
      </c>
      <c r="H273" s="806">
        <f t="shared" si="224"/>
        <v>0.19347319347319347</v>
      </c>
      <c r="I273" s="613">
        <f t="shared" si="224"/>
        <v>0.30134486071085492</v>
      </c>
      <c r="J273" s="613">
        <f t="shared" si="224"/>
        <v>0</v>
      </c>
      <c r="K273" s="614">
        <f t="shared" si="224"/>
        <v>0</v>
      </c>
      <c r="L273" s="614">
        <f t="shared" si="224"/>
        <v>0</v>
      </c>
      <c r="M273" s="614">
        <f t="shared" si="224"/>
        <v>0</v>
      </c>
      <c r="N273" s="613">
        <f>IF(AE$278&gt;0,(AE273/AE$278),0)</f>
        <v>0.19368646334938469</v>
      </c>
      <c r="O273" s="613">
        <f t="shared" ref="O273:Q278" si="225">IF(AF$278&gt;0,(AF273/AF$278),0)</f>
        <v>0</v>
      </c>
      <c r="P273" s="615">
        <f t="shared" si="225"/>
        <v>0</v>
      </c>
      <c r="Q273" s="613">
        <f t="shared" si="225"/>
        <v>0</v>
      </c>
      <c r="R273" s="799"/>
      <c r="S273" s="798">
        <v>1920</v>
      </c>
      <c r="T273" s="798">
        <v>805</v>
      </c>
      <c r="U273" s="798">
        <v>329</v>
      </c>
      <c r="V273" s="798"/>
      <c r="W273" s="798"/>
      <c r="X273" s="798">
        <v>83</v>
      </c>
      <c r="Y273" s="803">
        <v>3137</v>
      </c>
      <c r="Z273" s="803"/>
      <c r="AA273" s="798"/>
      <c r="AB273" s="798"/>
      <c r="AC273" s="798"/>
      <c r="AD273" s="798"/>
      <c r="AE273" s="803">
        <v>724</v>
      </c>
      <c r="AF273" s="803"/>
      <c r="AG273" s="798"/>
      <c r="AH273" s="803"/>
    </row>
    <row r="274" spans="1:34">
      <c r="A274" s="239"/>
      <c r="B274" s="239" t="s">
        <v>93</v>
      </c>
      <c r="C274" s="806">
        <f t="shared" ref="C274:C278" si="226">IF(S$278&gt;0,(S274/S$278),0)</f>
        <v>0.33123618432239416</v>
      </c>
      <c r="D274" s="806">
        <f t="shared" si="224"/>
        <v>0.3097552799195441</v>
      </c>
      <c r="E274" s="806">
        <f t="shared" si="224"/>
        <v>0.29632945389435988</v>
      </c>
      <c r="F274" s="806">
        <f t="shared" si="224"/>
        <v>0</v>
      </c>
      <c r="G274" s="806">
        <f t="shared" si="224"/>
        <v>0</v>
      </c>
      <c r="H274" s="806">
        <f t="shared" si="224"/>
        <v>0.37296037296037299</v>
      </c>
      <c r="I274" s="624">
        <f t="shared" si="224"/>
        <v>0.32305475504322767</v>
      </c>
      <c r="J274" s="624">
        <f t="shared" si="224"/>
        <v>0</v>
      </c>
      <c r="K274" s="625">
        <f t="shared" si="224"/>
        <v>0</v>
      </c>
      <c r="L274" s="625">
        <f t="shared" si="224"/>
        <v>0</v>
      </c>
      <c r="M274" s="625">
        <f t="shared" si="224"/>
        <v>0</v>
      </c>
      <c r="N274" s="624">
        <f t="shared" ref="N274:N278" si="227">IF(AE$278&gt;0,(AE274/AE$278),0)</f>
        <v>0.22097378277153559</v>
      </c>
      <c r="O274" s="624">
        <f t="shared" si="225"/>
        <v>0</v>
      </c>
      <c r="P274" s="626">
        <f t="shared" si="225"/>
        <v>0</v>
      </c>
      <c r="Q274" s="624">
        <f t="shared" si="225"/>
        <v>0</v>
      </c>
      <c r="S274" s="349">
        <v>1948</v>
      </c>
      <c r="T274" s="349">
        <v>924</v>
      </c>
      <c r="U274" s="349">
        <v>331</v>
      </c>
      <c r="X274" s="349">
        <v>160</v>
      </c>
      <c r="Y274" s="804">
        <v>3363</v>
      </c>
      <c r="Z274" s="804"/>
      <c r="AE274" s="804">
        <v>826</v>
      </c>
      <c r="AF274" s="804"/>
      <c r="AH274" s="804"/>
    </row>
    <row r="275" spans="1:34">
      <c r="A275" s="239"/>
      <c r="B275" s="239" t="s">
        <v>55</v>
      </c>
      <c r="C275" s="806">
        <f t="shared" si="226"/>
        <v>0.25301819418466248</v>
      </c>
      <c r="D275" s="806">
        <f t="shared" si="224"/>
        <v>0.18504860878310425</v>
      </c>
      <c r="E275" s="806">
        <f t="shared" si="224"/>
        <v>0.21128021486123547</v>
      </c>
      <c r="F275" s="806">
        <f t="shared" si="224"/>
        <v>0</v>
      </c>
      <c r="G275" s="806">
        <f t="shared" si="224"/>
        <v>0</v>
      </c>
      <c r="H275" s="806">
        <f t="shared" si="224"/>
        <v>0.33333333333333331</v>
      </c>
      <c r="I275" s="624">
        <f t="shared" si="224"/>
        <v>0.23237271853986552</v>
      </c>
      <c r="J275" s="624">
        <f t="shared" si="224"/>
        <v>0</v>
      </c>
      <c r="K275" s="625">
        <f t="shared" si="224"/>
        <v>0</v>
      </c>
      <c r="L275" s="625">
        <f t="shared" si="224"/>
        <v>0</v>
      </c>
      <c r="M275" s="625">
        <f t="shared" si="224"/>
        <v>0</v>
      </c>
      <c r="N275" s="624">
        <f t="shared" si="227"/>
        <v>0.28705189941144998</v>
      </c>
      <c r="O275" s="624">
        <f t="shared" si="225"/>
        <v>0</v>
      </c>
      <c r="P275" s="626">
        <f t="shared" si="225"/>
        <v>0</v>
      </c>
      <c r="Q275" s="624">
        <f t="shared" si="225"/>
        <v>0</v>
      </c>
      <c r="S275" s="349">
        <v>1488</v>
      </c>
      <c r="T275" s="349">
        <v>552</v>
      </c>
      <c r="U275" s="349">
        <v>236</v>
      </c>
      <c r="X275" s="349">
        <v>143</v>
      </c>
      <c r="Y275" s="804">
        <v>2419</v>
      </c>
      <c r="Z275" s="804"/>
      <c r="AE275" s="804">
        <v>1073</v>
      </c>
      <c r="AF275" s="804"/>
      <c r="AH275" s="804"/>
    </row>
    <row r="276" spans="1:34">
      <c r="A276" s="239"/>
      <c r="B276" s="239" t="s">
        <v>78</v>
      </c>
      <c r="C276" s="806">
        <f t="shared" si="226"/>
        <v>2.7206257439211019E-2</v>
      </c>
      <c r="D276" s="806">
        <f t="shared" si="224"/>
        <v>0.13107609788803218</v>
      </c>
      <c r="E276" s="806">
        <f t="shared" si="224"/>
        <v>9.7582811101163833E-2</v>
      </c>
      <c r="F276" s="806">
        <f t="shared" si="224"/>
        <v>0</v>
      </c>
      <c r="G276" s="806">
        <f t="shared" si="224"/>
        <v>0</v>
      </c>
      <c r="H276" s="806">
        <f t="shared" si="224"/>
        <v>0.10023310023310024</v>
      </c>
      <c r="I276" s="624">
        <f t="shared" si="224"/>
        <v>6.7531219980787704E-2</v>
      </c>
      <c r="J276" s="624">
        <f t="shared" si="224"/>
        <v>0</v>
      </c>
      <c r="K276" s="625">
        <f t="shared" si="224"/>
        <v>0</v>
      </c>
      <c r="L276" s="625">
        <f t="shared" si="224"/>
        <v>0</v>
      </c>
      <c r="M276" s="625">
        <f t="shared" si="224"/>
        <v>0</v>
      </c>
      <c r="N276" s="624">
        <f t="shared" si="227"/>
        <v>0.18378812199036917</v>
      </c>
      <c r="O276" s="624">
        <f t="shared" si="225"/>
        <v>0</v>
      </c>
      <c r="P276" s="626">
        <f t="shared" si="225"/>
        <v>0</v>
      </c>
      <c r="Q276" s="624">
        <f t="shared" si="225"/>
        <v>0</v>
      </c>
      <c r="S276" s="349">
        <v>160</v>
      </c>
      <c r="T276" s="349">
        <v>391</v>
      </c>
      <c r="U276" s="349">
        <v>109</v>
      </c>
      <c r="X276" s="349">
        <v>43</v>
      </c>
      <c r="Y276" s="804">
        <v>703</v>
      </c>
      <c r="Z276" s="804"/>
      <c r="AE276" s="804">
        <v>687</v>
      </c>
      <c r="AF276" s="804"/>
      <c r="AH276" s="804"/>
    </row>
    <row r="277" spans="1:34">
      <c r="A277" s="580"/>
      <c r="B277" s="580" t="s">
        <v>131</v>
      </c>
      <c r="C277" s="806">
        <f t="shared" si="226"/>
        <v>6.2064274783200139E-2</v>
      </c>
      <c r="D277" s="806">
        <f t="shared" si="224"/>
        <v>0.1042574589339591</v>
      </c>
      <c r="E277" s="806">
        <f t="shared" si="224"/>
        <v>0.10026857654431513</v>
      </c>
      <c r="F277" s="806">
        <f t="shared" si="224"/>
        <v>0</v>
      </c>
      <c r="G277" s="806">
        <f t="shared" si="224"/>
        <v>0</v>
      </c>
      <c r="H277" s="806">
        <f t="shared" si="224"/>
        <v>0</v>
      </c>
      <c r="I277" s="624">
        <f t="shared" si="224"/>
        <v>7.5696445725264169E-2</v>
      </c>
      <c r="J277" s="624">
        <f t="shared" si="224"/>
        <v>0</v>
      </c>
      <c r="K277" s="625">
        <f t="shared" si="224"/>
        <v>0</v>
      </c>
      <c r="L277" s="625">
        <f t="shared" si="224"/>
        <v>0</v>
      </c>
      <c r="M277" s="625">
        <f t="shared" si="224"/>
        <v>0</v>
      </c>
      <c r="N277" s="624">
        <f t="shared" si="227"/>
        <v>0.11449973247726057</v>
      </c>
      <c r="O277" s="624">
        <f t="shared" si="225"/>
        <v>0</v>
      </c>
      <c r="P277" s="626">
        <f t="shared" si="225"/>
        <v>0</v>
      </c>
      <c r="Q277" s="624">
        <f t="shared" si="225"/>
        <v>0</v>
      </c>
      <c r="S277" s="349">
        <v>365</v>
      </c>
      <c r="T277" s="349">
        <v>311</v>
      </c>
      <c r="U277" s="349">
        <v>112</v>
      </c>
      <c r="Y277" s="804">
        <v>788</v>
      </c>
      <c r="Z277" s="804"/>
      <c r="AE277" s="804">
        <v>428</v>
      </c>
      <c r="AF277" s="804"/>
      <c r="AH277" s="804"/>
    </row>
    <row r="278" spans="1:34">
      <c r="A278" s="436"/>
      <c r="B278" s="436" t="s">
        <v>59</v>
      </c>
      <c r="C278" s="807">
        <f t="shared" si="226"/>
        <v>1</v>
      </c>
      <c r="D278" s="808">
        <f t="shared" si="224"/>
        <v>1</v>
      </c>
      <c r="E278" s="808">
        <f t="shared" si="224"/>
        <v>1</v>
      </c>
      <c r="F278" s="808">
        <f t="shared" si="224"/>
        <v>0</v>
      </c>
      <c r="G278" s="808">
        <f t="shared" si="224"/>
        <v>0</v>
      </c>
      <c r="H278" s="809">
        <f t="shared" si="224"/>
        <v>1</v>
      </c>
      <c r="I278" s="577">
        <f t="shared" si="224"/>
        <v>1</v>
      </c>
      <c r="J278" s="577">
        <f t="shared" si="224"/>
        <v>0</v>
      </c>
      <c r="K278" s="578">
        <f t="shared" si="224"/>
        <v>0</v>
      </c>
      <c r="L278" s="578">
        <f t="shared" si="224"/>
        <v>0</v>
      </c>
      <c r="M278" s="578">
        <f t="shared" si="224"/>
        <v>0</v>
      </c>
      <c r="N278" s="577">
        <f t="shared" si="227"/>
        <v>1</v>
      </c>
      <c r="O278" s="577">
        <f t="shared" si="225"/>
        <v>0</v>
      </c>
      <c r="P278" s="579">
        <f t="shared" si="225"/>
        <v>0</v>
      </c>
      <c r="Q278" s="577">
        <f t="shared" si="225"/>
        <v>0</v>
      </c>
      <c r="S278" s="349">
        <v>5881</v>
      </c>
      <c r="T278" s="349">
        <v>2983</v>
      </c>
      <c r="U278" s="349">
        <v>1117</v>
      </c>
      <c r="X278" s="349">
        <v>429</v>
      </c>
      <c r="Y278" s="804">
        <v>10410</v>
      </c>
      <c r="Z278" s="804"/>
      <c r="AE278" s="804">
        <v>3738</v>
      </c>
      <c r="AF278" s="804"/>
      <c r="AH278" s="804"/>
    </row>
    <row r="279" spans="1:34">
      <c r="A279" s="240" t="s">
        <v>164</v>
      </c>
      <c r="B279" s="240" t="s">
        <v>53</v>
      </c>
      <c r="C279" s="806">
        <f>IF(S$284&gt;0,(S279/S$284),0)</f>
        <v>0</v>
      </c>
      <c r="D279" s="806">
        <f t="shared" ref="D279:M284" si="228">IF(T$284&gt;0,(T279/T$284),0)</f>
        <v>0.29399141630901288</v>
      </c>
      <c r="E279" s="806">
        <f t="shared" si="228"/>
        <v>0.24496644295302014</v>
      </c>
      <c r="F279" s="806">
        <f t="shared" si="228"/>
        <v>0</v>
      </c>
      <c r="G279" s="806">
        <f t="shared" si="228"/>
        <v>0.2</v>
      </c>
      <c r="H279" s="806">
        <f t="shared" si="228"/>
        <v>0.125</v>
      </c>
      <c r="I279" s="613">
        <f t="shared" si="228"/>
        <v>0.2446167097329888</v>
      </c>
      <c r="J279" s="613">
        <f t="shared" si="228"/>
        <v>0</v>
      </c>
      <c r="K279" s="614">
        <f t="shared" si="228"/>
        <v>0</v>
      </c>
      <c r="L279" s="614">
        <f t="shared" si="228"/>
        <v>0</v>
      </c>
      <c r="M279" s="614">
        <f t="shared" si="228"/>
        <v>0</v>
      </c>
      <c r="N279" s="613">
        <f>IF(AE$284&gt;0,(AE279/AE$284),0)</f>
        <v>0</v>
      </c>
      <c r="O279" s="613">
        <f t="shared" ref="O279:Q284" si="229">IF(AF$284&gt;0,(AF279/AF$284),0)</f>
        <v>0</v>
      </c>
      <c r="P279" s="615">
        <f t="shared" si="229"/>
        <v>0</v>
      </c>
      <c r="Q279" s="613">
        <f t="shared" si="229"/>
        <v>0</v>
      </c>
      <c r="R279" s="799"/>
      <c r="S279" s="798"/>
      <c r="T279" s="798">
        <v>137</v>
      </c>
      <c r="U279" s="798">
        <v>73</v>
      </c>
      <c r="V279" s="798"/>
      <c r="W279" s="798">
        <v>65</v>
      </c>
      <c r="X279" s="798">
        <v>9</v>
      </c>
      <c r="Y279" s="803">
        <v>284</v>
      </c>
      <c r="Z279" s="803"/>
      <c r="AA279" s="798"/>
      <c r="AB279" s="798"/>
      <c r="AC279" s="798"/>
      <c r="AD279" s="798"/>
      <c r="AE279" s="803"/>
      <c r="AF279" s="803"/>
      <c r="AG279" s="798"/>
      <c r="AH279" s="803"/>
    </row>
    <row r="280" spans="1:34">
      <c r="A280" s="239"/>
      <c r="B280" s="239" t="s">
        <v>93</v>
      </c>
      <c r="C280" s="806">
        <f t="shared" ref="C280:C284" si="230">IF(S$284&gt;0,(S280/S$284),0)</f>
        <v>0</v>
      </c>
      <c r="D280" s="806">
        <f t="shared" si="228"/>
        <v>0.17596566523605151</v>
      </c>
      <c r="E280" s="806">
        <f t="shared" si="228"/>
        <v>0.2348993288590604</v>
      </c>
      <c r="F280" s="806">
        <f t="shared" si="228"/>
        <v>0</v>
      </c>
      <c r="G280" s="806">
        <f t="shared" si="228"/>
        <v>0.25538461538461538</v>
      </c>
      <c r="H280" s="806">
        <f t="shared" si="228"/>
        <v>4.1666666666666664E-2</v>
      </c>
      <c r="I280" s="624">
        <f t="shared" si="228"/>
        <v>0.20499569336778639</v>
      </c>
      <c r="J280" s="624">
        <f t="shared" si="228"/>
        <v>0</v>
      </c>
      <c r="K280" s="625">
        <f t="shared" si="228"/>
        <v>0</v>
      </c>
      <c r="L280" s="625">
        <f t="shared" si="228"/>
        <v>0</v>
      </c>
      <c r="M280" s="625">
        <f t="shared" si="228"/>
        <v>0</v>
      </c>
      <c r="N280" s="624">
        <f t="shared" ref="N280:N284" si="231">IF(AE$284&gt;0,(AE280/AE$284),0)</f>
        <v>0</v>
      </c>
      <c r="O280" s="624">
        <f t="shared" si="229"/>
        <v>0</v>
      </c>
      <c r="P280" s="626">
        <f t="shared" si="229"/>
        <v>0</v>
      </c>
      <c r="Q280" s="624">
        <f t="shared" si="229"/>
        <v>0</v>
      </c>
      <c r="T280" s="349">
        <v>82</v>
      </c>
      <c r="U280" s="349">
        <v>70</v>
      </c>
      <c r="W280" s="349">
        <v>83</v>
      </c>
      <c r="X280" s="349">
        <v>3</v>
      </c>
      <c r="Y280" s="804">
        <v>238</v>
      </c>
      <c r="Z280" s="804"/>
      <c r="AE280" s="804"/>
      <c r="AF280" s="804"/>
      <c r="AH280" s="804"/>
    </row>
    <row r="281" spans="1:34">
      <c r="A281" s="239"/>
      <c r="B281" s="239" t="s">
        <v>55</v>
      </c>
      <c r="C281" s="806">
        <f t="shared" si="230"/>
        <v>0</v>
      </c>
      <c r="D281" s="806">
        <f t="shared" si="228"/>
        <v>0.27467811158798283</v>
      </c>
      <c r="E281" s="806">
        <f t="shared" si="228"/>
        <v>0.33557046979865773</v>
      </c>
      <c r="F281" s="806">
        <f t="shared" si="228"/>
        <v>0</v>
      </c>
      <c r="G281" s="806">
        <f t="shared" si="228"/>
        <v>0.3323076923076923</v>
      </c>
      <c r="H281" s="806">
        <f t="shared" si="228"/>
        <v>0</v>
      </c>
      <c r="I281" s="624">
        <f t="shared" si="228"/>
        <v>0.28940568475452194</v>
      </c>
      <c r="J281" s="624">
        <f t="shared" si="228"/>
        <v>0</v>
      </c>
      <c r="K281" s="625">
        <f t="shared" si="228"/>
        <v>0</v>
      </c>
      <c r="L281" s="625">
        <f t="shared" si="228"/>
        <v>0</v>
      </c>
      <c r="M281" s="625">
        <f t="shared" si="228"/>
        <v>0</v>
      </c>
      <c r="N281" s="624">
        <f t="shared" si="231"/>
        <v>0</v>
      </c>
      <c r="O281" s="624">
        <f t="shared" si="229"/>
        <v>0</v>
      </c>
      <c r="P281" s="626">
        <f t="shared" si="229"/>
        <v>0</v>
      </c>
      <c r="Q281" s="624">
        <f t="shared" si="229"/>
        <v>0</v>
      </c>
      <c r="T281" s="349">
        <v>128</v>
      </c>
      <c r="U281" s="349">
        <v>100</v>
      </c>
      <c r="W281" s="349">
        <v>108</v>
      </c>
      <c r="Y281" s="804">
        <v>336</v>
      </c>
      <c r="Z281" s="804"/>
      <c r="AE281" s="804"/>
      <c r="AF281" s="804"/>
      <c r="AH281" s="804"/>
    </row>
    <row r="282" spans="1:34">
      <c r="A282" s="239"/>
      <c r="B282" s="239" t="s">
        <v>78</v>
      </c>
      <c r="C282" s="806">
        <f t="shared" si="230"/>
        <v>0</v>
      </c>
      <c r="D282" s="806">
        <f t="shared" si="228"/>
        <v>0.25107296137339058</v>
      </c>
      <c r="E282" s="806">
        <f t="shared" si="228"/>
        <v>0.18456375838926176</v>
      </c>
      <c r="F282" s="806">
        <f t="shared" si="228"/>
        <v>0</v>
      </c>
      <c r="G282" s="806">
        <f t="shared" si="228"/>
        <v>0.21230769230769231</v>
      </c>
      <c r="H282" s="806">
        <f t="shared" si="228"/>
        <v>0.83333333333333337</v>
      </c>
      <c r="I282" s="624">
        <f t="shared" si="228"/>
        <v>0.25925925925925924</v>
      </c>
      <c r="J282" s="624">
        <f t="shared" si="228"/>
        <v>0</v>
      </c>
      <c r="K282" s="625">
        <f t="shared" si="228"/>
        <v>0</v>
      </c>
      <c r="L282" s="625">
        <f t="shared" si="228"/>
        <v>0</v>
      </c>
      <c r="M282" s="625">
        <f t="shared" si="228"/>
        <v>0</v>
      </c>
      <c r="N282" s="624">
        <f t="shared" si="231"/>
        <v>0.76388888888888884</v>
      </c>
      <c r="O282" s="624">
        <f t="shared" si="229"/>
        <v>0</v>
      </c>
      <c r="P282" s="626">
        <f t="shared" si="229"/>
        <v>0</v>
      </c>
      <c r="Q282" s="624">
        <f t="shared" si="229"/>
        <v>0</v>
      </c>
      <c r="T282" s="349">
        <v>117</v>
      </c>
      <c r="U282" s="349">
        <v>55</v>
      </c>
      <c r="W282" s="349">
        <v>69</v>
      </c>
      <c r="X282" s="349">
        <v>60</v>
      </c>
      <c r="Y282" s="804">
        <v>301</v>
      </c>
      <c r="Z282" s="804"/>
      <c r="AE282" s="804">
        <v>220</v>
      </c>
      <c r="AF282" s="804"/>
      <c r="AH282" s="804"/>
    </row>
    <row r="283" spans="1:34">
      <c r="A283" s="580"/>
      <c r="B283" s="580" t="s">
        <v>131</v>
      </c>
      <c r="C283" s="806">
        <f t="shared" si="230"/>
        <v>0</v>
      </c>
      <c r="D283" s="806">
        <f t="shared" si="228"/>
        <v>4.2918454935622317E-3</v>
      </c>
      <c r="E283" s="806">
        <f t="shared" si="228"/>
        <v>0</v>
      </c>
      <c r="F283" s="806">
        <f t="shared" si="228"/>
        <v>0</v>
      </c>
      <c r="G283" s="806">
        <f t="shared" si="228"/>
        <v>0</v>
      </c>
      <c r="H283" s="806">
        <f t="shared" si="228"/>
        <v>0</v>
      </c>
      <c r="I283" s="624">
        <f t="shared" si="228"/>
        <v>1.7226528854435831E-3</v>
      </c>
      <c r="J283" s="624">
        <f t="shared" si="228"/>
        <v>0</v>
      </c>
      <c r="K283" s="625">
        <f t="shared" si="228"/>
        <v>0</v>
      </c>
      <c r="L283" s="625">
        <f t="shared" si="228"/>
        <v>0</v>
      </c>
      <c r="M283" s="625">
        <f t="shared" si="228"/>
        <v>0</v>
      </c>
      <c r="N283" s="624">
        <f t="shared" si="231"/>
        <v>0.2361111111111111</v>
      </c>
      <c r="O283" s="624">
        <f t="shared" si="229"/>
        <v>0</v>
      </c>
      <c r="P283" s="626">
        <f t="shared" si="229"/>
        <v>0</v>
      </c>
      <c r="Q283" s="624">
        <f t="shared" si="229"/>
        <v>0</v>
      </c>
      <c r="T283" s="349">
        <v>2</v>
      </c>
      <c r="Y283" s="804">
        <v>2</v>
      </c>
      <c r="Z283" s="804"/>
      <c r="AE283" s="804">
        <v>68</v>
      </c>
      <c r="AF283" s="804"/>
      <c r="AH283" s="804"/>
    </row>
    <row r="284" spans="1:34">
      <c r="A284" s="436"/>
      <c r="B284" s="436" t="s">
        <v>59</v>
      </c>
      <c r="C284" s="807">
        <f t="shared" si="230"/>
        <v>0</v>
      </c>
      <c r="D284" s="808">
        <f t="shared" si="228"/>
        <v>1</v>
      </c>
      <c r="E284" s="808">
        <f t="shared" si="228"/>
        <v>1</v>
      </c>
      <c r="F284" s="808">
        <f t="shared" si="228"/>
        <v>0</v>
      </c>
      <c r="G284" s="808">
        <f t="shared" si="228"/>
        <v>1</v>
      </c>
      <c r="H284" s="809">
        <f t="shared" si="228"/>
        <v>1</v>
      </c>
      <c r="I284" s="577">
        <f t="shared" si="228"/>
        <v>1</v>
      </c>
      <c r="J284" s="577">
        <f t="shared" si="228"/>
        <v>0</v>
      </c>
      <c r="K284" s="578">
        <f t="shared" si="228"/>
        <v>0</v>
      </c>
      <c r="L284" s="578">
        <f t="shared" si="228"/>
        <v>0</v>
      </c>
      <c r="M284" s="578">
        <f t="shared" si="228"/>
        <v>0</v>
      </c>
      <c r="N284" s="577">
        <f t="shared" si="231"/>
        <v>1</v>
      </c>
      <c r="O284" s="577">
        <f t="shared" si="229"/>
        <v>0</v>
      </c>
      <c r="P284" s="579">
        <f t="shared" si="229"/>
        <v>0</v>
      </c>
      <c r="Q284" s="577">
        <f t="shared" si="229"/>
        <v>0</v>
      </c>
      <c r="T284" s="349">
        <v>466</v>
      </c>
      <c r="U284" s="349">
        <v>298</v>
      </c>
      <c r="W284" s="349">
        <v>325</v>
      </c>
      <c r="X284" s="349">
        <v>72</v>
      </c>
      <c r="Y284" s="804">
        <v>1161</v>
      </c>
      <c r="Z284" s="804"/>
      <c r="AE284" s="804">
        <v>288</v>
      </c>
      <c r="AF284" s="804"/>
      <c r="AH284" s="804"/>
    </row>
    <row r="285" spans="1:34">
      <c r="A285" s="240" t="s">
        <v>168</v>
      </c>
      <c r="B285" s="240" t="s">
        <v>53</v>
      </c>
      <c r="C285" s="806">
        <f>IF(S$290&gt;0,(S285/S$290),0)</f>
        <v>0.40014738393515109</v>
      </c>
      <c r="D285" s="806">
        <f t="shared" ref="D285:M290" si="232">IF(T$290&gt;0,(T285/T$290),0)</f>
        <v>0</v>
      </c>
      <c r="E285" s="806">
        <f t="shared" si="232"/>
        <v>0</v>
      </c>
      <c r="F285" s="806">
        <f t="shared" si="232"/>
        <v>0.26075857038657912</v>
      </c>
      <c r="G285" s="806">
        <f t="shared" si="232"/>
        <v>0.27815468113975578</v>
      </c>
      <c r="H285" s="806">
        <f t="shared" si="232"/>
        <v>0</v>
      </c>
      <c r="I285" s="613">
        <f t="shared" si="232"/>
        <v>0.32391409656063297</v>
      </c>
      <c r="J285" s="613">
        <f t="shared" si="232"/>
        <v>0</v>
      </c>
      <c r="K285" s="614">
        <f t="shared" si="232"/>
        <v>0</v>
      </c>
      <c r="L285" s="614">
        <f t="shared" si="232"/>
        <v>0</v>
      </c>
      <c r="M285" s="614">
        <f t="shared" si="232"/>
        <v>0</v>
      </c>
      <c r="N285" s="613">
        <f>IF(AE$290&gt;0,(AE285/AE$290),0)</f>
        <v>1.4937759336099586E-2</v>
      </c>
      <c r="O285" s="613">
        <f t="shared" ref="O285:Q290" si="233">IF(AF$290&gt;0,(AF285/AF$290),0)</f>
        <v>0</v>
      </c>
      <c r="P285" s="615">
        <f t="shared" si="233"/>
        <v>0</v>
      </c>
      <c r="Q285" s="613">
        <f t="shared" si="233"/>
        <v>0</v>
      </c>
      <c r="R285" s="799"/>
      <c r="S285" s="798">
        <v>1086</v>
      </c>
      <c r="T285" s="798"/>
      <c r="U285" s="798"/>
      <c r="V285" s="798">
        <v>715</v>
      </c>
      <c r="W285" s="798">
        <v>205</v>
      </c>
      <c r="X285" s="798"/>
      <c r="Y285" s="803">
        <v>2006</v>
      </c>
      <c r="Z285" s="803"/>
      <c r="AA285" s="798"/>
      <c r="AB285" s="798"/>
      <c r="AC285" s="798"/>
      <c r="AD285" s="798"/>
      <c r="AE285" s="803">
        <v>54</v>
      </c>
      <c r="AF285" s="803"/>
      <c r="AG285" s="798"/>
      <c r="AH285" s="803"/>
    </row>
    <row r="286" spans="1:34">
      <c r="A286" s="239"/>
      <c r="B286" s="239" t="s">
        <v>93</v>
      </c>
      <c r="C286" s="806">
        <f t="shared" ref="C286:C290" si="234">IF(S$290&gt;0,(S286/S$290),0)</f>
        <v>0.25829034635224762</v>
      </c>
      <c r="D286" s="806">
        <f t="shared" si="232"/>
        <v>0</v>
      </c>
      <c r="E286" s="806">
        <f t="shared" si="232"/>
        <v>0</v>
      </c>
      <c r="F286" s="806">
        <f t="shared" si="232"/>
        <v>0.23705324580598103</v>
      </c>
      <c r="G286" s="806">
        <f t="shared" si="232"/>
        <v>0.25644504748982361</v>
      </c>
      <c r="H286" s="806">
        <f t="shared" si="232"/>
        <v>0</v>
      </c>
      <c r="I286" s="624">
        <f t="shared" si="232"/>
        <v>0.24866785079928952</v>
      </c>
      <c r="J286" s="624">
        <f t="shared" si="232"/>
        <v>0</v>
      </c>
      <c r="K286" s="625">
        <f t="shared" si="232"/>
        <v>0</v>
      </c>
      <c r="L286" s="625">
        <f t="shared" si="232"/>
        <v>0</v>
      </c>
      <c r="M286" s="625">
        <f t="shared" si="232"/>
        <v>0</v>
      </c>
      <c r="N286" s="624">
        <f t="shared" ref="N286:N290" si="235">IF(AE$290&gt;0,(AE286/AE$290),0)</f>
        <v>3.4578146611341634E-2</v>
      </c>
      <c r="O286" s="624">
        <f t="shared" si="233"/>
        <v>0</v>
      </c>
      <c r="P286" s="626">
        <f t="shared" si="233"/>
        <v>0</v>
      </c>
      <c r="Q286" s="624">
        <f t="shared" si="233"/>
        <v>0</v>
      </c>
      <c r="S286" s="349">
        <v>701</v>
      </c>
      <c r="V286" s="349">
        <v>650</v>
      </c>
      <c r="W286" s="349">
        <v>189</v>
      </c>
      <c r="Y286" s="804">
        <v>1540</v>
      </c>
      <c r="Z286" s="804"/>
      <c r="AE286" s="804">
        <v>125</v>
      </c>
      <c r="AF286" s="804"/>
      <c r="AH286" s="804"/>
    </row>
    <row r="287" spans="1:34">
      <c r="A287" s="239"/>
      <c r="B287" s="239" t="s">
        <v>55</v>
      </c>
      <c r="C287" s="806">
        <f t="shared" si="234"/>
        <v>0.2313927781871776</v>
      </c>
      <c r="D287" s="806">
        <f t="shared" si="232"/>
        <v>0</v>
      </c>
      <c r="E287" s="806">
        <f t="shared" si="232"/>
        <v>0</v>
      </c>
      <c r="F287" s="806">
        <f t="shared" si="232"/>
        <v>0.28701677607585702</v>
      </c>
      <c r="G287" s="806">
        <f t="shared" si="232"/>
        <v>0.27679782903663502</v>
      </c>
      <c r="H287" s="806">
        <f t="shared" si="232"/>
        <v>0</v>
      </c>
      <c r="I287" s="624">
        <f t="shared" si="232"/>
        <v>0.2614241886000323</v>
      </c>
      <c r="J287" s="624">
        <f t="shared" si="232"/>
        <v>0</v>
      </c>
      <c r="K287" s="625">
        <f t="shared" si="232"/>
        <v>0</v>
      </c>
      <c r="L287" s="625">
        <f t="shared" si="232"/>
        <v>0</v>
      </c>
      <c r="M287" s="625">
        <f t="shared" si="232"/>
        <v>0</v>
      </c>
      <c r="N287" s="624">
        <f t="shared" si="235"/>
        <v>2.9322268326417704E-2</v>
      </c>
      <c r="O287" s="624">
        <f t="shared" si="233"/>
        <v>0</v>
      </c>
      <c r="P287" s="626">
        <f t="shared" si="233"/>
        <v>0</v>
      </c>
      <c r="Q287" s="624">
        <f t="shared" si="233"/>
        <v>0</v>
      </c>
      <c r="S287" s="349">
        <v>628</v>
      </c>
      <c r="V287" s="349">
        <v>787</v>
      </c>
      <c r="W287" s="349">
        <v>204</v>
      </c>
      <c r="Y287" s="804">
        <v>1619</v>
      </c>
      <c r="Z287" s="804"/>
      <c r="AE287" s="804">
        <v>106</v>
      </c>
      <c r="AF287" s="804"/>
      <c r="AH287" s="804"/>
    </row>
    <row r="288" spans="1:34">
      <c r="A288" s="239"/>
      <c r="B288" s="239" t="s">
        <v>78</v>
      </c>
      <c r="C288" s="806">
        <f t="shared" si="234"/>
        <v>8.8430361090641122E-3</v>
      </c>
      <c r="D288" s="806">
        <f t="shared" si="232"/>
        <v>0</v>
      </c>
      <c r="E288" s="806">
        <f t="shared" si="232"/>
        <v>0</v>
      </c>
      <c r="F288" s="806">
        <f t="shared" si="232"/>
        <v>6.9292487235594457E-3</v>
      </c>
      <c r="G288" s="806">
        <f t="shared" si="232"/>
        <v>1.3568521031207597E-3</v>
      </c>
      <c r="H288" s="806">
        <f t="shared" si="232"/>
        <v>0</v>
      </c>
      <c r="I288" s="624">
        <f t="shared" si="232"/>
        <v>7.104795737122558E-3</v>
      </c>
      <c r="J288" s="624">
        <f t="shared" si="232"/>
        <v>0</v>
      </c>
      <c r="K288" s="625">
        <f t="shared" si="232"/>
        <v>0</v>
      </c>
      <c r="L288" s="625">
        <f t="shared" si="232"/>
        <v>0</v>
      </c>
      <c r="M288" s="625">
        <f t="shared" si="232"/>
        <v>0</v>
      </c>
      <c r="N288" s="624">
        <f t="shared" si="235"/>
        <v>0.85006915629322266</v>
      </c>
      <c r="O288" s="624">
        <f t="shared" si="233"/>
        <v>0</v>
      </c>
      <c r="P288" s="626">
        <f t="shared" si="233"/>
        <v>0</v>
      </c>
      <c r="Q288" s="624">
        <f t="shared" si="233"/>
        <v>0</v>
      </c>
      <c r="S288" s="349">
        <v>24</v>
      </c>
      <c r="V288" s="349">
        <v>19</v>
      </c>
      <c r="W288" s="349">
        <v>1</v>
      </c>
      <c r="Y288" s="804">
        <v>44</v>
      </c>
      <c r="Z288" s="804"/>
      <c r="AE288" s="804">
        <v>3073</v>
      </c>
      <c r="AF288" s="804"/>
      <c r="AH288" s="804"/>
    </row>
    <row r="289" spans="1:34">
      <c r="A289" s="580"/>
      <c r="B289" s="580" t="s">
        <v>131</v>
      </c>
      <c r="C289" s="806">
        <f t="shared" si="234"/>
        <v>0.10132645541635962</v>
      </c>
      <c r="D289" s="806">
        <f t="shared" si="232"/>
        <v>0</v>
      </c>
      <c r="E289" s="806">
        <f t="shared" si="232"/>
        <v>0</v>
      </c>
      <c r="F289" s="806">
        <f t="shared" si="232"/>
        <v>0.20824215900802334</v>
      </c>
      <c r="G289" s="806">
        <f t="shared" si="232"/>
        <v>0.18724559023066487</v>
      </c>
      <c r="H289" s="806">
        <f t="shared" si="232"/>
        <v>0</v>
      </c>
      <c r="I289" s="624">
        <f t="shared" si="232"/>
        <v>0.15888906830292265</v>
      </c>
      <c r="J289" s="624">
        <f t="shared" si="232"/>
        <v>0</v>
      </c>
      <c r="K289" s="625">
        <f t="shared" si="232"/>
        <v>0</v>
      </c>
      <c r="L289" s="625">
        <f t="shared" si="232"/>
        <v>0</v>
      </c>
      <c r="M289" s="625">
        <f t="shared" si="232"/>
        <v>0</v>
      </c>
      <c r="N289" s="624">
        <f t="shared" si="235"/>
        <v>7.1092669432918393E-2</v>
      </c>
      <c r="O289" s="624">
        <f t="shared" si="233"/>
        <v>0</v>
      </c>
      <c r="P289" s="626">
        <f t="shared" si="233"/>
        <v>0</v>
      </c>
      <c r="Q289" s="624">
        <f t="shared" si="233"/>
        <v>0</v>
      </c>
      <c r="S289" s="349">
        <v>275</v>
      </c>
      <c r="V289" s="349">
        <v>571</v>
      </c>
      <c r="W289" s="349">
        <v>138</v>
      </c>
      <c r="Y289" s="804">
        <v>984</v>
      </c>
      <c r="Z289" s="804"/>
      <c r="AE289" s="804">
        <v>257</v>
      </c>
      <c r="AF289" s="804"/>
      <c r="AH289" s="804"/>
    </row>
    <row r="290" spans="1:34">
      <c r="A290" s="436"/>
      <c r="B290" s="436" t="s">
        <v>59</v>
      </c>
      <c r="C290" s="807">
        <f t="shared" si="234"/>
        <v>1</v>
      </c>
      <c r="D290" s="808">
        <f t="shared" si="232"/>
        <v>0</v>
      </c>
      <c r="E290" s="808">
        <f t="shared" si="232"/>
        <v>0</v>
      </c>
      <c r="F290" s="808">
        <f t="shared" si="232"/>
        <v>1</v>
      </c>
      <c r="G290" s="808">
        <f t="shared" si="232"/>
        <v>1</v>
      </c>
      <c r="H290" s="809">
        <f t="shared" si="232"/>
        <v>0</v>
      </c>
      <c r="I290" s="577">
        <f t="shared" si="232"/>
        <v>1</v>
      </c>
      <c r="J290" s="577">
        <f t="shared" si="232"/>
        <v>0</v>
      </c>
      <c r="K290" s="578">
        <f t="shared" si="232"/>
        <v>0</v>
      </c>
      <c r="L290" s="578">
        <f t="shared" si="232"/>
        <v>0</v>
      </c>
      <c r="M290" s="578">
        <f t="shared" si="232"/>
        <v>0</v>
      </c>
      <c r="N290" s="577">
        <f t="shared" si="235"/>
        <v>1</v>
      </c>
      <c r="O290" s="577">
        <f t="shared" si="233"/>
        <v>0</v>
      </c>
      <c r="P290" s="579">
        <f t="shared" si="233"/>
        <v>0</v>
      </c>
      <c r="Q290" s="577">
        <f t="shared" si="233"/>
        <v>0</v>
      </c>
      <c r="S290" s="349">
        <v>2714</v>
      </c>
      <c r="V290" s="349">
        <v>2742</v>
      </c>
      <c r="W290" s="349">
        <v>737</v>
      </c>
      <c r="Y290" s="804">
        <v>6193</v>
      </c>
      <c r="Z290" s="804"/>
      <c r="AE290" s="804">
        <v>3615</v>
      </c>
      <c r="AF290" s="804"/>
      <c r="AH290" s="804"/>
    </row>
    <row r="291" spans="1:34">
      <c r="A291" s="240" t="s">
        <v>173</v>
      </c>
      <c r="B291" s="240" t="s">
        <v>53</v>
      </c>
      <c r="C291" s="806">
        <f>IF(S$296&gt;0,(S291/S$296),0)</f>
        <v>0.33688405241780978</v>
      </c>
      <c r="D291" s="806">
        <f t="shared" ref="D291:M296" si="236">IF(T$296&gt;0,(T291/T$296),0)</f>
        <v>0.33945686900958466</v>
      </c>
      <c r="E291" s="806">
        <f t="shared" si="236"/>
        <v>0.32202747513027002</v>
      </c>
      <c r="F291" s="806">
        <f t="shared" si="236"/>
        <v>0.32129898403483309</v>
      </c>
      <c r="G291" s="806">
        <f t="shared" si="236"/>
        <v>0.27759320782576596</v>
      </c>
      <c r="H291" s="806">
        <f t="shared" si="236"/>
        <v>0.18366311516996447</v>
      </c>
      <c r="I291" s="613">
        <f t="shared" si="236"/>
        <v>0.31249540159411404</v>
      </c>
      <c r="J291" s="613">
        <f t="shared" si="236"/>
        <v>0</v>
      </c>
      <c r="K291" s="614">
        <f t="shared" si="236"/>
        <v>0</v>
      </c>
      <c r="L291" s="614">
        <f t="shared" si="236"/>
        <v>0</v>
      </c>
      <c r="M291" s="614">
        <f t="shared" si="236"/>
        <v>0</v>
      </c>
      <c r="N291" s="613">
        <f>IF(AE$296&gt;0,(AE291/AE$296),0)</f>
        <v>0.33304157549234137</v>
      </c>
      <c r="O291" s="613">
        <f t="shared" ref="O291:Q296" si="237">IF(AF$296&gt;0,(AF291/AF$296),0)</f>
        <v>0</v>
      </c>
      <c r="P291" s="615">
        <f t="shared" si="237"/>
        <v>0</v>
      </c>
      <c r="Q291" s="613">
        <f t="shared" si="237"/>
        <v>0</v>
      </c>
      <c r="R291" s="799"/>
      <c r="S291" s="800">
        <f>S297+S303+S309+S315+S321+S327+S333+S339+S345</f>
        <v>4396</v>
      </c>
      <c r="T291" s="800">
        <f t="shared" ref="T291:AE291" si="238">T297+T303+T309+T315+T321+T327+T333+T339+T345</f>
        <v>1700</v>
      </c>
      <c r="U291" s="800">
        <f t="shared" si="238"/>
        <v>3399</v>
      </c>
      <c r="V291" s="800">
        <f t="shared" si="238"/>
        <v>1771</v>
      </c>
      <c r="W291" s="800">
        <f t="shared" si="238"/>
        <v>752</v>
      </c>
      <c r="X291" s="800">
        <f t="shared" si="238"/>
        <v>724</v>
      </c>
      <c r="Y291" s="801">
        <f t="shared" si="238"/>
        <v>12742</v>
      </c>
      <c r="Z291" s="801">
        <f t="shared" si="238"/>
        <v>0</v>
      </c>
      <c r="AA291" s="800">
        <f t="shared" si="238"/>
        <v>0</v>
      </c>
      <c r="AB291" s="800">
        <f t="shared" si="238"/>
        <v>0</v>
      </c>
      <c r="AC291" s="800">
        <f t="shared" si="238"/>
        <v>0</v>
      </c>
      <c r="AD291" s="800">
        <f t="shared" si="238"/>
        <v>0</v>
      </c>
      <c r="AE291" s="801">
        <f t="shared" si="238"/>
        <v>4566</v>
      </c>
      <c r="AF291" s="801"/>
      <c r="AG291" s="800"/>
      <c r="AH291" s="801"/>
    </row>
    <row r="292" spans="1:34">
      <c r="A292" s="239"/>
      <c r="B292" s="239" t="s">
        <v>93</v>
      </c>
      <c r="C292" s="806">
        <f t="shared" ref="C292:C296" si="239">IF(S$296&gt;0,(S292/S$296),0)</f>
        <v>0.27120852172580273</v>
      </c>
      <c r="D292" s="806">
        <f t="shared" si="236"/>
        <v>0.29612619808306712</v>
      </c>
      <c r="E292" s="806">
        <f t="shared" si="236"/>
        <v>0.31103742302226434</v>
      </c>
      <c r="F292" s="806">
        <f t="shared" si="236"/>
        <v>0.30152394775036284</v>
      </c>
      <c r="G292" s="806">
        <f t="shared" si="236"/>
        <v>0.32853451458102623</v>
      </c>
      <c r="H292" s="806">
        <f t="shared" si="236"/>
        <v>0.27701674277016741</v>
      </c>
      <c r="I292" s="624">
        <f t="shared" si="236"/>
        <v>0.29304721030042918</v>
      </c>
      <c r="J292" s="624">
        <f t="shared" si="236"/>
        <v>0</v>
      </c>
      <c r="K292" s="625">
        <f t="shared" si="236"/>
        <v>0</v>
      </c>
      <c r="L292" s="625">
        <f t="shared" si="236"/>
        <v>0</v>
      </c>
      <c r="M292" s="625">
        <f t="shared" si="236"/>
        <v>0</v>
      </c>
      <c r="N292" s="624">
        <f t="shared" ref="N292:N296" si="240">IF(AE$296&gt;0,(AE292/AE$296),0)</f>
        <v>0.21816192560175054</v>
      </c>
      <c r="O292" s="624">
        <f t="shared" si="237"/>
        <v>0</v>
      </c>
      <c r="P292" s="626">
        <f t="shared" si="237"/>
        <v>0</v>
      </c>
      <c r="Q292" s="624">
        <f t="shared" si="237"/>
        <v>0</v>
      </c>
      <c r="S292" s="796">
        <f t="shared" ref="S292:AE296" si="241">S298+S304+S310+S316+S322+S328+S334+S340+S346</f>
        <v>3539</v>
      </c>
      <c r="T292" s="796">
        <f t="shared" si="241"/>
        <v>1483</v>
      </c>
      <c r="U292" s="796">
        <f t="shared" si="241"/>
        <v>3283</v>
      </c>
      <c r="V292" s="796">
        <f t="shared" si="241"/>
        <v>1662</v>
      </c>
      <c r="W292" s="796">
        <f t="shared" si="241"/>
        <v>890</v>
      </c>
      <c r="X292" s="796">
        <f t="shared" si="241"/>
        <v>1092</v>
      </c>
      <c r="Y292" s="802">
        <f t="shared" si="241"/>
        <v>11949</v>
      </c>
      <c r="Z292" s="802">
        <f t="shared" si="241"/>
        <v>0</v>
      </c>
      <c r="AA292" s="796">
        <f t="shared" si="241"/>
        <v>0</v>
      </c>
      <c r="AB292" s="796">
        <f t="shared" si="241"/>
        <v>0</v>
      </c>
      <c r="AC292" s="796">
        <f t="shared" si="241"/>
        <v>0</v>
      </c>
      <c r="AD292" s="796">
        <f t="shared" si="241"/>
        <v>0</v>
      </c>
      <c r="AE292" s="802">
        <f t="shared" si="241"/>
        <v>2991</v>
      </c>
      <c r="AF292" s="804"/>
      <c r="AH292" s="804"/>
    </row>
    <row r="293" spans="1:34">
      <c r="A293" s="239"/>
      <c r="B293" s="239" t="s">
        <v>55</v>
      </c>
      <c r="C293" s="806">
        <f t="shared" si="239"/>
        <v>0.25174342861521953</v>
      </c>
      <c r="D293" s="806">
        <f t="shared" si="236"/>
        <v>0.20886581469648563</v>
      </c>
      <c r="E293" s="806">
        <f t="shared" si="236"/>
        <v>0.28043581241117954</v>
      </c>
      <c r="F293" s="806">
        <f t="shared" si="236"/>
        <v>0.2895500725689405</v>
      </c>
      <c r="G293" s="806">
        <f t="shared" si="236"/>
        <v>0.30897009966777411</v>
      </c>
      <c r="H293" s="806">
        <f t="shared" si="236"/>
        <v>0.31481481481481483</v>
      </c>
      <c r="I293" s="624">
        <f t="shared" si="236"/>
        <v>0.26891477621091353</v>
      </c>
      <c r="J293" s="624">
        <f t="shared" si="236"/>
        <v>0</v>
      </c>
      <c r="K293" s="625">
        <f t="shared" si="236"/>
        <v>0</v>
      </c>
      <c r="L293" s="625">
        <f t="shared" si="236"/>
        <v>0</v>
      </c>
      <c r="M293" s="625">
        <f t="shared" si="236"/>
        <v>0</v>
      </c>
      <c r="N293" s="624">
        <f t="shared" si="240"/>
        <v>0.26790663749088256</v>
      </c>
      <c r="O293" s="624">
        <f t="shared" si="237"/>
        <v>0</v>
      </c>
      <c r="P293" s="626">
        <f t="shared" si="237"/>
        <v>0</v>
      </c>
      <c r="Q293" s="624">
        <f t="shared" si="237"/>
        <v>0</v>
      </c>
      <c r="S293" s="796">
        <f t="shared" si="241"/>
        <v>3285</v>
      </c>
      <c r="T293" s="796">
        <f t="shared" si="241"/>
        <v>1046</v>
      </c>
      <c r="U293" s="796">
        <f t="shared" si="241"/>
        <v>2960</v>
      </c>
      <c r="V293" s="796">
        <f t="shared" si="241"/>
        <v>1596</v>
      </c>
      <c r="W293" s="796">
        <f t="shared" si="241"/>
        <v>837</v>
      </c>
      <c r="X293" s="796">
        <f t="shared" si="241"/>
        <v>1241</v>
      </c>
      <c r="Y293" s="802">
        <f t="shared" si="241"/>
        <v>10965</v>
      </c>
      <c r="Z293" s="802">
        <f t="shared" si="241"/>
        <v>0</v>
      </c>
      <c r="AA293" s="796">
        <f t="shared" si="241"/>
        <v>0</v>
      </c>
      <c r="AB293" s="796">
        <f t="shared" si="241"/>
        <v>0</v>
      </c>
      <c r="AC293" s="796">
        <f t="shared" si="241"/>
        <v>0</v>
      </c>
      <c r="AD293" s="796">
        <f t="shared" si="241"/>
        <v>0</v>
      </c>
      <c r="AE293" s="802">
        <f t="shared" si="241"/>
        <v>3673</v>
      </c>
      <c r="AF293" s="804"/>
      <c r="AH293" s="804"/>
    </row>
    <row r="294" spans="1:34">
      <c r="A294" s="239"/>
      <c r="B294" s="239" t="s">
        <v>78</v>
      </c>
      <c r="C294" s="806">
        <f t="shared" si="239"/>
        <v>5.1651467545405776E-2</v>
      </c>
      <c r="D294" s="806">
        <f t="shared" si="236"/>
        <v>3.3546325878594248E-2</v>
      </c>
      <c r="E294" s="806">
        <f t="shared" si="236"/>
        <v>3.6286120322122216E-2</v>
      </c>
      <c r="F294" s="806">
        <f t="shared" si="236"/>
        <v>5.5696661828737302E-2</v>
      </c>
      <c r="G294" s="806">
        <f t="shared" si="236"/>
        <v>2.3255813953488372E-2</v>
      </c>
      <c r="H294" s="806">
        <f t="shared" si="236"/>
        <v>0.16007102993404362</v>
      </c>
      <c r="I294" s="624">
        <f t="shared" si="236"/>
        <v>5.4592274678111591E-2</v>
      </c>
      <c r="J294" s="624">
        <f t="shared" si="236"/>
        <v>0</v>
      </c>
      <c r="K294" s="625">
        <f t="shared" si="236"/>
        <v>0</v>
      </c>
      <c r="L294" s="625">
        <f t="shared" si="236"/>
        <v>0</v>
      </c>
      <c r="M294" s="625">
        <f t="shared" si="236"/>
        <v>0</v>
      </c>
      <c r="N294" s="624">
        <f t="shared" si="240"/>
        <v>0.13515681983953318</v>
      </c>
      <c r="O294" s="624">
        <f t="shared" si="237"/>
        <v>0</v>
      </c>
      <c r="P294" s="626">
        <f t="shared" si="237"/>
        <v>0</v>
      </c>
      <c r="Q294" s="624">
        <f t="shared" si="237"/>
        <v>0</v>
      </c>
      <c r="S294" s="796">
        <f t="shared" si="241"/>
        <v>674</v>
      </c>
      <c r="T294" s="796">
        <f t="shared" si="241"/>
        <v>168</v>
      </c>
      <c r="U294" s="796">
        <f t="shared" si="241"/>
        <v>383</v>
      </c>
      <c r="V294" s="796">
        <f t="shared" si="241"/>
        <v>307</v>
      </c>
      <c r="W294" s="796">
        <f t="shared" si="241"/>
        <v>63</v>
      </c>
      <c r="X294" s="796">
        <f t="shared" si="241"/>
        <v>631</v>
      </c>
      <c r="Y294" s="802">
        <f t="shared" si="241"/>
        <v>2226</v>
      </c>
      <c r="Z294" s="802">
        <f t="shared" si="241"/>
        <v>0</v>
      </c>
      <c r="AA294" s="796">
        <f t="shared" si="241"/>
        <v>0</v>
      </c>
      <c r="AB294" s="796">
        <f t="shared" si="241"/>
        <v>0</v>
      </c>
      <c r="AC294" s="796">
        <f t="shared" si="241"/>
        <v>0</v>
      </c>
      <c r="AD294" s="796">
        <f t="shared" si="241"/>
        <v>0</v>
      </c>
      <c r="AE294" s="802">
        <f t="shared" si="241"/>
        <v>1853</v>
      </c>
      <c r="AF294" s="804"/>
      <c r="AH294" s="804"/>
    </row>
    <row r="295" spans="1:34">
      <c r="A295" s="580"/>
      <c r="B295" s="580" t="s">
        <v>131</v>
      </c>
      <c r="C295" s="806">
        <f t="shared" si="239"/>
        <v>8.8512529695762121E-2</v>
      </c>
      <c r="D295" s="806">
        <f t="shared" si="236"/>
        <v>0.12200479233226837</v>
      </c>
      <c r="E295" s="806">
        <f t="shared" si="236"/>
        <v>5.0213169114163902E-2</v>
      </c>
      <c r="F295" s="806">
        <f t="shared" si="236"/>
        <v>3.1930333817126268E-2</v>
      </c>
      <c r="G295" s="806">
        <f t="shared" si="236"/>
        <v>6.1646363971945367E-2</v>
      </c>
      <c r="H295" s="806">
        <f t="shared" si="236"/>
        <v>6.4434297311009636E-2</v>
      </c>
      <c r="I295" s="624">
        <f t="shared" si="236"/>
        <v>7.0950337216431639E-2</v>
      </c>
      <c r="J295" s="624">
        <f t="shared" si="236"/>
        <v>0</v>
      </c>
      <c r="K295" s="625">
        <f t="shared" si="236"/>
        <v>0</v>
      </c>
      <c r="L295" s="625">
        <f t="shared" si="236"/>
        <v>0</v>
      </c>
      <c r="M295" s="625">
        <f t="shared" si="236"/>
        <v>0</v>
      </c>
      <c r="N295" s="624">
        <f t="shared" si="240"/>
        <v>4.5733041575492343E-2</v>
      </c>
      <c r="O295" s="624">
        <f t="shared" si="237"/>
        <v>0</v>
      </c>
      <c r="P295" s="626">
        <f t="shared" si="237"/>
        <v>0</v>
      </c>
      <c r="Q295" s="624">
        <f t="shared" si="237"/>
        <v>0</v>
      </c>
      <c r="S295" s="796">
        <f t="shared" si="241"/>
        <v>1155</v>
      </c>
      <c r="T295" s="796">
        <f t="shared" si="241"/>
        <v>611</v>
      </c>
      <c r="U295" s="796">
        <f t="shared" si="241"/>
        <v>530</v>
      </c>
      <c r="V295" s="796">
        <f t="shared" si="241"/>
        <v>176</v>
      </c>
      <c r="W295" s="796">
        <f t="shared" si="241"/>
        <v>167</v>
      </c>
      <c r="X295" s="796">
        <f t="shared" si="241"/>
        <v>254</v>
      </c>
      <c r="Y295" s="802">
        <f t="shared" si="241"/>
        <v>2893</v>
      </c>
      <c r="Z295" s="802">
        <f t="shared" si="241"/>
        <v>0</v>
      </c>
      <c r="AA295" s="796">
        <f t="shared" si="241"/>
        <v>0</v>
      </c>
      <c r="AB295" s="796">
        <f t="shared" si="241"/>
        <v>0</v>
      </c>
      <c r="AC295" s="796">
        <f t="shared" si="241"/>
        <v>0</v>
      </c>
      <c r="AD295" s="796">
        <f t="shared" si="241"/>
        <v>0</v>
      </c>
      <c r="AE295" s="802">
        <f t="shared" si="241"/>
        <v>627</v>
      </c>
      <c r="AF295" s="804"/>
      <c r="AH295" s="804"/>
    </row>
    <row r="296" spans="1:34">
      <c r="A296" s="436" t="s">
        <v>86</v>
      </c>
      <c r="B296" s="436" t="s">
        <v>59</v>
      </c>
      <c r="C296" s="807">
        <f t="shared" si="239"/>
        <v>1</v>
      </c>
      <c r="D296" s="808">
        <f t="shared" si="236"/>
        <v>1</v>
      </c>
      <c r="E296" s="808">
        <f t="shared" si="236"/>
        <v>1</v>
      </c>
      <c r="F296" s="808">
        <f t="shared" si="236"/>
        <v>1</v>
      </c>
      <c r="G296" s="808">
        <f t="shared" si="236"/>
        <v>1</v>
      </c>
      <c r="H296" s="809">
        <f t="shared" si="236"/>
        <v>1</v>
      </c>
      <c r="I296" s="577">
        <f t="shared" si="236"/>
        <v>1</v>
      </c>
      <c r="J296" s="577">
        <f t="shared" si="236"/>
        <v>0</v>
      </c>
      <c r="K296" s="578">
        <f t="shared" si="236"/>
        <v>0</v>
      </c>
      <c r="L296" s="578">
        <f t="shared" si="236"/>
        <v>0</v>
      </c>
      <c r="M296" s="578">
        <f t="shared" si="236"/>
        <v>0</v>
      </c>
      <c r="N296" s="577">
        <f t="shared" si="240"/>
        <v>1</v>
      </c>
      <c r="O296" s="577">
        <f t="shared" si="237"/>
        <v>0</v>
      </c>
      <c r="P296" s="579">
        <f t="shared" si="237"/>
        <v>0</v>
      </c>
      <c r="Q296" s="577">
        <f t="shared" si="237"/>
        <v>0</v>
      </c>
      <c r="S296" s="796">
        <f t="shared" si="241"/>
        <v>13049</v>
      </c>
      <c r="T296" s="796">
        <f t="shared" si="241"/>
        <v>5008</v>
      </c>
      <c r="U296" s="796">
        <f t="shared" si="241"/>
        <v>10555</v>
      </c>
      <c r="V296" s="796">
        <f t="shared" si="241"/>
        <v>5512</v>
      </c>
      <c r="W296" s="796">
        <f t="shared" si="241"/>
        <v>2709</v>
      </c>
      <c r="X296" s="796">
        <f t="shared" si="241"/>
        <v>3942</v>
      </c>
      <c r="Y296" s="802">
        <f t="shared" si="241"/>
        <v>40775</v>
      </c>
      <c r="Z296" s="802">
        <f t="shared" si="241"/>
        <v>0</v>
      </c>
      <c r="AA296" s="796">
        <f t="shared" si="241"/>
        <v>0</v>
      </c>
      <c r="AB296" s="796">
        <f t="shared" si="241"/>
        <v>0</v>
      </c>
      <c r="AC296" s="796">
        <f t="shared" si="241"/>
        <v>0</v>
      </c>
      <c r="AD296" s="796">
        <f t="shared" si="241"/>
        <v>0</v>
      </c>
      <c r="AE296" s="802">
        <f t="shared" si="241"/>
        <v>13710</v>
      </c>
      <c r="AF296" s="804"/>
      <c r="AH296" s="804"/>
    </row>
    <row r="297" spans="1:34">
      <c r="A297" s="240" t="s">
        <v>140</v>
      </c>
      <c r="B297" s="240" t="s">
        <v>53</v>
      </c>
      <c r="C297" s="806">
        <f>IF(S$302&gt;0,(S297/S$302),0)</f>
        <v>0.35029940119760478</v>
      </c>
      <c r="D297" s="806">
        <f t="shared" ref="D297:M302" si="242">IF(T$302&gt;0,(T297/T$302),0)</f>
        <v>0</v>
      </c>
      <c r="E297" s="806">
        <f t="shared" si="242"/>
        <v>0.41505131128848349</v>
      </c>
      <c r="F297" s="806">
        <f t="shared" si="242"/>
        <v>0.43111111111111111</v>
      </c>
      <c r="G297" s="806">
        <f t="shared" si="242"/>
        <v>0.41968911917098445</v>
      </c>
      <c r="H297" s="806">
        <f t="shared" si="242"/>
        <v>0</v>
      </c>
      <c r="I297" s="613">
        <f t="shared" si="242"/>
        <v>0.38388445458000758</v>
      </c>
      <c r="J297" s="613">
        <f t="shared" si="242"/>
        <v>0</v>
      </c>
      <c r="K297" s="614">
        <f t="shared" si="242"/>
        <v>0</v>
      </c>
      <c r="L297" s="614">
        <f t="shared" si="242"/>
        <v>0</v>
      </c>
      <c r="M297" s="614">
        <f t="shared" si="242"/>
        <v>0</v>
      </c>
      <c r="N297" s="613">
        <f>IF(AE$302&gt;0,(AE297/AE$302),0)</f>
        <v>0.49066002490660027</v>
      </c>
      <c r="O297" s="613">
        <f t="shared" ref="O297:Q302" si="243">IF(AF$302&gt;0,(AF297/AF$302),0)</f>
        <v>0</v>
      </c>
      <c r="P297" s="615">
        <f t="shared" si="243"/>
        <v>0</v>
      </c>
      <c r="Q297" s="613">
        <f t="shared" si="243"/>
        <v>0</v>
      </c>
      <c r="R297" s="799"/>
      <c r="S297" s="798">
        <v>468</v>
      </c>
      <c r="T297" s="798"/>
      <c r="U297" s="798">
        <v>364</v>
      </c>
      <c r="V297" s="798">
        <v>97</v>
      </c>
      <c r="W297" s="798">
        <v>81</v>
      </c>
      <c r="X297" s="798"/>
      <c r="Y297" s="803">
        <v>1010</v>
      </c>
      <c r="Z297" s="803"/>
      <c r="AA297" s="798"/>
      <c r="AB297" s="798"/>
      <c r="AC297" s="798"/>
      <c r="AD297" s="798"/>
      <c r="AE297" s="803">
        <v>394</v>
      </c>
      <c r="AF297" s="803"/>
      <c r="AG297" s="798"/>
      <c r="AH297" s="803"/>
    </row>
    <row r="298" spans="1:34">
      <c r="A298" s="239"/>
      <c r="B298" s="239" t="s">
        <v>93</v>
      </c>
      <c r="C298" s="806">
        <f t="shared" ref="C298:C302" si="244">IF(S$302&gt;0,(S298/S$302),0)</f>
        <v>0.31511976047904194</v>
      </c>
      <c r="D298" s="806">
        <f t="shared" si="242"/>
        <v>0</v>
      </c>
      <c r="E298" s="806">
        <f t="shared" si="242"/>
        <v>0.27480045610034209</v>
      </c>
      <c r="F298" s="806">
        <f t="shared" si="242"/>
        <v>0.22222222222222221</v>
      </c>
      <c r="G298" s="806">
        <f t="shared" si="242"/>
        <v>0.33678756476683935</v>
      </c>
      <c r="H298" s="806">
        <f t="shared" si="242"/>
        <v>0</v>
      </c>
      <c r="I298" s="624">
        <f t="shared" si="242"/>
        <v>0.29532497149372861</v>
      </c>
      <c r="J298" s="624">
        <f t="shared" si="242"/>
        <v>0</v>
      </c>
      <c r="K298" s="625">
        <f t="shared" si="242"/>
        <v>0</v>
      </c>
      <c r="L298" s="625">
        <f t="shared" si="242"/>
        <v>0</v>
      </c>
      <c r="M298" s="625">
        <f t="shared" si="242"/>
        <v>0</v>
      </c>
      <c r="N298" s="624">
        <f t="shared" ref="N298:N302" si="245">IF(AE$302&gt;0,(AE298/AE$302),0)</f>
        <v>0.18804483188044832</v>
      </c>
      <c r="O298" s="624">
        <f t="shared" si="243"/>
        <v>0</v>
      </c>
      <c r="P298" s="626">
        <f t="shared" si="243"/>
        <v>0</v>
      </c>
      <c r="Q298" s="624">
        <f t="shared" si="243"/>
        <v>0</v>
      </c>
      <c r="S298" s="349">
        <v>421</v>
      </c>
      <c r="U298" s="349">
        <v>241</v>
      </c>
      <c r="V298" s="349">
        <v>50</v>
      </c>
      <c r="W298" s="349">
        <v>65</v>
      </c>
      <c r="Y298" s="804">
        <v>777</v>
      </c>
      <c r="Z298" s="804"/>
      <c r="AE298" s="804">
        <v>151</v>
      </c>
      <c r="AF298" s="804"/>
      <c r="AH298" s="804"/>
    </row>
    <row r="299" spans="1:34">
      <c r="A299" s="239"/>
      <c r="B299" s="239" t="s">
        <v>55</v>
      </c>
      <c r="C299" s="806">
        <f t="shared" si="244"/>
        <v>0.26497005988023953</v>
      </c>
      <c r="D299" s="806">
        <f t="shared" si="242"/>
        <v>0</v>
      </c>
      <c r="E299" s="806">
        <f t="shared" si="242"/>
        <v>0.25997719498289623</v>
      </c>
      <c r="F299" s="806">
        <f t="shared" si="242"/>
        <v>0.31555555555555553</v>
      </c>
      <c r="G299" s="806">
        <f t="shared" si="242"/>
        <v>0.23316062176165803</v>
      </c>
      <c r="H299" s="806">
        <f t="shared" si="242"/>
        <v>0</v>
      </c>
      <c r="I299" s="624">
        <f t="shared" si="242"/>
        <v>0.2652983656404409</v>
      </c>
      <c r="J299" s="624">
        <f t="shared" si="242"/>
        <v>0</v>
      </c>
      <c r="K299" s="625">
        <f t="shared" si="242"/>
        <v>0</v>
      </c>
      <c r="L299" s="625">
        <f t="shared" si="242"/>
        <v>0</v>
      </c>
      <c r="M299" s="625">
        <f t="shared" si="242"/>
        <v>0</v>
      </c>
      <c r="N299" s="624">
        <f t="shared" si="245"/>
        <v>0.15193026151930261</v>
      </c>
      <c r="O299" s="624">
        <f t="shared" si="243"/>
        <v>0</v>
      </c>
      <c r="P299" s="626">
        <f t="shared" si="243"/>
        <v>0</v>
      </c>
      <c r="Q299" s="624">
        <f t="shared" si="243"/>
        <v>0</v>
      </c>
      <c r="S299" s="349">
        <v>354</v>
      </c>
      <c r="U299" s="349">
        <v>228</v>
      </c>
      <c r="V299" s="349">
        <v>71</v>
      </c>
      <c r="W299" s="349">
        <v>45</v>
      </c>
      <c r="Y299" s="804">
        <v>698</v>
      </c>
      <c r="Z299" s="804"/>
      <c r="AE299" s="804">
        <v>122</v>
      </c>
      <c r="AF299" s="804"/>
      <c r="AH299" s="804"/>
    </row>
    <row r="300" spans="1:34">
      <c r="A300" s="239"/>
      <c r="B300" s="239" t="s">
        <v>78</v>
      </c>
      <c r="C300" s="806">
        <f t="shared" si="244"/>
        <v>2.8443113772455089E-2</v>
      </c>
      <c r="D300" s="806">
        <f t="shared" si="242"/>
        <v>0</v>
      </c>
      <c r="E300" s="806">
        <f t="shared" si="242"/>
        <v>5.0171037628278223E-2</v>
      </c>
      <c r="F300" s="806">
        <f t="shared" si="242"/>
        <v>3.111111111111111E-2</v>
      </c>
      <c r="G300" s="806">
        <f t="shared" si="242"/>
        <v>1.0362694300518135E-2</v>
      </c>
      <c r="H300" s="806">
        <f t="shared" si="242"/>
        <v>0</v>
      </c>
      <c r="I300" s="624">
        <f t="shared" si="242"/>
        <v>3.4587609274040289E-2</v>
      </c>
      <c r="J300" s="624">
        <f t="shared" si="242"/>
        <v>0</v>
      </c>
      <c r="K300" s="625">
        <f t="shared" si="242"/>
        <v>0</v>
      </c>
      <c r="L300" s="625">
        <f t="shared" si="242"/>
        <v>0</v>
      </c>
      <c r="M300" s="625">
        <f t="shared" si="242"/>
        <v>0</v>
      </c>
      <c r="N300" s="624">
        <f t="shared" si="245"/>
        <v>0.11207970112079702</v>
      </c>
      <c r="O300" s="624">
        <f t="shared" si="243"/>
        <v>0</v>
      </c>
      <c r="P300" s="626">
        <f t="shared" si="243"/>
        <v>0</v>
      </c>
      <c r="Q300" s="624">
        <f t="shared" si="243"/>
        <v>0</v>
      </c>
      <c r="S300" s="349">
        <v>38</v>
      </c>
      <c r="U300" s="349">
        <v>44</v>
      </c>
      <c r="V300" s="349">
        <v>7</v>
      </c>
      <c r="W300" s="349">
        <v>2</v>
      </c>
      <c r="Y300" s="804">
        <v>91</v>
      </c>
      <c r="Z300" s="804"/>
      <c r="AE300" s="804">
        <v>90</v>
      </c>
      <c r="AF300" s="804"/>
      <c r="AH300" s="804"/>
    </row>
    <row r="301" spans="1:34">
      <c r="A301" s="580"/>
      <c r="B301" s="580" t="s">
        <v>131</v>
      </c>
      <c r="C301" s="806">
        <f t="shared" si="244"/>
        <v>4.1167664670658681E-2</v>
      </c>
      <c r="D301" s="806">
        <f t="shared" si="242"/>
        <v>0</v>
      </c>
      <c r="E301" s="806">
        <f t="shared" si="242"/>
        <v>0</v>
      </c>
      <c r="F301" s="806">
        <f t="shared" si="242"/>
        <v>0</v>
      </c>
      <c r="G301" s="806">
        <f t="shared" si="242"/>
        <v>0</v>
      </c>
      <c r="H301" s="806">
        <f t="shared" si="242"/>
        <v>0</v>
      </c>
      <c r="I301" s="624">
        <f t="shared" si="242"/>
        <v>2.0904599011782592E-2</v>
      </c>
      <c r="J301" s="624">
        <f t="shared" si="242"/>
        <v>0</v>
      </c>
      <c r="K301" s="625">
        <f t="shared" si="242"/>
        <v>0</v>
      </c>
      <c r="L301" s="625">
        <f t="shared" si="242"/>
        <v>0</v>
      </c>
      <c r="M301" s="625">
        <f t="shared" si="242"/>
        <v>0</v>
      </c>
      <c r="N301" s="624">
        <f t="shared" si="245"/>
        <v>5.7285180572851806E-2</v>
      </c>
      <c r="O301" s="624">
        <f t="shared" si="243"/>
        <v>0</v>
      </c>
      <c r="P301" s="626">
        <f t="shared" si="243"/>
        <v>0</v>
      </c>
      <c r="Q301" s="624">
        <f t="shared" si="243"/>
        <v>0</v>
      </c>
      <c r="S301" s="349">
        <v>55</v>
      </c>
      <c r="Y301" s="804">
        <v>55</v>
      </c>
      <c r="Z301" s="804"/>
      <c r="AE301" s="804">
        <v>46</v>
      </c>
      <c r="AF301" s="804"/>
      <c r="AH301" s="804"/>
    </row>
    <row r="302" spans="1:34">
      <c r="A302" s="436"/>
      <c r="B302" s="436" t="s">
        <v>59</v>
      </c>
      <c r="C302" s="807">
        <f t="shared" si="244"/>
        <v>1</v>
      </c>
      <c r="D302" s="808">
        <f t="shared" si="242"/>
        <v>0</v>
      </c>
      <c r="E302" s="808">
        <f t="shared" si="242"/>
        <v>1</v>
      </c>
      <c r="F302" s="808">
        <f t="shared" si="242"/>
        <v>1</v>
      </c>
      <c r="G302" s="808">
        <f t="shared" si="242"/>
        <v>1</v>
      </c>
      <c r="H302" s="809">
        <f t="shared" si="242"/>
        <v>0</v>
      </c>
      <c r="I302" s="577">
        <f t="shared" si="242"/>
        <v>1</v>
      </c>
      <c r="J302" s="577">
        <f t="shared" si="242"/>
        <v>0</v>
      </c>
      <c r="K302" s="578">
        <f t="shared" si="242"/>
        <v>0</v>
      </c>
      <c r="L302" s="578">
        <f t="shared" si="242"/>
        <v>0</v>
      </c>
      <c r="M302" s="578">
        <f t="shared" si="242"/>
        <v>0</v>
      </c>
      <c r="N302" s="577">
        <f t="shared" si="245"/>
        <v>1</v>
      </c>
      <c r="O302" s="577">
        <f t="shared" si="243"/>
        <v>0</v>
      </c>
      <c r="P302" s="579">
        <f t="shared" si="243"/>
        <v>0</v>
      </c>
      <c r="Q302" s="577">
        <f t="shared" si="243"/>
        <v>0</v>
      </c>
      <c r="S302" s="349">
        <v>1336</v>
      </c>
      <c r="U302" s="349">
        <v>877</v>
      </c>
      <c r="V302" s="349">
        <v>225</v>
      </c>
      <c r="W302" s="349">
        <v>193</v>
      </c>
      <c r="Y302" s="804">
        <v>2631</v>
      </c>
      <c r="Z302" s="804"/>
      <c r="AE302" s="804">
        <v>803</v>
      </c>
      <c r="AF302" s="804"/>
      <c r="AH302" s="804"/>
    </row>
    <row r="303" spans="1:34">
      <c r="A303" s="240" t="s">
        <v>148</v>
      </c>
      <c r="B303" s="240" t="s">
        <v>53</v>
      </c>
      <c r="C303" s="806">
        <f>IF(S$308&gt;0,(S303/S$308),0)</f>
        <v>0</v>
      </c>
      <c r="D303" s="806">
        <f t="shared" ref="D303:M308" si="246">IF(T$308&gt;0,(T303/T$308),0)</f>
        <v>0.35604770017035775</v>
      </c>
      <c r="E303" s="806">
        <f t="shared" si="246"/>
        <v>0.32303370786516855</v>
      </c>
      <c r="F303" s="806">
        <f t="shared" si="246"/>
        <v>0</v>
      </c>
      <c r="G303" s="806">
        <f t="shared" si="246"/>
        <v>0</v>
      </c>
      <c r="H303" s="806">
        <f t="shared" si="246"/>
        <v>0.2857142857142857</v>
      </c>
      <c r="I303" s="613">
        <f t="shared" si="246"/>
        <v>0.32861635220125784</v>
      </c>
      <c r="J303" s="613">
        <f t="shared" si="246"/>
        <v>0</v>
      </c>
      <c r="K303" s="614">
        <f t="shared" si="246"/>
        <v>0</v>
      </c>
      <c r="L303" s="614">
        <f t="shared" si="246"/>
        <v>0</v>
      </c>
      <c r="M303" s="614">
        <f t="shared" si="246"/>
        <v>0</v>
      </c>
      <c r="N303" s="613">
        <f>IF(AE$308&gt;0,(AE303/AE$308),0)</f>
        <v>9.2753623188405798E-2</v>
      </c>
      <c r="O303" s="613">
        <f t="shared" ref="O303:Q308" si="247">IF(AF$308&gt;0,(AF303/AF$308),0)</f>
        <v>0</v>
      </c>
      <c r="P303" s="615">
        <f t="shared" si="247"/>
        <v>0</v>
      </c>
      <c r="Q303" s="613">
        <f t="shared" si="247"/>
        <v>0</v>
      </c>
      <c r="R303" s="799"/>
      <c r="S303" s="798"/>
      <c r="T303" s="798">
        <v>209</v>
      </c>
      <c r="U303" s="798">
        <v>115</v>
      </c>
      <c r="V303" s="798"/>
      <c r="W303" s="798"/>
      <c r="X303" s="798">
        <v>94</v>
      </c>
      <c r="Y303" s="803">
        <v>418</v>
      </c>
      <c r="Z303" s="803"/>
      <c r="AA303" s="798"/>
      <c r="AB303" s="798"/>
      <c r="AC303" s="798"/>
      <c r="AD303" s="798"/>
      <c r="AE303" s="803">
        <v>32</v>
      </c>
      <c r="AF303" s="803"/>
      <c r="AG303" s="798"/>
      <c r="AH303" s="803"/>
    </row>
    <row r="304" spans="1:34">
      <c r="A304" s="239"/>
      <c r="B304" s="239" t="s">
        <v>93</v>
      </c>
      <c r="C304" s="806">
        <f t="shared" ref="C304:C308" si="248">IF(S$308&gt;0,(S304/S$308),0)</f>
        <v>0</v>
      </c>
      <c r="D304" s="806">
        <f t="shared" si="246"/>
        <v>0.33390119250425893</v>
      </c>
      <c r="E304" s="806">
        <f t="shared" si="246"/>
        <v>0.43820224719101125</v>
      </c>
      <c r="F304" s="806">
        <f t="shared" si="246"/>
        <v>0</v>
      </c>
      <c r="G304" s="806">
        <f t="shared" si="246"/>
        <v>0</v>
      </c>
      <c r="H304" s="806">
        <f t="shared" si="246"/>
        <v>0.32826747720364741</v>
      </c>
      <c r="I304" s="624">
        <f t="shared" si="246"/>
        <v>0.36163522012578614</v>
      </c>
      <c r="J304" s="624">
        <f t="shared" si="246"/>
        <v>0</v>
      </c>
      <c r="K304" s="625">
        <f t="shared" si="246"/>
        <v>0</v>
      </c>
      <c r="L304" s="625">
        <f t="shared" si="246"/>
        <v>0</v>
      </c>
      <c r="M304" s="625">
        <f t="shared" si="246"/>
        <v>0</v>
      </c>
      <c r="N304" s="624">
        <f t="shared" ref="N304:N308" si="249">IF(AE$308&gt;0,(AE304/AE$308),0)</f>
        <v>4.3478260869565216E-2</v>
      </c>
      <c r="O304" s="624">
        <f t="shared" si="247"/>
        <v>0</v>
      </c>
      <c r="P304" s="626">
        <f t="shared" si="247"/>
        <v>0</v>
      </c>
      <c r="Q304" s="624">
        <f t="shared" si="247"/>
        <v>0</v>
      </c>
      <c r="T304" s="349">
        <v>196</v>
      </c>
      <c r="U304" s="349">
        <v>156</v>
      </c>
      <c r="X304" s="349">
        <v>108</v>
      </c>
      <c r="Y304" s="804">
        <v>460</v>
      </c>
      <c r="Z304" s="804"/>
      <c r="AE304" s="804">
        <v>15</v>
      </c>
      <c r="AF304" s="804"/>
      <c r="AH304" s="804"/>
    </row>
    <row r="305" spans="1:34">
      <c r="A305" s="239"/>
      <c r="B305" s="239" t="s">
        <v>55</v>
      </c>
      <c r="C305" s="806">
        <f t="shared" si="248"/>
        <v>0</v>
      </c>
      <c r="D305" s="806">
        <f t="shared" si="246"/>
        <v>0.1362862010221465</v>
      </c>
      <c r="E305" s="806">
        <f t="shared" si="246"/>
        <v>0.10393258426966293</v>
      </c>
      <c r="F305" s="806">
        <f t="shared" si="246"/>
        <v>0</v>
      </c>
      <c r="G305" s="806">
        <f t="shared" si="246"/>
        <v>0</v>
      </c>
      <c r="H305" s="806">
        <f t="shared" si="246"/>
        <v>0.25227963525835867</v>
      </c>
      <c r="I305" s="624">
        <f t="shared" si="246"/>
        <v>0.15723270440251572</v>
      </c>
      <c r="J305" s="624">
        <f t="shared" si="246"/>
        <v>0</v>
      </c>
      <c r="K305" s="625">
        <f t="shared" si="246"/>
        <v>0</v>
      </c>
      <c r="L305" s="625">
        <f t="shared" si="246"/>
        <v>0</v>
      </c>
      <c r="M305" s="625">
        <f t="shared" si="246"/>
        <v>0</v>
      </c>
      <c r="N305" s="624">
        <f t="shared" si="249"/>
        <v>8.4057971014492749E-2</v>
      </c>
      <c r="O305" s="624">
        <f t="shared" si="247"/>
        <v>0</v>
      </c>
      <c r="P305" s="626">
        <f t="shared" si="247"/>
        <v>0</v>
      </c>
      <c r="Q305" s="624">
        <f t="shared" si="247"/>
        <v>0</v>
      </c>
      <c r="T305" s="349">
        <v>80</v>
      </c>
      <c r="U305" s="349">
        <v>37</v>
      </c>
      <c r="X305" s="349">
        <v>83</v>
      </c>
      <c r="Y305" s="804">
        <v>200</v>
      </c>
      <c r="Z305" s="804"/>
      <c r="AE305" s="804">
        <v>29</v>
      </c>
      <c r="AF305" s="804"/>
      <c r="AH305" s="804"/>
    </row>
    <row r="306" spans="1:34">
      <c r="A306" s="239"/>
      <c r="B306" s="239" t="s">
        <v>78</v>
      </c>
      <c r="C306" s="806">
        <f t="shared" si="248"/>
        <v>0</v>
      </c>
      <c r="D306" s="806">
        <f t="shared" si="246"/>
        <v>1.3628620102214651E-2</v>
      </c>
      <c r="E306" s="806">
        <f t="shared" si="246"/>
        <v>1.9662921348314606E-2</v>
      </c>
      <c r="F306" s="806">
        <f t="shared" si="246"/>
        <v>0</v>
      </c>
      <c r="G306" s="806">
        <f t="shared" si="246"/>
        <v>0</v>
      </c>
      <c r="H306" s="806">
        <f t="shared" si="246"/>
        <v>4.8632218844984802E-2</v>
      </c>
      <c r="I306" s="624">
        <f t="shared" si="246"/>
        <v>2.4371069182389939E-2</v>
      </c>
      <c r="J306" s="624">
        <f t="shared" si="246"/>
        <v>0</v>
      </c>
      <c r="K306" s="625">
        <f t="shared" si="246"/>
        <v>0</v>
      </c>
      <c r="L306" s="625">
        <f t="shared" si="246"/>
        <v>0</v>
      </c>
      <c r="M306" s="625">
        <f t="shared" si="246"/>
        <v>0</v>
      </c>
      <c r="N306" s="624">
        <f t="shared" si="249"/>
        <v>0.61159420289855071</v>
      </c>
      <c r="O306" s="624">
        <f t="shared" si="247"/>
        <v>0</v>
      </c>
      <c r="P306" s="626">
        <f t="shared" si="247"/>
        <v>0</v>
      </c>
      <c r="Q306" s="624">
        <f t="shared" si="247"/>
        <v>0</v>
      </c>
      <c r="T306" s="349">
        <v>8</v>
      </c>
      <c r="U306" s="349">
        <v>7</v>
      </c>
      <c r="X306" s="349">
        <v>16</v>
      </c>
      <c r="Y306" s="804">
        <v>31</v>
      </c>
      <c r="Z306" s="804"/>
      <c r="AE306" s="804">
        <v>211</v>
      </c>
      <c r="AF306" s="804"/>
      <c r="AH306" s="804"/>
    </row>
    <row r="307" spans="1:34">
      <c r="A307" s="580"/>
      <c r="B307" s="580" t="s">
        <v>131</v>
      </c>
      <c r="C307" s="806">
        <f t="shared" si="248"/>
        <v>0</v>
      </c>
      <c r="D307" s="806">
        <f t="shared" si="246"/>
        <v>0.16013628620102216</v>
      </c>
      <c r="E307" s="806">
        <f t="shared" si="246"/>
        <v>0.1151685393258427</v>
      </c>
      <c r="F307" s="806">
        <f t="shared" si="246"/>
        <v>0</v>
      </c>
      <c r="G307" s="806">
        <f t="shared" si="246"/>
        <v>0</v>
      </c>
      <c r="H307" s="806">
        <f t="shared" si="246"/>
        <v>8.5106382978723402E-2</v>
      </c>
      <c r="I307" s="624">
        <f t="shared" si="246"/>
        <v>0.12814465408805031</v>
      </c>
      <c r="J307" s="624">
        <f t="shared" si="246"/>
        <v>0</v>
      </c>
      <c r="K307" s="625">
        <f t="shared" si="246"/>
        <v>0</v>
      </c>
      <c r="L307" s="625">
        <f t="shared" si="246"/>
        <v>0</v>
      </c>
      <c r="M307" s="625">
        <f t="shared" si="246"/>
        <v>0</v>
      </c>
      <c r="N307" s="624">
        <f t="shared" si="249"/>
        <v>0.1681159420289855</v>
      </c>
      <c r="O307" s="624">
        <f t="shared" si="247"/>
        <v>0</v>
      </c>
      <c r="P307" s="626">
        <f t="shared" si="247"/>
        <v>0</v>
      </c>
      <c r="Q307" s="624">
        <f t="shared" si="247"/>
        <v>0</v>
      </c>
      <c r="T307" s="349">
        <v>94</v>
      </c>
      <c r="U307" s="349">
        <v>41</v>
      </c>
      <c r="X307" s="349">
        <v>28</v>
      </c>
      <c r="Y307" s="804">
        <v>163</v>
      </c>
      <c r="Z307" s="804"/>
      <c r="AE307" s="804">
        <v>58</v>
      </c>
      <c r="AF307" s="804"/>
      <c r="AH307" s="804"/>
    </row>
    <row r="308" spans="1:34" ht="15" customHeight="1">
      <c r="A308" s="436"/>
      <c r="B308" s="436" t="s">
        <v>59</v>
      </c>
      <c r="C308" s="807">
        <f t="shared" si="248"/>
        <v>0</v>
      </c>
      <c r="D308" s="808">
        <f t="shared" si="246"/>
        <v>1</v>
      </c>
      <c r="E308" s="808">
        <f t="shared" si="246"/>
        <v>1</v>
      </c>
      <c r="F308" s="808">
        <f t="shared" si="246"/>
        <v>0</v>
      </c>
      <c r="G308" s="808">
        <f t="shared" si="246"/>
        <v>0</v>
      </c>
      <c r="H308" s="809">
        <f t="shared" si="246"/>
        <v>1</v>
      </c>
      <c r="I308" s="577">
        <f t="shared" si="246"/>
        <v>1</v>
      </c>
      <c r="J308" s="577">
        <f t="shared" si="246"/>
        <v>0</v>
      </c>
      <c r="K308" s="578">
        <f t="shared" si="246"/>
        <v>0</v>
      </c>
      <c r="L308" s="578">
        <f t="shared" si="246"/>
        <v>0</v>
      </c>
      <c r="M308" s="578">
        <f t="shared" si="246"/>
        <v>0</v>
      </c>
      <c r="N308" s="577">
        <f t="shared" si="249"/>
        <v>1</v>
      </c>
      <c r="O308" s="577">
        <f t="shared" si="247"/>
        <v>0</v>
      </c>
      <c r="P308" s="579">
        <f t="shared" si="247"/>
        <v>0</v>
      </c>
      <c r="Q308" s="577">
        <f t="shared" si="247"/>
        <v>0</v>
      </c>
      <c r="T308" s="349">
        <v>587</v>
      </c>
      <c r="U308" s="349">
        <v>356</v>
      </c>
      <c r="X308" s="349">
        <v>329</v>
      </c>
      <c r="Y308" s="804">
        <v>1272</v>
      </c>
      <c r="Z308" s="804"/>
      <c r="AE308" s="804">
        <v>345</v>
      </c>
      <c r="AF308" s="804"/>
      <c r="AH308" s="804"/>
    </row>
    <row r="309" spans="1:34">
      <c r="A309" s="240" t="s">
        <v>147</v>
      </c>
      <c r="B309" s="240" t="s">
        <v>53</v>
      </c>
      <c r="C309" s="806">
        <f>IF(S$314&gt;0,(S309/S$314),0)</f>
        <v>0.37346437346437344</v>
      </c>
      <c r="D309" s="806">
        <f t="shared" ref="D309:M314" si="250">IF(T$314&gt;0,(T309/T$314),0)</f>
        <v>0.29117647058823531</v>
      </c>
      <c r="E309" s="806">
        <f t="shared" si="250"/>
        <v>0.35285913528591351</v>
      </c>
      <c r="F309" s="806">
        <f t="shared" si="250"/>
        <v>0.35391705069124424</v>
      </c>
      <c r="G309" s="806">
        <f t="shared" si="250"/>
        <v>0.45238095238095238</v>
      </c>
      <c r="H309" s="806">
        <f t="shared" si="250"/>
        <v>0</v>
      </c>
      <c r="I309" s="613">
        <f t="shared" si="250"/>
        <v>0.34601405379210082</v>
      </c>
      <c r="J309" s="613">
        <f t="shared" si="250"/>
        <v>0</v>
      </c>
      <c r="K309" s="614">
        <f t="shared" si="250"/>
        <v>0</v>
      </c>
      <c r="L309" s="614">
        <f t="shared" si="250"/>
        <v>0</v>
      </c>
      <c r="M309" s="614">
        <f t="shared" si="250"/>
        <v>0</v>
      </c>
      <c r="N309" s="613">
        <f>IF(AE$314&gt;0,(AE309/AE$314),0)</f>
        <v>0.58453802639849151</v>
      </c>
      <c r="O309" s="613">
        <f t="shared" ref="O309:Q314" si="251">IF(AF$314&gt;0,(AF309/AF$314),0)</f>
        <v>0</v>
      </c>
      <c r="P309" s="615">
        <f t="shared" si="251"/>
        <v>0</v>
      </c>
      <c r="Q309" s="613">
        <f t="shared" si="251"/>
        <v>0</v>
      </c>
      <c r="R309" s="799"/>
      <c r="S309" s="798">
        <v>456</v>
      </c>
      <c r="T309" s="798">
        <v>297</v>
      </c>
      <c r="U309" s="798">
        <v>253</v>
      </c>
      <c r="V309" s="798">
        <v>384</v>
      </c>
      <c r="W309" s="798">
        <v>38</v>
      </c>
      <c r="X309" s="798"/>
      <c r="Y309" s="803">
        <v>1428</v>
      </c>
      <c r="Z309" s="803"/>
      <c r="AA309" s="798"/>
      <c r="AB309" s="798"/>
      <c r="AC309" s="798"/>
      <c r="AD309" s="798"/>
      <c r="AE309" s="803">
        <v>930</v>
      </c>
      <c r="AF309" s="803"/>
      <c r="AG309" s="798"/>
      <c r="AH309" s="803"/>
    </row>
    <row r="310" spans="1:34">
      <c r="A310" s="239"/>
      <c r="B310" s="239" t="s">
        <v>93</v>
      </c>
      <c r="C310" s="806">
        <f t="shared" ref="C310:C314" si="252">IF(S$314&gt;0,(S310/S$314),0)</f>
        <v>0.2334152334152334</v>
      </c>
      <c r="D310" s="806">
        <f t="shared" si="250"/>
        <v>0.28333333333333333</v>
      </c>
      <c r="E310" s="806">
        <f t="shared" si="250"/>
        <v>0.26778242677824265</v>
      </c>
      <c r="F310" s="806">
        <f t="shared" si="250"/>
        <v>0.26175115207373273</v>
      </c>
      <c r="G310" s="806">
        <f t="shared" si="250"/>
        <v>0.23809523809523808</v>
      </c>
      <c r="H310" s="806">
        <f t="shared" si="250"/>
        <v>0</v>
      </c>
      <c r="I310" s="624">
        <f t="shared" si="250"/>
        <v>0.25926823358371698</v>
      </c>
      <c r="J310" s="624">
        <f t="shared" si="250"/>
        <v>0</v>
      </c>
      <c r="K310" s="625">
        <f t="shared" si="250"/>
        <v>0</v>
      </c>
      <c r="L310" s="625">
        <f t="shared" si="250"/>
        <v>0</v>
      </c>
      <c r="M310" s="625">
        <f t="shared" si="250"/>
        <v>0</v>
      </c>
      <c r="N310" s="624">
        <f t="shared" ref="N310:N314" si="253">IF(AE$314&gt;0,(AE310/AE$314),0)</f>
        <v>0.16970458830923948</v>
      </c>
      <c r="O310" s="624">
        <f t="shared" si="251"/>
        <v>0</v>
      </c>
      <c r="P310" s="626">
        <f t="shared" si="251"/>
        <v>0</v>
      </c>
      <c r="Q310" s="624">
        <f t="shared" si="251"/>
        <v>0</v>
      </c>
      <c r="S310" s="349">
        <v>285</v>
      </c>
      <c r="T310" s="349">
        <v>289</v>
      </c>
      <c r="U310" s="349">
        <v>192</v>
      </c>
      <c r="V310" s="349">
        <v>284</v>
      </c>
      <c r="W310" s="349">
        <v>20</v>
      </c>
      <c r="Y310" s="804">
        <v>1070</v>
      </c>
      <c r="Z310" s="804"/>
      <c r="AE310" s="804">
        <v>270</v>
      </c>
      <c r="AF310" s="804"/>
      <c r="AH310" s="804"/>
    </row>
    <row r="311" spans="1:34">
      <c r="A311" s="239"/>
      <c r="B311" s="239" t="s">
        <v>55</v>
      </c>
      <c r="C311" s="806">
        <f t="shared" si="252"/>
        <v>0.2194922194922195</v>
      </c>
      <c r="D311" s="806">
        <f t="shared" si="250"/>
        <v>0.23823529411764705</v>
      </c>
      <c r="E311" s="806">
        <f t="shared" si="250"/>
        <v>0.26220362622036264</v>
      </c>
      <c r="F311" s="806">
        <f t="shared" si="250"/>
        <v>0.34746543778801842</v>
      </c>
      <c r="G311" s="806">
        <f t="shared" si="250"/>
        <v>0.26190476190476192</v>
      </c>
      <c r="H311" s="806">
        <f t="shared" si="250"/>
        <v>0</v>
      </c>
      <c r="I311" s="624">
        <f t="shared" si="250"/>
        <v>0.2660528228737582</v>
      </c>
      <c r="J311" s="624">
        <f t="shared" si="250"/>
        <v>0</v>
      </c>
      <c r="K311" s="625">
        <f t="shared" si="250"/>
        <v>0</v>
      </c>
      <c r="L311" s="625">
        <f t="shared" si="250"/>
        <v>0</v>
      </c>
      <c r="M311" s="625">
        <f t="shared" si="250"/>
        <v>0</v>
      </c>
      <c r="N311" s="624">
        <f t="shared" si="253"/>
        <v>0.16781898177247015</v>
      </c>
      <c r="O311" s="624">
        <f t="shared" si="251"/>
        <v>0</v>
      </c>
      <c r="P311" s="626">
        <f t="shared" si="251"/>
        <v>0</v>
      </c>
      <c r="Q311" s="624">
        <f t="shared" si="251"/>
        <v>0</v>
      </c>
      <c r="S311" s="349">
        <v>268</v>
      </c>
      <c r="T311" s="349">
        <v>243</v>
      </c>
      <c r="U311" s="349">
        <v>188</v>
      </c>
      <c r="V311" s="349">
        <v>377</v>
      </c>
      <c r="W311" s="349">
        <v>22</v>
      </c>
      <c r="Y311" s="804">
        <v>1098</v>
      </c>
      <c r="Z311" s="804"/>
      <c r="AE311" s="804">
        <v>267</v>
      </c>
      <c r="AF311" s="804"/>
      <c r="AH311" s="804"/>
    </row>
    <row r="312" spans="1:34">
      <c r="A312" s="239"/>
      <c r="B312" s="239" t="s">
        <v>78</v>
      </c>
      <c r="C312" s="806">
        <f t="shared" si="252"/>
        <v>1.6380016380016381E-3</v>
      </c>
      <c r="D312" s="806">
        <f t="shared" si="250"/>
        <v>1.0784313725490196E-2</v>
      </c>
      <c r="E312" s="806">
        <f t="shared" si="250"/>
        <v>1.6736401673640166E-2</v>
      </c>
      <c r="F312" s="806">
        <f t="shared" si="250"/>
        <v>3.6866359447004608E-2</v>
      </c>
      <c r="G312" s="806">
        <f t="shared" si="250"/>
        <v>4.7619047619047616E-2</v>
      </c>
      <c r="H312" s="806">
        <f t="shared" si="250"/>
        <v>0</v>
      </c>
      <c r="I312" s="624">
        <f t="shared" si="250"/>
        <v>1.6719166464744365E-2</v>
      </c>
      <c r="J312" s="624">
        <f t="shared" si="250"/>
        <v>0</v>
      </c>
      <c r="K312" s="625">
        <f t="shared" si="250"/>
        <v>0</v>
      </c>
      <c r="L312" s="625">
        <f t="shared" si="250"/>
        <v>0</v>
      </c>
      <c r="M312" s="625">
        <f t="shared" si="250"/>
        <v>0</v>
      </c>
      <c r="N312" s="624">
        <f t="shared" si="253"/>
        <v>7.2910119421747327E-2</v>
      </c>
      <c r="O312" s="624">
        <f t="shared" si="251"/>
        <v>0</v>
      </c>
      <c r="P312" s="626">
        <f t="shared" si="251"/>
        <v>0</v>
      </c>
      <c r="Q312" s="624">
        <f t="shared" si="251"/>
        <v>0</v>
      </c>
      <c r="S312" s="349">
        <v>2</v>
      </c>
      <c r="T312" s="349">
        <v>11</v>
      </c>
      <c r="U312" s="349">
        <v>12</v>
      </c>
      <c r="V312" s="349">
        <v>40</v>
      </c>
      <c r="W312" s="349">
        <v>4</v>
      </c>
      <c r="Y312" s="804">
        <v>69</v>
      </c>
      <c r="Z312" s="804"/>
      <c r="AE312" s="804">
        <v>116</v>
      </c>
      <c r="AF312" s="804"/>
      <c r="AH312" s="804"/>
    </row>
    <row r="313" spans="1:34">
      <c r="A313" s="580"/>
      <c r="B313" s="580" t="s">
        <v>131</v>
      </c>
      <c r="C313" s="806">
        <f t="shared" si="252"/>
        <v>0.171990171990172</v>
      </c>
      <c r="D313" s="806">
        <f t="shared" si="250"/>
        <v>0.17647058823529413</v>
      </c>
      <c r="E313" s="806">
        <f t="shared" si="250"/>
        <v>0.100418410041841</v>
      </c>
      <c r="F313" s="806">
        <f t="shared" si="250"/>
        <v>0</v>
      </c>
      <c r="G313" s="806">
        <f t="shared" si="250"/>
        <v>0</v>
      </c>
      <c r="H313" s="806">
        <f t="shared" si="250"/>
        <v>0</v>
      </c>
      <c r="I313" s="624">
        <f t="shared" si="250"/>
        <v>0.11194572328567967</v>
      </c>
      <c r="J313" s="624">
        <f t="shared" si="250"/>
        <v>0</v>
      </c>
      <c r="K313" s="625">
        <f t="shared" si="250"/>
        <v>0</v>
      </c>
      <c r="L313" s="625">
        <f t="shared" si="250"/>
        <v>0</v>
      </c>
      <c r="M313" s="625">
        <f t="shared" si="250"/>
        <v>0</v>
      </c>
      <c r="N313" s="624">
        <f t="shared" si="253"/>
        <v>5.02828409805154E-3</v>
      </c>
      <c r="O313" s="624">
        <f t="shared" si="251"/>
        <v>0</v>
      </c>
      <c r="P313" s="626">
        <f t="shared" si="251"/>
        <v>0</v>
      </c>
      <c r="Q313" s="624">
        <f t="shared" si="251"/>
        <v>0</v>
      </c>
      <c r="S313" s="349">
        <v>210</v>
      </c>
      <c r="T313" s="349">
        <v>180</v>
      </c>
      <c r="U313" s="349">
        <v>72</v>
      </c>
      <c r="Y313" s="804">
        <v>462</v>
      </c>
      <c r="Z313" s="804"/>
      <c r="AE313" s="804">
        <v>8</v>
      </c>
      <c r="AF313" s="804"/>
      <c r="AH313" s="804"/>
    </row>
    <row r="314" spans="1:34">
      <c r="A314" s="436"/>
      <c r="B314" s="436" t="s">
        <v>59</v>
      </c>
      <c r="C314" s="807">
        <f t="shared" si="252"/>
        <v>1</v>
      </c>
      <c r="D314" s="808">
        <f t="shared" si="250"/>
        <v>1</v>
      </c>
      <c r="E314" s="808">
        <f t="shared" si="250"/>
        <v>1</v>
      </c>
      <c r="F314" s="808">
        <f t="shared" si="250"/>
        <v>1</v>
      </c>
      <c r="G314" s="808">
        <f t="shared" si="250"/>
        <v>1</v>
      </c>
      <c r="H314" s="809">
        <f t="shared" si="250"/>
        <v>0</v>
      </c>
      <c r="I314" s="577">
        <f t="shared" si="250"/>
        <v>1</v>
      </c>
      <c r="J314" s="577">
        <f t="shared" si="250"/>
        <v>0</v>
      </c>
      <c r="K314" s="578">
        <f t="shared" si="250"/>
        <v>0</v>
      </c>
      <c r="L314" s="578">
        <f t="shared" si="250"/>
        <v>0</v>
      </c>
      <c r="M314" s="578">
        <f t="shared" si="250"/>
        <v>0</v>
      </c>
      <c r="N314" s="577">
        <f t="shared" si="253"/>
        <v>1</v>
      </c>
      <c r="O314" s="577">
        <f t="shared" si="251"/>
        <v>0</v>
      </c>
      <c r="P314" s="579">
        <f t="shared" si="251"/>
        <v>0</v>
      </c>
      <c r="Q314" s="577">
        <f t="shared" si="251"/>
        <v>0</v>
      </c>
      <c r="S314" s="349">
        <v>1221</v>
      </c>
      <c r="T314" s="349">
        <v>1020</v>
      </c>
      <c r="U314" s="349">
        <v>717</v>
      </c>
      <c r="V314" s="349">
        <v>1085</v>
      </c>
      <c r="W314" s="349">
        <v>84</v>
      </c>
      <c r="Y314" s="804">
        <v>4127</v>
      </c>
      <c r="Z314" s="804"/>
      <c r="AE314" s="804">
        <v>1591</v>
      </c>
      <c r="AF314" s="804"/>
      <c r="AH314" s="804"/>
    </row>
    <row r="315" spans="1:34">
      <c r="A315" s="240" t="s">
        <v>155</v>
      </c>
      <c r="B315" s="240" t="s">
        <v>53</v>
      </c>
      <c r="C315" s="806">
        <f>IF(S$320&gt;0,(S315/S$320),0)</f>
        <v>0</v>
      </c>
      <c r="D315" s="806">
        <f t="shared" ref="D315:M320" si="254">IF(T$320&gt;0,(T315/T$320),0)</f>
        <v>0.38486312399355876</v>
      </c>
      <c r="E315" s="806">
        <f t="shared" si="254"/>
        <v>0</v>
      </c>
      <c r="F315" s="806">
        <f t="shared" si="254"/>
        <v>0.41176470588235292</v>
      </c>
      <c r="G315" s="806">
        <f t="shared" si="254"/>
        <v>0.39805825242718446</v>
      </c>
      <c r="H315" s="806">
        <f t="shared" si="254"/>
        <v>0.19354838709677419</v>
      </c>
      <c r="I315" s="613">
        <f t="shared" si="254"/>
        <v>0.38660287081339711</v>
      </c>
      <c r="J315" s="613">
        <f t="shared" si="254"/>
        <v>0</v>
      </c>
      <c r="K315" s="614">
        <f t="shared" si="254"/>
        <v>0</v>
      </c>
      <c r="L315" s="614">
        <f t="shared" si="254"/>
        <v>0</v>
      </c>
      <c r="M315" s="614">
        <f t="shared" si="254"/>
        <v>0</v>
      </c>
      <c r="N315" s="613">
        <f>IF(AE$320&gt;0,(AE315/AE$320),0)</f>
        <v>0.72327044025157228</v>
      </c>
      <c r="O315" s="613">
        <f t="shared" ref="O315:Q320" si="255">IF(AF$320&gt;0,(AF315/AF$320),0)</f>
        <v>0</v>
      </c>
      <c r="P315" s="615">
        <f t="shared" si="255"/>
        <v>0</v>
      </c>
      <c r="Q315" s="613">
        <f t="shared" si="255"/>
        <v>0</v>
      </c>
      <c r="R315" s="799"/>
      <c r="S315" s="798"/>
      <c r="T315" s="798">
        <v>239</v>
      </c>
      <c r="U315" s="798"/>
      <c r="V315" s="798">
        <v>77</v>
      </c>
      <c r="W315" s="798">
        <v>82</v>
      </c>
      <c r="X315" s="798">
        <v>6</v>
      </c>
      <c r="Y315" s="803">
        <v>404</v>
      </c>
      <c r="Z315" s="803"/>
      <c r="AA315" s="798"/>
      <c r="AB315" s="798"/>
      <c r="AC315" s="798"/>
      <c r="AD315" s="798"/>
      <c r="AE315" s="803">
        <v>230</v>
      </c>
      <c r="AF315" s="803"/>
      <c r="AG315" s="798"/>
      <c r="AH315" s="803"/>
    </row>
    <row r="316" spans="1:34">
      <c r="A316" s="239"/>
      <c r="B316" s="239" t="s">
        <v>93</v>
      </c>
      <c r="C316" s="806">
        <f t="shared" ref="C316:C320" si="256">IF(S$320&gt;0,(S316/S$320),0)</f>
        <v>0</v>
      </c>
      <c r="D316" s="806">
        <f t="shared" si="254"/>
        <v>0.38164251207729466</v>
      </c>
      <c r="E316" s="806">
        <f t="shared" si="254"/>
        <v>0</v>
      </c>
      <c r="F316" s="806">
        <f t="shared" si="254"/>
        <v>0.26737967914438504</v>
      </c>
      <c r="G316" s="806">
        <f t="shared" si="254"/>
        <v>0.24757281553398058</v>
      </c>
      <c r="H316" s="806">
        <f t="shared" si="254"/>
        <v>0.58064516129032262</v>
      </c>
      <c r="I316" s="624">
        <f t="shared" si="254"/>
        <v>0.34066985645933012</v>
      </c>
      <c r="J316" s="624">
        <f t="shared" si="254"/>
        <v>0</v>
      </c>
      <c r="K316" s="625">
        <f t="shared" si="254"/>
        <v>0</v>
      </c>
      <c r="L316" s="625">
        <f t="shared" si="254"/>
        <v>0</v>
      </c>
      <c r="M316" s="625">
        <f t="shared" si="254"/>
        <v>0</v>
      </c>
      <c r="N316" s="624">
        <f t="shared" ref="N316:N320" si="257">IF(AE$320&gt;0,(AE316/AE$320),0)</f>
        <v>0.19811320754716982</v>
      </c>
      <c r="O316" s="624">
        <f t="shared" si="255"/>
        <v>0</v>
      </c>
      <c r="P316" s="626">
        <f t="shared" si="255"/>
        <v>0</v>
      </c>
      <c r="Q316" s="624">
        <f t="shared" si="255"/>
        <v>0</v>
      </c>
      <c r="T316" s="349">
        <v>237</v>
      </c>
      <c r="V316" s="349">
        <v>50</v>
      </c>
      <c r="W316" s="349">
        <v>51</v>
      </c>
      <c r="X316" s="349">
        <v>18</v>
      </c>
      <c r="Y316" s="804">
        <v>356</v>
      </c>
      <c r="Z316" s="804"/>
      <c r="AE316" s="804">
        <v>63</v>
      </c>
      <c r="AF316" s="804"/>
      <c r="AH316" s="804"/>
    </row>
    <row r="317" spans="1:34">
      <c r="A317" s="239"/>
      <c r="B317" s="239" t="s">
        <v>55</v>
      </c>
      <c r="C317" s="806">
        <f t="shared" si="256"/>
        <v>0</v>
      </c>
      <c r="D317" s="806">
        <f t="shared" si="254"/>
        <v>0.22705314009661837</v>
      </c>
      <c r="E317" s="806">
        <f t="shared" si="254"/>
        <v>0</v>
      </c>
      <c r="F317" s="806">
        <f t="shared" si="254"/>
        <v>0.19786096256684493</v>
      </c>
      <c r="G317" s="806">
        <f t="shared" si="254"/>
        <v>0.29126213592233008</v>
      </c>
      <c r="H317" s="806">
        <f t="shared" si="254"/>
        <v>0.16129032258064516</v>
      </c>
      <c r="I317" s="624">
        <f t="shared" si="254"/>
        <v>0.23253588516746412</v>
      </c>
      <c r="J317" s="624">
        <f t="shared" si="254"/>
        <v>0</v>
      </c>
      <c r="K317" s="625">
        <f t="shared" si="254"/>
        <v>0</v>
      </c>
      <c r="L317" s="625">
        <f t="shared" si="254"/>
        <v>0</v>
      </c>
      <c r="M317" s="625">
        <f t="shared" si="254"/>
        <v>0</v>
      </c>
      <c r="N317" s="624">
        <f t="shared" si="257"/>
        <v>5.9748427672955975E-2</v>
      </c>
      <c r="O317" s="624">
        <f t="shared" si="255"/>
        <v>0</v>
      </c>
      <c r="P317" s="626">
        <f t="shared" si="255"/>
        <v>0</v>
      </c>
      <c r="Q317" s="624">
        <f t="shared" si="255"/>
        <v>0</v>
      </c>
      <c r="T317" s="349">
        <v>141</v>
      </c>
      <c r="V317" s="349">
        <v>37</v>
      </c>
      <c r="W317" s="349">
        <v>60</v>
      </c>
      <c r="X317" s="349">
        <v>5</v>
      </c>
      <c r="Y317" s="804">
        <v>243</v>
      </c>
      <c r="Z317" s="804"/>
      <c r="AE317" s="804">
        <v>19</v>
      </c>
      <c r="AF317" s="804"/>
      <c r="AH317" s="804"/>
    </row>
    <row r="318" spans="1:34">
      <c r="A318" s="239"/>
      <c r="B318" s="239" t="s">
        <v>78</v>
      </c>
      <c r="C318" s="806">
        <f t="shared" si="256"/>
        <v>0</v>
      </c>
      <c r="D318" s="806">
        <f t="shared" si="254"/>
        <v>0</v>
      </c>
      <c r="E318" s="806">
        <f t="shared" si="254"/>
        <v>0</v>
      </c>
      <c r="F318" s="806">
        <f t="shared" si="254"/>
        <v>5.3475935828877002E-3</v>
      </c>
      <c r="G318" s="806">
        <f t="shared" si="254"/>
        <v>3.3980582524271843E-2</v>
      </c>
      <c r="H318" s="806">
        <f t="shared" si="254"/>
        <v>0</v>
      </c>
      <c r="I318" s="624">
        <f t="shared" si="254"/>
        <v>7.6555023923444978E-3</v>
      </c>
      <c r="J318" s="624">
        <f t="shared" si="254"/>
        <v>0</v>
      </c>
      <c r="K318" s="625">
        <f t="shared" si="254"/>
        <v>0</v>
      </c>
      <c r="L318" s="625">
        <f t="shared" si="254"/>
        <v>0</v>
      </c>
      <c r="M318" s="625">
        <f t="shared" si="254"/>
        <v>0</v>
      </c>
      <c r="N318" s="624">
        <f t="shared" si="257"/>
        <v>1.8867924528301886E-2</v>
      </c>
      <c r="O318" s="624">
        <f t="shared" si="255"/>
        <v>0</v>
      </c>
      <c r="P318" s="626">
        <f t="shared" si="255"/>
        <v>0</v>
      </c>
      <c r="Q318" s="624">
        <f t="shared" si="255"/>
        <v>0</v>
      </c>
      <c r="V318" s="349">
        <v>1</v>
      </c>
      <c r="W318" s="349">
        <v>7</v>
      </c>
      <c r="Y318" s="804">
        <v>8</v>
      </c>
      <c r="Z318" s="804"/>
      <c r="AE318" s="804">
        <v>6</v>
      </c>
      <c r="AF318" s="804"/>
      <c r="AH318" s="804"/>
    </row>
    <row r="319" spans="1:34">
      <c r="A319" s="580"/>
      <c r="B319" s="580" t="s">
        <v>131</v>
      </c>
      <c r="C319" s="806">
        <f t="shared" si="256"/>
        <v>0</v>
      </c>
      <c r="D319" s="806">
        <f t="shared" si="254"/>
        <v>6.4412238325281803E-3</v>
      </c>
      <c r="E319" s="806">
        <f t="shared" si="254"/>
        <v>0</v>
      </c>
      <c r="F319" s="806">
        <f t="shared" si="254"/>
        <v>0.11764705882352941</v>
      </c>
      <c r="G319" s="806">
        <f t="shared" si="254"/>
        <v>2.9126213592233011E-2</v>
      </c>
      <c r="H319" s="806">
        <f t="shared" si="254"/>
        <v>6.4516129032258063E-2</v>
      </c>
      <c r="I319" s="624">
        <f t="shared" si="254"/>
        <v>3.2535885167464113E-2</v>
      </c>
      <c r="J319" s="624">
        <f t="shared" si="254"/>
        <v>0</v>
      </c>
      <c r="K319" s="625">
        <f t="shared" si="254"/>
        <v>0</v>
      </c>
      <c r="L319" s="625">
        <f t="shared" si="254"/>
        <v>0</v>
      </c>
      <c r="M319" s="625">
        <f t="shared" si="254"/>
        <v>0</v>
      </c>
      <c r="N319" s="624">
        <f t="shared" si="257"/>
        <v>0</v>
      </c>
      <c r="O319" s="624">
        <f t="shared" si="255"/>
        <v>0</v>
      </c>
      <c r="P319" s="626">
        <f t="shared" si="255"/>
        <v>0</v>
      </c>
      <c r="Q319" s="624">
        <f t="shared" si="255"/>
        <v>0</v>
      </c>
      <c r="T319" s="349">
        <v>4</v>
      </c>
      <c r="V319" s="349">
        <v>22</v>
      </c>
      <c r="W319" s="349">
        <v>6</v>
      </c>
      <c r="X319" s="349">
        <v>2</v>
      </c>
      <c r="Y319" s="804">
        <v>34</v>
      </c>
      <c r="Z319" s="804"/>
      <c r="AE319" s="804"/>
      <c r="AF319" s="804"/>
      <c r="AH319" s="804"/>
    </row>
    <row r="320" spans="1:34">
      <c r="A320" s="436"/>
      <c r="B320" s="436" t="s">
        <v>59</v>
      </c>
      <c r="C320" s="807">
        <f t="shared" si="256"/>
        <v>0</v>
      </c>
      <c r="D320" s="808">
        <f t="shared" si="254"/>
        <v>1</v>
      </c>
      <c r="E320" s="808">
        <f t="shared" si="254"/>
        <v>0</v>
      </c>
      <c r="F320" s="808">
        <f t="shared" si="254"/>
        <v>1</v>
      </c>
      <c r="G320" s="808">
        <f t="shared" si="254"/>
        <v>1</v>
      </c>
      <c r="H320" s="809">
        <f t="shared" si="254"/>
        <v>1</v>
      </c>
      <c r="I320" s="577">
        <f t="shared" si="254"/>
        <v>1</v>
      </c>
      <c r="J320" s="577">
        <f t="shared" si="254"/>
        <v>0</v>
      </c>
      <c r="K320" s="578">
        <f t="shared" si="254"/>
        <v>0</v>
      </c>
      <c r="L320" s="578">
        <f t="shared" si="254"/>
        <v>0</v>
      </c>
      <c r="M320" s="578">
        <f t="shared" si="254"/>
        <v>0</v>
      </c>
      <c r="N320" s="577">
        <f t="shared" si="257"/>
        <v>1</v>
      </c>
      <c r="O320" s="577">
        <f t="shared" si="255"/>
        <v>0</v>
      </c>
      <c r="P320" s="579">
        <f t="shared" si="255"/>
        <v>0</v>
      </c>
      <c r="Q320" s="577">
        <f t="shared" si="255"/>
        <v>0</v>
      </c>
      <c r="T320" s="349">
        <v>621</v>
      </c>
      <c r="V320" s="349">
        <v>187</v>
      </c>
      <c r="W320" s="349">
        <v>206</v>
      </c>
      <c r="X320" s="349">
        <v>31</v>
      </c>
      <c r="Y320" s="804">
        <v>1045</v>
      </c>
      <c r="Z320" s="804"/>
      <c r="AE320" s="804">
        <v>318</v>
      </c>
      <c r="AF320" s="804"/>
      <c r="AH320" s="804"/>
    </row>
    <row r="321" spans="1:34">
      <c r="A321" s="240" t="s">
        <v>156</v>
      </c>
      <c r="B321" s="240" t="s">
        <v>53</v>
      </c>
      <c r="C321" s="806">
        <f>IF(S$326&gt;0,(S321/S$326),0)</f>
        <v>0.42684331797235026</v>
      </c>
      <c r="D321" s="806">
        <f t="shared" ref="D321:M326" si="258">IF(T$326&gt;0,(T321/T$326),0)</f>
        <v>0.34915254237288135</v>
      </c>
      <c r="E321" s="806">
        <f t="shared" si="258"/>
        <v>0.33858668022369087</v>
      </c>
      <c r="F321" s="806">
        <f t="shared" si="258"/>
        <v>0.2857142857142857</v>
      </c>
      <c r="G321" s="806">
        <f t="shared" si="258"/>
        <v>0.27865961199294531</v>
      </c>
      <c r="H321" s="806">
        <f t="shared" si="258"/>
        <v>0</v>
      </c>
      <c r="I321" s="613">
        <f t="shared" si="258"/>
        <v>0.35633802816901411</v>
      </c>
      <c r="J321" s="613">
        <f t="shared" si="258"/>
        <v>0</v>
      </c>
      <c r="K321" s="614">
        <f t="shared" si="258"/>
        <v>0</v>
      </c>
      <c r="L321" s="614">
        <f t="shared" si="258"/>
        <v>0</v>
      </c>
      <c r="M321" s="614">
        <f t="shared" si="258"/>
        <v>0</v>
      </c>
      <c r="N321" s="613">
        <f>IF(AE$326&gt;0,(AE321/AE$326),0)</f>
        <v>0.24477473293079424</v>
      </c>
      <c r="O321" s="613">
        <f t="shared" ref="O321:Q326" si="259">IF(AF$326&gt;0,(AF321/AF$326),0)</f>
        <v>0</v>
      </c>
      <c r="P321" s="615">
        <f t="shared" si="259"/>
        <v>0</v>
      </c>
      <c r="Q321" s="613">
        <f t="shared" si="259"/>
        <v>0</v>
      </c>
      <c r="R321" s="799"/>
      <c r="S321" s="798">
        <v>741</v>
      </c>
      <c r="T321" s="798">
        <v>309</v>
      </c>
      <c r="U321" s="798">
        <v>666</v>
      </c>
      <c r="V321" s="798">
        <v>150</v>
      </c>
      <c r="W321" s="798">
        <v>158</v>
      </c>
      <c r="X321" s="798"/>
      <c r="Y321" s="803">
        <v>2024</v>
      </c>
      <c r="Z321" s="803"/>
      <c r="AA321" s="798"/>
      <c r="AB321" s="798"/>
      <c r="AC321" s="798"/>
      <c r="AD321" s="798"/>
      <c r="AE321" s="803">
        <v>527</v>
      </c>
      <c r="AF321" s="803"/>
      <c r="AG321" s="798"/>
      <c r="AH321" s="803"/>
    </row>
    <row r="322" spans="1:34">
      <c r="A322" s="239"/>
      <c r="B322" s="239" t="s">
        <v>93</v>
      </c>
      <c r="C322" s="806">
        <f t="shared" ref="C322:C326" si="260">IF(S$326&gt;0,(S322/S$326),0)</f>
        <v>0.26555299539170507</v>
      </c>
      <c r="D322" s="806">
        <f t="shared" si="258"/>
        <v>0.24180790960451978</v>
      </c>
      <c r="E322" s="806">
        <f t="shared" si="258"/>
        <v>0.32079308591764105</v>
      </c>
      <c r="F322" s="806">
        <f t="shared" si="258"/>
        <v>0.41333333333333333</v>
      </c>
      <c r="G322" s="806">
        <f t="shared" si="258"/>
        <v>0.36331569664902996</v>
      </c>
      <c r="H322" s="806">
        <f t="shared" si="258"/>
        <v>0</v>
      </c>
      <c r="I322" s="624">
        <f t="shared" si="258"/>
        <v>0.30440140845070424</v>
      </c>
      <c r="J322" s="624">
        <f t="shared" si="258"/>
        <v>0</v>
      </c>
      <c r="K322" s="625">
        <f t="shared" si="258"/>
        <v>0</v>
      </c>
      <c r="L322" s="625">
        <f t="shared" si="258"/>
        <v>0</v>
      </c>
      <c r="M322" s="625">
        <f t="shared" si="258"/>
        <v>0</v>
      </c>
      <c r="N322" s="624">
        <f t="shared" ref="N322:N326" si="261">IF(AE$326&gt;0,(AE322/AE$326),0)</f>
        <v>0.24477473293079424</v>
      </c>
      <c r="O322" s="624">
        <f t="shared" si="259"/>
        <v>0</v>
      </c>
      <c r="P322" s="626">
        <f t="shared" si="259"/>
        <v>0</v>
      </c>
      <c r="Q322" s="624">
        <f t="shared" si="259"/>
        <v>0</v>
      </c>
      <c r="S322" s="349">
        <v>461</v>
      </c>
      <c r="T322" s="349">
        <v>214</v>
      </c>
      <c r="U322" s="349">
        <v>631</v>
      </c>
      <c r="V322" s="349">
        <v>217</v>
      </c>
      <c r="W322" s="349">
        <v>206</v>
      </c>
      <c r="Y322" s="804">
        <v>1729</v>
      </c>
      <c r="Z322" s="804"/>
      <c r="AE322" s="804">
        <v>527</v>
      </c>
      <c r="AF322" s="804"/>
      <c r="AH322" s="804"/>
    </row>
    <row r="323" spans="1:34">
      <c r="A323" s="239"/>
      <c r="B323" s="239" t="s">
        <v>55</v>
      </c>
      <c r="C323" s="806">
        <f t="shared" si="260"/>
        <v>0.17972350230414746</v>
      </c>
      <c r="D323" s="806">
        <f t="shared" si="258"/>
        <v>0.18757062146892656</v>
      </c>
      <c r="E323" s="806">
        <f t="shared" si="258"/>
        <v>0.30096593797661414</v>
      </c>
      <c r="F323" s="806">
        <f t="shared" si="258"/>
        <v>0.29333333333333333</v>
      </c>
      <c r="G323" s="806">
        <f t="shared" si="258"/>
        <v>0.3439153439153439</v>
      </c>
      <c r="H323" s="806">
        <f t="shared" si="258"/>
        <v>0</v>
      </c>
      <c r="I323" s="624">
        <f t="shared" si="258"/>
        <v>0.24982394366197183</v>
      </c>
      <c r="J323" s="624">
        <f t="shared" si="258"/>
        <v>0</v>
      </c>
      <c r="K323" s="625">
        <f t="shared" si="258"/>
        <v>0</v>
      </c>
      <c r="L323" s="625">
        <f t="shared" si="258"/>
        <v>0</v>
      </c>
      <c r="M323" s="625">
        <f t="shared" si="258"/>
        <v>0</v>
      </c>
      <c r="N323" s="624">
        <f t="shared" si="261"/>
        <v>0.32187645146307475</v>
      </c>
      <c r="O323" s="624">
        <f t="shared" si="259"/>
        <v>0</v>
      </c>
      <c r="P323" s="626">
        <f t="shared" si="259"/>
        <v>0</v>
      </c>
      <c r="Q323" s="624">
        <f t="shared" si="259"/>
        <v>0</v>
      </c>
      <c r="S323" s="349">
        <v>312</v>
      </c>
      <c r="T323" s="349">
        <v>166</v>
      </c>
      <c r="U323" s="349">
        <v>592</v>
      </c>
      <c r="V323" s="349">
        <v>154</v>
      </c>
      <c r="W323" s="349">
        <v>195</v>
      </c>
      <c r="Y323" s="804">
        <v>1419</v>
      </c>
      <c r="Z323" s="804"/>
      <c r="AE323" s="804">
        <v>693</v>
      </c>
      <c r="AF323" s="804"/>
      <c r="AH323" s="804"/>
    </row>
    <row r="324" spans="1:34">
      <c r="A324" s="239"/>
      <c r="B324" s="239" t="s">
        <v>78</v>
      </c>
      <c r="C324" s="806">
        <f t="shared" si="260"/>
        <v>8.5829493087557607E-2</v>
      </c>
      <c r="D324" s="806">
        <f t="shared" si="258"/>
        <v>8.2485875706214684E-2</v>
      </c>
      <c r="E324" s="806">
        <f t="shared" si="258"/>
        <v>3.1011692933401117E-2</v>
      </c>
      <c r="F324" s="806">
        <f t="shared" si="258"/>
        <v>7.619047619047619E-3</v>
      </c>
      <c r="G324" s="806">
        <f t="shared" si="258"/>
        <v>1.4109347442680775E-2</v>
      </c>
      <c r="H324" s="806">
        <f t="shared" si="258"/>
        <v>0</v>
      </c>
      <c r="I324" s="624">
        <f t="shared" si="258"/>
        <v>5.1936619718309859E-2</v>
      </c>
      <c r="J324" s="624">
        <f t="shared" si="258"/>
        <v>0</v>
      </c>
      <c r="K324" s="625">
        <f t="shared" si="258"/>
        <v>0</v>
      </c>
      <c r="L324" s="625">
        <f t="shared" si="258"/>
        <v>0</v>
      </c>
      <c r="M324" s="625">
        <f t="shared" si="258"/>
        <v>0</v>
      </c>
      <c r="N324" s="624">
        <f t="shared" si="261"/>
        <v>0.14677194612169067</v>
      </c>
      <c r="O324" s="624">
        <f t="shared" si="259"/>
        <v>0</v>
      </c>
      <c r="P324" s="626">
        <f t="shared" si="259"/>
        <v>0</v>
      </c>
      <c r="Q324" s="624">
        <f t="shared" si="259"/>
        <v>0</v>
      </c>
      <c r="S324" s="349">
        <v>149</v>
      </c>
      <c r="T324" s="349">
        <v>73</v>
      </c>
      <c r="U324" s="349">
        <v>61</v>
      </c>
      <c r="V324" s="349">
        <v>4</v>
      </c>
      <c r="W324" s="349">
        <v>8</v>
      </c>
      <c r="Y324" s="804">
        <v>295</v>
      </c>
      <c r="Z324" s="804"/>
      <c r="AE324" s="804">
        <v>316</v>
      </c>
      <c r="AF324" s="804"/>
      <c r="AH324" s="804"/>
    </row>
    <row r="325" spans="1:34">
      <c r="A325" s="580"/>
      <c r="B325" s="580" t="s">
        <v>131</v>
      </c>
      <c r="C325" s="806">
        <f t="shared" si="260"/>
        <v>4.205069124423963E-2</v>
      </c>
      <c r="D325" s="806">
        <f t="shared" si="258"/>
        <v>0.13898305084745763</v>
      </c>
      <c r="E325" s="806">
        <f t="shared" si="258"/>
        <v>8.6426029486527702E-3</v>
      </c>
      <c r="F325" s="806">
        <f t="shared" si="258"/>
        <v>0</v>
      </c>
      <c r="G325" s="806">
        <f t="shared" si="258"/>
        <v>0</v>
      </c>
      <c r="H325" s="806">
        <f t="shared" si="258"/>
        <v>0</v>
      </c>
      <c r="I325" s="624">
        <f t="shared" si="258"/>
        <v>3.7499999999999999E-2</v>
      </c>
      <c r="J325" s="624">
        <f t="shared" si="258"/>
        <v>0</v>
      </c>
      <c r="K325" s="625">
        <f t="shared" si="258"/>
        <v>0</v>
      </c>
      <c r="L325" s="625">
        <f t="shared" si="258"/>
        <v>0</v>
      </c>
      <c r="M325" s="625">
        <f t="shared" si="258"/>
        <v>0</v>
      </c>
      <c r="N325" s="624">
        <f t="shared" si="261"/>
        <v>4.1802136553646077E-2</v>
      </c>
      <c r="O325" s="624">
        <f t="shared" si="259"/>
        <v>0</v>
      </c>
      <c r="P325" s="626">
        <f t="shared" si="259"/>
        <v>0</v>
      </c>
      <c r="Q325" s="624">
        <f t="shared" si="259"/>
        <v>0</v>
      </c>
      <c r="S325" s="349">
        <v>73</v>
      </c>
      <c r="T325" s="349">
        <v>123</v>
      </c>
      <c r="U325" s="349">
        <v>17</v>
      </c>
      <c r="Y325" s="804">
        <v>213</v>
      </c>
      <c r="Z325" s="804"/>
      <c r="AE325" s="804">
        <v>90</v>
      </c>
      <c r="AF325" s="804"/>
      <c r="AH325" s="804"/>
    </row>
    <row r="326" spans="1:34">
      <c r="A326" s="436"/>
      <c r="B326" s="436" t="s">
        <v>59</v>
      </c>
      <c r="C326" s="807">
        <f t="shared" si="260"/>
        <v>1</v>
      </c>
      <c r="D326" s="808">
        <f t="shared" si="258"/>
        <v>1</v>
      </c>
      <c r="E326" s="808">
        <f t="shared" si="258"/>
        <v>1</v>
      </c>
      <c r="F326" s="808">
        <f t="shared" si="258"/>
        <v>1</v>
      </c>
      <c r="G326" s="808">
        <f t="shared" si="258"/>
        <v>1</v>
      </c>
      <c r="H326" s="809">
        <f t="shared" si="258"/>
        <v>0</v>
      </c>
      <c r="I326" s="577">
        <f t="shared" si="258"/>
        <v>1</v>
      </c>
      <c r="J326" s="577">
        <f t="shared" si="258"/>
        <v>0</v>
      </c>
      <c r="K326" s="578">
        <f t="shared" si="258"/>
        <v>0</v>
      </c>
      <c r="L326" s="578">
        <f t="shared" si="258"/>
        <v>0</v>
      </c>
      <c r="M326" s="578">
        <f t="shared" si="258"/>
        <v>0</v>
      </c>
      <c r="N326" s="577">
        <f t="shared" si="261"/>
        <v>1</v>
      </c>
      <c r="O326" s="577">
        <f t="shared" si="259"/>
        <v>0</v>
      </c>
      <c r="P326" s="579">
        <f t="shared" si="259"/>
        <v>0</v>
      </c>
      <c r="Q326" s="577">
        <f t="shared" si="259"/>
        <v>0</v>
      </c>
      <c r="S326" s="349">
        <v>1736</v>
      </c>
      <c r="T326" s="349">
        <v>885</v>
      </c>
      <c r="U326" s="349">
        <v>1967</v>
      </c>
      <c r="V326" s="349">
        <v>525</v>
      </c>
      <c r="W326" s="349">
        <v>567</v>
      </c>
      <c r="Y326" s="804">
        <v>5680</v>
      </c>
      <c r="Z326" s="804"/>
      <c r="AE326" s="804">
        <v>2153</v>
      </c>
      <c r="AF326" s="804"/>
      <c r="AH326" s="804"/>
    </row>
    <row r="327" spans="1:34">
      <c r="A327" s="240" t="s">
        <v>159</v>
      </c>
      <c r="B327" s="240" t="s">
        <v>53</v>
      </c>
      <c r="C327" s="806">
        <f>IF(S$332&gt;0,(S327/S$332),0)</f>
        <v>0.34836198507946803</v>
      </c>
      <c r="D327" s="806">
        <f t="shared" ref="D327:M332" si="262">IF(T$332&gt;0,(T327/T$332),0)</f>
        <v>0</v>
      </c>
      <c r="E327" s="806">
        <f t="shared" si="262"/>
        <v>0.31229156741305386</v>
      </c>
      <c r="F327" s="806">
        <f t="shared" si="262"/>
        <v>0.30651945320715035</v>
      </c>
      <c r="G327" s="806">
        <f t="shared" si="262"/>
        <v>0.21948356807511737</v>
      </c>
      <c r="H327" s="806">
        <f t="shared" si="262"/>
        <v>0.2321219226260258</v>
      </c>
      <c r="I327" s="613">
        <f t="shared" si="262"/>
        <v>0.30244442551741757</v>
      </c>
      <c r="J327" s="613">
        <f t="shared" si="262"/>
        <v>0</v>
      </c>
      <c r="K327" s="614">
        <f t="shared" si="262"/>
        <v>0</v>
      </c>
      <c r="L327" s="614">
        <f t="shared" si="262"/>
        <v>0</v>
      </c>
      <c r="M327" s="614">
        <f t="shared" si="262"/>
        <v>0</v>
      </c>
      <c r="N327" s="613">
        <f>IF(AE$332&gt;0,(AE327/AE$332),0)</f>
        <v>0.28022069887978601</v>
      </c>
      <c r="O327" s="613">
        <f t="shared" ref="O327:Q332" si="263">IF(AF$332&gt;0,(AF327/AF$332),0)</f>
        <v>0</v>
      </c>
      <c r="P327" s="615">
        <f t="shared" si="263"/>
        <v>0</v>
      </c>
      <c r="Q327" s="613">
        <f t="shared" si="263"/>
        <v>0</v>
      </c>
      <c r="R327" s="799"/>
      <c r="S327" s="798">
        <v>1074</v>
      </c>
      <c r="T327" s="798"/>
      <c r="U327" s="798">
        <v>1311</v>
      </c>
      <c r="V327" s="798">
        <v>583</v>
      </c>
      <c r="W327" s="798">
        <v>187</v>
      </c>
      <c r="X327" s="798">
        <v>396</v>
      </c>
      <c r="Y327" s="803">
        <v>3551</v>
      </c>
      <c r="Z327" s="803"/>
      <c r="AA327" s="798"/>
      <c r="AB327" s="798"/>
      <c r="AC327" s="798"/>
      <c r="AD327" s="798"/>
      <c r="AE327" s="803">
        <v>1676</v>
      </c>
      <c r="AF327" s="803"/>
      <c r="AG327" s="798"/>
      <c r="AH327" s="803"/>
    </row>
    <row r="328" spans="1:34">
      <c r="A328" s="239"/>
      <c r="B328" s="239" t="s">
        <v>93</v>
      </c>
      <c r="C328" s="806">
        <f t="shared" ref="C328:C332" si="264">IF(S$332&gt;0,(S328/S$332),0)</f>
        <v>0.32208887447291601</v>
      </c>
      <c r="D328" s="806">
        <f t="shared" si="262"/>
        <v>0</v>
      </c>
      <c r="E328" s="806">
        <f t="shared" si="262"/>
        <v>0.311576941400667</v>
      </c>
      <c r="F328" s="806">
        <f t="shared" si="262"/>
        <v>0.32702418506834913</v>
      </c>
      <c r="G328" s="806">
        <f t="shared" si="262"/>
        <v>0.34741784037558687</v>
      </c>
      <c r="H328" s="806">
        <f t="shared" si="262"/>
        <v>0.25263774912075027</v>
      </c>
      <c r="I328" s="624">
        <f t="shared" si="262"/>
        <v>0.31087641597819604</v>
      </c>
      <c r="J328" s="624">
        <f t="shared" si="262"/>
        <v>0</v>
      </c>
      <c r="K328" s="625">
        <f t="shared" si="262"/>
        <v>0</v>
      </c>
      <c r="L328" s="625">
        <f t="shared" si="262"/>
        <v>0</v>
      </c>
      <c r="M328" s="625">
        <f t="shared" si="262"/>
        <v>0</v>
      </c>
      <c r="N328" s="624">
        <f t="shared" ref="N328:N332" si="265">IF(AE$332&gt;0,(AE328/AE$332),0)</f>
        <v>0.23206821601738839</v>
      </c>
      <c r="O328" s="624">
        <f t="shared" si="263"/>
        <v>0</v>
      </c>
      <c r="P328" s="626">
        <f t="shared" si="263"/>
        <v>0</v>
      </c>
      <c r="Q328" s="624">
        <f t="shared" si="263"/>
        <v>0</v>
      </c>
      <c r="S328" s="349">
        <v>993</v>
      </c>
      <c r="U328" s="349">
        <v>1308</v>
      </c>
      <c r="V328" s="349">
        <v>622</v>
      </c>
      <c r="W328" s="349">
        <v>296</v>
      </c>
      <c r="X328" s="349">
        <v>431</v>
      </c>
      <c r="Y328" s="804">
        <v>3650</v>
      </c>
      <c r="Z328" s="804"/>
      <c r="AE328" s="804">
        <v>1388</v>
      </c>
      <c r="AF328" s="804"/>
      <c r="AH328" s="804"/>
    </row>
    <row r="329" spans="1:34">
      <c r="A329" s="239"/>
      <c r="B329" s="239" t="s">
        <v>55</v>
      </c>
      <c r="C329" s="806">
        <f t="shared" si="264"/>
        <v>0.24651313655530327</v>
      </c>
      <c r="D329" s="806">
        <f t="shared" si="262"/>
        <v>0</v>
      </c>
      <c r="E329" s="806">
        <f t="shared" si="262"/>
        <v>0.27489280609814198</v>
      </c>
      <c r="F329" s="806">
        <f t="shared" si="262"/>
        <v>0.25867507886435331</v>
      </c>
      <c r="G329" s="806">
        <f t="shared" si="262"/>
        <v>0.35680751173708919</v>
      </c>
      <c r="H329" s="806">
        <f t="shared" si="262"/>
        <v>0.37280187573270807</v>
      </c>
      <c r="I329" s="624">
        <f t="shared" si="262"/>
        <v>0.28498424325014904</v>
      </c>
      <c r="J329" s="624">
        <f t="shared" si="262"/>
        <v>0</v>
      </c>
      <c r="K329" s="625">
        <f t="shared" si="262"/>
        <v>0</v>
      </c>
      <c r="L329" s="625">
        <f t="shared" si="262"/>
        <v>0</v>
      </c>
      <c r="M329" s="625">
        <f t="shared" si="262"/>
        <v>0</v>
      </c>
      <c r="N329" s="624">
        <f t="shared" si="265"/>
        <v>0.28272864069553588</v>
      </c>
      <c r="O329" s="624">
        <f t="shared" si="263"/>
        <v>0</v>
      </c>
      <c r="P329" s="626">
        <f t="shared" si="263"/>
        <v>0</v>
      </c>
      <c r="Q329" s="624">
        <f t="shared" si="263"/>
        <v>0</v>
      </c>
      <c r="S329" s="349">
        <v>760</v>
      </c>
      <c r="U329" s="349">
        <v>1154</v>
      </c>
      <c r="V329" s="349">
        <v>492</v>
      </c>
      <c r="W329" s="349">
        <v>304</v>
      </c>
      <c r="X329" s="349">
        <v>636</v>
      </c>
      <c r="Y329" s="804">
        <v>3346</v>
      </c>
      <c r="Z329" s="804"/>
      <c r="AE329" s="804">
        <v>1691</v>
      </c>
      <c r="AF329" s="804"/>
      <c r="AH329" s="804"/>
    </row>
    <row r="330" spans="1:34">
      <c r="A330" s="239"/>
      <c r="B330" s="239" t="s">
        <v>78</v>
      </c>
      <c r="C330" s="806">
        <f t="shared" si="264"/>
        <v>8.433344145313007E-3</v>
      </c>
      <c r="D330" s="806">
        <f t="shared" si="262"/>
        <v>0</v>
      </c>
      <c r="E330" s="806">
        <f t="shared" si="262"/>
        <v>7.8608861362553604E-3</v>
      </c>
      <c r="F330" s="806">
        <f t="shared" si="262"/>
        <v>2.6813880126182965E-2</v>
      </c>
      <c r="G330" s="806">
        <f t="shared" si="262"/>
        <v>1.1737089201877935E-3</v>
      </c>
      <c r="H330" s="806">
        <f t="shared" si="262"/>
        <v>6.0375146541617818E-2</v>
      </c>
      <c r="I330" s="624">
        <f t="shared" si="262"/>
        <v>1.8226726854612043E-2</v>
      </c>
      <c r="J330" s="624">
        <f t="shared" si="262"/>
        <v>0</v>
      </c>
      <c r="K330" s="625">
        <f t="shared" si="262"/>
        <v>0</v>
      </c>
      <c r="L330" s="625">
        <f t="shared" si="262"/>
        <v>0</v>
      </c>
      <c r="M330" s="625">
        <f t="shared" si="262"/>
        <v>0</v>
      </c>
      <c r="N330" s="624">
        <f t="shared" si="265"/>
        <v>0.13776960374519312</v>
      </c>
      <c r="O330" s="624">
        <f t="shared" si="263"/>
        <v>0</v>
      </c>
      <c r="P330" s="626">
        <f t="shared" si="263"/>
        <v>0</v>
      </c>
      <c r="Q330" s="624">
        <f t="shared" si="263"/>
        <v>0</v>
      </c>
      <c r="S330" s="349">
        <v>26</v>
      </c>
      <c r="U330" s="349">
        <v>33</v>
      </c>
      <c r="V330" s="349">
        <v>51</v>
      </c>
      <c r="W330" s="349">
        <v>1</v>
      </c>
      <c r="X330" s="349">
        <v>103</v>
      </c>
      <c r="Y330" s="804">
        <v>214</v>
      </c>
      <c r="Z330" s="804"/>
      <c r="AE330" s="804">
        <v>824</v>
      </c>
      <c r="AF330" s="804"/>
      <c r="AH330" s="804"/>
    </row>
    <row r="331" spans="1:34">
      <c r="A331" s="580"/>
      <c r="B331" s="580" t="s">
        <v>131</v>
      </c>
      <c r="C331" s="806">
        <f t="shared" si="264"/>
        <v>7.4602659746999672E-2</v>
      </c>
      <c r="D331" s="806">
        <f t="shared" si="262"/>
        <v>0</v>
      </c>
      <c r="E331" s="806">
        <f t="shared" si="262"/>
        <v>9.3377798951881849E-2</v>
      </c>
      <c r="F331" s="806">
        <f t="shared" si="262"/>
        <v>8.0967402733964244E-2</v>
      </c>
      <c r="G331" s="806">
        <f t="shared" si="262"/>
        <v>7.5117370892018781E-2</v>
      </c>
      <c r="H331" s="806">
        <f t="shared" si="262"/>
        <v>8.2063305978898007E-2</v>
      </c>
      <c r="I331" s="624">
        <f t="shared" si="262"/>
        <v>8.3468188399625248E-2</v>
      </c>
      <c r="J331" s="624">
        <f t="shared" si="262"/>
        <v>0</v>
      </c>
      <c r="K331" s="625">
        <f t="shared" si="262"/>
        <v>0</v>
      </c>
      <c r="L331" s="625">
        <f t="shared" si="262"/>
        <v>0</v>
      </c>
      <c r="M331" s="625">
        <f t="shared" si="262"/>
        <v>0</v>
      </c>
      <c r="N331" s="624">
        <f t="shared" si="265"/>
        <v>6.7212840662096637E-2</v>
      </c>
      <c r="O331" s="624">
        <f t="shared" si="263"/>
        <v>0</v>
      </c>
      <c r="P331" s="626">
        <f t="shared" si="263"/>
        <v>0</v>
      </c>
      <c r="Q331" s="624">
        <f t="shared" si="263"/>
        <v>0</v>
      </c>
      <c r="S331" s="349">
        <v>230</v>
      </c>
      <c r="U331" s="349">
        <v>392</v>
      </c>
      <c r="V331" s="349">
        <v>154</v>
      </c>
      <c r="W331" s="349">
        <v>64</v>
      </c>
      <c r="X331" s="349">
        <v>140</v>
      </c>
      <c r="Y331" s="804">
        <v>980</v>
      </c>
      <c r="Z331" s="804"/>
      <c r="AE331" s="804">
        <v>402</v>
      </c>
      <c r="AF331" s="804"/>
      <c r="AH331" s="804"/>
    </row>
    <row r="332" spans="1:34">
      <c r="A332" s="436"/>
      <c r="B332" s="436" t="s">
        <v>59</v>
      </c>
      <c r="C332" s="807">
        <f t="shared" si="264"/>
        <v>1</v>
      </c>
      <c r="D332" s="808">
        <f t="shared" si="262"/>
        <v>0</v>
      </c>
      <c r="E332" s="808">
        <f t="shared" si="262"/>
        <v>1</v>
      </c>
      <c r="F332" s="808">
        <f t="shared" si="262"/>
        <v>1</v>
      </c>
      <c r="G332" s="808">
        <f t="shared" si="262"/>
        <v>1</v>
      </c>
      <c r="H332" s="809">
        <f t="shared" si="262"/>
        <v>1</v>
      </c>
      <c r="I332" s="577">
        <f t="shared" si="262"/>
        <v>1</v>
      </c>
      <c r="J332" s="577">
        <f t="shared" si="262"/>
        <v>0</v>
      </c>
      <c r="K332" s="578">
        <f t="shared" si="262"/>
        <v>0</v>
      </c>
      <c r="L332" s="578">
        <f t="shared" si="262"/>
        <v>0</v>
      </c>
      <c r="M332" s="578">
        <f t="shared" si="262"/>
        <v>0</v>
      </c>
      <c r="N332" s="577">
        <f t="shared" si="265"/>
        <v>1</v>
      </c>
      <c r="O332" s="577">
        <f t="shared" si="263"/>
        <v>0</v>
      </c>
      <c r="P332" s="579">
        <f t="shared" si="263"/>
        <v>0</v>
      </c>
      <c r="Q332" s="577">
        <f t="shared" si="263"/>
        <v>0</v>
      </c>
      <c r="S332" s="349">
        <v>3083</v>
      </c>
      <c r="U332" s="349">
        <v>4198</v>
      </c>
      <c r="V332" s="349">
        <v>1902</v>
      </c>
      <c r="W332" s="349">
        <v>852</v>
      </c>
      <c r="X332" s="349">
        <v>1706</v>
      </c>
      <c r="Y332" s="804">
        <v>11741</v>
      </c>
      <c r="Z332" s="804"/>
      <c r="AE332" s="804">
        <v>5981</v>
      </c>
      <c r="AF332" s="804"/>
      <c r="AH332" s="804"/>
    </row>
    <row r="333" spans="1:34">
      <c r="A333" s="240" t="s">
        <v>162</v>
      </c>
      <c r="B333" s="240" t="s">
        <v>53</v>
      </c>
      <c r="C333" s="806">
        <f>IF(S338&gt;0,(S333/S338),0)</f>
        <v>0.29208531641107</v>
      </c>
      <c r="D333" s="806">
        <f t="shared" ref="D333:M333" si="266">IF(T338&gt;0,(T333/T338),0)</f>
        <v>0.31751227495908346</v>
      </c>
      <c r="E333" s="806">
        <f t="shared" si="266"/>
        <v>0.27294455066921608</v>
      </c>
      <c r="F333" s="806">
        <f t="shared" si="266"/>
        <v>0.30226700251889171</v>
      </c>
      <c r="G333" s="806">
        <f t="shared" si="266"/>
        <v>0.23684210526315788</v>
      </c>
      <c r="H333" s="806">
        <f t="shared" si="266"/>
        <v>8.2017010935601459E-2</v>
      </c>
      <c r="I333" s="613">
        <f t="shared" si="266"/>
        <v>0.26006467259498789</v>
      </c>
      <c r="J333" s="613">
        <f t="shared" si="266"/>
        <v>0</v>
      </c>
      <c r="K333" s="614">
        <f t="shared" si="266"/>
        <v>0</v>
      </c>
      <c r="L333" s="614">
        <f t="shared" si="266"/>
        <v>0</v>
      </c>
      <c r="M333" s="614">
        <f t="shared" si="266"/>
        <v>0</v>
      </c>
      <c r="N333" s="613">
        <f>IF(AE338&gt;0,(AE333/AE338),0)</f>
        <v>0.29390354868061874</v>
      </c>
      <c r="O333" s="613">
        <f t="shared" ref="O333:Q333" si="267">IF(AF338&gt;0,(AF333/AF338),0)</f>
        <v>0</v>
      </c>
      <c r="P333" s="615">
        <f t="shared" si="267"/>
        <v>0</v>
      </c>
      <c r="Q333" s="613">
        <f t="shared" si="267"/>
        <v>0</v>
      </c>
      <c r="R333" s="799"/>
      <c r="S333" s="798">
        <v>1657</v>
      </c>
      <c r="T333" s="798">
        <v>194</v>
      </c>
      <c r="U333" s="798">
        <v>571</v>
      </c>
      <c r="V333" s="798">
        <v>480</v>
      </c>
      <c r="W333" s="798">
        <v>180</v>
      </c>
      <c r="X333" s="798">
        <v>135</v>
      </c>
      <c r="Y333" s="803">
        <v>3217</v>
      </c>
      <c r="Z333" s="803"/>
      <c r="AA333" s="798"/>
      <c r="AB333" s="798"/>
      <c r="AC333" s="798"/>
      <c r="AD333" s="798"/>
      <c r="AE333" s="803">
        <v>646</v>
      </c>
      <c r="AF333" s="803"/>
      <c r="AG333" s="798"/>
      <c r="AH333" s="803"/>
    </row>
    <row r="334" spans="1:34">
      <c r="A334" s="239"/>
      <c r="B334" s="239" t="s">
        <v>93</v>
      </c>
      <c r="C334" s="806">
        <f>IF(S338&gt;0,(S334/S338),0)</f>
        <v>0.2430812621188084</v>
      </c>
      <c r="D334" s="806">
        <f t="shared" ref="D334:M334" si="268">IF(T338&gt;0,(T334/T338),0)</f>
        <v>0.30114566284779049</v>
      </c>
      <c r="E334" s="806">
        <f t="shared" si="268"/>
        <v>0.30927342256214146</v>
      </c>
      <c r="F334" s="806">
        <f t="shared" si="268"/>
        <v>0.27644836272040302</v>
      </c>
      <c r="G334" s="806">
        <f t="shared" si="268"/>
        <v>0.32236842105263158</v>
      </c>
      <c r="H334" s="806">
        <f t="shared" si="268"/>
        <v>0.29526123936816523</v>
      </c>
      <c r="I334" s="624">
        <f t="shared" si="268"/>
        <v>0.27324171382376716</v>
      </c>
      <c r="J334" s="624">
        <f t="shared" si="268"/>
        <v>0</v>
      </c>
      <c r="K334" s="625">
        <f t="shared" si="268"/>
        <v>0</v>
      </c>
      <c r="L334" s="625">
        <f t="shared" si="268"/>
        <v>0</v>
      </c>
      <c r="M334" s="625">
        <f t="shared" si="268"/>
        <v>0</v>
      </c>
      <c r="N334" s="624">
        <f>IF(AE338&gt;0,(AE334/AE338),0)</f>
        <v>0.23475887170154686</v>
      </c>
      <c r="O334" s="624">
        <f t="shared" ref="O334:Q334" si="269">IF(AF338&gt;0,(AF334/AF338),0)</f>
        <v>0</v>
      </c>
      <c r="P334" s="626">
        <f t="shared" si="269"/>
        <v>0</v>
      </c>
      <c r="Q334" s="624">
        <f t="shared" si="269"/>
        <v>0</v>
      </c>
      <c r="S334" s="349">
        <v>1379</v>
      </c>
      <c r="T334" s="349">
        <v>184</v>
      </c>
      <c r="U334" s="349">
        <v>647</v>
      </c>
      <c r="V334" s="349">
        <v>439</v>
      </c>
      <c r="W334" s="349">
        <v>245</v>
      </c>
      <c r="X334" s="349">
        <v>486</v>
      </c>
      <c r="Y334" s="804">
        <v>3380</v>
      </c>
      <c r="Z334" s="804"/>
      <c r="AE334" s="804">
        <v>516</v>
      </c>
      <c r="AF334" s="804"/>
      <c r="AH334" s="804"/>
    </row>
    <row r="335" spans="1:34">
      <c r="A335" s="239"/>
      <c r="B335" s="239" t="s">
        <v>55</v>
      </c>
      <c r="C335" s="806">
        <f>IF(S338&gt;0,(S335/S338),0)</f>
        <v>0.28045126035607265</v>
      </c>
      <c r="D335" s="806">
        <f t="shared" ref="D335:M335" si="270">IF(T338&gt;0,(T335/T338),0)</f>
        <v>0.27332242225859249</v>
      </c>
      <c r="E335" s="806">
        <f t="shared" si="270"/>
        <v>0.30783938814531547</v>
      </c>
      <c r="F335" s="806">
        <f t="shared" si="270"/>
        <v>0.29282115869017633</v>
      </c>
      <c r="G335" s="806">
        <f t="shared" si="270"/>
        <v>0.25921052631578945</v>
      </c>
      <c r="H335" s="806">
        <f t="shared" si="270"/>
        <v>0.26366950182260024</v>
      </c>
      <c r="I335" s="624">
        <f t="shared" si="270"/>
        <v>0.2827809215844786</v>
      </c>
      <c r="J335" s="624">
        <f t="shared" si="270"/>
        <v>0</v>
      </c>
      <c r="K335" s="625">
        <f t="shared" si="270"/>
        <v>0</v>
      </c>
      <c r="L335" s="625">
        <f t="shared" si="270"/>
        <v>0</v>
      </c>
      <c r="M335" s="625">
        <f t="shared" si="270"/>
        <v>0</v>
      </c>
      <c r="N335" s="624">
        <f>IF(AE338&gt;0,(AE335/AE338),0)</f>
        <v>0.3289353958143767</v>
      </c>
      <c r="O335" s="624">
        <f t="shared" ref="O335:Q335" si="271">IF(AF338&gt;0,(AF335/AF338),0)</f>
        <v>0</v>
      </c>
      <c r="P335" s="626">
        <f t="shared" si="271"/>
        <v>0</v>
      </c>
      <c r="Q335" s="624">
        <f t="shared" si="271"/>
        <v>0</v>
      </c>
      <c r="S335" s="349">
        <v>1591</v>
      </c>
      <c r="T335" s="349">
        <v>167</v>
      </c>
      <c r="U335" s="349">
        <v>644</v>
      </c>
      <c r="V335" s="349">
        <v>465</v>
      </c>
      <c r="W335" s="349">
        <v>197</v>
      </c>
      <c r="X335" s="349">
        <v>434</v>
      </c>
      <c r="Y335" s="804">
        <v>3498</v>
      </c>
      <c r="Z335" s="804"/>
      <c r="AE335" s="804">
        <v>723</v>
      </c>
      <c r="AF335" s="804"/>
      <c r="AH335" s="804"/>
    </row>
    <row r="336" spans="1:34">
      <c r="A336" s="239"/>
      <c r="B336" s="239" t="s">
        <v>78</v>
      </c>
      <c r="C336" s="806">
        <f>IF(S338&gt;0,(S336/S338),0)</f>
        <v>8.0909571655208887E-2</v>
      </c>
      <c r="D336" s="806">
        <f t="shared" ref="D336:M336" si="272">IF(T338&gt;0,(T336/T338),0)</f>
        <v>0.10801963993453355</v>
      </c>
      <c r="E336" s="806">
        <f t="shared" si="272"/>
        <v>0.10611854684512428</v>
      </c>
      <c r="F336" s="806">
        <f t="shared" si="272"/>
        <v>0.12846347607052896</v>
      </c>
      <c r="G336" s="806">
        <f t="shared" si="272"/>
        <v>5.3947368421052633E-2</v>
      </c>
      <c r="H336" s="806">
        <f t="shared" si="272"/>
        <v>0.30801944106925883</v>
      </c>
      <c r="I336" s="624">
        <f t="shared" si="272"/>
        <v>0.1211802748585287</v>
      </c>
      <c r="J336" s="624">
        <f t="shared" si="272"/>
        <v>0</v>
      </c>
      <c r="K336" s="625">
        <f t="shared" si="272"/>
        <v>0</v>
      </c>
      <c r="L336" s="625">
        <f t="shared" si="272"/>
        <v>0</v>
      </c>
      <c r="M336" s="625">
        <f t="shared" si="272"/>
        <v>0</v>
      </c>
      <c r="N336" s="624">
        <f>IF(AE338&gt;0,(AE336/AE338),0)</f>
        <v>0.13193812556869883</v>
      </c>
      <c r="O336" s="624">
        <f t="shared" ref="O336:Q336" si="273">IF(AF338&gt;0,(AF336/AF338),0)</f>
        <v>0</v>
      </c>
      <c r="P336" s="626">
        <f t="shared" si="273"/>
        <v>0</v>
      </c>
      <c r="Q336" s="624">
        <f t="shared" si="273"/>
        <v>0</v>
      </c>
      <c r="S336" s="349">
        <v>459</v>
      </c>
      <c r="T336" s="349">
        <v>66</v>
      </c>
      <c r="U336" s="349">
        <v>222</v>
      </c>
      <c r="V336" s="349">
        <v>204</v>
      </c>
      <c r="W336" s="349">
        <v>41</v>
      </c>
      <c r="X336" s="349">
        <v>507</v>
      </c>
      <c r="Y336" s="804">
        <v>1499</v>
      </c>
      <c r="Z336" s="804"/>
      <c r="AE336" s="804">
        <v>290</v>
      </c>
      <c r="AF336" s="804"/>
      <c r="AH336" s="804"/>
    </row>
    <row r="337" spans="1:34">
      <c r="A337" s="580"/>
      <c r="B337" s="580" t="s">
        <v>131</v>
      </c>
      <c r="C337" s="806">
        <f>IF(S338&gt;0,(S337/S338),0)</f>
        <v>0.10347258945884012</v>
      </c>
      <c r="D337" s="806">
        <f t="shared" ref="D337:M337" si="274">IF(T338&gt;0,(T337/T338),0)</f>
        <v>0</v>
      </c>
      <c r="E337" s="806">
        <f t="shared" si="274"/>
        <v>3.8240917782026767E-3</v>
      </c>
      <c r="F337" s="806">
        <f t="shared" si="274"/>
        <v>0</v>
      </c>
      <c r="G337" s="806">
        <f t="shared" si="274"/>
        <v>0.12763157894736843</v>
      </c>
      <c r="H337" s="806">
        <f t="shared" si="274"/>
        <v>5.1032806804374241E-2</v>
      </c>
      <c r="I337" s="624">
        <f t="shared" si="274"/>
        <v>6.273241713823767E-2</v>
      </c>
      <c r="J337" s="624">
        <f t="shared" si="274"/>
        <v>0</v>
      </c>
      <c r="K337" s="625">
        <f t="shared" si="274"/>
        <v>0</v>
      </c>
      <c r="L337" s="625">
        <f t="shared" si="274"/>
        <v>0</v>
      </c>
      <c r="M337" s="625">
        <f t="shared" si="274"/>
        <v>0</v>
      </c>
      <c r="N337" s="624">
        <f>IF(AE338&gt;0,(AE337/AE338),0)</f>
        <v>1.0464058234758872E-2</v>
      </c>
      <c r="O337" s="624">
        <f t="shared" ref="O337:Q337" si="275">IF(AF338&gt;0,(AF337/AF338),0)</f>
        <v>0</v>
      </c>
      <c r="P337" s="626">
        <f t="shared" si="275"/>
        <v>0</v>
      </c>
      <c r="Q337" s="624">
        <f t="shared" si="275"/>
        <v>0</v>
      </c>
      <c r="S337" s="349">
        <v>587</v>
      </c>
      <c r="U337" s="349">
        <v>8</v>
      </c>
      <c r="W337" s="349">
        <v>97</v>
      </c>
      <c r="X337" s="349">
        <v>84</v>
      </c>
      <c r="Y337" s="804">
        <v>776</v>
      </c>
      <c r="Z337" s="804"/>
      <c r="AE337" s="804">
        <v>23</v>
      </c>
      <c r="AF337" s="804"/>
      <c r="AH337" s="804"/>
    </row>
    <row r="338" spans="1:34">
      <c r="A338" s="436"/>
      <c r="B338" s="436" t="s">
        <v>59</v>
      </c>
      <c r="C338" s="807">
        <f>IF(S338&gt;0,(S338/S338),0)</f>
        <v>1</v>
      </c>
      <c r="D338" s="808">
        <f t="shared" ref="D338:M338" si="276">IF(T338&gt;0,(T338/T338),0)</f>
        <v>1</v>
      </c>
      <c r="E338" s="808">
        <f t="shared" si="276"/>
        <v>1</v>
      </c>
      <c r="F338" s="808">
        <f t="shared" si="276"/>
        <v>1</v>
      </c>
      <c r="G338" s="808">
        <f t="shared" si="276"/>
        <v>1</v>
      </c>
      <c r="H338" s="809">
        <f t="shared" si="276"/>
        <v>1</v>
      </c>
      <c r="I338" s="577">
        <f t="shared" si="276"/>
        <v>1</v>
      </c>
      <c r="J338" s="577">
        <f t="shared" si="276"/>
        <v>0</v>
      </c>
      <c r="K338" s="578">
        <f t="shared" si="276"/>
        <v>0</v>
      </c>
      <c r="L338" s="578">
        <f t="shared" si="276"/>
        <v>0</v>
      </c>
      <c r="M338" s="578">
        <f t="shared" si="276"/>
        <v>0</v>
      </c>
      <c r="N338" s="577">
        <f>IF(AE338&gt;0,(AE338/AE338),0)</f>
        <v>1</v>
      </c>
      <c r="O338" s="577">
        <f t="shared" ref="O338:Q338" si="277">IF(AF338&gt;0,(AF338/AF338),0)</f>
        <v>0</v>
      </c>
      <c r="P338" s="579">
        <f t="shared" si="277"/>
        <v>0</v>
      </c>
      <c r="Q338" s="577">
        <f t="shared" si="277"/>
        <v>0</v>
      </c>
      <c r="S338" s="349">
        <v>5673</v>
      </c>
      <c r="T338" s="349">
        <v>611</v>
      </c>
      <c r="U338" s="349">
        <v>2092</v>
      </c>
      <c r="V338" s="349">
        <v>1588</v>
      </c>
      <c r="W338" s="349">
        <v>760</v>
      </c>
      <c r="X338" s="349">
        <v>1646</v>
      </c>
      <c r="Y338" s="804">
        <v>12370</v>
      </c>
      <c r="Z338" s="804"/>
      <c r="AE338" s="804">
        <v>2198</v>
      </c>
      <c r="AF338" s="804"/>
      <c r="AH338" s="804"/>
    </row>
    <row r="339" spans="1:34">
      <c r="A339" s="240" t="s">
        <v>163</v>
      </c>
      <c r="B339" s="240" t="s">
        <v>53</v>
      </c>
      <c r="C339" s="806">
        <f>IF(S344&gt;0,(S339/S344),0)</f>
        <v>0</v>
      </c>
      <c r="D339" s="806">
        <f t="shared" ref="D339" si="278">IF(T344&gt;0,(T339/T344),0)</f>
        <v>0.43913043478260871</v>
      </c>
      <c r="E339" s="806">
        <f t="shared" ref="E339" si="279">IF(U344&gt;0,(U339/U344),0)</f>
        <v>0.34195402298850575</v>
      </c>
      <c r="F339" s="806">
        <f t="shared" ref="F339" si="280">IF(V344&gt;0,(V339/V344),0)</f>
        <v>0</v>
      </c>
      <c r="G339" s="806">
        <f t="shared" ref="G339" si="281">IF(W344&gt;0,(W339/W344),0)</f>
        <v>0</v>
      </c>
      <c r="H339" s="806">
        <f t="shared" ref="H339" si="282">IF(X344&gt;0,(X339/X344),0)</f>
        <v>0</v>
      </c>
      <c r="I339" s="613">
        <f t="shared" ref="I339" si="283">IF(Y344&gt;0,(Y339/Y344),0)</f>
        <v>0.40655105973025046</v>
      </c>
      <c r="J339" s="613">
        <f t="shared" ref="J339" si="284">IF(Z344&gt;0,(Z339/Z344),0)</f>
        <v>0</v>
      </c>
      <c r="K339" s="614">
        <f t="shared" ref="K339" si="285">IF(AA344&gt;0,(AA339/AA344),0)</f>
        <v>0</v>
      </c>
      <c r="L339" s="614">
        <f t="shared" ref="L339" si="286">IF(AB344&gt;0,(AB339/AB344),0)</f>
        <v>0</v>
      </c>
      <c r="M339" s="614">
        <f t="shared" ref="M339" si="287">IF(AC344&gt;0,(AC339/AC344),0)</f>
        <v>0</v>
      </c>
      <c r="N339" s="613">
        <f>IF(AE344&gt;0,(AE339/AE344),0)</f>
        <v>0.40809968847352024</v>
      </c>
      <c r="O339" s="613">
        <f t="shared" ref="O339" si="288">IF(AF344&gt;0,(AF339/AF344),0)</f>
        <v>0</v>
      </c>
      <c r="P339" s="615">
        <f t="shared" ref="P339" si="289">IF(AG344&gt;0,(AG339/AG344),0)</f>
        <v>0</v>
      </c>
      <c r="Q339" s="613">
        <f t="shared" ref="Q339" si="290">IF(AH344&gt;0,(AH339/AH344),0)</f>
        <v>0</v>
      </c>
      <c r="R339" s="799"/>
      <c r="S339" s="798"/>
      <c r="T339" s="798">
        <v>303</v>
      </c>
      <c r="U339" s="798">
        <v>119</v>
      </c>
      <c r="V339" s="798"/>
      <c r="W339" s="798"/>
      <c r="X339" s="798"/>
      <c r="Y339" s="803">
        <v>422</v>
      </c>
      <c r="Z339" s="803"/>
      <c r="AA339" s="798"/>
      <c r="AB339" s="798"/>
      <c r="AC339" s="798"/>
      <c r="AD339" s="798"/>
      <c r="AE339" s="803">
        <v>131</v>
      </c>
      <c r="AF339" s="803"/>
      <c r="AG339" s="798"/>
      <c r="AH339" s="803"/>
    </row>
    <row r="340" spans="1:34">
      <c r="A340" s="239"/>
      <c r="B340" s="239" t="s">
        <v>93</v>
      </c>
      <c r="C340" s="806">
        <f>IF(S344&gt;0,(S340/S344),0)</f>
        <v>0</v>
      </c>
      <c r="D340" s="806">
        <f t="shared" ref="D340" si="291">IF(T344&gt;0,(T340/T344),0)</f>
        <v>0.24057971014492754</v>
      </c>
      <c r="E340" s="806">
        <f t="shared" ref="E340" si="292">IF(U344&gt;0,(U340/U344),0)</f>
        <v>0.31034482758620691</v>
      </c>
      <c r="F340" s="806">
        <f t="shared" ref="F340" si="293">IF(V344&gt;0,(V340/V344),0)</f>
        <v>0</v>
      </c>
      <c r="G340" s="806">
        <f t="shared" ref="G340" si="294">IF(W344&gt;0,(W340/W344),0)</f>
        <v>0</v>
      </c>
      <c r="H340" s="806">
        <f t="shared" ref="H340" si="295">IF(X344&gt;0,(X340/X344),0)</f>
        <v>0</v>
      </c>
      <c r="I340" s="624">
        <f t="shared" ref="I340" si="296">IF(Y344&gt;0,(Y340/Y344),0)</f>
        <v>0.26396917148362237</v>
      </c>
      <c r="J340" s="624">
        <f t="shared" ref="J340" si="297">IF(Z344&gt;0,(Z340/Z344),0)</f>
        <v>0</v>
      </c>
      <c r="K340" s="625">
        <f t="shared" ref="K340" si="298">IF(AA344&gt;0,(AA340/AA344),0)</f>
        <v>0</v>
      </c>
      <c r="L340" s="625">
        <f t="shared" ref="L340" si="299">IF(AB344&gt;0,(AB340/AB344),0)</f>
        <v>0</v>
      </c>
      <c r="M340" s="625">
        <f t="shared" ref="M340" si="300">IF(AC344&gt;0,(AC340/AC344),0)</f>
        <v>0</v>
      </c>
      <c r="N340" s="624">
        <f>IF(AE344&gt;0,(AE340/AE344),0)</f>
        <v>0.19003115264797507</v>
      </c>
      <c r="O340" s="624">
        <f t="shared" ref="O340" si="301">IF(AF344&gt;0,(AF340/AF344),0)</f>
        <v>0</v>
      </c>
      <c r="P340" s="626">
        <f t="shared" ref="P340" si="302">IF(AG344&gt;0,(AG340/AG344),0)</f>
        <v>0</v>
      </c>
      <c r="Q340" s="624">
        <f t="shared" ref="Q340" si="303">IF(AH344&gt;0,(AH340/AH344),0)</f>
        <v>0</v>
      </c>
      <c r="T340" s="349">
        <v>166</v>
      </c>
      <c r="U340" s="349">
        <v>108</v>
      </c>
      <c r="Y340" s="804">
        <v>274</v>
      </c>
      <c r="Z340" s="804"/>
      <c r="AE340" s="804">
        <v>61</v>
      </c>
      <c r="AF340" s="804"/>
      <c r="AH340" s="804"/>
    </row>
    <row r="341" spans="1:34">
      <c r="A341" s="239"/>
      <c r="B341" s="239" t="s">
        <v>55</v>
      </c>
      <c r="C341" s="806">
        <f>IF(S344&gt;0,(S341/S344),0)</f>
        <v>0</v>
      </c>
      <c r="D341" s="806">
        <f t="shared" ref="D341" si="304">IF(T344&gt;0,(T341/T344),0)</f>
        <v>0.17971014492753623</v>
      </c>
      <c r="E341" s="806">
        <f t="shared" ref="E341" si="305">IF(U344&gt;0,(U341/U344),0)</f>
        <v>0.33620689655172414</v>
      </c>
      <c r="F341" s="806">
        <f t="shared" ref="F341" si="306">IF(V344&gt;0,(V341/V344),0)</f>
        <v>0</v>
      </c>
      <c r="G341" s="806">
        <f t="shared" ref="G341" si="307">IF(W344&gt;0,(W341/W344),0)</f>
        <v>0</v>
      </c>
      <c r="H341" s="806">
        <f t="shared" ref="H341" si="308">IF(X344&gt;0,(X341/X344),0)</f>
        <v>0</v>
      </c>
      <c r="I341" s="624">
        <f t="shared" ref="I341" si="309">IF(Y344&gt;0,(Y341/Y344),0)</f>
        <v>0.23217726396917149</v>
      </c>
      <c r="J341" s="624">
        <f t="shared" ref="J341" si="310">IF(Z344&gt;0,(Z341/Z344),0)</f>
        <v>0</v>
      </c>
      <c r="K341" s="625">
        <f t="shared" ref="K341" si="311">IF(AA344&gt;0,(AA341/AA344),0)</f>
        <v>0</v>
      </c>
      <c r="L341" s="625">
        <f t="shared" ref="L341" si="312">IF(AB344&gt;0,(AB341/AB344),0)</f>
        <v>0</v>
      </c>
      <c r="M341" s="625">
        <f t="shared" ref="M341" si="313">IF(AC344&gt;0,(AC341/AC344),0)</f>
        <v>0</v>
      </c>
      <c r="N341" s="624">
        <f>IF(AE344&gt;0,(AE341/AE344),0)</f>
        <v>0.40186915887850466</v>
      </c>
      <c r="O341" s="624">
        <f t="shared" ref="O341" si="314">IF(AF344&gt;0,(AF341/AF344),0)</f>
        <v>0</v>
      </c>
      <c r="P341" s="626">
        <f t="shared" ref="P341" si="315">IF(AG344&gt;0,(AG341/AG344),0)</f>
        <v>0</v>
      </c>
      <c r="Q341" s="624">
        <f t="shared" ref="Q341" si="316">IF(AH344&gt;0,(AH341/AH344),0)</f>
        <v>0</v>
      </c>
      <c r="T341" s="349">
        <v>124</v>
      </c>
      <c r="U341" s="349">
        <v>117</v>
      </c>
      <c r="Y341" s="804">
        <v>241</v>
      </c>
      <c r="Z341" s="804"/>
      <c r="AE341" s="804">
        <v>129</v>
      </c>
      <c r="AF341" s="804"/>
      <c r="AH341" s="804"/>
    </row>
    <row r="342" spans="1:34">
      <c r="A342" s="239"/>
      <c r="B342" s="239" t="s">
        <v>78</v>
      </c>
      <c r="C342" s="806">
        <f>IF(S344&gt;0,(S342/S344),0)</f>
        <v>0</v>
      </c>
      <c r="D342" s="806">
        <f t="shared" ref="D342" si="317">IF(T344&gt;0,(T342/T344),0)</f>
        <v>8.6956521739130436E-3</v>
      </c>
      <c r="E342" s="806">
        <f t="shared" ref="E342" si="318">IF(U344&gt;0,(U342/U344),0)</f>
        <v>1.1494252873563218E-2</v>
      </c>
      <c r="F342" s="806">
        <f t="shared" ref="F342" si="319">IF(V344&gt;0,(V342/V344),0)</f>
        <v>0</v>
      </c>
      <c r="G342" s="806">
        <f t="shared" ref="G342" si="320">IF(W344&gt;0,(W342/W344),0)</f>
        <v>0</v>
      </c>
      <c r="H342" s="806">
        <f t="shared" ref="H342" si="321">IF(X344&gt;0,(X342/X344),0)</f>
        <v>0</v>
      </c>
      <c r="I342" s="624">
        <f t="shared" ref="I342" si="322">IF(Y344&gt;0,(Y342/Y344),0)</f>
        <v>9.6339113680154135E-3</v>
      </c>
      <c r="J342" s="624">
        <f t="shared" ref="J342" si="323">IF(Z344&gt;0,(Z342/Z344),0)</f>
        <v>0</v>
      </c>
      <c r="K342" s="625">
        <f t="shared" ref="K342" si="324">IF(AA344&gt;0,(AA342/AA344),0)</f>
        <v>0</v>
      </c>
      <c r="L342" s="625">
        <f t="shared" ref="L342" si="325">IF(AB344&gt;0,(AB342/AB344),0)</f>
        <v>0</v>
      </c>
      <c r="M342" s="625">
        <f t="shared" ref="M342" si="326">IF(AC344&gt;0,(AC342/AC344),0)</f>
        <v>0</v>
      </c>
      <c r="N342" s="624">
        <f>IF(AE344&gt;0,(AE342/AE344),0)</f>
        <v>0</v>
      </c>
      <c r="O342" s="624">
        <f t="shared" ref="O342" si="327">IF(AF344&gt;0,(AF342/AF344),0)</f>
        <v>0</v>
      </c>
      <c r="P342" s="626">
        <f t="shared" ref="P342" si="328">IF(AG344&gt;0,(AG342/AG344),0)</f>
        <v>0</v>
      </c>
      <c r="Q342" s="624">
        <f t="shared" ref="Q342" si="329">IF(AH344&gt;0,(AH342/AH344),0)</f>
        <v>0</v>
      </c>
      <c r="T342" s="349">
        <v>6</v>
      </c>
      <c r="U342" s="349">
        <v>4</v>
      </c>
      <c r="Y342" s="804">
        <v>10</v>
      </c>
      <c r="Z342" s="804"/>
      <c r="AE342" s="804"/>
      <c r="AF342" s="804"/>
      <c r="AH342" s="804"/>
    </row>
    <row r="343" spans="1:34">
      <c r="A343" s="580"/>
      <c r="B343" s="580" t="s">
        <v>131</v>
      </c>
      <c r="C343" s="806">
        <f>IF(S344&gt;0,(S343/S344),0)</f>
        <v>0</v>
      </c>
      <c r="D343" s="806">
        <f t="shared" ref="D343" si="330">IF(T344&gt;0,(T343/T344),0)</f>
        <v>0.13188405797101449</v>
      </c>
      <c r="E343" s="806">
        <f t="shared" ref="E343" si="331">IF(U344&gt;0,(U343/U344),0)</f>
        <v>0</v>
      </c>
      <c r="F343" s="806">
        <f t="shared" ref="F343" si="332">IF(V344&gt;0,(V343/V344),0)</f>
        <v>0</v>
      </c>
      <c r="G343" s="806">
        <f t="shared" ref="G343" si="333">IF(W344&gt;0,(W343/W344),0)</f>
        <v>0</v>
      </c>
      <c r="H343" s="806">
        <f t="shared" ref="H343" si="334">IF(X344&gt;0,(X343/X344),0)</f>
        <v>0</v>
      </c>
      <c r="I343" s="624">
        <f t="shared" ref="I343" si="335">IF(Y344&gt;0,(Y343/Y344),0)</f>
        <v>8.7668593448940263E-2</v>
      </c>
      <c r="J343" s="624">
        <f t="shared" ref="J343" si="336">IF(Z344&gt;0,(Z343/Z344),0)</f>
        <v>0</v>
      </c>
      <c r="K343" s="625">
        <f t="shared" ref="K343" si="337">IF(AA344&gt;0,(AA343/AA344),0)</f>
        <v>0</v>
      </c>
      <c r="L343" s="625">
        <f t="shared" ref="L343" si="338">IF(AB344&gt;0,(AB343/AB344),0)</f>
        <v>0</v>
      </c>
      <c r="M343" s="625">
        <f t="shared" ref="M343" si="339">IF(AC344&gt;0,(AC343/AC344),0)</f>
        <v>0</v>
      </c>
      <c r="N343" s="624">
        <f>IF(AE344&gt;0,(AE343/AE344),0)</f>
        <v>0</v>
      </c>
      <c r="O343" s="624">
        <f t="shared" ref="O343" si="340">IF(AF344&gt;0,(AF343/AF344),0)</f>
        <v>0</v>
      </c>
      <c r="P343" s="626">
        <f t="shared" ref="P343" si="341">IF(AG344&gt;0,(AG343/AG344),0)</f>
        <v>0</v>
      </c>
      <c r="Q343" s="624">
        <f t="shared" ref="Q343" si="342">IF(AH344&gt;0,(AH343/AH344),0)</f>
        <v>0</v>
      </c>
      <c r="T343" s="349">
        <v>91</v>
      </c>
      <c r="Y343" s="804">
        <v>91</v>
      </c>
      <c r="Z343" s="804"/>
      <c r="AE343" s="804"/>
      <c r="AF343" s="804"/>
      <c r="AH343" s="804"/>
    </row>
    <row r="344" spans="1:34">
      <c r="A344" s="436"/>
      <c r="B344" s="436" t="s">
        <v>59</v>
      </c>
      <c r="C344" s="807">
        <f>IF(S344&gt;0,(S344/S344),0)</f>
        <v>0</v>
      </c>
      <c r="D344" s="808">
        <f t="shared" ref="D344" si="343">IF(T344&gt;0,(T344/T344),0)</f>
        <v>1</v>
      </c>
      <c r="E344" s="808">
        <f t="shared" ref="E344" si="344">IF(U344&gt;0,(U344/U344),0)</f>
        <v>1</v>
      </c>
      <c r="F344" s="808">
        <f t="shared" ref="F344" si="345">IF(V344&gt;0,(V344/V344),0)</f>
        <v>0</v>
      </c>
      <c r="G344" s="808">
        <f t="shared" ref="G344" si="346">IF(W344&gt;0,(W344/W344),0)</f>
        <v>0</v>
      </c>
      <c r="H344" s="809">
        <f t="shared" ref="H344" si="347">IF(X344&gt;0,(X344/X344),0)</f>
        <v>0</v>
      </c>
      <c r="I344" s="577">
        <f t="shared" ref="I344" si="348">IF(Y344&gt;0,(Y344/Y344),0)</f>
        <v>1</v>
      </c>
      <c r="J344" s="577">
        <f t="shared" ref="J344" si="349">IF(Z344&gt;0,(Z344/Z344),0)</f>
        <v>0</v>
      </c>
      <c r="K344" s="578">
        <f t="shared" ref="K344" si="350">IF(AA344&gt;0,(AA344/AA344),0)</f>
        <v>0</v>
      </c>
      <c r="L344" s="578">
        <f t="shared" ref="L344" si="351">IF(AB344&gt;0,(AB344/AB344),0)</f>
        <v>0</v>
      </c>
      <c r="M344" s="578">
        <f t="shared" ref="M344" si="352">IF(AC344&gt;0,(AC344/AC344),0)</f>
        <v>0</v>
      </c>
      <c r="N344" s="577">
        <f>IF(AE344&gt;0,(AE344/AE344),0)</f>
        <v>1</v>
      </c>
      <c r="O344" s="577">
        <f t="shared" ref="O344" si="353">IF(AF344&gt;0,(AF344/AF344),0)</f>
        <v>0</v>
      </c>
      <c r="P344" s="579">
        <f t="shared" ref="P344" si="354">IF(AG344&gt;0,(AG344/AG344),0)</f>
        <v>0</v>
      </c>
      <c r="Q344" s="577">
        <f t="shared" ref="Q344" si="355">IF(AH344&gt;0,(AH344/AH344),0)</f>
        <v>0</v>
      </c>
      <c r="T344" s="349">
        <v>690</v>
      </c>
      <c r="U344" s="349">
        <v>348</v>
      </c>
      <c r="Y344" s="804">
        <v>1038</v>
      </c>
      <c r="Z344" s="804"/>
      <c r="AE344" s="804">
        <v>321</v>
      </c>
      <c r="AF344" s="804"/>
      <c r="AH344" s="804"/>
    </row>
    <row r="345" spans="1:34">
      <c r="A345" s="240" t="s">
        <v>166</v>
      </c>
      <c r="B345" s="240" t="s">
        <v>53</v>
      </c>
      <c r="C345" s="806">
        <f>IF(S350&gt;0,(S345/S350),0)</f>
        <v>0</v>
      </c>
      <c r="D345" s="806">
        <f t="shared" ref="D345" si="356">IF(T350&gt;0,(T345/T350),0)</f>
        <v>0.25084175084175087</v>
      </c>
      <c r="E345" s="806">
        <f t="shared" ref="E345" si="357">IF(U350&gt;0,(U345/U350),0)</f>
        <v>0</v>
      </c>
      <c r="F345" s="806">
        <f t="shared" ref="F345" si="358">IF(V350&gt;0,(V345/V350),0)</f>
        <v>0</v>
      </c>
      <c r="G345" s="806">
        <f t="shared" ref="G345" si="359">IF(W350&gt;0,(W345/W350),0)</f>
        <v>0.55319148936170215</v>
      </c>
      <c r="H345" s="806">
        <f t="shared" ref="H345" si="360">IF(X350&gt;0,(X345/X350),0)</f>
        <v>0.40434782608695652</v>
      </c>
      <c r="I345" s="613">
        <f t="shared" ref="I345" si="361">IF(Y350&gt;0,(Y345/Y350),0)</f>
        <v>0.30769230769230771</v>
      </c>
      <c r="J345" s="613">
        <f t="shared" ref="J345" si="362">IF(Z350&gt;0,(Z345/Z350),0)</f>
        <v>0</v>
      </c>
      <c r="K345" s="614">
        <f t="shared" ref="K345" si="363">IF(AA350&gt;0,(AA345/AA350),0)</f>
        <v>0</v>
      </c>
      <c r="L345" s="614">
        <f t="shared" ref="L345" si="364">IF(AB350&gt;0,(AB345/AB350),0)</f>
        <v>0</v>
      </c>
      <c r="M345" s="614">
        <f t="shared" ref="M345" si="365">IF(AC350&gt;0,(AC345/AC350),0)</f>
        <v>0</v>
      </c>
      <c r="N345" s="613">
        <f>IF(AE350&gt;0,(AE345/AE350),0)</f>
        <v>0</v>
      </c>
      <c r="O345" s="613">
        <f t="shared" ref="O345" si="366">IF(AF350&gt;0,(AF345/AF350),0)</f>
        <v>0</v>
      </c>
      <c r="P345" s="615">
        <f t="shared" ref="P345" si="367">IF(AG350&gt;0,(AG345/AG350),0)</f>
        <v>0</v>
      </c>
      <c r="Q345" s="613">
        <f t="shared" ref="Q345" si="368">IF(AH350&gt;0,(AH345/AH350),0)</f>
        <v>0</v>
      </c>
      <c r="R345" s="799"/>
      <c r="S345" s="798"/>
      <c r="T345" s="798">
        <v>149</v>
      </c>
      <c r="U345" s="798"/>
      <c r="V345" s="798"/>
      <c r="W345" s="798">
        <v>26</v>
      </c>
      <c r="X345" s="798">
        <v>93</v>
      </c>
      <c r="Y345" s="803">
        <v>268</v>
      </c>
      <c r="Z345" s="803"/>
      <c r="AA345" s="798"/>
      <c r="AB345" s="798"/>
      <c r="AC345" s="798"/>
      <c r="AD345" s="798"/>
      <c r="AE345" s="803"/>
      <c r="AF345" s="803"/>
      <c r="AG345" s="798"/>
      <c r="AH345" s="803"/>
    </row>
    <row r="346" spans="1:34">
      <c r="A346" s="239"/>
      <c r="B346" s="239" t="s">
        <v>93</v>
      </c>
      <c r="C346" s="806">
        <f>IF(S350&gt;0,(S346/S350),0)</f>
        <v>0</v>
      </c>
      <c r="D346" s="806">
        <f t="shared" ref="D346" si="369">IF(T350&gt;0,(T346/T350),0)</f>
        <v>0.33164983164983164</v>
      </c>
      <c r="E346" s="806">
        <f t="shared" ref="E346" si="370">IF(U350&gt;0,(U346/U350),0)</f>
        <v>0</v>
      </c>
      <c r="F346" s="806">
        <f t="shared" ref="F346" si="371">IF(V350&gt;0,(V346/V350),0)</f>
        <v>0</v>
      </c>
      <c r="G346" s="806">
        <f t="shared" ref="G346" si="372">IF(W350&gt;0,(W346/W350),0)</f>
        <v>0.14893617021276595</v>
      </c>
      <c r="H346" s="806">
        <f t="shared" ref="H346" si="373">IF(X350&gt;0,(X346/X350),0)</f>
        <v>0.21304347826086956</v>
      </c>
      <c r="I346" s="624">
        <f t="shared" ref="I346" si="374">IF(Y350&gt;0,(Y346/Y350),0)</f>
        <v>0.29047072330654422</v>
      </c>
      <c r="J346" s="624">
        <f t="shared" ref="J346" si="375">IF(Z350&gt;0,(Z346/Z350),0)</f>
        <v>0</v>
      </c>
      <c r="K346" s="625">
        <f t="shared" ref="K346" si="376">IF(AA350&gt;0,(AA346/AA350),0)</f>
        <v>0</v>
      </c>
      <c r="L346" s="625">
        <f t="shared" ref="L346" si="377">IF(AB350&gt;0,(AB346/AB350),0)</f>
        <v>0</v>
      </c>
      <c r="M346" s="625">
        <f t="shared" ref="M346" si="378">IF(AC350&gt;0,(AC346/AC350),0)</f>
        <v>0</v>
      </c>
      <c r="N346" s="624">
        <f>IF(AE350&gt;0,(AE346/AE350),0)</f>
        <v>0</v>
      </c>
      <c r="O346" s="624">
        <f t="shared" ref="O346" si="379">IF(AF350&gt;0,(AF346/AF350),0)</f>
        <v>0</v>
      </c>
      <c r="P346" s="626">
        <f t="shared" ref="P346" si="380">IF(AG350&gt;0,(AG346/AG350),0)</f>
        <v>0</v>
      </c>
      <c r="Q346" s="624">
        <f t="shared" ref="Q346" si="381">IF(AH350&gt;0,(AH346/AH350),0)</f>
        <v>0</v>
      </c>
      <c r="T346" s="349">
        <v>197</v>
      </c>
      <c r="W346" s="349">
        <v>7</v>
      </c>
      <c r="X346" s="349">
        <v>49</v>
      </c>
      <c r="Y346" s="804">
        <v>253</v>
      </c>
      <c r="Z346" s="804"/>
      <c r="AE346" s="804"/>
      <c r="AF346" s="804"/>
      <c r="AH346" s="804"/>
    </row>
    <row r="347" spans="1:34">
      <c r="A347" s="239"/>
      <c r="B347" s="239" t="s">
        <v>55</v>
      </c>
      <c r="C347" s="806">
        <f>IF(S350&gt;0,(S347/S350),0)</f>
        <v>0</v>
      </c>
      <c r="D347" s="806">
        <f t="shared" ref="D347" si="382">IF(T350&gt;0,(T347/T350),0)</f>
        <v>0.21043771043771045</v>
      </c>
      <c r="E347" s="806">
        <f t="shared" ref="E347" si="383">IF(U350&gt;0,(U347/U350),0)</f>
        <v>0</v>
      </c>
      <c r="F347" s="806">
        <f t="shared" ref="F347" si="384">IF(V350&gt;0,(V347/V350),0)</f>
        <v>0</v>
      </c>
      <c r="G347" s="806">
        <f t="shared" ref="G347" si="385">IF(W350&gt;0,(W347/W350),0)</f>
        <v>0.2978723404255319</v>
      </c>
      <c r="H347" s="806">
        <f t="shared" ref="H347" si="386">IF(X350&gt;0,(X347/X350),0)</f>
        <v>0.36086956521739133</v>
      </c>
      <c r="I347" s="624">
        <f t="shared" ref="I347" si="387">IF(Y350&gt;0,(Y347/Y350),0)</f>
        <v>0.25487944890929964</v>
      </c>
      <c r="J347" s="624">
        <f t="shared" ref="J347" si="388">IF(Z350&gt;0,(Z347/Z350),0)</f>
        <v>0</v>
      </c>
      <c r="K347" s="625">
        <f t="shared" ref="K347" si="389">IF(AA350&gt;0,(AA347/AA350),0)</f>
        <v>0</v>
      </c>
      <c r="L347" s="625">
        <f t="shared" ref="L347" si="390">IF(AB350&gt;0,(AB347/AB350),0)</f>
        <v>0</v>
      </c>
      <c r="M347" s="625">
        <f t="shared" ref="M347" si="391">IF(AC350&gt;0,(AC347/AC350),0)</f>
        <v>0</v>
      </c>
      <c r="N347" s="624">
        <f>IF(AE350&gt;0,(AE347/AE350),0)</f>
        <v>0</v>
      </c>
      <c r="O347" s="624">
        <f t="shared" ref="O347" si="392">IF(AF350&gt;0,(AF347/AF350),0)</f>
        <v>0</v>
      </c>
      <c r="P347" s="626">
        <f t="shared" ref="P347" si="393">IF(AG350&gt;0,(AG347/AG350),0)</f>
        <v>0</v>
      </c>
      <c r="Q347" s="624">
        <f t="shared" ref="Q347" si="394">IF(AH350&gt;0,(AH347/AH350),0)</f>
        <v>0</v>
      </c>
      <c r="T347" s="349">
        <v>125</v>
      </c>
      <c r="W347" s="349">
        <v>14</v>
      </c>
      <c r="X347" s="349">
        <v>83</v>
      </c>
      <c r="Y347" s="804">
        <v>222</v>
      </c>
      <c r="Z347" s="804"/>
      <c r="AE347" s="804"/>
      <c r="AF347" s="804"/>
      <c r="AH347" s="804"/>
    </row>
    <row r="348" spans="1:34">
      <c r="A348" s="239"/>
      <c r="B348" s="239" t="s">
        <v>78</v>
      </c>
      <c r="C348" s="806">
        <f>IF(S350&gt;0,(S348/S350),0)</f>
        <v>0</v>
      </c>
      <c r="D348" s="806">
        <f t="shared" ref="D348" si="395">IF(T350&gt;0,(T348/T350),0)</f>
        <v>6.7340067340067337E-3</v>
      </c>
      <c r="E348" s="806">
        <f t="shared" ref="E348" si="396">IF(U350&gt;0,(U348/U350),0)</f>
        <v>0</v>
      </c>
      <c r="F348" s="806">
        <f t="shared" ref="F348" si="397">IF(V350&gt;0,(V348/V350),0)</f>
        <v>0</v>
      </c>
      <c r="G348" s="806">
        <f t="shared" ref="G348" si="398">IF(W350&gt;0,(W348/W350),0)</f>
        <v>0</v>
      </c>
      <c r="H348" s="806">
        <f t="shared" ref="H348" si="399">IF(X350&gt;0,(X348/X350),0)</f>
        <v>2.1739130434782608E-2</v>
      </c>
      <c r="I348" s="624">
        <f t="shared" ref="I348" si="400">IF(Y350&gt;0,(Y348/Y350),0)</f>
        <v>1.0332950631458095E-2</v>
      </c>
      <c r="J348" s="624">
        <f t="shared" ref="J348" si="401">IF(Z350&gt;0,(Z348/Z350),0)</f>
        <v>0</v>
      </c>
      <c r="K348" s="625">
        <f t="shared" ref="K348" si="402">IF(AA350&gt;0,(AA348/AA350),0)</f>
        <v>0</v>
      </c>
      <c r="L348" s="625">
        <f t="shared" ref="L348" si="403">IF(AB350&gt;0,(AB348/AB350),0)</f>
        <v>0</v>
      </c>
      <c r="M348" s="625">
        <f t="shared" ref="M348" si="404">IF(AC350&gt;0,(AC348/AC350),0)</f>
        <v>0</v>
      </c>
      <c r="N348" s="624">
        <f>IF(AE350&gt;0,(AE348/AE350),0)</f>
        <v>0</v>
      </c>
      <c r="O348" s="624">
        <f t="shared" ref="O348" si="405">IF(AF350&gt;0,(AF348/AF350),0)</f>
        <v>0</v>
      </c>
      <c r="P348" s="626">
        <f t="shared" ref="P348" si="406">IF(AG350&gt;0,(AG348/AG350),0)</f>
        <v>0</v>
      </c>
      <c r="Q348" s="624">
        <f t="shared" ref="Q348" si="407">IF(AH350&gt;0,(AH348/AH350),0)</f>
        <v>0</v>
      </c>
      <c r="T348" s="349">
        <v>4</v>
      </c>
      <c r="X348" s="349">
        <v>5</v>
      </c>
      <c r="Y348" s="804">
        <v>9</v>
      </c>
      <c r="Z348" s="804"/>
      <c r="AE348" s="804"/>
      <c r="AF348" s="804"/>
      <c r="AH348" s="804"/>
    </row>
    <row r="349" spans="1:34">
      <c r="A349" s="580"/>
      <c r="B349" s="580" t="s">
        <v>131</v>
      </c>
      <c r="C349" s="806">
        <f>IF(S350&gt;0,(S349/S350),0)</f>
        <v>0</v>
      </c>
      <c r="D349" s="806">
        <f t="shared" ref="D349" si="408">IF(T350&gt;0,(T349/T350),0)</f>
        <v>0.20033670033670034</v>
      </c>
      <c r="E349" s="806">
        <f t="shared" ref="E349" si="409">IF(U350&gt;0,(U349/U350),0)</f>
        <v>0</v>
      </c>
      <c r="F349" s="806">
        <f t="shared" ref="F349" si="410">IF(V350&gt;0,(V349/V350),0)</f>
        <v>0</v>
      </c>
      <c r="G349" s="806">
        <f t="shared" ref="G349" si="411">IF(W350&gt;0,(W349/W350),0)</f>
        <v>0</v>
      </c>
      <c r="H349" s="806">
        <f t="shared" ref="H349" si="412">IF(X350&gt;0,(X349/X350),0)</f>
        <v>0</v>
      </c>
      <c r="I349" s="624">
        <f t="shared" ref="I349" si="413">IF(Y350&gt;0,(Y349/Y350),0)</f>
        <v>0.13662456946039037</v>
      </c>
      <c r="J349" s="624">
        <f t="shared" ref="J349" si="414">IF(Z350&gt;0,(Z349/Z350),0)</f>
        <v>0</v>
      </c>
      <c r="K349" s="625">
        <f t="shared" ref="K349" si="415">IF(AA350&gt;0,(AA349/AA350),0)</f>
        <v>0</v>
      </c>
      <c r="L349" s="625">
        <f t="shared" ref="L349" si="416">IF(AB350&gt;0,(AB349/AB350),0)</f>
        <v>0</v>
      </c>
      <c r="M349" s="625">
        <f t="shared" ref="M349" si="417">IF(AC350&gt;0,(AC349/AC350),0)</f>
        <v>0</v>
      </c>
      <c r="N349" s="624">
        <f>IF(AE350&gt;0,(AE349/AE350),0)</f>
        <v>0</v>
      </c>
      <c r="O349" s="624">
        <f t="shared" ref="O349" si="418">IF(AF350&gt;0,(AF349/AF350),0)</f>
        <v>0</v>
      </c>
      <c r="P349" s="626">
        <f t="shared" ref="P349" si="419">IF(AG350&gt;0,(AG349/AG350),0)</f>
        <v>0</v>
      </c>
      <c r="Q349" s="624">
        <f t="shared" ref="Q349" si="420">IF(AH350&gt;0,(AH349/AH350),0)</f>
        <v>0</v>
      </c>
      <c r="T349" s="349">
        <v>119</v>
      </c>
      <c r="Y349" s="804">
        <v>119</v>
      </c>
      <c r="Z349" s="804"/>
      <c r="AE349" s="804"/>
      <c r="AF349" s="804"/>
      <c r="AH349" s="804"/>
    </row>
    <row r="350" spans="1:34">
      <c r="A350" s="436"/>
      <c r="B350" s="436" t="s">
        <v>59</v>
      </c>
      <c r="C350" s="807">
        <f>IF(S350&gt;0,(S350/S350),0)</f>
        <v>0</v>
      </c>
      <c r="D350" s="808">
        <f t="shared" ref="D350" si="421">IF(T350&gt;0,(T350/T350),0)</f>
        <v>1</v>
      </c>
      <c r="E350" s="808">
        <f t="shared" ref="E350" si="422">IF(U350&gt;0,(U350/U350),0)</f>
        <v>0</v>
      </c>
      <c r="F350" s="808">
        <f t="shared" ref="F350" si="423">IF(V350&gt;0,(V350/V350),0)</f>
        <v>0</v>
      </c>
      <c r="G350" s="808">
        <f t="shared" ref="G350" si="424">IF(W350&gt;0,(W350/W350),0)</f>
        <v>1</v>
      </c>
      <c r="H350" s="809">
        <f t="shared" ref="H350" si="425">IF(X350&gt;0,(X350/X350),0)</f>
        <v>1</v>
      </c>
      <c r="I350" s="577">
        <f t="shared" ref="I350" si="426">IF(Y350&gt;0,(Y350/Y350),0)</f>
        <v>1</v>
      </c>
      <c r="J350" s="577">
        <f t="shared" ref="J350" si="427">IF(Z350&gt;0,(Z350/Z350),0)</f>
        <v>0</v>
      </c>
      <c r="K350" s="578">
        <f t="shared" ref="K350" si="428">IF(AA350&gt;0,(AA350/AA350),0)</f>
        <v>0</v>
      </c>
      <c r="L350" s="578">
        <f t="shared" ref="L350" si="429">IF(AB350&gt;0,(AB350/AB350),0)</f>
        <v>0</v>
      </c>
      <c r="M350" s="578">
        <f t="shared" ref="M350" si="430">IF(AC350&gt;0,(AC350/AC350),0)</f>
        <v>0</v>
      </c>
      <c r="N350" s="577">
        <f>IF(AE350&gt;0,(AE350/AE350),0)</f>
        <v>0</v>
      </c>
      <c r="O350" s="577">
        <f t="shared" ref="O350" si="431">IF(AF350&gt;0,(AF350/AF350),0)</f>
        <v>0</v>
      </c>
      <c r="P350" s="579">
        <f t="shared" ref="P350" si="432">IF(AG350&gt;0,(AG350/AG350),0)</f>
        <v>0</v>
      </c>
      <c r="Q350" s="577">
        <f t="shared" ref="Q350" si="433">IF(AH350&gt;0,(AH350/AH350),0)</f>
        <v>0</v>
      </c>
      <c r="T350" s="349">
        <v>594</v>
      </c>
      <c r="W350" s="349">
        <v>47</v>
      </c>
      <c r="X350" s="349">
        <v>230</v>
      </c>
      <c r="Y350" s="804">
        <v>871</v>
      </c>
      <c r="Z350" s="804"/>
      <c r="AE350" s="804"/>
      <c r="AF350" s="804"/>
      <c r="AH350" s="804"/>
    </row>
    <row r="351" spans="1:34">
      <c r="A351" s="240" t="s">
        <v>170</v>
      </c>
      <c r="B351" s="240" t="s">
        <v>53</v>
      </c>
      <c r="C351" s="806">
        <f>IF(S356&gt;0,(S351/S356),0)</f>
        <v>0</v>
      </c>
      <c r="D351" s="806">
        <f t="shared" ref="D351" si="434">IF(T356&gt;0,(T351/T356),0)</f>
        <v>0</v>
      </c>
      <c r="E351" s="806">
        <f t="shared" ref="E351" si="435">IF(U356&gt;0,(U351/U356),0)</f>
        <v>0</v>
      </c>
      <c r="F351" s="806">
        <f t="shared" ref="F351" si="436">IF(V356&gt;0,(V351/V356),0)</f>
        <v>0.36036036036036034</v>
      </c>
      <c r="G351" s="806">
        <f t="shared" ref="G351" si="437">IF(W356&gt;0,(W351/W356),0)</f>
        <v>0</v>
      </c>
      <c r="H351" s="806">
        <f t="shared" ref="H351" si="438">IF(X356&gt;0,(X351/X356),0)</f>
        <v>0</v>
      </c>
      <c r="I351" s="613">
        <f t="shared" ref="I351" si="439">IF(Y356&gt;0,(Y351/Y356),0)</f>
        <v>0.36036036036036034</v>
      </c>
      <c r="J351" s="613">
        <f t="shared" ref="J351" si="440">IF(Z356&gt;0,(Z351/Z356),0)</f>
        <v>0</v>
      </c>
      <c r="K351" s="614">
        <f t="shared" ref="K351" si="441">IF(AA356&gt;0,(AA351/AA356),0)</f>
        <v>0</v>
      </c>
      <c r="L351" s="614">
        <f t="shared" ref="L351" si="442">IF(AB356&gt;0,(AB351/AB356),0)</f>
        <v>0</v>
      </c>
      <c r="M351" s="614">
        <f t="shared" ref="M351" si="443">IF(AC356&gt;0,(AC351/AC356),0)</f>
        <v>0</v>
      </c>
      <c r="N351" s="613">
        <f>IF(AE356&gt;0,(AE351/AE356),0)</f>
        <v>0</v>
      </c>
      <c r="O351" s="613">
        <f t="shared" ref="O351" si="444">IF(AF356&gt;0,(AF351/AF356),0)</f>
        <v>0</v>
      </c>
      <c r="P351" s="615">
        <f t="shared" ref="P351" si="445">IF(AG356&gt;0,(AG351/AG356),0)</f>
        <v>0</v>
      </c>
      <c r="Q351" s="613">
        <f t="shared" ref="Q351" si="446">IF(AH356&gt;0,(AH351/AH356),0)</f>
        <v>0</v>
      </c>
      <c r="R351" s="799"/>
      <c r="S351" s="798"/>
      <c r="T351" s="798"/>
      <c r="U351" s="798"/>
      <c r="V351" s="798">
        <v>80</v>
      </c>
      <c r="W351" s="798"/>
      <c r="X351" s="798"/>
      <c r="Y351" s="803">
        <v>80</v>
      </c>
      <c r="Z351" s="803"/>
      <c r="AA351" s="798"/>
      <c r="AB351" s="798"/>
      <c r="AC351" s="798"/>
      <c r="AD351" s="798"/>
      <c r="AE351" s="803"/>
      <c r="AF351" s="803"/>
      <c r="AG351" s="798"/>
      <c r="AH351" s="803"/>
    </row>
    <row r="352" spans="1:34">
      <c r="A352" s="239"/>
      <c r="B352" s="239" t="s">
        <v>93</v>
      </c>
      <c r="C352" s="806">
        <f>IF(S356&gt;0,(S352/S356),0)</f>
        <v>0</v>
      </c>
      <c r="D352" s="806">
        <f t="shared" ref="D352" si="447">IF(T356&gt;0,(T352/T356),0)</f>
        <v>0</v>
      </c>
      <c r="E352" s="806">
        <f t="shared" ref="E352" si="448">IF(U356&gt;0,(U352/U356),0)</f>
        <v>0</v>
      </c>
      <c r="F352" s="806">
        <f t="shared" ref="F352" si="449">IF(V356&gt;0,(V352/V356),0)</f>
        <v>0.3783783783783784</v>
      </c>
      <c r="G352" s="806">
        <f t="shared" ref="G352" si="450">IF(W356&gt;0,(W352/W356),0)</f>
        <v>0</v>
      </c>
      <c r="H352" s="806">
        <f t="shared" ref="H352" si="451">IF(X356&gt;0,(X352/X356),0)</f>
        <v>0</v>
      </c>
      <c r="I352" s="624">
        <f t="shared" ref="I352" si="452">IF(Y356&gt;0,(Y352/Y356),0)</f>
        <v>0.3783783783783784</v>
      </c>
      <c r="J352" s="624">
        <f t="shared" ref="J352" si="453">IF(Z356&gt;0,(Z352/Z356),0)</f>
        <v>0</v>
      </c>
      <c r="K352" s="625">
        <f t="shared" ref="K352" si="454">IF(AA356&gt;0,(AA352/AA356),0)</f>
        <v>0</v>
      </c>
      <c r="L352" s="625">
        <f t="shared" ref="L352" si="455">IF(AB356&gt;0,(AB352/AB356),0)</f>
        <v>0</v>
      </c>
      <c r="M352" s="625">
        <f t="shared" ref="M352" si="456">IF(AC356&gt;0,(AC352/AC356),0)</f>
        <v>0</v>
      </c>
      <c r="N352" s="624">
        <f>IF(AE356&gt;0,(AE352/AE356),0)</f>
        <v>0</v>
      </c>
      <c r="O352" s="624">
        <f t="shared" ref="O352" si="457">IF(AF356&gt;0,(AF352/AF356),0)</f>
        <v>0</v>
      </c>
      <c r="P352" s="626">
        <f t="shared" ref="P352" si="458">IF(AG356&gt;0,(AG352/AG356),0)</f>
        <v>0</v>
      </c>
      <c r="Q352" s="624">
        <f t="shared" ref="Q352" si="459">IF(AH356&gt;0,(AH352/AH356),0)</f>
        <v>0</v>
      </c>
      <c r="V352" s="349">
        <v>84</v>
      </c>
      <c r="Y352" s="804">
        <v>84</v>
      </c>
      <c r="Z352" s="804"/>
      <c r="AE352" s="804"/>
      <c r="AF352" s="804"/>
      <c r="AH352" s="804"/>
    </row>
    <row r="353" spans="1:34">
      <c r="A353" s="239"/>
      <c r="B353" s="239" t="s">
        <v>55</v>
      </c>
      <c r="C353" s="806">
        <f>IF(S356&gt;0,(S353/S356),0)</f>
        <v>0</v>
      </c>
      <c r="D353" s="806">
        <f t="shared" ref="D353" si="460">IF(T356&gt;0,(T353/T356),0)</f>
        <v>0</v>
      </c>
      <c r="E353" s="806">
        <f t="shared" ref="E353" si="461">IF(U356&gt;0,(U353/U356),0)</f>
        <v>0</v>
      </c>
      <c r="F353" s="806">
        <f t="shared" ref="F353" si="462">IF(V356&gt;0,(V353/V356),0)</f>
        <v>0.22522522522522523</v>
      </c>
      <c r="G353" s="806">
        <f t="shared" ref="G353" si="463">IF(W356&gt;0,(W353/W356),0)</f>
        <v>0</v>
      </c>
      <c r="H353" s="806">
        <f t="shared" ref="H353" si="464">IF(X356&gt;0,(X353/X356),0)</f>
        <v>0</v>
      </c>
      <c r="I353" s="624">
        <f t="shared" ref="I353" si="465">IF(Y356&gt;0,(Y353/Y356),0)</f>
        <v>0.22522522522522523</v>
      </c>
      <c r="J353" s="624">
        <f t="shared" ref="J353" si="466">IF(Z356&gt;0,(Z353/Z356),0)</f>
        <v>0</v>
      </c>
      <c r="K353" s="625">
        <f t="shared" ref="K353" si="467">IF(AA356&gt;0,(AA353/AA356),0)</f>
        <v>0</v>
      </c>
      <c r="L353" s="625">
        <f t="shared" ref="L353" si="468">IF(AB356&gt;0,(AB353/AB356),0)</f>
        <v>0</v>
      </c>
      <c r="M353" s="625">
        <f t="shared" ref="M353" si="469">IF(AC356&gt;0,(AC353/AC356),0)</f>
        <v>0</v>
      </c>
      <c r="N353" s="624">
        <f>IF(AE356&gt;0,(AE353/AE356),0)</f>
        <v>0</v>
      </c>
      <c r="O353" s="624">
        <f t="shared" ref="O353" si="470">IF(AF356&gt;0,(AF353/AF356),0)</f>
        <v>0</v>
      </c>
      <c r="P353" s="626">
        <f t="shared" ref="P353" si="471">IF(AG356&gt;0,(AG353/AG356),0)</f>
        <v>0</v>
      </c>
      <c r="Q353" s="624">
        <f t="shared" ref="Q353" si="472">IF(AH356&gt;0,(AH353/AH356),0)</f>
        <v>0</v>
      </c>
      <c r="V353" s="349">
        <v>50</v>
      </c>
      <c r="Y353" s="804">
        <v>50</v>
      </c>
      <c r="Z353" s="804"/>
      <c r="AE353" s="804"/>
      <c r="AF353" s="804"/>
      <c r="AH353" s="804"/>
    </row>
    <row r="354" spans="1:34">
      <c r="A354" s="239"/>
      <c r="B354" s="239" t="s">
        <v>78</v>
      </c>
      <c r="C354" s="806">
        <f>IF(S356&gt;0,(S354/S356),0)</f>
        <v>0</v>
      </c>
      <c r="D354" s="806">
        <f t="shared" ref="D354" si="473">IF(T356&gt;0,(T354/T356),0)</f>
        <v>0</v>
      </c>
      <c r="E354" s="806">
        <f t="shared" ref="E354" si="474">IF(U356&gt;0,(U354/U356),0)</f>
        <v>0</v>
      </c>
      <c r="F354" s="806">
        <f t="shared" ref="F354" si="475">IF(V356&gt;0,(V354/V356),0)</f>
        <v>3.6036036036036036E-2</v>
      </c>
      <c r="G354" s="806">
        <f t="shared" ref="G354" si="476">IF(W356&gt;0,(W354/W356),0)</f>
        <v>0</v>
      </c>
      <c r="H354" s="806">
        <f t="shared" ref="H354" si="477">IF(X356&gt;0,(X354/X356),0)</f>
        <v>0</v>
      </c>
      <c r="I354" s="624">
        <f t="shared" ref="I354" si="478">IF(Y356&gt;0,(Y354/Y356),0)</f>
        <v>3.6036036036036036E-2</v>
      </c>
      <c r="J354" s="624">
        <f t="shared" ref="J354" si="479">IF(Z356&gt;0,(Z354/Z356),0)</f>
        <v>0</v>
      </c>
      <c r="K354" s="625">
        <f t="shared" ref="K354" si="480">IF(AA356&gt;0,(AA354/AA356),0)</f>
        <v>0</v>
      </c>
      <c r="L354" s="625">
        <f t="shared" ref="L354" si="481">IF(AB356&gt;0,(AB354/AB356),0)</f>
        <v>0</v>
      </c>
      <c r="M354" s="625">
        <f t="shared" ref="M354" si="482">IF(AC356&gt;0,(AC354/AC356),0)</f>
        <v>0</v>
      </c>
      <c r="N354" s="624">
        <f>IF(AE356&gt;0,(AE354/AE356),0)</f>
        <v>0</v>
      </c>
      <c r="O354" s="624">
        <f t="shared" ref="O354" si="483">IF(AF356&gt;0,(AF354/AF356),0)</f>
        <v>0</v>
      </c>
      <c r="P354" s="626">
        <f t="shared" ref="P354" si="484">IF(AG356&gt;0,(AG354/AG356),0)</f>
        <v>0</v>
      </c>
      <c r="Q354" s="624">
        <f t="shared" ref="Q354" si="485">IF(AH356&gt;0,(AH354/AH356),0)</f>
        <v>0</v>
      </c>
      <c r="V354" s="349">
        <v>8</v>
      </c>
      <c r="Y354" s="804">
        <v>8</v>
      </c>
      <c r="Z354" s="804"/>
      <c r="AE354" s="804"/>
      <c r="AF354" s="804"/>
      <c r="AH354" s="804"/>
    </row>
    <row r="355" spans="1:34">
      <c r="A355" s="580"/>
      <c r="B355" s="580" t="s">
        <v>131</v>
      </c>
      <c r="C355" s="806">
        <f>IF(S356&gt;0,(S355/S356),0)</f>
        <v>0</v>
      </c>
      <c r="D355" s="806">
        <f t="shared" ref="D355" si="486">IF(T356&gt;0,(T355/T356),0)</f>
        <v>0</v>
      </c>
      <c r="E355" s="806">
        <f t="shared" ref="E355" si="487">IF(U356&gt;0,(U355/U356),0)</f>
        <v>0</v>
      </c>
      <c r="F355" s="806">
        <f t="shared" ref="F355" si="488">IF(V356&gt;0,(V355/V356),0)</f>
        <v>0</v>
      </c>
      <c r="G355" s="806">
        <f t="shared" ref="G355" si="489">IF(W356&gt;0,(W355/W356),0)</f>
        <v>0</v>
      </c>
      <c r="H355" s="806">
        <f t="shared" ref="H355" si="490">IF(X356&gt;0,(X355/X356),0)</f>
        <v>0</v>
      </c>
      <c r="I355" s="624">
        <f t="shared" ref="I355" si="491">IF(Y356&gt;0,(Y355/Y356),0)</f>
        <v>0</v>
      </c>
      <c r="J355" s="624">
        <f t="shared" ref="J355" si="492">IF(Z356&gt;0,(Z355/Z356),0)</f>
        <v>0</v>
      </c>
      <c r="K355" s="625">
        <f t="shared" ref="K355" si="493">IF(AA356&gt;0,(AA355/AA356),0)</f>
        <v>0</v>
      </c>
      <c r="L355" s="625">
        <f t="shared" ref="L355" si="494">IF(AB356&gt;0,(AB355/AB356),0)</f>
        <v>0</v>
      </c>
      <c r="M355" s="625">
        <f t="shared" ref="M355" si="495">IF(AC356&gt;0,(AC355/AC356),0)</f>
        <v>0</v>
      </c>
      <c r="N355" s="624">
        <f>IF(AE356&gt;0,(AE355/AE356),0)</f>
        <v>0</v>
      </c>
      <c r="O355" s="624">
        <f t="shared" ref="O355" si="496">IF(AF356&gt;0,(AF355/AF356),0)</f>
        <v>0</v>
      </c>
      <c r="P355" s="626">
        <f t="shared" ref="P355" si="497">IF(AG356&gt;0,(AG355/AG356),0)</f>
        <v>0</v>
      </c>
      <c r="Q355" s="624">
        <f t="shared" ref="Q355" si="498">IF(AH356&gt;0,(AH355/AH356),0)</f>
        <v>0</v>
      </c>
      <c r="Y355" s="804"/>
      <c r="Z355" s="804"/>
      <c r="AE355" s="804"/>
      <c r="AF355" s="804"/>
      <c r="AH355" s="804"/>
    </row>
    <row r="356" spans="1:34">
      <c r="A356" s="436"/>
      <c r="B356" s="436" t="s">
        <v>59</v>
      </c>
      <c r="C356" s="806">
        <f>IF(S356&gt;0,(S356/S356),0)</f>
        <v>0</v>
      </c>
      <c r="D356" s="806">
        <f t="shared" ref="D356" si="499">IF(T356&gt;0,(T356/T356),0)</f>
        <v>0</v>
      </c>
      <c r="E356" s="806">
        <f t="shared" ref="E356" si="500">IF(U356&gt;0,(U356/U356),0)</f>
        <v>0</v>
      </c>
      <c r="F356" s="806">
        <f t="shared" ref="F356" si="501">IF(V356&gt;0,(V356/V356),0)</f>
        <v>1</v>
      </c>
      <c r="G356" s="806">
        <f t="shared" ref="G356" si="502">IF(W356&gt;0,(W356/W356),0)</f>
        <v>0</v>
      </c>
      <c r="H356" s="806">
        <f t="shared" ref="H356" si="503">IF(X356&gt;0,(X356/X356),0)</f>
        <v>0</v>
      </c>
      <c r="I356" s="577">
        <f t="shared" ref="I356" si="504">IF(Y356&gt;0,(Y356/Y356),0)</f>
        <v>1</v>
      </c>
      <c r="J356" s="577">
        <f t="shared" ref="J356" si="505">IF(Z356&gt;0,(Z356/Z356),0)</f>
        <v>0</v>
      </c>
      <c r="K356" s="578">
        <f t="shared" ref="K356" si="506">IF(AA356&gt;0,(AA356/AA356),0)</f>
        <v>0</v>
      </c>
      <c r="L356" s="578">
        <f t="shared" ref="L356" si="507">IF(AB356&gt;0,(AB356/AB356),0)</f>
        <v>0</v>
      </c>
      <c r="M356" s="578">
        <f t="shared" ref="M356" si="508">IF(AC356&gt;0,(AC356/AC356),0)</f>
        <v>0</v>
      </c>
      <c r="N356" s="577">
        <f>IF(AE356&gt;0,(AE356/AE356),0)</f>
        <v>0</v>
      </c>
      <c r="O356" s="577">
        <f t="shared" ref="O356" si="509">IF(AF356&gt;0,(AF356/AF356),0)</f>
        <v>0</v>
      </c>
      <c r="P356" s="579">
        <f t="shared" ref="P356" si="510">IF(AG356&gt;0,(AG356/AG356),0)</f>
        <v>0</v>
      </c>
      <c r="Q356" s="577">
        <f t="shared" ref="Q356" si="511">IF(AH356&gt;0,(AH356/AH356),0)</f>
        <v>0</v>
      </c>
      <c r="V356" s="349">
        <v>222</v>
      </c>
      <c r="Y356" s="805">
        <v>222</v>
      </c>
      <c r="Z356" s="805"/>
      <c r="AE356" s="805"/>
      <c r="AF356" s="805"/>
      <c r="AH356" s="805"/>
    </row>
    <row r="357" spans="1:34">
      <c r="A357" s="240"/>
      <c r="B357" s="240"/>
      <c r="C357" s="359"/>
      <c r="D357" s="359"/>
      <c r="E357" s="359"/>
      <c r="F357" s="359"/>
      <c r="G357" s="359"/>
      <c r="H357" s="359"/>
      <c r="I357" s="359"/>
      <c r="J357" s="359"/>
      <c r="K357" s="359"/>
      <c r="L357" s="359"/>
      <c r="M357" s="359"/>
      <c r="N357" s="359"/>
      <c r="O357" s="359"/>
      <c r="P357" s="359"/>
      <c r="Q357" s="359"/>
      <c r="R357" s="799"/>
      <c r="S357" s="798"/>
      <c r="T357" s="798"/>
      <c r="U357" s="798"/>
      <c r="V357" s="798"/>
      <c r="W357" s="798"/>
      <c r="X357" s="798"/>
      <c r="Y357" s="798"/>
      <c r="Z357" s="798"/>
      <c r="AA357" s="798"/>
      <c r="AB357" s="798"/>
      <c r="AC357" s="798"/>
      <c r="AD357" s="798"/>
      <c r="AE357" s="798"/>
      <c r="AF357" s="798"/>
      <c r="AG357" s="798"/>
      <c r="AH357" s="798"/>
    </row>
  </sheetData>
  <pageMargins left="0.7" right="0.7" top="0.75" bottom="0.75" header="0.3" footer="0.3"/>
  <pageSetup scale="23" fitToWidth="0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K359"/>
  <sheetViews>
    <sheetView workbookViewId="0">
      <pane xSplit="2" ySplit="3" topLeftCell="G4" activePane="bottomRight" state="frozen"/>
      <selection pane="topRight" activeCell="C1" sqref="C1"/>
      <selection pane="bottomLeft" activeCell="A4" sqref="A4"/>
      <selection pane="bottomRight" activeCell="Z343" sqref="Z343"/>
    </sheetView>
  </sheetViews>
  <sheetFormatPr defaultColWidth="7.88671875" defaultRowHeight="12.75"/>
  <cols>
    <col min="1" max="1" width="4.77734375" style="9" customWidth="1"/>
    <col min="2" max="2" width="13.88671875" style="340" customWidth="1"/>
    <col min="3" max="3" width="5.5546875" style="9" customWidth="1"/>
    <col min="4" max="4" width="5.21875" style="9" customWidth="1"/>
    <col min="5" max="5" width="5.109375" style="9" customWidth="1"/>
    <col min="6" max="6" width="4.6640625" style="9" customWidth="1"/>
    <col min="7" max="7" width="5.109375" style="9" customWidth="1"/>
    <col min="8" max="8" width="4.88671875" style="9" customWidth="1"/>
    <col min="9" max="10" width="5.21875" style="9" customWidth="1"/>
    <col min="11" max="11" width="5" style="9" customWidth="1"/>
    <col min="12" max="13" width="5.5546875" style="9" customWidth="1"/>
    <col min="14" max="16" width="5.21875" style="9" customWidth="1"/>
    <col min="17" max="17" width="5.88671875" style="340" customWidth="1"/>
    <col min="18" max="18" width="3.21875" style="357" customWidth="1"/>
    <col min="19" max="19" width="6.77734375" style="349" customWidth="1"/>
    <col min="20" max="24" width="6.44140625" style="349" customWidth="1"/>
    <col min="25" max="25" width="8" style="349" customWidth="1"/>
    <col min="26" max="26" width="6" style="349" customWidth="1"/>
    <col min="27" max="27" width="6.44140625" style="349" customWidth="1"/>
    <col min="28" max="28" width="7.21875" style="349" customWidth="1"/>
    <col min="29" max="29" width="5.77734375" style="349" customWidth="1"/>
    <col min="30" max="30" width="6.44140625" style="349" customWidth="1"/>
    <col min="31" max="31" width="7.44140625" style="349" customWidth="1"/>
    <col min="32" max="32" width="6" style="349" customWidth="1"/>
    <col min="33" max="33" width="7" style="349" customWidth="1"/>
    <col min="34" max="34" width="5.6640625" style="358" customWidth="1"/>
    <col min="35" max="35" width="4.77734375" style="349" customWidth="1"/>
    <col min="36" max="36" width="7.88671875" style="349" customWidth="1"/>
    <col min="37" max="16384" width="7.88671875" style="9"/>
  </cols>
  <sheetData>
    <row r="1" spans="1:36">
      <c r="A1" s="359"/>
      <c r="B1" s="360"/>
      <c r="C1" s="361" t="s">
        <v>95</v>
      </c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3"/>
      <c r="S1" s="361" t="s">
        <v>52</v>
      </c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</row>
    <row r="2" spans="1:36">
      <c r="A2" s="365"/>
      <c r="B2" s="366"/>
      <c r="C2" s="367" t="s">
        <v>96</v>
      </c>
      <c r="D2" s="368"/>
      <c r="E2" s="368"/>
      <c r="F2" s="368"/>
      <c r="G2" s="368"/>
      <c r="H2" s="368"/>
      <c r="I2" s="368"/>
      <c r="J2" s="369" t="s">
        <v>97</v>
      </c>
      <c r="K2" s="370"/>
      <c r="L2" s="370"/>
      <c r="M2" s="370"/>
      <c r="N2" s="372"/>
      <c r="O2" s="369" t="s">
        <v>110</v>
      </c>
      <c r="P2" s="370"/>
      <c r="Q2" s="368"/>
      <c r="S2" s="367" t="s">
        <v>96</v>
      </c>
      <c r="T2" s="373"/>
      <c r="U2" s="373"/>
      <c r="V2" s="373"/>
      <c r="W2" s="373"/>
      <c r="X2" s="373"/>
      <c r="Y2" s="373"/>
      <c r="Z2" s="374" t="s">
        <v>97</v>
      </c>
      <c r="AA2" s="375"/>
      <c r="AB2" s="375"/>
      <c r="AC2" s="375"/>
      <c r="AD2" s="375"/>
      <c r="AE2" s="377"/>
      <c r="AF2" s="374" t="s">
        <v>110</v>
      </c>
      <c r="AG2" s="375"/>
      <c r="AH2" s="373"/>
    </row>
    <row r="3" spans="1:36" ht="41.25" customHeight="1">
      <c r="A3" s="378"/>
      <c r="B3" s="379"/>
      <c r="C3" s="380">
        <v>1</v>
      </c>
      <c r="D3" s="381">
        <v>2</v>
      </c>
      <c r="E3" s="381">
        <v>3</v>
      </c>
      <c r="F3" s="381">
        <v>4</v>
      </c>
      <c r="G3" s="381">
        <v>5</v>
      </c>
      <c r="H3" s="381">
        <v>6</v>
      </c>
      <c r="I3" s="382" t="s">
        <v>119</v>
      </c>
      <c r="J3" s="383" t="s">
        <v>111</v>
      </c>
      <c r="K3" s="381">
        <v>1</v>
      </c>
      <c r="L3" s="381">
        <v>2</v>
      </c>
      <c r="M3" s="381">
        <v>3</v>
      </c>
      <c r="N3" s="382" t="s">
        <v>121</v>
      </c>
      <c r="O3" s="383">
        <v>1</v>
      </c>
      <c r="P3" s="383">
        <v>2</v>
      </c>
      <c r="Q3" s="384" t="s">
        <v>113</v>
      </c>
      <c r="R3" s="385"/>
      <c r="S3" s="386">
        <v>1</v>
      </c>
      <c r="T3" s="387">
        <v>2</v>
      </c>
      <c r="U3" s="387">
        <v>3</v>
      </c>
      <c r="V3" s="387">
        <v>4</v>
      </c>
      <c r="W3" s="387">
        <v>5</v>
      </c>
      <c r="X3" s="387">
        <v>6</v>
      </c>
      <c r="Y3" s="388" t="s">
        <v>98</v>
      </c>
      <c r="Z3" s="389" t="s">
        <v>111</v>
      </c>
      <c r="AA3" s="387">
        <v>1</v>
      </c>
      <c r="AB3" s="387">
        <v>2</v>
      </c>
      <c r="AC3" s="387">
        <v>3</v>
      </c>
      <c r="AD3" s="389" t="s">
        <v>216</v>
      </c>
      <c r="AE3" s="388" t="s">
        <v>113</v>
      </c>
      <c r="AF3" s="389">
        <v>1</v>
      </c>
      <c r="AG3" s="389">
        <v>2</v>
      </c>
      <c r="AH3" s="390" t="s">
        <v>113</v>
      </c>
    </row>
    <row r="4" spans="1:36">
      <c r="A4" s="240" t="s">
        <v>128</v>
      </c>
      <c r="B4" s="240" t="s">
        <v>53</v>
      </c>
      <c r="C4" s="613">
        <f>IF(S9&gt;0,(S4/S9),0)</f>
        <v>0</v>
      </c>
      <c r="D4" s="614">
        <f t="shared" ref="D4:M4" si="0">IF(T9&gt;0,(T4/T9),0)</f>
        <v>0</v>
      </c>
      <c r="E4" s="614">
        <f t="shared" si="0"/>
        <v>0</v>
      </c>
      <c r="F4" s="614">
        <f t="shared" si="0"/>
        <v>0</v>
      </c>
      <c r="G4" s="614">
        <f t="shared" si="0"/>
        <v>0</v>
      </c>
      <c r="H4" s="615">
        <f t="shared" si="0"/>
        <v>0</v>
      </c>
      <c r="I4" s="613">
        <f t="shared" si="0"/>
        <v>0</v>
      </c>
      <c r="J4" s="613">
        <f t="shared" si="0"/>
        <v>0</v>
      </c>
      <c r="K4" s="614">
        <f t="shared" si="0"/>
        <v>0</v>
      </c>
      <c r="L4" s="614">
        <f t="shared" si="0"/>
        <v>0</v>
      </c>
      <c r="M4" s="614">
        <f t="shared" si="0"/>
        <v>0</v>
      </c>
      <c r="N4" s="613">
        <f>IF(AE9&gt;0,(AE4/AE9),0)</f>
        <v>0</v>
      </c>
      <c r="O4" s="613">
        <f t="shared" ref="O4:Q4" si="1">IF(AF9&gt;0,(AF4/AF9),0)</f>
        <v>0</v>
      </c>
      <c r="P4" s="615">
        <f t="shared" si="1"/>
        <v>0</v>
      </c>
      <c r="Q4" s="613">
        <f t="shared" si="1"/>
        <v>0</v>
      </c>
      <c r="R4" s="391"/>
      <c r="S4" s="797">
        <f>S10+S129+S213+S291+S351</f>
        <v>0</v>
      </c>
      <c r="T4" s="797">
        <f t="shared" ref="T4:AH4" si="2">T10+T129+T213+T291+T351</f>
        <v>0</v>
      </c>
      <c r="U4" s="797">
        <f t="shared" si="2"/>
        <v>0</v>
      </c>
      <c r="V4" s="797">
        <f t="shared" si="2"/>
        <v>0</v>
      </c>
      <c r="W4" s="797">
        <f t="shared" si="2"/>
        <v>0</v>
      </c>
      <c r="X4" s="797">
        <f t="shared" si="2"/>
        <v>0</v>
      </c>
      <c r="Y4" s="797">
        <f t="shared" si="2"/>
        <v>0</v>
      </c>
      <c r="Z4" s="797">
        <f t="shared" si="2"/>
        <v>0</v>
      </c>
      <c r="AA4" s="797">
        <f t="shared" si="2"/>
        <v>0</v>
      </c>
      <c r="AB4" s="797">
        <f t="shared" si="2"/>
        <v>0</v>
      </c>
      <c r="AC4" s="797">
        <f t="shared" si="2"/>
        <v>0</v>
      </c>
      <c r="AD4" s="797">
        <f t="shared" si="2"/>
        <v>0</v>
      </c>
      <c r="AE4" s="797">
        <f t="shared" si="2"/>
        <v>0</v>
      </c>
      <c r="AF4" s="797">
        <f t="shared" si="2"/>
        <v>0</v>
      </c>
      <c r="AG4" s="797">
        <f t="shared" si="2"/>
        <v>0</v>
      </c>
      <c r="AH4" s="797">
        <f t="shared" si="2"/>
        <v>0</v>
      </c>
    </row>
    <row r="5" spans="1:36">
      <c r="A5" s="239"/>
      <c r="B5" s="239" t="s">
        <v>93</v>
      </c>
      <c r="C5" s="624">
        <f>IF(S9&gt;0,(S5/S9),0)</f>
        <v>0</v>
      </c>
      <c r="D5" s="625">
        <f t="shared" ref="D5:M5" si="3">IF(T9&gt;0,(T5/T9),0)</f>
        <v>0</v>
      </c>
      <c r="E5" s="625">
        <f t="shared" si="3"/>
        <v>0</v>
      </c>
      <c r="F5" s="625">
        <f t="shared" si="3"/>
        <v>0</v>
      </c>
      <c r="G5" s="625">
        <f t="shared" si="3"/>
        <v>0</v>
      </c>
      <c r="H5" s="626">
        <f t="shared" si="3"/>
        <v>0</v>
      </c>
      <c r="I5" s="624">
        <f t="shared" si="3"/>
        <v>0</v>
      </c>
      <c r="J5" s="624">
        <f t="shared" si="3"/>
        <v>0</v>
      </c>
      <c r="K5" s="625">
        <f t="shared" si="3"/>
        <v>0</v>
      </c>
      <c r="L5" s="625">
        <f t="shared" si="3"/>
        <v>0</v>
      </c>
      <c r="M5" s="625">
        <f t="shared" si="3"/>
        <v>0</v>
      </c>
      <c r="N5" s="624">
        <f>IF(AE9&gt;0,(AE5/AE9),0)</f>
        <v>0</v>
      </c>
      <c r="O5" s="624">
        <f t="shared" ref="O5:Q5" si="4">IF(AF9&gt;0,(AF5/AF9),0)</f>
        <v>0</v>
      </c>
      <c r="P5" s="626">
        <f t="shared" si="4"/>
        <v>0</v>
      </c>
      <c r="Q5" s="624">
        <f t="shared" si="4"/>
        <v>0</v>
      </c>
      <c r="R5" s="391"/>
      <c r="S5" s="797">
        <f t="shared" ref="S5:AH7" si="5">S11+S130+S214+S292+S352</f>
        <v>0</v>
      </c>
      <c r="T5" s="797">
        <f t="shared" si="5"/>
        <v>0</v>
      </c>
      <c r="U5" s="797">
        <f t="shared" si="5"/>
        <v>0</v>
      </c>
      <c r="V5" s="797">
        <f t="shared" si="5"/>
        <v>0</v>
      </c>
      <c r="W5" s="797">
        <f t="shared" si="5"/>
        <v>0</v>
      </c>
      <c r="X5" s="797">
        <f t="shared" si="5"/>
        <v>0</v>
      </c>
      <c r="Y5" s="797">
        <f t="shared" si="5"/>
        <v>0</v>
      </c>
      <c r="Z5" s="797">
        <f t="shared" si="5"/>
        <v>0</v>
      </c>
      <c r="AA5" s="797">
        <f t="shared" si="5"/>
        <v>0</v>
      </c>
      <c r="AB5" s="797">
        <f t="shared" si="5"/>
        <v>0</v>
      </c>
      <c r="AC5" s="797">
        <f t="shared" si="5"/>
        <v>0</v>
      </c>
      <c r="AD5" s="797">
        <f t="shared" si="5"/>
        <v>0</v>
      </c>
      <c r="AE5" s="797">
        <f t="shared" si="5"/>
        <v>0</v>
      </c>
      <c r="AF5" s="797">
        <f t="shared" si="5"/>
        <v>0</v>
      </c>
      <c r="AG5" s="797">
        <f t="shared" si="5"/>
        <v>0</v>
      </c>
      <c r="AH5" s="797">
        <f t="shared" si="5"/>
        <v>0</v>
      </c>
    </row>
    <row r="6" spans="1:36">
      <c r="A6" s="239"/>
      <c r="B6" s="239" t="s">
        <v>55</v>
      </c>
      <c r="C6" s="624">
        <f>IF(S9&gt;0,(S6/S9),0)</f>
        <v>0</v>
      </c>
      <c r="D6" s="625">
        <f t="shared" ref="D6:M6" si="6">IF(T9&gt;0,(T6/T9),0)</f>
        <v>0</v>
      </c>
      <c r="E6" s="625">
        <f t="shared" si="6"/>
        <v>0</v>
      </c>
      <c r="F6" s="625">
        <f t="shared" si="6"/>
        <v>0</v>
      </c>
      <c r="G6" s="625">
        <f t="shared" si="6"/>
        <v>0</v>
      </c>
      <c r="H6" s="626">
        <f t="shared" si="6"/>
        <v>0</v>
      </c>
      <c r="I6" s="624">
        <f t="shared" si="6"/>
        <v>0</v>
      </c>
      <c r="J6" s="624">
        <f t="shared" si="6"/>
        <v>0</v>
      </c>
      <c r="K6" s="625">
        <f t="shared" si="6"/>
        <v>0</v>
      </c>
      <c r="L6" s="625">
        <f t="shared" si="6"/>
        <v>0</v>
      </c>
      <c r="M6" s="625">
        <f t="shared" si="6"/>
        <v>0</v>
      </c>
      <c r="N6" s="624">
        <f>IF(AE9&gt;0,(AE6/AE9),0)</f>
        <v>0</v>
      </c>
      <c r="O6" s="624">
        <f t="shared" ref="O6:Q6" si="7">IF(AF9&gt;0,(AF6/AF9),0)</f>
        <v>0</v>
      </c>
      <c r="P6" s="626">
        <f t="shared" si="7"/>
        <v>0</v>
      </c>
      <c r="Q6" s="624">
        <f t="shared" si="7"/>
        <v>0</v>
      </c>
      <c r="R6" s="391"/>
      <c r="S6" s="797">
        <f t="shared" si="5"/>
        <v>0</v>
      </c>
      <c r="T6" s="797">
        <f t="shared" si="5"/>
        <v>0</v>
      </c>
      <c r="U6" s="797">
        <f t="shared" si="5"/>
        <v>0</v>
      </c>
      <c r="V6" s="797">
        <f t="shared" si="5"/>
        <v>0</v>
      </c>
      <c r="W6" s="797">
        <f t="shared" si="5"/>
        <v>0</v>
      </c>
      <c r="X6" s="797">
        <f t="shared" si="5"/>
        <v>0</v>
      </c>
      <c r="Y6" s="797">
        <f t="shared" si="5"/>
        <v>0</v>
      </c>
      <c r="Z6" s="797">
        <f t="shared" si="5"/>
        <v>0</v>
      </c>
      <c r="AA6" s="797">
        <f t="shared" si="5"/>
        <v>0</v>
      </c>
      <c r="AB6" s="797">
        <f t="shared" si="5"/>
        <v>0</v>
      </c>
      <c r="AC6" s="797">
        <f t="shared" si="5"/>
        <v>0</v>
      </c>
      <c r="AD6" s="797">
        <f t="shared" si="5"/>
        <v>0</v>
      </c>
      <c r="AE6" s="797">
        <f t="shared" si="5"/>
        <v>0</v>
      </c>
      <c r="AF6" s="797">
        <f t="shared" si="5"/>
        <v>0</v>
      </c>
      <c r="AG6" s="797">
        <f t="shared" si="5"/>
        <v>0</v>
      </c>
      <c r="AH6" s="797">
        <f t="shared" si="5"/>
        <v>0</v>
      </c>
    </row>
    <row r="7" spans="1:36">
      <c r="A7" s="239"/>
      <c r="B7" s="239" t="s">
        <v>78</v>
      </c>
      <c r="C7" s="624">
        <f>IF(S9&gt;0,(S7/S9),0)</f>
        <v>0</v>
      </c>
      <c r="D7" s="625">
        <f t="shared" ref="D7:M7" si="8">IF(T9&gt;0,(T7/T9),0)</f>
        <v>0</v>
      </c>
      <c r="E7" s="625">
        <f t="shared" si="8"/>
        <v>0</v>
      </c>
      <c r="F7" s="625">
        <f t="shared" si="8"/>
        <v>0</v>
      </c>
      <c r="G7" s="625">
        <f t="shared" si="8"/>
        <v>0</v>
      </c>
      <c r="H7" s="626">
        <f t="shared" si="8"/>
        <v>0</v>
      </c>
      <c r="I7" s="624">
        <f t="shared" si="8"/>
        <v>0</v>
      </c>
      <c r="J7" s="624">
        <f t="shared" si="8"/>
        <v>0</v>
      </c>
      <c r="K7" s="625">
        <f t="shared" si="8"/>
        <v>0</v>
      </c>
      <c r="L7" s="625">
        <f t="shared" si="8"/>
        <v>0</v>
      </c>
      <c r="M7" s="625">
        <f t="shared" si="8"/>
        <v>0</v>
      </c>
      <c r="N7" s="624">
        <f>IF(AE9&gt;0,(AE7/AE9),0)</f>
        <v>0</v>
      </c>
      <c r="O7" s="624">
        <f t="shared" ref="O7:Q7" si="9">IF(AF9&gt;0,(AF7/AF9),0)</f>
        <v>0</v>
      </c>
      <c r="P7" s="626">
        <f t="shared" si="9"/>
        <v>0</v>
      </c>
      <c r="Q7" s="624">
        <f t="shared" si="9"/>
        <v>0</v>
      </c>
      <c r="R7" s="391"/>
      <c r="S7" s="797">
        <f t="shared" si="5"/>
        <v>0</v>
      </c>
      <c r="T7" s="797">
        <f t="shared" si="5"/>
        <v>0</v>
      </c>
      <c r="U7" s="797">
        <f t="shared" si="5"/>
        <v>0</v>
      </c>
      <c r="V7" s="797">
        <f t="shared" si="5"/>
        <v>0</v>
      </c>
      <c r="W7" s="797">
        <f t="shared" si="5"/>
        <v>0</v>
      </c>
      <c r="X7" s="797">
        <f t="shared" si="5"/>
        <v>0</v>
      </c>
      <c r="Y7" s="797">
        <f t="shared" si="5"/>
        <v>0</v>
      </c>
      <c r="Z7" s="797">
        <f t="shared" si="5"/>
        <v>0</v>
      </c>
      <c r="AA7" s="797">
        <f t="shared" si="5"/>
        <v>0</v>
      </c>
      <c r="AB7" s="797">
        <f t="shared" si="5"/>
        <v>0</v>
      </c>
      <c r="AC7" s="797">
        <f t="shared" si="5"/>
        <v>0</v>
      </c>
      <c r="AD7" s="797">
        <f t="shared" si="5"/>
        <v>0</v>
      </c>
      <c r="AE7" s="797">
        <f t="shared" si="5"/>
        <v>0</v>
      </c>
      <c r="AF7" s="797">
        <f t="shared" si="5"/>
        <v>0</v>
      </c>
      <c r="AG7" s="797">
        <f t="shared" si="5"/>
        <v>0</v>
      </c>
      <c r="AH7" s="797">
        <f t="shared" si="5"/>
        <v>0</v>
      </c>
    </row>
    <row r="8" spans="1:36">
      <c r="A8" s="580"/>
      <c r="B8" s="580" t="s">
        <v>131</v>
      </c>
      <c r="C8" s="624">
        <f>IF(S9&gt;0,(S8/S9),0)</f>
        <v>0</v>
      </c>
      <c r="D8" s="625">
        <f t="shared" ref="D8:M8" si="10">IF(T9&gt;0,(T8/T9),0)</f>
        <v>0</v>
      </c>
      <c r="E8" s="625">
        <f t="shared" si="10"/>
        <v>0</v>
      </c>
      <c r="F8" s="625">
        <f t="shared" si="10"/>
        <v>0</v>
      </c>
      <c r="G8" s="625">
        <f t="shared" si="10"/>
        <v>0</v>
      </c>
      <c r="H8" s="626">
        <f t="shared" si="10"/>
        <v>0</v>
      </c>
      <c r="I8" s="624">
        <f t="shared" si="10"/>
        <v>0</v>
      </c>
      <c r="J8" s="624">
        <f t="shared" si="10"/>
        <v>0</v>
      </c>
      <c r="K8" s="625">
        <f t="shared" si="10"/>
        <v>0</v>
      </c>
      <c r="L8" s="625">
        <f t="shared" si="10"/>
        <v>0</v>
      </c>
      <c r="M8" s="625">
        <f t="shared" si="10"/>
        <v>0</v>
      </c>
      <c r="N8" s="624">
        <f>IF(AE9&gt;0,(AE8/AE9),0)</f>
        <v>0</v>
      </c>
      <c r="O8" s="624">
        <f t="shared" ref="O8:Q8" si="11">IF(AF9&gt;0,(AF8/AF9),0)</f>
        <v>0</v>
      </c>
      <c r="P8" s="626">
        <f t="shared" si="11"/>
        <v>0</v>
      </c>
      <c r="Q8" s="624">
        <f t="shared" si="11"/>
        <v>0</v>
      </c>
      <c r="R8" s="391"/>
      <c r="S8" s="797">
        <f>S14+S15+S133+S217+S295+S355</f>
        <v>0</v>
      </c>
      <c r="T8" s="797">
        <f t="shared" ref="T8:AH8" si="12">T14+T15+T133+T217+T295+T355</f>
        <v>0</v>
      </c>
      <c r="U8" s="797">
        <f t="shared" si="12"/>
        <v>0</v>
      </c>
      <c r="V8" s="797">
        <f>V14+V15+V133+V217+V295+V355</f>
        <v>0</v>
      </c>
      <c r="W8" s="797">
        <f t="shared" si="12"/>
        <v>0</v>
      </c>
      <c r="X8" s="797">
        <f t="shared" si="12"/>
        <v>0</v>
      </c>
      <c r="Y8" s="797">
        <f t="shared" si="12"/>
        <v>0</v>
      </c>
      <c r="Z8" s="797">
        <f t="shared" si="12"/>
        <v>0</v>
      </c>
      <c r="AA8" s="797">
        <f t="shared" si="12"/>
        <v>0</v>
      </c>
      <c r="AB8" s="797">
        <f t="shared" si="12"/>
        <v>0</v>
      </c>
      <c r="AC8" s="797">
        <f t="shared" si="12"/>
        <v>0</v>
      </c>
      <c r="AD8" s="797">
        <f t="shared" si="12"/>
        <v>0</v>
      </c>
      <c r="AE8" s="797">
        <f t="shared" si="12"/>
        <v>0</v>
      </c>
      <c r="AF8" s="797">
        <f t="shared" si="12"/>
        <v>0</v>
      </c>
      <c r="AG8" s="797">
        <f t="shared" si="12"/>
        <v>0</v>
      </c>
      <c r="AH8" s="797">
        <f t="shared" si="12"/>
        <v>0</v>
      </c>
    </row>
    <row r="9" spans="1:36">
      <c r="A9" s="436" t="s">
        <v>86</v>
      </c>
      <c r="B9" s="436" t="s">
        <v>59</v>
      </c>
      <c r="C9" s="577">
        <f>IF(S9&gt;0,(S9/S9),0)</f>
        <v>0</v>
      </c>
      <c r="D9" s="578">
        <f t="shared" ref="D9:M9" si="13">IF(T9&gt;0,(T9/T9),0)</f>
        <v>0</v>
      </c>
      <c r="E9" s="578">
        <f t="shared" si="13"/>
        <v>0</v>
      </c>
      <c r="F9" s="578">
        <f t="shared" si="13"/>
        <v>0</v>
      </c>
      <c r="G9" s="578">
        <f t="shared" si="13"/>
        <v>0</v>
      </c>
      <c r="H9" s="579">
        <f t="shared" si="13"/>
        <v>0</v>
      </c>
      <c r="I9" s="577">
        <f t="shared" si="13"/>
        <v>0</v>
      </c>
      <c r="J9" s="577">
        <f t="shared" si="13"/>
        <v>0</v>
      </c>
      <c r="K9" s="578">
        <f t="shared" si="13"/>
        <v>0</v>
      </c>
      <c r="L9" s="578">
        <f t="shared" si="13"/>
        <v>0</v>
      </c>
      <c r="M9" s="578">
        <f t="shared" si="13"/>
        <v>0</v>
      </c>
      <c r="N9" s="577">
        <f>IF(AE9&gt;0,(AE9/AE9),0)</f>
        <v>0</v>
      </c>
      <c r="O9" s="577">
        <f t="shared" ref="O9:Q9" si="14">IF(AF9&gt;0,(AF9/AF9),0)</f>
        <v>0</v>
      </c>
      <c r="P9" s="579">
        <f t="shared" si="14"/>
        <v>0</v>
      </c>
      <c r="Q9" s="577">
        <f t="shared" si="14"/>
        <v>0</v>
      </c>
      <c r="R9" s="391"/>
      <c r="S9" s="797">
        <f>S16+S134+S218+S296+S356</f>
        <v>0</v>
      </c>
      <c r="T9" s="797">
        <f t="shared" ref="T9:AH9" si="15">T16+T134+T218+T296+T356</f>
        <v>0</v>
      </c>
      <c r="U9" s="797">
        <f t="shared" si="15"/>
        <v>0</v>
      </c>
      <c r="V9" s="797">
        <f t="shared" si="15"/>
        <v>0</v>
      </c>
      <c r="W9" s="797">
        <f t="shared" si="15"/>
        <v>0</v>
      </c>
      <c r="X9" s="797">
        <f t="shared" si="15"/>
        <v>0</v>
      </c>
      <c r="Y9" s="797">
        <f t="shared" si="15"/>
        <v>0</v>
      </c>
      <c r="Z9" s="797">
        <f t="shared" si="15"/>
        <v>0</v>
      </c>
      <c r="AA9" s="797">
        <f t="shared" si="15"/>
        <v>0</v>
      </c>
      <c r="AB9" s="797">
        <f t="shared" si="15"/>
        <v>0</v>
      </c>
      <c r="AC9" s="797">
        <f t="shared" si="15"/>
        <v>0</v>
      </c>
      <c r="AD9" s="797">
        <f t="shared" si="15"/>
        <v>0</v>
      </c>
      <c r="AE9" s="797">
        <f t="shared" si="15"/>
        <v>0</v>
      </c>
      <c r="AF9" s="797">
        <f t="shared" si="15"/>
        <v>0</v>
      </c>
      <c r="AG9" s="797">
        <f t="shared" si="15"/>
        <v>0</v>
      </c>
      <c r="AH9" s="797">
        <f t="shared" si="15"/>
        <v>0</v>
      </c>
    </row>
    <row r="10" spans="1:36">
      <c r="A10" s="239" t="s">
        <v>3</v>
      </c>
      <c r="B10" s="240" t="s">
        <v>53</v>
      </c>
      <c r="C10" s="613">
        <f t="shared" ref="C10:M16" si="16">IF(S$16&gt;0,(S10/S$16),0)</f>
        <v>0</v>
      </c>
      <c r="D10" s="614">
        <f t="shared" si="16"/>
        <v>0</v>
      </c>
      <c r="E10" s="614">
        <f t="shared" si="16"/>
        <v>0</v>
      </c>
      <c r="F10" s="614">
        <f t="shared" si="16"/>
        <v>0</v>
      </c>
      <c r="G10" s="614">
        <f t="shared" si="16"/>
        <v>0</v>
      </c>
      <c r="H10" s="615">
        <f t="shared" si="16"/>
        <v>0</v>
      </c>
      <c r="I10" s="613">
        <f t="shared" si="16"/>
        <v>0</v>
      </c>
      <c r="J10" s="613">
        <f t="shared" si="16"/>
        <v>0</v>
      </c>
      <c r="K10" s="614">
        <f t="shared" si="16"/>
        <v>0</v>
      </c>
      <c r="L10" s="614">
        <f t="shared" si="16"/>
        <v>0</v>
      </c>
      <c r="M10" s="614">
        <f t="shared" si="16"/>
        <v>0</v>
      </c>
      <c r="N10" s="613">
        <f t="shared" ref="N10:Q16" si="17">IF(AE$16&gt;0,(AE10/AE$16),0)</f>
        <v>0</v>
      </c>
      <c r="O10" s="788">
        <f t="shared" si="17"/>
        <v>0</v>
      </c>
      <c r="P10" s="789">
        <f t="shared" si="17"/>
        <v>0</v>
      </c>
      <c r="Q10" s="788">
        <f t="shared" si="17"/>
        <v>0</v>
      </c>
      <c r="R10" s="244"/>
      <c r="S10" s="245"/>
      <c r="T10" s="246"/>
      <c r="U10" s="246"/>
      <c r="V10" s="246"/>
      <c r="W10" s="246"/>
      <c r="X10" s="246"/>
      <c r="Y10" s="247"/>
      <c r="Z10" s="245"/>
      <c r="AA10" s="246"/>
      <c r="AB10" s="246"/>
      <c r="AC10" s="246"/>
      <c r="AD10" s="246"/>
      <c r="AE10" s="247"/>
      <c r="AF10" s="245"/>
      <c r="AG10" s="246"/>
      <c r="AH10" s="245"/>
    </row>
    <row r="11" spans="1:36">
      <c r="A11" s="249"/>
      <c r="B11" s="239" t="s">
        <v>93</v>
      </c>
      <c r="C11" s="624">
        <f t="shared" si="16"/>
        <v>0</v>
      </c>
      <c r="D11" s="625">
        <f t="shared" si="16"/>
        <v>0</v>
      </c>
      <c r="E11" s="625">
        <f t="shared" si="16"/>
        <v>0</v>
      </c>
      <c r="F11" s="625">
        <f t="shared" si="16"/>
        <v>0</v>
      </c>
      <c r="G11" s="625">
        <f t="shared" si="16"/>
        <v>0</v>
      </c>
      <c r="H11" s="626">
        <f t="shared" si="16"/>
        <v>0</v>
      </c>
      <c r="I11" s="624">
        <f t="shared" si="16"/>
        <v>0</v>
      </c>
      <c r="J11" s="624">
        <f t="shared" si="16"/>
        <v>0</v>
      </c>
      <c r="K11" s="625">
        <f t="shared" si="16"/>
        <v>0</v>
      </c>
      <c r="L11" s="625">
        <f t="shared" si="16"/>
        <v>0</v>
      </c>
      <c r="M11" s="625">
        <f t="shared" si="16"/>
        <v>0</v>
      </c>
      <c r="N11" s="624">
        <f t="shared" si="17"/>
        <v>0</v>
      </c>
      <c r="O11" s="624">
        <f t="shared" si="17"/>
        <v>0</v>
      </c>
      <c r="P11" s="625">
        <f t="shared" si="17"/>
        <v>0</v>
      </c>
      <c r="Q11" s="624">
        <f t="shared" si="17"/>
        <v>0</v>
      </c>
      <c r="R11" s="253"/>
      <c r="S11" s="254"/>
      <c r="T11" s="255"/>
      <c r="U11" s="255"/>
      <c r="V11" s="255"/>
      <c r="W11" s="255"/>
      <c r="X11" s="255"/>
      <c r="Y11" s="256"/>
      <c r="Z11" s="254"/>
      <c r="AA11" s="255"/>
      <c r="AB11" s="255"/>
      <c r="AC11" s="255"/>
      <c r="AD11" s="255"/>
      <c r="AE11" s="256"/>
      <c r="AF11" s="254"/>
      <c r="AG11" s="255"/>
      <c r="AH11" s="254"/>
    </row>
    <row r="12" spans="1:36">
      <c r="A12" s="249"/>
      <c r="B12" s="239" t="s">
        <v>55</v>
      </c>
      <c r="C12" s="624">
        <f t="shared" si="16"/>
        <v>0</v>
      </c>
      <c r="D12" s="625">
        <f t="shared" si="16"/>
        <v>0</v>
      </c>
      <c r="E12" s="625">
        <f t="shared" si="16"/>
        <v>0</v>
      </c>
      <c r="F12" s="625">
        <f t="shared" si="16"/>
        <v>0</v>
      </c>
      <c r="G12" s="625">
        <f t="shared" si="16"/>
        <v>0</v>
      </c>
      <c r="H12" s="626">
        <f t="shared" si="16"/>
        <v>0</v>
      </c>
      <c r="I12" s="624">
        <f t="shared" si="16"/>
        <v>0</v>
      </c>
      <c r="J12" s="624">
        <f t="shared" si="16"/>
        <v>0</v>
      </c>
      <c r="K12" s="625">
        <f t="shared" si="16"/>
        <v>0</v>
      </c>
      <c r="L12" s="625">
        <f t="shared" si="16"/>
        <v>0</v>
      </c>
      <c r="M12" s="625">
        <f t="shared" si="16"/>
        <v>0</v>
      </c>
      <c r="N12" s="624">
        <f t="shared" si="17"/>
        <v>0</v>
      </c>
      <c r="O12" s="624">
        <f t="shared" si="17"/>
        <v>0</v>
      </c>
      <c r="P12" s="625">
        <f t="shared" si="17"/>
        <v>0</v>
      </c>
      <c r="Q12" s="624">
        <f t="shared" si="17"/>
        <v>0</v>
      </c>
      <c r="R12" s="253"/>
      <c r="S12" s="254"/>
      <c r="T12" s="255"/>
      <c r="U12" s="255"/>
      <c r="V12" s="255"/>
      <c r="W12" s="255"/>
      <c r="X12" s="255"/>
      <c r="Y12" s="256"/>
      <c r="Z12" s="254"/>
      <c r="AA12" s="255"/>
      <c r="AB12" s="255"/>
      <c r="AC12" s="255"/>
      <c r="AD12" s="255"/>
      <c r="AE12" s="256"/>
      <c r="AF12" s="254"/>
      <c r="AG12" s="255"/>
      <c r="AH12" s="254"/>
    </row>
    <row r="13" spans="1:36">
      <c r="A13" s="249"/>
      <c r="B13" s="239" t="s">
        <v>78</v>
      </c>
      <c r="C13" s="624">
        <f t="shared" si="16"/>
        <v>0</v>
      </c>
      <c r="D13" s="625">
        <f t="shared" si="16"/>
        <v>0</v>
      </c>
      <c r="E13" s="625">
        <f t="shared" si="16"/>
        <v>0</v>
      </c>
      <c r="F13" s="625">
        <f t="shared" si="16"/>
        <v>0</v>
      </c>
      <c r="G13" s="625">
        <f t="shared" si="16"/>
        <v>0</v>
      </c>
      <c r="H13" s="626">
        <f t="shared" si="16"/>
        <v>0</v>
      </c>
      <c r="I13" s="624">
        <f t="shared" si="16"/>
        <v>0</v>
      </c>
      <c r="J13" s="624">
        <f t="shared" si="16"/>
        <v>0</v>
      </c>
      <c r="K13" s="625">
        <f t="shared" si="16"/>
        <v>0</v>
      </c>
      <c r="L13" s="625">
        <f t="shared" si="16"/>
        <v>0</v>
      </c>
      <c r="M13" s="625">
        <f t="shared" si="16"/>
        <v>0</v>
      </c>
      <c r="N13" s="624">
        <f t="shared" si="17"/>
        <v>0</v>
      </c>
      <c r="O13" s="624">
        <f t="shared" si="17"/>
        <v>0</v>
      </c>
      <c r="P13" s="625">
        <f t="shared" si="17"/>
        <v>0</v>
      </c>
      <c r="Q13" s="624">
        <f t="shared" si="17"/>
        <v>0</v>
      </c>
      <c r="R13" s="253"/>
      <c r="S13" s="254"/>
      <c r="T13" s="255"/>
      <c r="U13" s="255"/>
      <c r="V13" s="255"/>
      <c r="W13" s="255"/>
      <c r="X13" s="255"/>
      <c r="Y13" s="256"/>
      <c r="Z13" s="254"/>
      <c r="AA13" s="255"/>
      <c r="AB13" s="255"/>
      <c r="AC13" s="255"/>
      <c r="AD13" s="255"/>
      <c r="AE13" s="256"/>
      <c r="AF13" s="254"/>
      <c r="AG13" s="255"/>
      <c r="AH13" s="254"/>
    </row>
    <row r="14" spans="1:36">
      <c r="A14" s="249"/>
      <c r="B14" s="239" t="s">
        <v>32</v>
      </c>
      <c r="C14" s="624">
        <f t="shared" si="16"/>
        <v>0</v>
      </c>
      <c r="D14" s="625">
        <f t="shared" si="16"/>
        <v>0</v>
      </c>
      <c r="E14" s="625">
        <f t="shared" si="16"/>
        <v>0</v>
      </c>
      <c r="F14" s="625">
        <f t="shared" si="16"/>
        <v>0</v>
      </c>
      <c r="G14" s="625">
        <f t="shared" si="16"/>
        <v>0</v>
      </c>
      <c r="H14" s="626">
        <f t="shared" si="16"/>
        <v>0</v>
      </c>
      <c r="I14" s="624">
        <f t="shared" si="16"/>
        <v>0</v>
      </c>
      <c r="J14" s="624">
        <f t="shared" si="16"/>
        <v>0</v>
      </c>
      <c r="K14" s="625">
        <f t="shared" si="16"/>
        <v>0</v>
      </c>
      <c r="L14" s="625">
        <f t="shared" si="16"/>
        <v>0</v>
      </c>
      <c r="M14" s="625">
        <f t="shared" si="16"/>
        <v>0</v>
      </c>
      <c r="N14" s="624">
        <f t="shared" si="17"/>
        <v>0</v>
      </c>
      <c r="O14" s="624">
        <f t="shared" si="17"/>
        <v>0</v>
      </c>
      <c r="P14" s="790">
        <f t="shared" si="17"/>
        <v>0</v>
      </c>
      <c r="Q14" s="791">
        <f t="shared" si="17"/>
        <v>0</v>
      </c>
      <c r="R14" s="253"/>
      <c r="S14" s="254"/>
      <c r="T14" s="255"/>
      <c r="U14" s="255"/>
      <c r="V14" s="255"/>
      <c r="W14" s="255"/>
      <c r="X14" s="255"/>
      <c r="Y14" s="256"/>
      <c r="Z14" s="254"/>
      <c r="AA14" s="255"/>
      <c r="AB14" s="255"/>
      <c r="AC14" s="255"/>
      <c r="AD14" s="255"/>
      <c r="AE14" s="256"/>
      <c r="AF14" s="254"/>
      <c r="AG14" s="255"/>
      <c r="AH14" s="254"/>
    </row>
    <row r="15" spans="1:36">
      <c r="A15" s="249"/>
      <c r="B15" s="239" t="s">
        <v>58</v>
      </c>
      <c r="C15" s="624">
        <f t="shared" si="16"/>
        <v>0</v>
      </c>
      <c r="D15" s="790">
        <f t="shared" si="16"/>
        <v>0</v>
      </c>
      <c r="E15" s="625">
        <f t="shared" si="16"/>
        <v>0</v>
      </c>
      <c r="F15" s="790">
        <f t="shared" si="16"/>
        <v>0</v>
      </c>
      <c r="G15" s="790">
        <f t="shared" si="16"/>
        <v>0</v>
      </c>
      <c r="H15" s="626">
        <f t="shared" si="16"/>
        <v>0</v>
      </c>
      <c r="I15" s="624">
        <f t="shared" si="16"/>
        <v>0</v>
      </c>
      <c r="J15" s="624">
        <f t="shared" si="16"/>
        <v>0</v>
      </c>
      <c r="K15" s="625">
        <f t="shared" si="16"/>
        <v>0</v>
      </c>
      <c r="L15" s="625">
        <f t="shared" si="16"/>
        <v>0</v>
      </c>
      <c r="M15" s="625">
        <f t="shared" si="16"/>
        <v>0</v>
      </c>
      <c r="N15" s="624">
        <f t="shared" si="17"/>
        <v>0</v>
      </c>
      <c r="O15" s="624">
        <f t="shared" si="17"/>
        <v>0</v>
      </c>
      <c r="P15" s="625">
        <f t="shared" si="17"/>
        <v>0</v>
      </c>
      <c r="Q15" s="624">
        <f t="shared" si="17"/>
        <v>0</v>
      </c>
      <c r="R15" s="253"/>
      <c r="S15" s="254"/>
      <c r="T15" s="255"/>
      <c r="U15" s="255"/>
      <c r="V15" s="255"/>
      <c r="W15" s="255"/>
      <c r="X15" s="255"/>
      <c r="Y15" s="256"/>
      <c r="Z15" s="254"/>
      <c r="AA15" s="255"/>
      <c r="AB15" s="255"/>
      <c r="AC15" s="255"/>
      <c r="AD15" s="255"/>
      <c r="AE15" s="256"/>
      <c r="AF15" s="254"/>
      <c r="AG15" s="255"/>
      <c r="AH15" s="254"/>
    </row>
    <row r="16" spans="1:36" s="406" customFormat="1">
      <c r="A16" s="435" t="s">
        <v>86</v>
      </c>
      <c r="B16" s="436" t="s">
        <v>59</v>
      </c>
      <c r="C16" s="577">
        <f>IF(S$16&gt;0,(S16/S$16),0)</f>
        <v>0</v>
      </c>
      <c r="D16" s="578">
        <f t="shared" si="16"/>
        <v>0</v>
      </c>
      <c r="E16" s="578">
        <f t="shared" si="16"/>
        <v>0</v>
      </c>
      <c r="F16" s="578">
        <f t="shared" si="16"/>
        <v>0</v>
      </c>
      <c r="G16" s="578">
        <f t="shared" si="16"/>
        <v>0</v>
      </c>
      <c r="H16" s="579">
        <f t="shared" si="16"/>
        <v>0</v>
      </c>
      <c r="I16" s="577">
        <f t="shared" si="16"/>
        <v>0</v>
      </c>
      <c r="J16" s="577">
        <f t="shared" si="16"/>
        <v>0</v>
      </c>
      <c r="K16" s="578">
        <f t="shared" si="16"/>
        <v>0</v>
      </c>
      <c r="L16" s="578">
        <f t="shared" si="16"/>
        <v>0</v>
      </c>
      <c r="M16" s="578">
        <f t="shared" si="16"/>
        <v>0</v>
      </c>
      <c r="N16" s="577">
        <f t="shared" si="17"/>
        <v>0</v>
      </c>
      <c r="O16" s="577">
        <f t="shared" si="17"/>
        <v>0</v>
      </c>
      <c r="P16" s="578">
        <f t="shared" si="17"/>
        <v>0</v>
      </c>
      <c r="Q16" s="577">
        <f t="shared" si="17"/>
        <v>0</v>
      </c>
      <c r="R16" s="264"/>
      <c r="S16" s="265"/>
      <c r="T16" s="266"/>
      <c r="U16" s="266"/>
      <c r="V16" s="266"/>
      <c r="W16" s="266"/>
      <c r="X16" s="266"/>
      <c r="Y16" s="267"/>
      <c r="Z16" s="265"/>
      <c r="AA16" s="266"/>
      <c r="AB16" s="266"/>
      <c r="AC16" s="266"/>
      <c r="AD16" s="266"/>
      <c r="AE16" s="267"/>
      <c r="AF16" s="265"/>
      <c r="AG16" s="266"/>
      <c r="AH16" s="265"/>
      <c r="AI16" s="405"/>
      <c r="AJ16" s="405"/>
    </row>
    <row r="17" spans="1:37">
      <c r="A17" s="239" t="s">
        <v>4</v>
      </c>
      <c r="B17" s="240" t="s">
        <v>53</v>
      </c>
      <c r="C17" s="613">
        <f t="shared" ref="C17:M23" si="18">IF(S$23&gt;0,(S17/S$23),0)</f>
        <v>0</v>
      </c>
      <c r="D17" s="614">
        <f t="shared" si="18"/>
        <v>0</v>
      </c>
      <c r="E17" s="614">
        <f t="shared" si="18"/>
        <v>0</v>
      </c>
      <c r="F17" s="614">
        <f t="shared" si="18"/>
        <v>0</v>
      </c>
      <c r="G17" s="614">
        <f t="shared" si="18"/>
        <v>0</v>
      </c>
      <c r="H17" s="615">
        <f t="shared" si="18"/>
        <v>0</v>
      </c>
      <c r="I17" s="613">
        <f t="shared" si="18"/>
        <v>0</v>
      </c>
      <c r="J17" s="613">
        <f t="shared" si="18"/>
        <v>0</v>
      </c>
      <c r="K17" s="614">
        <f t="shared" si="18"/>
        <v>0</v>
      </c>
      <c r="L17" s="614">
        <f t="shared" si="18"/>
        <v>0</v>
      </c>
      <c r="M17" s="614">
        <f t="shared" si="18"/>
        <v>0</v>
      </c>
      <c r="N17" s="613">
        <f t="shared" ref="N17:Q23" si="19">IF(AE$23&gt;0,(AE17/AE$23),0)</f>
        <v>0</v>
      </c>
      <c r="O17" s="788">
        <f t="shared" si="19"/>
        <v>0</v>
      </c>
      <c r="P17" s="614">
        <f t="shared" si="19"/>
        <v>0</v>
      </c>
      <c r="Q17" s="788">
        <f t="shared" si="19"/>
        <v>0</v>
      </c>
      <c r="R17" s="244"/>
      <c r="S17" s="245"/>
      <c r="T17" s="246"/>
      <c r="U17" s="246"/>
      <c r="V17" s="246"/>
      <c r="W17" s="246"/>
      <c r="X17" s="246"/>
      <c r="Y17" s="247"/>
      <c r="Z17" s="245"/>
      <c r="AA17" s="246"/>
      <c r="AB17" s="246"/>
      <c r="AC17" s="246"/>
      <c r="AD17" s="246"/>
      <c r="AE17" s="247"/>
      <c r="AF17" s="245"/>
      <c r="AG17" s="246"/>
      <c r="AH17" s="245"/>
    </row>
    <row r="18" spans="1:37">
      <c r="A18" s="249"/>
      <c r="B18" s="239" t="s">
        <v>93</v>
      </c>
      <c r="C18" s="624">
        <f t="shared" si="18"/>
        <v>0</v>
      </c>
      <c r="D18" s="625">
        <f t="shared" si="18"/>
        <v>0</v>
      </c>
      <c r="E18" s="625">
        <f t="shared" si="18"/>
        <v>0</v>
      </c>
      <c r="F18" s="625">
        <f t="shared" si="18"/>
        <v>0</v>
      </c>
      <c r="G18" s="625">
        <f t="shared" si="18"/>
        <v>0</v>
      </c>
      <c r="H18" s="626">
        <f t="shared" si="18"/>
        <v>0</v>
      </c>
      <c r="I18" s="624">
        <f t="shared" si="18"/>
        <v>0</v>
      </c>
      <c r="J18" s="624">
        <f t="shared" si="18"/>
        <v>0</v>
      </c>
      <c r="K18" s="625">
        <f t="shared" si="18"/>
        <v>0</v>
      </c>
      <c r="L18" s="625">
        <f t="shared" si="18"/>
        <v>0</v>
      </c>
      <c r="M18" s="625">
        <f t="shared" si="18"/>
        <v>0</v>
      </c>
      <c r="N18" s="624">
        <f t="shared" si="19"/>
        <v>0</v>
      </c>
      <c r="O18" s="624">
        <f t="shared" si="19"/>
        <v>0</v>
      </c>
      <c r="P18" s="625">
        <f t="shared" si="19"/>
        <v>0</v>
      </c>
      <c r="Q18" s="624">
        <f t="shared" si="19"/>
        <v>0</v>
      </c>
      <c r="R18" s="253"/>
      <c r="S18" s="254"/>
      <c r="T18" s="255"/>
      <c r="U18" s="255"/>
      <c r="V18" s="255"/>
      <c r="W18" s="255"/>
      <c r="X18" s="255"/>
      <c r="Y18" s="256"/>
      <c r="Z18" s="254"/>
      <c r="AA18" s="255"/>
      <c r="AB18" s="255"/>
      <c r="AC18" s="255"/>
      <c r="AD18" s="255"/>
      <c r="AE18" s="256"/>
      <c r="AF18" s="254"/>
      <c r="AG18" s="255"/>
      <c r="AH18" s="254"/>
    </row>
    <row r="19" spans="1:37" ht="15">
      <c r="A19" s="249"/>
      <c r="B19" s="239" t="s">
        <v>55</v>
      </c>
      <c r="C19" s="624">
        <f t="shared" si="18"/>
        <v>0</v>
      </c>
      <c r="D19" s="625">
        <f t="shared" si="18"/>
        <v>0</v>
      </c>
      <c r="E19" s="625">
        <f t="shared" si="18"/>
        <v>0</v>
      </c>
      <c r="F19" s="625">
        <f t="shared" si="18"/>
        <v>0</v>
      </c>
      <c r="G19" s="625">
        <f t="shared" si="18"/>
        <v>0</v>
      </c>
      <c r="H19" s="626">
        <f t="shared" si="18"/>
        <v>0</v>
      </c>
      <c r="I19" s="624">
        <f t="shared" si="18"/>
        <v>0</v>
      </c>
      <c r="J19" s="624">
        <f t="shared" si="18"/>
        <v>0</v>
      </c>
      <c r="K19" s="625">
        <f t="shared" si="18"/>
        <v>0</v>
      </c>
      <c r="L19" s="625">
        <f t="shared" si="18"/>
        <v>0</v>
      </c>
      <c r="M19" s="625">
        <f t="shared" si="18"/>
        <v>0</v>
      </c>
      <c r="N19" s="624">
        <f t="shared" si="19"/>
        <v>0</v>
      </c>
      <c r="O19" s="624">
        <f t="shared" si="19"/>
        <v>0</v>
      </c>
      <c r="P19" s="625">
        <f t="shared" si="19"/>
        <v>0</v>
      </c>
      <c r="Q19" s="624">
        <f t="shared" si="19"/>
        <v>0</v>
      </c>
      <c r="R19" s="253"/>
      <c r="S19" s="254"/>
      <c r="T19" s="255"/>
      <c r="U19" s="255"/>
      <c r="V19" s="255"/>
      <c r="W19" s="255"/>
      <c r="X19" s="255"/>
      <c r="Y19" s="256"/>
      <c r="Z19" s="254"/>
      <c r="AA19" s="255"/>
      <c r="AB19" s="255"/>
      <c r="AC19" s="255"/>
      <c r="AD19" s="255"/>
      <c r="AE19" s="256"/>
      <c r="AF19" s="254"/>
      <c r="AG19" s="255"/>
      <c r="AH19" s="254"/>
      <c r="AK19" s="890" t="s">
        <v>229</v>
      </c>
    </row>
    <row r="20" spans="1:37">
      <c r="A20" s="249"/>
      <c r="B20" s="239" t="s">
        <v>78</v>
      </c>
      <c r="C20" s="624">
        <f t="shared" si="18"/>
        <v>0</v>
      </c>
      <c r="D20" s="625">
        <f t="shared" si="18"/>
        <v>0</v>
      </c>
      <c r="E20" s="625">
        <f t="shared" si="18"/>
        <v>0</v>
      </c>
      <c r="F20" s="625">
        <f t="shared" si="18"/>
        <v>0</v>
      </c>
      <c r="G20" s="625">
        <f t="shared" si="18"/>
        <v>0</v>
      </c>
      <c r="H20" s="626">
        <f t="shared" si="18"/>
        <v>0</v>
      </c>
      <c r="I20" s="624">
        <f t="shared" si="18"/>
        <v>0</v>
      </c>
      <c r="J20" s="624">
        <f t="shared" si="18"/>
        <v>0</v>
      </c>
      <c r="K20" s="625">
        <f t="shared" si="18"/>
        <v>0</v>
      </c>
      <c r="L20" s="625">
        <f t="shared" si="18"/>
        <v>0</v>
      </c>
      <c r="M20" s="625">
        <f t="shared" si="18"/>
        <v>0</v>
      </c>
      <c r="N20" s="624">
        <f t="shared" si="19"/>
        <v>0</v>
      </c>
      <c r="O20" s="624">
        <f t="shared" si="19"/>
        <v>0</v>
      </c>
      <c r="P20" s="625">
        <f t="shared" si="19"/>
        <v>0</v>
      </c>
      <c r="Q20" s="624">
        <f t="shared" si="19"/>
        <v>0</v>
      </c>
      <c r="R20" s="253"/>
      <c r="S20" s="254"/>
      <c r="T20" s="255"/>
      <c r="U20" s="255"/>
      <c r="V20" s="255"/>
      <c r="W20" s="255"/>
      <c r="X20" s="255"/>
      <c r="Y20" s="256"/>
      <c r="Z20" s="254"/>
      <c r="AA20" s="255"/>
      <c r="AB20" s="255"/>
      <c r="AC20" s="255"/>
      <c r="AD20" s="255"/>
      <c r="AE20" s="256"/>
      <c r="AF20" s="254"/>
      <c r="AG20" s="255"/>
      <c r="AH20" s="254"/>
    </row>
    <row r="21" spans="1:37">
      <c r="A21" s="249"/>
      <c r="B21" s="239" t="s">
        <v>32</v>
      </c>
      <c r="C21" s="624">
        <f t="shared" si="18"/>
        <v>0</v>
      </c>
      <c r="D21" s="625">
        <f t="shared" si="18"/>
        <v>0</v>
      </c>
      <c r="E21" s="625">
        <f t="shared" si="18"/>
        <v>0</v>
      </c>
      <c r="F21" s="790">
        <f t="shared" si="18"/>
        <v>0</v>
      </c>
      <c r="G21" s="625">
        <f t="shared" si="18"/>
        <v>0</v>
      </c>
      <c r="H21" s="626">
        <f t="shared" si="18"/>
        <v>0</v>
      </c>
      <c r="I21" s="624">
        <f t="shared" si="18"/>
        <v>0</v>
      </c>
      <c r="J21" s="624">
        <f t="shared" si="18"/>
        <v>0</v>
      </c>
      <c r="K21" s="625">
        <f t="shared" si="18"/>
        <v>0</v>
      </c>
      <c r="L21" s="625">
        <f t="shared" si="18"/>
        <v>0</v>
      </c>
      <c r="M21" s="625">
        <f t="shared" si="18"/>
        <v>0</v>
      </c>
      <c r="N21" s="624">
        <f t="shared" si="19"/>
        <v>0</v>
      </c>
      <c r="O21" s="624">
        <f t="shared" si="19"/>
        <v>0</v>
      </c>
      <c r="P21" s="625">
        <f t="shared" si="19"/>
        <v>0</v>
      </c>
      <c r="Q21" s="624">
        <f t="shared" si="19"/>
        <v>0</v>
      </c>
      <c r="R21" s="253"/>
      <c r="S21" s="254"/>
      <c r="T21" s="255"/>
      <c r="U21" s="255"/>
      <c r="V21" s="255"/>
      <c r="W21" s="255"/>
      <c r="X21" s="255"/>
      <c r="Y21" s="256"/>
      <c r="Z21" s="254"/>
      <c r="AA21" s="255"/>
      <c r="AB21" s="255"/>
      <c r="AC21" s="255"/>
      <c r="AD21" s="255"/>
      <c r="AE21" s="256"/>
      <c r="AF21" s="254"/>
      <c r="AG21" s="255"/>
      <c r="AH21" s="254"/>
    </row>
    <row r="22" spans="1:37">
      <c r="A22" s="249"/>
      <c r="B22" s="239" t="s">
        <v>58</v>
      </c>
      <c r="C22" s="624">
        <f t="shared" si="18"/>
        <v>0</v>
      </c>
      <c r="D22" s="625">
        <f t="shared" si="18"/>
        <v>0</v>
      </c>
      <c r="E22" s="792">
        <f t="shared" si="18"/>
        <v>0</v>
      </c>
      <c r="F22" s="625">
        <f t="shared" si="18"/>
        <v>0</v>
      </c>
      <c r="G22" s="790">
        <f t="shared" si="18"/>
        <v>0</v>
      </c>
      <c r="H22" s="626">
        <f t="shared" si="18"/>
        <v>0</v>
      </c>
      <c r="I22" s="793">
        <f t="shared" si="18"/>
        <v>0</v>
      </c>
      <c r="J22" s="624">
        <f t="shared" si="18"/>
        <v>0</v>
      </c>
      <c r="K22" s="625">
        <f t="shared" si="18"/>
        <v>0</v>
      </c>
      <c r="L22" s="625">
        <f t="shared" si="18"/>
        <v>0</v>
      </c>
      <c r="M22" s="625">
        <f t="shared" si="18"/>
        <v>0</v>
      </c>
      <c r="N22" s="624">
        <f t="shared" si="19"/>
        <v>0</v>
      </c>
      <c r="O22" s="624">
        <f t="shared" si="19"/>
        <v>0</v>
      </c>
      <c r="P22" s="625">
        <f t="shared" si="19"/>
        <v>0</v>
      </c>
      <c r="Q22" s="624">
        <f t="shared" si="19"/>
        <v>0</v>
      </c>
      <c r="R22" s="253"/>
      <c r="S22" s="254"/>
      <c r="T22" s="255"/>
      <c r="U22" s="255"/>
      <c r="V22" s="255"/>
      <c r="W22" s="255"/>
      <c r="X22" s="255"/>
      <c r="Y22" s="256"/>
      <c r="Z22" s="254"/>
      <c r="AA22" s="255"/>
      <c r="AB22" s="255"/>
      <c r="AC22" s="255"/>
      <c r="AD22" s="255"/>
      <c r="AE22" s="256"/>
      <c r="AF22" s="254"/>
      <c r="AG22" s="255"/>
      <c r="AH22" s="254"/>
    </row>
    <row r="23" spans="1:37" s="406" customFormat="1">
      <c r="A23" s="435"/>
      <c r="B23" s="436" t="s">
        <v>59</v>
      </c>
      <c r="C23" s="577">
        <f t="shared" si="18"/>
        <v>0</v>
      </c>
      <c r="D23" s="578">
        <f t="shared" si="18"/>
        <v>0</v>
      </c>
      <c r="E23" s="578">
        <f t="shared" si="18"/>
        <v>0</v>
      </c>
      <c r="F23" s="578">
        <f t="shared" si="18"/>
        <v>0</v>
      </c>
      <c r="G23" s="578">
        <f t="shared" si="18"/>
        <v>0</v>
      </c>
      <c r="H23" s="579">
        <f t="shared" si="18"/>
        <v>0</v>
      </c>
      <c r="I23" s="577">
        <f t="shared" si="18"/>
        <v>0</v>
      </c>
      <c r="J23" s="577">
        <f t="shared" si="18"/>
        <v>0</v>
      </c>
      <c r="K23" s="578">
        <f t="shared" si="18"/>
        <v>0</v>
      </c>
      <c r="L23" s="578">
        <f t="shared" si="18"/>
        <v>0</v>
      </c>
      <c r="M23" s="578">
        <f t="shared" si="18"/>
        <v>0</v>
      </c>
      <c r="N23" s="577">
        <f t="shared" si="19"/>
        <v>0</v>
      </c>
      <c r="O23" s="577">
        <f t="shared" si="19"/>
        <v>0</v>
      </c>
      <c r="P23" s="578">
        <f t="shared" si="19"/>
        <v>0</v>
      </c>
      <c r="Q23" s="577">
        <f t="shared" si="19"/>
        <v>0</v>
      </c>
      <c r="R23" s="264"/>
      <c r="S23" s="265"/>
      <c r="T23" s="266"/>
      <c r="U23" s="266"/>
      <c r="V23" s="266"/>
      <c r="W23" s="266"/>
      <c r="X23" s="266"/>
      <c r="Y23" s="267"/>
      <c r="Z23" s="265"/>
      <c r="AA23" s="266"/>
      <c r="AB23" s="266"/>
      <c r="AC23" s="266"/>
      <c r="AD23" s="266"/>
      <c r="AE23" s="267"/>
      <c r="AF23" s="265"/>
      <c r="AG23" s="266"/>
      <c r="AH23" s="265"/>
      <c r="AI23" s="405"/>
      <c r="AJ23" s="405"/>
    </row>
    <row r="24" spans="1:37">
      <c r="A24" s="239" t="s">
        <v>5</v>
      </c>
      <c r="B24" s="240" t="s">
        <v>53</v>
      </c>
      <c r="C24" s="613">
        <f t="shared" ref="C24:M30" si="20">IF(S$30&gt;0,(S24/S$30),0)</f>
        <v>0</v>
      </c>
      <c r="D24" s="614">
        <f t="shared" si="20"/>
        <v>0</v>
      </c>
      <c r="E24" s="614">
        <f t="shared" si="20"/>
        <v>0</v>
      </c>
      <c r="F24" s="614">
        <f t="shared" si="20"/>
        <v>0</v>
      </c>
      <c r="G24" s="614">
        <f t="shared" si="20"/>
        <v>0</v>
      </c>
      <c r="H24" s="615">
        <f t="shared" si="20"/>
        <v>0</v>
      </c>
      <c r="I24" s="613">
        <f t="shared" si="20"/>
        <v>0</v>
      </c>
      <c r="J24" s="613">
        <f t="shared" si="20"/>
        <v>0</v>
      </c>
      <c r="K24" s="614">
        <f t="shared" si="20"/>
        <v>0</v>
      </c>
      <c r="L24" s="614">
        <f t="shared" si="20"/>
        <v>0</v>
      </c>
      <c r="M24" s="614">
        <f t="shared" si="20"/>
        <v>0</v>
      </c>
      <c r="N24" s="788">
        <f t="shared" ref="N24:Q30" si="21">IF(AE$30&gt;0,(AE24/AE$30),0)</f>
        <v>0</v>
      </c>
      <c r="O24" s="788">
        <f t="shared" si="21"/>
        <v>0</v>
      </c>
      <c r="P24" s="614">
        <f t="shared" si="21"/>
        <v>0</v>
      </c>
      <c r="Q24" s="788">
        <f t="shared" si="21"/>
        <v>0</v>
      </c>
      <c r="R24" s="244"/>
      <c r="S24" s="245"/>
      <c r="T24" s="246"/>
      <c r="U24" s="246"/>
      <c r="V24" s="246"/>
      <c r="W24" s="246"/>
      <c r="X24" s="246"/>
      <c r="Y24" s="247"/>
      <c r="Z24" s="245"/>
      <c r="AA24" s="246"/>
      <c r="AB24" s="246"/>
      <c r="AC24" s="246"/>
      <c r="AD24" s="246"/>
      <c r="AE24" s="247"/>
      <c r="AF24" s="245"/>
      <c r="AG24" s="246"/>
      <c r="AH24" s="245"/>
    </row>
    <row r="25" spans="1:37">
      <c r="A25" s="249"/>
      <c r="B25" s="239" t="s">
        <v>93</v>
      </c>
      <c r="C25" s="624">
        <f t="shared" si="20"/>
        <v>0</v>
      </c>
      <c r="D25" s="625">
        <f t="shared" si="20"/>
        <v>0</v>
      </c>
      <c r="E25" s="625">
        <f t="shared" si="20"/>
        <v>0</v>
      </c>
      <c r="F25" s="625">
        <f t="shared" si="20"/>
        <v>0</v>
      </c>
      <c r="G25" s="625">
        <f t="shared" si="20"/>
        <v>0</v>
      </c>
      <c r="H25" s="626">
        <f t="shared" si="20"/>
        <v>0</v>
      </c>
      <c r="I25" s="624">
        <f t="shared" si="20"/>
        <v>0</v>
      </c>
      <c r="J25" s="624">
        <f t="shared" si="20"/>
        <v>0</v>
      </c>
      <c r="K25" s="625">
        <f t="shared" si="20"/>
        <v>0</v>
      </c>
      <c r="L25" s="625">
        <f t="shared" si="20"/>
        <v>0</v>
      </c>
      <c r="M25" s="625">
        <f t="shared" si="20"/>
        <v>0</v>
      </c>
      <c r="N25" s="624">
        <f t="shared" si="21"/>
        <v>0</v>
      </c>
      <c r="O25" s="624">
        <f t="shared" si="21"/>
        <v>0</v>
      </c>
      <c r="P25" s="625">
        <f t="shared" si="21"/>
        <v>0</v>
      </c>
      <c r="Q25" s="624">
        <f t="shared" si="21"/>
        <v>0</v>
      </c>
      <c r="R25" s="253"/>
      <c r="S25" s="254"/>
      <c r="T25" s="255"/>
      <c r="U25" s="255"/>
      <c r="V25" s="255"/>
      <c r="W25" s="255"/>
      <c r="X25" s="255"/>
      <c r="Y25" s="256"/>
      <c r="Z25" s="254"/>
      <c r="AA25" s="255"/>
      <c r="AB25" s="255"/>
      <c r="AC25" s="255"/>
      <c r="AD25" s="255"/>
      <c r="AE25" s="256"/>
      <c r="AF25" s="254"/>
      <c r="AG25" s="255"/>
      <c r="AH25" s="254"/>
    </row>
    <row r="26" spans="1:37">
      <c r="A26" s="249"/>
      <c r="B26" s="239" t="s">
        <v>55</v>
      </c>
      <c r="C26" s="624">
        <f t="shared" si="20"/>
        <v>0</v>
      </c>
      <c r="D26" s="625">
        <f t="shared" si="20"/>
        <v>0</v>
      </c>
      <c r="E26" s="625">
        <f t="shared" si="20"/>
        <v>0</v>
      </c>
      <c r="F26" s="625">
        <f t="shared" si="20"/>
        <v>0</v>
      </c>
      <c r="G26" s="625">
        <f t="shared" si="20"/>
        <v>0</v>
      </c>
      <c r="H26" s="626">
        <f t="shared" si="20"/>
        <v>0</v>
      </c>
      <c r="I26" s="624">
        <f t="shared" si="20"/>
        <v>0</v>
      </c>
      <c r="J26" s="624">
        <f t="shared" si="20"/>
        <v>0</v>
      </c>
      <c r="K26" s="625">
        <f t="shared" si="20"/>
        <v>0</v>
      </c>
      <c r="L26" s="625">
        <f t="shared" si="20"/>
        <v>0</v>
      </c>
      <c r="M26" s="625">
        <f t="shared" si="20"/>
        <v>0</v>
      </c>
      <c r="N26" s="624">
        <f t="shared" si="21"/>
        <v>0</v>
      </c>
      <c r="O26" s="624">
        <f t="shared" si="21"/>
        <v>0</v>
      </c>
      <c r="P26" s="625">
        <f t="shared" si="21"/>
        <v>0</v>
      </c>
      <c r="Q26" s="624">
        <f t="shared" si="21"/>
        <v>0</v>
      </c>
      <c r="R26" s="253"/>
      <c r="S26" s="254"/>
      <c r="T26" s="255"/>
      <c r="U26" s="255"/>
      <c r="V26" s="255"/>
      <c r="W26" s="255"/>
      <c r="X26" s="255"/>
      <c r="Y26" s="256"/>
      <c r="Z26" s="254"/>
      <c r="AA26" s="255"/>
      <c r="AB26" s="255"/>
      <c r="AC26" s="255"/>
      <c r="AD26" s="255"/>
      <c r="AE26" s="256"/>
      <c r="AF26" s="254"/>
      <c r="AG26" s="255"/>
      <c r="AH26" s="254"/>
    </row>
    <row r="27" spans="1:37">
      <c r="A27" s="249"/>
      <c r="B27" s="239" t="s">
        <v>78</v>
      </c>
      <c r="C27" s="624">
        <f t="shared" si="20"/>
        <v>0</v>
      </c>
      <c r="D27" s="625">
        <f t="shared" si="20"/>
        <v>0</v>
      </c>
      <c r="E27" s="625">
        <f t="shared" si="20"/>
        <v>0</v>
      </c>
      <c r="F27" s="625">
        <f t="shared" si="20"/>
        <v>0</v>
      </c>
      <c r="G27" s="625">
        <f t="shared" si="20"/>
        <v>0</v>
      </c>
      <c r="H27" s="626">
        <f t="shared" si="20"/>
        <v>0</v>
      </c>
      <c r="I27" s="624">
        <f t="shared" si="20"/>
        <v>0</v>
      </c>
      <c r="J27" s="624">
        <f t="shared" si="20"/>
        <v>0</v>
      </c>
      <c r="K27" s="625">
        <f t="shared" si="20"/>
        <v>0</v>
      </c>
      <c r="L27" s="625">
        <f t="shared" si="20"/>
        <v>0</v>
      </c>
      <c r="M27" s="625">
        <f t="shared" si="20"/>
        <v>0</v>
      </c>
      <c r="N27" s="624">
        <f t="shared" si="21"/>
        <v>0</v>
      </c>
      <c r="O27" s="624">
        <f t="shared" si="21"/>
        <v>0</v>
      </c>
      <c r="P27" s="625">
        <f t="shared" si="21"/>
        <v>0</v>
      </c>
      <c r="Q27" s="624">
        <f t="shared" si="21"/>
        <v>0</v>
      </c>
      <c r="R27" s="253"/>
      <c r="S27" s="254"/>
      <c r="T27" s="255"/>
      <c r="U27" s="255"/>
      <c r="V27" s="255"/>
      <c r="W27" s="255"/>
      <c r="X27" s="255"/>
      <c r="Y27" s="256"/>
      <c r="Z27" s="254"/>
      <c r="AA27" s="255"/>
      <c r="AB27" s="255"/>
      <c r="AC27" s="255"/>
      <c r="AD27" s="255"/>
      <c r="AE27" s="256"/>
      <c r="AF27" s="254"/>
      <c r="AG27" s="255"/>
      <c r="AH27" s="254"/>
    </row>
    <row r="28" spans="1:37">
      <c r="A28" s="249"/>
      <c r="B28" s="239" t="s">
        <v>32</v>
      </c>
      <c r="C28" s="624">
        <f t="shared" si="20"/>
        <v>0</v>
      </c>
      <c r="D28" s="625">
        <f t="shared" si="20"/>
        <v>0</v>
      </c>
      <c r="E28" s="625">
        <f t="shared" si="20"/>
        <v>0</v>
      </c>
      <c r="F28" s="625">
        <f t="shared" si="20"/>
        <v>0</v>
      </c>
      <c r="G28" s="625">
        <f t="shared" si="20"/>
        <v>0</v>
      </c>
      <c r="H28" s="626">
        <f t="shared" si="20"/>
        <v>0</v>
      </c>
      <c r="I28" s="624">
        <f t="shared" si="20"/>
        <v>0</v>
      </c>
      <c r="J28" s="624">
        <f t="shared" si="20"/>
        <v>0</v>
      </c>
      <c r="K28" s="625">
        <f t="shared" si="20"/>
        <v>0</v>
      </c>
      <c r="L28" s="625">
        <f t="shared" si="20"/>
        <v>0</v>
      </c>
      <c r="M28" s="625">
        <f t="shared" si="20"/>
        <v>0</v>
      </c>
      <c r="N28" s="624">
        <f t="shared" si="21"/>
        <v>0</v>
      </c>
      <c r="O28" s="624">
        <f t="shared" si="21"/>
        <v>0</v>
      </c>
      <c r="P28" s="625">
        <f t="shared" si="21"/>
        <v>0</v>
      </c>
      <c r="Q28" s="624">
        <f t="shared" si="21"/>
        <v>0</v>
      </c>
      <c r="R28" s="253"/>
      <c r="S28" s="254"/>
      <c r="T28" s="255"/>
      <c r="U28" s="255"/>
      <c r="V28" s="255"/>
      <c r="W28" s="255"/>
      <c r="X28" s="255"/>
      <c r="Y28" s="256"/>
      <c r="Z28" s="254"/>
      <c r="AA28" s="255"/>
      <c r="AB28" s="255"/>
      <c r="AC28" s="255"/>
      <c r="AD28" s="255"/>
      <c r="AE28" s="256"/>
      <c r="AF28" s="254"/>
      <c r="AG28" s="255"/>
      <c r="AH28" s="254"/>
    </row>
    <row r="29" spans="1:37">
      <c r="A29" s="249"/>
      <c r="B29" s="239" t="s">
        <v>58</v>
      </c>
      <c r="C29" s="624">
        <f t="shared" si="20"/>
        <v>0</v>
      </c>
      <c r="D29" s="625">
        <f t="shared" si="20"/>
        <v>0</v>
      </c>
      <c r="E29" s="792">
        <f t="shared" si="20"/>
        <v>0</v>
      </c>
      <c r="F29" s="625">
        <f t="shared" si="20"/>
        <v>0</v>
      </c>
      <c r="G29" s="792">
        <f t="shared" si="20"/>
        <v>0</v>
      </c>
      <c r="H29" s="626">
        <f t="shared" si="20"/>
        <v>0</v>
      </c>
      <c r="I29" s="793">
        <f t="shared" si="20"/>
        <v>0</v>
      </c>
      <c r="J29" s="624">
        <f t="shared" si="20"/>
        <v>0</v>
      </c>
      <c r="K29" s="625">
        <f t="shared" si="20"/>
        <v>0</v>
      </c>
      <c r="L29" s="625">
        <f t="shared" si="20"/>
        <v>0</v>
      </c>
      <c r="M29" s="625">
        <f t="shared" si="20"/>
        <v>0</v>
      </c>
      <c r="N29" s="624">
        <f t="shared" si="21"/>
        <v>0</v>
      </c>
      <c r="O29" s="624">
        <f t="shared" si="21"/>
        <v>0</v>
      </c>
      <c r="P29" s="625">
        <f t="shared" si="21"/>
        <v>0</v>
      </c>
      <c r="Q29" s="624">
        <f t="shared" si="21"/>
        <v>0</v>
      </c>
      <c r="R29" s="253"/>
      <c r="S29" s="254"/>
      <c r="T29" s="255"/>
      <c r="U29" s="255"/>
      <c r="V29" s="255"/>
      <c r="W29" s="255"/>
      <c r="X29" s="255"/>
      <c r="Y29" s="256"/>
      <c r="Z29" s="254"/>
      <c r="AA29" s="255"/>
      <c r="AB29" s="255"/>
      <c r="AC29" s="255"/>
      <c r="AD29" s="255"/>
      <c r="AE29" s="256"/>
      <c r="AF29" s="254"/>
      <c r="AG29" s="255"/>
      <c r="AH29" s="254"/>
    </row>
    <row r="30" spans="1:37" s="406" customFormat="1">
      <c r="A30" s="435"/>
      <c r="B30" s="436" t="s">
        <v>59</v>
      </c>
      <c r="C30" s="577">
        <f t="shared" si="20"/>
        <v>0</v>
      </c>
      <c r="D30" s="578">
        <f t="shared" si="20"/>
        <v>0</v>
      </c>
      <c r="E30" s="578">
        <f t="shared" si="20"/>
        <v>0</v>
      </c>
      <c r="F30" s="578">
        <f t="shared" si="20"/>
        <v>0</v>
      </c>
      <c r="G30" s="578">
        <f t="shared" si="20"/>
        <v>0</v>
      </c>
      <c r="H30" s="579">
        <f t="shared" si="20"/>
        <v>0</v>
      </c>
      <c r="I30" s="577">
        <f t="shared" si="20"/>
        <v>0</v>
      </c>
      <c r="J30" s="577">
        <f t="shared" si="20"/>
        <v>0</v>
      </c>
      <c r="K30" s="578">
        <f t="shared" si="20"/>
        <v>0</v>
      </c>
      <c r="L30" s="578">
        <f t="shared" si="20"/>
        <v>0</v>
      </c>
      <c r="M30" s="578">
        <f t="shared" si="20"/>
        <v>0</v>
      </c>
      <c r="N30" s="577">
        <f t="shared" si="21"/>
        <v>0</v>
      </c>
      <c r="O30" s="577">
        <f t="shared" si="21"/>
        <v>0</v>
      </c>
      <c r="P30" s="578">
        <f t="shared" si="21"/>
        <v>0</v>
      </c>
      <c r="Q30" s="577">
        <f t="shared" si="21"/>
        <v>0</v>
      </c>
      <c r="R30" s="264"/>
      <c r="S30" s="265"/>
      <c r="T30" s="266"/>
      <c r="U30" s="266"/>
      <c r="V30" s="266"/>
      <c r="W30" s="266"/>
      <c r="X30" s="266"/>
      <c r="Y30" s="267"/>
      <c r="Z30" s="265"/>
      <c r="AA30" s="266"/>
      <c r="AB30" s="266"/>
      <c r="AC30" s="266"/>
      <c r="AD30" s="266"/>
      <c r="AE30" s="267"/>
      <c r="AF30" s="265"/>
      <c r="AG30" s="266"/>
      <c r="AH30" s="265"/>
      <c r="AI30" s="405"/>
      <c r="AJ30" s="405"/>
    </row>
    <row r="31" spans="1:37">
      <c r="A31" s="239" t="s">
        <v>82</v>
      </c>
      <c r="B31" s="240" t="s">
        <v>53</v>
      </c>
      <c r="C31" s="613">
        <f t="shared" ref="C31:M37" si="22">IF(S$37&gt;0,(S31/S$37),0)</f>
        <v>0</v>
      </c>
      <c r="D31" s="614">
        <f t="shared" si="22"/>
        <v>0</v>
      </c>
      <c r="E31" s="614">
        <f t="shared" si="22"/>
        <v>0</v>
      </c>
      <c r="F31" s="614">
        <f t="shared" si="22"/>
        <v>0</v>
      </c>
      <c r="G31" s="614">
        <f t="shared" si="22"/>
        <v>0</v>
      </c>
      <c r="H31" s="615">
        <f t="shared" si="22"/>
        <v>0</v>
      </c>
      <c r="I31" s="613">
        <f t="shared" si="22"/>
        <v>0</v>
      </c>
      <c r="J31" s="613">
        <f t="shared" si="22"/>
        <v>0</v>
      </c>
      <c r="K31" s="614">
        <f t="shared" si="22"/>
        <v>0</v>
      </c>
      <c r="L31" s="614">
        <f t="shared" si="22"/>
        <v>0</v>
      </c>
      <c r="M31" s="614">
        <f t="shared" si="22"/>
        <v>0</v>
      </c>
      <c r="N31" s="613">
        <f t="shared" ref="N31:Q37" si="23">IF(AE$37&gt;0,(AE31/AE$37),0)</f>
        <v>0</v>
      </c>
      <c r="O31" s="788">
        <f t="shared" si="23"/>
        <v>0</v>
      </c>
      <c r="P31" s="614">
        <f t="shared" si="23"/>
        <v>0</v>
      </c>
      <c r="Q31" s="788">
        <f t="shared" si="23"/>
        <v>0</v>
      </c>
      <c r="R31" s="244"/>
      <c r="S31" s="245"/>
      <c r="T31" s="246"/>
      <c r="U31" s="246"/>
      <c r="V31" s="246"/>
      <c r="W31" s="246"/>
      <c r="X31" s="246"/>
      <c r="Y31" s="247"/>
      <c r="Z31" s="245"/>
      <c r="AA31" s="246"/>
      <c r="AB31" s="246"/>
      <c r="AC31" s="246"/>
      <c r="AD31" s="246"/>
      <c r="AE31" s="247"/>
      <c r="AF31" s="245"/>
      <c r="AG31" s="246"/>
      <c r="AH31" s="245"/>
    </row>
    <row r="32" spans="1:37">
      <c r="A32" s="249"/>
      <c r="B32" s="239" t="s">
        <v>93</v>
      </c>
      <c r="C32" s="624">
        <f t="shared" si="22"/>
        <v>0</v>
      </c>
      <c r="D32" s="625">
        <f t="shared" si="22"/>
        <v>0</v>
      </c>
      <c r="E32" s="625">
        <f t="shared" si="22"/>
        <v>0</v>
      </c>
      <c r="F32" s="625">
        <f t="shared" si="22"/>
        <v>0</v>
      </c>
      <c r="G32" s="625">
        <f t="shared" si="22"/>
        <v>0</v>
      </c>
      <c r="H32" s="626">
        <f t="shared" si="22"/>
        <v>0</v>
      </c>
      <c r="I32" s="624">
        <f t="shared" si="22"/>
        <v>0</v>
      </c>
      <c r="J32" s="624">
        <f t="shared" si="22"/>
        <v>0</v>
      </c>
      <c r="K32" s="625">
        <f t="shared" si="22"/>
        <v>0</v>
      </c>
      <c r="L32" s="625">
        <f t="shared" si="22"/>
        <v>0</v>
      </c>
      <c r="M32" s="625">
        <f t="shared" si="22"/>
        <v>0</v>
      </c>
      <c r="N32" s="624">
        <f t="shared" si="23"/>
        <v>0</v>
      </c>
      <c r="O32" s="624">
        <f t="shared" si="23"/>
        <v>0</v>
      </c>
      <c r="P32" s="625">
        <f t="shared" si="23"/>
        <v>0</v>
      </c>
      <c r="Q32" s="624">
        <f t="shared" si="23"/>
        <v>0</v>
      </c>
      <c r="R32" s="253"/>
      <c r="S32" s="254"/>
      <c r="T32" s="255"/>
      <c r="U32" s="255"/>
      <c r="V32" s="255"/>
      <c r="W32" s="255"/>
      <c r="X32" s="255"/>
      <c r="Y32" s="256"/>
      <c r="Z32" s="254"/>
      <c r="AA32" s="255"/>
      <c r="AB32" s="255"/>
      <c r="AC32" s="255"/>
      <c r="AD32" s="255"/>
      <c r="AE32" s="256"/>
      <c r="AF32" s="254"/>
      <c r="AG32" s="255"/>
      <c r="AH32" s="254"/>
    </row>
    <row r="33" spans="1:36">
      <c r="A33" s="249"/>
      <c r="B33" s="239" t="s">
        <v>55</v>
      </c>
      <c r="C33" s="624">
        <f t="shared" si="22"/>
        <v>0</v>
      </c>
      <c r="D33" s="625">
        <f t="shared" si="22"/>
        <v>0</v>
      </c>
      <c r="E33" s="625">
        <f t="shared" si="22"/>
        <v>0</v>
      </c>
      <c r="F33" s="625">
        <f t="shared" si="22"/>
        <v>0</v>
      </c>
      <c r="G33" s="625">
        <f t="shared" si="22"/>
        <v>0</v>
      </c>
      <c r="H33" s="626">
        <f t="shared" si="22"/>
        <v>0</v>
      </c>
      <c r="I33" s="624">
        <f t="shared" si="22"/>
        <v>0</v>
      </c>
      <c r="J33" s="624">
        <f t="shared" si="22"/>
        <v>0</v>
      </c>
      <c r="K33" s="625">
        <f t="shared" si="22"/>
        <v>0</v>
      </c>
      <c r="L33" s="625">
        <f t="shared" si="22"/>
        <v>0</v>
      </c>
      <c r="M33" s="625">
        <f t="shared" si="22"/>
        <v>0</v>
      </c>
      <c r="N33" s="624">
        <f t="shared" si="23"/>
        <v>0</v>
      </c>
      <c r="O33" s="624">
        <f t="shared" si="23"/>
        <v>0</v>
      </c>
      <c r="P33" s="625">
        <f t="shared" si="23"/>
        <v>0</v>
      </c>
      <c r="Q33" s="624">
        <f t="shared" si="23"/>
        <v>0</v>
      </c>
      <c r="R33" s="253"/>
      <c r="S33" s="254"/>
      <c r="T33" s="255"/>
      <c r="U33" s="255"/>
      <c r="V33" s="255"/>
      <c r="W33" s="255"/>
      <c r="X33" s="255"/>
      <c r="Y33" s="256"/>
      <c r="Z33" s="254"/>
      <c r="AA33" s="255"/>
      <c r="AB33" s="255"/>
      <c r="AC33" s="255"/>
      <c r="AD33" s="255"/>
      <c r="AE33" s="256"/>
      <c r="AF33" s="254"/>
      <c r="AG33" s="255"/>
      <c r="AH33" s="254"/>
    </row>
    <row r="34" spans="1:36">
      <c r="A34" s="249"/>
      <c r="B34" s="239" t="s">
        <v>78</v>
      </c>
      <c r="C34" s="624">
        <f t="shared" si="22"/>
        <v>0</v>
      </c>
      <c r="D34" s="625">
        <f t="shared" si="22"/>
        <v>0</v>
      </c>
      <c r="E34" s="625">
        <f t="shared" si="22"/>
        <v>0</v>
      </c>
      <c r="F34" s="625">
        <f t="shared" si="22"/>
        <v>0</v>
      </c>
      <c r="G34" s="625">
        <f t="shared" si="22"/>
        <v>0</v>
      </c>
      <c r="H34" s="626">
        <f t="shared" si="22"/>
        <v>0</v>
      </c>
      <c r="I34" s="624">
        <f t="shared" si="22"/>
        <v>0</v>
      </c>
      <c r="J34" s="624">
        <f t="shared" si="22"/>
        <v>0</v>
      </c>
      <c r="K34" s="625">
        <f t="shared" si="22"/>
        <v>0</v>
      </c>
      <c r="L34" s="625">
        <f t="shared" si="22"/>
        <v>0</v>
      </c>
      <c r="M34" s="625">
        <f t="shared" si="22"/>
        <v>0</v>
      </c>
      <c r="N34" s="624">
        <f t="shared" si="23"/>
        <v>0</v>
      </c>
      <c r="O34" s="624">
        <f t="shared" si="23"/>
        <v>0</v>
      </c>
      <c r="P34" s="625">
        <f t="shared" si="23"/>
        <v>0</v>
      </c>
      <c r="Q34" s="624">
        <f t="shared" si="23"/>
        <v>0</v>
      </c>
      <c r="R34" s="253"/>
      <c r="S34" s="254"/>
      <c r="T34" s="255"/>
      <c r="U34" s="255"/>
      <c r="V34" s="255"/>
      <c r="W34" s="255"/>
      <c r="X34" s="255"/>
      <c r="Y34" s="256"/>
      <c r="Z34" s="254"/>
      <c r="AA34" s="255"/>
      <c r="AB34" s="255"/>
      <c r="AC34" s="255"/>
      <c r="AD34" s="255"/>
      <c r="AE34" s="256"/>
      <c r="AF34" s="254"/>
      <c r="AG34" s="255"/>
      <c r="AH34" s="254"/>
    </row>
    <row r="35" spans="1:36">
      <c r="A35" s="249"/>
      <c r="B35" s="239" t="s">
        <v>32</v>
      </c>
      <c r="C35" s="791">
        <f t="shared" si="22"/>
        <v>0</v>
      </c>
      <c r="D35" s="625">
        <f t="shared" si="22"/>
        <v>0</v>
      </c>
      <c r="E35" s="625">
        <f t="shared" si="22"/>
        <v>0</v>
      </c>
      <c r="F35" s="625">
        <f t="shared" si="22"/>
        <v>0</v>
      </c>
      <c r="G35" s="625">
        <f t="shared" si="22"/>
        <v>0</v>
      </c>
      <c r="H35" s="626">
        <f t="shared" si="22"/>
        <v>0</v>
      </c>
      <c r="I35" s="791">
        <f t="shared" si="22"/>
        <v>0</v>
      </c>
      <c r="J35" s="624">
        <f t="shared" si="22"/>
        <v>0</v>
      </c>
      <c r="K35" s="625">
        <f t="shared" si="22"/>
        <v>0</v>
      </c>
      <c r="L35" s="625">
        <f t="shared" si="22"/>
        <v>0</v>
      </c>
      <c r="M35" s="625">
        <f t="shared" si="22"/>
        <v>0</v>
      </c>
      <c r="N35" s="624">
        <f t="shared" si="23"/>
        <v>0</v>
      </c>
      <c r="O35" s="624">
        <f t="shared" si="23"/>
        <v>0</v>
      </c>
      <c r="P35" s="625">
        <f t="shared" si="23"/>
        <v>0</v>
      </c>
      <c r="Q35" s="624">
        <f t="shared" si="23"/>
        <v>0</v>
      </c>
      <c r="R35" s="253"/>
      <c r="S35" s="254"/>
      <c r="T35" s="255"/>
      <c r="U35" s="255"/>
      <c r="V35" s="255"/>
      <c r="W35" s="255"/>
      <c r="X35" s="255"/>
      <c r="Y35" s="256"/>
      <c r="Z35" s="254"/>
      <c r="AA35" s="255"/>
      <c r="AB35" s="255"/>
      <c r="AC35" s="255"/>
      <c r="AD35" s="255"/>
      <c r="AE35" s="256"/>
      <c r="AF35" s="254"/>
      <c r="AG35" s="255"/>
      <c r="AH35" s="254"/>
    </row>
    <row r="36" spans="1:36">
      <c r="A36" s="249"/>
      <c r="B36" s="239" t="s">
        <v>58</v>
      </c>
      <c r="C36" s="624">
        <f t="shared" si="22"/>
        <v>0</v>
      </c>
      <c r="D36" s="625">
        <f t="shared" si="22"/>
        <v>0</v>
      </c>
      <c r="E36" s="792">
        <f t="shared" si="22"/>
        <v>0</v>
      </c>
      <c r="F36" s="625">
        <f t="shared" si="22"/>
        <v>0</v>
      </c>
      <c r="G36" s="792">
        <f t="shared" si="22"/>
        <v>0</v>
      </c>
      <c r="H36" s="626">
        <f t="shared" si="22"/>
        <v>0</v>
      </c>
      <c r="I36" s="793">
        <f t="shared" si="22"/>
        <v>0</v>
      </c>
      <c r="J36" s="624">
        <f t="shared" si="22"/>
        <v>0</v>
      </c>
      <c r="K36" s="625">
        <f t="shared" si="22"/>
        <v>0</v>
      </c>
      <c r="L36" s="625">
        <f t="shared" si="22"/>
        <v>0</v>
      </c>
      <c r="M36" s="625">
        <f t="shared" si="22"/>
        <v>0</v>
      </c>
      <c r="N36" s="624">
        <f t="shared" si="23"/>
        <v>0</v>
      </c>
      <c r="O36" s="624">
        <f t="shared" si="23"/>
        <v>0</v>
      </c>
      <c r="P36" s="625">
        <f t="shared" si="23"/>
        <v>0</v>
      </c>
      <c r="Q36" s="624">
        <f t="shared" si="23"/>
        <v>0</v>
      </c>
      <c r="R36" s="253"/>
      <c r="S36" s="254"/>
      <c r="T36" s="255"/>
      <c r="U36" s="255"/>
      <c r="V36" s="255"/>
      <c r="W36" s="255"/>
      <c r="X36" s="255"/>
      <c r="Y36" s="256"/>
      <c r="Z36" s="254"/>
      <c r="AA36" s="255"/>
      <c r="AB36" s="255"/>
      <c r="AC36" s="255"/>
      <c r="AD36" s="255"/>
      <c r="AE36" s="256"/>
      <c r="AF36" s="254"/>
      <c r="AG36" s="255"/>
      <c r="AH36" s="254"/>
    </row>
    <row r="37" spans="1:36" s="406" customFormat="1">
      <c r="A37" s="435"/>
      <c r="B37" s="436" t="s">
        <v>59</v>
      </c>
      <c r="C37" s="577">
        <f t="shared" si="22"/>
        <v>0</v>
      </c>
      <c r="D37" s="578">
        <f t="shared" si="22"/>
        <v>0</v>
      </c>
      <c r="E37" s="578">
        <f t="shared" si="22"/>
        <v>0</v>
      </c>
      <c r="F37" s="578">
        <f t="shared" si="22"/>
        <v>0</v>
      </c>
      <c r="G37" s="578">
        <f t="shared" si="22"/>
        <v>0</v>
      </c>
      <c r="H37" s="579">
        <f t="shared" si="22"/>
        <v>0</v>
      </c>
      <c r="I37" s="577">
        <f t="shared" si="22"/>
        <v>0</v>
      </c>
      <c r="J37" s="577">
        <f t="shared" si="22"/>
        <v>0</v>
      </c>
      <c r="K37" s="578">
        <f t="shared" si="22"/>
        <v>0</v>
      </c>
      <c r="L37" s="578">
        <f t="shared" si="22"/>
        <v>0</v>
      </c>
      <c r="M37" s="578">
        <f t="shared" si="22"/>
        <v>0</v>
      </c>
      <c r="N37" s="577">
        <f t="shared" si="23"/>
        <v>0</v>
      </c>
      <c r="O37" s="577">
        <f t="shared" si="23"/>
        <v>0</v>
      </c>
      <c r="P37" s="578">
        <f t="shared" si="23"/>
        <v>0</v>
      </c>
      <c r="Q37" s="577">
        <f t="shared" si="23"/>
        <v>0</v>
      </c>
      <c r="R37" s="264"/>
      <c r="S37" s="265"/>
      <c r="T37" s="266"/>
      <c r="U37" s="266"/>
      <c r="V37" s="266"/>
      <c r="W37" s="266"/>
      <c r="X37" s="266"/>
      <c r="Y37" s="267"/>
      <c r="Z37" s="265"/>
      <c r="AA37" s="266"/>
      <c r="AB37" s="266"/>
      <c r="AC37" s="266"/>
      <c r="AD37" s="266"/>
      <c r="AE37" s="267"/>
      <c r="AF37" s="265"/>
      <c r="AG37" s="266"/>
      <c r="AH37" s="265"/>
      <c r="AI37" s="405"/>
      <c r="AJ37" s="405"/>
    </row>
    <row r="38" spans="1:36">
      <c r="A38" s="239" t="s">
        <v>6</v>
      </c>
      <c r="B38" s="240" t="s">
        <v>53</v>
      </c>
      <c r="C38" s="613">
        <f t="shared" ref="C38:M44" si="24">IF(S$44&gt;0,(S38/S$44),0)</f>
        <v>0</v>
      </c>
      <c r="D38" s="614">
        <f t="shared" si="24"/>
        <v>0</v>
      </c>
      <c r="E38" s="614">
        <f t="shared" si="24"/>
        <v>0</v>
      </c>
      <c r="F38" s="614">
        <f t="shared" si="24"/>
        <v>0</v>
      </c>
      <c r="G38" s="614">
        <f t="shared" si="24"/>
        <v>0</v>
      </c>
      <c r="H38" s="615">
        <f t="shared" si="24"/>
        <v>0</v>
      </c>
      <c r="I38" s="613">
        <f t="shared" si="24"/>
        <v>0</v>
      </c>
      <c r="J38" s="613">
        <f t="shared" si="24"/>
        <v>0</v>
      </c>
      <c r="K38" s="614">
        <f t="shared" si="24"/>
        <v>0</v>
      </c>
      <c r="L38" s="614">
        <f t="shared" si="24"/>
        <v>0</v>
      </c>
      <c r="M38" s="614">
        <f t="shared" si="24"/>
        <v>0</v>
      </c>
      <c r="N38" s="613">
        <f t="shared" ref="N38:Q44" si="25">IF(AE$44&gt;0,(AE38/AE$44),0)</f>
        <v>0</v>
      </c>
      <c r="O38" s="788">
        <f t="shared" si="25"/>
        <v>0</v>
      </c>
      <c r="P38" s="614">
        <f t="shared" si="25"/>
        <v>0</v>
      </c>
      <c r="Q38" s="788">
        <f t="shared" si="25"/>
        <v>0</v>
      </c>
      <c r="R38" s="244"/>
      <c r="S38" s="245"/>
      <c r="T38" s="246"/>
      <c r="U38" s="246"/>
      <c r="V38" s="246"/>
      <c r="W38" s="246"/>
      <c r="X38" s="246"/>
      <c r="Y38" s="247"/>
      <c r="Z38" s="245"/>
      <c r="AA38" s="246"/>
      <c r="AB38" s="246"/>
      <c r="AC38" s="246"/>
      <c r="AD38" s="246"/>
      <c r="AE38" s="247"/>
      <c r="AF38" s="245"/>
      <c r="AG38" s="246"/>
      <c r="AH38" s="245"/>
    </row>
    <row r="39" spans="1:36">
      <c r="A39" s="249"/>
      <c r="B39" s="239" t="s">
        <v>93</v>
      </c>
      <c r="C39" s="624">
        <f t="shared" si="24"/>
        <v>0</v>
      </c>
      <c r="D39" s="625">
        <f t="shared" si="24"/>
        <v>0</v>
      </c>
      <c r="E39" s="625">
        <f t="shared" si="24"/>
        <v>0</v>
      </c>
      <c r="F39" s="625">
        <f t="shared" si="24"/>
        <v>0</v>
      </c>
      <c r="G39" s="625">
        <f t="shared" si="24"/>
        <v>0</v>
      </c>
      <c r="H39" s="626">
        <f t="shared" si="24"/>
        <v>0</v>
      </c>
      <c r="I39" s="624">
        <f t="shared" si="24"/>
        <v>0</v>
      </c>
      <c r="J39" s="624">
        <f t="shared" si="24"/>
        <v>0</v>
      </c>
      <c r="K39" s="625">
        <f t="shared" si="24"/>
        <v>0</v>
      </c>
      <c r="L39" s="625">
        <f t="shared" si="24"/>
        <v>0</v>
      </c>
      <c r="M39" s="625">
        <f t="shared" si="24"/>
        <v>0</v>
      </c>
      <c r="N39" s="624">
        <f t="shared" si="25"/>
        <v>0</v>
      </c>
      <c r="O39" s="624">
        <f t="shared" si="25"/>
        <v>0</v>
      </c>
      <c r="P39" s="625">
        <f t="shared" si="25"/>
        <v>0</v>
      </c>
      <c r="Q39" s="624">
        <f t="shared" si="25"/>
        <v>0</v>
      </c>
      <c r="R39" s="253"/>
      <c r="S39" s="254"/>
      <c r="T39" s="255"/>
      <c r="U39" s="255"/>
      <c r="V39" s="255"/>
      <c r="W39" s="255"/>
      <c r="X39" s="255"/>
      <c r="Y39" s="256"/>
      <c r="Z39" s="254"/>
      <c r="AA39" s="255"/>
      <c r="AB39" s="255"/>
      <c r="AC39" s="255"/>
      <c r="AD39" s="255"/>
      <c r="AE39" s="256"/>
      <c r="AF39" s="254"/>
      <c r="AG39" s="255"/>
      <c r="AH39" s="254"/>
    </row>
    <row r="40" spans="1:36">
      <c r="A40" s="249"/>
      <c r="B40" s="239" t="s">
        <v>55</v>
      </c>
      <c r="C40" s="624">
        <f t="shared" si="24"/>
        <v>0</v>
      </c>
      <c r="D40" s="625">
        <f t="shared" si="24"/>
        <v>0</v>
      </c>
      <c r="E40" s="625">
        <f t="shared" si="24"/>
        <v>0</v>
      </c>
      <c r="F40" s="625">
        <f t="shared" si="24"/>
        <v>0</v>
      </c>
      <c r="G40" s="625">
        <f t="shared" si="24"/>
        <v>0</v>
      </c>
      <c r="H40" s="626">
        <f t="shared" si="24"/>
        <v>0</v>
      </c>
      <c r="I40" s="624">
        <f t="shared" si="24"/>
        <v>0</v>
      </c>
      <c r="J40" s="624">
        <f t="shared" si="24"/>
        <v>0</v>
      </c>
      <c r="K40" s="625">
        <f t="shared" si="24"/>
        <v>0</v>
      </c>
      <c r="L40" s="625">
        <f t="shared" si="24"/>
        <v>0</v>
      </c>
      <c r="M40" s="625">
        <f t="shared" si="24"/>
        <v>0</v>
      </c>
      <c r="N40" s="624">
        <f t="shared" si="25"/>
        <v>0</v>
      </c>
      <c r="O40" s="624">
        <f t="shared" si="25"/>
        <v>0</v>
      </c>
      <c r="P40" s="625">
        <f t="shared" si="25"/>
        <v>0</v>
      </c>
      <c r="Q40" s="624">
        <f t="shared" si="25"/>
        <v>0</v>
      </c>
      <c r="R40" s="253"/>
      <c r="S40" s="254"/>
      <c r="T40" s="255"/>
      <c r="U40" s="255"/>
      <c r="V40" s="255"/>
      <c r="W40" s="255"/>
      <c r="X40" s="255"/>
      <c r="Y40" s="256"/>
      <c r="Z40" s="254"/>
      <c r="AA40" s="255"/>
      <c r="AB40" s="255"/>
      <c r="AC40" s="255"/>
      <c r="AD40" s="255"/>
      <c r="AE40" s="256"/>
      <c r="AF40" s="254"/>
      <c r="AG40" s="255"/>
      <c r="AH40" s="254"/>
    </row>
    <row r="41" spans="1:36">
      <c r="A41" s="249"/>
      <c r="B41" s="239" t="s">
        <v>78</v>
      </c>
      <c r="C41" s="624">
        <f t="shared" si="24"/>
        <v>0</v>
      </c>
      <c r="D41" s="625">
        <f t="shared" si="24"/>
        <v>0</v>
      </c>
      <c r="E41" s="625">
        <f t="shared" si="24"/>
        <v>0</v>
      </c>
      <c r="F41" s="625">
        <f t="shared" si="24"/>
        <v>0</v>
      </c>
      <c r="G41" s="625">
        <f t="shared" si="24"/>
        <v>0</v>
      </c>
      <c r="H41" s="626">
        <f t="shared" si="24"/>
        <v>0</v>
      </c>
      <c r="I41" s="624">
        <f t="shared" si="24"/>
        <v>0</v>
      </c>
      <c r="J41" s="624">
        <f t="shared" si="24"/>
        <v>0</v>
      </c>
      <c r="K41" s="625">
        <f t="shared" si="24"/>
        <v>0</v>
      </c>
      <c r="L41" s="625">
        <f t="shared" si="24"/>
        <v>0</v>
      </c>
      <c r="M41" s="625">
        <f t="shared" si="24"/>
        <v>0</v>
      </c>
      <c r="N41" s="624">
        <f t="shared" si="25"/>
        <v>0</v>
      </c>
      <c r="O41" s="624">
        <f t="shared" si="25"/>
        <v>0</v>
      </c>
      <c r="P41" s="625">
        <f t="shared" si="25"/>
        <v>0</v>
      </c>
      <c r="Q41" s="624">
        <f t="shared" si="25"/>
        <v>0</v>
      </c>
      <c r="R41" s="253"/>
      <c r="S41" s="254"/>
      <c r="T41" s="255"/>
      <c r="U41" s="255"/>
      <c r="V41" s="255"/>
      <c r="W41" s="255"/>
      <c r="X41" s="255"/>
      <c r="Y41" s="256"/>
      <c r="Z41" s="254"/>
      <c r="AA41" s="255"/>
      <c r="AB41" s="255"/>
      <c r="AC41" s="255"/>
      <c r="AD41" s="255"/>
      <c r="AE41" s="256"/>
      <c r="AF41" s="254"/>
      <c r="AG41" s="255"/>
      <c r="AH41" s="254"/>
    </row>
    <row r="42" spans="1:36">
      <c r="A42" s="249"/>
      <c r="B42" s="239" t="s">
        <v>32</v>
      </c>
      <c r="C42" s="624">
        <f t="shared" si="24"/>
        <v>0</v>
      </c>
      <c r="D42" s="625">
        <f t="shared" si="24"/>
        <v>0</v>
      </c>
      <c r="E42" s="625">
        <f t="shared" si="24"/>
        <v>0</v>
      </c>
      <c r="F42" s="625">
        <f t="shared" si="24"/>
        <v>0</v>
      </c>
      <c r="G42" s="790">
        <f t="shared" si="24"/>
        <v>0</v>
      </c>
      <c r="H42" s="626">
        <f t="shared" si="24"/>
        <v>0</v>
      </c>
      <c r="I42" s="624">
        <f t="shared" si="24"/>
        <v>0</v>
      </c>
      <c r="J42" s="624">
        <f t="shared" si="24"/>
        <v>0</v>
      </c>
      <c r="K42" s="625">
        <f t="shared" si="24"/>
        <v>0</v>
      </c>
      <c r="L42" s="625">
        <f t="shared" si="24"/>
        <v>0</v>
      </c>
      <c r="M42" s="625">
        <f t="shared" si="24"/>
        <v>0</v>
      </c>
      <c r="N42" s="624">
        <f t="shared" si="25"/>
        <v>0</v>
      </c>
      <c r="O42" s="624">
        <f t="shared" si="25"/>
        <v>0</v>
      </c>
      <c r="P42" s="625">
        <f t="shared" si="25"/>
        <v>0</v>
      </c>
      <c r="Q42" s="624">
        <f t="shared" si="25"/>
        <v>0</v>
      </c>
      <c r="R42" s="253"/>
      <c r="S42" s="254"/>
      <c r="T42" s="255"/>
      <c r="U42" s="255"/>
      <c r="V42" s="255"/>
      <c r="W42" s="255"/>
      <c r="X42" s="255"/>
      <c r="Y42" s="256"/>
      <c r="Z42" s="254"/>
      <c r="AA42" s="255"/>
      <c r="AB42" s="255"/>
      <c r="AC42" s="255"/>
      <c r="AD42" s="255"/>
      <c r="AE42" s="256"/>
      <c r="AF42" s="254"/>
      <c r="AG42" s="255"/>
      <c r="AH42" s="254"/>
    </row>
    <row r="43" spans="1:36">
      <c r="A43" s="249"/>
      <c r="B43" s="239" t="s">
        <v>58</v>
      </c>
      <c r="C43" s="624">
        <f t="shared" si="24"/>
        <v>0</v>
      </c>
      <c r="D43" s="625">
        <f t="shared" si="24"/>
        <v>0</v>
      </c>
      <c r="E43" s="792">
        <f t="shared" si="24"/>
        <v>0</v>
      </c>
      <c r="F43" s="625">
        <f t="shared" si="24"/>
        <v>0</v>
      </c>
      <c r="G43" s="792">
        <f t="shared" si="24"/>
        <v>0</v>
      </c>
      <c r="H43" s="626">
        <f t="shared" si="24"/>
        <v>0</v>
      </c>
      <c r="I43" s="793">
        <f t="shared" si="24"/>
        <v>0</v>
      </c>
      <c r="J43" s="624">
        <f t="shared" si="24"/>
        <v>0</v>
      </c>
      <c r="K43" s="625">
        <f t="shared" si="24"/>
        <v>0</v>
      </c>
      <c r="L43" s="625">
        <f t="shared" si="24"/>
        <v>0</v>
      </c>
      <c r="M43" s="625">
        <f t="shared" si="24"/>
        <v>0</v>
      </c>
      <c r="N43" s="624">
        <f t="shared" si="25"/>
        <v>0</v>
      </c>
      <c r="O43" s="624">
        <f t="shared" si="25"/>
        <v>0</v>
      </c>
      <c r="P43" s="625">
        <f t="shared" si="25"/>
        <v>0</v>
      </c>
      <c r="Q43" s="624">
        <f t="shared" si="25"/>
        <v>0</v>
      </c>
      <c r="R43" s="253"/>
      <c r="S43" s="254"/>
      <c r="T43" s="255"/>
      <c r="U43" s="255"/>
      <c r="V43" s="255"/>
      <c r="W43" s="255"/>
      <c r="X43" s="255"/>
      <c r="Y43" s="256"/>
      <c r="Z43" s="254"/>
      <c r="AA43" s="255"/>
      <c r="AB43" s="255"/>
      <c r="AC43" s="255"/>
      <c r="AD43" s="255"/>
      <c r="AE43" s="256"/>
      <c r="AF43" s="254"/>
      <c r="AG43" s="255"/>
      <c r="AH43" s="254"/>
    </row>
    <row r="44" spans="1:36" s="406" customFormat="1">
      <c r="A44" s="435"/>
      <c r="B44" s="436" t="s">
        <v>59</v>
      </c>
      <c r="C44" s="577">
        <f t="shared" si="24"/>
        <v>0</v>
      </c>
      <c r="D44" s="578">
        <f t="shared" si="24"/>
        <v>0</v>
      </c>
      <c r="E44" s="578">
        <f t="shared" si="24"/>
        <v>0</v>
      </c>
      <c r="F44" s="578">
        <f t="shared" si="24"/>
        <v>0</v>
      </c>
      <c r="G44" s="578">
        <f t="shared" si="24"/>
        <v>0</v>
      </c>
      <c r="H44" s="579">
        <f t="shared" si="24"/>
        <v>0</v>
      </c>
      <c r="I44" s="577">
        <f t="shared" si="24"/>
        <v>0</v>
      </c>
      <c r="J44" s="577">
        <f t="shared" si="24"/>
        <v>0</v>
      </c>
      <c r="K44" s="578">
        <f t="shared" si="24"/>
        <v>0</v>
      </c>
      <c r="L44" s="578">
        <f t="shared" si="24"/>
        <v>0</v>
      </c>
      <c r="M44" s="578">
        <f t="shared" si="24"/>
        <v>0</v>
      </c>
      <c r="N44" s="577">
        <f t="shared" si="25"/>
        <v>0</v>
      </c>
      <c r="O44" s="577">
        <f t="shared" si="25"/>
        <v>0</v>
      </c>
      <c r="P44" s="578">
        <f t="shared" si="25"/>
        <v>0</v>
      </c>
      <c r="Q44" s="577">
        <f t="shared" si="25"/>
        <v>0</v>
      </c>
      <c r="R44" s="264"/>
      <c r="S44" s="265"/>
      <c r="T44" s="266"/>
      <c r="U44" s="266"/>
      <c r="V44" s="266"/>
      <c r="W44" s="266"/>
      <c r="X44" s="266"/>
      <c r="Y44" s="267"/>
      <c r="Z44" s="265"/>
      <c r="AA44" s="266"/>
      <c r="AB44" s="266"/>
      <c r="AC44" s="266"/>
      <c r="AD44" s="266"/>
      <c r="AE44" s="267"/>
      <c r="AF44" s="265"/>
      <c r="AG44" s="266"/>
      <c r="AH44" s="265"/>
      <c r="AI44" s="405"/>
      <c r="AJ44" s="405"/>
    </row>
    <row r="45" spans="1:36">
      <c r="A45" s="239" t="s">
        <v>7</v>
      </c>
      <c r="B45" s="240" t="s">
        <v>53</v>
      </c>
      <c r="C45" s="613">
        <f t="shared" ref="C45:M51" si="26">IF(S$51&gt;0,(S45/S$51),0)</f>
        <v>0</v>
      </c>
      <c r="D45" s="614">
        <f t="shared" si="26"/>
        <v>0</v>
      </c>
      <c r="E45" s="614">
        <f t="shared" si="26"/>
        <v>0</v>
      </c>
      <c r="F45" s="614">
        <f t="shared" si="26"/>
        <v>0</v>
      </c>
      <c r="G45" s="614">
        <f t="shared" si="26"/>
        <v>0</v>
      </c>
      <c r="H45" s="615">
        <f t="shared" si="26"/>
        <v>0</v>
      </c>
      <c r="I45" s="613">
        <f t="shared" si="26"/>
        <v>0</v>
      </c>
      <c r="J45" s="613">
        <f t="shared" si="26"/>
        <v>0</v>
      </c>
      <c r="K45" s="614">
        <f t="shared" si="26"/>
        <v>0</v>
      </c>
      <c r="L45" s="614">
        <f t="shared" si="26"/>
        <v>0</v>
      </c>
      <c r="M45" s="614">
        <f t="shared" si="26"/>
        <v>0</v>
      </c>
      <c r="N45" s="613">
        <f t="shared" ref="N45:Q51" si="27">IF(AE$51&gt;0,(AE45/AE$51),0)</f>
        <v>0</v>
      </c>
      <c r="O45" s="788">
        <f t="shared" si="27"/>
        <v>0</v>
      </c>
      <c r="P45" s="614">
        <f t="shared" si="27"/>
        <v>0</v>
      </c>
      <c r="Q45" s="788">
        <f t="shared" si="27"/>
        <v>0</v>
      </c>
      <c r="R45" s="244"/>
      <c r="S45" s="245"/>
      <c r="T45" s="246"/>
      <c r="U45" s="246"/>
      <c r="V45" s="246"/>
      <c r="W45" s="246"/>
      <c r="X45" s="246"/>
      <c r="Y45" s="247"/>
      <c r="Z45" s="245"/>
      <c r="AA45" s="246"/>
      <c r="AB45" s="246"/>
      <c r="AC45" s="246"/>
      <c r="AD45" s="246"/>
      <c r="AE45" s="247"/>
      <c r="AF45" s="245"/>
      <c r="AG45" s="246"/>
      <c r="AH45" s="245"/>
    </row>
    <row r="46" spans="1:36">
      <c r="A46" s="249"/>
      <c r="B46" s="239" t="s">
        <v>93</v>
      </c>
      <c r="C46" s="624">
        <f t="shared" si="26"/>
        <v>0</v>
      </c>
      <c r="D46" s="625">
        <f t="shared" si="26"/>
        <v>0</v>
      </c>
      <c r="E46" s="625">
        <f t="shared" si="26"/>
        <v>0</v>
      </c>
      <c r="F46" s="625">
        <f t="shared" si="26"/>
        <v>0</v>
      </c>
      <c r="G46" s="625">
        <f t="shared" si="26"/>
        <v>0</v>
      </c>
      <c r="H46" s="626">
        <f t="shared" si="26"/>
        <v>0</v>
      </c>
      <c r="I46" s="624">
        <f t="shared" si="26"/>
        <v>0</v>
      </c>
      <c r="J46" s="624">
        <f t="shared" si="26"/>
        <v>0</v>
      </c>
      <c r="K46" s="625">
        <f t="shared" si="26"/>
        <v>0</v>
      </c>
      <c r="L46" s="625">
        <f t="shared" si="26"/>
        <v>0</v>
      </c>
      <c r="M46" s="625">
        <f t="shared" si="26"/>
        <v>0</v>
      </c>
      <c r="N46" s="624">
        <f t="shared" si="27"/>
        <v>0</v>
      </c>
      <c r="O46" s="624">
        <f t="shared" si="27"/>
        <v>0</v>
      </c>
      <c r="P46" s="625">
        <f t="shared" si="27"/>
        <v>0</v>
      </c>
      <c r="Q46" s="624">
        <f t="shared" si="27"/>
        <v>0</v>
      </c>
      <c r="R46" s="253"/>
      <c r="S46" s="254"/>
      <c r="T46" s="255"/>
      <c r="U46" s="255"/>
      <c r="V46" s="255"/>
      <c r="W46" s="255"/>
      <c r="X46" s="255"/>
      <c r="Y46" s="256"/>
      <c r="Z46" s="254"/>
      <c r="AA46" s="255"/>
      <c r="AB46" s="255"/>
      <c r="AC46" s="255"/>
      <c r="AD46" s="255"/>
      <c r="AE46" s="256"/>
      <c r="AF46" s="254"/>
      <c r="AG46" s="255"/>
      <c r="AH46" s="254"/>
    </row>
    <row r="47" spans="1:36">
      <c r="A47" s="249"/>
      <c r="B47" s="239" t="s">
        <v>55</v>
      </c>
      <c r="C47" s="624">
        <f t="shared" si="26"/>
        <v>0</v>
      </c>
      <c r="D47" s="625">
        <f t="shared" si="26"/>
        <v>0</v>
      </c>
      <c r="E47" s="625">
        <f t="shared" si="26"/>
        <v>0</v>
      </c>
      <c r="F47" s="625">
        <f t="shared" si="26"/>
        <v>0</v>
      </c>
      <c r="G47" s="625">
        <f t="shared" si="26"/>
        <v>0</v>
      </c>
      <c r="H47" s="626">
        <f t="shared" si="26"/>
        <v>0</v>
      </c>
      <c r="I47" s="624">
        <f t="shared" si="26"/>
        <v>0</v>
      </c>
      <c r="J47" s="624">
        <f t="shared" si="26"/>
        <v>0</v>
      </c>
      <c r="K47" s="625">
        <f t="shared" si="26"/>
        <v>0</v>
      </c>
      <c r="L47" s="625">
        <f t="shared" si="26"/>
        <v>0</v>
      </c>
      <c r="M47" s="625">
        <f t="shared" si="26"/>
        <v>0</v>
      </c>
      <c r="N47" s="624">
        <f t="shared" si="27"/>
        <v>0</v>
      </c>
      <c r="O47" s="624">
        <f t="shared" si="27"/>
        <v>0</v>
      </c>
      <c r="P47" s="625">
        <f t="shared" si="27"/>
        <v>0</v>
      </c>
      <c r="Q47" s="624">
        <f t="shared" si="27"/>
        <v>0</v>
      </c>
      <c r="R47" s="253"/>
      <c r="S47" s="254"/>
      <c r="T47" s="255"/>
      <c r="U47" s="255"/>
      <c r="V47" s="255"/>
      <c r="W47" s="255"/>
      <c r="X47" s="255"/>
      <c r="Y47" s="256"/>
      <c r="Z47" s="254"/>
      <c r="AA47" s="255"/>
      <c r="AB47" s="255"/>
      <c r="AC47" s="255"/>
      <c r="AD47" s="255"/>
      <c r="AE47" s="256"/>
      <c r="AF47" s="254"/>
      <c r="AG47" s="255"/>
      <c r="AH47" s="254"/>
    </row>
    <row r="48" spans="1:36">
      <c r="A48" s="249"/>
      <c r="B48" s="239" t="s">
        <v>78</v>
      </c>
      <c r="C48" s="624">
        <f t="shared" si="26"/>
        <v>0</v>
      </c>
      <c r="D48" s="625">
        <f t="shared" si="26"/>
        <v>0</v>
      </c>
      <c r="E48" s="625">
        <f t="shared" si="26"/>
        <v>0</v>
      </c>
      <c r="F48" s="625">
        <f t="shared" si="26"/>
        <v>0</v>
      </c>
      <c r="G48" s="625">
        <f t="shared" si="26"/>
        <v>0</v>
      </c>
      <c r="H48" s="626">
        <f t="shared" si="26"/>
        <v>0</v>
      </c>
      <c r="I48" s="624">
        <f t="shared" si="26"/>
        <v>0</v>
      </c>
      <c r="J48" s="624">
        <f t="shared" si="26"/>
        <v>0</v>
      </c>
      <c r="K48" s="625">
        <f t="shared" si="26"/>
        <v>0</v>
      </c>
      <c r="L48" s="625">
        <f t="shared" si="26"/>
        <v>0</v>
      </c>
      <c r="M48" s="625">
        <f t="shared" si="26"/>
        <v>0</v>
      </c>
      <c r="N48" s="624">
        <f t="shared" si="27"/>
        <v>0</v>
      </c>
      <c r="O48" s="624">
        <f t="shared" si="27"/>
        <v>0</v>
      </c>
      <c r="P48" s="625">
        <f t="shared" si="27"/>
        <v>0</v>
      </c>
      <c r="Q48" s="624">
        <f t="shared" si="27"/>
        <v>0</v>
      </c>
      <c r="R48" s="253"/>
      <c r="S48" s="254"/>
      <c r="T48" s="255"/>
      <c r="U48" s="255"/>
      <c r="V48" s="255"/>
      <c r="W48" s="255"/>
      <c r="X48" s="255"/>
      <c r="Y48" s="256"/>
      <c r="Z48" s="254"/>
      <c r="AA48" s="255"/>
      <c r="AB48" s="255"/>
      <c r="AC48" s="255"/>
      <c r="AD48" s="255"/>
      <c r="AE48" s="256"/>
      <c r="AF48" s="254"/>
      <c r="AG48" s="255"/>
      <c r="AH48" s="254"/>
    </row>
    <row r="49" spans="1:36">
      <c r="A49" s="249"/>
      <c r="B49" s="239" t="s">
        <v>32</v>
      </c>
      <c r="C49" s="624">
        <f t="shared" si="26"/>
        <v>0</v>
      </c>
      <c r="D49" s="625">
        <f t="shared" si="26"/>
        <v>0</v>
      </c>
      <c r="E49" s="790">
        <f t="shared" si="26"/>
        <v>0</v>
      </c>
      <c r="F49" s="625">
        <f t="shared" si="26"/>
        <v>0</v>
      </c>
      <c r="G49" s="625">
        <f t="shared" si="26"/>
        <v>0</v>
      </c>
      <c r="H49" s="794">
        <f t="shared" si="26"/>
        <v>0</v>
      </c>
      <c r="I49" s="624">
        <f t="shared" si="26"/>
        <v>0</v>
      </c>
      <c r="J49" s="624">
        <f t="shared" si="26"/>
        <v>0</v>
      </c>
      <c r="K49" s="625">
        <f t="shared" si="26"/>
        <v>0</v>
      </c>
      <c r="L49" s="625">
        <f t="shared" si="26"/>
        <v>0</v>
      </c>
      <c r="M49" s="625">
        <f t="shared" si="26"/>
        <v>0</v>
      </c>
      <c r="N49" s="624">
        <f t="shared" si="27"/>
        <v>0</v>
      </c>
      <c r="O49" s="624">
        <f t="shared" si="27"/>
        <v>0</v>
      </c>
      <c r="P49" s="625">
        <f t="shared" si="27"/>
        <v>0</v>
      </c>
      <c r="Q49" s="624">
        <f t="shared" si="27"/>
        <v>0</v>
      </c>
      <c r="R49" s="253"/>
      <c r="S49" s="254"/>
      <c r="T49" s="255"/>
      <c r="U49" s="255"/>
      <c r="V49" s="255"/>
      <c r="W49" s="255"/>
      <c r="X49" s="255"/>
      <c r="Y49" s="256"/>
      <c r="Z49" s="254"/>
      <c r="AA49" s="255"/>
      <c r="AB49" s="255"/>
      <c r="AC49" s="255"/>
      <c r="AD49" s="255"/>
      <c r="AE49" s="256"/>
      <c r="AF49" s="254"/>
      <c r="AG49" s="255"/>
      <c r="AH49" s="254"/>
    </row>
    <row r="50" spans="1:36">
      <c r="A50" s="249"/>
      <c r="B50" s="239" t="s">
        <v>58</v>
      </c>
      <c r="C50" s="624">
        <f t="shared" si="26"/>
        <v>0</v>
      </c>
      <c r="D50" s="625">
        <f t="shared" si="26"/>
        <v>0</v>
      </c>
      <c r="E50" s="792">
        <f t="shared" si="26"/>
        <v>0</v>
      </c>
      <c r="F50" s="625">
        <f t="shared" si="26"/>
        <v>0</v>
      </c>
      <c r="G50" s="792">
        <f t="shared" si="26"/>
        <v>0</v>
      </c>
      <c r="H50" s="626">
        <f t="shared" si="26"/>
        <v>0</v>
      </c>
      <c r="I50" s="793">
        <f t="shared" si="26"/>
        <v>0</v>
      </c>
      <c r="J50" s="624">
        <f t="shared" si="26"/>
        <v>0</v>
      </c>
      <c r="K50" s="625">
        <f t="shared" si="26"/>
        <v>0</v>
      </c>
      <c r="L50" s="625">
        <f t="shared" si="26"/>
        <v>0</v>
      </c>
      <c r="M50" s="625">
        <f t="shared" si="26"/>
        <v>0</v>
      </c>
      <c r="N50" s="624">
        <f t="shared" si="27"/>
        <v>0</v>
      </c>
      <c r="O50" s="624">
        <f t="shared" si="27"/>
        <v>0</v>
      </c>
      <c r="P50" s="625">
        <f t="shared" si="27"/>
        <v>0</v>
      </c>
      <c r="Q50" s="624">
        <f t="shared" si="27"/>
        <v>0</v>
      </c>
      <c r="R50" s="253"/>
      <c r="S50" s="254"/>
      <c r="T50" s="255"/>
      <c r="U50" s="255"/>
      <c r="V50" s="255"/>
      <c r="W50" s="255"/>
      <c r="X50" s="255"/>
      <c r="Y50" s="256"/>
      <c r="Z50" s="254"/>
      <c r="AA50" s="255"/>
      <c r="AB50" s="255"/>
      <c r="AC50" s="255"/>
      <c r="AD50" s="255"/>
      <c r="AE50" s="256"/>
      <c r="AF50" s="254"/>
      <c r="AG50" s="255"/>
      <c r="AH50" s="254"/>
    </row>
    <row r="51" spans="1:36" s="406" customFormat="1">
      <c r="A51" s="435"/>
      <c r="B51" s="436" t="s">
        <v>59</v>
      </c>
      <c r="C51" s="577">
        <f t="shared" si="26"/>
        <v>0</v>
      </c>
      <c r="D51" s="578">
        <f t="shared" si="26"/>
        <v>0</v>
      </c>
      <c r="E51" s="578">
        <f t="shared" si="26"/>
        <v>0</v>
      </c>
      <c r="F51" s="578">
        <f t="shared" si="26"/>
        <v>0</v>
      </c>
      <c r="G51" s="578">
        <f t="shared" si="26"/>
        <v>0</v>
      </c>
      <c r="H51" s="579">
        <f t="shared" si="26"/>
        <v>0</v>
      </c>
      <c r="I51" s="577">
        <f t="shared" si="26"/>
        <v>0</v>
      </c>
      <c r="J51" s="577">
        <f t="shared" si="26"/>
        <v>0</v>
      </c>
      <c r="K51" s="578">
        <f t="shared" si="26"/>
        <v>0</v>
      </c>
      <c r="L51" s="578">
        <f t="shared" si="26"/>
        <v>0</v>
      </c>
      <c r="M51" s="578">
        <f t="shared" si="26"/>
        <v>0</v>
      </c>
      <c r="N51" s="577">
        <f t="shared" si="27"/>
        <v>0</v>
      </c>
      <c r="O51" s="577">
        <f t="shared" si="27"/>
        <v>0</v>
      </c>
      <c r="P51" s="578">
        <f t="shared" si="27"/>
        <v>0</v>
      </c>
      <c r="Q51" s="577">
        <f t="shared" si="27"/>
        <v>0</v>
      </c>
      <c r="R51" s="264"/>
      <c r="S51" s="265"/>
      <c r="T51" s="266"/>
      <c r="U51" s="266"/>
      <c r="V51" s="266"/>
      <c r="W51" s="266"/>
      <c r="X51" s="266"/>
      <c r="Y51" s="267"/>
      <c r="Z51" s="265"/>
      <c r="AA51" s="266"/>
      <c r="AB51" s="266"/>
      <c r="AC51" s="266"/>
      <c r="AD51" s="266"/>
      <c r="AE51" s="267"/>
      <c r="AF51" s="265"/>
      <c r="AG51" s="266"/>
      <c r="AH51" s="265"/>
      <c r="AI51" s="405"/>
      <c r="AJ51" s="405"/>
    </row>
    <row r="52" spans="1:36">
      <c r="A52" s="239" t="s">
        <v>8</v>
      </c>
      <c r="B52" s="240" t="s">
        <v>53</v>
      </c>
      <c r="C52" s="613">
        <f t="shared" ref="C52:M58" si="28">IF(S$58&gt;0,(S52/S$58),0)</f>
        <v>0</v>
      </c>
      <c r="D52" s="614">
        <f t="shared" si="28"/>
        <v>0</v>
      </c>
      <c r="E52" s="614">
        <f t="shared" si="28"/>
        <v>0</v>
      </c>
      <c r="F52" s="614">
        <f t="shared" si="28"/>
        <v>0</v>
      </c>
      <c r="G52" s="614">
        <f t="shared" si="28"/>
        <v>0</v>
      </c>
      <c r="H52" s="615">
        <f t="shared" si="28"/>
        <v>0</v>
      </c>
      <c r="I52" s="613">
        <f t="shared" si="28"/>
        <v>0</v>
      </c>
      <c r="J52" s="613">
        <f t="shared" si="28"/>
        <v>0</v>
      </c>
      <c r="K52" s="614">
        <f t="shared" si="28"/>
        <v>0</v>
      </c>
      <c r="L52" s="614">
        <f t="shared" si="28"/>
        <v>0</v>
      </c>
      <c r="M52" s="614">
        <f t="shared" si="28"/>
        <v>0</v>
      </c>
      <c r="N52" s="613">
        <f t="shared" ref="N52:Q58" si="29">IF(AE$58&gt;0,(AE52/AE$58),0)</f>
        <v>0</v>
      </c>
      <c r="O52" s="613">
        <f t="shared" si="29"/>
        <v>0</v>
      </c>
      <c r="P52" s="614">
        <f t="shared" si="29"/>
        <v>0</v>
      </c>
      <c r="Q52" s="613">
        <f t="shared" si="29"/>
        <v>0</v>
      </c>
      <c r="R52" s="244"/>
      <c r="S52" s="245"/>
      <c r="T52" s="246"/>
      <c r="U52" s="246"/>
      <c r="V52" s="246"/>
      <c r="W52" s="246"/>
      <c r="X52" s="246"/>
      <c r="Y52" s="247"/>
      <c r="Z52" s="245"/>
      <c r="AA52" s="246"/>
      <c r="AB52" s="246"/>
      <c r="AC52" s="246"/>
      <c r="AD52" s="246"/>
      <c r="AE52" s="247"/>
      <c r="AF52" s="245"/>
      <c r="AG52" s="246"/>
      <c r="AH52" s="245"/>
    </row>
    <row r="53" spans="1:36">
      <c r="A53" s="249"/>
      <c r="B53" s="239" t="s">
        <v>93</v>
      </c>
      <c r="C53" s="624">
        <f t="shared" si="28"/>
        <v>0</v>
      </c>
      <c r="D53" s="625">
        <f t="shared" si="28"/>
        <v>0</v>
      </c>
      <c r="E53" s="625">
        <f t="shared" si="28"/>
        <v>0</v>
      </c>
      <c r="F53" s="625">
        <f t="shared" si="28"/>
        <v>0</v>
      </c>
      <c r="G53" s="625">
        <f t="shared" si="28"/>
        <v>0</v>
      </c>
      <c r="H53" s="626">
        <f t="shared" si="28"/>
        <v>0</v>
      </c>
      <c r="I53" s="624">
        <f t="shared" si="28"/>
        <v>0</v>
      </c>
      <c r="J53" s="624">
        <f t="shared" si="28"/>
        <v>0</v>
      </c>
      <c r="K53" s="625">
        <f t="shared" si="28"/>
        <v>0</v>
      </c>
      <c r="L53" s="625">
        <f t="shared" si="28"/>
        <v>0</v>
      </c>
      <c r="M53" s="625">
        <f t="shared" si="28"/>
        <v>0</v>
      </c>
      <c r="N53" s="624">
        <f t="shared" si="29"/>
        <v>0</v>
      </c>
      <c r="O53" s="624">
        <f t="shared" si="29"/>
        <v>0</v>
      </c>
      <c r="P53" s="625">
        <f t="shared" si="29"/>
        <v>0</v>
      </c>
      <c r="Q53" s="624">
        <f t="shared" si="29"/>
        <v>0</v>
      </c>
      <c r="R53" s="253"/>
      <c r="S53" s="254"/>
      <c r="T53" s="255"/>
      <c r="U53" s="255"/>
      <c r="V53" s="255"/>
      <c r="W53" s="255"/>
      <c r="X53" s="255"/>
      <c r="Y53" s="256"/>
      <c r="Z53" s="254"/>
      <c r="AA53" s="255"/>
      <c r="AB53" s="255"/>
      <c r="AC53" s="255"/>
      <c r="AD53" s="255"/>
      <c r="AE53" s="256"/>
      <c r="AF53" s="254"/>
      <c r="AG53" s="255"/>
      <c r="AH53" s="254"/>
    </row>
    <row r="54" spans="1:36">
      <c r="A54" s="249"/>
      <c r="B54" s="239" t="s">
        <v>55</v>
      </c>
      <c r="C54" s="624">
        <f t="shared" si="28"/>
        <v>0</v>
      </c>
      <c r="D54" s="625">
        <f t="shared" si="28"/>
        <v>0</v>
      </c>
      <c r="E54" s="625">
        <f t="shared" si="28"/>
        <v>0</v>
      </c>
      <c r="F54" s="625">
        <f t="shared" si="28"/>
        <v>0</v>
      </c>
      <c r="G54" s="625">
        <f t="shared" si="28"/>
        <v>0</v>
      </c>
      <c r="H54" s="626">
        <f t="shared" si="28"/>
        <v>0</v>
      </c>
      <c r="I54" s="624">
        <f t="shared" si="28"/>
        <v>0</v>
      </c>
      <c r="J54" s="624">
        <f t="shared" si="28"/>
        <v>0</v>
      </c>
      <c r="K54" s="625">
        <f t="shared" si="28"/>
        <v>0</v>
      </c>
      <c r="L54" s="625">
        <f t="shared" si="28"/>
        <v>0</v>
      </c>
      <c r="M54" s="625">
        <f t="shared" si="28"/>
        <v>0</v>
      </c>
      <c r="N54" s="624">
        <f t="shared" si="29"/>
        <v>0</v>
      </c>
      <c r="O54" s="624">
        <f t="shared" si="29"/>
        <v>0</v>
      </c>
      <c r="P54" s="625">
        <f t="shared" si="29"/>
        <v>0</v>
      </c>
      <c r="Q54" s="624">
        <f t="shared" si="29"/>
        <v>0</v>
      </c>
      <c r="R54" s="253"/>
      <c r="S54" s="254"/>
      <c r="T54" s="255"/>
      <c r="U54" s="255"/>
      <c r="V54" s="255"/>
      <c r="W54" s="255"/>
      <c r="X54" s="255"/>
      <c r="Y54" s="256"/>
      <c r="Z54" s="254"/>
      <c r="AA54" s="255"/>
      <c r="AB54" s="255"/>
      <c r="AC54" s="255"/>
      <c r="AD54" s="255"/>
      <c r="AE54" s="256"/>
      <c r="AF54" s="254"/>
      <c r="AG54" s="255"/>
      <c r="AH54" s="254"/>
    </row>
    <row r="55" spans="1:36">
      <c r="A55" s="249"/>
      <c r="B55" s="239" t="s">
        <v>78</v>
      </c>
      <c r="C55" s="791">
        <f t="shared" si="28"/>
        <v>0</v>
      </c>
      <c r="D55" s="625">
        <f t="shared" si="28"/>
        <v>0</v>
      </c>
      <c r="E55" s="625">
        <f t="shared" si="28"/>
        <v>0</v>
      </c>
      <c r="F55" s="625">
        <f t="shared" si="28"/>
        <v>0</v>
      </c>
      <c r="G55" s="625">
        <f t="shared" si="28"/>
        <v>0</v>
      </c>
      <c r="H55" s="626">
        <f t="shared" si="28"/>
        <v>0</v>
      </c>
      <c r="I55" s="624">
        <f t="shared" si="28"/>
        <v>0</v>
      </c>
      <c r="J55" s="624">
        <f t="shared" si="28"/>
        <v>0</v>
      </c>
      <c r="K55" s="625">
        <f t="shared" si="28"/>
        <v>0</v>
      </c>
      <c r="L55" s="625">
        <f t="shared" si="28"/>
        <v>0</v>
      </c>
      <c r="M55" s="625">
        <f t="shared" si="28"/>
        <v>0</v>
      </c>
      <c r="N55" s="624">
        <f t="shared" si="29"/>
        <v>0</v>
      </c>
      <c r="O55" s="624">
        <f t="shared" si="29"/>
        <v>0</v>
      </c>
      <c r="P55" s="625">
        <f t="shared" si="29"/>
        <v>0</v>
      </c>
      <c r="Q55" s="624">
        <f t="shared" si="29"/>
        <v>0</v>
      </c>
      <c r="R55" s="253"/>
      <c r="S55" s="254"/>
      <c r="T55" s="255"/>
      <c r="U55" s="255"/>
      <c r="V55" s="255"/>
      <c r="W55" s="255"/>
      <c r="X55" s="255"/>
      <c r="Y55" s="256"/>
      <c r="Z55" s="254"/>
      <c r="AA55" s="255"/>
      <c r="AB55" s="255"/>
      <c r="AC55" s="255"/>
      <c r="AD55" s="255"/>
      <c r="AE55" s="256"/>
      <c r="AF55" s="254"/>
      <c r="AG55" s="255"/>
      <c r="AH55" s="254"/>
    </row>
    <row r="56" spans="1:36">
      <c r="A56" s="249"/>
      <c r="B56" s="239" t="s">
        <v>32</v>
      </c>
      <c r="C56" s="624">
        <f t="shared" si="28"/>
        <v>0</v>
      </c>
      <c r="D56" s="790">
        <f t="shared" si="28"/>
        <v>0</v>
      </c>
      <c r="E56" s="625">
        <f t="shared" si="28"/>
        <v>0</v>
      </c>
      <c r="F56" s="625">
        <f t="shared" si="28"/>
        <v>0</v>
      </c>
      <c r="G56" s="625">
        <f t="shared" si="28"/>
        <v>0</v>
      </c>
      <c r="H56" s="626">
        <f t="shared" si="28"/>
        <v>0</v>
      </c>
      <c r="I56" s="624">
        <f t="shared" si="28"/>
        <v>0</v>
      </c>
      <c r="J56" s="624">
        <f t="shared" si="28"/>
        <v>0</v>
      </c>
      <c r="K56" s="625">
        <f t="shared" si="28"/>
        <v>0</v>
      </c>
      <c r="L56" s="625">
        <f t="shared" si="28"/>
        <v>0</v>
      </c>
      <c r="M56" s="625">
        <f t="shared" si="28"/>
        <v>0</v>
      </c>
      <c r="N56" s="624">
        <f t="shared" si="29"/>
        <v>0</v>
      </c>
      <c r="O56" s="624">
        <f t="shared" si="29"/>
        <v>0</v>
      </c>
      <c r="P56" s="625">
        <f t="shared" si="29"/>
        <v>0</v>
      </c>
      <c r="Q56" s="624">
        <f t="shared" si="29"/>
        <v>0</v>
      </c>
      <c r="R56" s="253"/>
      <c r="S56" s="254"/>
      <c r="T56" s="255"/>
      <c r="U56" s="255"/>
      <c r="V56" s="255"/>
      <c r="W56" s="255"/>
      <c r="X56" s="255"/>
      <c r="Y56" s="256"/>
      <c r="Z56" s="254"/>
      <c r="AA56" s="255"/>
      <c r="AB56" s="255"/>
      <c r="AC56" s="255"/>
      <c r="AD56" s="255"/>
      <c r="AE56" s="256"/>
      <c r="AF56" s="254"/>
      <c r="AG56" s="255"/>
      <c r="AH56" s="254"/>
    </row>
    <row r="57" spans="1:36">
      <c r="A57" s="249"/>
      <c r="B57" s="239" t="s">
        <v>58</v>
      </c>
      <c r="C57" s="624">
        <f t="shared" si="28"/>
        <v>0</v>
      </c>
      <c r="D57" s="625">
        <f t="shared" si="28"/>
        <v>0</v>
      </c>
      <c r="E57" s="792">
        <f t="shared" si="28"/>
        <v>0</v>
      </c>
      <c r="F57" s="625">
        <f t="shared" si="28"/>
        <v>0</v>
      </c>
      <c r="G57" s="792">
        <f t="shared" si="28"/>
        <v>0</v>
      </c>
      <c r="H57" s="626">
        <f t="shared" si="28"/>
        <v>0</v>
      </c>
      <c r="I57" s="793">
        <f t="shared" si="28"/>
        <v>0</v>
      </c>
      <c r="J57" s="624">
        <f t="shared" si="28"/>
        <v>0</v>
      </c>
      <c r="K57" s="625">
        <f t="shared" si="28"/>
        <v>0</v>
      </c>
      <c r="L57" s="625">
        <f t="shared" si="28"/>
        <v>0</v>
      </c>
      <c r="M57" s="625">
        <f t="shared" si="28"/>
        <v>0</v>
      </c>
      <c r="N57" s="624">
        <f t="shared" si="29"/>
        <v>0</v>
      </c>
      <c r="O57" s="624">
        <f t="shared" si="29"/>
        <v>0</v>
      </c>
      <c r="P57" s="625">
        <f t="shared" si="29"/>
        <v>0</v>
      </c>
      <c r="Q57" s="624">
        <f t="shared" si="29"/>
        <v>0</v>
      </c>
      <c r="R57" s="253"/>
      <c r="S57" s="254"/>
      <c r="T57" s="255"/>
      <c r="U57" s="255"/>
      <c r="V57" s="255"/>
      <c r="W57" s="255"/>
      <c r="X57" s="255"/>
      <c r="Y57" s="256"/>
      <c r="Z57" s="254"/>
      <c r="AA57" s="255"/>
      <c r="AB57" s="255"/>
      <c r="AC57" s="255"/>
      <c r="AD57" s="255"/>
      <c r="AE57" s="256"/>
      <c r="AF57" s="254"/>
      <c r="AG57" s="255"/>
      <c r="AH57" s="254"/>
    </row>
    <row r="58" spans="1:36" s="406" customFormat="1">
      <c r="A58" s="435"/>
      <c r="B58" s="436" t="s">
        <v>59</v>
      </c>
      <c r="C58" s="577">
        <f t="shared" si="28"/>
        <v>0</v>
      </c>
      <c r="D58" s="578">
        <f t="shared" si="28"/>
        <v>0</v>
      </c>
      <c r="E58" s="578">
        <f t="shared" si="28"/>
        <v>0</v>
      </c>
      <c r="F58" s="578">
        <f t="shared" si="28"/>
        <v>0</v>
      </c>
      <c r="G58" s="578">
        <f t="shared" si="28"/>
        <v>0</v>
      </c>
      <c r="H58" s="579">
        <f t="shared" si="28"/>
        <v>0</v>
      </c>
      <c r="I58" s="577">
        <f t="shared" si="28"/>
        <v>0</v>
      </c>
      <c r="J58" s="577">
        <f t="shared" si="28"/>
        <v>0</v>
      </c>
      <c r="K58" s="578">
        <f t="shared" si="28"/>
        <v>0</v>
      </c>
      <c r="L58" s="578">
        <f t="shared" si="28"/>
        <v>0</v>
      </c>
      <c r="M58" s="578">
        <f t="shared" si="28"/>
        <v>0</v>
      </c>
      <c r="N58" s="577">
        <f t="shared" si="29"/>
        <v>0</v>
      </c>
      <c r="O58" s="577">
        <f t="shared" si="29"/>
        <v>0</v>
      </c>
      <c r="P58" s="578">
        <f t="shared" si="29"/>
        <v>0</v>
      </c>
      <c r="Q58" s="577">
        <f t="shared" si="29"/>
        <v>0</v>
      </c>
      <c r="R58" s="264"/>
      <c r="S58" s="265"/>
      <c r="T58" s="266"/>
      <c r="U58" s="266"/>
      <c r="V58" s="266"/>
      <c r="W58" s="266"/>
      <c r="X58" s="266"/>
      <c r="Y58" s="267"/>
      <c r="Z58" s="265"/>
      <c r="AA58" s="266"/>
      <c r="AB58" s="266"/>
      <c r="AC58" s="266"/>
      <c r="AD58" s="266"/>
      <c r="AE58" s="267"/>
      <c r="AF58" s="265"/>
      <c r="AG58" s="266"/>
      <c r="AH58" s="265"/>
      <c r="AI58" s="405"/>
      <c r="AJ58" s="405"/>
    </row>
    <row r="59" spans="1:36">
      <c r="A59" s="239" t="s">
        <v>9</v>
      </c>
      <c r="B59" s="240" t="s">
        <v>53</v>
      </c>
      <c r="C59" s="613">
        <f t="shared" ref="C59:M65" si="30">IF(S$65&gt;0,(S59/S$65),0)</f>
        <v>0</v>
      </c>
      <c r="D59" s="614">
        <f t="shared" si="30"/>
        <v>0</v>
      </c>
      <c r="E59" s="614">
        <f t="shared" si="30"/>
        <v>0</v>
      </c>
      <c r="F59" s="614">
        <f t="shared" si="30"/>
        <v>0</v>
      </c>
      <c r="G59" s="614">
        <f t="shared" si="30"/>
        <v>0</v>
      </c>
      <c r="H59" s="615">
        <f t="shared" si="30"/>
        <v>0</v>
      </c>
      <c r="I59" s="613">
        <f t="shared" si="30"/>
        <v>0</v>
      </c>
      <c r="J59" s="613">
        <f t="shared" si="30"/>
        <v>0</v>
      </c>
      <c r="K59" s="614">
        <f t="shared" si="30"/>
        <v>0</v>
      </c>
      <c r="L59" s="614">
        <f t="shared" si="30"/>
        <v>0</v>
      </c>
      <c r="M59" s="614">
        <f t="shared" si="30"/>
        <v>0</v>
      </c>
      <c r="N59" s="613">
        <f t="shared" ref="N59:Q65" si="31">IF(AE$65&gt;0,(AE59/AE$65),0)</f>
        <v>0</v>
      </c>
      <c r="O59" s="788">
        <f t="shared" si="31"/>
        <v>0</v>
      </c>
      <c r="P59" s="614">
        <f t="shared" si="31"/>
        <v>0</v>
      </c>
      <c r="Q59" s="788">
        <f t="shared" si="31"/>
        <v>0</v>
      </c>
      <c r="R59" s="244"/>
      <c r="S59" s="245"/>
      <c r="T59" s="246"/>
      <c r="U59" s="246"/>
      <c r="V59" s="246"/>
      <c r="W59" s="246"/>
      <c r="X59" s="246"/>
      <c r="Y59" s="247"/>
      <c r="Z59" s="245"/>
      <c r="AA59" s="246"/>
      <c r="AB59" s="246"/>
      <c r="AC59" s="246"/>
      <c r="AD59" s="246"/>
      <c r="AE59" s="247"/>
      <c r="AF59" s="245"/>
      <c r="AG59" s="246"/>
      <c r="AH59" s="245"/>
    </row>
    <row r="60" spans="1:36">
      <c r="A60" s="249"/>
      <c r="B60" s="239" t="s">
        <v>93</v>
      </c>
      <c r="C60" s="624">
        <f t="shared" si="30"/>
        <v>0</v>
      </c>
      <c r="D60" s="625">
        <f t="shared" si="30"/>
        <v>0</v>
      </c>
      <c r="E60" s="625">
        <f t="shared" si="30"/>
        <v>0</v>
      </c>
      <c r="F60" s="625">
        <f t="shared" si="30"/>
        <v>0</v>
      </c>
      <c r="G60" s="625">
        <f t="shared" si="30"/>
        <v>0</v>
      </c>
      <c r="H60" s="626">
        <f t="shared" si="30"/>
        <v>0</v>
      </c>
      <c r="I60" s="624">
        <f t="shared" si="30"/>
        <v>0</v>
      </c>
      <c r="J60" s="624">
        <f t="shared" si="30"/>
        <v>0</v>
      </c>
      <c r="K60" s="625">
        <f t="shared" si="30"/>
        <v>0</v>
      </c>
      <c r="L60" s="625">
        <f t="shared" si="30"/>
        <v>0</v>
      </c>
      <c r="M60" s="625">
        <f t="shared" si="30"/>
        <v>0</v>
      </c>
      <c r="N60" s="624">
        <f t="shared" si="31"/>
        <v>0</v>
      </c>
      <c r="O60" s="624">
        <f t="shared" si="31"/>
        <v>0</v>
      </c>
      <c r="P60" s="625">
        <f t="shared" si="31"/>
        <v>0</v>
      </c>
      <c r="Q60" s="624">
        <f t="shared" si="31"/>
        <v>0</v>
      </c>
      <c r="R60" s="253"/>
      <c r="S60" s="254"/>
      <c r="T60" s="255"/>
      <c r="U60" s="255"/>
      <c r="V60" s="255"/>
      <c r="W60" s="255"/>
      <c r="X60" s="255"/>
      <c r="Y60" s="256"/>
      <c r="Z60" s="254"/>
      <c r="AA60" s="255"/>
      <c r="AB60" s="255"/>
      <c r="AC60" s="255"/>
      <c r="AD60" s="255"/>
      <c r="AE60" s="256"/>
      <c r="AF60" s="254"/>
      <c r="AG60" s="255"/>
      <c r="AH60" s="254"/>
    </row>
    <row r="61" spans="1:36">
      <c r="A61" s="249"/>
      <c r="B61" s="239" t="s">
        <v>55</v>
      </c>
      <c r="C61" s="624">
        <f t="shared" si="30"/>
        <v>0</v>
      </c>
      <c r="D61" s="625">
        <f t="shared" si="30"/>
        <v>0</v>
      </c>
      <c r="E61" s="625">
        <f t="shared" si="30"/>
        <v>0</v>
      </c>
      <c r="F61" s="625">
        <f t="shared" si="30"/>
        <v>0</v>
      </c>
      <c r="G61" s="625">
        <f t="shared" si="30"/>
        <v>0</v>
      </c>
      <c r="H61" s="626">
        <f t="shared" si="30"/>
        <v>0</v>
      </c>
      <c r="I61" s="624">
        <f t="shared" si="30"/>
        <v>0</v>
      </c>
      <c r="J61" s="624">
        <f t="shared" si="30"/>
        <v>0</v>
      </c>
      <c r="K61" s="625">
        <f t="shared" si="30"/>
        <v>0</v>
      </c>
      <c r="L61" s="625">
        <f t="shared" si="30"/>
        <v>0</v>
      </c>
      <c r="M61" s="625">
        <f t="shared" si="30"/>
        <v>0</v>
      </c>
      <c r="N61" s="624">
        <f t="shared" si="31"/>
        <v>0</v>
      </c>
      <c r="O61" s="624">
        <f t="shared" si="31"/>
        <v>0</v>
      </c>
      <c r="P61" s="625">
        <f t="shared" si="31"/>
        <v>0</v>
      </c>
      <c r="Q61" s="624">
        <f t="shared" si="31"/>
        <v>0</v>
      </c>
      <c r="R61" s="253"/>
      <c r="S61" s="254"/>
      <c r="T61" s="255"/>
      <c r="U61" s="255"/>
      <c r="V61" s="255"/>
      <c r="W61" s="255"/>
      <c r="X61" s="255"/>
      <c r="Y61" s="256"/>
      <c r="Z61" s="254"/>
      <c r="AA61" s="255"/>
      <c r="AB61" s="255"/>
      <c r="AC61" s="255"/>
      <c r="AD61" s="255"/>
      <c r="AE61" s="256"/>
      <c r="AF61" s="254"/>
      <c r="AG61" s="255"/>
      <c r="AH61" s="254"/>
    </row>
    <row r="62" spans="1:36">
      <c r="A62" s="249"/>
      <c r="B62" s="239" t="s">
        <v>78</v>
      </c>
      <c r="C62" s="624">
        <f t="shared" si="30"/>
        <v>0</v>
      </c>
      <c r="D62" s="625">
        <f t="shared" si="30"/>
        <v>0</v>
      </c>
      <c r="E62" s="625">
        <f t="shared" si="30"/>
        <v>0</v>
      </c>
      <c r="F62" s="625">
        <f t="shared" si="30"/>
        <v>0</v>
      </c>
      <c r="G62" s="625">
        <f t="shared" si="30"/>
        <v>0</v>
      </c>
      <c r="H62" s="626">
        <f t="shared" si="30"/>
        <v>0</v>
      </c>
      <c r="I62" s="624">
        <f t="shared" si="30"/>
        <v>0</v>
      </c>
      <c r="J62" s="624">
        <f t="shared" si="30"/>
        <v>0</v>
      </c>
      <c r="K62" s="625">
        <f t="shared" si="30"/>
        <v>0</v>
      </c>
      <c r="L62" s="625">
        <f t="shared" si="30"/>
        <v>0</v>
      </c>
      <c r="M62" s="625">
        <f t="shared" si="30"/>
        <v>0</v>
      </c>
      <c r="N62" s="624">
        <f t="shared" si="31"/>
        <v>0</v>
      </c>
      <c r="O62" s="624">
        <f t="shared" si="31"/>
        <v>0</v>
      </c>
      <c r="P62" s="625">
        <f t="shared" si="31"/>
        <v>0</v>
      </c>
      <c r="Q62" s="624">
        <f t="shared" si="31"/>
        <v>0</v>
      </c>
      <c r="R62" s="253"/>
      <c r="S62" s="254"/>
      <c r="T62" s="255"/>
      <c r="U62" s="255"/>
      <c r="V62" s="255"/>
      <c r="W62" s="255"/>
      <c r="X62" s="255"/>
      <c r="Y62" s="256"/>
      <c r="Z62" s="254"/>
      <c r="AA62" s="255"/>
      <c r="AB62" s="255"/>
      <c r="AC62" s="255"/>
      <c r="AD62" s="255"/>
      <c r="AE62" s="256"/>
      <c r="AF62" s="254"/>
      <c r="AG62" s="255"/>
      <c r="AH62" s="254"/>
    </row>
    <row r="63" spans="1:36">
      <c r="A63" s="249"/>
      <c r="B63" s="239" t="s">
        <v>32</v>
      </c>
      <c r="C63" s="624">
        <f t="shared" si="30"/>
        <v>0</v>
      </c>
      <c r="D63" s="625">
        <f t="shared" si="30"/>
        <v>0</v>
      </c>
      <c r="E63" s="625">
        <f t="shared" si="30"/>
        <v>0</v>
      </c>
      <c r="F63" s="790">
        <f t="shared" si="30"/>
        <v>0</v>
      </c>
      <c r="G63" s="625">
        <f t="shared" si="30"/>
        <v>0</v>
      </c>
      <c r="H63" s="626">
        <f t="shared" si="30"/>
        <v>0</v>
      </c>
      <c r="I63" s="624">
        <f t="shared" si="30"/>
        <v>0</v>
      </c>
      <c r="J63" s="624">
        <f t="shared" si="30"/>
        <v>0</v>
      </c>
      <c r="K63" s="625">
        <f t="shared" si="30"/>
        <v>0</v>
      </c>
      <c r="L63" s="625">
        <f t="shared" si="30"/>
        <v>0</v>
      </c>
      <c r="M63" s="625">
        <f t="shared" si="30"/>
        <v>0</v>
      </c>
      <c r="N63" s="624">
        <f t="shared" si="31"/>
        <v>0</v>
      </c>
      <c r="O63" s="624">
        <f t="shared" si="31"/>
        <v>0</v>
      </c>
      <c r="P63" s="625">
        <f t="shared" si="31"/>
        <v>0</v>
      </c>
      <c r="Q63" s="791">
        <f t="shared" si="31"/>
        <v>0</v>
      </c>
      <c r="R63" s="253"/>
      <c r="S63" s="254"/>
      <c r="T63" s="255"/>
      <c r="U63" s="255"/>
      <c r="V63" s="255"/>
      <c r="W63" s="255"/>
      <c r="X63" s="255"/>
      <c r="Y63" s="256"/>
      <c r="Z63" s="254"/>
      <c r="AA63" s="255"/>
      <c r="AB63" s="255"/>
      <c r="AC63" s="255"/>
      <c r="AD63" s="255"/>
      <c r="AE63" s="256"/>
      <c r="AF63" s="254"/>
      <c r="AG63" s="255"/>
      <c r="AH63" s="254"/>
    </row>
    <row r="64" spans="1:36">
      <c r="A64" s="249"/>
      <c r="B64" s="239" t="s">
        <v>58</v>
      </c>
      <c r="C64" s="624">
        <f t="shared" si="30"/>
        <v>0</v>
      </c>
      <c r="D64" s="625">
        <f t="shared" si="30"/>
        <v>0</v>
      </c>
      <c r="E64" s="625">
        <f t="shared" si="30"/>
        <v>0</v>
      </c>
      <c r="F64" s="790">
        <f t="shared" si="30"/>
        <v>0</v>
      </c>
      <c r="G64" s="792">
        <f t="shared" si="30"/>
        <v>0</v>
      </c>
      <c r="H64" s="626">
        <f t="shared" si="30"/>
        <v>0</v>
      </c>
      <c r="I64" s="624">
        <f t="shared" si="30"/>
        <v>0</v>
      </c>
      <c r="J64" s="624">
        <f t="shared" si="30"/>
        <v>0</v>
      </c>
      <c r="K64" s="625">
        <f t="shared" si="30"/>
        <v>0</v>
      </c>
      <c r="L64" s="625">
        <f t="shared" si="30"/>
        <v>0</v>
      </c>
      <c r="M64" s="625">
        <f t="shared" si="30"/>
        <v>0</v>
      </c>
      <c r="N64" s="624">
        <f t="shared" si="31"/>
        <v>0</v>
      </c>
      <c r="O64" s="624">
        <f t="shared" si="31"/>
        <v>0</v>
      </c>
      <c r="P64" s="625">
        <f t="shared" si="31"/>
        <v>0</v>
      </c>
      <c r="Q64" s="624">
        <f t="shared" si="31"/>
        <v>0</v>
      </c>
      <c r="R64" s="253"/>
      <c r="S64" s="254"/>
      <c r="T64" s="255"/>
      <c r="U64" s="255"/>
      <c r="V64" s="255"/>
      <c r="W64" s="255"/>
      <c r="X64" s="255"/>
      <c r="Y64" s="256"/>
      <c r="Z64" s="254"/>
      <c r="AA64" s="255"/>
      <c r="AB64" s="255"/>
      <c r="AC64" s="255"/>
      <c r="AD64" s="255"/>
      <c r="AE64" s="256"/>
      <c r="AF64" s="254"/>
      <c r="AG64" s="255"/>
      <c r="AH64" s="254"/>
    </row>
    <row r="65" spans="1:36" s="406" customFormat="1">
      <c r="A65" s="435"/>
      <c r="B65" s="436" t="s">
        <v>59</v>
      </c>
      <c r="C65" s="577">
        <f t="shared" si="30"/>
        <v>0</v>
      </c>
      <c r="D65" s="578">
        <f t="shared" si="30"/>
        <v>0</v>
      </c>
      <c r="E65" s="578">
        <f t="shared" si="30"/>
        <v>0</v>
      </c>
      <c r="F65" s="578">
        <f t="shared" si="30"/>
        <v>0</v>
      </c>
      <c r="G65" s="578">
        <f t="shared" si="30"/>
        <v>0</v>
      </c>
      <c r="H65" s="579">
        <f t="shared" si="30"/>
        <v>0</v>
      </c>
      <c r="I65" s="577">
        <f t="shared" si="30"/>
        <v>0</v>
      </c>
      <c r="J65" s="577">
        <f t="shared" si="30"/>
        <v>0</v>
      </c>
      <c r="K65" s="578">
        <f t="shared" si="30"/>
        <v>0</v>
      </c>
      <c r="L65" s="578">
        <f t="shared" si="30"/>
        <v>0</v>
      </c>
      <c r="M65" s="578">
        <f t="shared" si="30"/>
        <v>0</v>
      </c>
      <c r="N65" s="577">
        <f t="shared" si="31"/>
        <v>0</v>
      </c>
      <c r="O65" s="577">
        <f t="shared" si="31"/>
        <v>0</v>
      </c>
      <c r="P65" s="578">
        <f t="shared" si="31"/>
        <v>0</v>
      </c>
      <c r="Q65" s="577">
        <f t="shared" si="31"/>
        <v>0</v>
      </c>
      <c r="R65" s="264"/>
      <c r="S65" s="265"/>
      <c r="T65" s="266"/>
      <c r="U65" s="266"/>
      <c r="V65" s="266"/>
      <c r="W65" s="266"/>
      <c r="X65" s="266"/>
      <c r="Y65" s="267"/>
      <c r="Z65" s="265"/>
      <c r="AA65" s="266"/>
      <c r="AB65" s="266"/>
      <c r="AC65" s="266"/>
      <c r="AD65" s="266"/>
      <c r="AE65" s="267"/>
      <c r="AF65" s="265"/>
      <c r="AG65" s="266"/>
      <c r="AH65" s="265"/>
      <c r="AI65" s="405"/>
      <c r="AJ65" s="405"/>
    </row>
    <row r="66" spans="1:36">
      <c r="A66" s="239" t="s">
        <v>10</v>
      </c>
      <c r="B66" s="240" t="s">
        <v>53</v>
      </c>
      <c r="C66" s="613">
        <f t="shared" ref="C66:M72" si="32">IF(S$72&gt;0,(S66/S$72),0)</f>
        <v>0</v>
      </c>
      <c r="D66" s="614">
        <f t="shared" si="32"/>
        <v>0</v>
      </c>
      <c r="E66" s="614">
        <f t="shared" si="32"/>
        <v>0</v>
      </c>
      <c r="F66" s="614">
        <f t="shared" si="32"/>
        <v>0</v>
      </c>
      <c r="G66" s="614">
        <f t="shared" si="32"/>
        <v>0</v>
      </c>
      <c r="H66" s="615">
        <f t="shared" si="32"/>
        <v>0</v>
      </c>
      <c r="I66" s="613">
        <f t="shared" si="32"/>
        <v>0</v>
      </c>
      <c r="J66" s="613">
        <f t="shared" si="32"/>
        <v>0</v>
      </c>
      <c r="K66" s="614">
        <f t="shared" si="32"/>
        <v>0</v>
      </c>
      <c r="L66" s="614">
        <f t="shared" si="32"/>
        <v>0</v>
      </c>
      <c r="M66" s="614">
        <f t="shared" si="32"/>
        <v>0</v>
      </c>
      <c r="N66" s="613">
        <f t="shared" ref="N66:Q72" si="33">IF(AE$72&gt;0,(AE66/AE$72),0)</f>
        <v>0</v>
      </c>
      <c r="O66" s="788">
        <f t="shared" si="33"/>
        <v>0</v>
      </c>
      <c r="P66" s="614">
        <f t="shared" si="33"/>
        <v>0</v>
      </c>
      <c r="Q66" s="788">
        <f t="shared" si="33"/>
        <v>0</v>
      </c>
      <c r="R66" s="244"/>
      <c r="S66" s="245"/>
      <c r="T66" s="246"/>
      <c r="U66" s="246"/>
      <c r="V66" s="246"/>
      <c r="W66" s="246"/>
      <c r="X66" s="246"/>
      <c r="Y66" s="247"/>
      <c r="Z66" s="245"/>
      <c r="AA66" s="246"/>
      <c r="AB66" s="246"/>
      <c r="AC66" s="246"/>
      <c r="AD66" s="246"/>
      <c r="AE66" s="247"/>
      <c r="AF66" s="245"/>
      <c r="AG66" s="246"/>
      <c r="AH66" s="245"/>
    </row>
    <row r="67" spans="1:36">
      <c r="A67" s="249"/>
      <c r="B67" s="239" t="s">
        <v>93</v>
      </c>
      <c r="C67" s="624">
        <f t="shared" si="32"/>
        <v>0</v>
      </c>
      <c r="D67" s="625">
        <f t="shared" si="32"/>
        <v>0</v>
      </c>
      <c r="E67" s="625">
        <f t="shared" si="32"/>
        <v>0</v>
      </c>
      <c r="F67" s="625">
        <f t="shared" si="32"/>
        <v>0</v>
      </c>
      <c r="G67" s="625">
        <f t="shared" si="32"/>
        <v>0</v>
      </c>
      <c r="H67" s="626">
        <f t="shared" si="32"/>
        <v>0</v>
      </c>
      <c r="I67" s="624">
        <f t="shared" si="32"/>
        <v>0</v>
      </c>
      <c r="J67" s="624">
        <f t="shared" si="32"/>
        <v>0</v>
      </c>
      <c r="K67" s="625">
        <f t="shared" si="32"/>
        <v>0</v>
      </c>
      <c r="L67" s="625">
        <f t="shared" si="32"/>
        <v>0</v>
      </c>
      <c r="M67" s="625">
        <f t="shared" si="32"/>
        <v>0</v>
      </c>
      <c r="N67" s="624">
        <f t="shared" si="33"/>
        <v>0</v>
      </c>
      <c r="O67" s="624">
        <f t="shared" si="33"/>
        <v>0</v>
      </c>
      <c r="P67" s="625">
        <f t="shared" si="33"/>
        <v>0</v>
      </c>
      <c r="Q67" s="624">
        <f t="shared" si="33"/>
        <v>0</v>
      </c>
      <c r="R67" s="253"/>
      <c r="S67" s="254"/>
      <c r="T67" s="255"/>
      <c r="U67" s="255"/>
      <c r="V67" s="255"/>
      <c r="W67" s="255"/>
      <c r="X67" s="255"/>
      <c r="Y67" s="256"/>
      <c r="Z67" s="254"/>
      <c r="AA67" s="255"/>
      <c r="AB67" s="255"/>
      <c r="AC67" s="255"/>
      <c r="AD67" s="255"/>
      <c r="AE67" s="256"/>
      <c r="AF67" s="254"/>
      <c r="AG67" s="255"/>
      <c r="AH67" s="254"/>
    </row>
    <row r="68" spans="1:36">
      <c r="A68" s="249"/>
      <c r="B68" s="239" t="s">
        <v>55</v>
      </c>
      <c r="C68" s="624">
        <f t="shared" si="32"/>
        <v>0</v>
      </c>
      <c r="D68" s="625">
        <f t="shared" si="32"/>
        <v>0</v>
      </c>
      <c r="E68" s="625">
        <f t="shared" si="32"/>
        <v>0</v>
      </c>
      <c r="F68" s="625">
        <f t="shared" si="32"/>
        <v>0</v>
      </c>
      <c r="G68" s="625">
        <f t="shared" si="32"/>
        <v>0</v>
      </c>
      <c r="H68" s="626">
        <f t="shared" si="32"/>
        <v>0</v>
      </c>
      <c r="I68" s="624">
        <f t="shared" si="32"/>
        <v>0</v>
      </c>
      <c r="J68" s="624">
        <f t="shared" si="32"/>
        <v>0</v>
      </c>
      <c r="K68" s="625">
        <f t="shared" si="32"/>
        <v>0</v>
      </c>
      <c r="L68" s="625">
        <f t="shared" si="32"/>
        <v>0</v>
      </c>
      <c r="M68" s="625">
        <f t="shared" si="32"/>
        <v>0</v>
      </c>
      <c r="N68" s="624">
        <f t="shared" si="33"/>
        <v>0</v>
      </c>
      <c r="O68" s="624">
        <f t="shared" si="33"/>
        <v>0</v>
      </c>
      <c r="P68" s="625">
        <f t="shared" si="33"/>
        <v>0</v>
      </c>
      <c r="Q68" s="624">
        <f t="shared" si="33"/>
        <v>0</v>
      </c>
      <c r="R68" s="253"/>
      <c r="S68" s="254"/>
      <c r="T68" s="255"/>
      <c r="U68" s="255"/>
      <c r="V68" s="255"/>
      <c r="W68" s="255"/>
      <c r="X68" s="255"/>
      <c r="Y68" s="256"/>
      <c r="Z68" s="254"/>
      <c r="AA68" s="255"/>
      <c r="AB68" s="255"/>
      <c r="AC68" s="255"/>
      <c r="AD68" s="255"/>
      <c r="AE68" s="256"/>
      <c r="AF68" s="254"/>
      <c r="AG68" s="255"/>
      <c r="AH68" s="254"/>
    </row>
    <row r="69" spans="1:36">
      <c r="A69" s="249"/>
      <c r="B69" s="239" t="s">
        <v>78</v>
      </c>
      <c r="C69" s="624">
        <f t="shared" si="32"/>
        <v>0</v>
      </c>
      <c r="D69" s="625">
        <f t="shared" si="32"/>
        <v>0</v>
      </c>
      <c r="E69" s="625">
        <f t="shared" si="32"/>
        <v>0</v>
      </c>
      <c r="F69" s="625">
        <f t="shared" si="32"/>
        <v>0</v>
      </c>
      <c r="G69" s="625">
        <f t="shared" si="32"/>
        <v>0</v>
      </c>
      <c r="H69" s="626">
        <f t="shared" si="32"/>
        <v>0</v>
      </c>
      <c r="I69" s="624">
        <f t="shared" si="32"/>
        <v>0</v>
      </c>
      <c r="J69" s="624">
        <f t="shared" si="32"/>
        <v>0</v>
      </c>
      <c r="K69" s="625">
        <f t="shared" si="32"/>
        <v>0</v>
      </c>
      <c r="L69" s="625">
        <f t="shared" si="32"/>
        <v>0</v>
      </c>
      <c r="M69" s="625">
        <f t="shared" si="32"/>
        <v>0</v>
      </c>
      <c r="N69" s="624">
        <f t="shared" si="33"/>
        <v>0</v>
      </c>
      <c r="O69" s="624">
        <f t="shared" si="33"/>
        <v>0</v>
      </c>
      <c r="P69" s="625">
        <f t="shared" si="33"/>
        <v>0</v>
      </c>
      <c r="Q69" s="624">
        <f t="shared" si="33"/>
        <v>0</v>
      </c>
      <c r="R69" s="253"/>
      <c r="S69" s="254"/>
      <c r="T69" s="255"/>
      <c r="U69" s="255"/>
      <c r="V69" s="255"/>
      <c r="W69" s="255"/>
      <c r="X69" s="255"/>
      <c r="Y69" s="256"/>
      <c r="Z69" s="254"/>
      <c r="AA69" s="255"/>
      <c r="AB69" s="255"/>
      <c r="AC69" s="255"/>
      <c r="AD69" s="255"/>
      <c r="AE69" s="256"/>
      <c r="AF69" s="254"/>
      <c r="AG69" s="255"/>
      <c r="AH69" s="254"/>
    </row>
    <row r="70" spans="1:36">
      <c r="A70" s="249"/>
      <c r="B70" s="239" t="s">
        <v>32</v>
      </c>
      <c r="C70" s="624">
        <f t="shared" si="32"/>
        <v>0</v>
      </c>
      <c r="D70" s="625">
        <f t="shared" si="32"/>
        <v>0</v>
      </c>
      <c r="E70" s="625">
        <f t="shared" si="32"/>
        <v>0</v>
      </c>
      <c r="F70" s="625">
        <f t="shared" si="32"/>
        <v>0</v>
      </c>
      <c r="G70" s="625">
        <f t="shared" si="32"/>
        <v>0</v>
      </c>
      <c r="H70" s="626">
        <f t="shared" si="32"/>
        <v>0</v>
      </c>
      <c r="I70" s="624">
        <f t="shared" si="32"/>
        <v>0</v>
      </c>
      <c r="J70" s="624">
        <f t="shared" si="32"/>
        <v>0</v>
      </c>
      <c r="K70" s="625">
        <f t="shared" si="32"/>
        <v>0</v>
      </c>
      <c r="L70" s="625">
        <f t="shared" si="32"/>
        <v>0</v>
      </c>
      <c r="M70" s="790">
        <f t="shared" si="32"/>
        <v>0</v>
      </c>
      <c r="N70" s="791">
        <f t="shared" si="33"/>
        <v>0</v>
      </c>
      <c r="O70" s="624">
        <f t="shared" si="33"/>
        <v>0</v>
      </c>
      <c r="P70" s="625">
        <f t="shared" si="33"/>
        <v>0</v>
      </c>
      <c r="Q70" s="624">
        <f t="shared" si="33"/>
        <v>0</v>
      </c>
      <c r="R70" s="253"/>
      <c r="S70" s="254"/>
      <c r="T70" s="255"/>
      <c r="U70" s="255"/>
      <c r="V70" s="255"/>
      <c r="W70" s="255"/>
      <c r="X70" s="255"/>
      <c r="Y70" s="256"/>
      <c r="Z70" s="254"/>
      <c r="AA70" s="255"/>
      <c r="AB70" s="255"/>
      <c r="AC70" s="255"/>
      <c r="AD70" s="255"/>
      <c r="AE70" s="256"/>
      <c r="AF70" s="254"/>
      <c r="AG70" s="255"/>
      <c r="AH70" s="254"/>
    </row>
    <row r="71" spans="1:36">
      <c r="A71" s="249"/>
      <c r="B71" s="239" t="s">
        <v>58</v>
      </c>
      <c r="C71" s="624">
        <f t="shared" si="32"/>
        <v>0</v>
      </c>
      <c r="D71" s="625">
        <f t="shared" si="32"/>
        <v>0</v>
      </c>
      <c r="E71" s="792">
        <f t="shared" si="32"/>
        <v>0</v>
      </c>
      <c r="F71" s="625">
        <f t="shared" si="32"/>
        <v>0</v>
      </c>
      <c r="G71" s="792">
        <f t="shared" si="32"/>
        <v>0</v>
      </c>
      <c r="H71" s="626">
        <f t="shared" si="32"/>
        <v>0</v>
      </c>
      <c r="I71" s="793">
        <f t="shared" si="32"/>
        <v>0</v>
      </c>
      <c r="J71" s="624">
        <f t="shared" si="32"/>
        <v>0</v>
      </c>
      <c r="K71" s="625">
        <f t="shared" si="32"/>
        <v>0</v>
      </c>
      <c r="L71" s="625">
        <f t="shared" si="32"/>
        <v>0</v>
      </c>
      <c r="M71" s="625">
        <f t="shared" si="32"/>
        <v>0</v>
      </c>
      <c r="N71" s="624">
        <f t="shared" si="33"/>
        <v>0</v>
      </c>
      <c r="O71" s="624">
        <f t="shared" si="33"/>
        <v>0</v>
      </c>
      <c r="P71" s="625">
        <f t="shared" si="33"/>
        <v>0</v>
      </c>
      <c r="Q71" s="624">
        <f t="shared" si="33"/>
        <v>0</v>
      </c>
      <c r="R71" s="253"/>
      <c r="S71" s="254"/>
      <c r="T71" s="255"/>
      <c r="U71" s="255"/>
      <c r="V71" s="255"/>
      <c r="W71" s="255"/>
      <c r="X71" s="255"/>
      <c r="Y71" s="256"/>
      <c r="Z71" s="254"/>
      <c r="AA71" s="255"/>
      <c r="AB71" s="255"/>
      <c r="AC71" s="255"/>
      <c r="AD71" s="255"/>
      <c r="AE71" s="256"/>
      <c r="AF71" s="254"/>
      <c r="AG71" s="255"/>
      <c r="AH71" s="254"/>
    </row>
    <row r="72" spans="1:36" s="406" customFormat="1">
      <c r="A72" s="435"/>
      <c r="B72" s="436" t="s">
        <v>59</v>
      </c>
      <c r="C72" s="577">
        <f t="shared" si="32"/>
        <v>0</v>
      </c>
      <c r="D72" s="578">
        <f t="shared" si="32"/>
        <v>0</v>
      </c>
      <c r="E72" s="578">
        <f t="shared" si="32"/>
        <v>0</v>
      </c>
      <c r="F72" s="578">
        <f t="shared" si="32"/>
        <v>0</v>
      </c>
      <c r="G72" s="578">
        <f t="shared" si="32"/>
        <v>0</v>
      </c>
      <c r="H72" s="579">
        <f t="shared" si="32"/>
        <v>0</v>
      </c>
      <c r="I72" s="577">
        <f t="shared" si="32"/>
        <v>0</v>
      </c>
      <c r="J72" s="577">
        <f t="shared" si="32"/>
        <v>0</v>
      </c>
      <c r="K72" s="578">
        <f t="shared" si="32"/>
        <v>0</v>
      </c>
      <c r="L72" s="578">
        <f t="shared" si="32"/>
        <v>0</v>
      </c>
      <c r="M72" s="578">
        <f t="shared" si="32"/>
        <v>0</v>
      </c>
      <c r="N72" s="577">
        <f t="shared" si="33"/>
        <v>0</v>
      </c>
      <c r="O72" s="577">
        <f t="shared" si="33"/>
        <v>0</v>
      </c>
      <c r="P72" s="578">
        <f t="shared" si="33"/>
        <v>0</v>
      </c>
      <c r="Q72" s="577">
        <f t="shared" si="33"/>
        <v>0</v>
      </c>
      <c r="R72" s="264"/>
      <c r="S72" s="265"/>
      <c r="T72" s="266"/>
      <c r="U72" s="266"/>
      <c r="V72" s="266"/>
      <c r="W72" s="266"/>
      <c r="X72" s="266"/>
      <c r="Y72" s="267"/>
      <c r="Z72" s="265"/>
      <c r="AA72" s="266"/>
      <c r="AB72" s="266"/>
      <c r="AC72" s="266"/>
      <c r="AD72" s="266"/>
      <c r="AE72" s="267"/>
      <c r="AF72" s="265"/>
      <c r="AG72" s="266"/>
      <c r="AH72" s="265"/>
      <c r="AI72" s="405"/>
      <c r="AJ72" s="405"/>
    </row>
    <row r="73" spans="1:36">
      <c r="A73" s="239" t="s">
        <v>11</v>
      </c>
      <c r="B73" s="240" t="s">
        <v>53</v>
      </c>
      <c r="C73" s="613">
        <f t="shared" ref="C73:M79" si="34">IF(S$79&gt;0,(S73/S$79),0)</f>
        <v>0</v>
      </c>
      <c r="D73" s="614">
        <f t="shared" si="34"/>
        <v>0</v>
      </c>
      <c r="E73" s="614">
        <f t="shared" si="34"/>
        <v>0</v>
      </c>
      <c r="F73" s="614">
        <f t="shared" si="34"/>
        <v>0</v>
      </c>
      <c r="G73" s="614">
        <f t="shared" si="34"/>
        <v>0</v>
      </c>
      <c r="H73" s="615">
        <f t="shared" si="34"/>
        <v>0</v>
      </c>
      <c r="I73" s="613">
        <f t="shared" si="34"/>
        <v>0</v>
      </c>
      <c r="J73" s="613">
        <f t="shared" si="34"/>
        <v>0</v>
      </c>
      <c r="K73" s="614">
        <f t="shared" si="34"/>
        <v>0</v>
      </c>
      <c r="L73" s="614">
        <f t="shared" si="34"/>
        <v>0</v>
      </c>
      <c r="M73" s="614">
        <f t="shared" si="34"/>
        <v>0</v>
      </c>
      <c r="N73" s="613">
        <f t="shared" ref="N73:Q79" si="35">IF(AE$79&gt;0,(AE73/AE$79),0)</f>
        <v>0</v>
      </c>
      <c r="O73" s="788">
        <f t="shared" si="35"/>
        <v>0</v>
      </c>
      <c r="P73" s="614">
        <f t="shared" si="35"/>
        <v>0</v>
      </c>
      <c r="Q73" s="788">
        <f t="shared" si="35"/>
        <v>0</v>
      </c>
      <c r="R73" s="244"/>
      <c r="S73" s="245"/>
      <c r="T73" s="246"/>
      <c r="U73" s="246"/>
      <c r="V73" s="246"/>
      <c r="W73" s="246"/>
      <c r="X73" s="246"/>
      <c r="Y73" s="247"/>
      <c r="Z73" s="245"/>
      <c r="AA73" s="246"/>
      <c r="AB73" s="246"/>
      <c r="AC73" s="246"/>
      <c r="AD73" s="246"/>
      <c r="AE73" s="247"/>
      <c r="AF73" s="245"/>
      <c r="AG73" s="246"/>
      <c r="AH73" s="245"/>
    </row>
    <row r="74" spans="1:36">
      <c r="A74" s="249"/>
      <c r="B74" s="239" t="s">
        <v>93</v>
      </c>
      <c r="C74" s="624">
        <f t="shared" si="34"/>
        <v>0</v>
      </c>
      <c r="D74" s="625">
        <f t="shared" si="34"/>
        <v>0</v>
      </c>
      <c r="E74" s="625">
        <f t="shared" si="34"/>
        <v>0</v>
      </c>
      <c r="F74" s="625">
        <f t="shared" si="34"/>
        <v>0</v>
      </c>
      <c r="G74" s="625">
        <f t="shared" si="34"/>
        <v>0</v>
      </c>
      <c r="H74" s="626">
        <f t="shared" si="34"/>
        <v>0</v>
      </c>
      <c r="I74" s="624">
        <f t="shared" si="34"/>
        <v>0</v>
      </c>
      <c r="J74" s="624">
        <f t="shared" si="34"/>
        <v>0</v>
      </c>
      <c r="K74" s="625">
        <f t="shared" si="34"/>
        <v>0</v>
      </c>
      <c r="L74" s="625">
        <f t="shared" si="34"/>
        <v>0</v>
      </c>
      <c r="M74" s="625">
        <f t="shared" si="34"/>
        <v>0</v>
      </c>
      <c r="N74" s="624">
        <f t="shared" si="35"/>
        <v>0</v>
      </c>
      <c r="O74" s="624">
        <f t="shared" si="35"/>
        <v>0</v>
      </c>
      <c r="P74" s="625">
        <f t="shared" si="35"/>
        <v>0</v>
      </c>
      <c r="Q74" s="624">
        <f t="shared" si="35"/>
        <v>0</v>
      </c>
      <c r="R74" s="253"/>
      <c r="S74" s="254"/>
      <c r="T74" s="255"/>
      <c r="U74" s="255"/>
      <c r="V74" s="255"/>
      <c r="W74" s="255"/>
      <c r="X74" s="255"/>
      <c r="Y74" s="256"/>
      <c r="Z74" s="254"/>
      <c r="AA74" s="255"/>
      <c r="AB74" s="255"/>
      <c r="AC74" s="255"/>
      <c r="AD74" s="255"/>
      <c r="AE74" s="256"/>
      <c r="AF74" s="254"/>
      <c r="AG74" s="255"/>
      <c r="AH74" s="254"/>
    </row>
    <row r="75" spans="1:36">
      <c r="A75" s="249"/>
      <c r="B75" s="239" t="s">
        <v>55</v>
      </c>
      <c r="C75" s="624">
        <f t="shared" si="34"/>
        <v>0</v>
      </c>
      <c r="D75" s="625">
        <f t="shared" si="34"/>
        <v>0</v>
      </c>
      <c r="E75" s="625">
        <f t="shared" si="34"/>
        <v>0</v>
      </c>
      <c r="F75" s="625">
        <f t="shared" si="34"/>
        <v>0</v>
      </c>
      <c r="G75" s="625">
        <f t="shared" si="34"/>
        <v>0</v>
      </c>
      <c r="H75" s="626">
        <f t="shared" si="34"/>
        <v>0</v>
      </c>
      <c r="I75" s="624">
        <f t="shared" si="34"/>
        <v>0</v>
      </c>
      <c r="J75" s="624">
        <f t="shared" si="34"/>
        <v>0</v>
      </c>
      <c r="K75" s="625">
        <f t="shared" si="34"/>
        <v>0</v>
      </c>
      <c r="L75" s="625">
        <f t="shared" si="34"/>
        <v>0</v>
      </c>
      <c r="M75" s="625">
        <f t="shared" si="34"/>
        <v>0</v>
      </c>
      <c r="N75" s="624">
        <f t="shared" si="35"/>
        <v>0</v>
      </c>
      <c r="O75" s="624">
        <f t="shared" si="35"/>
        <v>0</v>
      </c>
      <c r="P75" s="625">
        <f t="shared" si="35"/>
        <v>0</v>
      </c>
      <c r="Q75" s="624">
        <f t="shared" si="35"/>
        <v>0</v>
      </c>
      <c r="R75" s="253"/>
      <c r="S75" s="254"/>
      <c r="T75" s="255"/>
      <c r="U75" s="255"/>
      <c r="V75" s="255"/>
      <c r="W75" s="255"/>
      <c r="X75" s="255"/>
      <c r="Y75" s="256"/>
      <c r="Z75" s="254"/>
      <c r="AA75" s="255"/>
      <c r="AB75" s="255"/>
      <c r="AC75" s="255"/>
      <c r="AD75" s="255"/>
      <c r="AE75" s="256"/>
      <c r="AF75" s="254"/>
      <c r="AG75" s="255"/>
      <c r="AH75" s="254"/>
    </row>
    <row r="76" spans="1:36">
      <c r="A76" s="249"/>
      <c r="B76" s="239" t="s">
        <v>78</v>
      </c>
      <c r="C76" s="624">
        <f t="shared" si="34"/>
        <v>0</v>
      </c>
      <c r="D76" s="625">
        <f t="shared" si="34"/>
        <v>0</v>
      </c>
      <c r="E76" s="625">
        <f t="shared" si="34"/>
        <v>0</v>
      </c>
      <c r="F76" s="625">
        <f t="shared" si="34"/>
        <v>0</v>
      </c>
      <c r="G76" s="625">
        <f t="shared" si="34"/>
        <v>0</v>
      </c>
      <c r="H76" s="626">
        <f t="shared" si="34"/>
        <v>0</v>
      </c>
      <c r="I76" s="624">
        <f t="shared" si="34"/>
        <v>0</v>
      </c>
      <c r="J76" s="624">
        <f t="shared" si="34"/>
        <v>0</v>
      </c>
      <c r="K76" s="625">
        <f t="shared" si="34"/>
        <v>0</v>
      </c>
      <c r="L76" s="625">
        <f t="shared" si="34"/>
        <v>0</v>
      </c>
      <c r="M76" s="625">
        <f t="shared" si="34"/>
        <v>0</v>
      </c>
      <c r="N76" s="624">
        <f t="shared" si="35"/>
        <v>0</v>
      </c>
      <c r="O76" s="624">
        <f t="shared" si="35"/>
        <v>0</v>
      </c>
      <c r="P76" s="625">
        <f t="shared" si="35"/>
        <v>0</v>
      </c>
      <c r="Q76" s="624">
        <f t="shared" si="35"/>
        <v>0</v>
      </c>
      <c r="R76" s="253"/>
      <c r="S76" s="254"/>
      <c r="T76" s="255"/>
      <c r="U76" s="255"/>
      <c r="V76" s="255"/>
      <c r="W76" s="255"/>
      <c r="X76" s="255"/>
      <c r="Y76" s="256"/>
      <c r="Z76" s="254"/>
      <c r="AA76" s="255"/>
      <c r="AB76" s="255"/>
      <c r="AC76" s="255"/>
      <c r="AD76" s="255"/>
      <c r="AE76" s="256"/>
      <c r="AF76" s="254"/>
      <c r="AG76" s="255"/>
      <c r="AH76" s="254"/>
    </row>
    <row r="77" spans="1:36">
      <c r="A77" s="249"/>
      <c r="B77" s="239" t="s">
        <v>32</v>
      </c>
      <c r="C77" s="624">
        <f t="shared" si="34"/>
        <v>0</v>
      </c>
      <c r="D77" s="625">
        <f t="shared" si="34"/>
        <v>0</v>
      </c>
      <c r="E77" s="625">
        <f t="shared" si="34"/>
        <v>0</v>
      </c>
      <c r="F77" s="625">
        <f t="shared" si="34"/>
        <v>0</v>
      </c>
      <c r="G77" s="625">
        <f t="shared" si="34"/>
        <v>0</v>
      </c>
      <c r="H77" s="626">
        <f t="shared" si="34"/>
        <v>0</v>
      </c>
      <c r="I77" s="624">
        <f t="shared" si="34"/>
        <v>0</v>
      </c>
      <c r="J77" s="624">
        <f t="shared" si="34"/>
        <v>0</v>
      </c>
      <c r="K77" s="625">
        <f t="shared" si="34"/>
        <v>0</v>
      </c>
      <c r="L77" s="625">
        <f t="shared" si="34"/>
        <v>0</v>
      </c>
      <c r="M77" s="625">
        <f t="shared" si="34"/>
        <v>0</v>
      </c>
      <c r="N77" s="624">
        <f t="shared" si="35"/>
        <v>0</v>
      </c>
      <c r="O77" s="624">
        <f t="shared" si="35"/>
        <v>0</v>
      </c>
      <c r="P77" s="625">
        <f t="shared" si="35"/>
        <v>0</v>
      </c>
      <c r="Q77" s="624">
        <f t="shared" si="35"/>
        <v>0</v>
      </c>
      <c r="R77" s="253"/>
      <c r="S77" s="254"/>
      <c r="T77" s="255"/>
      <c r="U77" s="255"/>
      <c r="V77" s="255"/>
      <c r="W77" s="255"/>
      <c r="X77" s="255"/>
      <c r="Y77" s="256"/>
      <c r="Z77" s="254"/>
      <c r="AA77" s="255"/>
      <c r="AB77" s="255"/>
      <c r="AC77" s="255"/>
      <c r="AD77" s="255"/>
      <c r="AE77" s="256"/>
      <c r="AF77" s="254"/>
      <c r="AG77" s="255"/>
      <c r="AH77" s="254"/>
    </row>
    <row r="78" spans="1:36">
      <c r="A78" s="249"/>
      <c r="B78" s="239" t="s">
        <v>58</v>
      </c>
      <c r="C78" s="624">
        <f t="shared" si="34"/>
        <v>0</v>
      </c>
      <c r="D78" s="625">
        <f t="shared" si="34"/>
        <v>0</v>
      </c>
      <c r="E78" s="792">
        <f t="shared" si="34"/>
        <v>0</v>
      </c>
      <c r="F78" s="625">
        <f t="shared" si="34"/>
        <v>0</v>
      </c>
      <c r="G78" s="792">
        <f t="shared" si="34"/>
        <v>0</v>
      </c>
      <c r="H78" s="626">
        <f t="shared" si="34"/>
        <v>0</v>
      </c>
      <c r="I78" s="793">
        <f t="shared" si="34"/>
        <v>0</v>
      </c>
      <c r="J78" s="624">
        <f t="shared" si="34"/>
        <v>0</v>
      </c>
      <c r="K78" s="625">
        <f t="shared" si="34"/>
        <v>0</v>
      </c>
      <c r="L78" s="625">
        <f t="shared" si="34"/>
        <v>0</v>
      </c>
      <c r="M78" s="625">
        <f t="shared" si="34"/>
        <v>0</v>
      </c>
      <c r="N78" s="624">
        <f t="shared" si="35"/>
        <v>0</v>
      </c>
      <c r="O78" s="624">
        <f t="shared" si="35"/>
        <v>0</v>
      </c>
      <c r="P78" s="625">
        <f t="shared" si="35"/>
        <v>0</v>
      </c>
      <c r="Q78" s="624">
        <f t="shared" si="35"/>
        <v>0</v>
      </c>
      <c r="R78" s="253"/>
      <c r="S78" s="254"/>
      <c r="T78" s="255"/>
      <c r="U78" s="255"/>
      <c r="V78" s="255"/>
      <c r="W78" s="255"/>
      <c r="X78" s="255"/>
      <c r="Y78" s="256"/>
      <c r="Z78" s="254"/>
      <c r="AA78" s="255"/>
      <c r="AB78" s="255"/>
      <c r="AC78" s="255"/>
      <c r="AD78" s="255"/>
      <c r="AE78" s="256"/>
      <c r="AF78" s="254"/>
      <c r="AG78" s="255"/>
      <c r="AH78" s="254"/>
    </row>
    <row r="79" spans="1:36" s="406" customFormat="1">
      <c r="A79" s="435"/>
      <c r="B79" s="436" t="s">
        <v>59</v>
      </c>
      <c r="C79" s="577">
        <f t="shared" si="34"/>
        <v>0</v>
      </c>
      <c r="D79" s="578">
        <f t="shared" si="34"/>
        <v>0</v>
      </c>
      <c r="E79" s="578">
        <f t="shared" si="34"/>
        <v>0</v>
      </c>
      <c r="F79" s="578">
        <f t="shared" si="34"/>
        <v>0</v>
      </c>
      <c r="G79" s="578">
        <f t="shared" si="34"/>
        <v>0</v>
      </c>
      <c r="H79" s="579">
        <f t="shared" si="34"/>
        <v>0</v>
      </c>
      <c r="I79" s="577">
        <f t="shared" si="34"/>
        <v>0</v>
      </c>
      <c r="J79" s="577">
        <f t="shared" si="34"/>
        <v>0</v>
      </c>
      <c r="K79" s="578">
        <f t="shared" si="34"/>
        <v>0</v>
      </c>
      <c r="L79" s="578">
        <f t="shared" si="34"/>
        <v>0</v>
      </c>
      <c r="M79" s="578">
        <f t="shared" si="34"/>
        <v>0</v>
      </c>
      <c r="N79" s="577">
        <f t="shared" si="35"/>
        <v>0</v>
      </c>
      <c r="O79" s="577">
        <f t="shared" si="35"/>
        <v>0</v>
      </c>
      <c r="P79" s="578">
        <f t="shared" si="35"/>
        <v>0</v>
      </c>
      <c r="Q79" s="577">
        <f t="shared" si="35"/>
        <v>0</v>
      </c>
      <c r="R79" s="264"/>
      <c r="S79" s="265"/>
      <c r="T79" s="266"/>
      <c r="U79" s="266"/>
      <c r="V79" s="266"/>
      <c r="W79" s="266"/>
      <c r="X79" s="266"/>
      <c r="Y79" s="267"/>
      <c r="Z79" s="265"/>
      <c r="AA79" s="266"/>
      <c r="AB79" s="266"/>
      <c r="AC79" s="266"/>
      <c r="AD79" s="266"/>
      <c r="AE79" s="267"/>
      <c r="AF79" s="265"/>
      <c r="AG79" s="266"/>
      <c r="AH79" s="265"/>
      <c r="AI79" s="405"/>
      <c r="AJ79" s="405"/>
    </row>
    <row r="80" spans="1:36">
      <c r="A80" s="239" t="s">
        <v>12</v>
      </c>
      <c r="B80" s="240" t="s">
        <v>53</v>
      </c>
      <c r="C80" s="613">
        <f t="shared" ref="C80:M86" si="36">IF(S$86&gt;0,(S80/S$86),0)</f>
        <v>0</v>
      </c>
      <c r="D80" s="614">
        <f t="shared" si="36"/>
        <v>0</v>
      </c>
      <c r="E80" s="614">
        <f t="shared" si="36"/>
        <v>0</v>
      </c>
      <c r="F80" s="614">
        <f t="shared" si="36"/>
        <v>0</v>
      </c>
      <c r="G80" s="614">
        <f t="shared" si="36"/>
        <v>0</v>
      </c>
      <c r="H80" s="615">
        <f t="shared" si="36"/>
        <v>0</v>
      </c>
      <c r="I80" s="613">
        <f t="shared" si="36"/>
        <v>0</v>
      </c>
      <c r="J80" s="613">
        <f t="shared" si="36"/>
        <v>0</v>
      </c>
      <c r="K80" s="614">
        <f t="shared" si="36"/>
        <v>0</v>
      </c>
      <c r="L80" s="614">
        <f t="shared" si="36"/>
        <v>0</v>
      </c>
      <c r="M80" s="614">
        <f t="shared" si="36"/>
        <v>0</v>
      </c>
      <c r="N80" s="613">
        <f t="shared" ref="N80:Q86" si="37">IF(AE$86&gt;0,(AE80/AE$86),0)</f>
        <v>0</v>
      </c>
      <c r="O80" s="788">
        <f t="shared" si="37"/>
        <v>0</v>
      </c>
      <c r="P80" s="614">
        <f t="shared" si="37"/>
        <v>0</v>
      </c>
      <c r="Q80" s="788">
        <f t="shared" si="37"/>
        <v>0</v>
      </c>
      <c r="R80" s="244"/>
      <c r="S80" s="245"/>
      <c r="T80" s="246"/>
      <c r="U80" s="246"/>
      <c r="V80" s="246"/>
      <c r="W80" s="246"/>
      <c r="X80" s="246"/>
      <c r="Y80" s="247"/>
      <c r="Z80" s="245"/>
      <c r="AA80" s="246"/>
      <c r="AB80" s="246"/>
      <c r="AC80" s="246"/>
      <c r="AD80" s="246"/>
      <c r="AE80" s="247"/>
      <c r="AF80" s="245"/>
      <c r="AG80" s="246"/>
      <c r="AH80" s="245"/>
    </row>
    <row r="81" spans="1:36">
      <c r="A81" s="249"/>
      <c r="B81" s="239" t="s">
        <v>93</v>
      </c>
      <c r="C81" s="624">
        <f t="shared" si="36"/>
        <v>0</v>
      </c>
      <c r="D81" s="625">
        <f t="shared" si="36"/>
        <v>0</v>
      </c>
      <c r="E81" s="625">
        <f t="shared" si="36"/>
        <v>0</v>
      </c>
      <c r="F81" s="625">
        <f t="shared" si="36"/>
        <v>0</v>
      </c>
      <c r="G81" s="625">
        <f t="shared" si="36"/>
        <v>0</v>
      </c>
      <c r="H81" s="626">
        <f t="shared" si="36"/>
        <v>0</v>
      </c>
      <c r="I81" s="624">
        <f t="shared" si="36"/>
        <v>0</v>
      </c>
      <c r="J81" s="624">
        <f t="shared" si="36"/>
        <v>0</v>
      </c>
      <c r="K81" s="625">
        <f t="shared" si="36"/>
        <v>0</v>
      </c>
      <c r="L81" s="625">
        <f t="shared" si="36"/>
        <v>0</v>
      </c>
      <c r="M81" s="625">
        <f t="shared" si="36"/>
        <v>0</v>
      </c>
      <c r="N81" s="624">
        <f t="shared" si="37"/>
        <v>0</v>
      </c>
      <c r="O81" s="624">
        <f t="shared" si="37"/>
        <v>0</v>
      </c>
      <c r="P81" s="625">
        <f t="shared" si="37"/>
        <v>0</v>
      </c>
      <c r="Q81" s="624">
        <f t="shared" si="37"/>
        <v>0</v>
      </c>
      <c r="R81" s="253"/>
      <c r="S81" s="254"/>
      <c r="T81" s="255"/>
      <c r="U81" s="255"/>
      <c r="V81" s="255"/>
      <c r="W81" s="255"/>
      <c r="X81" s="255"/>
      <c r="Y81" s="256"/>
      <c r="Z81" s="254"/>
      <c r="AA81" s="255"/>
      <c r="AB81" s="255"/>
      <c r="AC81" s="255"/>
      <c r="AD81" s="255"/>
      <c r="AE81" s="256"/>
      <c r="AF81" s="254"/>
      <c r="AG81" s="255"/>
      <c r="AH81" s="254"/>
    </row>
    <row r="82" spans="1:36">
      <c r="A82" s="249"/>
      <c r="B82" s="239" t="s">
        <v>55</v>
      </c>
      <c r="C82" s="624">
        <f t="shared" si="36"/>
        <v>0</v>
      </c>
      <c r="D82" s="625">
        <f t="shared" si="36"/>
        <v>0</v>
      </c>
      <c r="E82" s="625">
        <f t="shared" si="36"/>
        <v>0</v>
      </c>
      <c r="F82" s="625">
        <f t="shared" si="36"/>
        <v>0</v>
      </c>
      <c r="G82" s="625">
        <f t="shared" si="36"/>
        <v>0</v>
      </c>
      <c r="H82" s="626">
        <f t="shared" si="36"/>
        <v>0</v>
      </c>
      <c r="I82" s="624">
        <f t="shared" si="36"/>
        <v>0</v>
      </c>
      <c r="J82" s="624">
        <f t="shared" si="36"/>
        <v>0</v>
      </c>
      <c r="K82" s="625">
        <f t="shared" si="36"/>
        <v>0</v>
      </c>
      <c r="L82" s="625">
        <f t="shared" si="36"/>
        <v>0</v>
      </c>
      <c r="M82" s="625">
        <f t="shared" si="36"/>
        <v>0</v>
      </c>
      <c r="N82" s="624">
        <f t="shared" si="37"/>
        <v>0</v>
      </c>
      <c r="O82" s="624">
        <f t="shared" si="37"/>
        <v>0</v>
      </c>
      <c r="P82" s="625">
        <f t="shared" si="37"/>
        <v>0</v>
      </c>
      <c r="Q82" s="624">
        <f t="shared" si="37"/>
        <v>0</v>
      </c>
      <c r="R82" s="253"/>
      <c r="S82" s="254"/>
      <c r="T82" s="255"/>
      <c r="U82" s="255"/>
      <c r="V82" s="255"/>
      <c r="W82" s="255"/>
      <c r="X82" s="255"/>
      <c r="Y82" s="256"/>
      <c r="Z82" s="254"/>
      <c r="AA82" s="255"/>
      <c r="AB82" s="255"/>
      <c r="AC82" s="255"/>
      <c r="AD82" s="255"/>
      <c r="AE82" s="256"/>
      <c r="AF82" s="254"/>
      <c r="AG82" s="255"/>
      <c r="AH82" s="254"/>
    </row>
    <row r="83" spans="1:36">
      <c r="A83" s="249"/>
      <c r="B83" s="239" t="s">
        <v>78</v>
      </c>
      <c r="C83" s="624">
        <f t="shared" si="36"/>
        <v>0</v>
      </c>
      <c r="D83" s="790">
        <f t="shared" si="36"/>
        <v>0</v>
      </c>
      <c r="E83" s="625">
        <f t="shared" si="36"/>
        <v>0</v>
      </c>
      <c r="F83" s="625">
        <f t="shared" si="36"/>
        <v>0</v>
      </c>
      <c r="G83" s="625">
        <f t="shared" si="36"/>
        <v>0</v>
      </c>
      <c r="H83" s="626">
        <f t="shared" si="36"/>
        <v>0</v>
      </c>
      <c r="I83" s="624">
        <f t="shared" si="36"/>
        <v>0</v>
      </c>
      <c r="J83" s="624">
        <f t="shared" si="36"/>
        <v>0</v>
      </c>
      <c r="K83" s="625">
        <f t="shared" si="36"/>
        <v>0</v>
      </c>
      <c r="L83" s="625">
        <f t="shared" si="36"/>
        <v>0</v>
      </c>
      <c r="M83" s="625">
        <f t="shared" si="36"/>
        <v>0</v>
      </c>
      <c r="N83" s="624">
        <f t="shared" si="37"/>
        <v>0</v>
      </c>
      <c r="O83" s="624">
        <f t="shared" si="37"/>
        <v>0</v>
      </c>
      <c r="P83" s="625">
        <f t="shared" si="37"/>
        <v>0</v>
      </c>
      <c r="Q83" s="624">
        <f t="shared" si="37"/>
        <v>0</v>
      </c>
      <c r="R83" s="253"/>
      <c r="S83" s="254"/>
      <c r="T83" s="255"/>
      <c r="U83" s="255"/>
      <c r="V83" s="255"/>
      <c r="W83" s="255"/>
      <c r="X83" s="255"/>
      <c r="Y83" s="256"/>
      <c r="Z83" s="254"/>
      <c r="AA83" s="255"/>
      <c r="AB83" s="255"/>
      <c r="AC83" s="255"/>
      <c r="AD83" s="255"/>
      <c r="AE83" s="256"/>
      <c r="AF83" s="254"/>
      <c r="AG83" s="255"/>
      <c r="AH83" s="254"/>
    </row>
    <row r="84" spans="1:36">
      <c r="A84" s="249"/>
      <c r="B84" s="239" t="s">
        <v>32</v>
      </c>
      <c r="C84" s="624">
        <f t="shared" si="36"/>
        <v>0</v>
      </c>
      <c r="D84" s="625">
        <f t="shared" si="36"/>
        <v>0</v>
      </c>
      <c r="E84" s="625">
        <f t="shared" si="36"/>
        <v>0</v>
      </c>
      <c r="F84" s="625">
        <f t="shared" si="36"/>
        <v>0</v>
      </c>
      <c r="G84" s="625">
        <f t="shared" si="36"/>
        <v>0</v>
      </c>
      <c r="H84" s="626">
        <f t="shared" si="36"/>
        <v>0</v>
      </c>
      <c r="I84" s="624">
        <f t="shared" si="36"/>
        <v>0</v>
      </c>
      <c r="J84" s="624">
        <f t="shared" si="36"/>
        <v>0</v>
      </c>
      <c r="K84" s="625">
        <f t="shared" si="36"/>
        <v>0</v>
      </c>
      <c r="L84" s="625">
        <f t="shared" si="36"/>
        <v>0</v>
      </c>
      <c r="M84" s="625">
        <f t="shared" si="36"/>
        <v>0</v>
      </c>
      <c r="N84" s="624">
        <f t="shared" si="37"/>
        <v>0</v>
      </c>
      <c r="O84" s="624">
        <f t="shared" si="37"/>
        <v>0</v>
      </c>
      <c r="P84" s="625">
        <f t="shared" si="37"/>
        <v>0</v>
      </c>
      <c r="Q84" s="624">
        <f t="shared" si="37"/>
        <v>0</v>
      </c>
      <c r="R84" s="253"/>
      <c r="S84" s="254"/>
      <c r="T84" s="255"/>
      <c r="U84" s="255"/>
      <c r="V84" s="255"/>
      <c r="W84" s="255"/>
      <c r="X84" s="255"/>
      <c r="Y84" s="256"/>
      <c r="Z84" s="254"/>
      <c r="AA84" s="255"/>
      <c r="AB84" s="255"/>
      <c r="AC84" s="255"/>
      <c r="AD84" s="255"/>
      <c r="AE84" s="256"/>
      <c r="AF84" s="254"/>
      <c r="AG84" s="255"/>
      <c r="AH84" s="254"/>
    </row>
    <row r="85" spans="1:36">
      <c r="A85" s="249"/>
      <c r="B85" s="239" t="s">
        <v>58</v>
      </c>
      <c r="C85" s="624">
        <f t="shared" si="36"/>
        <v>0</v>
      </c>
      <c r="D85" s="625">
        <f t="shared" si="36"/>
        <v>0</v>
      </c>
      <c r="E85" s="792">
        <f t="shared" si="36"/>
        <v>0</v>
      </c>
      <c r="F85" s="625">
        <f t="shared" si="36"/>
        <v>0</v>
      </c>
      <c r="G85" s="792">
        <f t="shared" si="36"/>
        <v>0</v>
      </c>
      <c r="H85" s="626">
        <f t="shared" si="36"/>
        <v>0</v>
      </c>
      <c r="I85" s="793">
        <f t="shared" si="36"/>
        <v>0</v>
      </c>
      <c r="J85" s="624">
        <f t="shared" si="36"/>
        <v>0</v>
      </c>
      <c r="K85" s="625">
        <f t="shared" si="36"/>
        <v>0</v>
      </c>
      <c r="L85" s="625">
        <f t="shared" si="36"/>
        <v>0</v>
      </c>
      <c r="M85" s="625">
        <f t="shared" si="36"/>
        <v>0</v>
      </c>
      <c r="N85" s="624">
        <f t="shared" si="37"/>
        <v>0</v>
      </c>
      <c r="O85" s="624">
        <f t="shared" si="37"/>
        <v>0</v>
      </c>
      <c r="P85" s="625">
        <f t="shared" si="37"/>
        <v>0</v>
      </c>
      <c r="Q85" s="624">
        <f t="shared" si="37"/>
        <v>0</v>
      </c>
      <c r="R85" s="253"/>
      <c r="S85" s="254"/>
      <c r="T85" s="255"/>
      <c r="U85" s="255"/>
      <c r="V85" s="255"/>
      <c r="W85" s="255"/>
      <c r="X85" s="255"/>
      <c r="Y85" s="256"/>
      <c r="Z85" s="254"/>
      <c r="AA85" s="255"/>
      <c r="AB85" s="255"/>
      <c r="AC85" s="255"/>
      <c r="AD85" s="255"/>
      <c r="AE85" s="256"/>
      <c r="AF85" s="254"/>
      <c r="AG85" s="255"/>
      <c r="AH85" s="254"/>
    </row>
    <row r="86" spans="1:36" s="406" customFormat="1">
      <c r="A86" s="435"/>
      <c r="B86" s="436" t="s">
        <v>59</v>
      </c>
      <c r="C86" s="577">
        <f t="shared" si="36"/>
        <v>0</v>
      </c>
      <c r="D86" s="578">
        <f t="shared" si="36"/>
        <v>0</v>
      </c>
      <c r="E86" s="578">
        <f t="shared" si="36"/>
        <v>0</v>
      </c>
      <c r="F86" s="578">
        <f t="shared" si="36"/>
        <v>0</v>
      </c>
      <c r="G86" s="578">
        <f t="shared" si="36"/>
        <v>0</v>
      </c>
      <c r="H86" s="579">
        <f t="shared" si="36"/>
        <v>0</v>
      </c>
      <c r="I86" s="577">
        <f t="shared" si="36"/>
        <v>0</v>
      </c>
      <c r="J86" s="577">
        <f t="shared" si="36"/>
        <v>0</v>
      </c>
      <c r="K86" s="578">
        <f t="shared" si="36"/>
        <v>0</v>
      </c>
      <c r="L86" s="578">
        <f t="shared" si="36"/>
        <v>0</v>
      </c>
      <c r="M86" s="578">
        <f t="shared" si="36"/>
        <v>0</v>
      </c>
      <c r="N86" s="577">
        <f t="shared" si="37"/>
        <v>0</v>
      </c>
      <c r="O86" s="577">
        <f t="shared" si="37"/>
        <v>0</v>
      </c>
      <c r="P86" s="578">
        <f t="shared" si="37"/>
        <v>0</v>
      </c>
      <c r="Q86" s="577">
        <f t="shared" si="37"/>
        <v>0</v>
      </c>
      <c r="R86" s="264"/>
      <c r="S86" s="265"/>
      <c r="T86" s="266"/>
      <c r="U86" s="266"/>
      <c r="V86" s="266"/>
      <c r="W86" s="266"/>
      <c r="X86" s="266"/>
      <c r="Y86" s="267"/>
      <c r="Z86" s="265"/>
      <c r="AA86" s="266"/>
      <c r="AB86" s="266"/>
      <c r="AC86" s="266"/>
      <c r="AD86" s="266"/>
      <c r="AE86" s="267"/>
      <c r="AF86" s="265"/>
      <c r="AG86" s="266"/>
      <c r="AH86" s="265"/>
      <c r="AI86" s="405"/>
      <c r="AJ86" s="405"/>
    </row>
    <row r="87" spans="1:36">
      <c r="A87" s="239" t="s">
        <v>13</v>
      </c>
      <c r="B87" s="240" t="s">
        <v>53</v>
      </c>
      <c r="C87" s="613">
        <f t="shared" ref="C87:M93" si="38">IF(S$93&gt;0,(S87/S$93),0)</f>
        <v>0</v>
      </c>
      <c r="D87" s="614">
        <f t="shared" si="38"/>
        <v>0</v>
      </c>
      <c r="E87" s="614">
        <f t="shared" si="38"/>
        <v>0</v>
      </c>
      <c r="F87" s="614">
        <f t="shared" si="38"/>
        <v>0</v>
      </c>
      <c r="G87" s="614">
        <f t="shared" si="38"/>
        <v>0</v>
      </c>
      <c r="H87" s="615">
        <f t="shared" si="38"/>
        <v>0</v>
      </c>
      <c r="I87" s="613">
        <f t="shared" si="38"/>
        <v>0</v>
      </c>
      <c r="J87" s="613">
        <f t="shared" si="38"/>
        <v>0</v>
      </c>
      <c r="K87" s="614">
        <f t="shared" si="38"/>
        <v>0</v>
      </c>
      <c r="L87" s="614">
        <f t="shared" si="38"/>
        <v>0</v>
      </c>
      <c r="M87" s="614">
        <f t="shared" si="38"/>
        <v>0</v>
      </c>
      <c r="N87" s="613">
        <f t="shared" ref="N87:Q93" si="39">IF(AE$93&gt;0,(AE87/AE$93),0)</f>
        <v>0</v>
      </c>
      <c r="O87" s="788">
        <f t="shared" si="39"/>
        <v>0</v>
      </c>
      <c r="P87" s="614">
        <f t="shared" si="39"/>
        <v>0</v>
      </c>
      <c r="Q87" s="788">
        <f t="shared" si="39"/>
        <v>0</v>
      </c>
      <c r="R87" s="244"/>
      <c r="S87" s="245"/>
      <c r="T87" s="246"/>
      <c r="U87" s="246"/>
      <c r="V87" s="246"/>
      <c r="W87" s="246"/>
      <c r="X87" s="246"/>
      <c r="Y87" s="247"/>
      <c r="Z87" s="245"/>
      <c r="AA87" s="246"/>
      <c r="AB87" s="246"/>
      <c r="AC87" s="246"/>
      <c r="AD87" s="246"/>
      <c r="AE87" s="247"/>
      <c r="AF87" s="245"/>
      <c r="AG87" s="246"/>
      <c r="AH87" s="245"/>
    </row>
    <row r="88" spans="1:36">
      <c r="A88" s="249"/>
      <c r="B88" s="239" t="s">
        <v>93</v>
      </c>
      <c r="C88" s="624">
        <f t="shared" si="38"/>
        <v>0</v>
      </c>
      <c r="D88" s="625">
        <f t="shared" si="38"/>
        <v>0</v>
      </c>
      <c r="E88" s="625">
        <f t="shared" si="38"/>
        <v>0</v>
      </c>
      <c r="F88" s="625">
        <f t="shared" si="38"/>
        <v>0</v>
      </c>
      <c r="G88" s="625">
        <f t="shared" si="38"/>
        <v>0</v>
      </c>
      <c r="H88" s="626">
        <f t="shared" si="38"/>
        <v>0</v>
      </c>
      <c r="I88" s="624">
        <f t="shared" si="38"/>
        <v>0</v>
      </c>
      <c r="J88" s="624">
        <f t="shared" si="38"/>
        <v>0</v>
      </c>
      <c r="K88" s="625">
        <f t="shared" si="38"/>
        <v>0</v>
      </c>
      <c r="L88" s="625">
        <f t="shared" si="38"/>
        <v>0</v>
      </c>
      <c r="M88" s="625">
        <f t="shared" si="38"/>
        <v>0</v>
      </c>
      <c r="N88" s="791">
        <f t="shared" si="39"/>
        <v>0</v>
      </c>
      <c r="O88" s="624">
        <f t="shared" si="39"/>
        <v>0</v>
      </c>
      <c r="P88" s="625">
        <f t="shared" si="39"/>
        <v>0</v>
      </c>
      <c r="Q88" s="624">
        <f t="shared" si="39"/>
        <v>0</v>
      </c>
      <c r="R88" s="253"/>
      <c r="S88" s="254"/>
      <c r="T88" s="255"/>
      <c r="U88" s="255"/>
      <c r="V88" s="255"/>
      <c r="W88" s="255"/>
      <c r="X88" s="255"/>
      <c r="Y88" s="256"/>
      <c r="Z88" s="254"/>
      <c r="AA88" s="255"/>
      <c r="AB88" s="255"/>
      <c r="AC88" s="255"/>
      <c r="AD88" s="255"/>
      <c r="AE88" s="256"/>
      <c r="AF88" s="254"/>
      <c r="AG88" s="255"/>
      <c r="AH88" s="254"/>
    </row>
    <row r="89" spans="1:36">
      <c r="A89" s="249"/>
      <c r="B89" s="239" t="s">
        <v>55</v>
      </c>
      <c r="C89" s="624">
        <f t="shared" si="38"/>
        <v>0</v>
      </c>
      <c r="D89" s="625">
        <f t="shared" si="38"/>
        <v>0</v>
      </c>
      <c r="E89" s="625">
        <f t="shared" si="38"/>
        <v>0</v>
      </c>
      <c r="F89" s="625">
        <f t="shared" si="38"/>
        <v>0</v>
      </c>
      <c r="G89" s="625">
        <f t="shared" si="38"/>
        <v>0</v>
      </c>
      <c r="H89" s="626">
        <f t="shared" si="38"/>
        <v>0</v>
      </c>
      <c r="I89" s="624">
        <f t="shared" si="38"/>
        <v>0</v>
      </c>
      <c r="J89" s="624">
        <f t="shared" si="38"/>
        <v>0</v>
      </c>
      <c r="K89" s="625">
        <f t="shared" si="38"/>
        <v>0</v>
      </c>
      <c r="L89" s="625">
        <f t="shared" si="38"/>
        <v>0</v>
      </c>
      <c r="M89" s="625">
        <f t="shared" si="38"/>
        <v>0</v>
      </c>
      <c r="N89" s="624">
        <f t="shared" si="39"/>
        <v>0</v>
      </c>
      <c r="O89" s="624">
        <f t="shared" si="39"/>
        <v>0</v>
      </c>
      <c r="P89" s="625">
        <f t="shared" si="39"/>
        <v>0</v>
      </c>
      <c r="Q89" s="624">
        <f t="shared" si="39"/>
        <v>0</v>
      </c>
      <c r="R89" s="253"/>
      <c r="S89" s="254"/>
      <c r="T89" s="255"/>
      <c r="U89" s="255"/>
      <c r="V89" s="255"/>
      <c r="W89" s="255"/>
      <c r="X89" s="255"/>
      <c r="Y89" s="256"/>
      <c r="Z89" s="254"/>
      <c r="AA89" s="255"/>
      <c r="AB89" s="255"/>
      <c r="AC89" s="255"/>
      <c r="AD89" s="255"/>
      <c r="AE89" s="256"/>
      <c r="AF89" s="254"/>
      <c r="AG89" s="255"/>
      <c r="AH89" s="254"/>
    </row>
    <row r="90" spans="1:36">
      <c r="A90" s="249"/>
      <c r="B90" s="239" t="s">
        <v>78</v>
      </c>
      <c r="C90" s="624">
        <f t="shared" si="38"/>
        <v>0</v>
      </c>
      <c r="D90" s="625">
        <f t="shared" si="38"/>
        <v>0</v>
      </c>
      <c r="E90" s="625">
        <f t="shared" si="38"/>
        <v>0</v>
      </c>
      <c r="F90" s="625">
        <f t="shared" si="38"/>
        <v>0</v>
      </c>
      <c r="G90" s="625">
        <f t="shared" si="38"/>
        <v>0</v>
      </c>
      <c r="H90" s="626">
        <f t="shared" si="38"/>
        <v>0</v>
      </c>
      <c r="I90" s="624">
        <f t="shared" si="38"/>
        <v>0</v>
      </c>
      <c r="J90" s="624">
        <f t="shared" si="38"/>
        <v>0</v>
      </c>
      <c r="K90" s="625">
        <f t="shared" si="38"/>
        <v>0</v>
      </c>
      <c r="L90" s="625">
        <f t="shared" si="38"/>
        <v>0</v>
      </c>
      <c r="M90" s="625">
        <f t="shared" si="38"/>
        <v>0</v>
      </c>
      <c r="N90" s="624">
        <f t="shared" si="39"/>
        <v>0</v>
      </c>
      <c r="O90" s="624">
        <f t="shared" si="39"/>
        <v>0</v>
      </c>
      <c r="P90" s="625">
        <f t="shared" si="39"/>
        <v>0</v>
      </c>
      <c r="Q90" s="624">
        <f t="shared" si="39"/>
        <v>0</v>
      </c>
      <c r="R90" s="253"/>
      <c r="S90" s="254"/>
      <c r="T90" s="255"/>
      <c r="U90" s="255"/>
      <c r="V90" s="255"/>
      <c r="W90" s="255"/>
      <c r="X90" s="255"/>
      <c r="Y90" s="256"/>
      <c r="Z90" s="254"/>
      <c r="AA90" s="255"/>
      <c r="AB90" s="255"/>
      <c r="AC90" s="255"/>
      <c r="AD90" s="255"/>
      <c r="AE90" s="256"/>
      <c r="AF90" s="254"/>
      <c r="AG90" s="255"/>
      <c r="AH90" s="254"/>
    </row>
    <row r="91" spans="1:36">
      <c r="A91" s="249"/>
      <c r="B91" s="239" t="s">
        <v>32</v>
      </c>
      <c r="C91" s="624">
        <f t="shared" si="38"/>
        <v>0</v>
      </c>
      <c r="D91" s="625">
        <f t="shared" si="38"/>
        <v>0</v>
      </c>
      <c r="E91" s="625">
        <f t="shared" si="38"/>
        <v>0</v>
      </c>
      <c r="F91" s="625">
        <f t="shared" si="38"/>
        <v>0</v>
      </c>
      <c r="G91" s="625">
        <f t="shared" si="38"/>
        <v>0</v>
      </c>
      <c r="H91" s="626">
        <f t="shared" si="38"/>
        <v>0</v>
      </c>
      <c r="I91" s="624">
        <f t="shared" si="38"/>
        <v>0</v>
      </c>
      <c r="J91" s="624">
        <f t="shared" si="38"/>
        <v>0</v>
      </c>
      <c r="K91" s="625">
        <f t="shared" si="38"/>
        <v>0</v>
      </c>
      <c r="L91" s="625">
        <f t="shared" si="38"/>
        <v>0</v>
      </c>
      <c r="M91" s="625">
        <f t="shared" si="38"/>
        <v>0</v>
      </c>
      <c r="N91" s="624">
        <f t="shared" si="39"/>
        <v>0</v>
      </c>
      <c r="O91" s="624">
        <f t="shared" si="39"/>
        <v>0</v>
      </c>
      <c r="P91" s="625">
        <f t="shared" si="39"/>
        <v>0</v>
      </c>
      <c r="Q91" s="624">
        <f t="shared" si="39"/>
        <v>0</v>
      </c>
      <c r="R91" s="253"/>
      <c r="S91" s="254"/>
      <c r="T91" s="255"/>
      <c r="U91" s="255"/>
      <c r="V91" s="255"/>
      <c r="W91" s="255"/>
      <c r="X91" s="255"/>
      <c r="Y91" s="256"/>
      <c r="Z91" s="254"/>
      <c r="AA91" s="255"/>
      <c r="AB91" s="255"/>
      <c r="AC91" s="255"/>
      <c r="AD91" s="255"/>
      <c r="AE91" s="256"/>
      <c r="AF91" s="254"/>
      <c r="AG91" s="255"/>
      <c r="AH91" s="254"/>
    </row>
    <row r="92" spans="1:36">
      <c r="A92" s="249"/>
      <c r="B92" s="239" t="s">
        <v>58</v>
      </c>
      <c r="C92" s="624">
        <f t="shared" si="38"/>
        <v>0</v>
      </c>
      <c r="D92" s="625">
        <f t="shared" si="38"/>
        <v>0</v>
      </c>
      <c r="E92" s="792">
        <f t="shared" si="38"/>
        <v>0</v>
      </c>
      <c r="F92" s="625">
        <f t="shared" si="38"/>
        <v>0</v>
      </c>
      <c r="G92" s="792">
        <f t="shared" si="38"/>
        <v>0</v>
      </c>
      <c r="H92" s="626">
        <f t="shared" si="38"/>
        <v>0</v>
      </c>
      <c r="I92" s="793">
        <f t="shared" si="38"/>
        <v>0</v>
      </c>
      <c r="J92" s="624">
        <f t="shared" si="38"/>
        <v>0</v>
      </c>
      <c r="K92" s="625">
        <f t="shared" si="38"/>
        <v>0</v>
      </c>
      <c r="L92" s="625">
        <f t="shared" si="38"/>
        <v>0</v>
      </c>
      <c r="M92" s="625">
        <f t="shared" si="38"/>
        <v>0</v>
      </c>
      <c r="N92" s="624">
        <f t="shared" si="39"/>
        <v>0</v>
      </c>
      <c r="O92" s="624">
        <f t="shared" si="39"/>
        <v>0</v>
      </c>
      <c r="P92" s="625">
        <f t="shared" si="39"/>
        <v>0</v>
      </c>
      <c r="Q92" s="624">
        <f t="shared" si="39"/>
        <v>0</v>
      </c>
      <c r="R92" s="253"/>
      <c r="S92" s="254"/>
      <c r="T92" s="255"/>
      <c r="U92" s="255"/>
      <c r="V92" s="255"/>
      <c r="W92" s="255"/>
      <c r="X92" s="255"/>
      <c r="Y92" s="256"/>
      <c r="Z92" s="254"/>
      <c r="AA92" s="255"/>
      <c r="AB92" s="255"/>
      <c r="AC92" s="255"/>
      <c r="AD92" s="255"/>
      <c r="AE92" s="256"/>
      <c r="AF92" s="254"/>
      <c r="AG92" s="255"/>
      <c r="AH92" s="254"/>
    </row>
    <row r="93" spans="1:36" s="406" customFormat="1">
      <c r="A93" s="435"/>
      <c r="B93" s="436" t="s">
        <v>59</v>
      </c>
      <c r="C93" s="577">
        <f t="shared" si="38"/>
        <v>0</v>
      </c>
      <c r="D93" s="578">
        <f t="shared" si="38"/>
        <v>0</v>
      </c>
      <c r="E93" s="578">
        <f t="shared" si="38"/>
        <v>0</v>
      </c>
      <c r="F93" s="578">
        <f t="shared" si="38"/>
        <v>0</v>
      </c>
      <c r="G93" s="578">
        <f t="shared" si="38"/>
        <v>0</v>
      </c>
      <c r="H93" s="579">
        <f t="shared" si="38"/>
        <v>0</v>
      </c>
      <c r="I93" s="577">
        <f t="shared" si="38"/>
        <v>0</v>
      </c>
      <c r="J93" s="577">
        <f t="shared" si="38"/>
        <v>0</v>
      </c>
      <c r="K93" s="578">
        <f t="shared" si="38"/>
        <v>0</v>
      </c>
      <c r="L93" s="578">
        <f t="shared" si="38"/>
        <v>0</v>
      </c>
      <c r="M93" s="578">
        <f t="shared" si="38"/>
        <v>0</v>
      </c>
      <c r="N93" s="577">
        <f t="shared" si="39"/>
        <v>0</v>
      </c>
      <c r="O93" s="577">
        <f t="shared" si="39"/>
        <v>0</v>
      </c>
      <c r="P93" s="578">
        <f t="shared" si="39"/>
        <v>0</v>
      </c>
      <c r="Q93" s="577">
        <f t="shared" si="39"/>
        <v>0</v>
      </c>
      <c r="R93" s="264"/>
      <c r="S93" s="265"/>
      <c r="T93" s="266"/>
      <c r="U93" s="266"/>
      <c r="V93" s="266"/>
      <c r="W93" s="266"/>
      <c r="X93" s="266"/>
      <c r="Y93" s="267"/>
      <c r="Z93" s="265"/>
      <c r="AA93" s="266"/>
      <c r="AB93" s="266"/>
      <c r="AC93" s="266"/>
      <c r="AD93" s="266"/>
      <c r="AE93" s="267"/>
      <c r="AF93" s="265"/>
      <c r="AG93" s="266"/>
      <c r="AH93" s="265"/>
      <c r="AI93" s="405"/>
      <c r="AJ93" s="405"/>
    </row>
    <row r="94" spans="1:36">
      <c r="A94" s="239" t="s">
        <v>14</v>
      </c>
      <c r="B94" s="240" t="s">
        <v>53</v>
      </c>
      <c r="C94" s="613">
        <f t="shared" ref="C94:M100" si="40">IF(S$100&gt;0,(S94/S$100),0)</f>
        <v>0</v>
      </c>
      <c r="D94" s="614">
        <f t="shared" si="40"/>
        <v>0</v>
      </c>
      <c r="E94" s="614">
        <f t="shared" si="40"/>
        <v>0</v>
      </c>
      <c r="F94" s="614">
        <f t="shared" si="40"/>
        <v>0</v>
      </c>
      <c r="G94" s="614">
        <f t="shared" si="40"/>
        <v>0</v>
      </c>
      <c r="H94" s="615">
        <f t="shared" si="40"/>
        <v>0</v>
      </c>
      <c r="I94" s="613">
        <f t="shared" si="40"/>
        <v>0</v>
      </c>
      <c r="J94" s="613">
        <f t="shared" si="40"/>
        <v>0</v>
      </c>
      <c r="K94" s="614">
        <f t="shared" si="40"/>
        <v>0</v>
      </c>
      <c r="L94" s="614">
        <f t="shared" si="40"/>
        <v>0</v>
      </c>
      <c r="M94" s="614">
        <f t="shared" si="40"/>
        <v>0</v>
      </c>
      <c r="N94" s="613">
        <f t="shared" ref="N94:Q100" si="41">IF(AE$100&gt;0,(AE94/AE$100),0)</f>
        <v>0</v>
      </c>
      <c r="O94" s="788">
        <f t="shared" si="41"/>
        <v>0</v>
      </c>
      <c r="P94" s="614">
        <f t="shared" si="41"/>
        <v>0</v>
      </c>
      <c r="Q94" s="788">
        <f t="shared" si="41"/>
        <v>0</v>
      </c>
      <c r="R94" s="244"/>
      <c r="S94" s="245"/>
      <c r="T94" s="246"/>
      <c r="U94" s="246"/>
      <c r="V94" s="246"/>
      <c r="W94" s="246"/>
      <c r="X94" s="246"/>
      <c r="Y94" s="247"/>
      <c r="Z94" s="245"/>
      <c r="AA94" s="246"/>
      <c r="AB94" s="246"/>
      <c r="AC94" s="246"/>
      <c r="AD94" s="246"/>
      <c r="AE94" s="247"/>
      <c r="AF94" s="245"/>
      <c r="AG94" s="246"/>
      <c r="AH94" s="245"/>
    </row>
    <row r="95" spans="1:36">
      <c r="A95" s="249"/>
      <c r="B95" s="239" t="s">
        <v>93</v>
      </c>
      <c r="C95" s="624">
        <f t="shared" si="40"/>
        <v>0</v>
      </c>
      <c r="D95" s="625">
        <f t="shared" si="40"/>
        <v>0</v>
      </c>
      <c r="E95" s="625">
        <f t="shared" si="40"/>
        <v>0</v>
      </c>
      <c r="F95" s="625">
        <f t="shared" si="40"/>
        <v>0</v>
      </c>
      <c r="G95" s="625">
        <f t="shared" si="40"/>
        <v>0</v>
      </c>
      <c r="H95" s="626">
        <f t="shared" si="40"/>
        <v>0</v>
      </c>
      <c r="I95" s="624">
        <f t="shared" si="40"/>
        <v>0</v>
      </c>
      <c r="J95" s="624">
        <f t="shared" si="40"/>
        <v>0</v>
      </c>
      <c r="K95" s="625">
        <f t="shared" si="40"/>
        <v>0</v>
      </c>
      <c r="L95" s="625">
        <f t="shared" si="40"/>
        <v>0</v>
      </c>
      <c r="M95" s="625">
        <f t="shared" si="40"/>
        <v>0</v>
      </c>
      <c r="N95" s="624">
        <f t="shared" si="41"/>
        <v>0</v>
      </c>
      <c r="O95" s="624">
        <f t="shared" si="41"/>
        <v>0</v>
      </c>
      <c r="P95" s="625">
        <f t="shared" si="41"/>
        <v>0</v>
      </c>
      <c r="Q95" s="624">
        <f t="shared" si="41"/>
        <v>0</v>
      </c>
      <c r="R95" s="253"/>
      <c r="S95" s="254"/>
      <c r="T95" s="255"/>
      <c r="U95" s="255"/>
      <c r="V95" s="255"/>
      <c r="W95" s="255"/>
      <c r="X95" s="255"/>
      <c r="Y95" s="256"/>
      <c r="Z95" s="254"/>
      <c r="AA95" s="255"/>
      <c r="AB95" s="255"/>
      <c r="AC95" s="255"/>
      <c r="AD95" s="255"/>
      <c r="AE95" s="256"/>
      <c r="AF95" s="254"/>
      <c r="AG95" s="255"/>
      <c r="AH95" s="254"/>
    </row>
    <row r="96" spans="1:36">
      <c r="A96" s="249"/>
      <c r="B96" s="239" t="s">
        <v>55</v>
      </c>
      <c r="C96" s="624">
        <f t="shared" si="40"/>
        <v>0</v>
      </c>
      <c r="D96" s="625">
        <f t="shared" si="40"/>
        <v>0</v>
      </c>
      <c r="E96" s="625">
        <f t="shared" si="40"/>
        <v>0</v>
      </c>
      <c r="F96" s="625">
        <f t="shared" si="40"/>
        <v>0</v>
      </c>
      <c r="G96" s="625">
        <f t="shared" si="40"/>
        <v>0</v>
      </c>
      <c r="H96" s="626">
        <f t="shared" si="40"/>
        <v>0</v>
      </c>
      <c r="I96" s="624">
        <f t="shared" si="40"/>
        <v>0</v>
      </c>
      <c r="J96" s="624">
        <f t="shared" si="40"/>
        <v>0</v>
      </c>
      <c r="K96" s="625">
        <f t="shared" si="40"/>
        <v>0</v>
      </c>
      <c r="L96" s="625">
        <f t="shared" si="40"/>
        <v>0</v>
      </c>
      <c r="M96" s="625">
        <f t="shared" si="40"/>
        <v>0</v>
      </c>
      <c r="N96" s="624">
        <f t="shared" si="41"/>
        <v>0</v>
      </c>
      <c r="O96" s="624">
        <f t="shared" si="41"/>
        <v>0</v>
      </c>
      <c r="P96" s="625">
        <f t="shared" si="41"/>
        <v>0</v>
      </c>
      <c r="Q96" s="624">
        <f t="shared" si="41"/>
        <v>0</v>
      </c>
      <c r="R96" s="253"/>
      <c r="S96" s="254"/>
      <c r="T96" s="255"/>
      <c r="U96" s="255"/>
      <c r="V96" s="255"/>
      <c r="W96" s="255"/>
      <c r="X96" s="255"/>
      <c r="Y96" s="256"/>
      <c r="Z96" s="254"/>
      <c r="AA96" s="255"/>
      <c r="AB96" s="255"/>
      <c r="AC96" s="255"/>
      <c r="AD96" s="255"/>
      <c r="AE96" s="256"/>
      <c r="AF96" s="254"/>
      <c r="AG96" s="255"/>
      <c r="AH96" s="254"/>
    </row>
    <row r="97" spans="1:36">
      <c r="A97" s="249"/>
      <c r="B97" s="239" t="s">
        <v>78</v>
      </c>
      <c r="C97" s="624">
        <f t="shared" si="40"/>
        <v>0</v>
      </c>
      <c r="D97" s="625">
        <f t="shared" si="40"/>
        <v>0</v>
      </c>
      <c r="E97" s="625">
        <f t="shared" si="40"/>
        <v>0</v>
      </c>
      <c r="F97" s="625">
        <f t="shared" si="40"/>
        <v>0</v>
      </c>
      <c r="G97" s="625">
        <f t="shared" si="40"/>
        <v>0</v>
      </c>
      <c r="H97" s="626">
        <f t="shared" si="40"/>
        <v>0</v>
      </c>
      <c r="I97" s="624">
        <f t="shared" si="40"/>
        <v>0</v>
      </c>
      <c r="J97" s="624">
        <f t="shared" si="40"/>
        <v>0</v>
      </c>
      <c r="K97" s="625">
        <f t="shared" si="40"/>
        <v>0</v>
      </c>
      <c r="L97" s="625">
        <f t="shared" si="40"/>
        <v>0</v>
      </c>
      <c r="M97" s="625">
        <f t="shared" si="40"/>
        <v>0</v>
      </c>
      <c r="N97" s="624">
        <f t="shared" si="41"/>
        <v>0</v>
      </c>
      <c r="O97" s="624">
        <f t="shared" si="41"/>
        <v>0</v>
      </c>
      <c r="P97" s="625">
        <f t="shared" si="41"/>
        <v>0</v>
      </c>
      <c r="Q97" s="624">
        <f t="shared" si="41"/>
        <v>0</v>
      </c>
      <c r="R97" s="253"/>
      <c r="S97" s="254"/>
      <c r="T97" s="255"/>
      <c r="U97" s="255"/>
      <c r="V97" s="255"/>
      <c r="W97" s="255"/>
      <c r="X97" s="255"/>
      <c r="Y97" s="256"/>
      <c r="Z97" s="254"/>
      <c r="AA97" s="255"/>
      <c r="AB97" s="255"/>
      <c r="AC97" s="255"/>
      <c r="AD97" s="255"/>
      <c r="AE97" s="256"/>
      <c r="AF97" s="254"/>
      <c r="AG97" s="255"/>
      <c r="AH97" s="254"/>
    </row>
    <row r="98" spans="1:36">
      <c r="A98" s="249"/>
      <c r="B98" s="239" t="s">
        <v>32</v>
      </c>
      <c r="C98" s="624">
        <f t="shared" si="40"/>
        <v>0</v>
      </c>
      <c r="D98" s="625">
        <f t="shared" si="40"/>
        <v>0</v>
      </c>
      <c r="E98" s="625">
        <f t="shared" si="40"/>
        <v>0</v>
      </c>
      <c r="F98" s="625">
        <f t="shared" si="40"/>
        <v>0</v>
      </c>
      <c r="G98" s="625">
        <f t="shared" si="40"/>
        <v>0</v>
      </c>
      <c r="H98" s="626">
        <f t="shared" si="40"/>
        <v>0</v>
      </c>
      <c r="I98" s="624">
        <f t="shared" si="40"/>
        <v>0</v>
      </c>
      <c r="J98" s="624">
        <f t="shared" si="40"/>
        <v>0</v>
      </c>
      <c r="K98" s="625">
        <f t="shared" si="40"/>
        <v>0</v>
      </c>
      <c r="L98" s="625">
        <f t="shared" si="40"/>
        <v>0</v>
      </c>
      <c r="M98" s="625">
        <f t="shared" si="40"/>
        <v>0</v>
      </c>
      <c r="N98" s="624">
        <f t="shared" si="41"/>
        <v>0</v>
      </c>
      <c r="O98" s="624">
        <f t="shared" si="41"/>
        <v>0</v>
      </c>
      <c r="P98" s="625">
        <f t="shared" si="41"/>
        <v>0</v>
      </c>
      <c r="Q98" s="624">
        <f t="shared" si="41"/>
        <v>0</v>
      </c>
      <c r="R98" s="253"/>
      <c r="S98" s="254"/>
      <c r="T98" s="255"/>
      <c r="U98" s="255"/>
      <c r="V98" s="255"/>
      <c r="W98" s="255"/>
      <c r="X98" s="255"/>
      <c r="Y98" s="256"/>
      <c r="Z98" s="254"/>
      <c r="AA98" s="255"/>
      <c r="AB98" s="255"/>
      <c r="AC98" s="255"/>
      <c r="AD98" s="255"/>
      <c r="AE98" s="256"/>
      <c r="AF98" s="254"/>
      <c r="AG98" s="255"/>
      <c r="AH98" s="254"/>
    </row>
    <row r="99" spans="1:36">
      <c r="A99" s="249"/>
      <c r="B99" s="239" t="s">
        <v>58</v>
      </c>
      <c r="C99" s="624">
        <f t="shared" si="40"/>
        <v>0</v>
      </c>
      <c r="D99" s="625">
        <f t="shared" si="40"/>
        <v>0</v>
      </c>
      <c r="E99" s="792">
        <f t="shared" si="40"/>
        <v>0</v>
      </c>
      <c r="F99" s="625">
        <f t="shared" si="40"/>
        <v>0</v>
      </c>
      <c r="G99" s="792">
        <f t="shared" si="40"/>
        <v>0</v>
      </c>
      <c r="H99" s="626">
        <f t="shared" si="40"/>
        <v>0</v>
      </c>
      <c r="I99" s="793">
        <f t="shared" si="40"/>
        <v>0</v>
      </c>
      <c r="J99" s="624">
        <f t="shared" si="40"/>
        <v>0</v>
      </c>
      <c r="K99" s="625">
        <f t="shared" si="40"/>
        <v>0</v>
      </c>
      <c r="L99" s="625">
        <f t="shared" si="40"/>
        <v>0</v>
      </c>
      <c r="M99" s="625">
        <f t="shared" si="40"/>
        <v>0</v>
      </c>
      <c r="N99" s="624">
        <f t="shared" si="41"/>
        <v>0</v>
      </c>
      <c r="O99" s="624">
        <f t="shared" si="41"/>
        <v>0</v>
      </c>
      <c r="P99" s="625">
        <f t="shared" si="41"/>
        <v>0</v>
      </c>
      <c r="Q99" s="624">
        <f t="shared" si="41"/>
        <v>0</v>
      </c>
      <c r="R99" s="253"/>
      <c r="S99" s="254"/>
      <c r="T99" s="255"/>
      <c r="U99" s="255"/>
      <c r="V99" s="255"/>
      <c r="W99" s="255"/>
      <c r="X99" s="255"/>
      <c r="Y99" s="256"/>
      <c r="Z99" s="254"/>
      <c r="AA99" s="255"/>
      <c r="AB99" s="255"/>
      <c r="AC99" s="255"/>
      <c r="AD99" s="255"/>
      <c r="AE99" s="256"/>
      <c r="AF99" s="254"/>
      <c r="AG99" s="255"/>
      <c r="AH99" s="254"/>
    </row>
    <row r="100" spans="1:36" s="406" customFormat="1">
      <c r="A100" s="435"/>
      <c r="B100" s="436" t="s">
        <v>59</v>
      </c>
      <c r="C100" s="577">
        <f t="shared" si="40"/>
        <v>0</v>
      </c>
      <c r="D100" s="578">
        <f t="shared" si="40"/>
        <v>0</v>
      </c>
      <c r="E100" s="578">
        <f t="shared" si="40"/>
        <v>0</v>
      </c>
      <c r="F100" s="578">
        <f t="shared" si="40"/>
        <v>0</v>
      </c>
      <c r="G100" s="578">
        <f t="shared" si="40"/>
        <v>0</v>
      </c>
      <c r="H100" s="579">
        <f t="shared" si="40"/>
        <v>0</v>
      </c>
      <c r="I100" s="577">
        <f t="shared" si="40"/>
        <v>0</v>
      </c>
      <c r="J100" s="577">
        <f t="shared" si="40"/>
        <v>0</v>
      </c>
      <c r="K100" s="578">
        <f t="shared" si="40"/>
        <v>0</v>
      </c>
      <c r="L100" s="578">
        <f t="shared" si="40"/>
        <v>0</v>
      </c>
      <c r="M100" s="578">
        <f t="shared" si="40"/>
        <v>0</v>
      </c>
      <c r="N100" s="577">
        <f t="shared" si="41"/>
        <v>0</v>
      </c>
      <c r="O100" s="577">
        <f t="shared" si="41"/>
        <v>0</v>
      </c>
      <c r="P100" s="578">
        <f t="shared" si="41"/>
        <v>0</v>
      </c>
      <c r="Q100" s="577">
        <f t="shared" si="41"/>
        <v>0</v>
      </c>
      <c r="R100" s="264"/>
      <c r="S100" s="265"/>
      <c r="T100" s="266"/>
      <c r="U100" s="266"/>
      <c r="V100" s="266"/>
      <c r="W100" s="266"/>
      <c r="X100" s="266"/>
      <c r="Y100" s="267"/>
      <c r="Z100" s="265"/>
      <c r="AA100" s="266"/>
      <c r="AB100" s="266"/>
      <c r="AC100" s="266"/>
      <c r="AD100" s="266"/>
      <c r="AE100" s="267"/>
      <c r="AF100" s="265"/>
      <c r="AG100" s="266"/>
      <c r="AH100" s="265"/>
      <c r="AI100" s="405"/>
      <c r="AJ100" s="405"/>
    </row>
    <row r="101" spans="1:36">
      <c r="A101" s="239" t="s">
        <v>15</v>
      </c>
      <c r="B101" s="240" t="s">
        <v>53</v>
      </c>
      <c r="C101" s="613">
        <f t="shared" ref="C101:M107" si="42">IF(S$107&gt;0,(S101/S$107),0)</f>
        <v>0</v>
      </c>
      <c r="D101" s="614">
        <f t="shared" si="42"/>
        <v>0</v>
      </c>
      <c r="E101" s="614">
        <f t="shared" si="42"/>
        <v>0</v>
      </c>
      <c r="F101" s="614">
        <f t="shared" si="42"/>
        <v>0</v>
      </c>
      <c r="G101" s="614">
        <f t="shared" si="42"/>
        <v>0</v>
      </c>
      <c r="H101" s="615">
        <f t="shared" si="42"/>
        <v>0</v>
      </c>
      <c r="I101" s="613">
        <f t="shared" si="42"/>
        <v>0</v>
      </c>
      <c r="J101" s="613">
        <f t="shared" si="42"/>
        <v>0</v>
      </c>
      <c r="K101" s="614">
        <f t="shared" si="42"/>
        <v>0</v>
      </c>
      <c r="L101" s="614">
        <f t="shared" si="42"/>
        <v>0</v>
      </c>
      <c r="M101" s="614">
        <f t="shared" si="42"/>
        <v>0</v>
      </c>
      <c r="N101" s="613">
        <f t="shared" ref="N101:Q107" si="43">IF(AE$107&gt;0,(AE101/AE$107),0)</f>
        <v>0</v>
      </c>
      <c r="O101" s="788">
        <f t="shared" si="43"/>
        <v>0</v>
      </c>
      <c r="P101" s="614">
        <f t="shared" si="43"/>
        <v>0</v>
      </c>
      <c r="Q101" s="788">
        <f t="shared" si="43"/>
        <v>0</v>
      </c>
      <c r="R101" s="244"/>
      <c r="S101" s="245"/>
      <c r="T101" s="246"/>
      <c r="U101" s="246"/>
      <c r="V101" s="246"/>
      <c r="W101" s="246"/>
      <c r="X101" s="246"/>
      <c r="Y101" s="247"/>
      <c r="Z101" s="245"/>
      <c r="AA101" s="246"/>
      <c r="AB101" s="246"/>
      <c r="AC101" s="246"/>
      <c r="AD101" s="246"/>
      <c r="AE101" s="247"/>
      <c r="AF101" s="245"/>
      <c r="AG101" s="246"/>
      <c r="AH101" s="245"/>
    </row>
    <row r="102" spans="1:36">
      <c r="A102" s="249"/>
      <c r="B102" s="239" t="s">
        <v>93</v>
      </c>
      <c r="C102" s="624">
        <f t="shared" si="42"/>
        <v>0</v>
      </c>
      <c r="D102" s="625">
        <f t="shared" si="42"/>
        <v>0</v>
      </c>
      <c r="E102" s="625">
        <f t="shared" si="42"/>
        <v>0</v>
      </c>
      <c r="F102" s="625">
        <f t="shared" si="42"/>
        <v>0</v>
      </c>
      <c r="G102" s="625">
        <f t="shared" si="42"/>
        <v>0</v>
      </c>
      <c r="H102" s="626">
        <f t="shared" si="42"/>
        <v>0</v>
      </c>
      <c r="I102" s="624">
        <f t="shared" si="42"/>
        <v>0</v>
      </c>
      <c r="J102" s="624">
        <f t="shared" si="42"/>
        <v>0</v>
      </c>
      <c r="K102" s="625">
        <f t="shared" si="42"/>
        <v>0</v>
      </c>
      <c r="L102" s="625">
        <f t="shared" si="42"/>
        <v>0</v>
      </c>
      <c r="M102" s="625">
        <f t="shared" si="42"/>
        <v>0</v>
      </c>
      <c r="N102" s="624">
        <f t="shared" si="43"/>
        <v>0</v>
      </c>
      <c r="O102" s="624">
        <f t="shared" si="43"/>
        <v>0</v>
      </c>
      <c r="P102" s="625">
        <f t="shared" si="43"/>
        <v>0</v>
      </c>
      <c r="Q102" s="624">
        <f t="shared" si="43"/>
        <v>0</v>
      </c>
      <c r="R102" s="253"/>
      <c r="S102" s="254"/>
      <c r="T102" s="255"/>
      <c r="U102" s="255"/>
      <c r="V102" s="255"/>
      <c r="W102" s="255"/>
      <c r="X102" s="255"/>
      <c r="Y102" s="256"/>
      <c r="Z102" s="254"/>
      <c r="AA102" s="255"/>
      <c r="AB102" s="255"/>
      <c r="AC102" s="255"/>
      <c r="AD102" s="255"/>
      <c r="AE102" s="256"/>
      <c r="AF102" s="254"/>
      <c r="AG102" s="255"/>
      <c r="AH102" s="254"/>
    </row>
    <row r="103" spans="1:36">
      <c r="A103" s="249"/>
      <c r="B103" s="239" t="s">
        <v>55</v>
      </c>
      <c r="C103" s="624">
        <f t="shared" si="42"/>
        <v>0</v>
      </c>
      <c r="D103" s="625">
        <f t="shared" si="42"/>
        <v>0</v>
      </c>
      <c r="E103" s="625">
        <f t="shared" si="42"/>
        <v>0</v>
      </c>
      <c r="F103" s="625">
        <f t="shared" si="42"/>
        <v>0</v>
      </c>
      <c r="G103" s="625">
        <f t="shared" si="42"/>
        <v>0</v>
      </c>
      <c r="H103" s="626">
        <f t="shared" si="42"/>
        <v>0</v>
      </c>
      <c r="I103" s="624">
        <f t="shared" si="42"/>
        <v>0</v>
      </c>
      <c r="J103" s="624">
        <f t="shared" si="42"/>
        <v>0</v>
      </c>
      <c r="K103" s="625">
        <f t="shared" si="42"/>
        <v>0</v>
      </c>
      <c r="L103" s="625">
        <f t="shared" si="42"/>
        <v>0</v>
      </c>
      <c r="M103" s="625">
        <f t="shared" si="42"/>
        <v>0</v>
      </c>
      <c r="N103" s="624">
        <f t="shared" si="43"/>
        <v>0</v>
      </c>
      <c r="O103" s="624">
        <f t="shared" si="43"/>
        <v>0</v>
      </c>
      <c r="P103" s="625">
        <f t="shared" si="43"/>
        <v>0</v>
      </c>
      <c r="Q103" s="624">
        <f t="shared" si="43"/>
        <v>0</v>
      </c>
      <c r="R103" s="253"/>
      <c r="S103" s="254"/>
      <c r="T103" s="255"/>
      <c r="U103" s="255"/>
      <c r="V103" s="255"/>
      <c r="W103" s="255"/>
      <c r="X103" s="255"/>
      <c r="Y103" s="256"/>
      <c r="Z103" s="254"/>
      <c r="AA103" s="255"/>
      <c r="AB103" s="255"/>
      <c r="AC103" s="255"/>
      <c r="AD103" s="255"/>
      <c r="AE103" s="256"/>
      <c r="AF103" s="254"/>
      <c r="AG103" s="255"/>
      <c r="AH103" s="254"/>
    </row>
    <row r="104" spans="1:36">
      <c r="A104" s="249"/>
      <c r="B104" s="239" t="s">
        <v>78</v>
      </c>
      <c r="C104" s="624">
        <f t="shared" si="42"/>
        <v>0</v>
      </c>
      <c r="D104" s="625">
        <f t="shared" si="42"/>
        <v>0</v>
      </c>
      <c r="E104" s="625">
        <f t="shared" si="42"/>
        <v>0</v>
      </c>
      <c r="F104" s="625">
        <f t="shared" si="42"/>
        <v>0</v>
      </c>
      <c r="G104" s="625">
        <f t="shared" si="42"/>
        <v>0</v>
      </c>
      <c r="H104" s="626">
        <f t="shared" si="42"/>
        <v>0</v>
      </c>
      <c r="I104" s="624">
        <f t="shared" si="42"/>
        <v>0</v>
      </c>
      <c r="J104" s="624">
        <f t="shared" si="42"/>
        <v>0</v>
      </c>
      <c r="K104" s="625">
        <f t="shared" si="42"/>
        <v>0</v>
      </c>
      <c r="L104" s="625">
        <f t="shared" si="42"/>
        <v>0</v>
      </c>
      <c r="M104" s="625">
        <f t="shared" si="42"/>
        <v>0</v>
      </c>
      <c r="N104" s="624">
        <f t="shared" si="43"/>
        <v>0</v>
      </c>
      <c r="O104" s="624">
        <f t="shared" si="43"/>
        <v>0</v>
      </c>
      <c r="P104" s="625">
        <f t="shared" si="43"/>
        <v>0</v>
      </c>
      <c r="Q104" s="624">
        <f t="shared" si="43"/>
        <v>0</v>
      </c>
      <c r="R104" s="253"/>
      <c r="S104" s="254"/>
      <c r="T104" s="255"/>
      <c r="U104" s="255"/>
      <c r="V104" s="255"/>
      <c r="W104" s="255"/>
      <c r="X104" s="255"/>
      <c r="Y104" s="256"/>
      <c r="Z104" s="254"/>
      <c r="AA104" s="255"/>
      <c r="AB104" s="255"/>
      <c r="AC104" s="255"/>
      <c r="AD104" s="255"/>
      <c r="AE104" s="256"/>
      <c r="AF104" s="254"/>
      <c r="AG104" s="255"/>
      <c r="AH104" s="254"/>
    </row>
    <row r="105" spans="1:36">
      <c r="A105" s="249"/>
      <c r="B105" s="239" t="s">
        <v>32</v>
      </c>
      <c r="C105" s="624">
        <f t="shared" si="42"/>
        <v>0</v>
      </c>
      <c r="D105" s="625">
        <f t="shared" si="42"/>
        <v>0</v>
      </c>
      <c r="E105" s="625">
        <f t="shared" si="42"/>
        <v>0</v>
      </c>
      <c r="F105" s="625">
        <f t="shared" si="42"/>
        <v>0</v>
      </c>
      <c r="G105" s="625">
        <f t="shared" si="42"/>
        <v>0</v>
      </c>
      <c r="H105" s="626">
        <f t="shared" si="42"/>
        <v>0</v>
      </c>
      <c r="I105" s="624">
        <f t="shared" si="42"/>
        <v>0</v>
      </c>
      <c r="J105" s="624">
        <f t="shared" si="42"/>
        <v>0</v>
      </c>
      <c r="K105" s="790">
        <f t="shared" si="42"/>
        <v>0</v>
      </c>
      <c r="L105" s="625">
        <f t="shared" si="42"/>
        <v>0</v>
      </c>
      <c r="M105" s="625">
        <f t="shared" si="42"/>
        <v>0</v>
      </c>
      <c r="N105" s="791">
        <f t="shared" si="43"/>
        <v>0</v>
      </c>
      <c r="O105" s="624">
        <f t="shared" si="43"/>
        <v>0</v>
      </c>
      <c r="P105" s="625">
        <f t="shared" si="43"/>
        <v>0</v>
      </c>
      <c r="Q105" s="624">
        <f t="shared" si="43"/>
        <v>0</v>
      </c>
      <c r="R105" s="253"/>
      <c r="S105" s="254"/>
      <c r="T105" s="255"/>
      <c r="U105" s="255"/>
      <c r="V105" s="255"/>
      <c r="W105" s="255"/>
      <c r="X105" s="255"/>
      <c r="Y105" s="256"/>
      <c r="Z105" s="254"/>
      <c r="AA105" s="255"/>
      <c r="AB105" s="255"/>
      <c r="AC105" s="255"/>
      <c r="AD105" s="255"/>
      <c r="AE105" s="256"/>
      <c r="AF105" s="254"/>
      <c r="AG105" s="255"/>
      <c r="AH105" s="254"/>
    </row>
    <row r="106" spans="1:36">
      <c r="A106" s="249"/>
      <c r="B106" s="239" t="s">
        <v>58</v>
      </c>
      <c r="C106" s="624">
        <f t="shared" si="42"/>
        <v>0</v>
      </c>
      <c r="D106" s="625">
        <f t="shared" si="42"/>
        <v>0</v>
      </c>
      <c r="E106" s="792">
        <f t="shared" si="42"/>
        <v>0</v>
      </c>
      <c r="F106" s="625">
        <f t="shared" si="42"/>
        <v>0</v>
      </c>
      <c r="G106" s="792">
        <f t="shared" si="42"/>
        <v>0</v>
      </c>
      <c r="H106" s="626">
        <f t="shared" si="42"/>
        <v>0</v>
      </c>
      <c r="I106" s="793">
        <f t="shared" si="42"/>
        <v>0</v>
      </c>
      <c r="J106" s="624">
        <f t="shared" si="42"/>
        <v>0</v>
      </c>
      <c r="K106" s="625">
        <f t="shared" si="42"/>
        <v>0</v>
      </c>
      <c r="L106" s="625">
        <f t="shared" si="42"/>
        <v>0</v>
      </c>
      <c r="M106" s="625">
        <f t="shared" si="42"/>
        <v>0</v>
      </c>
      <c r="N106" s="624">
        <f t="shared" si="43"/>
        <v>0</v>
      </c>
      <c r="O106" s="624">
        <f t="shared" si="43"/>
        <v>0</v>
      </c>
      <c r="P106" s="625">
        <f t="shared" si="43"/>
        <v>0</v>
      </c>
      <c r="Q106" s="624">
        <f t="shared" si="43"/>
        <v>0</v>
      </c>
      <c r="R106" s="253"/>
      <c r="S106" s="254"/>
      <c r="T106" s="255"/>
      <c r="U106" s="255"/>
      <c r="V106" s="255"/>
      <c r="W106" s="255"/>
      <c r="X106" s="255"/>
      <c r="Y106" s="256"/>
      <c r="Z106" s="254"/>
      <c r="AA106" s="255"/>
      <c r="AB106" s="255"/>
      <c r="AC106" s="255"/>
      <c r="AD106" s="255"/>
      <c r="AE106" s="256"/>
      <c r="AF106" s="254"/>
      <c r="AG106" s="255"/>
      <c r="AH106" s="254"/>
    </row>
    <row r="107" spans="1:36" s="406" customFormat="1">
      <c r="A107" s="435"/>
      <c r="B107" s="436" t="s">
        <v>59</v>
      </c>
      <c r="C107" s="577">
        <f t="shared" si="42"/>
        <v>0</v>
      </c>
      <c r="D107" s="578">
        <f t="shared" si="42"/>
        <v>0</v>
      </c>
      <c r="E107" s="578">
        <f t="shared" si="42"/>
        <v>0</v>
      </c>
      <c r="F107" s="578">
        <f t="shared" si="42"/>
        <v>0</v>
      </c>
      <c r="G107" s="578">
        <f t="shared" si="42"/>
        <v>0</v>
      </c>
      <c r="H107" s="579">
        <f t="shared" si="42"/>
        <v>0</v>
      </c>
      <c r="I107" s="577">
        <f t="shared" si="42"/>
        <v>0</v>
      </c>
      <c r="J107" s="577">
        <f t="shared" si="42"/>
        <v>0</v>
      </c>
      <c r="K107" s="578">
        <f t="shared" si="42"/>
        <v>0</v>
      </c>
      <c r="L107" s="578">
        <f t="shared" si="42"/>
        <v>0</v>
      </c>
      <c r="M107" s="578">
        <f t="shared" si="42"/>
        <v>0</v>
      </c>
      <c r="N107" s="577">
        <f t="shared" si="43"/>
        <v>0</v>
      </c>
      <c r="O107" s="577">
        <f t="shared" si="43"/>
        <v>0</v>
      </c>
      <c r="P107" s="578">
        <f t="shared" si="43"/>
        <v>0</v>
      </c>
      <c r="Q107" s="577">
        <f t="shared" si="43"/>
        <v>0</v>
      </c>
      <c r="R107" s="264"/>
      <c r="S107" s="265"/>
      <c r="T107" s="266"/>
      <c r="U107" s="266"/>
      <c r="V107" s="266"/>
      <c r="W107" s="266"/>
      <c r="X107" s="266"/>
      <c r="Y107" s="267"/>
      <c r="Z107" s="265"/>
      <c r="AA107" s="266"/>
      <c r="AB107" s="266"/>
      <c r="AC107" s="266"/>
      <c r="AD107" s="266"/>
      <c r="AE107" s="267"/>
      <c r="AF107" s="265"/>
      <c r="AG107" s="266"/>
      <c r="AH107" s="265"/>
      <c r="AI107" s="405"/>
      <c r="AJ107" s="405"/>
    </row>
    <row r="108" spans="1:36">
      <c r="A108" s="239" t="s">
        <v>16</v>
      </c>
      <c r="B108" s="240" t="s">
        <v>53</v>
      </c>
      <c r="C108" s="613">
        <f t="shared" ref="C108:M114" si="44">IF(S$114&gt;0,(S108/S$114),0)</f>
        <v>0</v>
      </c>
      <c r="D108" s="614">
        <f t="shared" si="44"/>
        <v>0</v>
      </c>
      <c r="E108" s="614">
        <f t="shared" si="44"/>
        <v>0</v>
      </c>
      <c r="F108" s="614">
        <f t="shared" si="44"/>
        <v>0</v>
      </c>
      <c r="G108" s="614">
        <f t="shared" si="44"/>
        <v>0</v>
      </c>
      <c r="H108" s="615">
        <f t="shared" si="44"/>
        <v>0</v>
      </c>
      <c r="I108" s="613">
        <f t="shared" si="44"/>
        <v>0</v>
      </c>
      <c r="J108" s="613">
        <f t="shared" si="44"/>
        <v>0</v>
      </c>
      <c r="K108" s="614">
        <f t="shared" si="44"/>
        <v>0</v>
      </c>
      <c r="L108" s="614">
        <f t="shared" si="44"/>
        <v>0</v>
      </c>
      <c r="M108" s="614">
        <f t="shared" si="44"/>
        <v>0</v>
      </c>
      <c r="N108" s="613">
        <f t="shared" ref="N108:Q114" si="45">IF(AE$114&gt;0,(AE108/AE$114),0)</f>
        <v>0</v>
      </c>
      <c r="O108" s="788">
        <f t="shared" si="45"/>
        <v>0</v>
      </c>
      <c r="P108" s="614">
        <f t="shared" si="45"/>
        <v>0</v>
      </c>
      <c r="Q108" s="788">
        <f t="shared" si="45"/>
        <v>0</v>
      </c>
      <c r="R108" s="244"/>
      <c r="S108" s="245"/>
      <c r="T108" s="246"/>
      <c r="U108" s="246"/>
      <c r="V108" s="246"/>
      <c r="W108" s="246"/>
      <c r="X108" s="246"/>
      <c r="Y108" s="247"/>
      <c r="Z108" s="245"/>
      <c r="AA108" s="246"/>
      <c r="AB108" s="246"/>
      <c r="AC108" s="246"/>
      <c r="AD108" s="246"/>
      <c r="AE108" s="247"/>
      <c r="AF108" s="245"/>
      <c r="AG108" s="246"/>
      <c r="AH108" s="245"/>
    </row>
    <row r="109" spans="1:36">
      <c r="A109" s="249"/>
      <c r="B109" s="239" t="s">
        <v>93</v>
      </c>
      <c r="C109" s="624">
        <f t="shared" si="44"/>
        <v>0</v>
      </c>
      <c r="D109" s="625">
        <f t="shared" si="44"/>
        <v>0</v>
      </c>
      <c r="E109" s="625">
        <f t="shared" si="44"/>
        <v>0</v>
      </c>
      <c r="F109" s="625">
        <f t="shared" si="44"/>
        <v>0</v>
      </c>
      <c r="G109" s="625">
        <f t="shared" si="44"/>
        <v>0</v>
      </c>
      <c r="H109" s="626">
        <f t="shared" si="44"/>
        <v>0</v>
      </c>
      <c r="I109" s="624">
        <f t="shared" si="44"/>
        <v>0</v>
      </c>
      <c r="J109" s="624">
        <f t="shared" si="44"/>
        <v>0</v>
      </c>
      <c r="K109" s="625">
        <f t="shared" si="44"/>
        <v>0</v>
      </c>
      <c r="L109" s="625">
        <f t="shared" si="44"/>
        <v>0</v>
      </c>
      <c r="M109" s="625">
        <f t="shared" si="44"/>
        <v>0</v>
      </c>
      <c r="N109" s="624">
        <f t="shared" si="45"/>
        <v>0</v>
      </c>
      <c r="O109" s="624">
        <f t="shared" si="45"/>
        <v>0</v>
      </c>
      <c r="P109" s="625">
        <f t="shared" si="45"/>
        <v>0</v>
      </c>
      <c r="Q109" s="624">
        <f t="shared" si="45"/>
        <v>0</v>
      </c>
      <c r="R109" s="253"/>
      <c r="S109" s="254"/>
      <c r="T109" s="255"/>
      <c r="U109" s="255"/>
      <c r="V109" s="255"/>
      <c r="W109" s="255"/>
      <c r="X109" s="255"/>
      <c r="Y109" s="256"/>
      <c r="Z109" s="254"/>
      <c r="AA109" s="255"/>
      <c r="AB109" s="255"/>
      <c r="AC109" s="255"/>
      <c r="AD109" s="255"/>
      <c r="AE109" s="256"/>
      <c r="AF109" s="254"/>
      <c r="AG109" s="255"/>
      <c r="AH109" s="254"/>
    </row>
    <row r="110" spans="1:36">
      <c r="A110" s="249"/>
      <c r="B110" s="239" t="s">
        <v>55</v>
      </c>
      <c r="C110" s="624">
        <f t="shared" si="44"/>
        <v>0</v>
      </c>
      <c r="D110" s="625">
        <f t="shared" si="44"/>
        <v>0</v>
      </c>
      <c r="E110" s="625">
        <f t="shared" si="44"/>
        <v>0</v>
      </c>
      <c r="F110" s="625">
        <f t="shared" si="44"/>
        <v>0</v>
      </c>
      <c r="G110" s="625">
        <f t="shared" si="44"/>
        <v>0</v>
      </c>
      <c r="H110" s="626">
        <f t="shared" si="44"/>
        <v>0</v>
      </c>
      <c r="I110" s="624">
        <f t="shared" si="44"/>
        <v>0</v>
      </c>
      <c r="J110" s="624">
        <f t="shared" si="44"/>
        <v>0</v>
      </c>
      <c r="K110" s="625">
        <f t="shared" si="44"/>
        <v>0</v>
      </c>
      <c r="L110" s="625">
        <f t="shared" si="44"/>
        <v>0</v>
      </c>
      <c r="M110" s="625">
        <f t="shared" si="44"/>
        <v>0</v>
      </c>
      <c r="N110" s="624">
        <f t="shared" si="45"/>
        <v>0</v>
      </c>
      <c r="O110" s="624">
        <f t="shared" si="45"/>
        <v>0</v>
      </c>
      <c r="P110" s="625">
        <f t="shared" si="45"/>
        <v>0</v>
      </c>
      <c r="Q110" s="624">
        <f t="shared" si="45"/>
        <v>0</v>
      </c>
      <c r="R110" s="253"/>
      <c r="S110" s="254"/>
      <c r="T110" s="255"/>
      <c r="U110" s="255"/>
      <c r="V110" s="255"/>
      <c r="W110" s="255"/>
      <c r="X110" s="255"/>
      <c r="Y110" s="256"/>
      <c r="Z110" s="254"/>
      <c r="AA110" s="255"/>
      <c r="AB110" s="255"/>
      <c r="AC110" s="255"/>
      <c r="AD110" s="255"/>
      <c r="AE110" s="256"/>
      <c r="AF110" s="254"/>
      <c r="AG110" s="255"/>
      <c r="AH110" s="254"/>
    </row>
    <row r="111" spans="1:36">
      <c r="A111" s="249"/>
      <c r="B111" s="239" t="s">
        <v>78</v>
      </c>
      <c r="C111" s="624">
        <f t="shared" si="44"/>
        <v>0</v>
      </c>
      <c r="D111" s="625">
        <f t="shared" si="44"/>
        <v>0</v>
      </c>
      <c r="E111" s="625">
        <f t="shared" si="44"/>
        <v>0</v>
      </c>
      <c r="F111" s="625">
        <f t="shared" si="44"/>
        <v>0</v>
      </c>
      <c r="G111" s="625">
        <f t="shared" si="44"/>
        <v>0</v>
      </c>
      <c r="H111" s="626">
        <f t="shared" si="44"/>
        <v>0</v>
      </c>
      <c r="I111" s="624">
        <f t="shared" si="44"/>
        <v>0</v>
      </c>
      <c r="J111" s="624">
        <f t="shared" si="44"/>
        <v>0</v>
      </c>
      <c r="K111" s="625">
        <f t="shared" si="44"/>
        <v>0</v>
      </c>
      <c r="L111" s="625">
        <f t="shared" si="44"/>
        <v>0</v>
      </c>
      <c r="M111" s="625">
        <f t="shared" si="44"/>
        <v>0</v>
      </c>
      <c r="N111" s="624">
        <f t="shared" si="45"/>
        <v>0</v>
      </c>
      <c r="O111" s="624">
        <f t="shared" si="45"/>
        <v>0</v>
      </c>
      <c r="P111" s="625">
        <f t="shared" si="45"/>
        <v>0</v>
      </c>
      <c r="Q111" s="624">
        <f t="shared" si="45"/>
        <v>0</v>
      </c>
      <c r="R111" s="253"/>
      <c r="S111" s="254"/>
      <c r="T111" s="255"/>
      <c r="U111" s="255"/>
      <c r="V111" s="255"/>
      <c r="W111" s="255"/>
      <c r="X111" s="255"/>
      <c r="Y111" s="256"/>
      <c r="Z111" s="254"/>
      <c r="AA111" s="255"/>
      <c r="AB111" s="255"/>
      <c r="AC111" s="255"/>
      <c r="AD111" s="255"/>
      <c r="AE111" s="256"/>
      <c r="AF111" s="254"/>
      <c r="AG111" s="255"/>
      <c r="AH111" s="254"/>
    </row>
    <row r="112" spans="1:36">
      <c r="A112" s="249"/>
      <c r="B112" s="239" t="s">
        <v>32</v>
      </c>
      <c r="C112" s="624">
        <f t="shared" si="44"/>
        <v>0</v>
      </c>
      <c r="D112" s="625">
        <f t="shared" si="44"/>
        <v>0</v>
      </c>
      <c r="E112" s="625">
        <f t="shared" si="44"/>
        <v>0</v>
      </c>
      <c r="F112" s="625">
        <f t="shared" si="44"/>
        <v>0</v>
      </c>
      <c r="G112" s="625">
        <f t="shared" si="44"/>
        <v>0</v>
      </c>
      <c r="H112" s="626">
        <f t="shared" si="44"/>
        <v>0</v>
      </c>
      <c r="I112" s="624">
        <f t="shared" si="44"/>
        <v>0</v>
      </c>
      <c r="J112" s="624">
        <f t="shared" si="44"/>
        <v>0</v>
      </c>
      <c r="K112" s="625">
        <f t="shared" si="44"/>
        <v>0</v>
      </c>
      <c r="L112" s="790">
        <f t="shared" si="44"/>
        <v>0</v>
      </c>
      <c r="M112" s="790">
        <f t="shared" si="44"/>
        <v>0</v>
      </c>
      <c r="N112" s="624">
        <f t="shared" si="45"/>
        <v>0</v>
      </c>
      <c r="O112" s="624">
        <f t="shared" si="45"/>
        <v>0</v>
      </c>
      <c r="P112" s="625">
        <f t="shared" si="45"/>
        <v>0</v>
      </c>
      <c r="Q112" s="624">
        <f t="shared" si="45"/>
        <v>0</v>
      </c>
      <c r="R112" s="253"/>
      <c r="S112" s="254"/>
      <c r="T112" s="255"/>
      <c r="U112" s="255"/>
      <c r="V112" s="255"/>
      <c r="W112" s="255"/>
      <c r="X112" s="255"/>
      <c r="Y112" s="256"/>
      <c r="Z112" s="254"/>
      <c r="AA112" s="255"/>
      <c r="AB112" s="255"/>
      <c r="AC112" s="255"/>
      <c r="AD112" s="255"/>
      <c r="AE112" s="256"/>
      <c r="AF112" s="254"/>
      <c r="AG112" s="255"/>
      <c r="AH112" s="254"/>
    </row>
    <row r="113" spans="1:36">
      <c r="A113" s="249"/>
      <c r="B113" s="239" t="s">
        <v>58</v>
      </c>
      <c r="C113" s="624">
        <f t="shared" si="44"/>
        <v>0</v>
      </c>
      <c r="D113" s="625">
        <f t="shared" si="44"/>
        <v>0</v>
      </c>
      <c r="E113" s="625">
        <f t="shared" si="44"/>
        <v>0</v>
      </c>
      <c r="F113" s="625">
        <f t="shared" si="44"/>
        <v>0</v>
      </c>
      <c r="G113" s="625">
        <f t="shared" si="44"/>
        <v>0</v>
      </c>
      <c r="H113" s="626">
        <f t="shared" si="44"/>
        <v>0</v>
      </c>
      <c r="I113" s="624">
        <f t="shared" si="44"/>
        <v>0</v>
      </c>
      <c r="J113" s="624">
        <f t="shared" si="44"/>
        <v>0</v>
      </c>
      <c r="K113" s="625">
        <f t="shared" si="44"/>
        <v>0</v>
      </c>
      <c r="L113" s="625">
        <f t="shared" si="44"/>
        <v>0</v>
      </c>
      <c r="M113" s="625">
        <f t="shared" si="44"/>
        <v>0</v>
      </c>
      <c r="N113" s="624">
        <f t="shared" si="45"/>
        <v>0</v>
      </c>
      <c r="O113" s="624">
        <f t="shared" si="45"/>
        <v>0</v>
      </c>
      <c r="P113" s="625">
        <f t="shared" si="45"/>
        <v>0</v>
      </c>
      <c r="Q113" s="624">
        <f t="shared" si="45"/>
        <v>0</v>
      </c>
      <c r="R113" s="253"/>
      <c r="S113" s="254"/>
      <c r="T113" s="255"/>
      <c r="U113" s="255"/>
      <c r="V113" s="255"/>
      <c r="W113" s="255"/>
      <c r="X113" s="255"/>
      <c r="Y113" s="256"/>
      <c r="Z113" s="254"/>
      <c r="AA113" s="255"/>
      <c r="AB113" s="255"/>
      <c r="AC113" s="255"/>
      <c r="AD113" s="255"/>
      <c r="AE113" s="256"/>
      <c r="AF113" s="254"/>
      <c r="AG113" s="255"/>
      <c r="AH113" s="254"/>
    </row>
    <row r="114" spans="1:36" s="406" customFormat="1">
      <c r="A114" s="435"/>
      <c r="B114" s="436" t="s">
        <v>59</v>
      </c>
      <c r="C114" s="577">
        <f t="shared" si="44"/>
        <v>0</v>
      </c>
      <c r="D114" s="578">
        <f t="shared" si="44"/>
        <v>0</v>
      </c>
      <c r="E114" s="578">
        <f t="shared" si="44"/>
        <v>0</v>
      </c>
      <c r="F114" s="578">
        <f t="shared" si="44"/>
        <v>0</v>
      </c>
      <c r="G114" s="578">
        <f t="shared" si="44"/>
        <v>0</v>
      </c>
      <c r="H114" s="579">
        <f t="shared" si="44"/>
        <v>0</v>
      </c>
      <c r="I114" s="577">
        <f t="shared" si="44"/>
        <v>0</v>
      </c>
      <c r="J114" s="577">
        <f t="shared" si="44"/>
        <v>0</v>
      </c>
      <c r="K114" s="578">
        <f t="shared" si="44"/>
        <v>0</v>
      </c>
      <c r="L114" s="578">
        <f t="shared" si="44"/>
        <v>0</v>
      </c>
      <c r="M114" s="578">
        <f t="shared" si="44"/>
        <v>0</v>
      </c>
      <c r="N114" s="577">
        <f t="shared" si="45"/>
        <v>0</v>
      </c>
      <c r="O114" s="577">
        <f t="shared" si="45"/>
        <v>0</v>
      </c>
      <c r="P114" s="578">
        <f t="shared" si="45"/>
        <v>0</v>
      </c>
      <c r="Q114" s="577">
        <f t="shared" si="45"/>
        <v>0</v>
      </c>
      <c r="R114" s="264"/>
      <c r="S114" s="265"/>
      <c r="T114" s="266"/>
      <c r="U114" s="266"/>
      <c r="V114" s="266"/>
      <c r="W114" s="266"/>
      <c r="X114" s="266"/>
      <c r="Y114" s="267"/>
      <c r="Z114" s="265"/>
      <c r="AA114" s="266"/>
      <c r="AB114" s="266"/>
      <c r="AC114" s="266"/>
      <c r="AD114" s="266"/>
      <c r="AE114" s="267"/>
      <c r="AF114" s="265"/>
      <c r="AG114" s="266"/>
      <c r="AH114" s="265"/>
      <c r="AI114" s="405"/>
      <c r="AJ114" s="405"/>
    </row>
    <row r="115" spans="1:36">
      <c r="A115" s="239" t="s">
        <v>17</v>
      </c>
      <c r="B115" s="240" t="s">
        <v>53</v>
      </c>
      <c r="C115" s="613">
        <f t="shared" ref="C115:M121" si="46">IF(S$121&gt;0,(S115/S$121),0)</f>
        <v>0</v>
      </c>
      <c r="D115" s="614">
        <f t="shared" si="46"/>
        <v>0</v>
      </c>
      <c r="E115" s="614">
        <f t="shared" si="46"/>
        <v>0</v>
      </c>
      <c r="F115" s="614">
        <f t="shared" si="46"/>
        <v>0</v>
      </c>
      <c r="G115" s="614">
        <f t="shared" si="46"/>
        <v>0</v>
      </c>
      <c r="H115" s="615">
        <f t="shared" si="46"/>
        <v>0</v>
      </c>
      <c r="I115" s="613">
        <f t="shared" si="46"/>
        <v>0</v>
      </c>
      <c r="J115" s="613">
        <f t="shared" si="46"/>
        <v>0</v>
      </c>
      <c r="K115" s="614">
        <f t="shared" si="46"/>
        <v>0</v>
      </c>
      <c r="L115" s="614">
        <f t="shared" si="46"/>
        <v>0</v>
      </c>
      <c r="M115" s="614">
        <f t="shared" si="46"/>
        <v>0</v>
      </c>
      <c r="N115" s="613">
        <f t="shared" ref="N115:Q121" si="47">IF(AE$121&gt;0,(AE115/AE$121),0)</f>
        <v>0</v>
      </c>
      <c r="O115" s="788">
        <f t="shared" si="47"/>
        <v>0</v>
      </c>
      <c r="P115" s="614">
        <f t="shared" si="47"/>
        <v>0</v>
      </c>
      <c r="Q115" s="788">
        <f t="shared" si="47"/>
        <v>0</v>
      </c>
      <c r="R115" s="244"/>
      <c r="S115" s="245"/>
      <c r="T115" s="246"/>
      <c r="U115" s="246"/>
      <c r="V115" s="246"/>
      <c r="W115" s="246"/>
      <c r="X115" s="246"/>
      <c r="Y115" s="247"/>
      <c r="Z115" s="245"/>
      <c r="AA115" s="246"/>
      <c r="AB115" s="246"/>
      <c r="AC115" s="246"/>
      <c r="AD115" s="246"/>
      <c r="AE115" s="247"/>
      <c r="AF115" s="245"/>
      <c r="AG115" s="246"/>
      <c r="AH115" s="245"/>
    </row>
    <row r="116" spans="1:36">
      <c r="A116" s="249"/>
      <c r="B116" s="239" t="s">
        <v>93</v>
      </c>
      <c r="C116" s="624">
        <f t="shared" si="46"/>
        <v>0</v>
      </c>
      <c r="D116" s="625">
        <f t="shared" si="46"/>
        <v>0</v>
      </c>
      <c r="E116" s="625">
        <f t="shared" si="46"/>
        <v>0</v>
      </c>
      <c r="F116" s="625">
        <f t="shared" si="46"/>
        <v>0</v>
      </c>
      <c r="G116" s="625">
        <f t="shared" si="46"/>
        <v>0</v>
      </c>
      <c r="H116" s="626">
        <f t="shared" si="46"/>
        <v>0</v>
      </c>
      <c r="I116" s="624">
        <f t="shared" si="46"/>
        <v>0</v>
      </c>
      <c r="J116" s="624">
        <f t="shared" si="46"/>
        <v>0</v>
      </c>
      <c r="K116" s="625">
        <f t="shared" si="46"/>
        <v>0</v>
      </c>
      <c r="L116" s="625">
        <f t="shared" si="46"/>
        <v>0</v>
      </c>
      <c r="M116" s="625">
        <f t="shared" si="46"/>
        <v>0</v>
      </c>
      <c r="N116" s="624">
        <f t="shared" si="47"/>
        <v>0</v>
      </c>
      <c r="O116" s="624">
        <f t="shared" si="47"/>
        <v>0</v>
      </c>
      <c r="P116" s="625">
        <f t="shared" si="47"/>
        <v>0</v>
      </c>
      <c r="Q116" s="624">
        <f t="shared" si="47"/>
        <v>0</v>
      </c>
      <c r="R116" s="253"/>
      <c r="S116" s="254"/>
      <c r="T116" s="255"/>
      <c r="U116" s="255"/>
      <c r="V116" s="255"/>
      <c r="W116" s="255"/>
      <c r="X116" s="255"/>
      <c r="Y116" s="256"/>
      <c r="Z116" s="254"/>
      <c r="AA116" s="255"/>
      <c r="AB116" s="255"/>
      <c r="AC116" s="255"/>
      <c r="AD116" s="255"/>
      <c r="AE116" s="256"/>
      <c r="AF116" s="254"/>
      <c r="AG116" s="255"/>
      <c r="AH116" s="254"/>
    </row>
    <row r="117" spans="1:36">
      <c r="A117" s="249"/>
      <c r="B117" s="239" t="s">
        <v>55</v>
      </c>
      <c r="C117" s="624">
        <f t="shared" si="46"/>
        <v>0</v>
      </c>
      <c r="D117" s="625">
        <f t="shared" si="46"/>
        <v>0</v>
      </c>
      <c r="E117" s="625">
        <f t="shared" si="46"/>
        <v>0</v>
      </c>
      <c r="F117" s="625">
        <f t="shared" si="46"/>
        <v>0</v>
      </c>
      <c r="G117" s="625">
        <f t="shared" si="46"/>
        <v>0</v>
      </c>
      <c r="H117" s="626">
        <f t="shared" si="46"/>
        <v>0</v>
      </c>
      <c r="I117" s="624">
        <f t="shared" si="46"/>
        <v>0</v>
      </c>
      <c r="J117" s="624">
        <f t="shared" si="46"/>
        <v>0</v>
      </c>
      <c r="K117" s="625">
        <f t="shared" si="46"/>
        <v>0</v>
      </c>
      <c r="L117" s="625">
        <f t="shared" si="46"/>
        <v>0</v>
      </c>
      <c r="M117" s="625">
        <f t="shared" si="46"/>
        <v>0</v>
      </c>
      <c r="N117" s="624">
        <f t="shared" si="47"/>
        <v>0</v>
      </c>
      <c r="O117" s="624">
        <f t="shared" si="47"/>
        <v>0</v>
      </c>
      <c r="P117" s="625">
        <f t="shared" si="47"/>
        <v>0</v>
      </c>
      <c r="Q117" s="624">
        <f t="shared" si="47"/>
        <v>0</v>
      </c>
      <c r="R117" s="253"/>
      <c r="S117" s="254"/>
      <c r="T117" s="255"/>
      <c r="U117" s="255"/>
      <c r="V117" s="255"/>
      <c r="W117" s="255"/>
      <c r="X117" s="255"/>
      <c r="Y117" s="256"/>
      <c r="Z117" s="254"/>
      <c r="AA117" s="255"/>
      <c r="AB117" s="255"/>
      <c r="AC117" s="255"/>
      <c r="AD117" s="255"/>
      <c r="AE117" s="256"/>
      <c r="AF117" s="254"/>
      <c r="AG117" s="255"/>
      <c r="AH117" s="254"/>
    </row>
    <row r="118" spans="1:36">
      <c r="A118" s="249"/>
      <c r="B118" s="239" t="s">
        <v>78</v>
      </c>
      <c r="C118" s="624">
        <f t="shared" si="46"/>
        <v>0</v>
      </c>
      <c r="D118" s="625">
        <f t="shared" si="46"/>
        <v>0</v>
      </c>
      <c r="E118" s="625">
        <f t="shared" si="46"/>
        <v>0</v>
      </c>
      <c r="F118" s="625">
        <f t="shared" si="46"/>
        <v>0</v>
      </c>
      <c r="G118" s="625">
        <f t="shared" si="46"/>
        <v>0</v>
      </c>
      <c r="H118" s="626">
        <f t="shared" si="46"/>
        <v>0</v>
      </c>
      <c r="I118" s="624">
        <f t="shared" si="46"/>
        <v>0</v>
      </c>
      <c r="J118" s="624">
        <f t="shared" si="46"/>
        <v>0</v>
      </c>
      <c r="K118" s="625">
        <f t="shared" si="46"/>
        <v>0</v>
      </c>
      <c r="L118" s="625">
        <f t="shared" si="46"/>
        <v>0</v>
      </c>
      <c r="M118" s="625">
        <f t="shared" si="46"/>
        <v>0</v>
      </c>
      <c r="N118" s="624">
        <f t="shared" si="47"/>
        <v>0</v>
      </c>
      <c r="O118" s="624">
        <f t="shared" si="47"/>
        <v>0</v>
      </c>
      <c r="P118" s="625">
        <f t="shared" si="47"/>
        <v>0</v>
      </c>
      <c r="Q118" s="624">
        <f t="shared" si="47"/>
        <v>0</v>
      </c>
      <c r="R118" s="253"/>
      <c r="S118" s="254"/>
      <c r="T118" s="255"/>
      <c r="U118" s="255"/>
      <c r="V118" s="255"/>
      <c r="W118" s="255"/>
      <c r="X118" s="255"/>
      <c r="Y118" s="256"/>
      <c r="Z118" s="254"/>
      <c r="AA118" s="255"/>
      <c r="AB118" s="255"/>
      <c r="AC118" s="255"/>
      <c r="AD118" s="255"/>
      <c r="AE118" s="256"/>
      <c r="AF118" s="254"/>
      <c r="AG118" s="255"/>
      <c r="AH118" s="254"/>
    </row>
    <row r="119" spans="1:36">
      <c r="A119" s="249"/>
      <c r="B119" s="239" t="s">
        <v>32</v>
      </c>
      <c r="C119" s="624">
        <f t="shared" si="46"/>
        <v>0</v>
      </c>
      <c r="D119" s="625">
        <f t="shared" si="46"/>
        <v>0</v>
      </c>
      <c r="E119" s="625">
        <f t="shared" si="46"/>
        <v>0</v>
      </c>
      <c r="F119" s="625">
        <f t="shared" si="46"/>
        <v>0</v>
      </c>
      <c r="G119" s="625">
        <f t="shared" si="46"/>
        <v>0</v>
      </c>
      <c r="H119" s="626">
        <f t="shared" si="46"/>
        <v>0</v>
      </c>
      <c r="I119" s="624">
        <f t="shared" si="46"/>
        <v>0</v>
      </c>
      <c r="J119" s="624">
        <f t="shared" si="46"/>
        <v>0</v>
      </c>
      <c r="K119" s="625">
        <f t="shared" si="46"/>
        <v>0</v>
      </c>
      <c r="L119" s="625">
        <f t="shared" si="46"/>
        <v>0</v>
      </c>
      <c r="M119" s="625">
        <f t="shared" si="46"/>
        <v>0</v>
      </c>
      <c r="N119" s="793">
        <f t="shared" si="47"/>
        <v>0</v>
      </c>
      <c r="O119" s="624">
        <f t="shared" si="47"/>
        <v>0</v>
      </c>
      <c r="P119" s="625">
        <f t="shared" si="47"/>
        <v>0</v>
      </c>
      <c r="Q119" s="624">
        <f t="shared" si="47"/>
        <v>0</v>
      </c>
      <c r="R119" s="253"/>
      <c r="S119" s="254"/>
      <c r="T119" s="255"/>
      <c r="U119" s="255"/>
      <c r="V119" s="255"/>
      <c r="W119" s="255"/>
      <c r="X119" s="255"/>
      <c r="Y119" s="256"/>
      <c r="Z119" s="254"/>
      <c r="AA119" s="255"/>
      <c r="AB119" s="255"/>
      <c r="AC119" s="255"/>
      <c r="AD119" s="255"/>
      <c r="AE119" s="256"/>
      <c r="AF119" s="254"/>
      <c r="AG119" s="255"/>
      <c r="AH119" s="254"/>
    </row>
    <row r="120" spans="1:36">
      <c r="A120" s="249"/>
      <c r="B120" s="239" t="s">
        <v>58</v>
      </c>
      <c r="C120" s="624">
        <f t="shared" si="46"/>
        <v>0</v>
      </c>
      <c r="D120" s="625">
        <f t="shared" si="46"/>
        <v>0</v>
      </c>
      <c r="E120" s="792">
        <f t="shared" si="46"/>
        <v>0</v>
      </c>
      <c r="F120" s="625">
        <f t="shared" si="46"/>
        <v>0</v>
      </c>
      <c r="G120" s="792">
        <f t="shared" si="46"/>
        <v>0</v>
      </c>
      <c r="H120" s="626">
        <f t="shared" si="46"/>
        <v>0</v>
      </c>
      <c r="I120" s="793">
        <f t="shared" si="46"/>
        <v>0</v>
      </c>
      <c r="J120" s="624">
        <f t="shared" si="46"/>
        <v>0</v>
      </c>
      <c r="K120" s="625">
        <f t="shared" si="46"/>
        <v>0</v>
      </c>
      <c r="L120" s="625">
        <f t="shared" si="46"/>
        <v>0</v>
      </c>
      <c r="M120" s="625">
        <f t="shared" si="46"/>
        <v>0</v>
      </c>
      <c r="N120" s="624">
        <f t="shared" si="47"/>
        <v>0</v>
      </c>
      <c r="O120" s="624">
        <f t="shared" si="47"/>
        <v>0</v>
      </c>
      <c r="P120" s="625">
        <f t="shared" si="47"/>
        <v>0</v>
      </c>
      <c r="Q120" s="624">
        <f t="shared" si="47"/>
        <v>0</v>
      </c>
      <c r="R120" s="253"/>
      <c r="S120" s="254"/>
      <c r="T120" s="255"/>
      <c r="U120" s="255"/>
      <c r="V120" s="255"/>
      <c r="W120" s="255"/>
      <c r="X120" s="255"/>
      <c r="Y120" s="256"/>
      <c r="Z120" s="254"/>
      <c r="AA120" s="255"/>
      <c r="AB120" s="255"/>
      <c r="AC120" s="255"/>
      <c r="AD120" s="255"/>
      <c r="AE120" s="256"/>
      <c r="AF120" s="254"/>
      <c r="AG120" s="255"/>
      <c r="AH120" s="254"/>
    </row>
    <row r="121" spans="1:36" s="406" customFormat="1">
      <c r="A121" s="435"/>
      <c r="B121" s="436" t="s">
        <v>59</v>
      </c>
      <c r="C121" s="577">
        <f t="shared" si="46"/>
        <v>0</v>
      </c>
      <c r="D121" s="578">
        <f t="shared" si="46"/>
        <v>0</v>
      </c>
      <c r="E121" s="578">
        <f t="shared" si="46"/>
        <v>0</v>
      </c>
      <c r="F121" s="578">
        <f t="shared" si="46"/>
        <v>0</v>
      </c>
      <c r="G121" s="578">
        <f t="shared" si="46"/>
        <v>0</v>
      </c>
      <c r="H121" s="579">
        <f t="shared" si="46"/>
        <v>0</v>
      </c>
      <c r="I121" s="577">
        <f t="shared" si="46"/>
        <v>0</v>
      </c>
      <c r="J121" s="577">
        <f t="shared" si="46"/>
        <v>0</v>
      </c>
      <c r="K121" s="578">
        <f t="shared" si="46"/>
        <v>0</v>
      </c>
      <c r="L121" s="578">
        <f t="shared" si="46"/>
        <v>0</v>
      </c>
      <c r="M121" s="578">
        <f t="shared" si="46"/>
        <v>0</v>
      </c>
      <c r="N121" s="577">
        <f t="shared" si="47"/>
        <v>0</v>
      </c>
      <c r="O121" s="577">
        <f t="shared" si="47"/>
        <v>0</v>
      </c>
      <c r="P121" s="578">
        <f t="shared" si="47"/>
        <v>0</v>
      </c>
      <c r="Q121" s="577">
        <f t="shared" si="47"/>
        <v>0</v>
      </c>
      <c r="R121" s="264"/>
      <c r="S121" s="265"/>
      <c r="T121" s="266"/>
      <c r="U121" s="266"/>
      <c r="V121" s="266"/>
      <c r="W121" s="266"/>
      <c r="X121" s="266"/>
      <c r="Y121" s="267"/>
      <c r="Z121" s="265"/>
      <c r="AA121" s="266"/>
      <c r="AB121" s="266"/>
      <c r="AC121" s="266"/>
      <c r="AD121" s="266"/>
      <c r="AE121" s="267"/>
      <c r="AF121" s="265"/>
      <c r="AG121" s="266"/>
      <c r="AH121" s="265"/>
      <c r="AI121" s="405"/>
      <c r="AJ121" s="405"/>
    </row>
    <row r="122" spans="1:36">
      <c r="A122" s="239" t="s">
        <v>18</v>
      </c>
      <c r="B122" s="240" t="s">
        <v>53</v>
      </c>
      <c r="C122" s="613">
        <f t="shared" ref="C122:M128" si="48">IF(S$128&gt;0,(S122/S$128),0)</f>
        <v>0</v>
      </c>
      <c r="D122" s="614">
        <f t="shared" si="48"/>
        <v>0</v>
      </c>
      <c r="E122" s="614">
        <f t="shared" si="48"/>
        <v>0</v>
      </c>
      <c r="F122" s="614">
        <f t="shared" si="48"/>
        <v>0</v>
      </c>
      <c r="G122" s="614">
        <f t="shared" si="48"/>
        <v>0</v>
      </c>
      <c r="H122" s="615">
        <f t="shared" si="48"/>
        <v>0</v>
      </c>
      <c r="I122" s="613">
        <f t="shared" si="48"/>
        <v>0</v>
      </c>
      <c r="J122" s="613">
        <f t="shared" si="48"/>
        <v>0</v>
      </c>
      <c r="K122" s="614">
        <f t="shared" si="48"/>
        <v>0</v>
      </c>
      <c r="L122" s="614">
        <f t="shared" si="48"/>
        <v>0</v>
      </c>
      <c r="M122" s="614">
        <f t="shared" si="48"/>
        <v>0</v>
      </c>
      <c r="N122" s="613">
        <f t="shared" ref="N122:Q128" si="49">IF(AE$128&gt;0,(AE122/AE$128),0)</f>
        <v>0</v>
      </c>
      <c r="O122" s="788">
        <f t="shared" si="49"/>
        <v>0</v>
      </c>
      <c r="P122" s="614">
        <f t="shared" si="49"/>
        <v>0</v>
      </c>
      <c r="Q122" s="788">
        <f t="shared" si="49"/>
        <v>0</v>
      </c>
      <c r="R122" s="244"/>
      <c r="S122" s="245"/>
      <c r="T122" s="246"/>
      <c r="U122" s="246"/>
      <c r="V122" s="246"/>
      <c r="W122" s="246"/>
      <c r="X122" s="246"/>
      <c r="Y122" s="247"/>
      <c r="Z122" s="245"/>
      <c r="AA122" s="246"/>
      <c r="AB122" s="246"/>
      <c r="AC122" s="246"/>
      <c r="AD122" s="246"/>
      <c r="AE122" s="247"/>
      <c r="AF122" s="245"/>
      <c r="AG122" s="246"/>
      <c r="AH122" s="245"/>
    </row>
    <row r="123" spans="1:36">
      <c r="A123" s="249"/>
      <c r="B123" s="239" t="s">
        <v>93</v>
      </c>
      <c r="C123" s="624">
        <f t="shared" si="48"/>
        <v>0</v>
      </c>
      <c r="D123" s="625">
        <f t="shared" si="48"/>
        <v>0</v>
      </c>
      <c r="E123" s="625">
        <f t="shared" si="48"/>
        <v>0</v>
      </c>
      <c r="F123" s="625">
        <f t="shared" si="48"/>
        <v>0</v>
      </c>
      <c r="G123" s="625">
        <f t="shared" si="48"/>
        <v>0</v>
      </c>
      <c r="H123" s="626">
        <f t="shared" si="48"/>
        <v>0</v>
      </c>
      <c r="I123" s="624">
        <f t="shared" si="48"/>
        <v>0</v>
      </c>
      <c r="J123" s="624">
        <f t="shared" si="48"/>
        <v>0</v>
      </c>
      <c r="K123" s="625">
        <f t="shared" si="48"/>
        <v>0</v>
      </c>
      <c r="L123" s="625">
        <f t="shared" si="48"/>
        <v>0</v>
      </c>
      <c r="M123" s="625">
        <f t="shared" si="48"/>
        <v>0</v>
      </c>
      <c r="N123" s="624">
        <f t="shared" si="49"/>
        <v>0</v>
      </c>
      <c r="O123" s="624">
        <f t="shared" si="49"/>
        <v>0</v>
      </c>
      <c r="P123" s="625">
        <f t="shared" si="49"/>
        <v>0</v>
      </c>
      <c r="Q123" s="624">
        <f t="shared" si="49"/>
        <v>0</v>
      </c>
      <c r="R123" s="253"/>
      <c r="S123" s="254"/>
      <c r="T123" s="255"/>
      <c r="U123" s="255"/>
      <c r="V123" s="255"/>
      <c r="W123" s="255"/>
      <c r="X123" s="255"/>
      <c r="Y123" s="256"/>
      <c r="Z123" s="254"/>
      <c r="AA123" s="255"/>
      <c r="AB123" s="255"/>
      <c r="AC123" s="255"/>
      <c r="AD123" s="255"/>
      <c r="AE123" s="256"/>
      <c r="AF123" s="254"/>
      <c r="AG123" s="255"/>
      <c r="AH123" s="254"/>
    </row>
    <row r="124" spans="1:36">
      <c r="A124" s="249"/>
      <c r="B124" s="239" t="s">
        <v>55</v>
      </c>
      <c r="C124" s="624">
        <f t="shared" si="48"/>
        <v>0</v>
      </c>
      <c r="D124" s="625">
        <f t="shared" si="48"/>
        <v>0</v>
      </c>
      <c r="E124" s="625">
        <f t="shared" si="48"/>
        <v>0</v>
      </c>
      <c r="F124" s="625">
        <f t="shared" si="48"/>
        <v>0</v>
      </c>
      <c r="G124" s="625">
        <f t="shared" si="48"/>
        <v>0</v>
      </c>
      <c r="H124" s="626">
        <f t="shared" si="48"/>
        <v>0</v>
      </c>
      <c r="I124" s="624">
        <f t="shared" si="48"/>
        <v>0</v>
      </c>
      <c r="J124" s="624">
        <f t="shared" si="48"/>
        <v>0</v>
      </c>
      <c r="K124" s="625">
        <f t="shared" si="48"/>
        <v>0</v>
      </c>
      <c r="L124" s="625">
        <f t="shared" si="48"/>
        <v>0</v>
      </c>
      <c r="M124" s="625">
        <f t="shared" si="48"/>
        <v>0</v>
      </c>
      <c r="N124" s="624">
        <f t="shared" si="49"/>
        <v>0</v>
      </c>
      <c r="O124" s="624">
        <f t="shared" si="49"/>
        <v>0</v>
      </c>
      <c r="P124" s="625">
        <f t="shared" si="49"/>
        <v>0</v>
      </c>
      <c r="Q124" s="624">
        <f t="shared" si="49"/>
        <v>0</v>
      </c>
      <c r="R124" s="253"/>
      <c r="S124" s="254"/>
      <c r="T124" s="255"/>
      <c r="U124" s="255"/>
      <c r="V124" s="255"/>
      <c r="W124" s="255"/>
      <c r="X124" s="255"/>
      <c r="Y124" s="256"/>
      <c r="Z124" s="254"/>
      <c r="AA124" s="255"/>
      <c r="AB124" s="255"/>
      <c r="AC124" s="255"/>
      <c r="AD124" s="255"/>
      <c r="AE124" s="256"/>
      <c r="AF124" s="254"/>
      <c r="AG124" s="255"/>
      <c r="AH124" s="254"/>
    </row>
    <row r="125" spans="1:36">
      <c r="A125" s="249"/>
      <c r="B125" s="239" t="s">
        <v>78</v>
      </c>
      <c r="C125" s="624">
        <f t="shared" si="48"/>
        <v>0</v>
      </c>
      <c r="D125" s="625">
        <f t="shared" si="48"/>
        <v>0</v>
      </c>
      <c r="E125" s="625">
        <f t="shared" si="48"/>
        <v>0</v>
      </c>
      <c r="F125" s="625">
        <f t="shared" si="48"/>
        <v>0</v>
      </c>
      <c r="G125" s="625">
        <f t="shared" si="48"/>
        <v>0</v>
      </c>
      <c r="H125" s="626">
        <f t="shared" si="48"/>
        <v>0</v>
      </c>
      <c r="I125" s="624">
        <f t="shared" si="48"/>
        <v>0</v>
      </c>
      <c r="J125" s="624">
        <f t="shared" si="48"/>
        <v>0</v>
      </c>
      <c r="K125" s="625">
        <f t="shared" si="48"/>
        <v>0</v>
      </c>
      <c r="L125" s="625">
        <f t="shared" si="48"/>
        <v>0</v>
      </c>
      <c r="M125" s="625">
        <f t="shared" si="48"/>
        <v>0</v>
      </c>
      <c r="N125" s="624">
        <f t="shared" si="49"/>
        <v>0</v>
      </c>
      <c r="O125" s="624">
        <f t="shared" si="49"/>
        <v>0</v>
      </c>
      <c r="P125" s="625">
        <f t="shared" si="49"/>
        <v>0</v>
      </c>
      <c r="Q125" s="624">
        <f t="shared" si="49"/>
        <v>0</v>
      </c>
      <c r="R125" s="253"/>
      <c r="S125" s="254"/>
      <c r="T125" s="255"/>
      <c r="U125" s="255"/>
      <c r="V125" s="255"/>
      <c r="W125" s="255"/>
      <c r="X125" s="255"/>
      <c r="Y125" s="256"/>
      <c r="Z125" s="254"/>
      <c r="AA125" s="255"/>
      <c r="AB125" s="255"/>
      <c r="AC125" s="255"/>
      <c r="AD125" s="255"/>
      <c r="AE125" s="256"/>
      <c r="AF125" s="254"/>
      <c r="AG125" s="255"/>
      <c r="AH125" s="254"/>
    </row>
    <row r="126" spans="1:36">
      <c r="A126" s="249"/>
      <c r="B126" s="239" t="s">
        <v>32</v>
      </c>
      <c r="C126" s="624">
        <f t="shared" si="48"/>
        <v>0</v>
      </c>
      <c r="D126" s="625">
        <f t="shared" si="48"/>
        <v>0</v>
      </c>
      <c r="E126" s="625">
        <f t="shared" si="48"/>
        <v>0</v>
      </c>
      <c r="F126" s="625">
        <f t="shared" si="48"/>
        <v>0</v>
      </c>
      <c r="G126" s="625">
        <f t="shared" si="48"/>
        <v>0</v>
      </c>
      <c r="H126" s="626">
        <f t="shared" si="48"/>
        <v>0</v>
      </c>
      <c r="I126" s="624">
        <f t="shared" si="48"/>
        <v>0</v>
      </c>
      <c r="J126" s="624">
        <f t="shared" si="48"/>
        <v>0</v>
      </c>
      <c r="K126" s="625">
        <f t="shared" si="48"/>
        <v>0</v>
      </c>
      <c r="L126" s="625">
        <f t="shared" si="48"/>
        <v>0</v>
      </c>
      <c r="M126" s="625">
        <f t="shared" si="48"/>
        <v>0</v>
      </c>
      <c r="N126" s="624">
        <f t="shared" si="49"/>
        <v>0</v>
      </c>
      <c r="O126" s="624">
        <f t="shared" si="49"/>
        <v>0</v>
      </c>
      <c r="P126" s="625">
        <f t="shared" si="49"/>
        <v>0</v>
      </c>
      <c r="Q126" s="624">
        <f t="shared" si="49"/>
        <v>0</v>
      </c>
      <c r="R126" s="253"/>
      <c r="S126" s="254"/>
      <c r="T126" s="255"/>
      <c r="U126" s="255"/>
      <c r="V126" s="255"/>
      <c r="W126" s="255"/>
      <c r="X126" s="255"/>
      <c r="Y126" s="256"/>
      <c r="Z126" s="254"/>
      <c r="AA126" s="255"/>
      <c r="AB126" s="255"/>
      <c r="AC126" s="255"/>
      <c r="AD126" s="255"/>
      <c r="AE126" s="256"/>
      <c r="AF126" s="254"/>
      <c r="AG126" s="255"/>
      <c r="AH126" s="254"/>
    </row>
    <row r="127" spans="1:36">
      <c r="A127" s="249"/>
      <c r="B127" s="239" t="s">
        <v>58</v>
      </c>
      <c r="C127" s="624">
        <f t="shared" si="48"/>
        <v>0</v>
      </c>
      <c r="D127" s="625">
        <f t="shared" si="48"/>
        <v>0</v>
      </c>
      <c r="E127" s="792">
        <f t="shared" si="48"/>
        <v>0</v>
      </c>
      <c r="F127" s="625">
        <f t="shared" si="48"/>
        <v>0</v>
      </c>
      <c r="G127" s="792">
        <f t="shared" si="48"/>
        <v>0</v>
      </c>
      <c r="H127" s="626">
        <f t="shared" si="48"/>
        <v>0</v>
      </c>
      <c r="I127" s="793">
        <f t="shared" si="48"/>
        <v>0</v>
      </c>
      <c r="J127" s="624">
        <f t="shared" si="48"/>
        <v>0</v>
      </c>
      <c r="K127" s="625">
        <f t="shared" si="48"/>
        <v>0</v>
      </c>
      <c r="L127" s="625">
        <f t="shared" si="48"/>
        <v>0</v>
      </c>
      <c r="M127" s="625">
        <f t="shared" si="48"/>
        <v>0</v>
      </c>
      <c r="N127" s="624">
        <f t="shared" si="49"/>
        <v>0</v>
      </c>
      <c r="O127" s="624">
        <f t="shared" si="49"/>
        <v>0</v>
      </c>
      <c r="P127" s="625">
        <f t="shared" si="49"/>
        <v>0</v>
      </c>
      <c r="Q127" s="624">
        <f t="shared" si="49"/>
        <v>0</v>
      </c>
      <c r="R127" s="253"/>
      <c r="S127" s="254"/>
      <c r="T127" s="255"/>
      <c r="U127" s="255"/>
      <c r="V127" s="255"/>
      <c r="W127" s="255"/>
      <c r="X127" s="255"/>
      <c r="Y127" s="256"/>
      <c r="Z127" s="254"/>
      <c r="AA127" s="255"/>
      <c r="AB127" s="255"/>
      <c r="AC127" s="255"/>
      <c r="AD127" s="255"/>
      <c r="AE127" s="256"/>
      <c r="AF127" s="254"/>
      <c r="AG127" s="255"/>
      <c r="AH127" s="254"/>
    </row>
    <row r="128" spans="1:36" s="406" customFormat="1">
      <c r="A128" s="435"/>
      <c r="B128" s="436" t="s">
        <v>59</v>
      </c>
      <c r="C128" s="577">
        <f t="shared" si="48"/>
        <v>0</v>
      </c>
      <c r="D128" s="578">
        <f t="shared" si="48"/>
        <v>0</v>
      </c>
      <c r="E128" s="578">
        <f t="shared" si="48"/>
        <v>0</v>
      </c>
      <c r="F128" s="578">
        <f t="shared" si="48"/>
        <v>0</v>
      </c>
      <c r="G128" s="578">
        <f t="shared" si="48"/>
        <v>0</v>
      </c>
      <c r="H128" s="579">
        <f t="shared" si="48"/>
        <v>0</v>
      </c>
      <c r="I128" s="577">
        <f t="shared" si="48"/>
        <v>0</v>
      </c>
      <c r="J128" s="577">
        <f t="shared" si="48"/>
        <v>0</v>
      </c>
      <c r="K128" s="578">
        <f t="shared" si="48"/>
        <v>0</v>
      </c>
      <c r="L128" s="578">
        <f t="shared" si="48"/>
        <v>0</v>
      </c>
      <c r="M128" s="578">
        <f t="shared" si="48"/>
        <v>0</v>
      </c>
      <c r="N128" s="577">
        <f t="shared" si="49"/>
        <v>0</v>
      </c>
      <c r="O128" s="577">
        <f t="shared" si="49"/>
        <v>0</v>
      </c>
      <c r="P128" s="578">
        <f t="shared" si="49"/>
        <v>0</v>
      </c>
      <c r="Q128" s="577">
        <f t="shared" si="49"/>
        <v>0</v>
      </c>
      <c r="R128" s="264"/>
      <c r="S128" s="265"/>
      <c r="T128" s="266"/>
      <c r="U128" s="266"/>
      <c r="V128" s="266"/>
      <c r="W128" s="266"/>
      <c r="X128" s="266"/>
      <c r="Y128" s="267"/>
      <c r="Z128" s="265"/>
      <c r="AA128" s="266"/>
      <c r="AB128" s="266"/>
      <c r="AC128" s="266"/>
      <c r="AD128" s="266"/>
      <c r="AE128" s="267"/>
      <c r="AF128" s="265"/>
      <c r="AG128" s="266"/>
      <c r="AH128" s="265"/>
      <c r="AI128" s="405"/>
      <c r="AJ128" s="405"/>
    </row>
    <row r="129" spans="1:34">
      <c r="A129" s="240" t="s">
        <v>171</v>
      </c>
      <c r="B129" s="240" t="s">
        <v>53</v>
      </c>
      <c r="C129" s="613">
        <f>IF(S$134&gt;0,(S129/S$134),0)</f>
        <v>0</v>
      </c>
      <c r="D129" s="614">
        <f t="shared" ref="D129:M134" si="50">IF(T$134&gt;0,(T129/T$134),0)</f>
        <v>0</v>
      </c>
      <c r="E129" s="614">
        <f t="shared" si="50"/>
        <v>0</v>
      </c>
      <c r="F129" s="614">
        <f t="shared" si="50"/>
        <v>0</v>
      </c>
      <c r="G129" s="614">
        <f t="shared" si="50"/>
        <v>0</v>
      </c>
      <c r="H129" s="615">
        <f t="shared" si="50"/>
        <v>0</v>
      </c>
      <c r="I129" s="613">
        <f t="shared" si="50"/>
        <v>0</v>
      </c>
      <c r="J129" s="613">
        <f t="shared" si="50"/>
        <v>0</v>
      </c>
      <c r="K129" s="614">
        <f t="shared" si="50"/>
        <v>0</v>
      </c>
      <c r="L129" s="614">
        <f t="shared" si="50"/>
        <v>0</v>
      </c>
      <c r="M129" s="614">
        <f t="shared" si="50"/>
        <v>0</v>
      </c>
      <c r="N129" s="613">
        <f>IF(AE$134&gt;0,(AE129/AE$134),0)</f>
        <v>0</v>
      </c>
      <c r="O129" s="613">
        <f t="shared" ref="O129:Q134" si="51">IF(AF$134&gt;0,(AF129/AF$134),0)</f>
        <v>0</v>
      </c>
      <c r="P129" s="615">
        <f t="shared" si="51"/>
        <v>0</v>
      </c>
      <c r="Q129" s="613">
        <f t="shared" si="51"/>
        <v>0</v>
      </c>
      <c r="S129" s="796">
        <f t="shared" ref="S129:S134" si="52">T135+S141+S147+S153+S159+S165+S171+S177+S183+S189+S195+S201+S207</f>
        <v>0</v>
      </c>
      <c r="T129" s="796">
        <f t="shared" ref="T129:AE134" si="53">T135+T141+T147+T153+T159+T165+T171+T177+T183+T189+T195+T201+T207</f>
        <v>0</v>
      </c>
      <c r="U129" s="796">
        <f t="shared" si="53"/>
        <v>0</v>
      </c>
      <c r="V129" s="796">
        <f t="shared" si="53"/>
        <v>0</v>
      </c>
      <c r="W129" s="796">
        <f t="shared" si="53"/>
        <v>0</v>
      </c>
      <c r="X129" s="796">
        <f t="shared" si="53"/>
        <v>0</v>
      </c>
      <c r="Y129" s="801">
        <f t="shared" si="53"/>
        <v>0</v>
      </c>
      <c r="Z129" s="801">
        <f t="shared" si="53"/>
        <v>0</v>
      </c>
      <c r="AA129" s="796">
        <f t="shared" si="53"/>
        <v>0</v>
      </c>
      <c r="AB129" s="796">
        <f t="shared" si="53"/>
        <v>0</v>
      </c>
      <c r="AC129" s="796">
        <f t="shared" si="53"/>
        <v>0</v>
      </c>
      <c r="AD129" s="796">
        <f t="shared" si="53"/>
        <v>0</v>
      </c>
      <c r="AE129" s="801">
        <f t="shared" si="53"/>
        <v>0</v>
      </c>
      <c r="AF129" s="803"/>
      <c r="AH129" s="803"/>
    </row>
    <row r="130" spans="1:34">
      <c r="A130" s="239"/>
      <c r="B130" s="239" t="s">
        <v>93</v>
      </c>
      <c r="C130" s="624">
        <f t="shared" ref="C130:C134" si="54">IF(S$134&gt;0,(S130/S$134),0)</f>
        <v>0</v>
      </c>
      <c r="D130" s="625">
        <f t="shared" si="50"/>
        <v>0</v>
      </c>
      <c r="E130" s="625">
        <f t="shared" si="50"/>
        <v>0</v>
      </c>
      <c r="F130" s="625">
        <f t="shared" si="50"/>
        <v>0</v>
      </c>
      <c r="G130" s="625">
        <f t="shared" si="50"/>
        <v>0</v>
      </c>
      <c r="H130" s="626">
        <f t="shared" si="50"/>
        <v>0</v>
      </c>
      <c r="I130" s="624">
        <f t="shared" si="50"/>
        <v>0</v>
      </c>
      <c r="J130" s="624">
        <f t="shared" si="50"/>
        <v>0</v>
      </c>
      <c r="K130" s="625">
        <f t="shared" si="50"/>
        <v>0</v>
      </c>
      <c r="L130" s="625">
        <f t="shared" si="50"/>
        <v>0</v>
      </c>
      <c r="M130" s="625">
        <f t="shared" si="50"/>
        <v>0</v>
      </c>
      <c r="N130" s="624">
        <f t="shared" ref="N130:N134" si="55">IF(AE$134&gt;0,(AE130/AE$134),0)</f>
        <v>0</v>
      </c>
      <c r="O130" s="624">
        <f t="shared" si="51"/>
        <v>0</v>
      </c>
      <c r="P130" s="626">
        <f t="shared" si="51"/>
        <v>0</v>
      </c>
      <c r="Q130" s="624">
        <f t="shared" si="51"/>
        <v>0</v>
      </c>
      <c r="S130" s="796">
        <f t="shared" si="52"/>
        <v>0</v>
      </c>
      <c r="T130" s="796">
        <f t="shared" si="53"/>
        <v>0</v>
      </c>
      <c r="U130" s="796">
        <f t="shared" si="53"/>
        <v>0</v>
      </c>
      <c r="V130" s="796">
        <f t="shared" si="53"/>
        <v>0</v>
      </c>
      <c r="W130" s="796">
        <f t="shared" si="53"/>
        <v>0</v>
      </c>
      <c r="X130" s="796">
        <f t="shared" si="53"/>
        <v>0</v>
      </c>
      <c r="Y130" s="802">
        <f t="shared" si="53"/>
        <v>0</v>
      </c>
      <c r="Z130" s="802">
        <f t="shared" si="53"/>
        <v>0</v>
      </c>
      <c r="AA130" s="796">
        <f t="shared" si="53"/>
        <v>0</v>
      </c>
      <c r="AB130" s="796">
        <f t="shared" si="53"/>
        <v>0</v>
      </c>
      <c r="AC130" s="796">
        <f t="shared" si="53"/>
        <v>0</v>
      </c>
      <c r="AD130" s="796">
        <f t="shared" si="53"/>
        <v>0</v>
      </c>
      <c r="AE130" s="802">
        <f t="shared" si="53"/>
        <v>0</v>
      </c>
      <c r="AF130" s="804"/>
      <c r="AH130" s="804"/>
    </row>
    <row r="131" spans="1:34">
      <c r="A131" s="239"/>
      <c r="B131" s="239" t="s">
        <v>55</v>
      </c>
      <c r="C131" s="624">
        <f t="shared" si="54"/>
        <v>0</v>
      </c>
      <c r="D131" s="625">
        <f t="shared" si="50"/>
        <v>0</v>
      </c>
      <c r="E131" s="625">
        <f t="shared" si="50"/>
        <v>0</v>
      </c>
      <c r="F131" s="625">
        <f t="shared" si="50"/>
        <v>0</v>
      </c>
      <c r="G131" s="625">
        <f t="shared" si="50"/>
        <v>0</v>
      </c>
      <c r="H131" s="626">
        <f t="shared" si="50"/>
        <v>0</v>
      </c>
      <c r="I131" s="624">
        <f t="shared" si="50"/>
        <v>0</v>
      </c>
      <c r="J131" s="624">
        <f t="shared" si="50"/>
        <v>0</v>
      </c>
      <c r="K131" s="625">
        <f t="shared" si="50"/>
        <v>0</v>
      </c>
      <c r="L131" s="625">
        <f t="shared" si="50"/>
        <v>0</v>
      </c>
      <c r="M131" s="625">
        <f t="shared" si="50"/>
        <v>0</v>
      </c>
      <c r="N131" s="624">
        <f t="shared" si="55"/>
        <v>0</v>
      </c>
      <c r="O131" s="624">
        <f t="shared" si="51"/>
        <v>0</v>
      </c>
      <c r="P131" s="626">
        <f t="shared" si="51"/>
        <v>0</v>
      </c>
      <c r="Q131" s="624">
        <f t="shared" si="51"/>
        <v>0</v>
      </c>
      <c r="S131" s="796">
        <f t="shared" si="52"/>
        <v>0</v>
      </c>
      <c r="T131" s="796">
        <f t="shared" si="53"/>
        <v>0</v>
      </c>
      <c r="U131" s="796">
        <f t="shared" si="53"/>
        <v>0</v>
      </c>
      <c r="V131" s="796">
        <f t="shared" si="53"/>
        <v>0</v>
      </c>
      <c r="W131" s="796">
        <f t="shared" si="53"/>
        <v>0</v>
      </c>
      <c r="X131" s="796">
        <f t="shared" si="53"/>
        <v>0</v>
      </c>
      <c r="Y131" s="802">
        <f t="shared" si="53"/>
        <v>0</v>
      </c>
      <c r="Z131" s="802">
        <f t="shared" si="53"/>
        <v>0</v>
      </c>
      <c r="AA131" s="796">
        <f t="shared" si="53"/>
        <v>0</v>
      </c>
      <c r="AB131" s="796">
        <f t="shared" si="53"/>
        <v>0</v>
      </c>
      <c r="AC131" s="796">
        <f t="shared" si="53"/>
        <v>0</v>
      </c>
      <c r="AD131" s="796">
        <f t="shared" si="53"/>
        <v>0</v>
      </c>
      <c r="AE131" s="802">
        <f t="shared" si="53"/>
        <v>0</v>
      </c>
      <c r="AF131" s="804"/>
      <c r="AH131" s="804"/>
    </row>
    <row r="132" spans="1:34">
      <c r="A132" s="239"/>
      <c r="B132" s="239" t="s">
        <v>78</v>
      </c>
      <c r="C132" s="624">
        <f t="shared" si="54"/>
        <v>0</v>
      </c>
      <c r="D132" s="625">
        <f t="shared" si="50"/>
        <v>0</v>
      </c>
      <c r="E132" s="625">
        <f t="shared" si="50"/>
        <v>0</v>
      </c>
      <c r="F132" s="625">
        <f t="shared" si="50"/>
        <v>0</v>
      </c>
      <c r="G132" s="625">
        <f t="shared" si="50"/>
        <v>0</v>
      </c>
      <c r="H132" s="626">
        <f t="shared" si="50"/>
        <v>0</v>
      </c>
      <c r="I132" s="624">
        <f t="shared" si="50"/>
        <v>0</v>
      </c>
      <c r="J132" s="624">
        <f t="shared" si="50"/>
        <v>0</v>
      </c>
      <c r="K132" s="625">
        <f t="shared" si="50"/>
        <v>0</v>
      </c>
      <c r="L132" s="625">
        <f t="shared" si="50"/>
        <v>0</v>
      </c>
      <c r="M132" s="625">
        <f t="shared" si="50"/>
        <v>0</v>
      </c>
      <c r="N132" s="624">
        <f t="shared" si="55"/>
        <v>0</v>
      </c>
      <c r="O132" s="624">
        <f t="shared" si="51"/>
        <v>0</v>
      </c>
      <c r="P132" s="626">
        <f t="shared" si="51"/>
        <v>0</v>
      </c>
      <c r="Q132" s="624">
        <f t="shared" si="51"/>
        <v>0</v>
      </c>
      <c r="S132" s="796">
        <f t="shared" si="52"/>
        <v>0</v>
      </c>
      <c r="T132" s="796">
        <f t="shared" si="53"/>
        <v>0</v>
      </c>
      <c r="U132" s="796">
        <f t="shared" si="53"/>
        <v>0</v>
      </c>
      <c r="V132" s="796">
        <f t="shared" si="53"/>
        <v>0</v>
      </c>
      <c r="W132" s="796">
        <f t="shared" si="53"/>
        <v>0</v>
      </c>
      <c r="X132" s="796">
        <f t="shared" si="53"/>
        <v>0</v>
      </c>
      <c r="Y132" s="802">
        <f t="shared" si="53"/>
        <v>0</v>
      </c>
      <c r="Z132" s="802">
        <f t="shared" si="53"/>
        <v>0</v>
      </c>
      <c r="AA132" s="796">
        <f t="shared" si="53"/>
        <v>0</v>
      </c>
      <c r="AB132" s="796">
        <f t="shared" si="53"/>
        <v>0</v>
      </c>
      <c r="AC132" s="796">
        <f t="shared" si="53"/>
        <v>0</v>
      </c>
      <c r="AD132" s="796">
        <f t="shared" si="53"/>
        <v>0</v>
      </c>
      <c r="AE132" s="802">
        <f t="shared" si="53"/>
        <v>0</v>
      </c>
      <c r="AF132" s="804"/>
      <c r="AH132" s="804"/>
    </row>
    <row r="133" spans="1:34">
      <c r="A133" s="580"/>
      <c r="B133" s="580" t="s">
        <v>131</v>
      </c>
      <c r="C133" s="624">
        <f t="shared" si="54"/>
        <v>0</v>
      </c>
      <c r="D133" s="625">
        <f t="shared" si="50"/>
        <v>0</v>
      </c>
      <c r="E133" s="625">
        <f t="shared" si="50"/>
        <v>0</v>
      </c>
      <c r="F133" s="625">
        <f t="shared" si="50"/>
        <v>0</v>
      </c>
      <c r="G133" s="625">
        <f t="shared" si="50"/>
        <v>0</v>
      </c>
      <c r="H133" s="626">
        <f t="shared" si="50"/>
        <v>0</v>
      </c>
      <c r="I133" s="624">
        <f t="shared" si="50"/>
        <v>0</v>
      </c>
      <c r="J133" s="624">
        <f t="shared" si="50"/>
        <v>0</v>
      </c>
      <c r="K133" s="625">
        <f t="shared" si="50"/>
        <v>0</v>
      </c>
      <c r="L133" s="625">
        <f t="shared" si="50"/>
        <v>0</v>
      </c>
      <c r="M133" s="625">
        <f t="shared" si="50"/>
        <v>0</v>
      </c>
      <c r="N133" s="624">
        <f t="shared" si="55"/>
        <v>0</v>
      </c>
      <c r="O133" s="624">
        <f t="shared" si="51"/>
        <v>0</v>
      </c>
      <c r="P133" s="626">
        <f t="shared" si="51"/>
        <v>0</v>
      </c>
      <c r="Q133" s="624">
        <f t="shared" si="51"/>
        <v>0</v>
      </c>
      <c r="S133" s="796">
        <f t="shared" si="52"/>
        <v>0</v>
      </c>
      <c r="T133" s="796">
        <f t="shared" si="53"/>
        <v>0</v>
      </c>
      <c r="U133" s="796">
        <f>U139+U145+U151+U157+U163+U169+U175+U181+U187+U193+U199+U205+U211</f>
        <v>0</v>
      </c>
      <c r="V133" s="796">
        <f t="shared" si="53"/>
        <v>0</v>
      </c>
      <c r="W133" s="796">
        <f t="shared" si="53"/>
        <v>0</v>
      </c>
      <c r="X133" s="796">
        <f t="shared" si="53"/>
        <v>0</v>
      </c>
      <c r="Y133" s="802">
        <f t="shared" si="53"/>
        <v>0</v>
      </c>
      <c r="Z133" s="802">
        <f t="shared" si="53"/>
        <v>0</v>
      </c>
      <c r="AA133" s="796">
        <f t="shared" si="53"/>
        <v>0</v>
      </c>
      <c r="AB133" s="796">
        <f t="shared" si="53"/>
        <v>0</v>
      </c>
      <c r="AC133" s="796">
        <f t="shared" si="53"/>
        <v>0</v>
      </c>
      <c r="AD133" s="796">
        <f t="shared" si="53"/>
        <v>0</v>
      </c>
      <c r="AE133" s="802">
        <f t="shared" si="53"/>
        <v>0</v>
      </c>
      <c r="AF133" s="804"/>
      <c r="AH133" s="804"/>
    </row>
    <row r="134" spans="1:34">
      <c r="A134" s="436" t="s">
        <v>86</v>
      </c>
      <c r="B134" s="436" t="s">
        <v>59</v>
      </c>
      <c r="C134" s="577">
        <f t="shared" si="54"/>
        <v>0</v>
      </c>
      <c r="D134" s="578">
        <f t="shared" si="50"/>
        <v>0</v>
      </c>
      <c r="E134" s="578">
        <f t="shared" si="50"/>
        <v>0</v>
      </c>
      <c r="F134" s="578">
        <f t="shared" si="50"/>
        <v>0</v>
      </c>
      <c r="G134" s="578">
        <f t="shared" si="50"/>
        <v>0</v>
      </c>
      <c r="H134" s="579">
        <f t="shared" si="50"/>
        <v>0</v>
      </c>
      <c r="I134" s="577">
        <f t="shared" si="50"/>
        <v>0</v>
      </c>
      <c r="J134" s="577">
        <f t="shared" si="50"/>
        <v>0</v>
      </c>
      <c r="K134" s="578">
        <f t="shared" si="50"/>
        <v>0</v>
      </c>
      <c r="L134" s="578">
        <f t="shared" si="50"/>
        <v>0</v>
      </c>
      <c r="M134" s="578">
        <f t="shared" si="50"/>
        <v>0</v>
      </c>
      <c r="N134" s="577">
        <f t="shared" si="55"/>
        <v>0</v>
      </c>
      <c r="O134" s="577">
        <f t="shared" si="51"/>
        <v>0</v>
      </c>
      <c r="P134" s="579">
        <f t="shared" si="51"/>
        <v>0</v>
      </c>
      <c r="Q134" s="577">
        <f t="shared" si="51"/>
        <v>0</v>
      </c>
      <c r="S134" s="796">
        <f t="shared" si="52"/>
        <v>0</v>
      </c>
      <c r="T134" s="796">
        <f t="shared" si="53"/>
        <v>0</v>
      </c>
      <c r="U134" s="796">
        <f t="shared" si="53"/>
        <v>0</v>
      </c>
      <c r="V134" s="796">
        <f t="shared" si="53"/>
        <v>0</v>
      </c>
      <c r="W134" s="796">
        <f t="shared" si="53"/>
        <v>0</v>
      </c>
      <c r="X134" s="796">
        <f t="shared" si="53"/>
        <v>0</v>
      </c>
      <c r="Y134" s="802">
        <f t="shared" si="53"/>
        <v>0</v>
      </c>
      <c r="Z134" s="802">
        <f t="shared" si="53"/>
        <v>0</v>
      </c>
      <c r="AA134" s="796">
        <f t="shared" si="53"/>
        <v>0</v>
      </c>
      <c r="AB134" s="796">
        <f t="shared" si="53"/>
        <v>0</v>
      </c>
      <c r="AC134" s="796">
        <f t="shared" si="53"/>
        <v>0</v>
      </c>
      <c r="AD134" s="796">
        <f t="shared" si="53"/>
        <v>0</v>
      </c>
      <c r="AE134" s="802">
        <f t="shared" si="53"/>
        <v>0</v>
      </c>
      <c r="AF134" s="804"/>
      <c r="AH134" s="804"/>
    </row>
    <row r="135" spans="1:34">
      <c r="A135" s="240" t="s">
        <v>136</v>
      </c>
      <c r="B135" s="240" t="s">
        <v>53</v>
      </c>
      <c r="C135" s="613">
        <f t="shared" ref="C135:D140" si="56">IF(T$140&gt;0,(T135/T$140),0)</f>
        <v>0</v>
      </c>
      <c r="D135" s="614">
        <f t="shared" si="56"/>
        <v>0</v>
      </c>
      <c r="E135" s="614">
        <f t="shared" ref="E135:M140" si="57">IF(U$140&gt;0,(U135/U$140),0)</f>
        <v>0</v>
      </c>
      <c r="F135" s="614">
        <f t="shared" si="57"/>
        <v>0</v>
      </c>
      <c r="G135" s="614">
        <f t="shared" si="57"/>
        <v>0</v>
      </c>
      <c r="H135" s="615">
        <f t="shared" si="57"/>
        <v>0</v>
      </c>
      <c r="I135" s="613">
        <f t="shared" si="57"/>
        <v>0</v>
      </c>
      <c r="J135" s="613">
        <f t="shared" si="57"/>
        <v>0</v>
      </c>
      <c r="K135" s="614">
        <f t="shared" si="57"/>
        <v>0</v>
      </c>
      <c r="L135" s="614">
        <f t="shared" si="57"/>
        <v>0</v>
      </c>
      <c r="M135" s="614">
        <f t="shared" si="57"/>
        <v>0</v>
      </c>
      <c r="N135" s="613">
        <f>IF(AE$140&gt;0,(AE135/AE$140),0)</f>
        <v>0</v>
      </c>
      <c r="O135" s="613">
        <f t="shared" ref="O135:Q140" si="58">IF(AF$140&gt;0,(AF135/AF$140),0)</f>
        <v>0</v>
      </c>
      <c r="P135" s="615">
        <f t="shared" si="58"/>
        <v>0</v>
      </c>
      <c r="Q135" s="613">
        <f t="shared" si="58"/>
        <v>0</v>
      </c>
      <c r="S135" s="798"/>
      <c r="T135" s="798"/>
      <c r="U135" s="798"/>
      <c r="V135" s="798"/>
      <c r="W135" s="798"/>
      <c r="X135" s="798"/>
      <c r="Y135" s="803"/>
      <c r="Z135" s="803"/>
      <c r="AA135" s="798"/>
      <c r="AB135" s="798"/>
      <c r="AC135" s="798"/>
      <c r="AD135" s="798"/>
      <c r="AE135" s="803"/>
      <c r="AF135" s="803"/>
      <c r="AG135" s="798"/>
      <c r="AH135" s="803"/>
    </row>
    <row r="136" spans="1:34">
      <c r="A136" s="239"/>
      <c r="B136" s="239" t="s">
        <v>93</v>
      </c>
      <c r="C136" s="624">
        <f t="shared" si="56"/>
        <v>0</v>
      </c>
      <c r="D136" s="625">
        <f t="shared" si="56"/>
        <v>0</v>
      </c>
      <c r="E136" s="625">
        <f t="shared" si="57"/>
        <v>0</v>
      </c>
      <c r="F136" s="625">
        <f t="shared" si="57"/>
        <v>0</v>
      </c>
      <c r="G136" s="625">
        <f t="shared" si="57"/>
        <v>0</v>
      </c>
      <c r="H136" s="626">
        <f t="shared" si="57"/>
        <v>0</v>
      </c>
      <c r="I136" s="624">
        <f t="shared" si="57"/>
        <v>0</v>
      </c>
      <c r="J136" s="624">
        <f t="shared" si="57"/>
        <v>0</v>
      </c>
      <c r="K136" s="625">
        <f t="shared" si="57"/>
        <v>0</v>
      </c>
      <c r="L136" s="625">
        <f t="shared" si="57"/>
        <v>0</v>
      </c>
      <c r="M136" s="625">
        <f t="shared" si="57"/>
        <v>0</v>
      </c>
      <c r="N136" s="624">
        <f t="shared" ref="N136:N140" si="59">IF(AE$140&gt;0,(AE136/AE$140),0)</f>
        <v>0</v>
      </c>
      <c r="O136" s="624">
        <f t="shared" si="58"/>
        <v>0</v>
      </c>
      <c r="P136" s="626">
        <f t="shared" si="58"/>
        <v>0</v>
      </c>
      <c r="Q136" s="624">
        <f t="shared" si="58"/>
        <v>0</v>
      </c>
      <c r="Y136" s="804"/>
      <c r="Z136" s="804"/>
      <c r="AE136" s="804"/>
      <c r="AF136" s="804"/>
      <c r="AH136" s="804"/>
    </row>
    <row r="137" spans="1:34">
      <c r="A137" s="239"/>
      <c r="B137" s="239" t="s">
        <v>55</v>
      </c>
      <c r="C137" s="624">
        <f t="shared" si="56"/>
        <v>0</v>
      </c>
      <c r="D137" s="625">
        <f t="shared" si="56"/>
        <v>0</v>
      </c>
      <c r="E137" s="625">
        <f t="shared" si="57"/>
        <v>0</v>
      </c>
      <c r="F137" s="625">
        <f t="shared" si="57"/>
        <v>0</v>
      </c>
      <c r="G137" s="625">
        <f t="shared" si="57"/>
        <v>0</v>
      </c>
      <c r="H137" s="626">
        <f t="shared" si="57"/>
        <v>0</v>
      </c>
      <c r="I137" s="624">
        <f t="shared" si="57"/>
        <v>0</v>
      </c>
      <c r="J137" s="624">
        <f t="shared" si="57"/>
        <v>0</v>
      </c>
      <c r="K137" s="625">
        <f t="shared" si="57"/>
        <v>0</v>
      </c>
      <c r="L137" s="625">
        <f t="shared" si="57"/>
        <v>0</v>
      </c>
      <c r="M137" s="625">
        <f t="shared" si="57"/>
        <v>0</v>
      </c>
      <c r="N137" s="624">
        <f t="shared" si="59"/>
        <v>0</v>
      </c>
      <c r="O137" s="624">
        <f t="shared" si="58"/>
        <v>0</v>
      </c>
      <c r="P137" s="626">
        <f t="shared" si="58"/>
        <v>0</v>
      </c>
      <c r="Q137" s="624">
        <f t="shared" si="58"/>
        <v>0</v>
      </c>
      <c r="Y137" s="804"/>
      <c r="Z137" s="804"/>
      <c r="AE137" s="804"/>
      <c r="AF137" s="804"/>
      <c r="AH137" s="804"/>
    </row>
    <row r="138" spans="1:34">
      <c r="A138" s="239"/>
      <c r="B138" s="239" t="s">
        <v>78</v>
      </c>
      <c r="C138" s="624">
        <f t="shared" si="56"/>
        <v>0</v>
      </c>
      <c r="D138" s="625">
        <f t="shared" si="56"/>
        <v>0</v>
      </c>
      <c r="E138" s="625">
        <f t="shared" si="57"/>
        <v>0</v>
      </c>
      <c r="F138" s="625">
        <f t="shared" si="57"/>
        <v>0</v>
      </c>
      <c r="G138" s="625">
        <f t="shared" si="57"/>
        <v>0</v>
      </c>
      <c r="H138" s="626">
        <f t="shared" si="57"/>
        <v>0</v>
      </c>
      <c r="I138" s="624">
        <f t="shared" si="57"/>
        <v>0</v>
      </c>
      <c r="J138" s="624">
        <f t="shared" si="57"/>
        <v>0</v>
      </c>
      <c r="K138" s="625">
        <f t="shared" si="57"/>
        <v>0</v>
      </c>
      <c r="L138" s="625">
        <f t="shared" si="57"/>
        <v>0</v>
      </c>
      <c r="M138" s="625">
        <f t="shared" si="57"/>
        <v>0</v>
      </c>
      <c r="N138" s="624">
        <f t="shared" si="59"/>
        <v>0</v>
      </c>
      <c r="O138" s="624">
        <f t="shared" si="58"/>
        <v>0</v>
      </c>
      <c r="P138" s="626">
        <f t="shared" si="58"/>
        <v>0</v>
      </c>
      <c r="Q138" s="624">
        <f t="shared" si="58"/>
        <v>0</v>
      </c>
      <c r="Y138" s="804"/>
      <c r="Z138" s="804"/>
      <c r="AE138" s="804"/>
      <c r="AF138" s="804"/>
      <c r="AH138" s="804"/>
    </row>
    <row r="139" spans="1:34">
      <c r="A139" s="580"/>
      <c r="B139" s="580" t="s">
        <v>131</v>
      </c>
      <c r="C139" s="624">
        <f t="shared" si="56"/>
        <v>0</v>
      </c>
      <c r="D139" s="625">
        <f t="shared" si="56"/>
        <v>0</v>
      </c>
      <c r="E139" s="625">
        <f t="shared" si="57"/>
        <v>0</v>
      </c>
      <c r="F139" s="625">
        <f t="shared" si="57"/>
        <v>0</v>
      </c>
      <c r="G139" s="625">
        <f t="shared" si="57"/>
        <v>0</v>
      </c>
      <c r="H139" s="626">
        <f t="shared" si="57"/>
        <v>0</v>
      </c>
      <c r="I139" s="624">
        <f t="shared" si="57"/>
        <v>0</v>
      </c>
      <c r="J139" s="624">
        <f t="shared" si="57"/>
        <v>0</v>
      </c>
      <c r="K139" s="625">
        <f t="shared" si="57"/>
        <v>0</v>
      </c>
      <c r="L139" s="625">
        <f t="shared" si="57"/>
        <v>0</v>
      </c>
      <c r="M139" s="625">
        <f t="shared" si="57"/>
        <v>0</v>
      </c>
      <c r="N139" s="624">
        <f t="shared" si="59"/>
        <v>0</v>
      </c>
      <c r="O139" s="624">
        <f t="shared" si="58"/>
        <v>0</v>
      </c>
      <c r="P139" s="626">
        <f t="shared" si="58"/>
        <v>0</v>
      </c>
      <c r="Q139" s="624">
        <f t="shared" si="58"/>
        <v>0</v>
      </c>
      <c r="Y139" s="804"/>
      <c r="Z139" s="804"/>
      <c r="AE139" s="804"/>
      <c r="AF139" s="804"/>
      <c r="AH139" s="804"/>
    </row>
    <row r="140" spans="1:34">
      <c r="A140" s="436"/>
      <c r="B140" s="436" t="s">
        <v>59</v>
      </c>
      <c r="C140" s="577">
        <f t="shared" si="56"/>
        <v>0</v>
      </c>
      <c r="D140" s="578">
        <f t="shared" si="56"/>
        <v>0</v>
      </c>
      <c r="E140" s="578">
        <f t="shared" si="57"/>
        <v>0</v>
      </c>
      <c r="F140" s="578">
        <f t="shared" si="57"/>
        <v>0</v>
      </c>
      <c r="G140" s="578">
        <f t="shared" si="57"/>
        <v>0</v>
      </c>
      <c r="H140" s="579">
        <f t="shared" si="57"/>
        <v>0</v>
      </c>
      <c r="I140" s="577">
        <f t="shared" si="57"/>
        <v>0</v>
      </c>
      <c r="J140" s="577">
        <f t="shared" si="57"/>
        <v>0</v>
      </c>
      <c r="K140" s="578">
        <f t="shared" si="57"/>
        <v>0</v>
      </c>
      <c r="L140" s="578">
        <f t="shared" si="57"/>
        <v>0</v>
      </c>
      <c r="M140" s="578">
        <f t="shared" si="57"/>
        <v>0</v>
      </c>
      <c r="N140" s="577">
        <f t="shared" si="59"/>
        <v>0</v>
      </c>
      <c r="O140" s="577">
        <f t="shared" si="58"/>
        <v>0</v>
      </c>
      <c r="P140" s="579">
        <f t="shared" si="58"/>
        <v>0</v>
      </c>
      <c r="Q140" s="577">
        <f t="shared" si="58"/>
        <v>0</v>
      </c>
      <c r="Y140" s="804"/>
      <c r="Z140" s="804"/>
      <c r="AE140" s="804"/>
      <c r="AF140" s="804"/>
      <c r="AH140" s="804"/>
    </row>
    <row r="141" spans="1:34">
      <c r="A141" s="240" t="s">
        <v>137</v>
      </c>
      <c r="B141" s="240" t="s">
        <v>53</v>
      </c>
      <c r="C141" s="806">
        <f>IF(S$146&gt;0,(S141/S$146),0)</f>
        <v>0</v>
      </c>
      <c r="D141" s="806">
        <f t="shared" ref="D141:M146" si="60">IF(T$146&gt;0,(T141/T$146),0)</f>
        <v>0</v>
      </c>
      <c r="E141" s="806">
        <f t="shared" si="60"/>
        <v>0</v>
      </c>
      <c r="F141" s="806">
        <f t="shared" si="60"/>
        <v>0</v>
      </c>
      <c r="G141" s="806">
        <f t="shared" si="60"/>
        <v>0</v>
      </c>
      <c r="H141" s="806">
        <f t="shared" si="60"/>
        <v>0</v>
      </c>
      <c r="I141" s="613">
        <f t="shared" si="60"/>
        <v>0</v>
      </c>
      <c r="J141" s="613">
        <f t="shared" si="60"/>
        <v>0</v>
      </c>
      <c r="K141" s="614">
        <f t="shared" si="60"/>
        <v>0</v>
      </c>
      <c r="L141" s="614">
        <f t="shared" si="60"/>
        <v>0</v>
      </c>
      <c r="M141" s="614">
        <f t="shared" si="60"/>
        <v>0</v>
      </c>
      <c r="N141" s="613">
        <f>IF(AE$146&gt;0,(AE141/AE$146),0)</f>
        <v>0</v>
      </c>
      <c r="O141" s="613">
        <f t="shared" ref="O141:Q146" si="61">IF(AF$146&gt;0,(AF141/AF$146),0)</f>
        <v>0</v>
      </c>
      <c r="P141" s="615">
        <f t="shared" si="61"/>
        <v>0</v>
      </c>
      <c r="Q141" s="613">
        <f t="shared" si="61"/>
        <v>0</v>
      </c>
      <c r="S141" s="798"/>
      <c r="T141" s="798"/>
      <c r="U141" s="798"/>
      <c r="V141" s="798"/>
      <c r="W141" s="798"/>
      <c r="X141" s="798"/>
      <c r="Y141" s="803"/>
      <c r="Z141" s="803"/>
      <c r="AA141" s="798"/>
      <c r="AB141" s="798"/>
      <c r="AC141" s="798"/>
      <c r="AD141" s="798"/>
      <c r="AE141" s="803"/>
      <c r="AF141" s="803"/>
      <c r="AG141" s="798"/>
      <c r="AH141" s="803"/>
    </row>
    <row r="142" spans="1:34">
      <c r="A142" s="239"/>
      <c r="B142" s="239" t="s">
        <v>93</v>
      </c>
      <c r="C142" s="806">
        <f t="shared" ref="C142:C146" si="62">IF(S$146&gt;0,(S142/S$146),0)</f>
        <v>0</v>
      </c>
      <c r="D142" s="806">
        <f t="shared" si="60"/>
        <v>0</v>
      </c>
      <c r="E142" s="806">
        <f t="shared" si="60"/>
        <v>0</v>
      </c>
      <c r="F142" s="806">
        <f t="shared" si="60"/>
        <v>0</v>
      </c>
      <c r="G142" s="806">
        <f t="shared" si="60"/>
        <v>0</v>
      </c>
      <c r="H142" s="806">
        <f t="shared" si="60"/>
        <v>0</v>
      </c>
      <c r="I142" s="624">
        <f t="shared" si="60"/>
        <v>0</v>
      </c>
      <c r="J142" s="624">
        <f t="shared" si="60"/>
        <v>0</v>
      </c>
      <c r="K142" s="625">
        <f t="shared" si="60"/>
        <v>0</v>
      </c>
      <c r="L142" s="625">
        <f t="shared" si="60"/>
        <v>0</v>
      </c>
      <c r="M142" s="625">
        <f t="shared" si="60"/>
        <v>0</v>
      </c>
      <c r="N142" s="624">
        <f t="shared" ref="N142:N146" si="63">IF(AE$146&gt;0,(AE142/AE$146),0)</f>
        <v>0</v>
      </c>
      <c r="O142" s="624">
        <f t="shared" si="61"/>
        <v>0</v>
      </c>
      <c r="P142" s="626">
        <f t="shared" si="61"/>
        <v>0</v>
      </c>
      <c r="Q142" s="624">
        <f t="shared" si="61"/>
        <v>0</v>
      </c>
      <c r="Y142" s="804"/>
      <c r="Z142" s="804"/>
      <c r="AE142" s="804"/>
      <c r="AF142" s="804"/>
      <c r="AH142" s="804"/>
    </row>
    <row r="143" spans="1:34">
      <c r="A143" s="239"/>
      <c r="B143" s="239" t="s">
        <v>55</v>
      </c>
      <c r="C143" s="806">
        <f t="shared" si="62"/>
        <v>0</v>
      </c>
      <c r="D143" s="806">
        <f t="shared" si="60"/>
        <v>0</v>
      </c>
      <c r="E143" s="806">
        <f t="shared" si="60"/>
        <v>0</v>
      </c>
      <c r="F143" s="806">
        <f t="shared" si="60"/>
        <v>0</v>
      </c>
      <c r="G143" s="806">
        <f t="shared" si="60"/>
        <v>0</v>
      </c>
      <c r="H143" s="806">
        <f t="shared" si="60"/>
        <v>0</v>
      </c>
      <c r="I143" s="624">
        <f t="shared" si="60"/>
        <v>0</v>
      </c>
      <c r="J143" s="624">
        <f t="shared" si="60"/>
        <v>0</v>
      </c>
      <c r="K143" s="625">
        <f t="shared" si="60"/>
        <v>0</v>
      </c>
      <c r="L143" s="625">
        <f t="shared" si="60"/>
        <v>0</v>
      </c>
      <c r="M143" s="625">
        <f t="shared" si="60"/>
        <v>0</v>
      </c>
      <c r="N143" s="624">
        <f t="shared" si="63"/>
        <v>0</v>
      </c>
      <c r="O143" s="624">
        <f t="shared" si="61"/>
        <v>0</v>
      </c>
      <c r="P143" s="626">
        <f t="shared" si="61"/>
        <v>0</v>
      </c>
      <c r="Q143" s="624">
        <f t="shared" si="61"/>
        <v>0</v>
      </c>
      <c r="Y143" s="804"/>
      <c r="Z143" s="804"/>
      <c r="AE143" s="804"/>
      <c r="AF143" s="804"/>
      <c r="AH143" s="804"/>
    </row>
    <row r="144" spans="1:34">
      <c r="A144" s="239"/>
      <c r="B144" s="239" t="s">
        <v>78</v>
      </c>
      <c r="C144" s="806">
        <f t="shared" si="62"/>
        <v>0</v>
      </c>
      <c r="D144" s="806">
        <f t="shared" si="60"/>
        <v>0</v>
      </c>
      <c r="E144" s="806">
        <f t="shared" si="60"/>
        <v>0</v>
      </c>
      <c r="F144" s="806">
        <f t="shared" si="60"/>
        <v>0</v>
      </c>
      <c r="G144" s="806">
        <f t="shared" si="60"/>
        <v>0</v>
      </c>
      <c r="H144" s="806">
        <f t="shared" si="60"/>
        <v>0</v>
      </c>
      <c r="I144" s="624">
        <f t="shared" si="60"/>
        <v>0</v>
      </c>
      <c r="J144" s="624">
        <f t="shared" si="60"/>
        <v>0</v>
      </c>
      <c r="K144" s="625">
        <f t="shared" si="60"/>
        <v>0</v>
      </c>
      <c r="L144" s="625">
        <f t="shared" si="60"/>
        <v>0</v>
      </c>
      <c r="M144" s="625">
        <f t="shared" si="60"/>
        <v>0</v>
      </c>
      <c r="N144" s="624">
        <f t="shared" si="63"/>
        <v>0</v>
      </c>
      <c r="O144" s="624">
        <f t="shared" si="61"/>
        <v>0</v>
      </c>
      <c r="P144" s="626">
        <f t="shared" si="61"/>
        <v>0</v>
      </c>
      <c r="Q144" s="624">
        <f t="shared" si="61"/>
        <v>0</v>
      </c>
      <c r="Y144" s="804"/>
      <c r="Z144" s="804"/>
      <c r="AE144" s="804"/>
      <c r="AF144" s="804"/>
      <c r="AH144" s="804"/>
    </row>
    <row r="145" spans="1:34">
      <c r="A145" s="580"/>
      <c r="B145" s="580" t="s">
        <v>131</v>
      </c>
      <c r="C145" s="806">
        <f t="shared" si="62"/>
        <v>0</v>
      </c>
      <c r="D145" s="806">
        <f t="shared" si="60"/>
        <v>0</v>
      </c>
      <c r="E145" s="806">
        <f t="shared" si="60"/>
        <v>0</v>
      </c>
      <c r="F145" s="806">
        <f t="shared" si="60"/>
        <v>0</v>
      </c>
      <c r="G145" s="806">
        <f t="shared" si="60"/>
        <v>0</v>
      </c>
      <c r="H145" s="806">
        <f t="shared" si="60"/>
        <v>0</v>
      </c>
      <c r="I145" s="624">
        <f t="shared" si="60"/>
        <v>0</v>
      </c>
      <c r="J145" s="624">
        <f t="shared" si="60"/>
        <v>0</v>
      </c>
      <c r="K145" s="625">
        <f t="shared" si="60"/>
        <v>0</v>
      </c>
      <c r="L145" s="625">
        <f t="shared" si="60"/>
        <v>0</v>
      </c>
      <c r="M145" s="625">
        <f t="shared" si="60"/>
        <v>0</v>
      </c>
      <c r="N145" s="624">
        <f t="shared" si="63"/>
        <v>0</v>
      </c>
      <c r="O145" s="624">
        <f t="shared" si="61"/>
        <v>0</v>
      </c>
      <c r="P145" s="626">
        <f t="shared" si="61"/>
        <v>0</v>
      </c>
      <c r="Q145" s="624">
        <f t="shared" si="61"/>
        <v>0</v>
      </c>
      <c r="Y145" s="804"/>
      <c r="Z145" s="804"/>
      <c r="AE145" s="804"/>
      <c r="AF145" s="804"/>
      <c r="AH145" s="804"/>
    </row>
    <row r="146" spans="1:34">
      <c r="A146" s="436"/>
      <c r="B146" s="436" t="s">
        <v>59</v>
      </c>
      <c r="C146" s="807">
        <f t="shared" si="62"/>
        <v>0</v>
      </c>
      <c r="D146" s="808">
        <f t="shared" si="60"/>
        <v>0</v>
      </c>
      <c r="E146" s="808">
        <f t="shared" si="60"/>
        <v>0</v>
      </c>
      <c r="F146" s="808">
        <f t="shared" si="60"/>
        <v>0</v>
      </c>
      <c r="G146" s="808">
        <f t="shared" si="60"/>
        <v>0</v>
      </c>
      <c r="H146" s="809">
        <f t="shared" si="60"/>
        <v>0</v>
      </c>
      <c r="I146" s="577">
        <f t="shared" si="60"/>
        <v>0</v>
      </c>
      <c r="J146" s="577">
        <f t="shared" si="60"/>
        <v>0</v>
      </c>
      <c r="K146" s="578">
        <f t="shared" si="60"/>
        <v>0</v>
      </c>
      <c r="L146" s="578">
        <f t="shared" si="60"/>
        <v>0</v>
      </c>
      <c r="M146" s="578">
        <f t="shared" si="60"/>
        <v>0</v>
      </c>
      <c r="N146" s="577">
        <f t="shared" si="63"/>
        <v>0</v>
      </c>
      <c r="O146" s="577">
        <f t="shared" si="61"/>
        <v>0</v>
      </c>
      <c r="P146" s="579">
        <f t="shared" si="61"/>
        <v>0</v>
      </c>
      <c r="Q146" s="577">
        <f t="shared" si="61"/>
        <v>0</v>
      </c>
      <c r="Y146" s="804"/>
      <c r="Z146" s="804"/>
      <c r="AE146" s="804"/>
      <c r="AF146" s="804"/>
      <c r="AH146" s="804"/>
    </row>
    <row r="147" spans="1:34">
      <c r="A147" s="240" t="s">
        <v>138</v>
      </c>
      <c r="B147" s="240" t="s">
        <v>53</v>
      </c>
      <c r="C147" s="806">
        <f>IF(S$152&gt;0,(S147/S$152),0)</f>
        <v>0</v>
      </c>
      <c r="D147" s="806">
        <f t="shared" ref="D147:M152" si="64">IF(T$152&gt;0,(T147/T$152),0)</f>
        <v>0</v>
      </c>
      <c r="E147" s="806">
        <f t="shared" si="64"/>
        <v>0</v>
      </c>
      <c r="F147" s="806">
        <f t="shared" si="64"/>
        <v>0</v>
      </c>
      <c r="G147" s="806">
        <f t="shared" si="64"/>
        <v>0</v>
      </c>
      <c r="H147" s="806">
        <f t="shared" si="64"/>
        <v>0</v>
      </c>
      <c r="I147" s="613">
        <f t="shared" si="64"/>
        <v>0</v>
      </c>
      <c r="J147" s="613">
        <f t="shared" si="64"/>
        <v>0</v>
      </c>
      <c r="K147" s="614">
        <f t="shared" si="64"/>
        <v>0</v>
      </c>
      <c r="L147" s="614">
        <f t="shared" si="64"/>
        <v>0</v>
      </c>
      <c r="M147" s="614">
        <f t="shared" si="64"/>
        <v>0</v>
      </c>
      <c r="N147" s="613">
        <f>IF(AE$152&gt;0,(AE147/AE$152),0)</f>
        <v>0</v>
      </c>
      <c r="O147" s="613">
        <f t="shared" ref="O147:Q152" si="65">IF(AF$152&gt;0,(AF147/AF$152),0)</f>
        <v>0</v>
      </c>
      <c r="P147" s="615">
        <f t="shared" si="65"/>
        <v>0</v>
      </c>
      <c r="Q147" s="613">
        <f t="shared" si="65"/>
        <v>0</v>
      </c>
      <c r="R147" s="799"/>
      <c r="S147" s="798"/>
      <c r="T147" s="798"/>
      <c r="U147" s="798"/>
      <c r="V147" s="798"/>
      <c r="W147" s="798"/>
      <c r="X147" s="798"/>
      <c r="Y147" s="803"/>
      <c r="Z147" s="803"/>
      <c r="AA147" s="798"/>
      <c r="AB147" s="798"/>
      <c r="AC147" s="798"/>
      <c r="AD147" s="798"/>
      <c r="AE147" s="803"/>
      <c r="AF147" s="803"/>
      <c r="AG147" s="798"/>
      <c r="AH147" s="803"/>
    </row>
    <row r="148" spans="1:34">
      <c r="A148" s="239"/>
      <c r="B148" s="239" t="s">
        <v>93</v>
      </c>
      <c r="C148" s="806">
        <f t="shared" ref="C148:C152" si="66">IF(S$152&gt;0,(S148/S$152),0)</f>
        <v>0</v>
      </c>
      <c r="D148" s="806">
        <f t="shared" si="64"/>
        <v>0</v>
      </c>
      <c r="E148" s="806">
        <f t="shared" si="64"/>
        <v>0</v>
      </c>
      <c r="F148" s="806">
        <f t="shared" si="64"/>
        <v>0</v>
      </c>
      <c r="G148" s="806">
        <f t="shared" si="64"/>
        <v>0</v>
      </c>
      <c r="H148" s="806">
        <f t="shared" si="64"/>
        <v>0</v>
      </c>
      <c r="I148" s="624">
        <f t="shared" si="64"/>
        <v>0</v>
      </c>
      <c r="J148" s="624">
        <f t="shared" si="64"/>
        <v>0</v>
      </c>
      <c r="K148" s="625">
        <f t="shared" si="64"/>
        <v>0</v>
      </c>
      <c r="L148" s="625">
        <f t="shared" si="64"/>
        <v>0</v>
      </c>
      <c r="M148" s="625">
        <f t="shared" si="64"/>
        <v>0</v>
      </c>
      <c r="N148" s="624">
        <f t="shared" ref="N148:N152" si="67">IF(AE$152&gt;0,(AE148/AE$152),0)</f>
        <v>0</v>
      </c>
      <c r="O148" s="624">
        <f t="shared" si="65"/>
        <v>0</v>
      </c>
      <c r="P148" s="626">
        <f t="shared" si="65"/>
        <v>0</v>
      </c>
      <c r="Q148" s="624">
        <f t="shared" si="65"/>
        <v>0</v>
      </c>
      <c r="Y148" s="804"/>
      <c r="Z148" s="804"/>
      <c r="AE148" s="804"/>
      <c r="AF148" s="804"/>
      <c r="AH148" s="804"/>
    </row>
    <row r="149" spans="1:34">
      <c r="A149" s="239"/>
      <c r="B149" s="239" t="s">
        <v>55</v>
      </c>
      <c r="C149" s="806">
        <f t="shared" si="66"/>
        <v>0</v>
      </c>
      <c r="D149" s="806">
        <f t="shared" si="64"/>
        <v>0</v>
      </c>
      <c r="E149" s="806">
        <f t="shared" si="64"/>
        <v>0</v>
      </c>
      <c r="F149" s="806">
        <f t="shared" si="64"/>
        <v>0</v>
      </c>
      <c r="G149" s="806">
        <f t="shared" si="64"/>
        <v>0</v>
      </c>
      <c r="H149" s="806">
        <f t="shared" si="64"/>
        <v>0</v>
      </c>
      <c r="I149" s="624">
        <f t="shared" si="64"/>
        <v>0</v>
      </c>
      <c r="J149" s="624">
        <f t="shared" si="64"/>
        <v>0</v>
      </c>
      <c r="K149" s="625">
        <f t="shared" si="64"/>
        <v>0</v>
      </c>
      <c r="L149" s="625">
        <f t="shared" si="64"/>
        <v>0</v>
      </c>
      <c r="M149" s="625">
        <f t="shared" si="64"/>
        <v>0</v>
      </c>
      <c r="N149" s="624">
        <f t="shared" si="67"/>
        <v>0</v>
      </c>
      <c r="O149" s="624">
        <f t="shared" si="65"/>
        <v>0</v>
      </c>
      <c r="P149" s="626">
        <f t="shared" si="65"/>
        <v>0</v>
      </c>
      <c r="Q149" s="624">
        <f t="shared" si="65"/>
        <v>0</v>
      </c>
      <c r="Y149" s="804"/>
      <c r="Z149" s="804"/>
      <c r="AE149" s="804"/>
      <c r="AF149" s="804"/>
      <c r="AH149" s="804"/>
    </row>
    <row r="150" spans="1:34">
      <c r="A150" s="239"/>
      <c r="B150" s="239" t="s">
        <v>78</v>
      </c>
      <c r="C150" s="806">
        <f t="shared" si="66"/>
        <v>0</v>
      </c>
      <c r="D150" s="806">
        <f t="shared" si="64"/>
        <v>0</v>
      </c>
      <c r="E150" s="806">
        <f t="shared" si="64"/>
        <v>0</v>
      </c>
      <c r="F150" s="806">
        <f t="shared" si="64"/>
        <v>0</v>
      </c>
      <c r="G150" s="806">
        <f t="shared" si="64"/>
        <v>0</v>
      </c>
      <c r="H150" s="806">
        <f t="shared" si="64"/>
        <v>0</v>
      </c>
      <c r="I150" s="624">
        <f t="shared" si="64"/>
        <v>0</v>
      </c>
      <c r="J150" s="624">
        <f t="shared" si="64"/>
        <v>0</v>
      </c>
      <c r="K150" s="625">
        <f t="shared" si="64"/>
        <v>0</v>
      </c>
      <c r="L150" s="625">
        <f t="shared" si="64"/>
        <v>0</v>
      </c>
      <c r="M150" s="625">
        <f t="shared" si="64"/>
        <v>0</v>
      </c>
      <c r="N150" s="624">
        <f t="shared" si="67"/>
        <v>0</v>
      </c>
      <c r="O150" s="624">
        <f t="shared" si="65"/>
        <v>0</v>
      </c>
      <c r="P150" s="626">
        <f t="shared" si="65"/>
        <v>0</v>
      </c>
      <c r="Q150" s="624">
        <f t="shared" si="65"/>
        <v>0</v>
      </c>
      <c r="Y150" s="804"/>
      <c r="Z150" s="804"/>
      <c r="AE150" s="804"/>
      <c r="AF150" s="804"/>
      <c r="AH150" s="804"/>
    </row>
    <row r="151" spans="1:34">
      <c r="A151" s="580"/>
      <c r="B151" s="580" t="s">
        <v>131</v>
      </c>
      <c r="C151" s="806">
        <f t="shared" si="66"/>
        <v>0</v>
      </c>
      <c r="D151" s="806">
        <f t="shared" si="64"/>
        <v>0</v>
      </c>
      <c r="E151" s="806">
        <f t="shared" si="64"/>
        <v>0</v>
      </c>
      <c r="F151" s="806">
        <f t="shared" si="64"/>
        <v>0</v>
      </c>
      <c r="G151" s="806">
        <f t="shared" si="64"/>
        <v>0</v>
      </c>
      <c r="H151" s="806">
        <f t="shared" si="64"/>
        <v>0</v>
      </c>
      <c r="I151" s="624">
        <f t="shared" si="64"/>
        <v>0</v>
      </c>
      <c r="J151" s="624">
        <f t="shared" si="64"/>
        <v>0</v>
      </c>
      <c r="K151" s="625">
        <f t="shared" si="64"/>
        <v>0</v>
      </c>
      <c r="L151" s="625">
        <f t="shared" si="64"/>
        <v>0</v>
      </c>
      <c r="M151" s="625">
        <f t="shared" si="64"/>
        <v>0</v>
      </c>
      <c r="N151" s="624">
        <f t="shared" si="67"/>
        <v>0</v>
      </c>
      <c r="O151" s="624">
        <f t="shared" si="65"/>
        <v>0</v>
      </c>
      <c r="P151" s="626">
        <f t="shared" si="65"/>
        <v>0</v>
      </c>
      <c r="Q151" s="624">
        <f t="shared" si="65"/>
        <v>0</v>
      </c>
      <c r="Y151" s="804"/>
      <c r="Z151" s="804"/>
      <c r="AE151" s="804"/>
      <c r="AF151" s="804"/>
      <c r="AH151" s="804"/>
    </row>
    <row r="152" spans="1:34">
      <c r="A152" s="436"/>
      <c r="B152" s="436" t="s">
        <v>59</v>
      </c>
      <c r="C152" s="807">
        <f t="shared" si="66"/>
        <v>0</v>
      </c>
      <c r="D152" s="808">
        <f t="shared" si="64"/>
        <v>0</v>
      </c>
      <c r="E152" s="808">
        <f t="shared" si="64"/>
        <v>0</v>
      </c>
      <c r="F152" s="808">
        <f t="shared" si="64"/>
        <v>0</v>
      </c>
      <c r="G152" s="808">
        <f t="shared" si="64"/>
        <v>0</v>
      </c>
      <c r="H152" s="809">
        <f t="shared" si="64"/>
        <v>0</v>
      </c>
      <c r="I152" s="577">
        <f t="shared" si="64"/>
        <v>0</v>
      </c>
      <c r="J152" s="577">
        <f t="shared" si="64"/>
        <v>0</v>
      </c>
      <c r="K152" s="578">
        <f t="shared" si="64"/>
        <v>0</v>
      </c>
      <c r="L152" s="578">
        <f t="shared" si="64"/>
        <v>0</v>
      </c>
      <c r="M152" s="578">
        <f t="shared" si="64"/>
        <v>0</v>
      </c>
      <c r="N152" s="577">
        <f t="shared" si="67"/>
        <v>0</v>
      </c>
      <c r="O152" s="577">
        <f t="shared" si="65"/>
        <v>0</v>
      </c>
      <c r="P152" s="579">
        <f t="shared" si="65"/>
        <v>0</v>
      </c>
      <c r="Q152" s="577">
        <f t="shared" si="65"/>
        <v>0</v>
      </c>
      <c r="Y152" s="804"/>
      <c r="Z152" s="804"/>
      <c r="AE152" s="804"/>
      <c r="AF152" s="804"/>
      <c r="AH152" s="804"/>
    </row>
    <row r="153" spans="1:34">
      <c r="A153" s="240" t="s">
        <v>139</v>
      </c>
      <c r="B153" s="240" t="s">
        <v>53</v>
      </c>
      <c r="C153" s="806">
        <f>IF(S$158&gt;0,(S153/S$158),0)</f>
        <v>0</v>
      </c>
      <c r="D153" s="806">
        <f t="shared" ref="D153:M158" si="68">IF(T$158&gt;0,(T153/T$158),0)</f>
        <v>0</v>
      </c>
      <c r="E153" s="806">
        <f t="shared" si="68"/>
        <v>0</v>
      </c>
      <c r="F153" s="806">
        <f t="shared" si="68"/>
        <v>0</v>
      </c>
      <c r="G153" s="806">
        <f t="shared" si="68"/>
        <v>0</v>
      </c>
      <c r="H153" s="806">
        <f t="shared" si="68"/>
        <v>0</v>
      </c>
      <c r="I153" s="613">
        <f t="shared" si="68"/>
        <v>0</v>
      </c>
      <c r="J153" s="613">
        <f t="shared" si="68"/>
        <v>0</v>
      </c>
      <c r="K153" s="614">
        <f t="shared" si="68"/>
        <v>0</v>
      </c>
      <c r="L153" s="614">
        <f t="shared" si="68"/>
        <v>0</v>
      </c>
      <c r="M153" s="614">
        <f t="shared" si="68"/>
        <v>0</v>
      </c>
      <c r="N153" s="613">
        <f>IF(AE$158&gt;0,(AE153/AE$158),0)</f>
        <v>0</v>
      </c>
      <c r="O153" s="613">
        <f t="shared" ref="O153:Q158" si="69">IF(AF$158&gt;0,(AF153/AF$158),0)</f>
        <v>0</v>
      </c>
      <c r="P153" s="615">
        <f t="shared" si="69"/>
        <v>0</v>
      </c>
      <c r="Q153" s="613">
        <f t="shared" si="69"/>
        <v>0</v>
      </c>
      <c r="R153" s="799"/>
      <c r="S153" s="798"/>
      <c r="T153" s="798"/>
      <c r="U153" s="798"/>
      <c r="V153" s="798"/>
      <c r="W153" s="798"/>
      <c r="X153" s="798"/>
      <c r="Y153" s="803"/>
      <c r="Z153" s="803"/>
      <c r="AA153" s="798"/>
      <c r="AB153" s="798"/>
      <c r="AC153" s="798"/>
      <c r="AD153" s="798"/>
      <c r="AE153" s="803"/>
      <c r="AF153" s="803"/>
      <c r="AG153" s="798"/>
      <c r="AH153" s="803"/>
    </row>
    <row r="154" spans="1:34">
      <c r="A154" s="239"/>
      <c r="B154" s="239" t="s">
        <v>93</v>
      </c>
      <c r="C154" s="806">
        <f t="shared" ref="C154:C158" si="70">IF(S$158&gt;0,(S154/S$158),0)</f>
        <v>0</v>
      </c>
      <c r="D154" s="806">
        <f t="shared" si="68"/>
        <v>0</v>
      </c>
      <c r="E154" s="806">
        <f t="shared" si="68"/>
        <v>0</v>
      </c>
      <c r="F154" s="806">
        <f t="shared" si="68"/>
        <v>0</v>
      </c>
      <c r="G154" s="806">
        <f t="shared" si="68"/>
        <v>0</v>
      </c>
      <c r="H154" s="806">
        <f t="shared" si="68"/>
        <v>0</v>
      </c>
      <c r="I154" s="624">
        <f t="shared" si="68"/>
        <v>0</v>
      </c>
      <c r="J154" s="624">
        <f t="shared" si="68"/>
        <v>0</v>
      </c>
      <c r="K154" s="625">
        <f t="shared" si="68"/>
        <v>0</v>
      </c>
      <c r="L154" s="625">
        <f t="shared" si="68"/>
        <v>0</v>
      </c>
      <c r="M154" s="625">
        <f t="shared" si="68"/>
        <v>0</v>
      </c>
      <c r="N154" s="624">
        <f t="shared" ref="N154:N158" si="71">IF(AE$158&gt;0,(AE154/AE$158),0)</f>
        <v>0</v>
      </c>
      <c r="O154" s="624">
        <f t="shared" si="69"/>
        <v>0</v>
      </c>
      <c r="P154" s="626">
        <f t="shared" si="69"/>
        <v>0</v>
      </c>
      <c r="Q154" s="624">
        <f t="shared" si="69"/>
        <v>0</v>
      </c>
      <c r="Y154" s="804"/>
      <c r="Z154" s="804"/>
      <c r="AE154" s="804"/>
      <c r="AF154" s="804"/>
      <c r="AH154" s="804"/>
    </row>
    <row r="155" spans="1:34">
      <c r="A155" s="239"/>
      <c r="B155" s="239" t="s">
        <v>55</v>
      </c>
      <c r="C155" s="806">
        <f t="shared" si="70"/>
        <v>0</v>
      </c>
      <c r="D155" s="806">
        <f t="shared" si="68"/>
        <v>0</v>
      </c>
      <c r="E155" s="806">
        <f t="shared" si="68"/>
        <v>0</v>
      </c>
      <c r="F155" s="806">
        <f t="shared" si="68"/>
        <v>0</v>
      </c>
      <c r="G155" s="806">
        <f t="shared" si="68"/>
        <v>0</v>
      </c>
      <c r="H155" s="806">
        <f t="shared" si="68"/>
        <v>0</v>
      </c>
      <c r="I155" s="624">
        <f t="shared" si="68"/>
        <v>0</v>
      </c>
      <c r="J155" s="624">
        <f t="shared" si="68"/>
        <v>0</v>
      </c>
      <c r="K155" s="625">
        <f t="shared" si="68"/>
        <v>0</v>
      </c>
      <c r="L155" s="625">
        <f t="shared" si="68"/>
        <v>0</v>
      </c>
      <c r="M155" s="625">
        <f t="shared" si="68"/>
        <v>0</v>
      </c>
      <c r="N155" s="624">
        <f t="shared" si="71"/>
        <v>0</v>
      </c>
      <c r="O155" s="624">
        <f t="shared" si="69"/>
        <v>0</v>
      </c>
      <c r="P155" s="626">
        <f t="shared" si="69"/>
        <v>0</v>
      </c>
      <c r="Q155" s="624">
        <f t="shared" si="69"/>
        <v>0</v>
      </c>
      <c r="Y155" s="804"/>
      <c r="Z155" s="804"/>
      <c r="AE155" s="804"/>
      <c r="AF155" s="804"/>
      <c r="AH155" s="804"/>
    </row>
    <row r="156" spans="1:34">
      <c r="A156" s="239"/>
      <c r="B156" s="239" t="s">
        <v>78</v>
      </c>
      <c r="C156" s="806">
        <f t="shared" si="70"/>
        <v>0</v>
      </c>
      <c r="D156" s="806">
        <f t="shared" si="68"/>
        <v>0</v>
      </c>
      <c r="E156" s="806">
        <f t="shared" si="68"/>
        <v>0</v>
      </c>
      <c r="F156" s="806">
        <f t="shared" si="68"/>
        <v>0</v>
      </c>
      <c r="G156" s="806">
        <f t="shared" si="68"/>
        <v>0</v>
      </c>
      <c r="H156" s="806">
        <f t="shared" si="68"/>
        <v>0</v>
      </c>
      <c r="I156" s="624">
        <f t="shared" si="68"/>
        <v>0</v>
      </c>
      <c r="J156" s="624">
        <f t="shared" si="68"/>
        <v>0</v>
      </c>
      <c r="K156" s="625">
        <f t="shared" si="68"/>
        <v>0</v>
      </c>
      <c r="L156" s="625">
        <f t="shared" si="68"/>
        <v>0</v>
      </c>
      <c r="M156" s="625">
        <f t="shared" si="68"/>
        <v>0</v>
      </c>
      <c r="N156" s="624">
        <f t="shared" si="71"/>
        <v>0</v>
      </c>
      <c r="O156" s="624">
        <f t="shared" si="69"/>
        <v>0</v>
      </c>
      <c r="P156" s="626">
        <f t="shared" si="69"/>
        <v>0</v>
      </c>
      <c r="Q156" s="624">
        <f t="shared" si="69"/>
        <v>0</v>
      </c>
      <c r="Y156" s="804"/>
      <c r="Z156" s="804"/>
      <c r="AE156" s="804"/>
      <c r="AF156" s="804"/>
      <c r="AH156" s="804"/>
    </row>
    <row r="157" spans="1:34">
      <c r="A157" s="580"/>
      <c r="B157" s="580" t="s">
        <v>131</v>
      </c>
      <c r="C157" s="806">
        <f t="shared" si="70"/>
        <v>0</v>
      </c>
      <c r="D157" s="806">
        <f t="shared" si="68"/>
        <v>0</v>
      </c>
      <c r="E157" s="806">
        <f t="shared" si="68"/>
        <v>0</v>
      </c>
      <c r="F157" s="806">
        <f t="shared" si="68"/>
        <v>0</v>
      </c>
      <c r="G157" s="806">
        <f t="shared" si="68"/>
        <v>0</v>
      </c>
      <c r="H157" s="806">
        <f t="shared" si="68"/>
        <v>0</v>
      </c>
      <c r="I157" s="624">
        <f t="shared" si="68"/>
        <v>0</v>
      </c>
      <c r="J157" s="624">
        <f t="shared" si="68"/>
        <v>0</v>
      </c>
      <c r="K157" s="625">
        <f t="shared" si="68"/>
        <v>0</v>
      </c>
      <c r="L157" s="625">
        <f t="shared" si="68"/>
        <v>0</v>
      </c>
      <c r="M157" s="625">
        <f t="shared" si="68"/>
        <v>0</v>
      </c>
      <c r="N157" s="624">
        <f t="shared" si="71"/>
        <v>0</v>
      </c>
      <c r="O157" s="624">
        <f t="shared" si="69"/>
        <v>0</v>
      </c>
      <c r="P157" s="626">
        <f t="shared" si="69"/>
        <v>0</v>
      </c>
      <c r="Q157" s="624">
        <f t="shared" si="69"/>
        <v>0</v>
      </c>
      <c r="Y157" s="804"/>
      <c r="Z157" s="804"/>
      <c r="AE157" s="804"/>
      <c r="AF157" s="804"/>
      <c r="AH157" s="804"/>
    </row>
    <row r="158" spans="1:34">
      <c r="A158" s="436"/>
      <c r="B158" s="436" t="s">
        <v>59</v>
      </c>
      <c r="C158" s="807">
        <f t="shared" si="70"/>
        <v>0</v>
      </c>
      <c r="D158" s="808">
        <f t="shared" si="68"/>
        <v>0</v>
      </c>
      <c r="E158" s="808">
        <f t="shared" si="68"/>
        <v>0</v>
      </c>
      <c r="F158" s="808">
        <f t="shared" si="68"/>
        <v>0</v>
      </c>
      <c r="G158" s="808">
        <f t="shared" si="68"/>
        <v>0</v>
      </c>
      <c r="H158" s="809">
        <f t="shared" si="68"/>
        <v>0</v>
      </c>
      <c r="I158" s="577">
        <f t="shared" si="68"/>
        <v>0</v>
      </c>
      <c r="J158" s="577">
        <f t="shared" si="68"/>
        <v>0</v>
      </c>
      <c r="K158" s="578">
        <f t="shared" si="68"/>
        <v>0</v>
      </c>
      <c r="L158" s="578">
        <f t="shared" si="68"/>
        <v>0</v>
      </c>
      <c r="M158" s="578">
        <f t="shared" si="68"/>
        <v>0</v>
      </c>
      <c r="N158" s="577">
        <f t="shared" si="71"/>
        <v>0</v>
      </c>
      <c r="O158" s="577">
        <f t="shared" si="69"/>
        <v>0</v>
      </c>
      <c r="P158" s="579">
        <f t="shared" si="69"/>
        <v>0</v>
      </c>
      <c r="Q158" s="577">
        <f t="shared" si="69"/>
        <v>0</v>
      </c>
      <c r="Y158" s="804"/>
      <c r="Z158" s="804"/>
      <c r="AE158" s="804"/>
      <c r="AF158" s="804"/>
      <c r="AH158" s="804"/>
    </row>
    <row r="159" spans="1:34">
      <c r="A159" s="240" t="s">
        <v>141</v>
      </c>
      <c r="B159" s="240" t="s">
        <v>53</v>
      </c>
      <c r="C159" s="806">
        <f>IF(S$164&gt;0,(S159/S$164),0)</f>
        <v>0</v>
      </c>
      <c r="D159" s="806">
        <f t="shared" ref="D159:M164" si="72">IF(T$164&gt;0,(T159/T$164),0)</f>
        <v>0</v>
      </c>
      <c r="E159" s="806">
        <f t="shared" si="72"/>
        <v>0</v>
      </c>
      <c r="F159" s="806">
        <f t="shared" si="72"/>
        <v>0</v>
      </c>
      <c r="G159" s="806">
        <f t="shared" si="72"/>
        <v>0</v>
      </c>
      <c r="H159" s="806">
        <f t="shared" si="72"/>
        <v>0</v>
      </c>
      <c r="I159" s="613">
        <f t="shared" si="72"/>
        <v>0</v>
      </c>
      <c r="J159" s="613">
        <f t="shared" si="72"/>
        <v>0</v>
      </c>
      <c r="K159" s="614">
        <f t="shared" si="72"/>
        <v>0</v>
      </c>
      <c r="L159" s="614">
        <f t="shared" si="72"/>
        <v>0</v>
      </c>
      <c r="M159" s="614">
        <f t="shared" si="72"/>
        <v>0</v>
      </c>
      <c r="N159" s="613">
        <f>IF(AE$164&gt;0,(AE159/AE$164),0)</f>
        <v>0</v>
      </c>
      <c r="O159" s="613">
        <f t="shared" ref="O159:Q164" si="73">IF(AF$164&gt;0,(AF159/AF$164),0)</f>
        <v>0</v>
      </c>
      <c r="P159" s="615">
        <f t="shared" si="73"/>
        <v>0</v>
      </c>
      <c r="Q159" s="613">
        <f t="shared" si="73"/>
        <v>0</v>
      </c>
      <c r="R159" s="799"/>
      <c r="S159" s="798"/>
      <c r="T159" s="798"/>
      <c r="U159" s="798"/>
      <c r="V159" s="798"/>
      <c r="W159" s="798"/>
      <c r="X159" s="798"/>
      <c r="Y159" s="803"/>
      <c r="Z159" s="803"/>
      <c r="AA159" s="798"/>
      <c r="AB159" s="798"/>
      <c r="AC159" s="798"/>
      <c r="AD159" s="798"/>
      <c r="AE159" s="803"/>
      <c r="AF159" s="803"/>
      <c r="AG159" s="798"/>
      <c r="AH159" s="803"/>
    </row>
    <row r="160" spans="1:34">
      <c r="A160" s="239"/>
      <c r="B160" s="239" t="s">
        <v>93</v>
      </c>
      <c r="C160" s="806">
        <f t="shared" ref="C160:C164" si="74">IF(S$164&gt;0,(S160/S$164),0)</f>
        <v>0</v>
      </c>
      <c r="D160" s="806">
        <f t="shared" si="72"/>
        <v>0</v>
      </c>
      <c r="E160" s="806">
        <f t="shared" si="72"/>
        <v>0</v>
      </c>
      <c r="F160" s="806">
        <f t="shared" si="72"/>
        <v>0</v>
      </c>
      <c r="G160" s="806">
        <f t="shared" si="72"/>
        <v>0</v>
      </c>
      <c r="H160" s="806">
        <f t="shared" si="72"/>
        <v>0</v>
      </c>
      <c r="I160" s="624">
        <f t="shared" si="72"/>
        <v>0</v>
      </c>
      <c r="J160" s="624">
        <f t="shared" si="72"/>
        <v>0</v>
      </c>
      <c r="K160" s="625">
        <f t="shared" si="72"/>
        <v>0</v>
      </c>
      <c r="L160" s="625">
        <f t="shared" si="72"/>
        <v>0</v>
      </c>
      <c r="M160" s="625">
        <f t="shared" si="72"/>
        <v>0</v>
      </c>
      <c r="N160" s="624">
        <f t="shared" ref="N160:N164" si="75">IF(AE$164&gt;0,(AE160/AE$164),0)</f>
        <v>0</v>
      </c>
      <c r="O160" s="624">
        <f t="shared" si="73"/>
        <v>0</v>
      </c>
      <c r="P160" s="626">
        <f t="shared" si="73"/>
        <v>0</v>
      </c>
      <c r="Q160" s="624">
        <f t="shared" si="73"/>
        <v>0</v>
      </c>
      <c r="Y160" s="804"/>
      <c r="Z160" s="804"/>
      <c r="AE160" s="804"/>
      <c r="AF160" s="804"/>
      <c r="AH160" s="804"/>
    </row>
    <row r="161" spans="1:34">
      <c r="A161" s="239"/>
      <c r="B161" s="239" t="s">
        <v>55</v>
      </c>
      <c r="C161" s="806">
        <f t="shared" si="74"/>
        <v>0</v>
      </c>
      <c r="D161" s="806">
        <f t="shared" si="72"/>
        <v>0</v>
      </c>
      <c r="E161" s="806">
        <f t="shared" si="72"/>
        <v>0</v>
      </c>
      <c r="F161" s="806">
        <f t="shared" si="72"/>
        <v>0</v>
      </c>
      <c r="G161" s="806">
        <f t="shared" si="72"/>
        <v>0</v>
      </c>
      <c r="H161" s="806">
        <f t="shared" si="72"/>
        <v>0</v>
      </c>
      <c r="I161" s="624">
        <f t="shared" si="72"/>
        <v>0</v>
      </c>
      <c r="J161" s="624">
        <f t="shared" si="72"/>
        <v>0</v>
      </c>
      <c r="K161" s="625">
        <f t="shared" si="72"/>
        <v>0</v>
      </c>
      <c r="L161" s="625">
        <f t="shared" si="72"/>
        <v>0</v>
      </c>
      <c r="M161" s="625">
        <f t="shared" si="72"/>
        <v>0</v>
      </c>
      <c r="N161" s="624">
        <f t="shared" si="75"/>
        <v>0</v>
      </c>
      <c r="O161" s="624">
        <f t="shared" si="73"/>
        <v>0</v>
      </c>
      <c r="P161" s="626">
        <f t="shared" si="73"/>
        <v>0</v>
      </c>
      <c r="Q161" s="624">
        <f t="shared" si="73"/>
        <v>0</v>
      </c>
      <c r="Y161" s="804"/>
      <c r="Z161" s="804"/>
      <c r="AE161" s="804"/>
      <c r="AF161" s="804"/>
      <c r="AH161" s="804"/>
    </row>
    <row r="162" spans="1:34">
      <c r="A162" s="239"/>
      <c r="B162" s="239" t="s">
        <v>78</v>
      </c>
      <c r="C162" s="806">
        <f t="shared" si="74"/>
        <v>0</v>
      </c>
      <c r="D162" s="806">
        <f t="shared" si="72"/>
        <v>0</v>
      </c>
      <c r="E162" s="806">
        <f t="shared" si="72"/>
        <v>0</v>
      </c>
      <c r="F162" s="806">
        <f t="shared" si="72"/>
        <v>0</v>
      </c>
      <c r="G162" s="806">
        <f t="shared" si="72"/>
        <v>0</v>
      </c>
      <c r="H162" s="806">
        <f t="shared" si="72"/>
        <v>0</v>
      </c>
      <c r="I162" s="624">
        <f t="shared" si="72"/>
        <v>0</v>
      </c>
      <c r="J162" s="624">
        <f t="shared" si="72"/>
        <v>0</v>
      </c>
      <c r="K162" s="625">
        <f t="shared" si="72"/>
        <v>0</v>
      </c>
      <c r="L162" s="625">
        <f t="shared" si="72"/>
        <v>0</v>
      </c>
      <c r="M162" s="625">
        <f t="shared" si="72"/>
        <v>0</v>
      </c>
      <c r="N162" s="624">
        <f t="shared" si="75"/>
        <v>0</v>
      </c>
      <c r="O162" s="624">
        <f t="shared" si="73"/>
        <v>0</v>
      </c>
      <c r="P162" s="626">
        <f t="shared" si="73"/>
        <v>0</v>
      </c>
      <c r="Q162" s="624">
        <f t="shared" si="73"/>
        <v>0</v>
      </c>
      <c r="Y162" s="804"/>
      <c r="Z162" s="804"/>
      <c r="AE162" s="804"/>
      <c r="AF162" s="804"/>
      <c r="AH162" s="804"/>
    </row>
    <row r="163" spans="1:34">
      <c r="A163" s="580"/>
      <c r="B163" s="580" t="s">
        <v>131</v>
      </c>
      <c r="C163" s="806">
        <f t="shared" si="74"/>
        <v>0</v>
      </c>
      <c r="D163" s="806">
        <f t="shared" si="72"/>
        <v>0</v>
      </c>
      <c r="E163" s="806">
        <f t="shared" si="72"/>
        <v>0</v>
      </c>
      <c r="F163" s="806">
        <f t="shared" si="72"/>
        <v>0</v>
      </c>
      <c r="G163" s="806">
        <f t="shared" si="72"/>
        <v>0</v>
      </c>
      <c r="H163" s="806">
        <f t="shared" si="72"/>
        <v>0</v>
      </c>
      <c r="I163" s="624">
        <f t="shared" si="72"/>
        <v>0</v>
      </c>
      <c r="J163" s="624">
        <f t="shared" si="72"/>
        <v>0</v>
      </c>
      <c r="K163" s="625">
        <f t="shared" si="72"/>
        <v>0</v>
      </c>
      <c r="L163" s="625">
        <f t="shared" si="72"/>
        <v>0</v>
      </c>
      <c r="M163" s="625">
        <f t="shared" si="72"/>
        <v>0</v>
      </c>
      <c r="N163" s="624">
        <f t="shared" si="75"/>
        <v>0</v>
      </c>
      <c r="O163" s="624">
        <f t="shared" si="73"/>
        <v>0</v>
      </c>
      <c r="P163" s="626">
        <f t="shared" si="73"/>
        <v>0</v>
      </c>
      <c r="Q163" s="624">
        <f t="shared" si="73"/>
        <v>0</v>
      </c>
      <c r="Y163" s="804"/>
      <c r="Z163" s="804"/>
      <c r="AE163" s="804"/>
      <c r="AF163" s="804"/>
      <c r="AH163" s="804"/>
    </row>
    <row r="164" spans="1:34">
      <c r="A164" s="436"/>
      <c r="B164" s="436" t="s">
        <v>59</v>
      </c>
      <c r="C164" s="807">
        <f t="shared" si="74"/>
        <v>0</v>
      </c>
      <c r="D164" s="808">
        <f t="shared" si="72"/>
        <v>0</v>
      </c>
      <c r="E164" s="808">
        <f t="shared" si="72"/>
        <v>0</v>
      </c>
      <c r="F164" s="808">
        <f t="shared" si="72"/>
        <v>0</v>
      </c>
      <c r="G164" s="808">
        <f t="shared" si="72"/>
        <v>0</v>
      </c>
      <c r="H164" s="809">
        <f t="shared" si="72"/>
        <v>0</v>
      </c>
      <c r="I164" s="577">
        <f t="shared" si="72"/>
        <v>0</v>
      </c>
      <c r="J164" s="577">
        <f t="shared" si="72"/>
        <v>0</v>
      </c>
      <c r="K164" s="578">
        <f t="shared" si="72"/>
        <v>0</v>
      </c>
      <c r="L164" s="578">
        <f t="shared" si="72"/>
        <v>0</v>
      </c>
      <c r="M164" s="578">
        <f t="shared" si="72"/>
        <v>0</v>
      </c>
      <c r="N164" s="577">
        <f t="shared" si="75"/>
        <v>0</v>
      </c>
      <c r="O164" s="577">
        <f t="shared" si="73"/>
        <v>0</v>
      </c>
      <c r="P164" s="579">
        <f t="shared" si="73"/>
        <v>0</v>
      </c>
      <c r="Q164" s="577">
        <f t="shared" si="73"/>
        <v>0</v>
      </c>
      <c r="Y164" s="804"/>
      <c r="Z164" s="804"/>
      <c r="AE164" s="804"/>
      <c r="AF164" s="804"/>
      <c r="AH164" s="804"/>
    </row>
    <row r="165" spans="1:34">
      <c r="A165" s="240" t="s">
        <v>143</v>
      </c>
      <c r="B165" s="240" t="s">
        <v>53</v>
      </c>
      <c r="C165" s="806">
        <f>IF(S$170&gt;0,(S165/S$170),0)</f>
        <v>0</v>
      </c>
      <c r="D165" s="806">
        <f t="shared" ref="D165:M170" si="76">IF(T$170&gt;0,(T165/T$170),0)</f>
        <v>0</v>
      </c>
      <c r="E165" s="806">
        <f t="shared" si="76"/>
        <v>0</v>
      </c>
      <c r="F165" s="806">
        <f t="shared" si="76"/>
        <v>0</v>
      </c>
      <c r="G165" s="806">
        <f t="shared" si="76"/>
        <v>0</v>
      </c>
      <c r="H165" s="806">
        <f t="shared" si="76"/>
        <v>0</v>
      </c>
      <c r="I165" s="613">
        <f t="shared" si="76"/>
        <v>0</v>
      </c>
      <c r="J165" s="613">
        <f t="shared" si="76"/>
        <v>0</v>
      </c>
      <c r="K165" s="614">
        <f t="shared" si="76"/>
        <v>0</v>
      </c>
      <c r="L165" s="614">
        <f t="shared" si="76"/>
        <v>0</v>
      </c>
      <c r="M165" s="614">
        <f t="shared" si="76"/>
        <v>0</v>
      </c>
      <c r="N165" s="613">
        <f>IF(AE$170&gt;0,(AE165/AE$170),0)</f>
        <v>0</v>
      </c>
      <c r="O165" s="613">
        <f t="shared" ref="O165:Q170" si="77">IF(AF$170&gt;0,(AF165/AF$170),0)</f>
        <v>0</v>
      </c>
      <c r="P165" s="615">
        <f t="shared" si="77"/>
        <v>0</v>
      </c>
      <c r="Q165" s="613">
        <f t="shared" si="77"/>
        <v>0</v>
      </c>
      <c r="R165" s="799"/>
      <c r="S165" s="798"/>
      <c r="T165" s="798"/>
      <c r="U165" s="798"/>
      <c r="V165" s="798"/>
      <c r="W165" s="798"/>
      <c r="X165" s="798"/>
      <c r="Y165" s="803"/>
      <c r="Z165" s="803"/>
      <c r="AA165" s="798"/>
      <c r="AB165" s="798"/>
      <c r="AC165" s="798"/>
      <c r="AD165" s="798"/>
      <c r="AE165" s="803"/>
      <c r="AF165" s="803"/>
      <c r="AG165" s="798"/>
      <c r="AH165" s="803"/>
    </row>
    <row r="166" spans="1:34">
      <c r="A166" s="239"/>
      <c r="B166" s="239" t="s">
        <v>93</v>
      </c>
      <c r="C166" s="806">
        <f t="shared" ref="C166:C170" si="78">IF(S$170&gt;0,(S166/S$170),0)</f>
        <v>0</v>
      </c>
      <c r="D166" s="806">
        <f t="shared" si="76"/>
        <v>0</v>
      </c>
      <c r="E166" s="806">
        <f t="shared" si="76"/>
        <v>0</v>
      </c>
      <c r="F166" s="806">
        <f t="shared" si="76"/>
        <v>0</v>
      </c>
      <c r="G166" s="806">
        <f t="shared" si="76"/>
        <v>0</v>
      </c>
      <c r="H166" s="806">
        <f t="shared" si="76"/>
        <v>0</v>
      </c>
      <c r="I166" s="624">
        <f t="shared" si="76"/>
        <v>0</v>
      </c>
      <c r="J166" s="624">
        <f t="shared" si="76"/>
        <v>0</v>
      </c>
      <c r="K166" s="625">
        <f t="shared" si="76"/>
        <v>0</v>
      </c>
      <c r="L166" s="625">
        <f t="shared" si="76"/>
        <v>0</v>
      </c>
      <c r="M166" s="625">
        <f t="shared" si="76"/>
        <v>0</v>
      </c>
      <c r="N166" s="624">
        <f t="shared" ref="N166:N170" si="79">IF(AE$170&gt;0,(AE166/AE$170),0)</f>
        <v>0</v>
      </c>
      <c r="O166" s="624">
        <f t="shared" si="77"/>
        <v>0</v>
      </c>
      <c r="P166" s="626">
        <f t="shared" si="77"/>
        <v>0</v>
      </c>
      <c r="Q166" s="624">
        <f t="shared" si="77"/>
        <v>0</v>
      </c>
      <c r="Y166" s="804"/>
      <c r="Z166" s="804"/>
      <c r="AE166" s="804"/>
      <c r="AF166" s="804"/>
      <c r="AH166" s="804"/>
    </row>
    <row r="167" spans="1:34">
      <c r="A167" s="239"/>
      <c r="B167" s="239" t="s">
        <v>55</v>
      </c>
      <c r="C167" s="806">
        <f t="shared" si="78"/>
        <v>0</v>
      </c>
      <c r="D167" s="806">
        <f t="shared" si="76"/>
        <v>0</v>
      </c>
      <c r="E167" s="806">
        <f t="shared" si="76"/>
        <v>0</v>
      </c>
      <c r="F167" s="806">
        <f t="shared" si="76"/>
        <v>0</v>
      </c>
      <c r="G167" s="806">
        <f t="shared" si="76"/>
        <v>0</v>
      </c>
      <c r="H167" s="806">
        <f t="shared" si="76"/>
        <v>0</v>
      </c>
      <c r="I167" s="624">
        <f t="shared" si="76"/>
        <v>0</v>
      </c>
      <c r="J167" s="624">
        <f t="shared" si="76"/>
        <v>0</v>
      </c>
      <c r="K167" s="625">
        <f t="shared" si="76"/>
        <v>0</v>
      </c>
      <c r="L167" s="625">
        <f t="shared" si="76"/>
        <v>0</v>
      </c>
      <c r="M167" s="625">
        <f t="shared" si="76"/>
        <v>0</v>
      </c>
      <c r="N167" s="624">
        <f t="shared" si="79"/>
        <v>0</v>
      </c>
      <c r="O167" s="624">
        <f t="shared" si="77"/>
        <v>0</v>
      </c>
      <c r="P167" s="626">
        <f t="shared" si="77"/>
        <v>0</v>
      </c>
      <c r="Q167" s="624">
        <f t="shared" si="77"/>
        <v>0</v>
      </c>
      <c r="Y167" s="804"/>
      <c r="Z167" s="804"/>
      <c r="AE167" s="804"/>
      <c r="AF167" s="804"/>
      <c r="AH167" s="804"/>
    </row>
    <row r="168" spans="1:34">
      <c r="A168" s="239"/>
      <c r="B168" s="239" t="s">
        <v>78</v>
      </c>
      <c r="C168" s="806">
        <f t="shared" si="78"/>
        <v>0</v>
      </c>
      <c r="D168" s="806">
        <f t="shared" si="76"/>
        <v>0</v>
      </c>
      <c r="E168" s="806">
        <f t="shared" si="76"/>
        <v>0</v>
      </c>
      <c r="F168" s="806">
        <f t="shared" si="76"/>
        <v>0</v>
      </c>
      <c r="G168" s="806">
        <f t="shared" si="76"/>
        <v>0</v>
      </c>
      <c r="H168" s="806">
        <f t="shared" si="76"/>
        <v>0</v>
      </c>
      <c r="I168" s="624">
        <f t="shared" si="76"/>
        <v>0</v>
      </c>
      <c r="J168" s="624">
        <f t="shared" si="76"/>
        <v>0</v>
      </c>
      <c r="K168" s="625">
        <f t="shared" si="76"/>
        <v>0</v>
      </c>
      <c r="L168" s="625">
        <f t="shared" si="76"/>
        <v>0</v>
      </c>
      <c r="M168" s="625">
        <f t="shared" si="76"/>
        <v>0</v>
      </c>
      <c r="N168" s="624">
        <f t="shared" si="79"/>
        <v>0</v>
      </c>
      <c r="O168" s="624">
        <f t="shared" si="77"/>
        <v>0</v>
      </c>
      <c r="P168" s="626">
        <f t="shared" si="77"/>
        <v>0</v>
      </c>
      <c r="Q168" s="624">
        <f t="shared" si="77"/>
        <v>0</v>
      </c>
      <c r="Y168" s="804"/>
      <c r="Z168" s="804"/>
      <c r="AE168" s="804"/>
      <c r="AF168" s="804"/>
      <c r="AH168" s="804"/>
    </row>
    <row r="169" spans="1:34">
      <c r="A169" s="580"/>
      <c r="B169" s="580" t="s">
        <v>131</v>
      </c>
      <c r="C169" s="806">
        <f t="shared" si="78"/>
        <v>0</v>
      </c>
      <c r="D169" s="806">
        <f t="shared" si="76"/>
        <v>0</v>
      </c>
      <c r="E169" s="806">
        <f t="shared" si="76"/>
        <v>0</v>
      </c>
      <c r="F169" s="806">
        <f t="shared" si="76"/>
        <v>0</v>
      </c>
      <c r="G169" s="806">
        <f t="shared" si="76"/>
        <v>0</v>
      </c>
      <c r="H169" s="806">
        <f t="shared" si="76"/>
        <v>0</v>
      </c>
      <c r="I169" s="624">
        <f t="shared" si="76"/>
        <v>0</v>
      </c>
      <c r="J169" s="624">
        <f t="shared" si="76"/>
        <v>0</v>
      </c>
      <c r="K169" s="625">
        <f t="shared" si="76"/>
        <v>0</v>
      </c>
      <c r="L169" s="625">
        <f t="shared" si="76"/>
        <v>0</v>
      </c>
      <c r="M169" s="625">
        <f t="shared" si="76"/>
        <v>0</v>
      </c>
      <c r="N169" s="624">
        <f t="shared" si="79"/>
        <v>0</v>
      </c>
      <c r="O169" s="624">
        <f t="shared" si="77"/>
        <v>0</v>
      </c>
      <c r="P169" s="626">
        <f t="shared" si="77"/>
        <v>0</v>
      </c>
      <c r="Q169" s="624">
        <f t="shared" si="77"/>
        <v>0</v>
      </c>
      <c r="Y169" s="804"/>
      <c r="Z169" s="804"/>
      <c r="AE169" s="804"/>
      <c r="AF169" s="804"/>
      <c r="AH169" s="804"/>
    </row>
    <row r="170" spans="1:34">
      <c r="A170" s="436"/>
      <c r="B170" s="436" t="s">
        <v>59</v>
      </c>
      <c r="C170" s="807">
        <f t="shared" si="78"/>
        <v>0</v>
      </c>
      <c r="D170" s="808">
        <f t="shared" si="76"/>
        <v>0</v>
      </c>
      <c r="E170" s="808">
        <f t="shared" si="76"/>
        <v>0</v>
      </c>
      <c r="F170" s="808">
        <f t="shared" si="76"/>
        <v>0</v>
      </c>
      <c r="G170" s="808">
        <f t="shared" si="76"/>
        <v>0</v>
      </c>
      <c r="H170" s="809">
        <f t="shared" si="76"/>
        <v>0</v>
      </c>
      <c r="I170" s="577">
        <f t="shared" si="76"/>
        <v>0</v>
      </c>
      <c r="J170" s="577">
        <f t="shared" si="76"/>
        <v>0</v>
      </c>
      <c r="K170" s="578">
        <f t="shared" si="76"/>
        <v>0</v>
      </c>
      <c r="L170" s="578">
        <f t="shared" si="76"/>
        <v>0</v>
      </c>
      <c r="M170" s="578">
        <f t="shared" si="76"/>
        <v>0</v>
      </c>
      <c r="N170" s="577">
        <f t="shared" si="79"/>
        <v>0</v>
      </c>
      <c r="O170" s="577">
        <f t="shared" si="77"/>
        <v>0</v>
      </c>
      <c r="P170" s="579">
        <f t="shared" si="77"/>
        <v>0</v>
      </c>
      <c r="Q170" s="577">
        <f t="shared" si="77"/>
        <v>0</v>
      </c>
      <c r="Y170" s="804"/>
      <c r="Z170" s="804"/>
      <c r="AE170" s="804"/>
      <c r="AF170" s="804"/>
      <c r="AH170" s="804"/>
    </row>
    <row r="171" spans="1:34">
      <c r="A171" s="240" t="s">
        <v>152</v>
      </c>
      <c r="B171" s="240" t="s">
        <v>53</v>
      </c>
      <c r="C171" s="806">
        <f>IF(S$176&gt;0,(S171/S$176),0)</f>
        <v>0</v>
      </c>
      <c r="D171" s="806">
        <f t="shared" ref="D171:M176" si="80">IF(T$176&gt;0,(T171/T$176),0)</f>
        <v>0</v>
      </c>
      <c r="E171" s="806">
        <f t="shared" si="80"/>
        <v>0</v>
      </c>
      <c r="F171" s="806">
        <f t="shared" si="80"/>
        <v>0</v>
      </c>
      <c r="G171" s="806">
        <f t="shared" si="80"/>
        <v>0</v>
      </c>
      <c r="H171" s="806">
        <f t="shared" si="80"/>
        <v>0</v>
      </c>
      <c r="I171" s="613">
        <f t="shared" si="80"/>
        <v>0</v>
      </c>
      <c r="J171" s="613">
        <f t="shared" si="80"/>
        <v>0</v>
      </c>
      <c r="K171" s="614">
        <f t="shared" si="80"/>
        <v>0</v>
      </c>
      <c r="L171" s="614">
        <f t="shared" si="80"/>
        <v>0</v>
      </c>
      <c r="M171" s="614">
        <f t="shared" si="80"/>
        <v>0</v>
      </c>
      <c r="N171" s="613">
        <f>IF(AE$176&gt;0,(AE171/AE$176),0)</f>
        <v>0</v>
      </c>
      <c r="O171" s="613">
        <f t="shared" ref="O171:Q176" si="81">IF(AF$176&gt;0,(AF171/AF$176),0)</f>
        <v>0</v>
      </c>
      <c r="P171" s="615">
        <f t="shared" si="81"/>
        <v>0</v>
      </c>
      <c r="Q171" s="613">
        <f t="shared" si="81"/>
        <v>0</v>
      </c>
      <c r="R171" s="799"/>
      <c r="S171" s="798"/>
      <c r="T171" s="798"/>
      <c r="U171" s="798"/>
      <c r="V171" s="798"/>
      <c r="W171" s="798"/>
      <c r="X171" s="798"/>
      <c r="Y171" s="803"/>
      <c r="Z171" s="803"/>
      <c r="AA171" s="798"/>
      <c r="AB171" s="798"/>
      <c r="AC171" s="798"/>
      <c r="AD171" s="798"/>
      <c r="AE171" s="803"/>
      <c r="AF171" s="803"/>
      <c r="AG171" s="798"/>
      <c r="AH171" s="803"/>
    </row>
    <row r="172" spans="1:34">
      <c r="A172" s="239"/>
      <c r="B172" s="239" t="s">
        <v>93</v>
      </c>
      <c r="C172" s="806">
        <f t="shared" ref="C172:C176" si="82">IF(S$176&gt;0,(S172/S$176),0)</f>
        <v>0</v>
      </c>
      <c r="D172" s="806">
        <f t="shared" si="80"/>
        <v>0</v>
      </c>
      <c r="E172" s="806">
        <f t="shared" si="80"/>
        <v>0</v>
      </c>
      <c r="F172" s="806">
        <f t="shared" si="80"/>
        <v>0</v>
      </c>
      <c r="G172" s="806">
        <f t="shared" si="80"/>
        <v>0</v>
      </c>
      <c r="H172" s="806">
        <f t="shared" si="80"/>
        <v>0</v>
      </c>
      <c r="I172" s="624">
        <f t="shared" si="80"/>
        <v>0</v>
      </c>
      <c r="J172" s="624">
        <f t="shared" si="80"/>
        <v>0</v>
      </c>
      <c r="K172" s="625">
        <f t="shared" si="80"/>
        <v>0</v>
      </c>
      <c r="L172" s="625">
        <f t="shared" si="80"/>
        <v>0</v>
      </c>
      <c r="M172" s="625">
        <f t="shared" si="80"/>
        <v>0</v>
      </c>
      <c r="N172" s="624">
        <f t="shared" ref="N172:N176" si="83">IF(AE$176&gt;0,(AE172/AE$176),0)</f>
        <v>0</v>
      </c>
      <c r="O172" s="624">
        <f t="shared" si="81"/>
        <v>0</v>
      </c>
      <c r="P172" s="626">
        <f t="shared" si="81"/>
        <v>0</v>
      </c>
      <c r="Q172" s="624">
        <f t="shared" si="81"/>
        <v>0</v>
      </c>
      <c r="Y172" s="804"/>
      <c r="Z172" s="804"/>
      <c r="AE172" s="804"/>
      <c r="AF172" s="804"/>
      <c r="AH172" s="804"/>
    </row>
    <row r="173" spans="1:34">
      <c r="A173" s="239"/>
      <c r="B173" s="239" t="s">
        <v>55</v>
      </c>
      <c r="C173" s="806">
        <f t="shared" si="82"/>
        <v>0</v>
      </c>
      <c r="D173" s="806">
        <f t="shared" si="80"/>
        <v>0</v>
      </c>
      <c r="E173" s="806">
        <f t="shared" si="80"/>
        <v>0</v>
      </c>
      <c r="F173" s="806">
        <f t="shared" si="80"/>
        <v>0</v>
      </c>
      <c r="G173" s="806">
        <f t="shared" si="80"/>
        <v>0</v>
      </c>
      <c r="H173" s="806">
        <f t="shared" si="80"/>
        <v>0</v>
      </c>
      <c r="I173" s="624">
        <f t="shared" si="80"/>
        <v>0</v>
      </c>
      <c r="J173" s="624">
        <f t="shared" si="80"/>
        <v>0</v>
      </c>
      <c r="K173" s="625">
        <f t="shared" si="80"/>
        <v>0</v>
      </c>
      <c r="L173" s="625">
        <f t="shared" si="80"/>
        <v>0</v>
      </c>
      <c r="M173" s="625">
        <f t="shared" si="80"/>
        <v>0</v>
      </c>
      <c r="N173" s="624">
        <f t="shared" si="83"/>
        <v>0</v>
      </c>
      <c r="O173" s="624">
        <f t="shared" si="81"/>
        <v>0</v>
      </c>
      <c r="P173" s="626">
        <f t="shared" si="81"/>
        <v>0</v>
      </c>
      <c r="Q173" s="624">
        <f t="shared" si="81"/>
        <v>0</v>
      </c>
      <c r="Y173" s="804"/>
      <c r="Z173" s="804"/>
      <c r="AE173" s="804"/>
      <c r="AF173" s="804"/>
      <c r="AH173" s="804"/>
    </row>
    <row r="174" spans="1:34">
      <c r="A174" s="239"/>
      <c r="B174" s="239" t="s">
        <v>78</v>
      </c>
      <c r="C174" s="806">
        <f t="shared" si="82"/>
        <v>0</v>
      </c>
      <c r="D174" s="806">
        <f t="shared" si="80"/>
        <v>0</v>
      </c>
      <c r="E174" s="806">
        <f t="shared" si="80"/>
        <v>0</v>
      </c>
      <c r="F174" s="806">
        <f t="shared" si="80"/>
        <v>0</v>
      </c>
      <c r="G174" s="806">
        <f t="shared" si="80"/>
        <v>0</v>
      </c>
      <c r="H174" s="806">
        <f t="shared" si="80"/>
        <v>0</v>
      </c>
      <c r="I174" s="624">
        <f t="shared" si="80"/>
        <v>0</v>
      </c>
      <c r="J174" s="624">
        <f t="shared" si="80"/>
        <v>0</v>
      </c>
      <c r="K174" s="625">
        <f t="shared" si="80"/>
        <v>0</v>
      </c>
      <c r="L174" s="625">
        <f t="shared" si="80"/>
        <v>0</v>
      </c>
      <c r="M174" s="625">
        <f t="shared" si="80"/>
        <v>0</v>
      </c>
      <c r="N174" s="624">
        <f t="shared" si="83"/>
        <v>0</v>
      </c>
      <c r="O174" s="624">
        <f t="shared" si="81"/>
        <v>0</v>
      </c>
      <c r="P174" s="626">
        <f t="shared" si="81"/>
        <v>0</v>
      </c>
      <c r="Q174" s="624">
        <f t="shared" si="81"/>
        <v>0</v>
      </c>
      <c r="Y174" s="804"/>
      <c r="Z174" s="804"/>
      <c r="AE174" s="804"/>
      <c r="AF174" s="804"/>
      <c r="AH174" s="804"/>
    </row>
    <row r="175" spans="1:34">
      <c r="A175" s="580"/>
      <c r="B175" s="580" t="s">
        <v>131</v>
      </c>
      <c r="C175" s="806">
        <f t="shared" si="82"/>
        <v>0</v>
      </c>
      <c r="D175" s="806">
        <f t="shared" si="80"/>
        <v>0</v>
      </c>
      <c r="E175" s="806">
        <f t="shared" si="80"/>
        <v>0</v>
      </c>
      <c r="F175" s="806">
        <f t="shared" si="80"/>
        <v>0</v>
      </c>
      <c r="G175" s="806">
        <f t="shared" si="80"/>
        <v>0</v>
      </c>
      <c r="H175" s="806">
        <f t="shared" si="80"/>
        <v>0</v>
      </c>
      <c r="I175" s="624">
        <f t="shared" si="80"/>
        <v>0</v>
      </c>
      <c r="J175" s="624">
        <f t="shared" si="80"/>
        <v>0</v>
      </c>
      <c r="K175" s="625">
        <f t="shared" si="80"/>
        <v>0</v>
      </c>
      <c r="L175" s="625">
        <f t="shared" si="80"/>
        <v>0</v>
      </c>
      <c r="M175" s="625">
        <f t="shared" si="80"/>
        <v>0</v>
      </c>
      <c r="N175" s="624">
        <f t="shared" si="83"/>
        <v>0</v>
      </c>
      <c r="O175" s="624">
        <f t="shared" si="81"/>
        <v>0</v>
      </c>
      <c r="P175" s="626">
        <f t="shared" si="81"/>
        <v>0</v>
      </c>
      <c r="Q175" s="624">
        <f t="shared" si="81"/>
        <v>0</v>
      </c>
      <c r="Y175" s="804"/>
      <c r="Z175" s="804"/>
      <c r="AE175" s="804"/>
      <c r="AF175" s="804"/>
      <c r="AH175" s="804"/>
    </row>
    <row r="176" spans="1:34">
      <c r="A176" s="436"/>
      <c r="B176" s="436" t="s">
        <v>59</v>
      </c>
      <c r="C176" s="807">
        <f t="shared" si="82"/>
        <v>0</v>
      </c>
      <c r="D176" s="808">
        <f t="shared" si="80"/>
        <v>0</v>
      </c>
      <c r="E176" s="808">
        <f t="shared" si="80"/>
        <v>0</v>
      </c>
      <c r="F176" s="808">
        <f t="shared" si="80"/>
        <v>0</v>
      </c>
      <c r="G176" s="808">
        <f t="shared" si="80"/>
        <v>0</v>
      </c>
      <c r="H176" s="809">
        <f t="shared" si="80"/>
        <v>0</v>
      </c>
      <c r="I176" s="577">
        <f t="shared" si="80"/>
        <v>0</v>
      </c>
      <c r="J176" s="577">
        <f t="shared" si="80"/>
        <v>0</v>
      </c>
      <c r="K176" s="578">
        <f t="shared" si="80"/>
        <v>0</v>
      </c>
      <c r="L176" s="578">
        <f t="shared" si="80"/>
        <v>0</v>
      </c>
      <c r="M176" s="578">
        <f t="shared" si="80"/>
        <v>0</v>
      </c>
      <c r="N176" s="577">
        <f t="shared" si="83"/>
        <v>0</v>
      </c>
      <c r="O176" s="577">
        <f t="shared" si="81"/>
        <v>0</v>
      </c>
      <c r="P176" s="579">
        <f t="shared" si="81"/>
        <v>0</v>
      </c>
      <c r="Q176" s="577">
        <f t="shared" si="81"/>
        <v>0</v>
      </c>
      <c r="Y176" s="804"/>
      <c r="Z176" s="804"/>
      <c r="AE176" s="804"/>
      <c r="AF176" s="804"/>
      <c r="AH176" s="804"/>
    </row>
    <row r="177" spans="1:34">
      <c r="A177" s="240" t="s">
        <v>158</v>
      </c>
      <c r="B177" s="240" t="s">
        <v>53</v>
      </c>
      <c r="C177" s="806">
        <f>IF(S$182&gt;0,(S177/S$182),0)</f>
        <v>0</v>
      </c>
      <c r="D177" s="806">
        <f t="shared" ref="D177:M182" si="84">IF(T$182&gt;0,(T177/T$182),0)</f>
        <v>0</v>
      </c>
      <c r="E177" s="806">
        <f t="shared" si="84"/>
        <v>0</v>
      </c>
      <c r="F177" s="806">
        <f t="shared" si="84"/>
        <v>0</v>
      </c>
      <c r="G177" s="806">
        <f t="shared" si="84"/>
        <v>0</v>
      </c>
      <c r="H177" s="806">
        <f t="shared" si="84"/>
        <v>0</v>
      </c>
      <c r="I177" s="613">
        <f t="shared" si="84"/>
        <v>0</v>
      </c>
      <c r="J177" s="613">
        <f t="shared" si="84"/>
        <v>0</v>
      </c>
      <c r="K177" s="614">
        <f t="shared" si="84"/>
        <v>0</v>
      </c>
      <c r="L177" s="614">
        <f t="shared" si="84"/>
        <v>0</v>
      </c>
      <c r="M177" s="614">
        <f t="shared" si="84"/>
        <v>0</v>
      </c>
      <c r="N177" s="613">
        <f>IF(AE$182&gt;0,(AE177/AE$182),0)</f>
        <v>0</v>
      </c>
      <c r="O177" s="613">
        <f t="shared" ref="O177:Q182" si="85">IF(AF$182&gt;0,(AF177/AF$182),0)</f>
        <v>0</v>
      </c>
      <c r="P177" s="615">
        <f t="shared" si="85"/>
        <v>0</v>
      </c>
      <c r="Q177" s="613">
        <f t="shared" si="85"/>
        <v>0</v>
      </c>
      <c r="R177" s="799"/>
      <c r="S177" s="798"/>
      <c r="T177" s="798"/>
      <c r="U177" s="798"/>
      <c r="V177" s="798"/>
      <c r="W177" s="798"/>
      <c r="X177" s="798"/>
      <c r="Y177" s="803"/>
      <c r="Z177" s="803"/>
      <c r="AA177" s="798"/>
      <c r="AB177" s="798"/>
      <c r="AC177" s="798"/>
      <c r="AD177" s="798"/>
      <c r="AE177" s="803"/>
      <c r="AF177" s="803"/>
      <c r="AG177" s="798"/>
      <c r="AH177" s="803"/>
    </row>
    <row r="178" spans="1:34">
      <c r="A178" s="239"/>
      <c r="B178" s="239" t="s">
        <v>93</v>
      </c>
      <c r="C178" s="806">
        <f t="shared" ref="C178:C182" si="86">IF(S$182&gt;0,(S178/S$182),0)</f>
        <v>0</v>
      </c>
      <c r="D178" s="806">
        <f t="shared" si="84"/>
        <v>0</v>
      </c>
      <c r="E178" s="806">
        <f t="shared" si="84"/>
        <v>0</v>
      </c>
      <c r="F178" s="806">
        <f t="shared" si="84"/>
        <v>0</v>
      </c>
      <c r="G178" s="806">
        <f t="shared" si="84"/>
        <v>0</v>
      </c>
      <c r="H178" s="806">
        <f t="shared" si="84"/>
        <v>0</v>
      </c>
      <c r="I178" s="624">
        <f t="shared" si="84"/>
        <v>0</v>
      </c>
      <c r="J178" s="624">
        <f t="shared" si="84"/>
        <v>0</v>
      </c>
      <c r="K178" s="625">
        <f t="shared" si="84"/>
        <v>0</v>
      </c>
      <c r="L178" s="625">
        <f t="shared" si="84"/>
        <v>0</v>
      </c>
      <c r="M178" s="625">
        <f t="shared" si="84"/>
        <v>0</v>
      </c>
      <c r="N178" s="624">
        <f t="shared" ref="N178:N182" si="87">IF(AE$182&gt;0,(AE178/AE$182),0)</f>
        <v>0</v>
      </c>
      <c r="O178" s="624">
        <f t="shared" si="85"/>
        <v>0</v>
      </c>
      <c r="P178" s="626">
        <f t="shared" si="85"/>
        <v>0</v>
      </c>
      <c r="Q178" s="624">
        <f t="shared" si="85"/>
        <v>0</v>
      </c>
      <c r="Y178" s="804"/>
      <c r="Z178" s="804"/>
      <c r="AE178" s="804"/>
      <c r="AF178" s="804"/>
      <c r="AH178" s="804"/>
    </row>
    <row r="179" spans="1:34">
      <c r="A179" s="239"/>
      <c r="B179" s="239" t="s">
        <v>55</v>
      </c>
      <c r="C179" s="806">
        <f t="shared" si="86"/>
        <v>0</v>
      </c>
      <c r="D179" s="806">
        <f t="shared" si="84"/>
        <v>0</v>
      </c>
      <c r="E179" s="806">
        <f t="shared" si="84"/>
        <v>0</v>
      </c>
      <c r="F179" s="806">
        <f t="shared" si="84"/>
        <v>0</v>
      </c>
      <c r="G179" s="806">
        <f t="shared" si="84"/>
        <v>0</v>
      </c>
      <c r="H179" s="806">
        <f t="shared" si="84"/>
        <v>0</v>
      </c>
      <c r="I179" s="624">
        <f t="shared" si="84"/>
        <v>0</v>
      </c>
      <c r="J179" s="624">
        <f t="shared" si="84"/>
        <v>0</v>
      </c>
      <c r="K179" s="625">
        <f t="shared" si="84"/>
        <v>0</v>
      </c>
      <c r="L179" s="625">
        <f t="shared" si="84"/>
        <v>0</v>
      </c>
      <c r="M179" s="625">
        <f t="shared" si="84"/>
        <v>0</v>
      </c>
      <c r="N179" s="624">
        <f t="shared" si="87"/>
        <v>0</v>
      </c>
      <c r="O179" s="624">
        <f t="shared" si="85"/>
        <v>0</v>
      </c>
      <c r="P179" s="626">
        <f t="shared" si="85"/>
        <v>0</v>
      </c>
      <c r="Q179" s="624">
        <f t="shared" si="85"/>
        <v>0</v>
      </c>
      <c r="Y179" s="804"/>
      <c r="Z179" s="804"/>
      <c r="AE179" s="804"/>
      <c r="AF179" s="804"/>
      <c r="AH179" s="804"/>
    </row>
    <row r="180" spans="1:34">
      <c r="A180" s="239"/>
      <c r="B180" s="239" t="s">
        <v>78</v>
      </c>
      <c r="C180" s="806">
        <f t="shared" si="86"/>
        <v>0</v>
      </c>
      <c r="D180" s="806">
        <f t="shared" si="84"/>
        <v>0</v>
      </c>
      <c r="E180" s="806">
        <f t="shared" si="84"/>
        <v>0</v>
      </c>
      <c r="F180" s="806">
        <f t="shared" si="84"/>
        <v>0</v>
      </c>
      <c r="G180" s="806">
        <f t="shared" si="84"/>
        <v>0</v>
      </c>
      <c r="H180" s="806">
        <f t="shared" si="84"/>
        <v>0</v>
      </c>
      <c r="I180" s="624">
        <f t="shared" si="84"/>
        <v>0</v>
      </c>
      <c r="J180" s="624">
        <f t="shared" si="84"/>
        <v>0</v>
      </c>
      <c r="K180" s="625">
        <f t="shared" si="84"/>
        <v>0</v>
      </c>
      <c r="L180" s="625">
        <f t="shared" si="84"/>
        <v>0</v>
      </c>
      <c r="M180" s="625">
        <f t="shared" si="84"/>
        <v>0</v>
      </c>
      <c r="N180" s="624">
        <f t="shared" si="87"/>
        <v>0</v>
      </c>
      <c r="O180" s="624">
        <f t="shared" si="85"/>
        <v>0</v>
      </c>
      <c r="P180" s="626">
        <f t="shared" si="85"/>
        <v>0</v>
      </c>
      <c r="Q180" s="624">
        <f t="shared" si="85"/>
        <v>0</v>
      </c>
      <c r="Y180" s="804"/>
      <c r="Z180" s="804"/>
      <c r="AE180" s="804"/>
      <c r="AF180" s="804"/>
      <c r="AH180" s="804"/>
    </row>
    <row r="181" spans="1:34">
      <c r="A181" s="580"/>
      <c r="B181" s="580" t="s">
        <v>131</v>
      </c>
      <c r="C181" s="806">
        <f t="shared" si="86"/>
        <v>0</v>
      </c>
      <c r="D181" s="806">
        <f t="shared" si="84"/>
        <v>0</v>
      </c>
      <c r="E181" s="806">
        <f t="shared" si="84"/>
        <v>0</v>
      </c>
      <c r="F181" s="806">
        <f t="shared" si="84"/>
        <v>0</v>
      </c>
      <c r="G181" s="806">
        <f t="shared" si="84"/>
        <v>0</v>
      </c>
      <c r="H181" s="806">
        <f t="shared" si="84"/>
        <v>0</v>
      </c>
      <c r="I181" s="624">
        <f t="shared" si="84"/>
        <v>0</v>
      </c>
      <c r="J181" s="624">
        <f t="shared" si="84"/>
        <v>0</v>
      </c>
      <c r="K181" s="625">
        <f t="shared" si="84"/>
        <v>0</v>
      </c>
      <c r="L181" s="625">
        <f t="shared" si="84"/>
        <v>0</v>
      </c>
      <c r="M181" s="625">
        <f t="shared" si="84"/>
        <v>0</v>
      </c>
      <c r="N181" s="624">
        <f t="shared" si="87"/>
        <v>0</v>
      </c>
      <c r="O181" s="624">
        <f t="shared" si="85"/>
        <v>0</v>
      </c>
      <c r="P181" s="626">
        <f t="shared" si="85"/>
        <v>0</v>
      </c>
      <c r="Q181" s="624">
        <f t="shared" si="85"/>
        <v>0</v>
      </c>
      <c r="Y181" s="804"/>
      <c r="Z181" s="804"/>
      <c r="AE181" s="804"/>
      <c r="AF181" s="804"/>
      <c r="AH181" s="804"/>
    </row>
    <row r="182" spans="1:34">
      <c r="A182" s="436"/>
      <c r="B182" s="436" t="s">
        <v>59</v>
      </c>
      <c r="C182" s="807">
        <f t="shared" si="86"/>
        <v>0</v>
      </c>
      <c r="D182" s="808">
        <f t="shared" si="84"/>
        <v>0</v>
      </c>
      <c r="E182" s="808">
        <f t="shared" si="84"/>
        <v>0</v>
      </c>
      <c r="F182" s="808">
        <f t="shared" si="84"/>
        <v>0</v>
      </c>
      <c r="G182" s="808">
        <f t="shared" si="84"/>
        <v>0</v>
      </c>
      <c r="H182" s="809">
        <f t="shared" si="84"/>
        <v>0</v>
      </c>
      <c r="I182" s="577">
        <f t="shared" si="84"/>
        <v>0</v>
      </c>
      <c r="J182" s="577">
        <f t="shared" si="84"/>
        <v>0</v>
      </c>
      <c r="K182" s="578">
        <f t="shared" si="84"/>
        <v>0</v>
      </c>
      <c r="L182" s="578">
        <f t="shared" si="84"/>
        <v>0</v>
      </c>
      <c r="M182" s="578">
        <f t="shared" si="84"/>
        <v>0</v>
      </c>
      <c r="N182" s="577">
        <f t="shared" si="87"/>
        <v>0</v>
      </c>
      <c r="O182" s="577">
        <f t="shared" si="85"/>
        <v>0</v>
      </c>
      <c r="P182" s="579">
        <f t="shared" si="85"/>
        <v>0</v>
      </c>
      <c r="Q182" s="577">
        <f t="shared" si="85"/>
        <v>0</v>
      </c>
      <c r="Y182" s="804"/>
      <c r="Z182" s="804"/>
      <c r="AE182" s="804"/>
      <c r="AF182" s="804"/>
      <c r="AH182" s="804"/>
    </row>
    <row r="183" spans="1:34">
      <c r="A183" s="240" t="s">
        <v>157</v>
      </c>
      <c r="B183" s="240" t="s">
        <v>53</v>
      </c>
      <c r="C183" s="806">
        <f>IF(S$188&gt;0,(S183/S$188),0)</f>
        <v>0</v>
      </c>
      <c r="D183" s="806">
        <f t="shared" ref="D183:M188" si="88">IF(T$188&gt;0,(T183/T$188),0)</f>
        <v>0</v>
      </c>
      <c r="E183" s="806">
        <f t="shared" si="88"/>
        <v>0</v>
      </c>
      <c r="F183" s="806">
        <f t="shared" si="88"/>
        <v>0</v>
      </c>
      <c r="G183" s="806">
        <f t="shared" si="88"/>
        <v>0</v>
      </c>
      <c r="H183" s="806">
        <f t="shared" si="88"/>
        <v>0</v>
      </c>
      <c r="I183" s="613">
        <f t="shared" si="88"/>
        <v>0</v>
      </c>
      <c r="J183" s="613">
        <f t="shared" si="88"/>
        <v>0</v>
      </c>
      <c r="K183" s="614">
        <f t="shared" si="88"/>
        <v>0</v>
      </c>
      <c r="L183" s="614">
        <f t="shared" si="88"/>
        <v>0</v>
      </c>
      <c r="M183" s="614">
        <f t="shared" si="88"/>
        <v>0</v>
      </c>
      <c r="N183" s="613">
        <f>IF(AE$188&gt;0,(AE183/AE$188),0)</f>
        <v>0</v>
      </c>
      <c r="O183" s="613">
        <f t="shared" ref="O183:Q188" si="89">IF(AF$188&gt;0,(AF183/AF$188),0)</f>
        <v>0</v>
      </c>
      <c r="P183" s="615">
        <f t="shared" si="89"/>
        <v>0</v>
      </c>
      <c r="Q183" s="613">
        <f t="shared" si="89"/>
        <v>0</v>
      </c>
      <c r="R183" s="799"/>
      <c r="S183" s="798"/>
      <c r="T183" s="798"/>
      <c r="U183" s="798"/>
      <c r="V183" s="798"/>
      <c r="W183" s="798"/>
      <c r="X183" s="798"/>
      <c r="Y183" s="803"/>
      <c r="Z183" s="803"/>
      <c r="AA183" s="798"/>
      <c r="AB183" s="798"/>
      <c r="AC183" s="798"/>
      <c r="AD183" s="798"/>
      <c r="AE183" s="803"/>
      <c r="AF183" s="803"/>
      <c r="AG183" s="798"/>
      <c r="AH183" s="803"/>
    </row>
    <row r="184" spans="1:34">
      <c r="A184" s="239"/>
      <c r="B184" s="239" t="s">
        <v>93</v>
      </c>
      <c r="C184" s="806">
        <f t="shared" ref="C184:C188" si="90">IF(S$188&gt;0,(S184/S$188),0)</f>
        <v>0</v>
      </c>
      <c r="D184" s="806">
        <f t="shared" si="88"/>
        <v>0</v>
      </c>
      <c r="E184" s="806">
        <f t="shared" si="88"/>
        <v>0</v>
      </c>
      <c r="F184" s="806">
        <f t="shared" si="88"/>
        <v>0</v>
      </c>
      <c r="G184" s="806">
        <f t="shared" si="88"/>
        <v>0</v>
      </c>
      <c r="H184" s="806">
        <f t="shared" si="88"/>
        <v>0</v>
      </c>
      <c r="I184" s="624">
        <f t="shared" si="88"/>
        <v>0</v>
      </c>
      <c r="J184" s="624">
        <f t="shared" si="88"/>
        <v>0</v>
      </c>
      <c r="K184" s="625">
        <f t="shared" si="88"/>
        <v>0</v>
      </c>
      <c r="L184" s="625">
        <f t="shared" si="88"/>
        <v>0</v>
      </c>
      <c r="M184" s="625">
        <f t="shared" si="88"/>
        <v>0</v>
      </c>
      <c r="N184" s="624">
        <f t="shared" ref="N184:N188" si="91">IF(AE$188&gt;0,(AE184/AE$188),0)</f>
        <v>0</v>
      </c>
      <c r="O184" s="624">
        <f t="shared" si="89"/>
        <v>0</v>
      </c>
      <c r="P184" s="626">
        <f t="shared" si="89"/>
        <v>0</v>
      </c>
      <c r="Q184" s="624">
        <f t="shared" si="89"/>
        <v>0</v>
      </c>
      <c r="Y184" s="804"/>
      <c r="Z184" s="804"/>
      <c r="AE184" s="804"/>
      <c r="AF184" s="804"/>
      <c r="AH184" s="804"/>
    </row>
    <row r="185" spans="1:34">
      <c r="A185" s="239"/>
      <c r="B185" s="239" t="s">
        <v>55</v>
      </c>
      <c r="C185" s="806">
        <f t="shared" si="90"/>
        <v>0</v>
      </c>
      <c r="D185" s="806">
        <f t="shared" si="88"/>
        <v>0</v>
      </c>
      <c r="E185" s="806">
        <f t="shared" si="88"/>
        <v>0</v>
      </c>
      <c r="F185" s="806">
        <f t="shared" si="88"/>
        <v>0</v>
      </c>
      <c r="G185" s="806">
        <f t="shared" si="88"/>
        <v>0</v>
      </c>
      <c r="H185" s="806">
        <f t="shared" si="88"/>
        <v>0</v>
      </c>
      <c r="I185" s="624">
        <f t="shared" si="88"/>
        <v>0</v>
      </c>
      <c r="J185" s="624">
        <f t="shared" si="88"/>
        <v>0</v>
      </c>
      <c r="K185" s="625">
        <f t="shared" si="88"/>
        <v>0</v>
      </c>
      <c r="L185" s="625">
        <f t="shared" si="88"/>
        <v>0</v>
      </c>
      <c r="M185" s="625">
        <f t="shared" si="88"/>
        <v>0</v>
      </c>
      <c r="N185" s="624">
        <f t="shared" si="91"/>
        <v>0</v>
      </c>
      <c r="O185" s="624">
        <f t="shared" si="89"/>
        <v>0</v>
      </c>
      <c r="P185" s="626">
        <f t="shared" si="89"/>
        <v>0</v>
      </c>
      <c r="Q185" s="624">
        <f t="shared" si="89"/>
        <v>0</v>
      </c>
      <c r="Y185" s="804"/>
      <c r="Z185" s="804"/>
      <c r="AE185" s="804"/>
      <c r="AF185" s="804"/>
      <c r="AH185" s="804"/>
    </row>
    <row r="186" spans="1:34">
      <c r="A186" s="239"/>
      <c r="B186" s="239" t="s">
        <v>78</v>
      </c>
      <c r="C186" s="806">
        <f t="shared" si="90"/>
        <v>0</v>
      </c>
      <c r="D186" s="806">
        <f t="shared" si="88"/>
        <v>0</v>
      </c>
      <c r="E186" s="806">
        <f t="shared" si="88"/>
        <v>0</v>
      </c>
      <c r="F186" s="806">
        <f t="shared" si="88"/>
        <v>0</v>
      </c>
      <c r="G186" s="806">
        <f t="shared" si="88"/>
        <v>0</v>
      </c>
      <c r="H186" s="806">
        <f t="shared" si="88"/>
        <v>0</v>
      </c>
      <c r="I186" s="624">
        <f t="shared" si="88"/>
        <v>0</v>
      </c>
      <c r="J186" s="624">
        <f t="shared" si="88"/>
        <v>0</v>
      </c>
      <c r="K186" s="625">
        <f t="shared" si="88"/>
        <v>0</v>
      </c>
      <c r="L186" s="625">
        <f t="shared" si="88"/>
        <v>0</v>
      </c>
      <c r="M186" s="625">
        <f t="shared" si="88"/>
        <v>0</v>
      </c>
      <c r="N186" s="624">
        <f t="shared" si="91"/>
        <v>0</v>
      </c>
      <c r="O186" s="624">
        <f t="shared" si="89"/>
        <v>0</v>
      </c>
      <c r="P186" s="626">
        <f t="shared" si="89"/>
        <v>0</v>
      </c>
      <c r="Q186" s="624">
        <f t="shared" si="89"/>
        <v>0</v>
      </c>
      <c r="Y186" s="804"/>
      <c r="Z186" s="804"/>
      <c r="AE186" s="804"/>
      <c r="AF186" s="804"/>
      <c r="AH186" s="804"/>
    </row>
    <row r="187" spans="1:34">
      <c r="A187" s="580"/>
      <c r="B187" s="580" t="s">
        <v>131</v>
      </c>
      <c r="C187" s="806">
        <f t="shared" si="90"/>
        <v>0</v>
      </c>
      <c r="D187" s="806">
        <f t="shared" si="88"/>
        <v>0</v>
      </c>
      <c r="E187" s="806">
        <f t="shared" si="88"/>
        <v>0</v>
      </c>
      <c r="F187" s="806">
        <f t="shared" si="88"/>
        <v>0</v>
      </c>
      <c r="G187" s="806">
        <f t="shared" si="88"/>
        <v>0</v>
      </c>
      <c r="H187" s="806">
        <f t="shared" si="88"/>
        <v>0</v>
      </c>
      <c r="I187" s="624">
        <f t="shared" si="88"/>
        <v>0</v>
      </c>
      <c r="J187" s="624">
        <f t="shared" si="88"/>
        <v>0</v>
      </c>
      <c r="K187" s="625">
        <f t="shared" si="88"/>
        <v>0</v>
      </c>
      <c r="L187" s="625">
        <f t="shared" si="88"/>
        <v>0</v>
      </c>
      <c r="M187" s="625">
        <f t="shared" si="88"/>
        <v>0</v>
      </c>
      <c r="N187" s="624">
        <f t="shared" si="91"/>
        <v>0</v>
      </c>
      <c r="O187" s="624">
        <f t="shared" si="89"/>
        <v>0</v>
      </c>
      <c r="P187" s="626">
        <f t="shared" si="89"/>
        <v>0</v>
      </c>
      <c r="Q187" s="624">
        <f t="shared" si="89"/>
        <v>0</v>
      </c>
      <c r="Y187" s="804"/>
      <c r="Z187" s="804"/>
      <c r="AE187" s="804"/>
      <c r="AF187" s="804"/>
      <c r="AH187" s="804"/>
    </row>
    <row r="188" spans="1:34">
      <c r="A188" s="436"/>
      <c r="B188" s="436" t="s">
        <v>59</v>
      </c>
      <c r="C188" s="807">
        <f t="shared" si="90"/>
        <v>0</v>
      </c>
      <c r="D188" s="808">
        <f t="shared" si="88"/>
        <v>0</v>
      </c>
      <c r="E188" s="808">
        <f t="shared" si="88"/>
        <v>0</v>
      </c>
      <c r="F188" s="808">
        <f t="shared" si="88"/>
        <v>0</v>
      </c>
      <c r="G188" s="808">
        <f t="shared" si="88"/>
        <v>0</v>
      </c>
      <c r="H188" s="809">
        <f t="shared" si="88"/>
        <v>0</v>
      </c>
      <c r="I188" s="577">
        <f t="shared" si="88"/>
        <v>0</v>
      </c>
      <c r="J188" s="577">
        <f t="shared" si="88"/>
        <v>0</v>
      </c>
      <c r="K188" s="578">
        <f t="shared" si="88"/>
        <v>0</v>
      </c>
      <c r="L188" s="578">
        <f t="shared" si="88"/>
        <v>0</v>
      </c>
      <c r="M188" s="578">
        <f t="shared" si="88"/>
        <v>0</v>
      </c>
      <c r="N188" s="577">
        <f t="shared" si="91"/>
        <v>0</v>
      </c>
      <c r="O188" s="577">
        <f t="shared" si="89"/>
        <v>0</v>
      </c>
      <c r="P188" s="579">
        <f t="shared" si="89"/>
        <v>0</v>
      </c>
      <c r="Q188" s="577">
        <f t="shared" si="89"/>
        <v>0</v>
      </c>
      <c r="Y188" s="804"/>
      <c r="Z188" s="804"/>
      <c r="AE188" s="804"/>
      <c r="AF188" s="804"/>
      <c r="AH188" s="804"/>
    </row>
    <row r="189" spans="1:34">
      <c r="A189" s="240" t="s">
        <v>161</v>
      </c>
      <c r="B189" s="240" t="s">
        <v>53</v>
      </c>
      <c r="C189" s="806">
        <f>IF(S$194&gt;0,(S189/S$194),0)</f>
        <v>0</v>
      </c>
      <c r="D189" s="806">
        <f t="shared" ref="D189:M194" si="92">IF(T$194&gt;0,(T189/T$194),0)</f>
        <v>0</v>
      </c>
      <c r="E189" s="806">
        <f t="shared" si="92"/>
        <v>0</v>
      </c>
      <c r="F189" s="806">
        <f t="shared" si="92"/>
        <v>0</v>
      </c>
      <c r="G189" s="806">
        <f t="shared" si="92"/>
        <v>0</v>
      </c>
      <c r="H189" s="806">
        <f t="shared" si="92"/>
        <v>0</v>
      </c>
      <c r="I189" s="613">
        <f t="shared" si="92"/>
        <v>0</v>
      </c>
      <c r="J189" s="613">
        <f t="shared" si="92"/>
        <v>0</v>
      </c>
      <c r="K189" s="614">
        <f t="shared" si="92"/>
        <v>0</v>
      </c>
      <c r="L189" s="614">
        <f t="shared" si="92"/>
        <v>0</v>
      </c>
      <c r="M189" s="614">
        <f t="shared" si="92"/>
        <v>0</v>
      </c>
      <c r="N189" s="613">
        <f>IF(AE$194&gt;0,(AE189/AE$194),0)</f>
        <v>0</v>
      </c>
      <c r="O189" s="613">
        <f t="shared" ref="O189:Q194" si="93">IF(AF$194&gt;0,(AF189/AF$194),0)</f>
        <v>0</v>
      </c>
      <c r="P189" s="615">
        <f t="shared" si="93"/>
        <v>0</v>
      </c>
      <c r="Q189" s="613">
        <f t="shared" si="93"/>
        <v>0</v>
      </c>
      <c r="R189" s="799"/>
      <c r="S189" s="798"/>
      <c r="T189" s="798"/>
      <c r="U189" s="798"/>
      <c r="V189" s="798"/>
      <c r="W189" s="798"/>
      <c r="X189" s="798"/>
      <c r="Y189" s="803"/>
      <c r="Z189" s="803"/>
      <c r="AA189" s="798"/>
      <c r="AB189" s="798"/>
      <c r="AC189" s="798"/>
      <c r="AD189" s="798"/>
      <c r="AE189" s="803"/>
      <c r="AF189" s="803"/>
      <c r="AG189" s="798"/>
      <c r="AH189" s="803"/>
    </row>
    <row r="190" spans="1:34">
      <c r="A190" s="239"/>
      <c r="B190" s="239" t="s">
        <v>93</v>
      </c>
      <c r="C190" s="806">
        <f t="shared" ref="C190:C194" si="94">IF(S$194&gt;0,(S190/S$194),0)</f>
        <v>0</v>
      </c>
      <c r="D190" s="806">
        <f t="shared" si="92"/>
        <v>0</v>
      </c>
      <c r="E190" s="806">
        <f t="shared" si="92"/>
        <v>0</v>
      </c>
      <c r="F190" s="806">
        <f t="shared" si="92"/>
        <v>0</v>
      </c>
      <c r="G190" s="806">
        <f t="shared" si="92"/>
        <v>0</v>
      </c>
      <c r="H190" s="806">
        <f t="shared" si="92"/>
        <v>0</v>
      </c>
      <c r="I190" s="624">
        <f t="shared" si="92"/>
        <v>0</v>
      </c>
      <c r="J190" s="624">
        <f t="shared" si="92"/>
        <v>0</v>
      </c>
      <c r="K190" s="625">
        <f t="shared" si="92"/>
        <v>0</v>
      </c>
      <c r="L190" s="625">
        <f t="shared" si="92"/>
        <v>0</v>
      </c>
      <c r="M190" s="625">
        <f t="shared" si="92"/>
        <v>0</v>
      </c>
      <c r="N190" s="624">
        <f t="shared" ref="N190:N194" si="95">IF(AE$194&gt;0,(AE190/AE$194),0)</f>
        <v>0</v>
      </c>
      <c r="O190" s="624">
        <f t="shared" si="93"/>
        <v>0</v>
      </c>
      <c r="P190" s="626">
        <f t="shared" si="93"/>
        <v>0</v>
      </c>
      <c r="Q190" s="624">
        <f t="shared" si="93"/>
        <v>0</v>
      </c>
      <c r="Y190" s="804"/>
      <c r="Z190" s="804"/>
      <c r="AE190" s="804"/>
      <c r="AF190" s="804"/>
      <c r="AH190" s="804"/>
    </row>
    <row r="191" spans="1:34">
      <c r="A191" s="239"/>
      <c r="B191" s="239" t="s">
        <v>55</v>
      </c>
      <c r="C191" s="806">
        <f t="shared" si="94"/>
        <v>0</v>
      </c>
      <c r="D191" s="806">
        <f t="shared" si="92"/>
        <v>0</v>
      </c>
      <c r="E191" s="806">
        <f t="shared" si="92"/>
        <v>0</v>
      </c>
      <c r="F191" s="806">
        <f t="shared" si="92"/>
        <v>0</v>
      </c>
      <c r="G191" s="806">
        <f t="shared" si="92"/>
        <v>0</v>
      </c>
      <c r="H191" s="806">
        <f t="shared" si="92"/>
        <v>0</v>
      </c>
      <c r="I191" s="624">
        <f t="shared" si="92"/>
        <v>0</v>
      </c>
      <c r="J191" s="624">
        <f t="shared" si="92"/>
        <v>0</v>
      </c>
      <c r="K191" s="625">
        <f t="shared" si="92"/>
        <v>0</v>
      </c>
      <c r="L191" s="625">
        <f t="shared" si="92"/>
        <v>0</v>
      </c>
      <c r="M191" s="625">
        <f t="shared" si="92"/>
        <v>0</v>
      </c>
      <c r="N191" s="624">
        <f t="shared" si="95"/>
        <v>0</v>
      </c>
      <c r="O191" s="624">
        <f t="shared" si="93"/>
        <v>0</v>
      </c>
      <c r="P191" s="626">
        <f t="shared" si="93"/>
        <v>0</v>
      </c>
      <c r="Q191" s="624">
        <f t="shared" si="93"/>
        <v>0</v>
      </c>
      <c r="Y191" s="804"/>
      <c r="Z191" s="804"/>
      <c r="AE191" s="804"/>
      <c r="AF191" s="804"/>
      <c r="AH191" s="804"/>
    </row>
    <row r="192" spans="1:34">
      <c r="A192" s="239"/>
      <c r="B192" s="239" t="s">
        <v>78</v>
      </c>
      <c r="C192" s="806">
        <f t="shared" si="94"/>
        <v>0</v>
      </c>
      <c r="D192" s="806">
        <f t="shared" si="92"/>
        <v>0</v>
      </c>
      <c r="E192" s="806">
        <f t="shared" si="92"/>
        <v>0</v>
      </c>
      <c r="F192" s="806">
        <f t="shared" si="92"/>
        <v>0</v>
      </c>
      <c r="G192" s="806">
        <f t="shared" si="92"/>
        <v>0</v>
      </c>
      <c r="H192" s="806">
        <f t="shared" si="92"/>
        <v>0</v>
      </c>
      <c r="I192" s="624">
        <f t="shared" si="92"/>
        <v>0</v>
      </c>
      <c r="J192" s="624">
        <f t="shared" si="92"/>
        <v>0</v>
      </c>
      <c r="K192" s="625">
        <f t="shared" si="92"/>
        <v>0</v>
      </c>
      <c r="L192" s="625">
        <f t="shared" si="92"/>
        <v>0</v>
      </c>
      <c r="M192" s="625">
        <f t="shared" si="92"/>
        <v>0</v>
      </c>
      <c r="N192" s="624">
        <f t="shared" si="95"/>
        <v>0</v>
      </c>
      <c r="O192" s="624">
        <f t="shared" si="93"/>
        <v>0</v>
      </c>
      <c r="P192" s="626">
        <f t="shared" si="93"/>
        <v>0</v>
      </c>
      <c r="Q192" s="624">
        <f t="shared" si="93"/>
        <v>0</v>
      </c>
      <c r="Y192" s="804"/>
      <c r="Z192" s="804"/>
      <c r="AE192" s="804"/>
      <c r="AF192" s="804"/>
      <c r="AH192" s="804"/>
    </row>
    <row r="193" spans="1:34">
      <c r="A193" s="580"/>
      <c r="B193" s="580" t="s">
        <v>131</v>
      </c>
      <c r="C193" s="806">
        <f t="shared" si="94"/>
        <v>0</v>
      </c>
      <c r="D193" s="806">
        <f t="shared" si="92"/>
        <v>0</v>
      </c>
      <c r="E193" s="806">
        <f t="shared" si="92"/>
        <v>0</v>
      </c>
      <c r="F193" s="806">
        <f t="shared" si="92"/>
        <v>0</v>
      </c>
      <c r="G193" s="806">
        <f t="shared" si="92"/>
        <v>0</v>
      </c>
      <c r="H193" s="806">
        <f t="shared" si="92"/>
        <v>0</v>
      </c>
      <c r="I193" s="624">
        <f t="shared" si="92"/>
        <v>0</v>
      </c>
      <c r="J193" s="624">
        <f t="shared" si="92"/>
        <v>0</v>
      </c>
      <c r="K193" s="625">
        <f t="shared" si="92"/>
        <v>0</v>
      </c>
      <c r="L193" s="625">
        <f t="shared" si="92"/>
        <v>0</v>
      </c>
      <c r="M193" s="625">
        <f t="shared" si="92"/>
        <v>0</v>
      </c>
      <c r="N193" s="624">
        <f t="shared" si="95"/>
        <v>0</v>
      </c>
      <c r="O193" s="624">
        <f t="shared" si="93"/>
        <v>0</v>
      </c>
      <c r="P193" s="626">
        <f t="shared" si="93"/>
        <v>0</v>
      </c>
      <c r="Q193" s="624">
        <f t="shared" si="93"/>
        <v>0</v>
      </c>
      <c r="Y193" s="804"/>
      <c r="Z193" s="804"/>
      <c r="AE193" s="804"/>
      <c r="AF193" s="804"/>
      <c r="AH193" s="804"/>
    </row>
    <row r="194" spans="1:34">
      <c r="A194" s="436"/>
      <c r="B194" s="436" t="s">
        <v>59</v>
      </c>
      <c r="C194" s="807">
        <f t="shared" si="94"/>
        <v>0</v>
      </c>
      <c r="D194" s="808">
        <f t="shared" si="92"/>
        <v>0</v>
      </c>
      <c r="E194" s="808">
        <f t="shared" si="92"/>
        <v>0</v>
      </c>
      <c r="F194" s="808">
        <f t="shared" si="92"/>
        <v>0</v>
      </c>
      <c r="G194" s="808">
        <f t="shared" si="92"/>
        <v>0</v>
      </c>
      <c r="H194" s="809">
        <f t="shared" si="92"/>
        <v>0</v>
      </c>
      <c r="I194" s="577">
        <f t="shared" si="92"/>
        <v>0</v>
      </c>
      <c r="J194" s="577">
        <f t="shared" si="92"/>
        <v>0</v>
      </c>
      <c r="K194" s="578">
        <f t="shared" si="92"/>
        <v>0</v>
      </c>
      <c r="L194" s="578">
        <f t="shared" si="92"/>
        <v>0</v>
      </c>
      <c r="M194" s="578">
        <f t="shared" si="92"/>
        <v>0</v>
      </c>
      <c r="N194" s="577">
        <f t="shared" si="95"/>
        <v>0</v>
      </c>
      <c r="O194" s="577">
        <f t="shared" si="93"/>
        <v>0</v>
      </c>
      <c r="P194" s="579">
        <f t="shared" si="93"/>
        <v>0</v>
      </c>
      <c r="Q194" s="577">
        <f t="shared" si="93"/>
        <v>0</v>
      </c>
      <c r="Y194" s="804"/>
      <c r="Z194" s="804"/>
      <c r="AE194" s="804"/>
      <c r="AF194" s="804"/>
      <c r="AH194" s="804"/>
    </row>
    <row r="195" spans="1:34">
      <c r="A195" s="240" t="s">
        <v>165</v>
      </c>
      <c r="B195" s="240" t="s">
        <v>53</v>
      </c>
      <c r="C195" s="806">
        <f>IF(S$200&gt;0,(S195/S$200),0)</f>
        <v>0</v>
      </c>
      <c r="D195" s="806">
        <f t="shared" ref="D195:M200" si="96">IF(T$200&gt;0,(T195/T$200),0)</f>
        <v>0</v>
      </c>
      <c r="E195" s="806">
        <f t="shared" si="96"/>
        <v>0</v>
      </c>
      <c r="F195" s="806">
        <f t="shared" si="96"/>
        <v>0</v>
      </c>
      <c r="G195" s="806">
        <f t="shared" si="96"/>
        <v>0</v>
      </c>
      <c r="H195" s="806">
        <f t="shared" si="96"/>
        <v>0</v>
      </c>
      <c r="I195" s="613">
        <f t="shared" si="96"/>
        <v>0</v>
      </c>
      <c r="J195" s="613">
        <f t="shared" si="96"/>
        <v>0</v>
      </c>
      <c r="K195" s="614">
        <f t="shared" si="96"/>
        <v>0</v>
      </c>
      <c r="L195" s="614">
        <f t="shared" si="96"/>
        <v>0</v>
      </c>
      <c r="M195" s="614">
        <f t="shared" si="96"/>
        <v>0</v>
      </c>
      <c r="N195" s="613">
        <f>IF(AE$200&gt;0,(AE195/AE$200),0)</f>
        <v>0</v>
      </c>
      <c r="O195" s="613">
        <f t="shared" ref="O195:Q200" si="97">IF(AF$200&gt;0,(AF195/AF$200),0)</f>
        <v>0</v>
      </c>
      <c r="P195" s="615">
        <f t="shared" si="97"/>
        <v>0</v>
      </c>
      <c r="Q195" s="613">
        <f t="shared" si="97"/>
        <v>0</v>
      </c>
      <c r="R195" s="799"/>
      <c r="S195" s="798"/>
      <c r="T195" s="798"/>
      <c r="U195" s="798"/>
      <c r="V195" s="798"/>
      <c r="W195" s="798"/>
      <c r="X195" s="798"/>
      <c r="Y195" s="803"/>
      <c r="Z195" s="803"/>
      <c r="AA195" s="798"/>
      <c r="AB195" s="798"/>
      <c r="AC195" s="798"/>
      <c r="AD195" s="798"/>
      <c r="AE195" s="803"/>
      <c r="AF195" s="803"/>
      <c r="AG195" s="798"/>
      <c r="AH195" s="803"/>
    </row>
    <row r="196" spans="1:34">
      <c r="A196" s="239"/>
      <c r="B196" s="239" t="s">
        <v>93</v>
      </c>
      <c r="C196" s="806">
        <f t="shared" ref="C196:C200" si="98">IF(S$200&gt;0,(S196/S$200),0)</f>
        <v>0</v>
      </c>
      <c r="D196" s="806">
        <f t="shared" si="96"/>
        <v>0</v>
      </c>
      <c r="E196" s="806">
        <f t="shared" si="96"/>
        <v>0</v>
      </c>
      <c r="F196" s="806">
        <f t="shared" si="96"/>
        <v>0</v>
      </c>
      <c r="G196" s="806">
        <f t="shared" si="96"/>
        <v>0</v>
      </c>
      <c r="H196" s="806">
        <f t="shared" si="96"/>
        <v>0</v>
      </c>
      <c r="I196" s="624">
        <f t="shared" si="96"/>
        <v>0</v>
      </c>
      <c r="J196" s="624">
        <f t="shared" si="96"/>
        <v>0</v>
      </c>
      <c r="K196" s="625">
        <f t="shared" si="96"/>
        <v>0</v>
      </c>
      <c r="L196" s="625">
        <f t="shared" si="96"/>
        <v>0</v>
      </c>
      <c r="M196" s="625">
        <f t="shared" si="96"/>
        <v>0</v>
      </c>
      <c r="N196" s="624">
        <f t="shared" ref="N196:N200" si="99">IF(AE$200&gt;0,(AE196/AE$200),0)</f>
        <v>0</v>
      </c>
      <c r="O196" s="624">
        <f t="shared" si="97"/>
        <v>0</v>
      </c>
      <c r="P196" s="626">
        <f t="shared" si="97"/>
        <v>0</v>
      </c>
      <c r="Q196" s="624">
        <f t="shared" si="97"/>
        <v>0</v>
      </c>
      <c r="Y196" s="804"/>
      <c r="Z196" s="804"/>
      <c r="AE196" s="804"/>
      <c r="AF196" s="804"/>
      <c r="AH196" s="804"/>
    </row>
    <row r="197" spans="1:34">
      <c r="A197" s="239"/>
      <c r="B197" s="239" t="s">
        <v>55</v>
      </c>
      <c r="C197" s="806">
        <f t="shared" si="98"/>
        <v>0</v>
      </c>
      <c r="D197" s="806">
        <f t="shared" si="96"/>
        <v>0</v>
      </c>
      <c r="E197" s="806">
        <f t="shared" si="96"/>
        <v>0</v>
      </c>
      <c r="F197" s="806">
        <f t="shared" si="96"/>
        <v>0</v>
      </c>
      <c r="G197" s="806">
        <f t="shared" si="96"/>
        <v>0</v>
      </c>
      <c r="H197" s="806">
        <f t="shared" si="96"/>
        <v>0</v>
      </c>
      <c r="I197" s="624">
        <f t="shared" si="96"/>
        <v>0</v>
      </c>
      <c r="J197" s="624">
        <f t="shared" si="96"/>
        <v>0</v>
      </c>
      <c r="K197" s="625">
        <f t="shared" si="96"/>
        <v>0</v>
      </c>
      <c r="L197" s="625">
        <f t="shared" si="96"/>
        <v>0</v>
      </c>
      <c r="M197" s="625">
        <f t="shared" si="96"/>
        <v>0</v>
      </c>
      <c r="N197" s="624">
        <f t="shared" si="99"/>
        <v>0</v>
      </c>
      <c r="O197" s="624">
        <f t="shared" si="97"/>
        <v>0</v>
      </c>
      <c r="P197" s="626">
        <f t="shared" si="97"/>
        <v>0</v>
      </c>
      <c r="Q197" s="624">
        <f t="shared" si="97"/>
        <v>0</v>
      </c>
      <c r="Y197" s="804"/>
      <c r="Z197" s="804"/>
      <c r="AE197" s="804"/>
      <c r="AF197" s="804"/>
      <c r="AH197" s="804"/>
    </row>
    <row r="198" spans="1:34">
      <c r="A198" s="239"/>
      <c r="B198" s="239" t="s">
        <v>78</v>
      </c>
      <c r="C198" s="806">
        <f t="shared" si="98"/>
        <v>0</v>
      </c>
      <c r="D198" s="806">
        <f t="shared" si="96"/>
        <v>0</v>
      </c>
      <c r="E198" s="806">
        <f t="shared" si="96"/>
        <v>0</v>
      </c>
      <c r="F198" s="806">
        <f t="shared" si="96"/>
        <v>0</v>
      </c>
      <c r="G198" s="806">
        <f t="shared" si="96"/>
        <v>0</v>
      </c>
      <c r="H198" s="806">
        <f t="shared" si="96"/>
        <v>0</v>
      </c>
      <c r="I198" s="624">
        <f t="shared" si="96"/>
        <v>0</v>
      </c>
      <c r="J198" s="624">
        <f t="shared" si="96"/>
        <v>0</v>
      </c>
      <c r="K198" s="625">
        <f t="shared" si="96"/>
        <v>0</v>
      </c>
      <c r="L198" s="625">
        <f t="shared" si="96"/>
        <v>0</v>
      </c>
      <c r="M198" s="625">
        <f t="shared" si="96"/>
        <v>0</v>
      </c>
      <c r="N198" s="624">
        <f t="shared" si="99"/>
        <v>0</v>
      </c>
      <c r="O198" s="624">
        <f t="shared" si="97"/>
        <v>0</v>
      </c>
      <c r="P198" s="626">
        <f t="shared" si="97"/>
        <v>0</v>
      </c>
      <c r="Q198" s="624">
        <f t="shared" si="97"/>
        <v>0</v>
      </c>
      <c r="Y198" s="804"/>
      <c r="Z198" s="804"/>
      <c r="AE198" s="804"/>
      <c r="AF198" s="804"/>
      <c r="AH198" s="804"/>
    </row>
    <row r="199" spans="1:34">
      <c r="A199" s="580"/>
      <c r="B199" s="580" t="s">
        <v>131</v>
      </c>
      <c r="C199" s="806">
        <f t="shared" si="98"/>
        <v>0</v>
      </c>
      <c r="D199" s="806">
        <f t="shared" si="96"/>
        <v>0</v>
      </c>
      <c r="E199" s="806">
        <f t="shared" si="96"/>
        <v>0</v>
      </c>
      <c r="F199" s="806">
        <f t="shared" si="96"/>
        <v>0</v>
      </c>
      <c r="G199" s="806">
        <f t="shared" si="96"/>
        <v>0</v>
      </c>
      <c r="H199" s="806">
        <f t="shared" si="96"/>
        <v>0</v>
      </c>
      <c r="I199" s="624">
        <f t="shared" si="96"/>
        <v>0</v>
      </c>
      <c r="J199" s="624">
        <f t="shared" si="96"/>
        <v>0</v>
      </c>
      <c r="K199" s="625">
        <f t="shared" si="96"/>
        <v>0</v>
      </c>
      <c r="L199" s="625">
        <f t="shared" si="96"/>
        <v>0</v>
      </c>
      <c r="M199" s="625">
        <f t="shared" si="96"/>
        <v>0</v>
      </c>
      <c r="N199" s="624">
        <f t="shared" si="99"/>
        <v>0</v>
      </c>
      <c r="O199" s="624">
        <f t="shared" si="97"/>
        <v>0</v>
      </c>
      <c r="P199" s="626">
        <f t="shared" si="97"/>
        <v>0</v>
      </c>
      <c r="Q199" s="624">
        <f t="shared" si="97"/>
        <v>0</v>
      </c>
      <c r="Y199" s="804"/>
      <c r="Z199" s="804"/>
      <c r="AE199" s="804"/>
      <c r="AF199" s="804"/>
      <c r="AH199" s="804"/>
    </row>
    <row r="200" spans="1:34">
      <c r="A200" s="436"/>
      <c r="B200" s="436" t="s">
        <v>59</v>
      </c>
      <c r="C200" s="807">
        <f t="shared" si="98"/>
        <v>0</v>
      </c>
      <c r="D200" s="808">
        <f t="shared" si="96"/>
        <v>0</v>
      </c>
      <c r="E200" s="808">
        <f t="shared" si="96"/>
        <v>0</v>
      </c>
      <c r="F200" s="808">
        <f t="shared" si="96"/>
        <v>0</v>
      </c>
      <c r="G200" s="808">
        <f t="shared" si="96"/>
        <v>0</v>
      </c>
      <c r="H200" s="809">
        <f t="shared" si="96"/>
        <v>0</v>
      </c>
      <c r="I200" s="577">
        <f t="shared" si="96"/>
        <v>0</v>
      </c>
      <c r="J200" s="577">
        <f t="shared" si="96"/>
        <v>0</v>
      </c>
      <c r="K200" s="578">
        <f t="shared" si="96"/>
        <v>0</v>
      </c>
      <c r="L200" s="578">
        <f t="shared" si="96"/>
        <v>0</v>
      </c>
      <c r="M200" s="578">
        <f t="shared" si="96"/>
        <v>0</v>
      </c>
      <c r="N200" s="577">
        <f t="shared" si="99"/>
        <v>0</v>
      </c>
      <c r="O200" s="577">
        <f t="shared" si="97"/>
        <v>0</v>
      </c>
      <c r="P200" s="579">
        <f t="shared" si="97"/>
        <v>0</v>
      </c>
      <c r="Q200" s="577">
        <f t="shared" si="97"/>
        <v>0</v>
      </c>
      <c r="Y200" s="804"/>
      <c r="Z200" s="804"/>
      <c r="AE200" s="804"/>
      <c r="AF200" s="804"/>
      <c r="AH200" s="804"/>
    </row>
    <row r="201" spans="1:34">
      <c r="A201" s="240" t="s">
        <v>167</v>
      </c>
      <c r="B201" s="240" t="s">
        <v>53</v>
      </c>
      <c r="C201" s="806">
        <f>IF(S$206&gt;0,(S201/S$206),0)</f>
        <v>0</v>
      </c>
      <c r="D201" s="806">
        <f t="shared" ref="D201:M206" si="100">IF(T$206&gt;0,(T201/T$206),0)</f>
        <v>0</v>
      </c>
      <c r="E201" s="806">
        <f t="shared" si="100"/>
        <v>0</v>
      </c>
      <c r="F201" s="806">
        <f t="shared" si="100"/>
        <v>0</v>
      </c>
      <c r="G201" s="806">
        <f t="shared" si="100"/>
        <v>0</v>
      </c>
      <c r="H201" s="806">
        <f t="shared" si="100"/>
        <v>0</v>
      </c>
      <c r="I201" s="613">
        <f t="shared" si="100"/>
        <v>0</v>
      </c>
      <c r="J201" s="613">
        <f t="shared" si="100"/>
        <v>0</v>
      </c>
      <c r="K201" s="614">
        <f t="shared" si="100"/>
        <v>0</v>
      </c>
      <c r="L201" s="614">
        <f t="shared" si="100"/>
        <v>0</v>
      </c>
      <c r="M201" s="614">
        <f t="shared" si="100"/>
        <v>0</v>
      </c>
      <c r="N201" s="613">
        <f>IF(AE$206&gt;0,(AE201/AE$206),0)</f>
        <v>0</v>
      </c>
      <c r="O201" s="613">
        <f t="shared" ref="O201:Q206" si="101">IF(AF$206&gt;0,(AF201/AF$206),0)</f>
        <v>0</v>
      </c>
      <c r="P201" s="615">
        <f t="shared" si="101"/>
        <v>0</v>
      </c>
      <c r="Q201" s="613">
        <f t="shared" si="101"/>
        <v>0</v>
      </c>
      <c r="R201" s="799"/>
      <c r="S201" s="798"/>
      <c r="T201" s="798"/>
      <c r="U201" s="798"/>
      <c r="V201" s="798"/>
      <c r="W201" s="798"/>
      <c r="X201" s="798"/>
      <c r="Y201" s="803"/>
      <c r="Z201" s="803"/>
      <c r="AA201" s="798"/>
      <c r="AB201" s="798"/>
      <c r="AC201" s="798"/>
      <c r="AD201" s="798"/>
      <c r="AE201" s="803"/>
      <c r="AF201" s="803"/>
      <c r="AG201" s="798"/>
      <c r="AH201" s="803"/>
    </row>
    <row r="202" spans="1:34">
      <c r="A202" s="239"/>
      <c r="B202" s="239" t="s">
        <v>93</v>
      </c>
      <c r="C202" s="806">
        <f t="shared" ref="C202:C206" si="102">IF(S$206&gt;0,(S202/S$206),0)</f>
        <v>0</v>
      </c>
      <c r="D202" s="806">
        <f t="shared" si="100"/>
        <v>0</v>
      </c>
      <c r="E202" s="806">
        <f t="shared" si="100"/>
        <v>0</v>
      </c>
      <c r="F202" s="806">
        <f t="shared" si="100"/>
        <v>0</v>
      </c>
      <c r="G202" s="806">
        <f t="shared" si="100"/>
        <v>0</v>
      </c>
      <c r="H202" s="806">
        <f t="shared" si="100"/>
        <v>0</v>
      </c>
      <c r="I202" s="624">
        <f t="shared" si="100"/>
        <v>0</v>
      </c>
      <c r="J202" s="624">
        <f t="shared" si="100"/>
        <v>0</v>
      </c>
      <c r="K202" s="625">
        <f t="shared" si="100"/>
        <v>0</v>
      </c>
      <c r="L202" s="625">
        <f t="shared" si="100"/>
        <v>0</v>
      </c>
      <c r="M202" s="625">
        <f t="shared" si="100"/>
        <v>0</v>
      </c>
      <c r="N202" s="624">
        <f t="shared" ref="N202:N206" si="103">IF(AE$206&gt;0,(AE202/AE$206),0)</f>
        <v>0</v>
      </c>
      <c r="O202" s="624">
        <f t="shared" si="101"/>
        <v>0</v>
      </c>
      <c r="P202" s="626">
        <f t="shared" si="101"/>
        <v>0</v>
      </c>
      <c r="Q202" s="624">
        <f t="shared" si="101"/>
        <v>0</v>
      </c>
      <c r="Y202" s="804"/>
      <c r="Z202" s="804"/>
      <c r="AE202" s="804"/>
      <c r="AF202" s="804"/>
      <c r="AH202" s="804"/>
    </row>
    <row r="203" spans="1:34">
      <c r="A203" s="239"/>
      <c r="B203" s="239" t="s">
        <v>55</v>
      </c>
      <c r="C203" s="806">
        <f t="shared" si="102"/>
        <v>0</v>
      </c>
      <c r="D203" s="806">
        <f t="shared" si="100"/>
        <v>0</v>
      </c>
      <c r="E203" s="806">
        <f t="shared" si="100"/>
        <v>0</v>
      </c>
      <c r="F203" s="806">
        <f t="shared" si="100"/>
        <v>0</v>
      </c>
      <c r="G203" s="806">
        <f t="shared" si="100"/>
        <v>0</v>
      </c>
      <c r="H203" s="806">
        <f t="shared" si="100"/>
        <v>0</v>
      </c>
      <c r="I203" s="624">
        <f t="shared" si="100"/>
        <v>0</v>
      </c>
      <c r="J203" s="624">
        <f t="shared" si="100"/>
        <v>0</v>
      </c>
      <c r="K203" s="625">
        <f t="shared" si="100"/>
        <v>0</v>
      </c>
      <c r="L203" s="625">
        <f t="shared" si="100"/>
        <v>0</v>
      </c>
      <c r="M203" s="625">
        <f t="shared" si="100"/>
        <v>0</v>
      </c>
      <c r="N203" s="624">
        <f t="shared" si="103"/>
        <v>0</v>
      </c>
      <c r="O203" s="624">
        <f t="shared" si="101"/>
        <v>0</v>
      </c>
      <c r="P203" s="626">
        <f t="shared" si="101"/>
        <v>0</v>
      </c>
      <c r="Q203" s="624">
        <f t="shared" si="101"/>
        <v>0</v>
      </c>
      <c r="Y203" s="804"/>
      <c r="Z203" s="804"/>
      <c r="AE203" s="804"/>
      <c r="AF203" s="804"/>
      <c r="AH203" s="804"/>
    </row>
    <row r="204" spans="1:34">
      <c r="A204" s="239"/>
      <c r="B204" s="239" t="s">
        <v>78</v>
      </c>
      <c r="C204" s="806">
        <f t="shared" si="102"/>
        <v>0</v>
      </c>
      <c r="D204" s="806">
        <f t="shared" si="100"/>
        <v>0</v>
      </c>
      <c r="E204" s="806">
        <f t="shared" si="100"/>
        <v>0</v>
      </c>
      <c r="F204" s="806">
        <f t="shared" si="100"/>
        <v>0</v>
      </c>
      <c r="G204" s="806">
        <f t="shared" si="100"/>
        <v>0</v>
      </c>
      <c r="H204" s="806">
        <f t="shared" si="100"/>
        <v>0</v>
      </c>
      <c r="I204" s="624">
        <f t="shared" si="100"/>
        <v>0</v>
      </c>
      <c r="J204" s="624">
        <f t="shared" si="100"/>
        <v>0</v>
      </c>
      <c r="K204" s="625">
        <f t="shared" si="100"/>
        <v>0</v>
      </c>
      <c r="L204" s="625">
        <f t="shared" si="100"/>
        <v>0</v>
      </c>
      <c r="M204" s="625">
        <f t="shared" si="100"/>
        <v>0</v>
      </c>
      <c r="N204" s="624">
        <f t="shared" si="103"/>
        <v>0</v>
      </c>
      <c r="O204" s="624">
        <f t="shared" si="101"/>
        <v>0</v>
      </c>
      <c r="P204" s="626">
        <f t="shared" si="101"/>
        <v>0</v>
      </c>
      <c r="Q204" s="624">
        <f t="shared" si="101"/>
        <v>0</v>
      </c>
      <c r="Y204" s="804"/>
      <c r="Z204" s="804"/>
      <c r="AE204" s="804"/>
      <c r="AF204" s="804"/>
      <c r="AH204" s="804"/>
    </row>
    <row r="205" spans="1:34">
      <c r="A205" s="580"/>
      <c r="B205" s="580" t="s">
        <v>131</v>
      </c>
      <c r="C205" s="806">
        <f t="shared" si="102"/>
        <v>0</v>
      </c>
      <c r="D205" s="806">
        <f t="shared" si="100"/>
        <v>0</v>
      </c>
      <c r="E205" s="806">
        <f t="shared" si="100"/>
        <v>0</v>
      </c>
      <c r="F205" s="806">
        <f t="shared" si="100"/>
        <v>0</v>
      </c>
      <c r="G205" s="806">
        <f t="shared" si="100"/>
        <v>0</v>
      </c>
      <c r="H205" s="806">
        <f t="shared" si="100"/>
        <v>0</v>
      </c>
      <c r="I205" s="624">
        <f t="shared" si="100"/>
        <v>0</v>
      </c>
      <c r="J205" s="624">
        <f t="shared" si="100"/>
        <v>0</v>
      </c>
      <c r="K205" s="625">
        <f t="shared" si="100"/>
        <v>0</v>
      </c>
      <c r="L205" s="625">
        <f t="shared" si="100"/>
        <v>0</v>
      </c>
      <c r="M205" s="625">
        <f t="shared" si="100"/>
        <v>0</v>
      </c>
      <c r="N205" s="624">
        <f t="shared" si="103"/>
        <v>0</v>
      </c>
      <c r="O205" s="624">
        <f t="shared" si="101"/>
        <v>0</v>
      </c>
      <c r="P205" s="626">
        <f t="shared" si="101"/>
        <v>0</v>
      </c>
      <c r="Q205" s="624">
        <f t="shared" si="101"/>
        <v>0</v>
      </c>
      <c r="Y205" s="804"/>
      <c r="Z205" s="804"/>
      <c r="AE205" s="804"/>
      <c r="AF205" s="804"/>
      <c r="AH205" s="804"/>
    </row>
    <row r="206" spans="1:34">
      <c r="A206" s="436"/>
      <c r="B206" s="436" t="s">
        <v>59</v>
      </c>
      <c r="C206" s="807">
        <f t="shared" si="102"/>
        <v>0</v>
      </c>
      <c r="D206" s="808">
        <f t="shared" si="100"/>
        <v>0</v>
      </c>
      <c r="E206" s="808">
        <f t="shared" si="100"/>
        <v>0</v>
      </c>
      <c r="F206" s="808">
        <f t="shared" si="100"/>
        <v>0</v>
      </c>
      <c r="G206" s="808">
        <f t="shared" si="100"/>
        <v>0</v>
      </c>
      <c r="H206" s="809">
        <f t="shared" si="100"/>
        <v>0</v>
      </c>
      <c r="I206" s="577">
        <f t="shared" si="100"/>
        <v>0</v>
      </c>
      <c r="J206" s="577">
        <f t="shared" si="100"/>
        <v>0</v>
      </c>
      <c r="K206" s="578">
        <f t="shared" si="100"/>
        <v>0</v>
      </c>
      <c r="L206" s="578">
        <f t="shared" si="100"/>
        <v>0</v>
      </c>
      <c r="M206" s="578">
        <f t="shared" si="100"/>
        <v>0</v>
      </c>
      <c r="N206" s="577">
        <f t="shared" si="103"/>
        <v>0</v>
      </c>
      <c r="O206" s="577">
        <f t="shared" si="101"/>
        <v>0</v>
      </c>
      <c r="P206" s="579">
        <f t="shared" si="101"/>
        <v>0</v>
      </c>
      <c r="Q206" s="577">
        <f t="shared" si="101"/>
        <v>0</v>
      </c>
      <c r="Y206" s="804"/>
      <c r="Z206" s="804"/>
      <c r="AE206" s="804"/>
      <c r="AF206" s="804"/>
      <c r="AH206" s="804"/>
    </row>
    <row r="207" spans="1:34">
      <c r="A207" s="240" t="s">
        <v>169</v>
      </c>
      <c r="B207" s="240" t="s">
        <v>53</v>
      </c>
      <c r="C207" s="806">
        <f>IF(S$212&gt;0,(S207/S$212),0)</f>
        <v>0</v>
      </c>
      <c r="D207" s="806">
        <f t="shared" ref="D207:M212" si="104">IF(T$212&gt;0,(T207/T$212),0)</f>
        <v>0</v>
      </c>
      <c r="E207" s="806">
        <f t="shared" si="104"/>
        <v>0</v>
      </c>
      <c r="F207" s="806">
        <f t="shared" si="104"/>
        <v>0</v>
      </c>
      <c r="G207" s="806">
        <f t="shared" si="104"/>
        <v>0</v>
      </c>
      <c r="H207" s="806">
        <f t="shared" si="104"/>
        <v>0</v>
      </c>
      <c r="I207" s="613">
        <f t="shared" si="104"/>
        <v>0</v>
      </c>
      <c r="J207" s="613">
        <f t="shared" si="104"/>
        <v>0</v>
      </c>
      <c r="K207" s="614">
        <f t="shared" si="104"/>
        <v>0</v>
      </c>
      <c r="L207" s="614">
        <f t="shared" si="104"/>
        <v>0</v>
      </c>
      <c r="M207" s="614">
        <f t="shared" si="104"/>
        <v>0</v>
      </c>
      <c r="N207" s="613">
        <f>IF(AE$212&gt;0,(AE207/AE$212),0)</f>
        <v>0</v>
      </c>
      <c r="O207" s="613">
        <f t="shared" ref="O207:Q212" si="105">IF(AF$212&gt;0,(AF207/AF$212),0)</f>
        <v>0</v>
      </c>
      <c r="P207" s="615">
        <f t="shared" si="105"/>
        <v>0</v>
      </c>
      <c r="Q207" s="613">
        <f t="shared" si="105"/>
        <v>0</v>
      </c>
      <c r="R207" s="799"/>
      <c r="S207" s="798"/>
      <c r="T207" s="798"/>
      <c r="U207" s="798"/>
      <c r="V207" s="798"/>
      <c r="W207" s="798"/>
      <c r="X207" s="798"/>
      <c r="Y207" s="803"/>
      <c r="Z207" s="803"/>
      <c r="AA207" s="798"/>
      <c r="AB207" s="798"/>
      <c r="AC207" s="798"/>
      <c r="AD207" s="798"/>
      <c r="AE207" s="803"/>
      <c r="AF207" s="803"/>
      <c r="AG207" s="798"/>
      <c r="AH207" s="803"/>
    </row>
    <row r="208" spans="1:34">
      <c r="A208" s="239"/>
      <c r="B208" s="239" t="s">
        <v>93</v>
      </c>
      <c r="C208" s="806">
        <f t="shared" ref="C208:C212" si="106">IF(S$212&gt;0,(S208/S$212),0)</f>
        <v>0</v>
      </c>
      <c r="D208" s="806">
        <f t="shared" si="104"/>
        <v>0</v>
      </c>
      <c r="E208" s="806">
        <f t="shared" si="104"/>
        <v>0</v>
      </c>
      <c r="F208" s="806">
        <f t="shared" si="104"/>
        <v>0</v>
      </c>
      <c r="G208" s="806">
        <f t="shared" si="104"/>
        <v>0</v>
      </c>
      <c r="H208" s="806">
        <f t="shared" si="104"/>
        <v>0</v>
      </c>
      <c r="I208" s="624">
        <f t="shared" si="104"/>
        <v>0</v>
      </c>
      <c r="J208" s="624">
        <f t="shared" si="104"/>
        <v>0</v>
      </c>
      <c r="K208" s="625">
        <f t="shared" si="104"/>
        <v>0</v>
      </c>
      <c r="L208" s="625">
        <f t="shared" si="104"/>
        <v>0</v>
      </c>
      <c r="M208" s="625">
        <f t="shared" si="104"/>
        <v>0</v>
      </c>
      <c r="N208" s="624">
        <f t="shared" ref="N208:N212" si="107">IF(AE$212&gt;0,(AE208/AE$212),0)</f>
        <v>0</v>
      </c>
      <c r="O208" s="624">
        <f t="shared" si="105"/>
        <v>0</v>
      </c>
      <c r="P208" s="626">
        <f t="shared" si="105"/>
        <v>0</v>
      </c>
      <c r="Q208" s="624">
        <f t="shared" si="105"/>
        <v>0</v>
      </c>
      <c r="Y208" s="804"/>
      <c r="Z208" s="804"/>
      <c r="AE208" s="804"/>
      <c r="AF208" s="804"/>
      <c r="AH208" s="804"/>
    </row>
    <row r="209" spans="1:34">
      <c r="A209" s="239"/>
      <c r="B209" s="239" t="s">
        <v>55</v>
      </c>
      <c r="C209" s="806">
        <f t="shared" si="106"/>
        <v>0</v>
      </c>
      <c r="D209" s="806">
        <f t="shared" si="104"/>
        <v>0</v>
      </c>
      <c r="E209" s="806">
        <f t="shared" si="104"/>
        <v>0</v>
      </c>
      <c r="F209" s="806">
        <f t="shared" si="104"/>
        <v>0</v>
      </c>
      <c r="G209" s="806">
        <f t="shared" si="104"/>
        <v>0</v>
      </c>
      <c r="H209" s="806">
        <f t="shared" si="104"/>
        <v>0</v>
      </c>
      <c r="I209" s="624">
        <f t="shared" si="104"/>
        <v>0</v>
      </c>
      <c r="J209" s="624">
        <f t="shared" si="104"/>
        <v>0</v>
      </c>
      <c r="K209" s="625">
        <f t="shared" si="104"/>
        <v>0</v>
      </c>
      <c r="L209" s="625">
        <f t="shared" si="104"/>
        <v>0</v>
      </c>
      <c r="M209" s="625">
        <f t="shared" si="104"/>
        <v>0</v>
      </c>
      <c r="N209" s="624">
        <f t="shared" si="107"/>
        <v>0</v>
      </c>
      <c r="O209" s="624">
        <f t="shared" si="105"/>
        <v>0</v>
      </c>
      <c r="P209" s="626">
        <f t="shared" si="105"/>
        <v>0</v>
      </c>
      <c r="Q209" s="624">
        <f t="shared" si="105"/>
        <v>0</v>
      </c>
      <c r="Y209" s="804"/>
      <c r="Z209" s="804"/>
      <c r="AE209" s="804"/>
      <c r="AF209" s="804"/>
      <c r="AH209" s="804"/>
    </row>
    <row r="210" spans="1:34">
      <c r="A210" s="239"/>
      <c r="B210" s="239" t="s">
        <v>78</v>
      </c>
      <c r="C210" s="806">
        <f t="shared" si="106"/>
        <v>0</v>
      </c>
      <c r="D210" s="806">
        <f t="shared" si="104"/>
        <v>0</v>
      </c>
      <c r="E210" s="806">
        <f t="shared" si="104"/>
        <v>0</v>
      </c>
      <c r="F210" s="806">
        <f t="shared" si="104"/>
        <v>0</v>
      </c>
      <c r="G210" s="806">
        <f t="shared" si="104"/>
        <v>0</v>
      </c>
      <c r="H210" s="806">
        <f t="shared" si="104"/>
        <v>0</v>
      </c>
      <c r="I210" s="624">
        <f t="shared" si="104"/>
        <v>0</v>
      </c>
      <c r="J210" s="624">
        <f t="shared" si="104"/>
        <v>0</v>
      </c>
      <c r="K210" s="625">
        <f t="shared" si="104"/>
        <v>0</v>
      </c>
      <c r="L210" s="625">
        <f t="shared" si="104"/>
        <v>0</v>
      </c>
      <c r="M210" s="625">
        <f t="shared" si="104"/>
        <v>0</v>
      </c>
      <c r="N210" s="624">
        <f t="shared" si="107"/>
        <v>0</v>
      </c>
      <c r="O210" s="624">
        <f t="shared" si="105"/>
        <v>0</v>
      </c>
      <c r="P210" s="626">
        <f t="shared" si="105"/>
        <v>0</v>
      </c>
      <c r="Q210" s="624">
        <f t="shared" si="105"/>
        <v>0</v>
      </c>
      <c r="Y210" s="804"/>
      <c r="Z210" s="804"/>
      <c r="AE210" s="804"/>
      <c r="AF210" s="804"/>
      <c r="AH210" s="804"/>
    </row>
    <row r="211" spans="1:34">
      <c r="A211" s="580"/>
      <c r="B211" s="580" t="s">
        <v>131</v>
      </c>
      <c r="C211" s="806">
        <f t="shared" si="106"/>
        <v>0</v>
      </c>
      <c r="D211" s="806">
        <f t="shared" si="104"/>
        <v>0</v>
      </c>
      <c r="E211" s="806">
        <f t="shared" si="104"/>
        <v>0</v>
      </c>
      <c r="F211" s="806">
        <f t="shared" si="104"/>
        <v>0</v>
      </c>
      <c r="G211" s="806">
        <f t="shared" si="104"/>
        <v>0</v>
      </c>
      <c r="H211" s="806">
        <f t="shared" si="104"/>
        <v>0</v>
      </c>
      <c r="I211" s="624">
        <f t="shared" si="104"/>
        <v>0</v>
      </c>
      <c r="J211" s="624">
        <f t="shared" si="104"/>
        <v>0</v>
      </c>
      <c r="K211" s="625">
        <f t="shared" si="104"/>
        <v>0</v>
      </c>
      <c r="L211" s="625">
        <f t="shared" si="104"/>
        <v>0</v>
      </c>
      <c r="M211" s="625">
        <f t="shared" si="104"/>
        <v>0</v>
      </c>
      <c r="N211" s="624">
        <f t="shared" si="107"/>
        <v>0</v>
      </c>
      <c r="O211" s="624">
        <f t="shared" si="105"/>
        <v>0</v>
      </c>
      <c r="P211" s="626">
        <f t="shared" si="105"/>
        <v>0</v>
      </c>
      <c r="Q211" s="624">
        <f t="shared" si="105"/>
        <v>0</v>
      </c>
      <c r="Y211" s="804"/>
      <c r="Z211" s="804"/>
      <c r="AE211" s="804"/>
      <c r="AF211" s="804"/>
      <c r="AH211" s="804"/>
    </row>
    <row r="212" spans="1:34">
      <c r="A212" s="436"/>
      <c r="B212" s="436" t="s">
        <v>59</v>
      </c>
      <c r="C212" s="807">
        <f t="shared" si="106"/>
        <v>0</v>
      </c>
      <c r="D212" s="808">
        <f t="shared" si="104"/>
        <v>0</v>
      </c>
      <c r="E212" s="808">
        <f t="shared" si="104"/>
        <v>0</v>
      </c>
      <c r="F212" s="808">
        <f t="shared" si="104"/>
        <v>0</v>
      </c>
      <c r="G212" s="808">
        <f t="shared" si="104"/>
        <v>0</v>
      </c>
      <c r="H212" s="809">
        <f t="shared" si="104"/>
        <v>0</v>
      </c>
      <c r="I212" s="577">
        <f t="shared" si="104"/>
        <v>0</v>
      </c>
      <c r="J212" s="577">
        <f t="shared" si="104"/>
        <v>0</v>
      </c>
      <c r="K212" s="578">
        <f t="shared" si="104"/>
        <v>0</v>
      </c>
      <c r="L212" s="578">
        <f t="shared" si="104"/>
        <v>0</v>
      </c>
      <c r="M212" s="578">
        <f t="shared" si="104"/>
        <v>0</v>
      </c>
      <c r="N212" s="577">
        <f t="shared" si="107"/>
        <v>0</v>
      </c>
      <c r="O212" s="577">
        <f t="shared" si="105"/>
        <v>0</v>
      </c>
      <c r="P212" s="579">
        <f t="shared" si="105"/>
        <v>0</v>
      </c>
      <c r="Q212" s="577">
        <f t="shared" si="105"/>
        <v>0</v>
      </c>
      <c r="Y212" s="804"/>
      <c r="Z212" s="804"/>
      <c r="AE212" s="804"/>
      <c r="AF212" s="804"/>
      <c r="AH212" s="804"/>
    </row>
    <row r="213" spans="1:34">
      <c r="A213" s="240" t="s">
        <v>172</v>
      </c>
      <c r="B213" s="240" t="s">
        <v>53</v>
      </c>
      <c r="C213" s="806">
        <f>IF(S$218&gt;0,(S213/S$218),0)</f>
        <v>0</v>
      </c>
      <c r="D213" s="806">
        <f t="shared" ref="D213:M218" si="108">IF(T$218&gt;0,(T213/T$218),0)</f>
        <v>0</v>
      </c>
      <c r="E213" s="806">
        <f t="shared" si="108"/>
        <v>0</v>
      </c>
      <c r="F213" s="806">
        <f t="shared" si="108"/>
        <v>0</v>
      </c>
      <c r="G213" s="806">
        <f t="shared" si="108"/>
        <v>0</v>
      </c>
      <c r="H213" s="806">
        <f t="shared" si="108"/>
        <v>0</v>
      </c>
      <c r="I213" s="613">
        <f t="shared" si="108"/>
        <v>0</v>
      </c>
      <c r="J213" s="613">
        <f t="shared" si="108"/>
        <v>0</v>
      </c>
      <c r="K213" s="614">
        <f t="shared" si="108"/>
        <v>0</v>
      </c>
      <c r="L213" s="614">
        <f t="shared" si="108"/>
        <v>0</v>
      </c>
      <c r="M213" s="614">
        <f t="shared" si="108"/>
        <v>0</v>
      </c>
      <c r="N213" s="613">
        <f>IF(AE$218&gt;0,(AE213/AE$218),0)</f>
        <v>0</v>
      </c>
      <c r="O213" s="613">
        <f t="shared" ref="O213:Q218" si="109">IF(AF$218&gt;0,(AF213/AF$218),0)</f>
        <v>0</v>
      </c>
      <c r="P213" s="615">
        <f t="shared" si="109"/>
        <v>0</v>
      </c>
      <c r="Q213" s="613">
        <f t="shared" si="109"/>
        <v>0</v>
      </c>
      <c r="R213" s="799"/>
      <c r="S213" s="800">
        <f>S219+S225+S231+S237+S243+S249+S255+S261+S267+S273+S279+S285</f>
        <v>0</v>
      </c>
      <c r="T213" s="800">
        <f t="shared" ref="T213:AH218" si="110">T219+T225+T231+T237+T243+T249+T255+T261+T267+T273+T279+T285</f>
        <v>0</v>
      </c>
      <c r="U213" s="800">
        <f t="shared" si="110"/>
        <v>0</v>
      </c>
      <c r="V213" s="800">
        <f t="shared" si="110"/>
        <v>0</v>
      </c>
      <c r="W213" s="800">
        <f t="shared" si="110"/>
        <v>0</v>
      </c>
      <c r="X213" s="800">
        <f t="shared" si="110"/>
        <v>0</v>
      </c>
      <c r="Y213" s="801">
        <f t="shared" si="110"/>
        <v>0</v>
      </c>
      <c r="Z213" s="801">
        <f t="shared" si="110"/>
        <v>0</v>
      </c>
      <c r="AA213" s="800">
        <f t="shared" si="110"/>
        <v>0</v>
      </c>
      <c r="AB213" s="800">
        <f t="shared" si="110"/>
        <v>0</v>
      </c>
      <c r="AC213" s="800">
        <f t="shared" si="110"/>
        <v>0</v>
      </c>
      <c r="AD213" s="800">
        <f t="shared" si="110"/>
        <v>0</v>
      </c>
      <c r="AE213" s="801">
        <f t="shared" si="110"/>
        <v>0</v>
      </c>
      <c r="AF213" s="801">
        <f t="shared" si="110"/>
        <v>0</v>
      </c>
      <c r="AG213" s="800">
        <f t="shared" si="110"/>
        <v>0</v>
      </c>
      <c r="AH213" s="801">
        <f t="shared" si="110"/>
        <v>0</v>
      </c>
    </row>
    <row r="214" spans="1:34">
      <c r="A214" s="239"/>
      <c r="B214" s="239" t="s">
        <v>93</v>
      </c>
      <c r="C214" s="806">
        <f t="shared" ref="C214:C218" si="111">IF(S$218&gt;0,(S214/S$218),0)</f>
        <v>0</v>
      </c>
      <c r="D214" s="806">
        <f t="shared" si="108"/>
        <v>0</v>
      </c>
      <c r="E214" s="806">
        <f t="shared" si="108"/>
        <v>0</v>
      </c>
      <c r="F214" s="806">
        <f t="shared" si="108"/>
        <v>0</v>
      </c>
      <c r="G214" s="806">
        <f t="shared" si="108"/>
        <v>0</v>
      </c>
      <c r="H214" s="806">
        <f t="shared" si="108"/>
        <v>0</v>
      </c>
      <c r="I214" s="624">
        <f t="shared" si="108"/>
        <v>0</v>
      </c>
      <c r="J214" s="624">
        <f t="shared" si="108"/>
        <v>0</v>
      </c>
      <c r="K214" s="625">
        <f t="shared" si="108"/>
        <v>0</v>
      </c>
      <c r="L214" s="625">
        <f t="shared" si="108"/>
        <v>0</v>
      </c>
      <c r="M214" s="625">
        <f t="shared" si="108"/>
        <v>0</v>
      </c>
      <c r="N214" s="624">
        <f t="shared" ref="N214:N218" si="112">IF(AE$218&gt;0,(AE214/AE$218),0)</f>
        <v>0</v>
      </c>
      <c r="O214" s="624">
        <f t="shared" si="109"/>
        <v>0</v>
      </c>
      <c r="P214" s="626">
        <f t="shared" si="109"/>
        <v>0</v>
      </c>
      <c r="Q214" s="624">
        <f t="shared" si="109"/>
        <v>0</v>
      </c>
      <c r="S214" s="796">
        <f t="shared" ref="S214:AE218" si="113">S220+S226+S232+S238+S244+S250+S256+S262+S268+S274+S280+S286</f>
        <v>0</v>
      </c>
      <c r="T214" s="796">
        <f t="shared" si="113"/>
        <v>0</v>
      </c>
      <c r="U214" s="796">
        <f t="shared" si="113"/>
        <v>0</v>
      </c>
      <c r="V214" s="796">
        <f t="shared" si="113"/>
        <v>0</v>
      </c>
      <c r="W214" s="796">
        <f t="shared" si="113"/>
        <v>0</v>
      </c>
      <c r="X214" s="796">
        <f t="shared" si="113"/>
        <v>0</v>
      </c>
      <c r="Y214" s="802">
        <f t="shared" si="113"/>
        <v>0</v>
      </c>
      <c r="Z214" s="802">
        <f t="shared" si="113"/>
        <v>0</v>
      </c>
      <c r="AA214" s="796">
        <f t="shared" si="113"/>
        <v>0</v>
      </c>
      <c r="AB214" s="796">
        <f t="shared" si="113"/>
        <v>0</v>
      </c>
      <c r="AC214" s="796">
        <f t="shared" si="113"/>
        <v>0</v>
      </c>
      <c r="AD214" s="796">
        <f t="shared" si="113"/>
        <v>0</v>
      </c>
      <c r="AE214" s="802">
        <f t="shared" si="113"/>
        <v>0</v>
      </c>
      <c r="AF214" s="802">
        <f t="shared" si="110"/>
        <v>0</v>
      </c>
      <c r="AG214" s="796">
        <f t="shared" si="110"/>
        <v>0</v>
      </c>
      <c r="AH214" s="802">
        <f t="shared" si="110"/>
        <v>0</v>
      </c>
    </row>
    <row r="215" spans="1:34">
      <c r="A215" s="239"/>
      <c r="B215" s="239" t="s">
        <v>55</v>
      </c>
      <c r="C215" s="806">
        <f t="shared" si="111"/>
        <v>0</v>
      </c>
      <c r="D215" s="806">
        <f t="shared" si="108"/>
        <v>0</v>
      </c>
      <c r="E215" s="806">
        <f t="shared" si="108"/>
        <v>0</v>
      </c>
      <c r="F215" s="806">
        <f t="shared" si="108"/>
        <v>0</v>
      </c>
      <c r="G215" s="806">
        <f t="shared" si="108"/>
        <v>0</v>
      </c>
      <c r="H215" s="806">
        <f t="shared" si="108"/>
        <v>0</v>
      </c>
      <c r="I215" s="624">
        <f t="shared" si="108"/>
        <v>0</v>
      </c>
      <c r="J215" s="624">
        <f t="shared" si="108"/>
        <v>0</v>
      </c>
      <c r="K215" s="625">
        <f t="shared" si="108"/>
        <v>0</v>
      </c>
      <c r="L215" s="625">
        <f t="shared" si="108"/>
        <v>0</v>
      </c>
      <c r="M215" s="625">
        <f t="shared" si="108"/>
        <v>0</v>
      </c>
      <c r="N215" s="624">
        <f t="shared" si="112"/>
        <v>0</v>
      </c>
      <c r="O215" s="624">
        <f t="shared" si="109"/>
        <v>0</v>
      </c>
      <c r="P215" s="626">
        <f t="shared" si="109"/>
        <v>0</v>
      </c>
      <c r="Q215" s="624">
        <f t="shared" si="109"/>
        <v>0</v>
      </c>
      <c r="S215" s="796">
        <f t="shared" si="113"/>
        <v>0</v>
      </c>
      <c r="T215" s="796">
        <f t="shared" si="113"/>
        <v>0</v>
      </c>
      <c r="U215" s="796">
        <f t="shared" si="113"/>
        <v>0</v>
      </c>
      <c r="V215" s="796">
        <f t="shared" si="113"/>
        <v>0</v>
      </c>
      <c r="W215" s="796">
        <f t="shared" si="113"/>
        <v>0</v>
      </c>
      <c r="X215" s="796">
        <f t="shared" si="113"/>
        <v>0</v>
      </c>
      <c r="Y215" s="802">
        <f t="shared" si="113"/>
        <v>0</v>
      </c>
      <c r="Z215" s="802">
        <f t="shared" si="113"/>
        <v>0</v>
      </c>
      <c r="AA215" s="796">
        <f t="shared" si="113"/>
        <v>0</v>
      </c>
      <c r="AB215" s="796">
        <f t="shared" si="113"/>
        <v>0</v>
      </c>
      <c r="AC215" s="796">
        <f t="shared" si="113"/>
        <v>0</v>
      </c>
      <c r="AD215" s="796">
        <f t="shared" si="113"/>
        <v>0</v>
      </c>
      <c r="AE215" s="802">
        <f t="shared" si="113"/>
        <v>0</v>
      </c>
      <c r="AF215" s="802">
        <f t="shared" si="110"/>
        <v>0</v>
      </c>
      <c r="AG215" s="796">
        <f t="shared" si="110"/>
        <v>0</v>
      </c>
      <c r="AH215" s="802">
        <f t="shared" si="110"/>
        <v>0</v>
      </c>
    </row>
    <row r="216" spans="1:34">
      <c r="A216" s="239"/>
      <c r="B216" s="239" t="s">
        <v>78</v>
      </c>
      <c r="C216" s="806">
        <f t="shared" si="111"/>
        <v>0</v>
      </c>
      <c r="D216" s="806">
        <f t="shared" si="108"/>
        <v>0</v>
      </c>
      <c r="E216" s="806">
        <f t="shared" si="108"/>
        <v>0</v>
      </c>
      <c r="F216" s="806">
        <f t="shared" si="108"/>
        <v>0</v>
      </c>
      <c r="G216" s="806">
        <f t="shared" si="108"/>
        <v>0</v>
      </c>
      <c r="H216" s="806">
        <f t="shared" si="108"/>
        <v>0</v>
      </c>
      <c r="I216" s="624">
        <f t="shared" si="108"/>
        <v>0</v>
      </c>
      <c r="J216" s="624">
        <f t="shared" si="108"/>
        <v>0</v>
      </c>
      <c r="K216" s="625">
        <f t="shared" si="108"/>
        <v>0</v>
      </c>
      <c r="L216" s="625">
        <f t="shared" si="108"/>
        <v>0</v>
      </c>
      <c r="M216" s="625">
        <f t="shared" si="108"/>
        <v>0</v>
      </c>
      <c r="N216" s="624">
        <f t="shared" si="112"/>
        <v>0</v>
      </c>
      <c r="O216" s="624">
        <f t="shared" si="109"/>
        <v>0</v>
      </c>
      <c r="P216" s="626">
        <f t="shared" si="109"/>
        <v>0</v>
      </c>
      <c r="Q216" s="624">
        <f t="shared" si="109"/>
        <v>0</v>
      </c>
      <c r="S216" s="796">
        <f t="shared" si="113"/>
        <v>0</v>
      </c>
      <c r="T216" s="796">
        <f t="shared" si="113"/>
        <v>0</v>
      </c>
      <c r="U216" s="796">
        <f t="shared" si="113"/>
        <v>0</v>
      </c>
      <c r="V216" s="796">
        <f t="shared" si="113"/>
        <v>0</v>
      </c>
      <c r="W216" s="796">
        <f t="shared" si="113"/>
        <v>0</v>
      </c>
      <c r="X216" s="796">
        <f t="shared" si="113"/>
        <v>0</v>
      </c>
      <c r="Y216" s="802">
        <f t="shared" si="113"/>
        <v>0</v>
      </c>
      <c r="Z216" s="802">
        <f t="shared" si="113"/>
        <v>0</v>
      </c>
      <c r="AA216" s="796">
        <f t="shared" si="113"/>
        <v>0</v>
      </c>
      <c r="AB216" s="796">
        <f t="shared" si="113"/>
        <v>0</v>
      </c>
      <c r="AC216" s="796">
        <f t="shared" si="113"/>
        <v>0</v>
      </c>
      <c r="AD216" s="796">
        <f t="shared" si="113"/>
        <v>0</v>
      </c>
      <c r="AE216" s="802">
        <f t="shared" si="113"/>
        <v>0</v>
      </c>
      <c r="AF216" s="802">
        <f t="shared" si="110"/>
        <v>0</v>
      </c>
      <c r="AG216" s="796">
        <f t="shared" si="110"/>
        <v>0</v>
      </c>
      <c r="AH216" s="802">
        <f t="shared" si="110"/>
        <v>0</v>
      </c>
    </row>
    <row r="217" spans="1:34">
      <c r="A217" s="580"/>
      <c r="B217" s="580" t="s">
        <v>131</v>
      </c>
      <c r="C217" s="806">
        <f t="shared" si="111"/>
        <v>0</v>
      </c>
      <c r="D217" s="806">
        <f t="shared" si="108"/>
        <v>0</v>
      </c>
      <c r="E217" s="806">
        <f t="shared" si="108"/>
        <v>0</v>
      </c>
      <c r="F217" s="806">
        <f t="shared" si="108"/>
        <v>0</v>
      </c>
      <c r="G217" s="806">
        <f t="shared" si="108"/>
        <v>0</v>
      </c>
      <c r="H217" s="806">
        <f t="shared" si="108"/>
        <v>0</v>
      </c>
      <c r="I217" s="624">
        <f t="shared" si="108"/>
        <v>0</v>
      </c>
      <c r="J217" s="624">
        <f t="shared" si="108"/>
        <v>0</v>
      </c>
      <c r="K217" s="625">
        <f t="shared" si="108"/>
        <v>0</v>
      </c>
      <c r="L217" s="625">
        <f t="shared" si="108"/>
        <v>0</v>
      </c>
      <c r="M217" s="625">
        <f t="shared" si="108"/>
        <v>0</v>
      </c>
      <c r="N217" s="624">
        <f t="shared" si="112"/>
        <v>0</v>
      </c>
      <c r="O217" s="624">
        <f t="shared" si="109"/>
        <v>0</v>
      </c>
      <c r="P217" s="626">
        <f t="shared" si="109"/>
        <v>0</v>
      </c>
      <c r="Q217" s="624">
        <f t="shared" si="109"/>
        <v>0</v>
      </c>
      <c r="S217" s="796">
        <f t="shared" si="113"/>
        <v>0</v>
      </c>
      <c r="T217" s="796">
        <f t="shared" si="113"/>
        <v>0</v>
      </c>
      <c r="U217" s="796">
        <f t="shared" si="113"/>
        <v>0</v>
      </c>
      <c r="V217" s="796">
        <f t="shared" si="113"/>
        <v>0</v>
      </c>
      <c r="W217" s="796">
        <f t="shared" si="113"/>
        <v>0</v>
      </c>
      <c r="X217" s="796">
        <f t="shared" si="113"/>
        <v>0</v>
      </c>
      <c r="Y217" s="802">
        <f t="shared" si="113"/>
        <v>0</v>
      </c>
      <c r="Z217" s="802">
        <f t="shared" si="113"/>
        <v>0</v>
      </c>
      <c r="AA217" s="796">
        <f t="shared" si="113"/>
        <v>0</v>
      </c>
      <c r="AB217" s="796">
        <f t="shared" si="113"/>
        <v>0</v>
      </c>
      <c r="AC217" s="796">
        <f t="shared" si="113"/>
        <v>0</v>
      </c>
      <c r="AD217" s="796">
        <f t="shared" si="113"/>
        <v>0</v>
      </c>
      <c r="AE217" s="802">
        <f t="shared" si="113"/>
        <v>0</v>
      </c>
      <c r="AF217" s="802">
        <f t="shared" si="110"/>
        <v>0</v>
      </c>
      <c r="AG217" s="796">
        <f t="shared" si="110"/>
        <v>0</v>
      </c>
      <c r="AH217" s="802">
        <f t="shared" si="110"/>
        <v>0</v>
      </c>
    </row>
    <row r="218" spans="1:34">
      <c r="A218" s="436" t="s">
        <v>86</v>
      </c>
      <c r="B218" s="436" t="s">
        <v>59</v>
      </c>
      <c r="C218" s="807">
        <f t="shared" si="111"/>
        <v>0</v>
      </c>
      <c r="D218" s="808">
        <f t="shared" si="108"/>
        <v>0</v>
      </c>
      <c r="E218" s="808">
        <f t="shared" si="108"/>
        <v>0</v>
      </c>
      <c r="F218" s="808">
        <f t="shared" si="108"/>
        <v>0</v>
      </c>
      <c r="G218" s="808">
        <f t="shared" si="108"/>
        <v>0</v>
      </c>
      <c r="H218" s="809">
        <f t="shared" si="108"/>
        <v>0</v>
      </c>
      <c r="I218" s="577">
        <f t="shared" si="108"/>
        <v>0</v>
      </c>
      <c r="J218" s="577">
        <f t="shared" si="108"/>
        <v>0</v>
      </c>
      <c r="K218" s="578">
        <f t="shared" si="108"/>
        <v>0</v>
      </c>
      <c r="L218" s="578">
        <f t="shared" si="108"/>
        <v>0</v>
      </c>
      <c r="M218" s="578">
        <f t="shared" si="108"/>
        <v>0</v>
      </c>
      <c r="N218" s="577">
        <f t="shared" si="112"/>
        <v>0</v>
      </c>
      <c r="O218" s="577">
        <f t="shared" si="109"/>
        <v>0</v>
      </c>
      <c r="P218" s="579">
        <f t="shared" si="109"/>
        <v>0</v>
      </c>
      <c r="Q218" s="577">
        <f t="shared" si="109"/>
        <v>0</v>
      </c>
      <c r="S218" s="796">
        <f t="shared" si="113"/>
        <v>0</v>
      </c>
      <c r="T218" s="796">
        <f t="shared" si="113"/>
        <v>0</v>
      </c>
      <c r="U218" s="796">
        <f t="shared" si="113"/>
        <v>0</v>
      </c>
      <c r="V218" s="796">
        <f t="shared" si="113"/>
        <v>0</v>
      </c>
      <c r="W218" s="796">
        <f t="shared" si="113"/>
        <v>0</v>
      </c>
      <c r="X218" s="796">
        <f t="shared" si="113"/>
        <v>0</v>
      </c>
      <c r="Y218" s="802">
        <f t="shared" si="113"/>
        <v>0</v>
      </c>
      <c r="Z218" s="802">
        <f t="shared" si="113"/>
        <v>0</v>
      </c>
      <c r="AA218" s="796">
        <f t="shared" si="113"/>
        <v>0</v>
      </c>
      <c r="AB218" s="796">
        <f t="shared" si="113"/>
        <v>0</v>
      </c>
      <c r="AC218" s="796">
        <f t="shared" si="113"/>
        <v>0</v>
      </c>
      <c r="AD218" s="796">
        <f t="shared" si="113"/>
        <v>0</v>
      </c>
      <c r="AE218" s="802">
        <f t="shared" si="113"/>
        <v>0</v>
      </c>
      <c r="AF218" s="802">
        <f t="shared" si="110"/>
        <v>0</v>
      </c>
      <c r="AG218" s="796">
        <f t="shared" si="110"/>
        <v>0</v>
      </c>
      <c r="AH218" s="802">
        <f t="shared" si="110"/>
        <v>0</v>
      </c>
    </row>
    <row r="219" spans="1:34">
      <c r="A219" s="240" t="s">
        <v>144</v>
      </c>
      <c r="B219" s="240" t="s">
        <v>53</v>
      </c>
      <c r="C219" s="806">
        <f>IF(S$224&gt;0,(S219/S$224),0)</f>
        <v>0</v>
      </c>
      <c r="D219" s="806">
        <f t="shared" ref="D219:M224" si="114">IF(T$224&gt;0,(T219/T$224),0)</f>
        <v>0</v>
      </c>
      <c r="E219" s="806">
        <f t="shared" si="114"/>
        <v>0</v>
      </c>
      <c r="F219" s="806">
        <f t="shared" si="114"/>
        <v>0</v>
      </c>
      <c r="G219" s="806">
        <f t="shared" si="114"/>
        <v>0</v>
      </c>
      <c r="H219" s="806">
        <f t="shared" si="114"/>
        <v>0</v>
      </c>
      <c r="I219" s="613">
        <f t="shared" si="114"/>
        <v>0</v>
      </c>
      <c r="J219" s="613">
        <f t="shared" si="114"/>
        <v>0</v>
      </c>
      <c r="K219" s="614">
        <f t="shared" si="114"/>
        <v>0</v>
      </c>
      <c r="L219" s="614">
        <f t="shared" si="114"/>
        <v>0</v>
      </c>
      <c r="M219" s="614">
        <f t="shared" si="114"/>
        <v>0</v>
      </c>
      <c r="N219" s="613">
        <f>IF(AE$224&gt;0,(AE219/AE$224),0)</f>
        <v>0</v>
      </c>
      <c r="O219" s="613">
        <f t="shared" ref="O219:Q224" si="115">IF(AF$224&gt;0,(AF219/AF$224),0)</f>
        <v>0</v>
      </c>
      <c r="P219" s="615">
        <f t="shared" si="115"/>
        <v>0</v>
      </c>
      <c r="Q219" s="613">
        <f t="shared" si="115"/>
        <v>0</v>
      </c>
      <c r="R219" s="799"/>
      <c r="S219" s="798"/>
      <c r="T219" s="798"/>
      <c r="U219" s="798"/>
      <c r="V219" s="798"/>
      <c r="W219" s="798"/>
      <c r="X219" s="798"/>
      <c r="Y219" s="803"/>
      <c r="Z219" s="803"/>
      <c r="AA219" s="798"/>
      <c r="AB219" s="798"/>
      <c r="AC219" s="798"/>
      <c r="AD219" s="798"/>
      <c r="AE219" s="803"/>
      <c r="AF219" s="803"/>
      <c r="AG219" s="798"/>
      <c r="AH219" s="803"/>
    </row>
    <row r="220" spans="1:34">
      <c r="A220" s="239"/>
      <c r="B220" s="239" t="s">
        <v>93</v>
      </c>
      <c r="C220" s="806">
        <f t="shared" ref="C220:C224" si="116">IF(S$224&gt;0,(S220/S$224),0)</f>
        <v>0</v>
      </c>
      <c r="D220" s="806">
        <f t="shared" si="114"/>
        <v>0</v>
      </c>
      <c r="E220" s="806">
        <f t="shared" si="114"/>
        <v>0</v>
      </c>
      <c r="F220" s="806">
        <f t="shared" si="114"/>
        <v>0</v>
      </c>
      <c r="G220" s="806">
        <f t="shared" si="114"/>
        <v>0</v>
      </c>
      <c r="H220" s="806">
        <f t="shared" si="114"/>
        <v>0</v>
      </c>
      <c r="I220" s="624">
        <f t="shared" si="114"/>
        <v>0</v>
      </c>
      <c r="J220" s="624">
        <f t="shared" si="114"/>
        <v>0</v>
      </c>
      <c r="K220" s="625">
        <f t="shared" si="114"/>
        <v>0</v>
      </c>
      <c r="L220" s="625">
        <f t="shared" si="114"/>
        <v>0</v>
      </c>
      <c r="M220" s="625">
        <f t="shared" si="114"/>
        <v>0</v>
      </c>
      <c r="N220" s="624">
        <f t="shared" ref="N220:N224" si="117">IF(AE$224&gt;0,(AE220/AE$224),0)</f>
        <v>0</v>
      </c>
      <c r="O220" s="624">
        <f t="shared" si="115"/>
        <v>0</v>
      </c>
      <c r="P220" s="626">
        <f t="shared" si="115"/>
        <v>0</v>
      </c>
      <c r="Q220" s="624">
        <f t="shared" si="115"/>
        <v>0</v>
      </c>
      <c r="Y220" s="804"/>
      <c r="Z220" s="804"/>
      <c r="AE220" s="804"/>
      <c r="AF220" s="804"/>
      <c r="AH220" s="804"/>
    </row>
    <row r="221" spans="1:34">
      <c r="A221" s="239"/>
      <c r="B221" s="239" t="s">
        <v>55</v>
      </c>
      <c r="C221" s="806">
        <f t="shared" si="116"/>
        <v>0</v>
      </c>
      <c r="D221" s="806">
        <f t="shared" si="114"/>
        <v>0</v>
      </c>
      <c r="E221" s="806">
        <f t="shared" si="114"/>
        <v>0</v>
      </c>
      <c r="F221" s="806">
        <f t="shared" si="114"/>
        <v>0</v>
      </c>
      <c r="G221" s="806">
        <f t="shared" si="114"/>
        <v>0</v>
      </c>
      <c r="H221" s="806">
        <f t="shared" si="114"/>
        <v>0</v>
      </c>
      <c r="I221" s="624">
        <f t="shared" si="114"/>
        <v>0</v>
      </c>
      <c r="J221" s="624">
        <f t="shared" si="114"/>
        <v>0</v>
      </c>
      <c r="K221" s="625">
        <f t="shared" si="114"/>
        <v>0</v>
      </c>
      <c r="L221" s="625">
        <f t="shared" si="114"/>
        <v>0</v>
      </c>
      <c r="M221" s="625">
        <f t="shared" si="114"/>
        <v>0</v>
      </c>
      <c r="N221" s="624">
        <f t="shared" si="117"/>
        <v>0</v>
      </c>
      <c r="O221" s="624">
        <f t="shared" si="115"/>
        <v>0</v>
      </c>
      <c r="P221" s="626">
        <f t="shared" si="115"/>
        <v>0</v>
      </c>
      <c r="Q221" s="624">
        <f t="shared" si="115"/>
        <v>0</v>
      </c>
      <c r="Y221" s="804"/>
      <c r="Z221" s="804"/>
      <c r="AE221" s="804"/>
      <c r="AF221" s="804"/>
      <c r="AH221" s="804"/>
    </row>
    <row r="222" spans="1:34">
      <c r="A222" s="239"/>
      <c r="B222" s="239" t="s">
        <v>78</v>
      </c>
      <c r="C222" s="806">
        <f t="shared" si="116"/>
        <v>0</v>
      </c>
      <c r="D222" s="806">
        <f t="shared" si="114"/>
        <v>0</v>
      </c>
      <c r="E222" s="806">
        <f t="shared" si="114"/>
        <v>0</v>
      </c>
      <c r="F222" s="806">
        <f t="shared" si="114"/>
        <v>0</v>
      </c>
      <c r="G222" s="806">
        <f t="shared" si="114"/>
        <v>0</v>
      </c>
      <c r="H222" s="806">
        <f t="shared" si="114"/>
        <v>0</v>
      </c>
      <c r="I222" s="624">
        <f t="shared" si="114"/>
        <v>0</v>
      </c>
      <c r="J222" s="624">
        <f t="shared" si="114"/>
        <v>0</v>
      </c>
      <c r="K222" s="625">
        <f t="shared" si="114"/>
        <v>0</v>
      </c>
      <c r="L222" s="625">
        <f t="shared" si="114"/>
        <v>0</v>
      </c>
      <c r="M222" s="625">
        <f t="shared" si="114"/>
        <v>0</v>
      </c>
      <c r="N222" s="624">
        <f t="shared" si="117"/>
        <v>0</v>
      </c>
      <c r="O222" s="624">
        <f t="shared" si="115"/>
        <v>0</v>
      </c>
      <c r="P222" s="626">
        <f t="shared" si="115"/>
        <v>0</v>
      </c>
      <c r="Q222" s="624">
        <f t="shared" si="115"/>
        <v>0</v>
      </c>
      <c r="Y222" s="804"/>
      <c r="Z222" s="804"/>
      <c r="AE222" s="804"/>
      <c r="AF222" s="804"/>
      <c r="AH222" s="804"/>
    </row>
    <row r="223" spans="1:34">
      <c r="A223" s="580"/>
      <c r="B223" s="580" t="s">
        <v>131</v>
      </c>
      <c r="C223" s="806">
        <f t="shared" si="116"/>
        <v>0</v>
      </c>
      <c r="D223" s="806">
        <f t="shared" si="114"/>
        <v>0</v>
      </c>
      <c r="E223" s="806">
        <f t="shared" si="114"/>
        <v>0</v>
      </c>
      <c r="F223" s="806">
        <f t="shared" si="114"/>
        <v>0</v>
      </c>
      <c r="G223" s="806">
        <f t="shared" si="114"/>
        <v>0</v>
      </c>
      <c r="H223" s="806">
        <f t="shared" si="114"/>
        <v>0</v>
      </c>
      <c r="I223" s="624">
        <f t="shared" si="114"/>
        <v>0</v>
      </c>
      <c r="J223" s="624">
        <f t="shared" si="114"/>
        <v>0</v>
      </c>
      <c r="K223" s="625">
        <f t="shared" si="114"/>
        <v>0</v>
      </c>
      <c r="L223" s="625">
        <f t="shared" si="114"/>
        <v>0</v>
      </c>
      <c r="M223" s="625">
        <f t="shared" si="114"/>
        <v>0</v>
      </c>
      <c r="N223" s="624">
        <f t="shared" si="117"/>
        <v>0</v>
      </c>
      <c r="O223" s="624">
        <f t="shared" si="115"/>
        <v>0</v>
      </c>
      <c r="P223" s="626">
        <f t="shared" si="115"/>
        <v>0</v>
      </c>
      <c r="Q223" s="624">
        <f t="shared" si="115"/>
        <v>0</v>
      </c>
      <c r="Y223" s="804"/>
      <c r="Z223" s="804"/>
      <c r="AE223" s="804"/>
      <c r="AF223" s="804"/>
      <c r="AH223" s="804"/>
    </row>
    <row r="224" spans="1:34">
      <c r="A224" s="436"/>
      <c r="B224" s="436" t="s">
        <v>59</v>
      </c>
      <c r="C224" s="807">
        <f t="shared" si="116"/>
        <v>0</v>
      </c>
      <c r="D224" s="808">
        <f t="shared" si="114"/>
        <v>0</v>
      </c>
      <c r="E224" s="808">
        <f t="shared" si="114"/>
        <v>0</v>
      </c>
      <c r="F224" s="808">
        <f t="shared" si="114"/>
        <v>0</v>
      </c>
      <c r="G224" s="808">
        <f t="shared" si="114"/>
        <v>0</v>
      </c>
      <c r="H224" s="809">
        <f t="shared" si="114"/>
        <v>0</v>
      </c>
      <c r="I224" s="577">
        <f t="shared" si="114"/>
        <v>0</v>
      </c>
      <c r="J224" s="577">
        <f t="shared" si="114"/>
        <v>0</v>
      </c>
      <c r="K224" s="578">
        <f t="shared" si="114"/>
        <v>0</v>
      </c>
      <c r="L224" s="578">
        <f t="shared" si="114"/>
        <v>0</v>
      </c>
      <c r="M224" s="578">
        <f t="shared" si="114"/>
        <v>0</v>
      </c>
      <c r="N224" s="577">
        <f t="shared" si="117"/>
        <v>0</v>
      </c>
      <c r="O224" s="577">
        <f t="shared" si="115"/>
        <v>0</v>
      </c>
      <c r="P224" s="579">
        <f t="shared" si="115"/>
        <v>0</v>
      </c>
      <c r="Q224" s="577">
        <f t="shared" si="115"/>
        <v>0</v>
      </c>
      <c r="Y224" s="804"/>
      <c r="Z224" s="804"/>
      <c r="AE224" s="804"/>
      <c r="AF224" s="804"/>
      <c r="AH224" s="804"/>
    </row>
    <row r="225" spans="1:34">
      <c r="A225" s="240" t="s">
        <v>145</v>
      </c>
      <c r="B225" s="240" t="s">
        <v>53</v>
      </c>
      <c r="C225" s="806">
        <f>IF(S$230&gt;0,(S225/S$230),0)</f>
        <v>0</v>
      </c>
      <c r="D225" s="806">
        <f t="shared" ref="D225:M230" si="118">IF(T$230&gt;0,(T225/T$230),0)</f>
        <v>0</v>
      </c>
      <c r="E225" s="806">
        <f t="shared" si="118"/>
        <v>0</v>
      </c>
      <c r="F225" s="806">
        <f t="shared" si="118"/>
        <v>0</v>
      </c>
      <c r="G225" s="806">
        <f t="shared" si="118"/>
        <v>0</v>
      </c>
      <c r="H225" s="806">
        <f t="shared" si="118"/>
        <v>0</v>
      </c>
      <c r="I225" s="613">
        <f t="shared" si="118"/>
        <v>0</v>
      </c>
      <c r="J225" s="613">
        <f t="shared" si="118"/>
        <v>0</v>
      </c>
      <c r="K225" s="614">
        <f t="shared" si="118"/>
        <v>0</v>
      </c>
      <c r="L225" s="614">
        <f t="shared" si="118"/>
        <v>0</v>
      </c>
      <c r="M225" s="614">
        <f t="shared" si="118"/>
        <v>0</v>
      </c>
      <c r="N225" s="613">
        <f>IF(AE$230&gt;0,(AE225/AE$230),0)</f>
        <v>0</v>
      </c>
      <c r="O225" s="613">
        <f t="shared" ref="O225:Q230" si="119">IF(AF$230&gt;0,(AF225/AF$230),0)</f>
        <v>0</v>
      </c>
      <c r="P225" s="615">
        <f t="shared" si="119"/>
        <v>0</v>
      </c>
      <c r="Q225" s="613">
        <f t="shared" si="119"/>
        <v>0</v>
      </c>
      <c r="R225" s="799"/>
      <c r="S225" s="798"/>
      <c r="T225" s="798"/>
      <c r="U225" s="798"/>
      <c r="V225" s="798"/>
      <c r="W225" s="798"/>
      <c r="X225" s="798"/>
      <c r="Y225" s="803"/>
      <c r="Z225" s="803"/>
      <c r="AA225" s="798"/>
      <c r="AB225" s="798"/>
      <c r="AC225" s="798"/>
      <c r="AD225" s="798"/>
      <c r="AE225" s="803"/>
      <c r="AF225" s="803"/>
      <c r="AG225" s="798"/>
      <c r="AH225" s="803"/>
    </row>
    <row r="226" spans="1:34">
      <c r="A226" s="239"/>
      <c r="B226" s="239" t="s">
        <v>93</v>
      </c>
      <c r="C226" s="806">
        <f t="shared" ref="C226:C230" si="120">IF(S$230&gt;0,(S226/S$230),0)</f>
        <v>0</v>
      </c>
      <c r="D226" s="806">
        <f t="shared" si="118"/>
        <v>0</v>
      </c>
      <c r="E226" s="806">
        <f t="shared" si="118"/>
        <v>0</v>
      </c>
      <c r="F226" s="806">
        <f t="shared" si="118"/>
        <v>0</v>
      </c>
      <c r="G226" s="806">
        <f t="shared" si="118"/>
        <v>0</v>
      </c>
      <c r="H226" s="806">
        <f t="shared" si="118"/>
        <v>0</v>
      </c>
      <c r="I226" s="624">
        <f t="shared" si="118"/>
        <v>0</v>
      </c>
      <c r="J226" s="624">
        <f t="shared" si="118"/>
        <v>0</v>
      </c>
      <c r="K226" s="625">
        <f t="shared" si="118"/>
        <v>0</v>
      </c>
      <c r="L226" s="625">
        <f t="shared" si="118"/>
        <v>0</v>
      </c>
      <c r="M226" s="625">
        <f t="shared" si="118"/>
        <v>0</v>
      </c>
      <c r="N226" s="624">
        <f t="shared" ref="N226:N230" si="121">IF(AE$230&gt;0,(AE226/AE$230),0)</f>
        <v>0</v>
      </c>
      <c r="O226" s="624">
        <f t="shared" si="119"/>
        <v>0</v>
      </c>
      <c r="P226" s="626">
        <f t="shared" si="119"/>
        <v>0</v>
      </c>
      <c r="Q226" s="624">
        <f t="shared" si="119"/>
        <v>0</v>
      </c>
      <c r="Y226" s="804"/>
      <c r="Z226" s="804"/>
      <c r="AE226" s="804"/>
      <c r="AF226" s="804"/>
      <c r="AH226" s="804"/>
    </row>
    <row r="227" spans="1:34">
      <c r="A227" s="239"/>
      <c r="B227" s="239" t="s">
        <v>55</v>
      </c>
      <c r="C227" s="806">
        <f t="shared" si="120"/>
        <v>0</v>
      </c>
      <c r="D227" s="806">
        <f t="shared" si="118"/>
        <v>0</v>
      </c>
      <c r="E227" s="806">
        <f t="shared" si="118"/>
        <v>0</v>
      </c>
      <c r="F227" s="806">
        <f t="shared" si="118"/>
        <v>0</v>
      </c>
      <c r="G227" s="806">
        <f t="shared" si="118"/>
        <v>0</v>
      </c>
      <c r="H227" s="806">
        <f t="shared" si="118"/>
        <v>0</v>
      </c>
      <c r="I227" s="624">
        <f t="shared" si="118"/>
        <v>0</v>
      </c>
      <c r="J227" s="624">
        <f t="shared" si="118"/>
        <v>0</v>
      </c>
      <c r="K227" s="625">
        <f t="shared" si="118"/>
        <v>0</v>
      </c>
      <c r="L227" s="625">
        <f t="shared" si="118"/>
        <v>0</v>
      </c>
      <c r="M227" s="625">
        <f t="shared" si="118"/>
        <v>0</v>
      </c>
      <c r="N227" s="624">
        <f t="shared" si="121"/>
        <v>0</v>
      </c>
      <c r="O227" s="624">
        <f t="shared" si="119"/>
        <v>0</v>
      </c>
      <c r="P227" s="626">
        <f t="shared" si="119"/>
        <v>0</v>
      </c>
      <c r="Q227" s="624">
        <f t="shared" si="119"/>
        <v>0</v>
      </c>
      <c r="Y227" s="804"/>
      <c r="Z227" s="804"/>
      <c r="AE227" s="804"/>
      <c r="AF227" s="804"/>
      <c r="AH227" s="804"/>
    </row>
    <row r="228" spans="1:34">
      <c r="A228" s="239"/>
      <c r="B228" s="239" t="s">
        <v>78</v>
      </c>
      <c r="C228" s="806">
        <f t="shared" si="120"/>
        <v>0</v>
      </c>
      <c r="D228" s="806">
        <f t="shared" si="118"/>
        <v>0</v>
      </c>
      <c r="E228" s="806">
        <f t="shared" si="118"/>
        <v>0</v>
      </c>
      <c r="F228" s="806">
        <f t="shared" si="118"/>
        <v>0</v>
      </c>
      <c r="G228" s="806">
        <f t="shared" si="118"/>
        <v>0</v>
      </c>
      <c r="H228" s="806">
        <f t="shared" si="118"/>
        <v>0</v>
      </c>
      <c r="I228" s="624">
        <f t="shared" si="118"/>
        <v>0</v>
      </c>
      <c r="J228" s="624">
        <f t="shared" si="118"/>
        <v>0</v>
      </c>
      <c r="K228" s="625">
        <f t="shared" si="118"/>
        <v>0</v>
      </c>
      <c r="L228" s="625">
        <f t="shared" si="118"/>
        <v>0</v>
      </c>
      <c r="M228" s="625">
        <f t="shared" si="118"/>
        <v>0</v>
      </c>
      <c r="N228" s="624">
        <f t="shared" si="121"/>
        <v>0</v>
      </c>
      <c r="O228" s="624">
        <f t="shared" si="119"/>
        <v>0</v>
      </c>
      <c r="P228" s="626">
        <f t="shared" si="119"/>
        <v>0</v>
      </c>
      <c r="Q228" s="624">
        <f t="shared" si="119"/>
        <v>0</v>
      </c>
      <c r="Y228" s="804"/>
      <c r="Z228" s="804"/>
      <c r="AE228" s="804"/>
      <c r="AF228" s="804"/>
      <c r="AH228" s="804"/>
    </row>
    <row r="229" spans="1:34">
      <c r="A229" s="580"/>
      <c r="B229" s="580" t="s">
        <v>131</v>
      </c>
      <c r="C229" s="806">
        <f t="shared" si="120"/>
        <v>0</v>
      </c>
      <c r="D229" s="806">
        <f t="shared" si="118"/>
        <v>0</v>
      </c>
      <c r="E229" s="806">
        <f t="shared" si="118"/>
        <v>0</v>
      </c>
      <c r="F229" s="806">
        <f t="shared" si="118"/>
        <v>0</v>
      </c>
      <c r="G229" s="806">
        <f t="shared" si="118"/>
        <v>0</v>
      </c>
      <c r="H229" s="806">
        <f t="shared" si="118"/>
        <v>0</v>
      </c>
      <c r="I229" s="624">
        <f t="shared" si="118"/>
        <v>0</v>
      </c>
      <c r="J229" s="624">
        <f t="shared" si="118"/>
        <v>0</v>
      </c>
      <c r="K229" s="625">
        <f t="shared" si="118"/>
        <v>0</v>
      </c>
      <c r="L229" s="625">
        <f t="shared" si="118"/>
        <v>0</v>
      </c>
      <c r="M229" s="625">
        <f t="shared" si="118"/>
        <v>0</v>
      </c>
      <c r="N229" s="624">
        <f t="shared" si="121"/>
        <v>0</v>
      </c>
      <c r="O229" s="624">
        <f t="shared" si="119"/>
        <v>0</v>
      </c>
      <c r="P229" s="626">
        <f t="shared" si="119"/>
        <v>0</v>
      </c>
      <c r="Q229" s="624">
        <f t="shared" si="119"/>
        <v>0</v>
      </c>
      <c r="Y229" s="804"/>
      <c r="Z229" s="804"/>
      <c r="AE229" s="804"/>
      <c r="AF229" s="804"/>
      <c r="AH229" s="804"/>
    </row>
    <row r="230" spans="1:34">
      <c r="A230" s="436"/>
      <c r="B230" s="436" t="s">
        <v>59</v>
      </c>
      <c r="C230" s="807">
        <f t="shared" si="120"/>
        <v>0</v>
      </c>
      <c r="D230" s="808">
        <f t="shared" si="118"/>
        <v>0</v>
      </c>
      <c r="E230" s="808">
        <f t="shared" si="118"/>
        <v>0</v>
      </c>
      <c r="F230" s="808">
        <f t="shared" si="118"/>
        <v>0</v>
      </c>
      <c r="G230" s="808">
        <f t="shared" si="118"/>
        <v>0</v>
      </c>
      <c r="H230" s="809">
        <f t="shared" si="118"/>
        <v>0</v>
      </c>
      <c r="I230" s="577">
        <f t="shared" si="118"/>
        <v>0</v>
      </c>
      <c r="J230" s="577">
        <f t="shared" si="118"/>
        <v>0</v>
      </c>
      <c r="K230" s="578">
        <f t="shared" si="118"/>
        <v>0</v>
      </c>
      <c r="L230" s="578">
        <f t="shared" si="118"/>
        <v>0</v>
      </c>
      <c r="M230" s="578">
        <f t="shared" si="118"/>
        <v>0</v>
      </c>
      <c r="N230" s="577">
        <f t="shared" si="121"/>
        <v>0</v>
      </c>
      <c r="O230" s="577">
        <f t="shared" si="119"/>
        <v>0</v>
      </c>
      <c r="P230" s="579">
        <f t="shared" si="119"/>
        <v>0</v>
      </c>
      <c r="Q230" s="577">
        <f t="shared" si="119"/>
        <v>0</v>
      </c>
      <c r="Y230" s="804"/>
      <c r="Z230" s="804"/>
      <c r="AE230" s="804"/>
      <c r="AF230" s="804"/>
      <c r="AH230" s="804"/>
    </row>
    <row r="231" spans="1:34">
      <c r="A231" s="240" t="s">
        <v>142</v>
      </c>
      <c r="B231" s="240" t="s">
        <v>53</v>
      </c>
      <c r="C231" s="806">
        <f>IF(S$236&gt;0,(S231/S$236),0)</f>
        <v>0</v>
      </c>
      <c r="D231" s="806">
        <f t="shared" ref="D231:M236" si="122">IF(T$236&gt;0,(T231/T$236),0)</f>
        <v>0</v>
      </c>
      <c r="E231" s="806">
        <f t="shared" si="122"/>
        <v>0</v>
      </c>
      <c r="F231" s="806">
        <f t="shared" si="122"/>
        <v>0</v>
      </c>
      <c r="G231" s="806">
        <f t="shared" si="122"/>
        <v>0</v>
      </c>
      <c r="H231" s="806">
        <f t="shared" si="122"/>
        <v>0</v>
      </c>
      <c r="I231" s="613">
        <f t="shared" si="122"/>
        <v>0</v>
      </c>
      <c r="J231" s="613">
        <f t="shared" si="122"/>
        <v>0</v>
      </c>
      <c r="K231" s="614">
        <f t="shared" si="122"/>
        <v>0</v>
      </c>
      <c r="L231" s="614">
        <f t="shared" si="122"/>
        <v>0</v>
      </c>
      <c r="M231" s="614">
        <f t="shared" si="122"/>
        <v>0</v>
      </c>
      <c r="N231" s="613">
        <f>IF(AE$236&gt;0,(AE231/AE$236),0)</f>
        <v>0</v>
      </c>
      <c r="O231" s="613">
        <f t="shared" ref="O231:Q236" si="123">IF(AF$236&gt;0,(AF231/AF$236),0)</f>
        <v>0</v>
      </c>
      <c r="P231" s="615">
        <f t="shared" si="123"/>
        <v>0</v>
      </c>
      <c r="Q231" s="613">
        <f t="shared" si="123"/>
        <v>0</v>
      </c>
      <c r="R231" s="799"/>
      <c r="S231" s="798"/>
      <c r="T231" s="798"/>
      <c r="U231" s="798"/>
      <c r="V231" s="798"/>
      <c r="W231" s="798"/>
      <c r="X231" s="798"/>
      <c r="Y231" s="803"/>
      <c r="Z231" s="803"/>
      <c r="AA231" s="798"/>
      <c r="AB231" s="798"/>
      <c r="AC231" s="798"/>
      <c r="AD231" s="798"/>
      <c r="AE231" s="803"/>
      <c r="AF231" s="803"/>
      <c r="AG231" s="798"/>
      <c r="AH231" s="803"/>
    </row>
    <row r="232" spans="1:34">
      <c r="A232" s="239"/>
      <c r="B232" s="239" t="s">
        <v>93</v>
      </c>
      <c r="C232" s="806">
        <f t="shared" ref="C232:C236" si="124">IF(S$236&gt;0,(S232/S$236),0)</f>
        <v>0</v>
      </c>
      <c r="D232" s="806">
        <f t="shared" si="122"/>
        <v>0</v>
      </c>
      <c r="E232" s="806">
        <f t="shared" si="122"/>
        <v>0</v>
      </c>
      <c r="F232" s="806">
        <f t="shared" si="122"/>
        <v>0</v>
      </c>
      <c r="G232" s="806">
        <f t="shared" si="122"/>
        <v>0</v>
      </c>
      <c r="H232" s="806">
        <f t="shared" si="122"/>
        <v>0</v>
      </c>
      <c r="I232" s="624">
        <f t="shared" si="122"/>
        <v>0</v>
      </c>
      <c r="J232" s="624">
        <f t="shared" si="122"/>
        <v>0</v>
      </c>
      <c r="K232" s="625">
        <f t="shared" si="122"/>
        <v>0</v>
      </c>
      <c r="L232" s="625">
        <f t="shared" si="122"/>
        <v>0</v>
      </c>
      <c r="M232" s="625">
        <f t="shared" si="122"/>
        <v>0</v>
      </c>
      <c r="N232" s="624">
        <f t="shared" ref="N232:N236" si="125">IF(AE$236&gt;0,(AE232/AE$236),0)</f>
        <v>0</v>
      </c>
      <c r="O232" s="624">
        <f t="shared" si="123"/>
        <v>0</v>
      </c>
      <c r="P232" s="626">
        <f t="shared" si="123"/>
        <v>0</v>
      </c>
      <c r="Q232" s="624">
        <f t="shared" si="123"/>
        <v>0</v>
      </c>
      <c r="Y232" s="804"/>
      <c r="Z232" s="804"/>
      <c r="AE232" s="804"/>
      <c r="AF232" s="804"/>
      <c r="AH232" s="804"/>
    </row>
    <row r="233" spans="1:34">
      <c r="A233" s="239"/>
      <c r="B233" s="239" t="s">
        <v>55</v>
      </c>
      <c r="C233" s="806">
        <f t="shared" si="124"/>
        <v>0</v>
      </c>
      <c r="D233" s="806">
        <f t="shared" si="122"/>
        <v>0</v>
      </c>
      <c r="E233" s="806">
        <f t="shared" si="122"/>
        <v>0</v>
      </c>
      <c r="F233" s="806">
        <f t="shared" si="122"/>
        <v>0</v>
      </c>
      <c r="G233" s="806">
        <f t="shared" si="122"/>
        <v>0</v>
      </c>
      <c r="H233" s="806">
        <f t="shared" si="122"/>
        <v>0</v>
      </c>
      <c r="I233" s="624">
        <f t="shared" si="122"/>
        <v>0</v>
      </c>
      <c r="J233" s="624">
        <f t="shared" si="122"/>
        <v>0</v>
      </c>
      <c r="K233" s="625">
        <f t="shared" si="122"/>
        <v>0</v>
      </c>
      <c r="L233" s="625">
        <f t="shared" si="122"/>
        <v>0</v>
      </c>
      <c r="M233" s="625">
        <f t="shared" si="122"/>
        <v>0</v>
      </c>
      <c r="N233" s="624">
        <f t="shared" si="125"/>
        <v>0</v>
      </c>
      <c r="O233" s="624">
        <f t="shared" si="123"/>
        <v>0</v>
      </c>
      <c r="P233" s="626">
        <f t="shared" si="123"/>
        <v>0</v>
      </c>
      <c r="Q233" s="624">
        <f t="shared" si="123"/>
        <v>0</v>
      </c>
      <c r="Y233" s="804"/>
      <c r="Z233" s="804"/>
      <c r="AE233" s="804"/>
      <c r="AF233" s="804"/>
      <c r="AH233" s="804"/>
    </row>
    <row r="234" spans="1:34">
      <c r="A234" s="239"/>
      <c r="B234" s="239" t="s">
        <v>78</v>
      </c>
      <c r="C234" s="806">
        <f t="shared" si="124"/>
        <v>0</v>
      </c>
      <c r="D234" s="806">
        <f t="shared" si="122"/>
        <v>0</v>
      </c>
      <c r="E234" s="806">
        <f t="shared" si="122"/>
        <v>0</v>
      </c>
      <c r="F234" s="806">
        <f t="shared" si="122"/>
        <v>0</v>
      </c>
      <c r="G234" s="806">
        <f t="shared" si="122"/>
        <v>0</v>
      </c>
      <c r="H234" s="806">
        <f t="shared" si="122"/>
        <v>0</v>
      </c>
      <c r="I234" s="624">
        <f t="shared" si="122"/>
        <v>0</v>
      </c>
      <c r="J234" s="624">
        <f t="shared" si="122"/>
        <v>0</v>
      </c>
      <c r="K234" s="625">
        <f t="shared" si="122"/>
        <v>0</v>
      </c>
      <c r="L234" s="625">
        <f t="shared" si="122"/>
        <v>0</v>
      </c>
      <c r="M234" s="625">
        <f t="shared" si="122"/>
        <v>0</v>
      </c>
      <c r="N234" s="624">
        <f t="shared" si="125"/>
        <v>0</v>
      </c>
      <c r="O234" s="624">
        <f t="shared" si="123"/>
        <v>0</v>
      </c>
      <c r="P234" s="626">
        <f t="shared" si="123"/>
        <v>0</v>
      </c>
      <c r="Q234" s="624">
        <f t="shared" si="123"/>
        <v>0</v>
      </c>
      <c r="Y234" s="804"/>
      <c r="Z234" s="804"/>
      <c r="AE234" s="804"/>
      <c r="AF234" s="804"/>
      <c r="AH234" s="804"/>
    </row>
    <row r="235" spans="1:34">
      <c r="A235" s="580"/>
      <c r="B235" s="580" t="s">
        <v>131</v>
      </c>
      <c r="C235" s="806">
        <f t="shared" si="124"/>
        <v>0</v>
      </c>
      <c r="D235" s="806">
        <f t="shared" si="122"/>
        <v>0</v>
      </c>
      <c r="E235" s="806">
        <f t="shared" si="122"/>
        <v>0</v>
      </c>
      <c r="F235" s="806">
        <f t="shared" si="122"/>
        <v>0</v>
      </c>
      <c r="G235" s="806">
        <f t="shared" si="122"/>
        <v>0</v>
      </c>
      <c r="H235" s="806">
        <f t="shared" si="122"/>
        <v>0</v>
      </c>
      <c r="I235" s="624">
        <f t="shared" si="122"/>
        <v>0</v>
      </c>
      <c r="J235" s="624">
        <f t="shared" si="122"/>
        <v>0</v>
      </c>
      <c r="K235" s="625">
        <f t="shared" si="122"/>
        <v>0</v>
      </c>
      <c r="L235" s="625">
        <f t="shared" si="122"/>
        <v>0</v>
      </c>
      <c r="M235" s="625">
        <f t="shared" si="122"/>
        <v>0</v>
      </c>
      <c r="N235" s="624">
        <f t="shared" si="125"/>
        <v>0</v>
      </c>
      <c r="O235" s="624">
        <f t="shared" si="123"/>
        <v>0</v>
      </c>
      <c r="P235" s="626">
        <f t="shared" si="123"/>
        <v>0</v>
      </c>
      <c r="Q235" s="624">
        <f t="shared" si="123"/>
        <v>0</v>
      </c>
      <c r="Y235" s="804"/>
      <c r="Z235" s="804"/>
      <c r="AE235" s="804"/>
      <c r="AF235" s="804"/>
      <c r="AH235" s="804"/>
    </row>
    <row r="236" spans="1:34">
      <c r="A236" s="436"/>
      <c r="B236" s="436" t="s">
        <v>59</v>
      </c>
      <c r="C236" s="807">
        <f t="shared" si="124"/>
        <v>0</v>
      </c>
      <c r="D236" s="808">
        <f t="shared" si="122"/>
        <v>0</v>
      </c>
      <c r="E236" s="808">
        <f t="shared" si="122"/>
        <v>0</v>
      </c>
      <c r="F236" s="808">
        <f t="shared" si="122"/>
        <v>0</v>
      </c>
      <c r="G236" s="808">
        <f t="shared" si="122"/>
        <v>0</v>
      </c>
      <c r="H236" s="809">
        <f t="shared" si="122"/>
        <v>0</v>
      </c>
      <c r="I236" s="577">
        <f t="shared" si="122"/>
        <v>0</v>
      </c>
      <c r="J236" s="577">
        <f t="shared" si="122"/>
        <v>0</v>
      </c>
      <c r="K236" s="578">
        <f t="shared" si="122"/>
        <v>0</v>
      </c>
      <c r="L236" s="578">
        <f t="shared" si="122"/>
        <v>0</v>
      </c>
      <c r="M236" s="578">
        <f t="shared" si="122"/>
        <v>0</v>
      </c>
      <c r="N236" s="577">
        <f t="shared" si="125"/>
        <v>0</v>
      </c>
      <c r="O236" s="577">
        <f t="shared" si="123"/>
        <v>0</v>
      </c>
      <c r="P236" s="579">
        <f t="shared" si="123"/>
        <v>0</v>
      </c>
      <c r="Q236" s="577">
        <f t="shared" si="123"/>
        <v>0</v>
      </c>
      <c r="Y236" s="804"/>
      <c r="Z236" s="804"/>
      <c r="AE236" s="804"/>
      <c r="AF236" s="804"/>
      <c r="AH236" s="804"/>
    </row>
    <row r="237" spans="1:34">
      <c r="A237" s="240" t="s">
        <v>146</v>
      </c>
      <c r="B237" s="240" t="s">
        <v>53</v>
      </c>
      <c r="C237" s="806">
        <f>IF(S$242&gt;0,(S237/S$242),0)</f>
        <v>0</v>
      </c>
      <c r="D237" s="806">
        <f t="shared" ref="D237:M242" si="126">IF(T$242&gt;0,(T237/T$242),0)</f>
        <v>0</v>
      </c>
      <c r="E237" s="806">
        <f t="shared" si="126"/>
        <v>0</v>
      </c>
      <c r="F237" s="806">
        <f t="shared" si="126"/>
        <v>0</v>
      </c>
      <c r="G237" s="806">
        <f t="shared" si="126"/>
        <v>0</v>
      </c>
      <c r="H237" s="806">
        <f t="shared" si="126"/>
        <v>0</v>
      </c>
      <c r="I237" s="613">
        <f t="shared" si="126"/>
        <v>0</v>
      </c>
      <c r="J237" s="613">
        <f t="shared" si="126"/>
        <v>0</v>
      </c>
      <c r="K237" s="614">
        <f t="shared" si="126"/>
        <v>0</v>
      </c>
      <c r="L237" s="614">
        <f t="shared" si="126"/>
        <v>0</v>
      </c>
      <c r="M237" s="614">
        <f t="shared" si="126"/>
        <v>0</v>
      </c>
      <c r="N237" s="613">
        <f>IF(AE$242&gt;0,(AE237/AE$242),0)</f>
        <v>0</v>
      </c>
      <c r="O237" s="613">
        <f t="shared" ref="O237:Q242" si="127">IF(AF$242&gt;0,(AF237/AF$242),0)</f>
        <v>0</v>
      </c>
      <c r="P237" s="615">
        <f t="shared" si="127"/>
        <v>0</v>
      </c>
      <c r="Q237" s="613">
        <f t="shared" si="127"/>
        <v>0</v>
      </c>
      <c r="R237" s="799"/>
      <c r="S237" s="798"/>
      <c r="T237" s="798"/>
      <c r="U237" s="798"/>
      <c r="V237" s="798"/>
      <c r="W237" s="798"/>
      <c r="X237" s="798"/>
      <c r="Y237" s="803"/>
      <c r="Z237" s="803"/>
      <c r="AA237" s="798"/>
      <c r="AB237" s="798"/>
      <c r="AC237" s="798"/>
      <c r="AD237" s="798"/>
      <c r="AE237" s="803"/>
      <c r="AF237" s="803"/>
      <c r="AG237" s="798"/>
      <c r="AH237" s="803"/>
    </row>
    <row r="238" spans="1:34">
      <c r="A238" s="239"/>
      <c r="B238" s="239" t="s">
        <v>93</v>
      </c>
      <c r="C238" s="806">
        <f t="shared" ref="C238:C242" si="128">IF(S$242&gt;0,(S238/S$242),0)</f>
        <v>0</v>
      </c>
      <c r="D238" s="806">
        <f t="shared" si="126"/>
        <v>0</v>
      </c>
      <c r="E238" s="806">
        <f t="shared" si="126"/>
        <v>0</v>
      </c>
      <c r="F238" s="806">
        <f t="shared" si="126"/>
        <v>0</v>
      </c>
      <c r="G238" s="806">
        <f t="shared" si="126"/>
        <v>0</v>
      </c>
      <c r="H238" s="806">
        <f t="shared" si="126"/>
        <v>0</v>
      </c>
      <c r="I238" s="624">
        <f t="shared" si="126"/>
        <v>0</v>
      </c>
      <c r="J238" s="624">
        <f t="shared" si="126"/>
        <v>0</v>
      </c>
      <c r="K238" s="625">
        <f t="shared" si="126"/>
        <v>0</v>
      </c>
      <c r="L238" s="625">
        <f t="shared" si="126"/>
        <v>0</v>
      </c>
      <c r="M238" s="625">
        <f t="shared" si="126"/>
        <v>0</v>
      </c>
      <c r="N238" s="624">
        <f t="shared" ref="N238:N242" si="129">IF(AE$242&gt;0,(AE238/AE$242),0)</f>
        <v>0</v>
      </c>
      <c r="O238" s="624">
        <f t="shared" si="127"/>
        <v>0</v>
      </c>
      <c r="P238" s="626">
        <f t="shared" si="127"/>
        <v>0</v>
      </c>
      <c r="Q238" s="624">
        <f t="shared" si="127"/>
        <v>0</v>
      </c>
      <c r="Y238" s="804"/>
      <c r="Z238" s="804"/>
      <c r="AE238" s="804"/>
      <c r="AF238" s="804"/>
      <c r="AH238" s="804"/>
    </row>
    <row r="239" spans="1:34">
      <c r="A239" s="239"/>
      <c r="B239" s="239" t="s">
        <v>55</v>
      </c>
      <c r="C239" s="806">
        <f t="shared" si="128"/>
        <v>0</v>
      </c>
      <c r="D239" s="806">
        <f t="shared" si="126"/>
        <v>0</v>
      </c>
      <c r="E239" s="806">
        <f t="shared" si="126"/>
        <v>0</v>
      </c>
      <c r="F239" s="806">
        <f t="shared" si="126"/>
        <v>0</v>
      </c>
      <c r="G239" s="806">
        <f t="shared" si="126"/>
        <v>0</v>
      </c>
      <c r="H239" s="806">
        <f t="shared" si="126"/>
        <v>0</v>
      </c>
      <c r="I239" s="624">
        <f t="shared" si="126"/>
        <v>0</v>
      </c>
      <c r="J239" s="624">
        <f t="shared" si="126"/>
        <v>0</v>
      </c>
      <c r="K239" s="625">
        <f t="shared" si="126"/>
        <v>0</v>
      </c>
      <c r="L239" s="625">
        <f t="shared" si="126"/>
        <v>0</v>
      </c>
      <c r="M239" s="625">
        <f t="shared" si="126"/>
        <v>0</v>
      </c>
      <c r="N239" s="624">
        <f t="shared" si="129"/>
        <v>0</v>
      </c>
      <c r="O239" s="624">
        <f t="shared" si="127"/>
        <v>0</v>
      </c>
      <c r="P239" s="626">
        <f t="shared" si="127"/>
        <v>0</v>
      </c>
      <c r="Q239" s="624">
        <f t="shared" si="127"/>
        <v>0</v>
      </c>
      <c r="Y239" s="804"/>
      <c r="Z239" s="804"/>
      <c r="AE239" s="804"/>
      <c r="AF239" s="804"/>
      <c r="AH239" s="804"/>
    </row>
    <row r="240" spans="1:34">
      <c r="A240" s="239"/>
      <c r="B240" s="239" t="s">
        <v>78</v>
      </c>
      <c r="C240" s="806">
        <f t="shared" si="128"/>
        <v>0</v>
      </c>
      <c r="D240" s="806">
        <f t="shared" si="126"/>
        <v>0</v>
      </c>
      <c r="E240" s="806">
        <f t="shared" si="126"/>
        <v>0</v>
      </c>
      <c r="F240" s="806">
        <f t="shared" si="126"/>
        <v>0</v>
      </c>
      <c r="G240" s="806">
        <f t="shared" si="126"/>
        <v>0</v>
      </c>
      <c r="H240" s="806">
        <f t="shared" si="126"/>
        <v>0</v>
      </c>
      <c r="I240" s="624">
        <f t="shared" si="126"/>
        <v>0</v>
      </c>
      <c r="J240" s="624">
        <f t="shared" si="126"/>
        <v>0</v>
      </c>
      <c r="K240" s="625">
        <f t="shared" si="126"/>
        <v>0</v>
      </c>
      <c r="L240" s="625">
        <f t="shared" si="126"/>
        <v>0</v>
      </c>
      <c r="M240" s="625">
        <f t="shared" si="126"/>
        <v>0</v>
      </c>
      <c r="N240" s="624">
        <f t="shared" si="129"/>
        <v>0</v>
      </c>
      <c r="O240" s="624">
        <f t="shared" si="127"/>
        <v>0</v>
      </c>
      <c r="P240" s="626">
        <f t="shared" si="127"/>
        <v>0</v>
      </c>
      <c r="Q240" s="624">
        <f t="shared" si="127"/>
        <v>0</v>
      </c>
      <c r="Y240" s="804"/>
      <c r="Z240" s="804"/>
      <c r="AE240" s="804"/>
      <c r="AF240" s="804"/>
      <c r="AH240" s="804"/>
    </row>
    <row r="241" spans="1:34">
      <c r="A241" s="580"/>
      <c r="B241" s="580" t="s">
        <v>131</v>
      </c>
      <c r="C241" s="806">
        <f t="shared" si="128"/>
        <v>0</v>
      </c>
      <c r="D241" s="806">
        <f t="shared" si="126"/>
        <v>0</v>
      </c>
      <c r="E241" s="806">
        <f t="shared" si="126"/>
        <v>0</v>
      </c>
      <c r="F241" s="806">
        <f t="shared" si="126"/>
        <v>0</v>
      </c>
      <c r="G241" s="806">
        <f t="shared" si="126"/>
        <v>0</v>
      </c>
      <c r="H241" s="806">
        <f t="shared" si="126"/>
        <v>0</v>
      </c>
      <c r="I241" s="624">
        <f t="shared" si="126"/>
        <v>0</v>
      </c>
      <c r="J241" s="624">
        <f t="shared" si="126"/>
        <v>0</v>
      </c>
      <c r="K241" s="625">
        <f t="shared" si="126"/>
        <v>0</v>
      </c>
      <c r="L241" s="625">
        <f t="shared" si="126"/>
        <v>0</v>
      </c>
      <c r="M241" s="625">
        <f t="shared" si="126"/>
        <v>0</v>
      </c>
      <c r="N241" s="624">
        <f t="shared" si="129"/>
        <v>0</v>
      </c>
      <c r="O241" s="624">
        <f t="shared" si="127"/>
        <v>0</v>
      </c>
      <c r="P241" s="626">
        <f t="shared" si="127"/>
        <v>0</v>
      </c>
      <c r="Q241" s="624">
        <f t="shared" si="127"/>
        <v>0</v>
      </c>
      <c r="Y241" s="804"/>
      <c r="Z241" s="804"/>
      <c r="AE241" s="804"/>
      <c r="AF241" s="804"/>
      <c r="AH241" s="804"/>
    </row>
    <row r="242" spans="1:34">
      <c r="A242" s="436"/>
      <c r="B242" s="436" t="s">
        <v>59</v>
      </c>
      <c r="C242" s="807">
        <f t="shared" si="128"/>
        <v>0</v>
      </c>
      <c r="D242" s="808">
        <f t="shared" si="126"/>
        <v>0</v>
      </c>
      <c r="E242" s="808">
        <f t="shared" si="126"/>
        <v>0</v>
      </c>
      <c r="F242" s="808">
        <f t="shared" si="126"/>
        <v>0</v>
      </c>
      <c r="G242" s="808">
        <f t="shared" si="126"/>
        <v>0</v>
      </c>
      <c r="H242" s="809">
        <f t="shared" si="126"/>
        <v>0</v>
      </c>
      <c r="I242" s="577">
        <f t="shared" si="126"/>
        <v>0</v>
      </c>
      <c r="J242" s="577">
        <f t="shared" si="126"/>
        <v>0</v>
      </c>
      <c r="K242" s="578">
        <f t="shared" si="126"/>
        <v>0</v>
      </c>
      <c r="L242" s="578">
        <f t="shared" si="126"/>
        <v>0</v>
      </c>
      <c r="M242" s="578">
        <f t="shared" si="126"/>
        <v>0</v>
      </c>
      <c r="N242" s="577">
        <f t="shared" si="129"/>
        <v>0</v>
      </c>
      <c r="O242" s="577">
        <f t="shared" si="127"/>
        <v>0</v>
      </c>
      <c r="P242" s="579">
        <f t="shared" si="127"/>
        <v>0</v>
      </c>
      <c r="Q242" s="577">
        <f t="shared" si="127"/>
        <v>0</v>
      </c>
      <c r="Y242" s="804"/>
      <c r="Z242" s="804"/>
      <c r="AE242" s="804"/>
      <c r="AF242" s="804"/>
      <c r="AH242" s="804"/>
    </row>
    <row r="243" spans="1:34">
      <c r="A243" s="240" t="s">
        <v>149</v>
      </c>
      <c r="B243" s="240" t="s">
        <v>53</v>
      </c>
      <c r="C243" s="806">
        <f>IF(S$248&gt;0,(S243/S$248),0)</f>
        <v>0</v>
      </c>
      <c r="D243" s="806">
        <f t="shared" ref="D243:M248" si="130">IF(T$248&gt;0,(T243/T$248),0)</f>
        <v>0</v>
      </c>
      <c r="E243" s="806">
        <f t="shared" si="130"/>
        <v>0</v>
      </c>
      <c r="F243" s="806">
        <f t="shared" si="130"/>
        <v>0</v>
      </c>
      <c r="G243" s="806">
        <f t="shared" si="130"/>
        <v>0</v>
      </c>
      <c r="H243" s="806">
        <f t="shared" si="130"/>
        <v>0</v>
      </c>
      <c r="I243" s="613">
        <f t="shared" si="130"/>
        <v>0</v>
      </c>
      <c r="J243" s="613">
        <f t="shared" si="130"/>
        <v>0</v>
      </c>
      <c r="K243" s="614">
        <f t="shared" si="130"/>
        <v>0</v>
      </c>
      <c r="L243" s="614">
        <f t="shared" si="130"/>
        <v>0</v>
      </c>
      <c r="M243" s="614">
        <f t="shared" si="130"/>
        <v>0</v>
      </c>
      <c r="N243" s="613">
        <f>IF(AE$248&gt;0,(AE243/AE$248),0)</f>
        <v>0</v>
      </c>
      <c r="O243" s="613">
        <f t="shared" ref="O243:Q248" si="131">IF(AF$248&gt;0,(AF243/AF$248),0)</f>
        <v>0</v>
      </c>
      <c r="P243" s="615">
        <f t="shared" si="131"/>
        <v>0</v>
      </c>
      <c r="Q243" s="613">
        <f t="shared" si="131"/>
        <v>0</v>
      </c>
      <c r="R243" s="799"/>
      <c r="S243" s="798"/>
      <c r="T243" s="798"/>
      <c r="U243" s="798"/>
      <c r="V243" s="798"/>
      <c r="W243" s="798"/>
      <c r="X243" s="798"/>
      <c r="Y243" s="803"/>
      <c r="Z243" s="803"/>
      <c r="AA243" s="798"/>
      <c r="AB243" s="798"/>
      <c r="AC243" s="798"/>
      <c r="AD243" s="798"/>
      <c r="AE243" s="803"/>
      <c r="AF243" s="803"/>
      <c r="AG243" s="798"/>
      <c r="AH243" s="803"/>
    </row>
    <row r="244" spans="1:34">
      <c r="A244" s="239"/>
      <c r="B244" s="239" t="s">
        <v>93</v>
      </c>
      <c r="C244" s="806">
        <f t="shared" ref="C244:C248" si="132">IF(S$248&gt;0,(S244/S$248),0)</f>
        <v>0</v>
      </c>
      <c r="D244" s="806">
        <f t="shared" si="130"/>
        <v>0</v>
      </c>
      <c r="E244" s="806">
        <f t="shared" si="130"/>
        <v>0</v>
      </c>
      <c r="F244" s="806">
        <f t="shared" si="130"/>
        <v>0</v>
      </c>
      <c r="G244" s="806">
        <f t="shared" si="130"/>
        <v>0</v>
      </c>
      <c r="H244" s="806">
        <f t="shared" si="130"/>
        <v>0</v>
      </c>
      <c r="I244" s="624">
        <f t="shared" si="130"/>
        <v>0</v>
      </c>
      <c r="J244" s="624">
        <f t="shared" si="130"/>
        <v>0</v>
      </c>
      <c r="K244" s="625">
        <f t="shared" si="130"/>
        <v>0</v>
      </c>
      <c r="L244" s="625">
        <f t="shared" si="130"/>
        <v>0</v>
      </c>
      <c r="M244" s="625">
        <f t="shared" si="130"/>
        <v>0</v>
      </c>
      <c r="N244" s="624">
        <f t="shared" ref="N244:N248" si="133">IF(AE$248&gt;0,(AE244/AE$248),0)</f>
        <v>0</v>
      </c>
      <c r="O244" s="624">
        <f t="shared" si="131"/>
        <v>0</v>
      </c>
      <c r="P244" s="626">
        <f t="shared" si="131"/>
        <v>0</v>
      </c>
      <c r="Q244" s="624">
        <f t="shared" si="131"/>
        <v>0</v>
      </c>
      <c r="Y244" s="804"/>
      <c r="Z244" s="804"/>
      <c r="AE244" s="804"/>
      <c r="AF244" s="804"/>
      <c r="AH244" s="804"/>
    </row>
    <row r="245" spans="1:34">
      <c r="A245" s="239"/>
      <c r="B245" s="239" t="s">
        <v>55</v>
      </c>
      <c r="C245" s="806">
        <f t="shared" si="132"/>
        <v>0</v>
      </c>
      <c r="D245" s="806">
        <f t="shared" si="130"/>
        <v>0</v>
      </c>
      <c r="E245" s="806">
        <f t="shared" si="130"/>
        <v>0</v>
      </c>
      <c r="F245" s="806">
        <f t="shared" si="130"/>
        <v>0</v>
      </c>
      <c r="G245" s="806">
        <f t="shared" si="130"/>
        <v>0</v>
      </c>
      <c r="H245" s="806">
        <f t="shared" si="130"/>
        <v>0</v>
      </c>
      <c r="I245" s="624">
        <f t="shared" si="130"/>
        <v>0</v>
      </c>
      <c r="J245" s="624">
        <f t="shared" si="130"/>
        <v>0</v>
      </c>
      <c r="K245" s="625">
        <f t="shared" si="130"/>
        <v>0</v>
      </c>
      <c r="L245" s="625">
        <f t="shared" si="130"/>
        <v>0</v>
      </c>
      <c r="M245" s="625">
        <f t="shared" si="130"/>
        <v>0</v>
      </c>
      <c r="N245" s="624">
        <f t="shared" si="133"/>
        <v>0</v>
      </c>
      <c r="O245" s="624">
        <f t="shared" si="131"/>
        <v>0</v>
      </c>
      <c r="P245" s="626">
        <f t="shared" si="131"/>
        <v>0</v>
      </c>
      <c r="Q245" s="624">
        <f t="shared" si="131"/>
        <v>0</v>
      </c>
      <c r="Y245" s="804"/>
      <c r="Z245" s="804"/>
      <c r="AE245" s="804"/>
      <c r="AF245" s="804"/>
      <c r="AH245" s="804"/>
    </row>
    <row r="246" spans="1:34">
      <c r="A246" s="239"/>
      <c r="B246" s="239" t="s">
        <v>78</v>
      </c>
      <c r="C246" s="806">
        <f t="shared" si="132"/>
        <v>0</v>
      </c>
      <c r="D246" s="806">
        <f t="shared" si="130"/>
        <v>0</v>
      </c>
      <c r="E246" s="806">
        <f t="shared" si="130"/>
        <v>0</v>
      </c>
      <c r="F246" s="806">
        <f t="shared" si="130"/>
        <v>0</v>
      </c>
      <c r="G246" s="806">
        <f t="shared" si="130"/>
        <v>0</v>
      </c>
      <c r="H246" s="806">
        <f t="shared" si="130"/>
        <v>0</v>
      </c>
      <c r="I246" s="624">
        <f t="shared" si="130"/>
        <v>0</v>
      </c>
      <c r="J246" s="624">
        <f t="shared" si="130"/>
        <v>0</v>
      </c>
      <c r="K246" s="625">
        <f t="shared" si="130"/>
        <v>0</v>
      </c>
      <c r="L246" s="625">
        <f t="shared" si="130"/>
        <v>0</v>
      </c>
      <c r="M246" s="625">
        <f t="shared" si="130"/>
        <v>0</v>
      </c>
      <c r="N246" s="624">
        <f t="shared" si="133"/>
        <v>0</v>
      </c>
      <c r="O246" s="624">
        <f t="shared" si="131"/>
        <v>0</v>
      </c>
      <c r="P246" s="626">
        <f t="shared" si="131"/>
        <v>0</v>
      </c>
      <c r="Q246" s="624">
        <f t="shared" si="131"/>
        <v>0</v>
      </c>
      <c r="Y246" s="804"/>
      <c r="Z246" s="804"/>
      <c r="AE246" s="804"/>
      <c r="AF246" s="804"/>
      <c r="AH246" s="804"/>
    </row>
    <row r="247" spans="1:34">
      <c r="A247" s="580"/>
      <c r="B247" s="580" t="s">
        <v>131</v>
      </c>
      <c r="C247" s="806">
        <f t="shared" si="132"/>
        <v>0</v>
      </c>
      <c r="D247" s="806">
        <f t="shared" si="130"/>
        <v>0</v>
      </c>
      <c r="E247" s="806">
        <f t="shared" si="130"/>
        <v>0</v>
      </c>
      <c r="F247" s="806">
        <f t="shared" si="130"/>
        <v>0</v>
      </c>
      <c r="G247" s="806">
        <f t="shared" si="130"/>
        <v>0</v>
      </c>
      <c r="H247" s="806">
        <f t="shared" si="130"/>
        <v>0</v>
      </c>
      <c r="I247" s="624">
        <f t="shared" si="130"/>
        <v>0</v>
      </c>
      <c r="J247" s="624">
        <f t="shared" si="130"/>
        <v>0</v>
      </c>
      <c r="K247" s="625">
        <f t="shared" si="130"/>
        <v>0</v>
      </c>
      <c r="L247" s="625">
        <f t="shared" si="130"/>
        <v>0</v>
      </c>
      <c r="M247" s="625">
        <f t="shared" si="130"/>
        <v>0</v>
      </c>
      <c r="N247" s="624">
        <f t="shared" si="133"/>
        <v>0</v>
      </c>
      <c r="O247" s="624">
        <f t="shared" si="131"/>
        <v>0</v>
      </c>
      <c r="P247" s="626">
        <f t="shared" si="131"/>
        <v>0</v>
      </c>
      <c r="Q247" s="624">
        <f t="shared" si="131"/>
        <v>0</v>
      </c>
      <c r="Y247" s="804"/>
      <c r="Z247" s="804"/>
      <c r="AE247" s="804"/>
      <c r="AF247" s="804"/>
      <c r="AH247" s="804"/>
    </row>
    <row r="248" spans="1:34">
      <c r="A248" s="436"/>
      <c r="B248" s="436" t="s">
        <v>59</v>
      </c>
      <c r="C248" s="807">
        <f t="shared" si="132"/>
        <v>0</v>
      </c>
      <c r="D248" s="808">
        <f t="shared" si="130"/>
        <v>0</v>
      </c>
      <c r="E248" s="808">
        <f t="shared" si="130"/>
        <v>0</v>
      </c>
      <c r="F248" s="808">
        <f t="shared" si="130"/>
        <v>0</v>
      </c>
      <c r="G248" s="808">
        <f t="shared" si="130"/>
        <v>0</v>
      </c>
      <c r="H248" s="809">
        <f t="shared" si="130"/>
        <v>0</v>
      </c>
      <c r="I248" s="577">
        <f t="shared" si="130"/>
        <v>0</v>
      </c>
      <c r="J248" s="577">
        <f t="shared" si="130"/>
        <v>0</v>
      </c>
      <c r="K248" s="578">
        <f t="shared" si="130"/>
        <v>0</v>
      </c>
      <c r="L248" s="578">
        <f t="shared" si="130"/>
        <v>0</v>
      </c>
      <c r="M248" s="578">
        <f t="shared" si="130"/>
        <v>0</v>
      </c>
      <c r="N248" s="577">
        <f t="shared" si="133"/>
        <v>0</v>
      </c>
      <c r="O248" s="577">
        <f t="shared" si="131"/>
        <v>0</v>
      </c>
      <c r="P248" s="579">
        <f t="shared" si="131"/>
        <v>0</v>
      </c>
      <c r="Q248" s="577">
        <f t="shared" si="131"/>
        <v>0</v>
      </c>
      <c r="Y248" s="804"/>
      <c r="Z248" s="804"/>
      <c r="AE248" s="804"/>
      <c r="AF248" s="804"/>
      <c r="AH248" s="804"/>
    </row>
    <row r="249" spans="1:34">
      <c r="A249" s="240" t="s">
        <v>150</v>
      </c>
      <c r="B249" s="240" t="s">
        <v>53</v>
      </c>
      <c r="C249" s="806">
        <f>IF(S$254&gt;0,(S249/S$254),0)</f>
        <v>0</v>
      </c>
      <c r="D249" s="806">
        <f t="shared" ref="D249:M254" si="134">IF(T$254&gt;0,(T249/T$254),0)</f>
        <v>0</v>
      </c>
      <c r="E249" s="806">
        <f t="shared" si="134"/>
        <v>0</v>
      </c>
      <c r="F249" s="806">
        <f t="shared" si="134"/>
        <v>0</v>
      </c>
      <c r="G249" s="806">
        <f t="shared" si="134"/>
        <v>0</v>
      </c>
      <c r="H249" s="806">
        <f t="shared" si="134"/>
        <v>0</v>
      </c>
      <c r="I249" s="613">
        <f t="shared" si="134"/>
        <v>0</v>
      </c>
      <c r="J249" s="613">
        <f t="shared" si="134"/>
        <v>0</v>
      </c>
      <c r="K249" s="614">
        <f t="shared" si="134"/>
        <v>0</v>
      </c>
      <c r="L249" s="614">
        <f t="shared" si="134"/>
        <v>0</v>
      </c>
      <c r="M249" s="614">
        <f t="shared" si="134"/>
        <v>0</v>
      </c>
      <c r="N249" s="613">
        <f>IF(AE$254&gt;0,(AE249/AE$254),0)</f>
        <v>0</v>
      </c>
      <c r="O249" s="613">
        <f t="shared" ref="O249:Q254" si="135">IF(AF$254&gt;0,(AF249/AF$254),0)</f>
        <v>0</v>
      </c>
      <c r="P249" s="615">
        <f t="shared" si="135"/>
        <v>0</v>
      </c>
      <c r="Q249" s="613">
        <f t="shared" si="135"/>
        <v>0</v>
      </c>
      <c r="R249" s="799"/>
      <c r="S249" s="798"/>
      <c r="T249" s="798"/>
      <c r="U249" s="798"/>
      <c r="V249" s="798"/>
      <c r="W249" s="798"/>
      <c r="X249" s="798"/>
      <c r="Y249" s="803"/>
      <c r="Z249" s="803"/>
      <c r="AA249" s="798"/>
      <c r="AB249" s="798"/>
      <c r="AC249" s="798"/>
      <c r="AD249" s="798"/>
      <c r="AE249" s="803"/>
      <c r="AF249" s="803"/>
      <c r="AG249" s="798"/>
      <c r="AH249" s="803"/>
    </row>
    <row r="250" spans="1:34">
      <c r="A250" s="239"/>
      <c r="B250" s="239" t="s">
        <v>93</v>
      </c>
      <c r="C250" s="806">
        <f t="shared" ref="C250:C254" si="136">IF(S$254&gt;0,(S250/S$254),0)</f>
        <v>0</v>
      </c>
      <c r="D250" s="806">
        <f t="shared" si="134"/>
        <v>0</v>
      </c>
      <c r="E250" s="806">
        <f t="shared" si="134"/>
        <v>0</v>
      </c>
      <c r="F250" s="806">
        <f t="shared" si="134"/>
        <v>0</v>
      </c>
      <c r="G250" s="806">
        <f t="shared" si="134"/>
        <v>0</v>
      </c>
      <c r="H250" s="806">
        <f t="shared" si="134"/>
        <v>0</v>
      </c>
      <c r="I250" s="624">
        <f t="shared" si="134"/>
        <v>0</v>
      </c>
      <c r="J250" s="624">
        <f t="shared" si="134"/>
        <v>0</v>
      </c>
      <c r="K250" s="625">
        <f t="shared" si="134"/>
        <v>0</v>
      </c>
      <c r="L250" s="625">
        <f t="shared" si="134"/>
        <v>0</v>
      </c>
      <c r="M250" s="625">
        <f t="shared" si="134"/>
        <v>0</v>
      </c>
      <c r="N250" s="624">
        <f t="shared" ref="N250:N254" si="137">IF(AE$254&gt;0,(AE250/AE$254),0)</f>
        <v>0</v>
      </c>
      <c r="O250" s="624">
        <f t="shared" si="135"/>
        <v>0</v>
      </c>
      <c r="P250" s="626">
        <f t="shared" si="135"/>
        <v>0</v>
      </c>
      <c r="Q250" s="624">
        <f t="shared" si="135"/>
        <v>0</v>
      </c>
      <c r="Y250" s="804"/>
      <c r="Z250" s="804"/>
      <c r="AE250" s="804"/>
      <c r="AF250" s="804"/>
      <c r="AH250" s="804"/>
    </row>
    <row r="251" spans="1:34">
      <c r="A251" s="239"/>
      <c r="B251" s="239" t="s">
        <v>55</v>
      </c>
      <c r="C251" s="806">
        <f t="shared" si="136"/>
        <v>0</v>
      </c>
      <c r="D251" s="806">
        <f t="shared" si="134"/>
        <v>0</v>
      </c>
      <c r="E251" s="806">
        <f t="shared" si="134"/>
        <v>0</v>
      </c>
      <c r="F251" s="806">
        <f t="shared" si="134"/>
        <v>0</v>
      </c>
      <c r="G251" s="806">
        <f t="shared" si="134"/>
        <v>0</v>
      </c>
      <c r="H251" s="806">
        <f t="shared" si="134"/>
        <v>0</v>
      </c>
      <c r="I251" s="624">
        <f t="shared" si="134"/>
        <v>0</v>
      </c>
      <c r="J251" s="624">
        <f t="shared" si="134"/>
        <v>0</v>
      </c>
      <c r="K251" s="625">
        <f t="shared" si="134"/>
        <v>0</v>
      </c>
      <c r="L251" s="625">
        <f t="shared" si="134"/>
        <v>0</v>
      </c>
      <c r="M251" s="625">
        <f t="shared" si="134"/>
        <v>0</v>
      </c>
      <c r="N251" s="624">
        <f t="shared" si="137"/>
        <v>0</v>
      </c>
      <c r="O251" s="624">
        <f t="shared" si="135"/>
        <v>0</v>
      </c>
      <c r="P251" s="626">
        <f t="shared" si="135"/>
        <v>0</v>
      </c>
      <c r="Q251" s="624">
        <f t="shared" si="135"/>
        <v>0</v>
      </c>
      <c r="Y251" s="804"/>
      <c r="Z251" s="804"/>
      <c r="AE251" s="804"/>
      <c r="AF251" s="804"/>
      <c r="AH251" s="804"/>
    </row>
    <row r="252" spans="1:34">
      <c r="A252" s="239"/>
      <c r="B252" s="239" t="s">
        <v>78</v>
      </c>
      <c r="C252" s="806">
        <f t="shared" si="136"/>
        <v>0</v>
      </c>
      <c r="D252" s="806">
        <f t="shared" si="134"/>
        <v>0</v>
      </c>
      <c r="E252" s="806">
        <f t="shared" si="134"/>
        <v>0</v>
      </c>
      <c r="F252" s="806">
        <f t="shared" si="134"/>
        <v>0</v>
      </c>
      <c r="G252" s="806">
        <f t="shared" si="134"/>
        <v>0</v>
      </c>
      <c r="H252" s="806">
        <f t="shared" si="134"/>
        <v>0</v>
      </c>
      <c r="I252" s="624">
        <f t="shared" si="134"/>
        <v>0</v>
      </c>
      <c r="J252" s="624">
        <f t="shared" si="134"/>
        <v>0</v>
      </c>
      <c r="K252" s="625">
        <f t="shared" si="134"/>
        <v>0</v>
      </c>
      <c r="L252" s="625">
        <f t="shared" si="134"/>
        <v>0</v>
      </c>
      <c r="M252" s="625">
        <f t="shared" si="134"/>
        <v>0</v>
      </c>
      <c r="N252" s="624">
        <f t="shared" si="137"/>
        <v>0</v>
      </c>
      <c r="O252" s="624">
        <f t="shared" si="135"/>
        <v>0</v>
      </c>
      <c r="P252" s="626">
        <f t="shared" si="135"/>
        <v>0</v>
      </c>
      <c r="Q252" s="624">
        <f t="shared" si="135"/>
        <v>0</v>
      </c>
      <c r="Y252" s="804"/>
      <c r="Z252" s="804"/>
      <c r="AE252" s="804"/>
      <c r="AF252" s="804"/>
      <c r="AH252" s="804"/>
    </row>
    <row r="253" spans="1:34">
      <c r="A253" s="580"/>
      <c r="B253" s="580" t="s">
        <v>131</v>
      </c>
      <c r="C253" s="806">
        <f t="shared" si="136"/>
        <v>0</v>
      </c>
      <c r="D253" s="806">
        <f t="shared" si="134"/>
        <v>0</v>
      </c>
      <c r="E253" s="806">
        <f t="shared" si="134"/>
        <v>0</v>
      </c>
      <c r="F253" s="806">
        <f t="shared" si="134"/>
        <v>0</v>
      </c>
      <c r="G253" s="806">
        <f t="shared" si="134"/>
        <v>0</v>
      </c>
      <c r="H253" s="806">
        <f t="shared" si="134"/>
        <v>0</v>
      </c>
      <c r="I253" s="624">
        <f t="shared" si="134"/>
        <v>0</v>
      </c>
      <c r="J253" s="624">
        <f t="shared" si="134"/>
        <v>0</v>
      </c>
      <c r="K253" s="625">
        <f t="shared" si="134"/>
        <v>0</v>
      </c>
      <c r="L253" s="625">
        <f t="shared" si="134"/>
        <v>0</v>
      </c>
      <c r="M253" s="625">
        <f t="shared" si="134"/>
        <v>0</v>
      </c>
      <c r="N253" s="624">
        <f t="shared" si="137"/>
        <v>0</v>
      </c>
      <c r="O253" s="624">
        <f t="shared" si="135"/>
        <v>0</v>
      </c>
      <c r="P253" s="626">
        <f t="shared" si="135"/>
        <v>0</v>
      </c>
      <c r="Q253" s="624">
        <f t="shared" si="135"/>
        <v>0</v>
      </c>
      <c r="Y253" s="804"/>
      <c r="Z253" s="804"/>
      <c r="AE253" s="804"/>
      <c r="AF253" s="804"/>
      <c r="AH253" s="804"/>
    </row>
    <row r="254" spans="1:34">
      <c r="A254" s="436"/>
      <c r="B254" s="436" t="s">
        <v>59</v>
      </c>
      <c r="C254" s="807">
        <f t="shared" si="136"/>
        <v>0</v>
      </c>
      <c r="D254" s="808">
        <f t="shared" si="134"/>
        <v>0</v>
      </c>
      <c r="E254" s="808">
        <f t="shared" si="134"/>
        <v>0</v>
      </c>
      <c r="F254" s="808">
        <f t="shared" si="134"/>
        <v>0</v>
      </c>
      <c r="G254" s="808">
        <f t="shared" si="134"/>
        <v>0</v>
      </c>
      <c r="H254" s="809">
        <f t="shared" si="134"/>
        <v>0</v>
      </c>
      <c r="I254" s="577">
        <f t="shared" si="134"/>
        <v>0</v>
      </c>
      <c r="J254" s="577">
        <f t="shared" si="134"/>
        <v>0</v>
      </c>
      <c r="K254" s="578">
        <f t="shared" si="134"/>
        <v>0</v>
      </c>
      <c r="L254" s="578">
        <f t="shared" si="134"/>
        <v>0</v>
      </c>
      <c r="M254" s="578">
        <f t="shared" si="134"/>
        <v>0</v>
      </c>
      <c r="N254" s="577">
        <f t="shared" si="137"/>
        <v>0</v>
      </c>
      <c r="O254" s="577">
        <f t="shared" si="135"/>
        <v>0</v>
      </c>
      <c r="P254" s="579">
        <f t="shared" si="135"/>
        <v>0</v>
      </c>
      <c r="Q254" s="577">
        <f t="shared" si="135"/>
        <v>0</v>
      </c>
      <c r="Y254" s="804"/>
      <c r="Z254" s="804"/>
      <c r="AE254" s="804"/>
      <c r="AF254" s="804"/>
      <c r="AH254" s="804"/>
    </row>
    <row r="255" spans="1:34">
      <c r="A255" s="240" t="s">
        <v>151</v>
      </c>
      <c r="B255" s="240" t="s">
        <v>53</v>
      </c>
      <c r="C255" s="806">
        <f>IF(S$260&gt;0,(S255/S$260),0)</f>
        <v>0</v>
      </c>
      <c r="D255" s="806">
        <f t="shared" ref="D255:M260" si="138">IF(T$260&gt;0,(T255/T$260),0)</f>
        <v>0</v>
      </c>
      <c r="E255" s="806">
        <f t="shared" si="138"/>
        <v>0</v>
      </c>
      <c r="F255" s="806">
        <f t="shared" si="138"/>
        <v>0</v>
      </c>
      <c r="G255" s="806">
        <f t="shared" si="138"/>
        <v>0</v>
      </c>
      <c r="H255" s="806">
        <f t="shared" si="138"/>
        <v>0</v>
      </c>
      <c r="I255" s="613">
        <f t="shared" si="138"/>
        <v>0</v>
      </c>
      <c r="J255" s="613">
        <f t="shared" si="138"/>
        <v>0</v>
      </c>
      <c r="K255" s="614">
        <f t="shared" si="138"/>
        <v>0</v>
      </c>
      <c r="L255" s="614">
        <f t="shared" si="138"/>
        <v>0</v>
      </c>
      <c r="M255" s="614">
        <f t="shared" si="138"/>
        <v>0</v>
      </c>
      <c r="N255" s="613">
        <f>IF(AE$260&gt;0,(AE255/AE$260),0)</f>
        <v>0</v>
      </c>
      <c r="O255" s="613">
        <f t="shared" ref="O255:Q260" si="139">IF(AF$260&gt;0,(AF255/AF$260),0)</f>
        <v>0</v>
      </c>
      <c r="P255" s="615">
        <f t="shared" si="139"/>
        <v>0</v>
      </c>
      <c r="Q255" s="613">
        <f t="shared" si="139"/>
        <v>0</v>
      </c>
      <c r="R255" s="799"/>
      <c r="S255" s="798"/>
      <c r="T255" s="798"/>
      <c r="U255" s="798"/>
      <c r="V255" s="798"/>
      <c r="W255" s="798"/>
      <c r="X255" s="798"/>
      <c r="Y255" s="803"/>
      <c r="Z255" s="803"/>
      <c r="AA255" s="798"/>
      <c r="AB255" s="798"/>
      <c r="AC255" s="798"/>
      <c r="AD255" s="798"/>
      <c r="AE255" s="803"/>
      <c r="AF255" s="803"/>
      <c r="AG255" s="798"/>
      <c r="AH255" s="803"/>
    </row>
    <row r="256" spans="1:34">
      <c r="A256" s="239"/>
      <c r="B256" s="239" t="s">
        <v>93</v>
      </c>
      <c r="C256" s="806">
        <f t="shared" ref="C256:C260" si="140">IF(S$260&gt;0,(S256/S$260),0)</f>
        <v>0</v>
      </c>
      <c r="D256" s="806">
        <f t="shared" si="138"/>
        <v>0</v>
      </c>
      <c r="E256" s="806">
        <f t="shared" si="138"/>
        <v>0</v>
      </c>
      <c r="F256" s="806">
        <f t="shared" si="138"/>
        <v>0</v>
      </c>
      <c r="G256" s="806">
        <f t="shared" si="138"/>
        <v>0</v>
      </c>
      <c r="H256" s="806">
        <f t="shared" si="138"/>
        <v>0</v>
      </c>
      <c r="I256" s="624">
        <f t="shared" si="138"/>
        <v>0</v>
      </c>
      <c r="J256" s="624">
        <f t="shared" si="138"/>
        <v>0</v>
      </c>
      <c r="K256" s="625">
        <f t="shared" si="138"/>
        <v>0</v>
      </c>
      <c r="L256" s="625">
        <f t="shared" si="138"/>
        <v>0</v>
      </c>
      <c r="M256" s="625">
        <f t="shared" si="138"/>
        <v>0</v>
      </c>
      <c r="N256" s="624">
        <f t="shared" ref="N256:N260" si="141">IF(AE$260&gt;0,(AE256/AE$260),0)</f>
        <v>0</v>
      </c>
      <c r="O256" s="624">
        <f t="shared" si="139"/>
        <v>0</v>
      </c>
      <c r="P256" s="626">
        <f t="shared" si="139"/>
        <v>0</v>
      </c>
      <c r="Q256" s="624">
        <f t="shared" si="139"/>
        <v>0</v>
      </c>
      <c r="Y256" s="804"/>
      <c r="Z256" s="804"/>
      <c r="AE256" s="804"/>
      <c r="AF256" s="804"/>
      <c r="AH256" s="804"/>
    </row>
    <row r="257" spans="1:34">
      <c r="A257" s="239"/>
      <c r="B257" s="239" t="s">
        <v>55</v>
      </c>
      <c r="C257" s="806">
        <f t="shared" si="140"/>
        <v>0</v>
      </c>
      <c r="D257" s="806">
        <f t="shared" si="138"/>
        <v>0</v>
      </c>
      <c r="E257" s="806">
        <f t="shared" si="138"/>
        <v>0</v>
      </c>
      <c r="F257" s="806">
        <f t="shared" si="138"/>
        <v>0</v>
      </c>
      <c r="G257" s="806">
        <f t="shared" si="138"/>
        <v>0</v>
      </c>
      <c r="H257" s="806">
        <f t="shared" si="138"/>
        <v>0</v>
      </c>
      <c r="I257" s="624">
        <f t="shared" si="138"/>
        <v>0</v>
      </c>
      <c r="J257" s="624">
        <f t="shared" si="138"/>
        <v>0</v>
      </c>
      <c r="K257" s="625">
        <f t="shared" si="138"/>
        <v>0</v>
      </c>
      <c r="L257" s="625">
        <f t="shared" si="138"/>
        <v>0</v>
      </c>
      <c r="M257" s="625">
        <f t="shared" si="138"/>
        <v>0</v>
      </c>
      <c r="N257" s="624">
        <f t="shared" si="141"/>
        <v>0</v>
      </c>
      <c r="O257" s="624">
        <f t="shared" si="139"/>
        <v>0</v>
      </c>
      <c r="P257" s="626">
        <f t="shared" si="139"/>
        <v>0</v>
      </c>
      <c r="Q257" s="624">
        <f t="shared" si="139"/>
        <v>0</v>
      </c>
      <c r="Y257" s="804"/>
      <c r="Z257" s="804"/>
      <c r="AE257" s="804"/>
      <c r="AF257" s="804"/>
      <c r="AH257" s="804"/>
    </row>
    <row r="258" spans="1:34">
      <c r="A258" s="239"/>
      <c r="B258" s="239" t="s">
        <v>78</v>
      </c>
      <c r="C258" s="806">
        <f t="shared" si="140"/>
        <v>0</v>
      </c>
      <c r="D258" s="806">
        <f t="shared" si="138"/>
        <v>0</v>
      </c>
      <c r="E258" s="806">
        <f t="shared" si="138"/>
        <v>0</v>
      </c>
      <c r="F258" s="806">
        <f t="shared" si="138"/>
        <v>0</v>
      </c>
      <c r="G258" s="806">
        <f t="shared" si="138"/>
        <v>0</v>
      </c>
      <c r="H258" s="806">
        <f t="shared" si="138"/>
        <v>0</v>
      </c>
      <c r="I258" s="624">
        <f t="shared" si="138"/>
        <v>0</v>
      </c>
      <c r="J258" s="624">
        <f t="shared" si="138"/>
        <v>0</v>
      </c>
      <c r="K258" s="625">
        <f t="shared" si="138"/>
        <v>0</v>
      </c>
      <c r="L258" s="625">
        <f t="shared" si="138"/>
        <v>0</v>
      </c>
      <c r="M258" s="625">
        <f t="shared" si="138"/>
        <v>0</v>
      </c>
      <c r="N258" s="624">
        <f t="shared" si="141"/>
        <v>0</v>
      </c>
      <c r="O258" s="624">
        <f t="shared" si="139"/>
        <v>0</v>
      </c>
      <c r="P258" s="626">
        <f t="shared" si="139"/>
        <v>0</v>
      </c>
      <c r="Q258" s="624">
        <f t="shared" si="139"/>
        <v>0</v>
      </c>
      <c r="Y258" s="804"/>
      <c r="Z258" s="804"/>
      <c r="AE258" s="804"/>
      <c r="AF258" s="804"/>
      <c r="AH258" s="804"/>
    </row>
    <row r="259" spans="1:34">
      <c r="A259" s="580"/>
      <c r="B259" s="580" t="s">
        <v>131</v>
      </c>
      <c r="C259" s="806">
        <f t="shared" si="140"/>
        <v>0</v>
      </c>
      <c r="D259" s="806">
        <f t="shared" si="138"/>
        <v>0</v>
      </c>
      <c r="E259" s="806">
        <f t="shared" si="138"/>
        <v>0</v>
      </c>
      <c r="F259" s="806">
        <f t="shared" si="138"/>
        <v>0</v>
      </c>
      <c r="G259" s="806">
        <f t="shared" si="138"/>
        <v>0</v>
      </c>
      <c r="H259" s="806">
        <f t="shared" si="138"/>
        <v>0</v>
      </c>
      <c r="I259" s="624">
        <f t="shared" si="138"/>
        <v>0</v>
      </c>
      <c r="J259" s="624">
        <f t="shared" si="138"/>
        <v>0</v>
      </c>
      <c r="K259" s="625">
        <f t="shared" si="138"/>
        <v>0</v>
      </c>
      <c r="L259" s="625">
        <f t="shared" si="138"/>
        <v>0</v>
      </c>
      <c r="M259" s="625">
        <f t="shared" si="138"/>
        <v>0</v>
      </c>
      <c r="N259" s="624">
        <f t="shared" si="141"/>
        <v>0</v>
      </c>
      <c r="O259" s="624">
        <f t="shared" si="139"/>
        <v>0</v>
      </c>
      <c r="P259" s="626">
        <f t="shared" si="139"/>
        <v>0</v>
      </c>
      <c r="Q259" s="624">
        <f t="shared" si="139"/>
        <v>0</v>
      </c>
      <c r="Y259" s="804"/>
      <c r="Z259" s="804"/>
      <c r="AE259" s="804"/>
      <c r="AF259" s="804"/>
      <c r="AH259" s="804"/>
    </row>
    <row r="260" spans="1:34">
      <c r="A260" s="436"/>
      <c r="B260" s="436" t="s">
        <v>59</v>
      </c>
      <c r="C260" s="807">
        <f t="shared" si="140"/>
        <v>0</v>
      </c>
      <c r="D260" s="808">
        <f t="shared" si="138"/>
        <v>0</v>
      </c>
      <c r="E260" s="808">
        <f t="shared" si="138"/>
        <v>0</v>
      </c>
      <c r="F260" s="808">
        <f t="shared" si="138"/>
        <v>0</v>
      </c>
      <c r="G260" s="808">
        <f t="shared" si="138"/>
        <v>0</v>
      </c>
      <c r="H260" s="809">
        <f t="shared" si="138"/>
        <v>0</v>
      </c>
      <c r="I260" s="577">
        <f t="shared" si="138"/>
        <v>0</v>
      </c>
      <c r="J260" s="577">
        <f t="shared" si="138"/>
        <v>0</v>
      </c>
      <c r="K260" s="578">
        <f t="shared" si="138"/>
        <v>0</v>
      </c>
      <c r="L260" s="578">
        <f t="shared" si="138"/>
        <v>0</v>
      </c>
      <c r="M260" s="578">
        <f t="shared" si="138"/>
        <v>0</v>
      </c>
      <c r="N260" s="577">
        <f t="shared" si="141"/>
        <v>0</v>
      </c>
      <c r="O260" s="577">
        <f t="shared" si="139"/>
        <v>0</v>
      </c>
      <c r="P260" s="579">
        <f t="shared" si="139"/>
        <v>0</v>
      </c>
      <c r="Q260" s="577">
        <f t="shared" si="139"/>
        <v>0</v>
      </c>
      <c r="Y260" s="804"/>
      <c r="Z260" s="804"/>
      <c r="AE260" s="804"/>
      <c r="AF260" s="804"/>
      <c r="AH260" s="804"/>
    </row>
    <row r="261" spans="1:34">
      <c r="A261" s="240" t="s">
        <v>154</v>
      </c>
      <c r="B261" s="240" t="s">
        <v>53</v>
      </c>
      <c r="C261" s="806">
        <f>IF(S$266&gt;0,(S261/S$266),0)</f>
        <v>0</v>
      </c>
      <c r="D261" s="806">
        <f t="shared" ref="D261:M266" si="142">IF(T$266&gt;0,(T261/T$266),0)</f>
        <v>0</v>
      </c>
      <c r="E261" s="806">
        <f t="shared" si="142"/>
        <v>0</v>
      </c>
      <c r="F261" s="806">
        <f t="shared" si="142"/>
        <v>0</v>
      </c>
      <c r="G261" s="806">
        <f t="shared" si="142"/>
        <v>0</v>
      </c>
      <c r="H261" s="806">
        <f t="shared" si="142"/>
        <v>0</v>
      </c>
      <c r="I261" s="613">
        <f t="shared" si="142"/>
        <v>0</v>
      </c>
      <c r="J261" s="613">
        <f t="shared" si="142"/>
        <v>0</v>
      </c>
      <c r="K261" s="614">
        <f t="shared" si="142"/>
        <v>0</v>
      </c>
      <c r="L261" s="614">
        <f t="shared" si="142"/>
        <v>0</v>
      </c>
      <c r="M261" s="614">
        <f t="shared" si="142"/>
        <v>0</v>
      </c>
      <c r="N261" s="613">
        <f>IF(AE$266&gt;0,(AE261/AE$266),0)</f>
        <v>0</v>
      </c>
      <c r="O261" s="613">
        <f t="shared" ref="O261:Q266" si="143">IF(AF$266&gt;0,(AF261/AF$266),0)</f>
        <v>0</v>
      </c>
      <c r="P261" s="615">
        <f t="shared" si="143"/>
        <v>0</v>
      </c>
      <c r="Q261" s="613">
        <f t="shared" si="143"/>
        <v>0</v>
      </c>
      <c r="R261" s="799"/>
      <c r="S261" s="798"/>
      <c r="T261" s="798"/>
      <c r="U261" s="798"/>
      <c r="V261" s="798"/>
      <c r="W261" s="798"/>
      <c r="X261" s="798"/>
      <c r="Y261" s="803"/>
      <c r="Z261" s="803"/>
      <c r="AA261" s="798"/>
      <c r="AB261" s="798"/>
      <c r="AC261" s="798"/>
      <c r="AD261" s="798"/>
      <c r="AE261" s="803"/>
      <c r="AF261" s="803"/>
      <c r="AG261" s="798"/>
      <c r="AH261" s="803"/>
    </row>
    <row r="262" spans="1:34">
      <c r="A262" s="239"/>
      <c r="B262" s="239" t="s">
        <v>93</v>
      </c>
      <c r="C262" s="806">
        <f t="shared" ref="C262:C266" si="144">IF(S$266&gt;0,(S262/S$266),0)</f>
        <v>0</v>
      </c>
      <c r="D262" s="806">
        <f t="shared" si="142"/>
        <v>0</v>
      </c>
      <c r="E262" s="806">
        <f t="shared" si="142"/>
        <v>0</v>
      </c>
      <c r="F262" s="806">
        <f t="shared" si="142"/>
        <v>0</v>
      </c>
      <c r="G262" s="806">
        <f t="shared" si="142"/>
        <v>0</v>
      </c>
      <c r="H262" s="806">
        <f t="shared" si="142"/>
        <v>0</v>
      </c>
      <c r="I262" s="624">
        <f t="shared" si="142"/>
        <v>0</v>
      </c>
      <c r="J262" s="624">
        <f t="shared" si="142"/>
        <v>0</v>
      </c>
      <c r="K262" s="625">
        <f t="shared" si="142"/>
        <v>0</v>
      </c>
      <c r="L262" s="625">
        <f t="shared" si="142"/>
        <v>0</v>
      </c>
      <c r="M262" s="625">
        <f t="shared" si="142"/>
        <v>0</v>
      </c>
      <c r="N262" s="624">
        <f t="shared" ref="N262:N266" si="145">IF(AE$266&gt;0,(AE262/AE$266),0)</f>
        <v>0</v>
      </c>
      <c r="O262" s="624">
        <f t="shared" si="143"/>
        <v>0</v>
      </c>
      <c r="P262" s="626">
        <f t="shared" si="143"/>
        <v>0</v>
      </c>
      <c r="Q262" s="624">
        <f t="shared" si="143"/>
        <v>0</v>
      </c>
      <c r="Y262" s="804"/>
      <c r="Z262" s="804"/>
      <c r="AE262" s="804"/>
      <c r="AF262" s="804"/>
      <c r="AH262" s="804"/>
    </row>
    <row r="263" spans="1:34">
      <c r="A263" s="239"/>
      <c r="B263" s="239" t="s">
        <v>55</v>
      </c>
      <c r="C263" s="806">
        <f t="shared" si="144"/>
        <v>0</v>
      </c>
      <c r="D263" s="806">
        <f t="shared" si="142"/>
        <v>0</v>
      </c>
      <c r="E263" s="806">
        <f t="shared" si="142"/>
        <v>0</v>
      </c>
      <c r="F263" s="806">
        <f t="shared" si="142"/>
        <v>0</v>
      </c>
      <c r="G263" s="806">
        <f t="shared" si="142"/>
        <v>0</v>
      </c>
      <c r="H263" s="806">
        <f t="shared" si="142"/>
        <v>0</v>
      </c>
      <c r="I263" s="624">
        <f t="shared" si="142"/>
        <v>0</v>
      </c>
      <c r="J263" s="624">
        <f t="shared" si="142"/>
        <v>0</v>
      </c>
      <c r="K263" s="625">
        <f t="shared" si="142"/>
        <v>0</v>
      </c>
      <c r="L263" s="625">
        <f t="shared" si="142"/>
        <v>0</v>
      </c>
      <c r="M263" s="625">
        <f t="shared" si="142"/>
        <v>0</v>
      </c>
      <c r="N263" s="624">
        <f t="shared" si="145"/>
        <v>0</v>
      </c>
      <c r="O263" s="624">
        <f t="shared" si="143"/>
        <v>0</v>
      </c>
      <c r="P263" s="626">
        <f t="shared" si="143"/>
        <v>0</v>
      </c>
      <c r="Q263" s="624">
        <f t="shared" si="143"/>
        <v>0</v>
      </c>
      <c r="Y263" s="804"/>
      <c r="Z263" s="804"/>
      <c r="AE263" s="804"/>
      <c r="AF263" s="804"/>
      <c r="AH263" s="804"/>
    </row>
    <row r="264" spans="1:34">
      <c r="A264" s="239"/>
      <c r="B264" s="239" t="s">
        <v>78</v>
      </c>
      <c r="C264" s="806">
        <f t="shared" si="144"/>
        <v>0</v>
      </c>
      <c r="D264" s="806">
        <f t="shared" si="142"/>
        <v>0</v>
      </c>
      <c r="E264" s="806">
        <f t="shared" si="142"/>
        <v>0</v>
      </c>
      <c r="F264" s="806">
        <f t="shared" si="142"/>
        <v>0</v>
      </c>
      <c r="G264" s="806">
        <f t="shared" si="142"/>
        <v>0</v>
      </c>
      <c r="H264" s="806">
        <f t="shared" si="142"/>
        <v>0</v>
      </c>
      <c r="I264" s="624">
        <f t="shared" si="142"/>
        <v>0</v>
      </c>
      <c r="J264" s="624">
        <f t="shared" si="142"/>
        <v>0</v>
      </c>
      <c r="K264" s="625">
        <f t="shared" si="142"/>
        <v>0</v>
      </c>
      <c r="L264" s="625">
        <f t="shared" si="142"/>
        <v>0</v>
      </c>
      <c r="M264" s="625">
        <f t="shared" si="142"/>
        <v>0</v>
      </c>
      <c r="N264" s="624">
        <f t="shared" si="145"/>
        <v>0</v>
      </c>
      <c r="O264" s="624">
        <f t="shared" si="143"/>
        <v>0</v>
      </c>
      <c r="P264" s="626">
        <f t="shared" si="143"/>
        <v>0</v>
      </c>
      <c r="Q264" s="624">
        <f t="shared" si="143"/>
        <v>0</v>
      </c>
      <c r="Y264" s="804"/>
      <c r="Z264" s="804"/>
      <c r="AE264" s="804"/>
      <c r="AF264" s="804"/>
      <c r="AH264" s="804"/>
    </row>
    <row r="265" spans="1:34">
      <c r="A265" s="580"/>
      <c r="B265" s="580" t="s">
        <v>131</v>
      </c>
      <c r="C265" s="806">
        <f t="shared" si="144"/>
        <v>0</v>
      </c>
      <c r="D265" s="806">
        <f t="shared" si="142"/>
        <v>0</v>
      </c>
      <c r="E265" s="806">
        <f t="shared" si="142"/>
        <v>0</v>
      </c>
      <c r="F265" s="806">
        <f t="shared" si="142"/>
        <v>0</v>
      </c>
      <c r="G265" s="806">
        <f t="shared" si="142"/>
        <v>0</v>
      </c>
      <c r="H265" s="806">
        <f t="shared" si="142"/>
        <v>0</v>
      </c>
      <c r="I265" s="624">
        <f t="shared" si="142"/>
        <v>0</v>
      </c>
      <c r="J265" s="624">
        <f t="shared" si="142"/>
        <v>0</v>
      </c>
      <c r="K265" s="625">
        <f t="shared" si="142"/>
        <v>0</v>
      </c>
      <c r="L265" s="625">
        <f t="shared" si="142"/>
        <v>0</v>
      </c>
      <c r="M265" s="625">
        <f t="shared" si="142"/>
        <v>0</v>
      </c>
      <c r="N265" s="624">
        <f t="shared" si="145"/>
        <v>0</v>
      </c>
      <c r="O265" s="624">
        <f t="shared" si="143"/>
        <v>0</v>
      </c>
      <c r="P265" s="626">
        <f t="shared" si="143"/>
        <v>0</v>
      </c>
      <c r="Q265" s="624">
        <f t="shared" si="143"/>
        <v>0</v>
      </c>
      <c r="Y265" s="804"/>
      <c r="Z265" s="804"/>
      <c r="AE265" s="804"/>
      <c r="AF265" s="804"/>
      <c r="AH265" s="804"/>
    </row>
    <row r="266" spans="1:34">
      <c r="A266" s="436"/>
      <c r="B266" s="436" t="s">
        <v>59</v>
      </c>
      <c r="C266" s="807">
        <f t="shared" si="144"/>
        <v>0</v>
      </c>
      <c r="D266" s="808">
        <f t="shared" si="142"/>
        <v>0</v>
      </c>
      <c r="E266" s="808">
        <f t="shared" si="142"/>
        <v>0</v>
      </c>
      <c r="F266" s="808">
        <f t="shared" si="142"/>
        <v>0</v>
      </c>
      <c r="G266" s="808">
        <f t="shared" si="142"/>
        <v>0</v>
      </c>
      <c r="H266" s="809">
        <f t="shared" si="142"/>
        <v>0</v>
      </c>
      <c r="I266" s="577">
        <f t="shared" si="142"/>
        <v>0</v>
      </c>
      <c r="J266" s="577">
        <f t="shared" si="142"/>
        <v>0</v>
      </c>
      <c r="K266" s="578">
        <f t="shared" si="142"/>
        <v>0</v>
      </c>
      <c r="L266" s="578">
        <f t="shared" si="142"/>
        <v>0</v>
      </c>
      <c r="M266" s="578">
        <f t="shared" si="142"/>
        <v>0</v>
      </c>
      <c r="N266" s="577">
        <f t="shared" si="145"/>
        <v>0</v>
      </c>
      <c r="O266" s="577">
        <f t="shared" si="143"/>
        <v>0</v>
      </c>
      <c r="P266" s="579">
        <f t="shared" si="143"/>
        <v>0</v>
      </c>
      <c r="Q266" s="577">
        <f t="shared" si="143"/>
        <v>0</v>
      </c>
      <c r="Y266" s="804"/>
      <c r="Z266" s="804"/>
      <c r="AE266" s="804"/>
      <c r="AF266" s="804"/>
      <c r="AH266" s="804"/>
    </row>
    <row r="267" spans="1:34">
      <c r="A267" s="240" t="s">
        <v>153</v>
      </c>
      <c r="B267" s="240" t="s">
        <v>53</v>
      </c>
      <c r="C267" s="806">
        <f>IF(S$272&gt;0,(S267/S$272),0)</f>
        <v>0</v>
      </c>
      <c r="D267" s="806">
        <f t="shared" ref="D267:M272" si="146">IF(T$272&gt;0,(T267/T$272),0)</f>
        <v>0</v>
      </c>
      <c r="E267" s="806">
        <f t="shared" si="146"/>
        <v>0</v>
      </c>
      <c r="F267" s="806">
        <f t="shared" si="146"/>
        <v>0</v>
      </c>
      <c r="G267" s="806">
        <f t="shared" si="146"/>
        <v>0</v>
      </c>
      <c r="H267" s="806">
        <f t="shared" si="146"/>
        <v>0</v>
      </c>
      <c r="I267" s="613">
        <f t="shared" si="146"/>
        <v>0</v>
      </c>
      <c r="J267" s="613">
        <f t="shared" si="146"/>
        <v>0</v>
      </c>
      <c r="K267" s="614">
        <f t="shared" si="146"/>
        <v>0</v>
      </c>
      <c r="L267" s="614">
        <f t="shared" si="146"/>
        <v>0</v>
      </c>
      <c r="M267" s="614">
        <f t="shared" si="146"/>
        <v>0</v>
      </c>
      <c r="N267" s="613">
        <f>IF(AE$272&gt;0,(AE267/AE$272),0)</f>
        <v>0</v>
      </c>
      <c r="O267" s="613">
        <f t="shared" ref="O267:Q272" si="147">IF(AF$272&gt;0,(AF267/AF$272),0)</f>
        <v>0</v>
      </c>
      <c r="P267" s="615">
        <f t="shared" si="147"/>
        <v>0</v>
      </c>
      <c r="Q267" s="613">
        <f t="shared" si="147"/>
        <v>0</v>
      </c>
      <c r="R267" s="799"/>
      <c r="S267" s="798"/>
      <c r="T267" s="798"/>
      <c r="U267" s="798"/>
      <c r="V267" s="798"/>
      <c r="W267" s="798"/>
      <c r="X267" s="798"/>
      <c r="Y267" s="803"/>
      <c r="Z267" s="803"/>
      <c r="AA267" s="798"/>
      <c r="AB267" s="798"/>
      <c r="AC267" s="798"/>
      <c r="AD267" s="798"/>
      <c r="AE267" s="803"/>
      <c r="AF267" s="803"/>
      <c r="AG267" s="798"/>
      <c r="AH267" s="803"/>
    </row>
    <row r="268" spans="1:34">
      <c r="A268" s="239"/>
      <c r="B268" s="239" t="s">
        <v>93</v>
      </c>
      <c r="C268" s="806">
        <f t="shared" ref="C268:C272" si="148">IF(S$272&gt;0,(S268/S$272),0)</f>
        <v>0</v>
      </c>
      <c r="D268" s="806">
        <f t="shared" si="146"/>
        <v>0</v>
      </c>
      <c r="E268" s="806">
        <f t="shared" si="146"/>
        <v>0</v>
      </c>
      <c r="F268" s="806">
        <f t="shared" si="146"/>
        <v>0</v>
      </c>
      <c r="G268" s="806">
        <f t="shared" si="146"/>
        <v>0</v>
      </c>
      <c r="H268" s="806">
        <f t="shared" si="146"/>
        <v>0</v>
      </c>
      <c r="I268" s="624">
        <f t="shared" si="146"/>
        <v>0</v>
      </c>
      <c r="J268" s="624">
        <f t="shared" si="146"/>
        <v>0</v>
      </c>
      <c r="K268" s="625">
        <f t="shared" si="146"/>
        <v>0</v>
      </c>
      <c r="L268" s="625">
        <f t="shared" si="146"/>
        <v>0</v>
      </c>
      <c r="M268" s="625">
        <f t="shared" si="146"/>
        <v>0</v>
      </c>
      <c r="N268" s="624">
        <f t="shared" ref="N268:N272" si="149">IF(AE$272&gt;0,(AE268/AE$272),0)</f>
        <v>0</v>
      </c>
      <c r="O268" s="624">
        <f t="shared" si="147"/>
        <v>0</v>
      </c>
      <c r="P268" s="626">
        <f t="shared" si="147"/>
        <v>0</v>
      </c>
      <c r="Q268" s="624">
        <f t="shared" si="147"/>
        <v>0</v>
      </c>
      <c r="Y268" s="804"/>
      <c r="Z268" s="804"/>
      <c r="AE268" s="804"/>
      <c r="AF268" s="804"/>
      <c r="AH268" s="804"/>
    </row>
    <row r="269" spans="1:34">
      <c r="A269" s="239"/>
      <c r="B269" s="239" t="s">
        <v>55</v>
      </c>
      <c r="C269" s="806">
        <f t="shared" si="148"/>
        <v>0</v>
      </c>
      <c r="D269" s="806">
        <f t="shared" si="146"/>
        <v>0</v>
      </c>
      <c r="E269" s="806">
        <f t="shared" si="146"/>
        <v>0</v>
      </c>
      <c r="F269" s="806">
        <f t="shared" si="146"/>
        <v>0</v>
      </c>
      <c r="G269" s="806">
        <f t="shared" si="146"/>
        <v>0</v>
      </c>
      <c r="H269" s="806">
        <f t="shared" si="146"/>
        <v>0</v>
      </c>
      <c r="I269" s="624">
        <f t="shared" si="146"/>
        <v>0</v>
      </c>
      <c r="J269" s="624">
        <f t="shared" si="146"/>
        <v>0</v>
      </c>
      <c r="K269" s="625">
        <f t="shared" si="146"/>
        <v>0</v>
      </c>
      <c r="L269" s="625">
        <f t="shared" si="146"/>
        <v>0</v>
      </c>
      <c r="M269" s="625">
        <f t="shared" si="146"/>
        <v>0</v>
      </c>
      <c r="N269" s="624">
        <f t="shared" si="149"/>
        <v>0</v>
      </c>
      <c r="O269" s="624">
        <f t="shared" si="147"/>
        <v>0</v>
      </c>
      <c r="P269" s="626">
        <f t="shared" si="147"/>
        <v>0</v>
      </c>
      <c r="Q269" s="624">
        <f t="shared" si="147"/>
        <v>0</v>
      </c>
      <c r="Y269" s="804"/>
      <c r="Z269" s="804"/>
      <c r="AE269" s="804"/>
      <c r="AF269" s="804"/>
      <c r="AH269" s="804"/>
    </row>
    <row r="270" spans="1:34">
      <c r="A270" s="239"/>
      <c r="B270" s="239" t="s">
        <v>78</v>
      </c>
      <c r="C270" s="806">
        <f t="shared" si="148"/>
        <v>0</v>
      </c>
      <c r="D270" s="806">
        <f t="shared" si="146"/>
        <v>0</v>
      </c>
      <c r="E270" s="806">
        <f t="shared" si="146"/>
        <v>0</v>
      </c>
      <c r="F270" s="806">
        <f t="shared" si="146"/>
        <v>0</v>
      </c>
      <c r="G270" s="806">
        <f t="shared" si="146"/>
        <v>0</v>
      </c>
      <c r="H270" s="806">
        <f t="shared" si="146"/>
        <v>0</v>
      </c>
      <c r="I270" s="624">
        <f t="shared" si="146"/>
        <v>0</v>
      </c>
      <c r="J270" s="624">
        <f t="shared" si="146"/>
        <v>0</v>
      </c>
      <c r="K270" s="625">
        <f t="shared" si="146"/>
        <v>0</v>
      </c>
      <c r="L270" s="625">
        <f t="shared" si="146"/>
        <v>0</v>
      </c>
      <c r="M270" s="625">
        <f t="shared" si="146"/>
        <v>0</v>
      </c>
      <c r="N270" s="624">
        <f t="shared" si="149"/>
        <v>0</v>
      </c>
      <c r="O270" s="624">
        <f t="shared" si="147"/>
        <v>0</v>
      </c>
      <c r="P270" s="626">
        <f t="shared" si="147"/>
        <v>0</v>
      </c>
      <c r="Q270" s="624">
        <f t="shared" si="147"/>
        <v>0</v>
      </c>
      <c r="Y270" s="804"/>
      <c r="Z270" s="804"/>
      <c r="AE270" s="804"/>
      <c r="AF270" s="804"/>
      <c r="AH270" s="804"/>
    </row>
    <row r="271" spans="1:34">
      <c r="A271" s="580"/>
      <c r="B271" s="580" t="s">
        <v>131</v>
      </c>
      <c r="C271" s="806">
        <f t="shared" si="148"/>
        <v>0</v>
      </c>
      <c r="D271" s="806">
        <f t="shared" si="146"/>
        <v>0</v>
      </c>
      <c r="E271" s="806">
        <f t="shared" si="146"/>
        <v>0</v>
      </c>
      <c r="F271" s="806">
        <f t="shared" si="146"/>
        <v>0</v>
      </c>
      <c r="G271" s="806">
        <f t="shared" si="146"/>
        <v>0</v>
      </c>
      <c r="H271" s="806">
        <f t="shared" si="146"/>
        <v>0</v>
      </c>
      <c r="I271" s="624">
        <f t="shared" si="146"/>
        <v>0</v>
      </c>
      <c r="J271" s="624">
        <f t="shared" si="146"/>
        <v>0</v>
      </c>
      <c r="K271" s="625">
        <f t="shared" si="146"/>
        <v>0</v>
      </c>
      <c r="L271" s="625">
        <f t="shared" si="146"/>
        <v>0</v>
      </c>
      <c r="M271" s="625">
        <f t="shared" si="146"/>
        <v>0</v>
      </c>
      <c r="N271" s="624">
        <f t="shared" si="149"/>
        <v>0</v>
      </c>
      <c r="O271" s="624">
        <f t="shared" si="147"/>
        <v>0</v>
      </c>
      <c r="P271" s="626">
        <f t="shared" si="147"/>
        <v>0</v>
      </c>
      <c r="Q271" s="624">
        <f t="shared" si="147"/>
        <v>0</v>
      </c>
      <c r="Y271" s="804"/>
      <c r="Z271" s="804"/>
      <c r="AE271" s="804"/>
      <c r="AF271" s="804"/>
      <c r="AH271" s="804"/>
    </row>
    <row r="272" spans="1:34">
      <c r="A272" s="436"/>
      <c r="B272" s="436" t="s">
        <v>59</v>
      </c>
      <c r="C272" s="807">
        <f t="shared" si="148"/>
        <v>0</v>
      </c>
      <c r="D272" s="808">
        <f t="shared" si="146"/>
        <v>0</v>
      </c>
      <c r="E272" s="808">
        <f t="shared" si="146"/>
        <v>0</v>
      </c>
      <c r="F272" s="808">
        <f t="shared" si="146"/>
        <v>0</v>
      </c>
      <c r="G272" s="808">
        <f t="shared" si="146"/>
        <v>0</v>
      </c>
      <c r="H272" s="809">
        <f t="shared" si="146"/>
        <v>0</v>
      </c>
      <c r="I272" s="577">
        <f t="shared" si="146"/>
        <v>0</v>
      </c>
      <c r="J272" s="577">
        <f t="shared" si="146"/>
        <v>0</v>
      </c>
      <c r="K272" s="578">
        <f t="shared" si="146"/>
        <v>0</v>
      </c>
      <c r="L272" s="578">
        <f t="shared" si="146"/>
        <v>0</v>
      </c>
      <c r="M272" s="578">
        <f t="shared" si="146"/>
        <v>0</v>
      </c>
      <c r="N272" s="577">
        <f t="shared" si="149"/>
        <v>0</v>
      </c>
      <c r="O272" s="577">
        <f t="shared" si="147"/>
        <v>0</v>
      </c>
      <c r="P272" s="579">
        <f t="shared" si="147"/>
        <v>0</v>
      </c>
      <c r="Q272" s="577">
        <f t="shared" si="147"/>
        <v>0</v>
      </c>
      <c r="Y272" s="804"/>
      <c r="Z272" s="804"/>
      <c r="AE272" s="804"/>
      <c r="AF272" s="804"/>
      <c r="AH272" s="804"/>
    </row>
    <row r="273" spans="1:34">
      <c r="A273" s="240" t="s">
        <v>160</v>
      </c>
      <c r="B273" s="240" t="s">
        <v>53</v>
      </c>
      <c r="C273" s="806">
        <f>IF(S$278&gt;0,(S273/S$278),0)</f>
        <v>0</v>
      </c>
      <c r="D273" s="806">
        <f t="shared" ref="D273:M278" si="150">IF(T$278&gt;0,(T273/T$278),0)</f>
        <v>0</v>
      </c>
      <c r="E273" s="806">
        <f t="shared" si="150"/>
        <v>0</v>
      </c>
      <c r="F273" s="806">
        <f t="shared" si="150"/>
        <v>0</v>
      </c>
      <c r="G273" s="806">
        <f t="shared" si="150"/>
        <v>0</v>
      </c>
      <c r="H273" s="806">
        <f t="shared" si="150"/>
        <v>0</v>
      </c>
      <c r="I273" s="613">
        <f t="shared" si="150"/>
        <v>0</v>
      </c>
      <c r="J273" s="613">
        <f t="shared" si="150"/>
        <v>0</v>
      </c>
      <c r="K273" s="614">
        <f t="shared" si="150"/>
        <v>0</v>
      </c>
      <c r="L273" s="614">
        <f t="shared" si="150"/>
        <v>0</v>
      </c>
      <c r="M273" s="614">
        <f t="shared" si="150"/>
        <v>0</v>
      </c>
      <c r="N273" s="613">
        <f>IF(AE$278&gt;0,(AE273/AE$278),0)</f>
        <v>0</v>
      </c>
      <c r="O273" s="613">
        <f t="shared" ref="O273:Q278" si="151">IF(AF$278&gt;0,(AF273/AF$278),0)</f>
        <v>0</v>
      </c>
      <c r="P273" s="615">
        <f t="shared" si="151"/>
        <v>0</v>
      </c>
      <c r="Q273" s="613">
        <f t="shared" si="151"/>
        <v>0</v>
      </c>
      <c r="R273" s="799"/>
      <c r="S273" s="798"/>
      <c r="T273" s="798"/>
      <c r="U273" s="798"/>
      <c r="V273" s="798"/>
      <c r="W273" s="798"/>
      <c r="X273" s="798"/>
      <c r="Y273" s="803"/>
      <c r="Z273" s="803"/>
      <c r="AA273" s="798"/>
      <c r="AB273" s="798"/>
      <c r="AC273" s="798"/>
      <c r="AD273" s="798"/>
      <c r="AE273" s="803"/>
      <c r="AF273" s="803"/>
      <c r="AG273" s="798"/>
      <c r="AH273" s="803"/>
    </row>
    <row r="274" spans="1:34">
      <c r="A274" s="239"/>
      <c r="B274" s="239" t="s">
        <v>93</v>
      </c>
      <c r="C274" s="806">
        <f t="shared" ref="C274:C278" si="152">IF(S$278&gt;0,(S274/S$278),0)</f>
        <v>0</v>
      </c>
      <c r="D274" s="806">
        <f t="shared" si="150"/>
        <v>0</v>
      </c>
      <c r="E274" s="806">
        <f t="shared" si="150"/>
        <v>0</v>
      </c>
      <c r="F274" s="806">
        <f t="shared" si="150"/>
        <v>0</v>
      </c>
      <c r="G274" s="806">
        <f t="shared" si="150"/>
        <v>0</v>
      </c>
      <c r="H274" s="806">
        <f t="shared" si="150"/>
        <v>0</v>
      </c>
      <c r="I274" s="624">
        <f t="shared" si="150"/>
        <v>0</v>
      </c>
      <c r="J274" s="624">
        <f t="shared" si="150"/>
        <v>0</v>
      </c>
      <c r="K274" s="625">
        <f t="shared" si="150"/>
        <v>0</v>
      </c>
      <c r="L274" s="625">
        <f t="shared" si="150"/>
        <v>0</v>
      </c>
      <c r="M274" s="625">
        <f t="shared" si="150"/>
        <v>0</v>
      </c>
      <c r="N274" s="624">
        <f t="shared" ref="N274:N278" si="153">IF(AE$278&gt;0,(AE274/AE$278),0)</f>
        <v>0</v>
      </c>
      <c r="O274" s="624">
        <f t="shared" si="151"/>
        <v>0</v>
      </c>
      <c r="P274" s="626">
        <f t="shared" si="151"/>
        <v>0</v>
      </c>
      <c r="Q274" s="624">
        <f t="shared" si="151"/>
        <v>0</v>
      </c>
      <c r="Y274" s="804"/>
      <c r="Z274" s="804"/>
      <c r="AE274" s="804"/>
      <c r="AF274" s="804"/>
      <c r="AH274" s="804"/>
    </row>
    <row r="275" spans="1:34">
      <c r="A275" s="239"/>
      <c r="B275" s="239" t="s">
        <v>55</v>
      </c>
      <c r="C275" s="806">
        <f t="shared" si="152"/>
        <v>0</v>
      </c>
      <c r="D275" s="806">
        <f t="shared" si="150"/>
        <v>0</v>
      </c>
      <c r="E275" s="806">
        <f t="shared" si="150"/>
        <v>0</v>
      </c>
      <c r="F275" s="806">
        <f t="shared" si="150"/>
        <v>0</v>
      </c>
      <c r="G275" s="806">
        <f t="shared" si="150"/>
        <v>0</v>
      </c>
      <c r="H275" s="806">
        <f t="shared" si="150"/>
        <v>0</v>
      </c>
      <c r="I275" s="624">
        <f t="shared" si="150"/>
        <v>0</v>
      </c>
      <c r="J275" s="624">
        <f t="shared" si="150"/>
        <v>0</v>
      </c>
      <c r="K275" s="625">
        <f t="shared" si="150"/>
        <v>0</v>
      </c>
      <c r="L275" s="625">
        <f t="shared" si="150"/>
        <v>0</v>
      </c>
      <c r="M275" s="625">
        <f t="shared" si="150"/>
        <v>0</v>
      </c>
      <c r="N275" s="624">
        <f t="shared" si="153"/>
        <v>0</v>
      </c>
      <c r="O275" s="624">
        <f t="shared" si="151"/>
        <v>0</v>
      </c>
      <c r="P275" s="626">
        <f t="shared" si="151"/>
        <v>0</v>
      </c>
      <c r="Q275" s="624">
        <f t="shared" si="151"/>
        <v>0</v>
      </c>
      <c r="Y275" s="804"/>
      <c r="Z275" s="804"/>
      <c r="AE275" s="804"/>
      <c r="AF275" s="804"/>
      <c r="AH275" s="804"/>
    </row>
    <row r="276" spans="1:34">
      <c r="A276" s="239"/>
      <c r="B276" s="239" t="s">
        <v>78</v>
      </c>
      <c r="C276" s="806">
        <f t="shared" si="152"/>
        <v>0</v>
      </c>
      <c r="D276" s="806">
        <f t="shared" si="150"/>
        <v>0</v>
      </c>
      <c r="E276" s="806">
        <f t="shared" si="150"/>
        <v>0</v>
      </c>
      <c r="F276" s="806">
        <f t="shared" si="150"/>
        <v>0</v>
      </c>
      <c r="G276" s="806">
        <f t="shared" si="150"/>
        <v>0</v>
      </c>
      <c r="H276" s="806">
        <f t="shared" si="150"/>
        <v>0</v>
      </c>
      <c r="I276" s="624">
        <f t="shared" si="150"/>
        <v>0</v>
      </c>
      <c r="J276" s="624">
        <f t="shared" si="150"/>
        <v>0</v>
      </c>
      <c r="K276" s="625">
        <f t="shared" si="150"/>
        <v>0</v>
      </c>
      <c r="L276" s="625">
        <f t="shared" si="150"/>
        <v>0</v>
      </c>
      <c r="M276" s="625">
        <f t="shared" si="150"/>
        <v>0</v>
      </c>
      <c r="N276" s="624">
        <f t="shared" si="153"/>
        <v>0</v>
      </c>
      <c r="O276" s="624">
        <f t="shared" si="151"/>
        <v>0</v>
      </c>
      <c r="P276" s="626">
        <f t="shared" si="151"/>
        <v>0</v>
      </c>
      <c r="Q276" s="624">
        <f t="shared" si="151"/>
        <v>0</v>
      </c>
      <c r="Y276" s="804"/>
      <c r="Z276" s="804"/>
      <c r="AE276" s="804"/>
      <c r="AF276" s="804"/>
      <c r="AH276" s="804"/>
    </row>
    <row r="277" spans="1:34">
      <c r="A277" s="580"/>
      <c r="B277" s="580" t="s">
        <v>131</v>
      </c>
      <c r="C277" s="806">
        <f t="shared" si="152"/>
        <v>0</v>
      </c>
      <c r="D277" s="806">
        <f t="shared" si="150"/>
        <v>0</v>
      </c>
      <c r="E277" s="806">
        <f t="shared" si="150"/>
        <v>0</v>
      </c>
      <c r="F277" s="806">
        <f t="shared" si="150"/>
        <v>0</v>
      </c>
      <c r="G277" s="806">
        <f t="shared" si="150"/>
        <v>0</v>
      </c>
      <c r="H277" s="806">
        <f t="shared" si="150"/>
        <v>0</v>
      </c>
      <c r="I277" s="624">
        <f t="shared" si="150"/>
        <v>0</v>
      </c>
      <c r="J277" s="624">
        <f t="shared" si="150"/>
        <v>0</v>
      </c>
      <c r="K277" s="625">
        <f t="shared" si="150"/>
        <v>0</v>
      </c>
      <c r="L277" s="625">
        <f t="shared" si="150"/>
        <v>0</v>
      </c>
      <c r="M277" s="625">
        <f t="shared" si="150"/>
        <v>0</v>
      </c>
      <c r="N277" s="624">
        <f t="shared" si="153"/>
        <v>0</v>
      </c>
      <c r="O277" s="624">
        <f t="shared" si="151"/>
        <v>0</v>
      </c>
      <c r="P277" s="626">
        <f t="shared" si="151"/>
        <v>0</v>
      </c>
      <c r="Q277" s="624">
        <f t="shared" si="151"/>
        <v>0</v>
      </c>
      <c r="Y277" s="804"/>
      <c r="Z277" s="804"/>
      <c r="AE277" s="804"/>
      <c r="AF277" s="804"/>
      <c r="AH277" s="804"/>
    </row>
    <row r="278" spans="1:34">
      <c r="A278" s="436"/>
      <c r="B278" s="436" t="s">
        <v>59</v>
      </c>
      <c r="C278" s="807">
        <f t="shared" si="152"/>
        <v>0</v>
      </c>
      <c r="D278" s="808">
        <f t="shared" si="150"/>
        <v>0</v>
      </c>
      <c r="E278" s="808">
        <f t="shared" si="150"/>
        <v>0</v>
      </c>
      <c r="F278" s="808">
        <f t="shared" si="150"/>
        <v>0</v>
      </c>
      <c r="G278" s="808">
        <f t="shared" si="150"/>
        <v>0</v>
      </c>
      <c r="H278" s="809">
        <f t="shared" si="150"/>
        <v>0</v>
      </c>
      <c r="I278" s="577">
        <f t="shared" si="150"/>
        <v>0</v>
      </c>
      <c r="J278" s="577">
        <f t="shared" si="150"/>
        <v>0</v>
      </c>
      <c r="K278" s="578">
        <f t="shared" si="150"/>
        <v>0</v>
      </c>
      <c r="L278" s="578">
        <f t="shared" si="150"/>
        <v>0</v>
      </c>
      <c r="M278" s="578">
        <f t="shared" si="150"/>
        <v>0</v>
      </c>
      <c r="N278" s="577">
        <f t="shared" si="153"/>
        <v>0</v>
      </c>
      <c r="O278" s="577">
        <f t="shared" si="151"/>
        <v>0</v>
      </c>
      <c r="P278" s="579">
        <f t="shared" si="151"/>
        <v>0</v>
      </c>
      <c r="Q278" s="577">
        <f t="shared" si="151"/>
        <v>0</v>
      </c>
      <c r="Y278" s="804"/>
      <c r="Z278" s="804"/>
      <c r="AE278" s="804"/>
      <c r="AF278" s="804"/>
      <c r="AH278" s="804"/>
    </row>
    <row r="279" spans="1:34">
      <c r="A279" s="240" t="s">
        <v>164</v>
      </c>
      <c r="B279" s="240" t="s">
        <v>53</v>
      </c>
      <c r="C279" s="806">
        <f>IF(S$284&gt;0,(S279/S$284),0)</f>
        <v>0</v>
      </c>
      <c r="D279" s="806">
        <f t="shared" ref="D279:M284" si="154">IF(T$284&gt;0,(T279/T$284),0)</f>
        <v>0</v>
      </c>
      <c r="E279" s="806">
        <f t="shared" si="154"/>
        <v>0</v>
      </c>
      <c r="F279" s="806">
        <f t="shared" si="154"/>
        <v>0</v>
      </c>
      <c r="G279" s="806">
        <f t="shared" si="154"/>
        <v>0</v>
      </c>
      <c r="H279" s="806">
        <f t="shared" si="154"/>
        <v>0</v>
      </c>
      <c r="I279" s="613">
        <f t="shared" si="154"/>
        <v>0</v>
      </c>
      <c r="J279" s="613">
        <f t="shared" si="154"/>
        <v>0</v>
      </c>
      <c r="K279" s="614">
        <f t="shared" si="154"/>
        <v>0</v>
      </c>
      <c r="L279" s="614">
        <f t="shared" si="154"/>
        <v>0</v>
      </c>
      <c r="M279" s="614">
        <f t="shared" si="154"/>
        <v>0</v>
      </c>
      <c r="N279" s="613">
        <f>IF(AE$284&gt;0,(AE279/AE$284),0)</f>
        <v>0</v>
      </c>
      <c r="O279" s="613">
        <f t="shared" ref="O279:Q284" si="155">IF(AF$284&gt;0,(AF279/AF$284),0)</f>
        <v>0</v>
      </c>
      <c r="P279" s="615">
        <f t="shared" si="155"/>
        <v>0</v>
      </c>
      <c r="Q279" s="613">
        <f t="shared" si="155"/>
        <v>0</v>
      </c>
      <c r="R279" s="799"/>
      <c r="S279" s="798"/>
      <c r="T279" s="798"/>
      <c r="U279" s="798"/>
      <c r="V279" s="798"/>
      <c r="W279" s="798"/>
      <c r="X279" s="798"/>
      <c r="Y279" s="803"/>
      <c r="Z279" s="803"/>
      <c r="AA279" s="798"/>
      <c r="AB279" s="798"/>
      <c r="AC279" s="798"/>
      <c r="AD279" s="798"/>
      <c r="AE279" s="803"/>
      <c r="AF279" s="803"/>
      <c r="AG279" s="798"/>
      <c r="AH279" s="803"/>
    </row>
    <row r="280" spans="1:34">
      <c r="A280" s="239"/>
      <c r="B280" s="239" t="s">
        <v>93</v>
      </c>
      <c r="C280" s="806">
        <f t="shared" ref="C280:C284" si="156">IF(S$284&gt;0,(S280/S$284),0)</f>
        <v>0</v>
      </c>
      <c r="D280" s="806">
        <f t="shared" si="154"/>
        <v>0</v>
      </c>
      <c r="E280" s="806">
        <f t="shared" si="154"/>
        <v>0</v>
      </c>
      <c r="F280" s="806">
        <f t="shared" si="154"/>
        <v>0</v>
      </c>
      <c r="G280" s="806">
        <f t="shared" si="154"/>
        <v>0</v>
      </c>
      <c r="H280" s="806">
        <f t="shared" si="154"/>
        <v>0</v>
      </c>
      <c r="I280" s="624">
        <f t="shared" si="154"/>
        <v>0</v>
      </c>
      <c r="J280" s="624">
        <f t="shared" si="154"/>
        <v>0</v>
      </c>
      <c r="K280" s="625">
        <f t="shared" si="154"/>
        <v>0</v>
      </c>
      <c r="L280" s="625">
        <f t="shared" si="154"/>
        <v>0</v>
      </c>
      <c r="M280" s="625">
        <f t="shared" si="154"/>
        <v>0</v>
      </c>
      <c r="N280" s="624">
        <f t="shared" ref="N280:N284" si="157">IF(AE$284&gt;0,(AE280/AE$284),0)</f>
        <v>0</v>
      </c>
      <c r="O280" s="624">
        <f t="shared" si="155"/>
        <v>0</v>
      </c>
      <c r="P280" s="626">
        <f t="shared" si="155"/>
        <v>0</v>
      </c>
      <c r="Q280" s="624">
        <f t="shared" si="155"/>
        <v>0</v>
      </c>
      <c r="Y280" s="804"/>
      <c r="Z280" s="804"/>
      <c r="AE280" s="804"/>
      <c r="AF280" s="804"/>
      <c r="AH280" s="804"/>
    </row>
    <row r="281" spans="1:34">
      <c r="A281" s="239"/>
      <c r="B281" s="239" t="s">
        <v>55</v>
      </c>
      <c r="C281" s="806">
        <f t="shared" si="156"/>
        <v>0</v>
      </c>
      <c r="D281" s="806">
        <f t="shared" si="154"/>
        <v>0</v>
      </c>
      <c r="E281" s="806">
        <f t="shared" si="154"/>
        <v>0</v>
      </c>
      <c r="F281" s="806">
        <f t="shared" si="154"/>
        <v>0</v>
      </c>
      <c r="G281" s="806">
        <f t="shared" si="154"/>
        <v>0</v>
      </c>
      <c r="H281" s="806">
        <f t="shared" si="154"/>
        <v>0</v>
      </c>
      <c r="I281" s="624">
        <f t="shared" si="154"/>
        <v>0</v>
      </c>
      <c r="J281" s="624">
        <f t="shared" si="154"/>
        <v>0</v>
      </c>
      <c r="K281" s="625">
        <f t="shared" si="154"/>
        <v>0</v>
      </c>
      <c r="L281" s="625">
        <f t="shared" si="154"/>
        <v>0</v>
      </c>
      <c r="M281" s="625">
        <f t="shared" si="154"/>
        <v>0</v>
      </c>
      <c r="N281" s="624">
        <f t="shared" si="157"/>
        <v>0</v>
      </c>
      <c r="O281" s="624">
        <f t="shared" si="155"/>
        <v>0</v>
      </c>
      <c r="P281" s="626">
        <f t="shared" si="155"/>
        <v>0</v>
      </c>
      <c r="Q281" s="624">
        <f t="shared" si="155"/>
        <v>0</v>
      </c>
      <c r="Y281" s="804"/>
      <c r="Z281" s="804"/>
      <c r="AE281" s="804"/>
      <c r="AF281" s="804"/>
      <c r="AH281" s="804"/>
    </row>
    <row r="282" spans="1:34">
      <c r="A282" s="239"/>
      <c r="B282" s="239" t="s">
        <v>78</v>
      </c>
      <c r="C282" s="806">
        <f t="shared" si="156"/>
        <v>0</v>
      </c>
      <c r="D282" s="806">
        <f t="shared" si="154"/>
        <v>0</v>
      </c>
      <c r="E282" s="806">
        <f t="shared" si="154"/>
        <v>0</v>
      </c>
      <c r="F282" s="806">
        <f t="shared" si="154"/>
        <v>0</v>
      </c>
      <c r="G282" s="806">
        <f t="shared" si="154"/>
        <v>0</v>
      </c>
      <c r="H282" s="806">
        <f t="shared" si="154"/>
        <v>0</v>
      </c>
      <c r="I282" s="624">
        <f t="shared" si="154"/>
        <v>0</v>
      </c>
      <c r="J282" s="624">
        <f t="shared" si="154"/>
        <v>0</v>
      </c>
      <c r="K282" s="625">
        <f t="shared" si="154"/>
        <v>0</v>
      </c>
      <c r="L282" s="625">
        <f t="shared" si="154"/>
        <v>0</v>
      </c>
      <c r="M282" s="625">
        <f t="shared" si="154"/>
        <v>0</v>
      </c>
      <c r="N282" s="624">
        <f t="shared" si="157"/>
        <v>0</v>
      </c>
      <c r="O282" s="624">
        <f t="shared" si="155"/>
        <v>0</v>
      </c>
      <c r="P282" s="626">
        <f t="shared" si="155"/>
        <v>0</v>
      </c>
      <c r="Q282" s="624">
        <f t="shared" si="155"/>
        <v>0</v>
      </c>
      <c r="Y282" s="804"/>
      <c r="Z282" s="804"/>
      <c r="AE282" s="804"/>
      <c r="AF282" s="804"/>
      <c r="AH282" s="804"/>
    </row>
    <row r="283" spans="1:34">
      <c r="A283" s="580"/>
      <c r="B283" s="580" t="s">
        <v>131</v>
      </c>
      <c r="C283" s="806">
        <f t="shared" si="156"/>
        <v>0</v>
      </c>
      <c r="D283" s="806">
        <f t="shared" si="154"/>
        <v>0</v>
      </c>
      <c r="E283" s="806">
        <f t="shared" si="154"/>
        <v>0</v>
      </c>
      <c r="F283" s="806">
        <f t="shared" si="154"/>
        <v>0</v>
      </c>
      <c r="G283" s="806">
        <f t="shared" si="154"/>
        <v>0</v>
      </c>
      <c r="H283" s="806">
        <f t="shared" si="154"/>
        <v>0</v>
      </c>
      <c r="I283" s="624">
        <f t="shared" si="154"/>
        <v>0</v>
      </c>
      <c r="J283" s="624">
        <f t="shared" si="154"/>
        <v>0</v>
      </c>
      <c r="K283" s="625">
        <f t="shared" si="154"/>
        <v>0</v>
      </c>
      <c r="L283" s="625">
        <f t="shared" si="154"/>
        <v>0</v>
      </c>
      <c r="M283" s="625">
        <f t="shared" si="154"/>
        <v>0</v>
      </c>
      <c r="N283" s="624">
        <f t="shared" si="157"/>
        <v>0</v>
      </c>
      <c r="O283" s="624">
        <f t="shared" si="155"/>
        <v>0</v>
      </c>
      <c r="P283" s="626">
        <f t="shared" si="155"/>
        <v>0</v>
      </c>
      <c r="Q283" s="624">
        <f t="shared" si="155"/>
        <v>0</v>
      </c>
      <c r="Y283" s="804"/>
      <c r="Z283" s="804"/>
      <c r="AE283" s="804"/>
      <c r="AF283" s="804"/>
      <c r="AH283" s="804"/>
    </row>
    <row r="284" spans="1:34">
      <c r="A284" s="436"/>
      <c r="B284" s="436" t="s">
        <v>59</v>
      </c>
      <c r="C284" s="807">
        <f t="shared" si="156"/>
        <v>0</v>
      </c>
      <c r="D284" s="808">
        <f t="shared" si="154"/>
        <v>0</v>
      </c>
      <c r="E284" s="808">
        <f t="shared" si="154"/>
        <v>0</v>
      </c>
      <c r="F284" s="808">
        <f t="shared" si="154"/>
        <v>0</v>
      </c>
      <c r="G284" s="808">
        <f t="shared" si="154"/>
        <v>0</v>
      </c>
      <c r="H284" s="809">
        <f t="shared" si="154"/>
        <v>0</v>
      </c>
      <c r="I284" s="577">
        <f t="shared" si="154"/>
        <v>0</v>
      </c>
      <c r="J284" s="577">
        <f t="shared" si="154"/>
        <v>0</v>
      </c>
      <c r="K284" s="578">
        <f t="shared" si="154"/>
        <v>0</v>
      </c>
      <c r="L284" s="578">
        <f t="shared" si="154"/>
        <v>0</v>
      </c>
      <c r="M284" s="578">
        <f t="shared" si="154"/>
        <v>0</v>
      </c>
      <c r="N284" s="577">
        <f t="shared" si="157"/>
        <v>0</v>
      </c>
      <c r="O284" s="577">
        <f t="shared" si="155"/>
        <v>0</v>
      </c>
      <c r="P284" s="579">
        <f t="shared" si="155"/>
        <v>0</v>
      </c>
      <c r="Q284" s="577">
        <f t="shared" si="155"/>
        <v>0</v>
      </c>
      <c r="Y284" s="804"/>
      <c r="Z284" s="804"/>
      <c r="AE284" s="804"/>
      <c r="AF284" s="804"/>
      <c r="AH284" s="804"/>
    </row>
    <row r="285" spans="1:34">
      <c r="A285" s="240" t="s">
        <v>168</v>
      </c>
      <c r="B285" s="240" t="s">
        <v>53</v>
      </c>
      <c r="C285" s="806">
        <f>IF(S$290&gt;0,(S285/S$290),0)</f>
        <v>0</v>
      </c>
      <c r="D285" s="806">
        <f t="shared" ref="D285:M290" si="158">IF(T$290&gt;0,(T285/T$290),0)</f>
        <v>0</v>
      </c>
      <c r="E285" s="806">
        <f t="shared" si="158"/>
        <v>0</v>
      </c>
      <c r="F285" s="806">
        <f t="shared" si="158"/>
        <v>0</v>
      </c>
      <c r="G285" s="806">
        <f t="shared" si="158"/>
        <v>0</v>
      </c>
      <c r="H285" s="806">
        <f t="shared" si="158"/>
        <v>0</v>
      </c>
      <c r="I285" s="613">
        <f t="shared" si="158"/>
        <v>0</v>
      </c>
      <c r="J285" s="613">
        <f t="shared" si="158"/>
        <v>0</v>
      </c>
      <c r="K285" s="614">
        <f t="shared" si="158"/>
        <v>0</v>
      </c>
      <c r="L285" s="614">
        <f t="shared" si="158"/>
        <v>0</v>
      </c>
      <c r="M285" s="614">
        <f t="shared" si="158"/>
        <v>0</v>
      </c>
      <c r="N285" s="613">
        <f>IF(AE$290&gt;0,(AE285/AE$290),0)</f>
        <v>0</v>
      </c>
      <c r="O285" s="613">
        <f t="shared" ref="O285:Q290" si="159">IF(AF$290&gt;0,(AF285/AF$290),0)</f>
        <v>0</v>
      </c>
      <c r="P285" s="615">
        <f t="shared" si="159"/>
        <v>0</v>
      </c>
      <c r="Q285" s="613">
        <f t="shared" si="159"/>
        <v>0</v>
      </c>
      <c r="R285" s="799"/>
      <c r="S285" s="798"/>
      <c r="T285" s="798"/>
      <c r="U285" s="798"/>
      <c r="V285" s="798"/>
      <c r="W285" s="798"/>
      <c r="X285" s="798"/>
      <c r="Y285" s="803"/>
      <c r="Z285" s="803"/>
      <c r="AA285" s="798"/>
      <c r="AB285" s="798"/>
      <c r="AC285" s="798"/>
      <c r="AD285" s="798"/>
      <c r="AE285" s="803"/>
      <c r="AF285" s="803"/>
      <c r="AG285" s="798"/>
      <c r="AH285" s="803"/>
    </row>
    <row r="286" spans="1:34">
      <c r="A286" s="239"/>
      <c r="B286" s="239" t="s">
        <v>93</v>
      </c>
      <c r="C286" s="806">
        <f t="shared" ref="C286:C290" si="160">IF(S$290&gt;0,(S286/S$290),0)</f>
        <v>0</v>
      </c>
      <c r="D286" s="806">
        <f t="shared" si="158"/>
        <v>0</v>
      </c>
      <c r="E286" s="806">
        <f t="shared" si="158"/>
        <v>0</v>
      </c>
      <c r="F286" s="806">
        <f t="shared" si="158"/>
        <v>0</v>
      </c>
      <c r="G286" s="806">
        <f t="shared" si="158"/>
        <v>0</v>
      </c>
      <c r="H286" s="806">
        <f t="shared" si="158"/>
        <v>0</v>
      </c>
      <c r="I286" s="624">
        <f t="shared" si="158"/>
        <v>0</v>
      </c>
      <c r="J286" s="624">
        <f t="shared" si="158"/>
        <v>0</v>
      </c>
      <c r="K286" s="625">
        <f t="shared" si="158"/>
        <v>0</v>
      </c>
      <c r="L286" s="625">
        <f t="shared" si="158"/>
        <v>0</v>
      </c>
      <c r="M286" s="625">
        <f t="shared" si="158"/>
        <v>0</v>
      </c>
      <c r="N286" s="624">
        <f t="shared" ref="N286:N290" si="161">IF(AE$290&gt;0,(AE286/AE$290),0)</f>
        <v>0</v>
      </c>
      <c r="O286" s="624">
        <f t="shared" si="159"/>
        <v>0</v>
      </c>
      <c r="P286" s="626">
        <f t="shared" si="159"/>
        <v>0</v>
      </c>
      <c r="Q286" s="624">
        <f t="shared" si="159"/>
        <v>0</v>
      </c>
      <c r="Y286" s="804"/>
      <c r="Z286" s="804"/>
      <c r="AE286" s="804"/>
      <c r="AF286" s="804"/>
      <c r="AH286" s="804"/>
    </row>
    <row r="287" spans="1:34">
      <c r="A287" s="239"/>
      <c r="B287" s="239" t="s">
        <v>55</v>
      </c>
      <c r="C287" s="806">
        <f t="shared" si="160"/>
        <v>0</v>
      </c>
      <c r="D287" s="806">
        <f t="shared" si="158"/>
        <v>0</v>
      </c>
      <c r="E287" s="806">
        <f t="shared" si="158"/>
        <v>0</v>
      </c>
      <c r="F287" s="806">
        <f t="shared" si="158"/>
        <v>0</v>
      </c>
      <c r="G287" s="806">
        <f t="shared" si="158"/>
        <v>0</v>
      </c>
      <c r="H287" s="806">
        <f t="shared" si="158"/>
        <v>0</v>
      </c>
      <c r="I287" s="624">
        <f t="shared" si="158"/>
        <v>0</v>
      </c>
      <c r="J287" s="624">
        <f t="shared" si="158"/>
        <v>0</v>
      </c>
      <c r="K287" s="625">
        <f t="shared" si="158"/>
        <v>0</v>
      </c>
      <c r="L287" s="625">
        <f t="shared" si="158"/>
        <v>0</v>
      </c>
      <c r="M287" s="625">
        <f t="shared" si="158"/>
        <v>0</v>
      </c>
      <c r="N287" s="624">
        <f t="shared" si="161"/>
        <v>0</v>
      </c>
      <c r="O287" s="624">
        <f t="shared" si="159"/>
        <v>0</v>
      </c>
      <c r="P287" s="626">
        <f t="shared" si="159"/>
        <v>0</v>
      </c>
      <c r="Q287" s="624">
        <f t="shared" si="159"/>
        <v>0</v>
      </c>
      <c r="Y287" s="804"/>
      <c r="Z287" s="804"/>
      <c r="AE287" s="804"/>
      <c r="AF287" s="804"/>
      <c r="AH287" s="804"/>
    </row>
    <row r="288" spans="1:34">
      <c r="A288" s="239"/>
      <c r="B288" s="239" t="s">
        <v>78</v>
      </c>
      <c r="C288" s="806">
        <f t="shared" si="160"/>
        <v>0</v>
      </c>
      <c r="D288" s="806">
        <f t="shared" si="158"/>
        <v>0</v>
      </c>
      <c r="E288" s="806">
        <f t="shared" si="158"/>
        <v>0</v>
      </c>
      <c r="F288" s="806">
        <f t="shared" si="158"/>
        <v>0</v>
      </c>
      <c r="G288" s="806">
        <f t="shared" si="158"/>
        <v>0</v>
      </c>
      <c r="H288" s="806">
        <f t="shared" si="158"/>
        <v>0</v>
      </c>
      <c r="I288" s="624">
        <f t="shared" si="158"/>
        <v>0</v>
      </c>
      <c r="J288" s="624">
        <f t="shared" si="158"/>
        <v>0</v>
      </c>
      <c r="K288" s="625">
        <f t="shared" si="158"/>
        <v>0</v>
      </c>
      <c r="L288" s="625">
        <f t="shared" si="158"/>
        <v>0</v>
      </c>
      <c r="M288" s="625">
        <f t="shared" si="158"/>
        <v>0</v>
      </c>
      <c r="N288" s="624">
        <f t="shared" si="161"/>
        <v>0</v>
      </c>
      <c r="O288" s="624">
        <f t="shared" si="159"/>
        <v>0</v>
      </c>
      <c r="P288" s="626">
        <f t="shared" si="159"/>
        <v>0</v>
      </c>
      <c r="Q288" s="624">
        <f t="shared" si="159"/>
        <v>0</v>
      </c>
      <c r="Y288" s="804"/>
      <c r="Z288" s="804"/>
      <c r="AE288" s="804"/>
      <c r="AF288" s="804"/>
      <c r="AH288" s="804"/>
    </row>
    <row r="289" spans="1:34">
      <c r="A289" s="580"/>
      <c r="B289" s="580" t="s">
        <v>131</v>
      </c>
      <c r="C289" s="806">
        <f t="shared" si="160"/>
        <v>0</v>
      </c>
      <c r="D289" s="806">
        <f t="shared" si="158"/>
        <v>0</v>
      </c>
      <c r="E289" s="806">
        <f t="shared" si="158"/>
        <v>0</v>
      </c>
      <c r="F289" s="806">
        <f t="shared" si="158"/>
        <v>0</v>
      </c>
      <c r="G289" s="806">
        <f t="shared" si="158"/>
        <v>0</v>
      </c>
      <c r="H289" s="806">
        <f t="shared" si="158"/>
        <v>0</v>
      </c>
      <c r="I289" s="624">
        <f t="shared" si="158"/>
        <v>0</v>
      </c>
      <c r="J289" s="624">
        <f t="shared" si="158"/>
        <v>0</v>
      </c>
      <c r="K289" s="625">
        <f t="shared" si="158"/>
        <v>0</v>
      </c>
      <c r="L289" s="625">
        <f t="shared" si="158"/>
        <v>0</v>
      </c>
      <c r="M289" s="625">
        <f t="shared" si="158"/>
        <v>0</v>
      </c>
      <c r="N289" s="624">
        <f t="shared" si="161"/>
        <v>0</v>
      </c>
      <c r="O289" s="624">
        <f t="shared" si="159"/>
        <v>0</v>
      </c>
      <c r="P289" s="626">
        <f t="shared" si="159"/>
        <v>0</v>
      </c>
      <c r="Q289" s="624">
        <f t="shared" si="159"/>
        <v>0</v>
      </c>
      <c r="Y289" s="804"/>
      <c r="Z289" s="804"/>
      <c r="AE289" s="804"/>
      <c r="AF289" s="804"/>
      <c r="AH289" s="804"/>
    </row>
    <row r="290" spans="1:34">
      <c r="A290" s="436"/>
      <c r="B290" s="436" t="s">
        <v>59</v>
      </c>
      <c r="C290" s="807">
        <f t="shared" si="160"/>
        <v>0</v>
      </c>
      <c r="D290" s="808">
        <f t="shared" si="158"/>
        <v>0</v>
      </c>
      <c r="E290" s="808">
        <f t="shared" si="158"/>
        <v>0</v>
      </c>
      <c r="F290" s="808">
        <f t="shared" si="158"/>
        <v>0</v>
      </c>
      <c r="G290" s="808">
        <f t="shared" si="158"/>
        <v>0</v>
      </c>
      <c r="H290" s="809">
        <f t="shared" si="158"/>
        <v>0</v>
      </c>
      <c r="I290" s="577">
        <f t="shared" si="158"/>
        <v>0</v>
      </c>
      <c r="J290" s="577">
        <f t="shared" si="158"/>
        <v>0</v>
      </c>
      <c r="K290" s="578">
        <f t="shared" si="158"/>
        <v>0</v>
      </c>
      <c r="L290" s="578">
        <f t="shared" si="158"/>
        <v>0</v>
      </c>
      <c r="M290" s="578">
        <f t="shared" si="158"/>
        <v>0</v>
      </c>
      <c r="N290" s="577">
        <f t="shared" si="161"/>
        <v>0</v>
      </c>
      <c r="O290" s="577">
        <f t="shared" si="159"/>
        <v>0</v>
      </c>
      <c r="P290" s="579">
        <f t="shared" si="159"/>
        <v>0</v>
      </c>
      <c r="Q290" s="577">
        <f t="shared" si="159"/>
        <v>0</v>
      </c>
      <c r="Y290" s="804"/>
      <c r="Z290" s="804"/>
      <c r="AE290" s="804"/>
      <c r="AF290" s="804"/>
      <c r="AH290" s="804"/>
    </row>
    <row r="291" spans="1:34">
      <c r="A291" s="240" t="s">
        <v>173</v>
      </c>
      <c r="B291" s="240" t="s">
        <v>53</v>
      </c>
      <c r="C291" s="806">
        <f>IF(S$296&gt;0,(S291/S$296),0)</f>
        <v>0</v>
      </c>
      <c r="D291" s="806">
        <f t="shared" ref="D291:M296" si="162">IF(T$296&gt;0,(T291/T$296),0)</f>
        <v>0</v>
      </c>
      <c r="E291" s="806">
        <f t="shared" si="162"/>
        <v>0</v>
      </c>
      <c r="F291" s="806">
        <f t="shared" si="162"/>
        <v>0</v>
      </c>
      <c r="G291" s="806">
        <f t="shared" si="162"/>
        <v>0</v>
      </c>
      <c r="H291" s="806">
        <f t="shared" si="162"/>
        <v>0</v>
      </c>
      <c r="I291" s="613">
        <f t="shared" si="162"/>
        <v>0</v>
      </c>
      <c r="J291" s="613">
        <f t="shared" si="162"/>
        <v>0</v>
      </c>
      <c r="K291" s="614">
        <f t="shared" si="162"/>
        <v>0</v>
      </c>
      <c r="L291" s="614">
        <f t="shared" si="162"/>
        <v>0</v>
      </c>
      <c r="M291" s="614">
        <f t="shared" si="162"/>
        <v>0</v>
      </c>
      <c r="N291" s="613">
        <f>IF(AE$296&gt;0,(AE291/AE$296),0)</f>
        <v>0</v>
      </c>
      <c r="O291" s="613">
        <f t="shared" ref="O291:Q296" si="163">IF(AF$296&gt;0,(AF291/AF$296),0)</f>
        <v>0</v>
      </c>
      <c r="P291" s="615">
        <f t="shared" si="163"/>
        <v>0</v>
      </c>
      <c r="Q291" s="613">
        <f t="shared" si="163"/>
        <v>0</v>
      </c>
      <c r="R291" s="799"/>
      <c r="S291" s="800">
        <f>S297+S303+S309+S315+S321+S327+S333+S339+S345</f>
        <v>0</v>
      </c>
      <c r="T291" s="800">
        <f t="shared" ref="T291:AE291" si="164">T297+T303+T309+T315+T321+T327+T333+T339+T345</f>
        <v>0</v>
      </c>
      <c r="U291" s="800">
        <f t="shared" si="164"/>
        <v>0</v>
      </c>
      <c r="V291" s="800">
        <f t="shared" si="164"/>
        <v>0</v>
      </c>
      <c r="W291" s="800">
        <f t="shared" si="164"/>
        <v>0</v>
      </c>
      <c r="X291" s="800">
        <f t="shared" si="164"/>
        <v>0</v>
      </c>
      <c r="Y291" s="801">
        <f t="shared" si="164"/>
        <v>0</v>
      </c>
      <c r="Z291" s="801">
        <f t="shared" si="164"/>
        <v>0</v>
      </c>
      <c r="AA291" s="800">
        <f t="shared" si="164"/>
        <v>0</v>
      </c>
      <c r="AB291" s="800">
        <f t="shared" si="164"/>
        <v>0</v>
      </c>
      <c r="AC291" s="800">
        <f t="shared" si="164"/>
        <v>0</v>
      </c>
      <c r="AD291" s="800">
        <f t="shared" si="164"/>
        <v>0</v>
      </c>
      <c r="AE291" s="801">
        <f t="shared" si="164"/>
        <v>0</v>
      </c>
      <c r="AF291" s="801"/>
      <c r="AG291" s="800"/>
      <c r="AH291" s="801"/>
    </row>
    <row r="292" spans="1:34">
      <c r="A292" s="239"/>
      <c r="B292" s="239" t="s">
        <v>93</v>
      </c>
      <c r="C292" s="806">
        <f t="shared" ref="C292:C296" si="165">IF(S$296&gt;0,(S292/S$296),0)</f>
        <v>0</v>
      </c>
      <c r="D292" s="806">
        <f t="shared" si="162"/>
        <v>0</v>
      </c>
      <c r="E292" s="806">
        <f t="shared" si="162"/>
        <v>0</v>
      </c>
      <c r="F292" s="806">
        <f t="shared" si="162"/>
        <v>0</v>
      </c>
      <c r="G292" s="806">
        <f t="shared" si="162"/>
        <v>0</v>
      </c>
      <c r="H292" s="806">
        <f t="shared" si="162"/>
        <v>0</v>
      </c>
      <c r="I292" s="624">
        <f t="shared" si="162"/>
        <v>0</v>
      </c>
      <c r="J292" s="624">
        <f t="shared" si="162"/>
        <v>0</v>
      </c>
      <c r="K292" s="625">
        <f t="shared" si="162"/>
        <v>0</v>
      </c>
      <c r="L292" s="625">
        <f t="shared" si="162"/>
        <v>0</v>
      </c>
      <c r="M292" s="625">
        <f t="shared" si="162"/>
        <v>0</v>
      </c>
      <c r="N292" s="624">
        <f t="shared" ref="N292:N296" si="166">IF(AE$296&gt;0,(AE292/AE$296),0)</f>
        <v>0</v>
      </c>
      <c r="O292" s="624">
        <f t="shared" si="163"/>
        <v>0</v>
      </c>
      <c r="P292" s="626">
        <f t="shared" si="163"/>
        <v>0</v>
      </c>
      <c r="Q292" s="624">
        <f t="shared" si="163"/>
        <v>0</v>
      </c>
      <c r="S292" s="796">
        <f t="shared" ref="S292:AE296" si="167">S298+S304+S310+S316+S322+S328+S334+S340+S346</f>
        <v>0</v>
      </c>
      <c r="T292" s="796">
        <f t="shared" si="167"/>
        <v>0</v>
      </c>
      <c r="U292" s="796">
        <f t="shared" si="167"/>
        <v>0</v>
      </c>
      <c r="V292" s="796">
        <f t="shared" si="167"/>
        <v>0</v>
      </c>
      <c r="W292" s="796">
        <f t="shared" si="167"/>
        <v>0</v>
      </c>
      <c r="X292" s="796">
        <f t="shared" si="167"/>
        <v>0</v>
      </c>
      <c r="Y292" s="802">
        <f t="shared" si="167"/>
        <v>0</v>
      </c>
      <c r="Z292" s="802">
        <f t="shared" si="167"/>
        <v>0</v>
      </c>
      <c r="AA292" s="796">
        <f t="shared" si="167"/>
        <v>0</v>
      </c>
      <c r="AB292" s="796">
        <f t="shared" si="167"/>
        <v>0</v>
      </c>
      <c r="AC292" s="796">
        <f t="shared" si="167"/>
        <v>0</v>
      </c>
      <c r="AD292" s="796">
        <f t="shared" si="167"/>
        <v>0</v>
      </c>
      <c r="AE292" s="802">
        <f t="shared" si="167"/>
        <v>0</v>
      </c>
      <c r="AF292" s="804"/>
      <c r="AH292" s="804"/>
    </row>
    <row r="293" spans="1:34">
      <c r="A293" s="239"/>
      <c r="B293" s="239" t="s">
        <v>55</v>
      </c>
      <c r="C293" s="806">
        <f t="shared" si="165"/>
        <v>0</v>
      </c>
      <c r="D293" s="806">
        <f t="shared" si="162"/>
        <v>0</v>
      </c>
      <c r="E293" s="806">
        <f t="shared" si="162"/>
        <v>0</v>
      </c>
      <c r="F293" s="806">
        <f t="shared" si="162"/>
        <v>0</v>
      </c>
      <c r="G293" s="806">
        <f t="shared" si="162"/>
        <v>0</v>
      </c>
      <c r="H293" s="806">
        <f t="shared" si="162"/>
        <v>0</v>
      </c>
      <c r="I293" s="624">
        <f t="shared" si="162"/>
        <v>0</v>
      </c>
      <c r="J293" s="624">
        <f t="shared" si="162"/>
        <v>0</v>
      </c>
      <c r="K293" s="625">
        <f t="shared" si="162"/>
        <v>0</v>
      </c>
      <c r="L293" s="625">
        <f t="shared" si="162"/>
        <v>0</v>
      </c>
      <c r="M293" s="625">
        <f t="shared" si="162"/>
        <v>0</v>
      </c>
      <c r="N293" s="624">
        <f t="shared" si="166"/>
        <v>0</v>
      </c>
      <c r="O293" s="624">
        <f t="shared" si="163"/>
        <v>0</v>
      </c>
      <c r="P293" s="626">
        <f t="shared" si="163"/>
        <v>0</v>
      </c>
      <c r="Q293" s="624">
        <f t="shared" si="163"/>
        <v>0</v>
      </c>
      <c r="S293" s="796">
        <f t="shared" si="167"/>
        <v>0</v>
      </c>
      <c r="T293" s="796">
        <f t="shared" si="167"/>
        <v>0</v>
      </c>
      <c r="U293" s="796">
        <f t="shared" si="167"/>
        <v>0</v>
      </c>
      <c r="V293" s="796">
        <f t="shared" si="167"/>
        <v>0</v>
      </c>
      <c r="W293" s="796">
        <f t="shared" si="167"/>
        <v>0</v>
      </c>
      <c r="X293" s="796">
        <f t="shared" si="167"/>
        <v>0</v>
      </c>
      <c r="Y293" s="802">
        <f t="shared" si="167"/>
        <v>0</v>
      </c>
      <c r="Z293" s="802">
        <f t="shared" si="167"/>
        <v>0</v>
      </c>
      <c r="AA293" s="796">
        <f t="shared" si="167"/>
        <v>0</v>
      </c>
      <c r="AB293" s="796">
        <f t="shared" si="167"/>
        <v>0</v>
      </c>
      <c r="AC293" s="796">
        <f t="shared" si="167"/>
        <v>0</v>
      </c>
      <c r="AD293" s="796">
        <f t="shared" si="167"/>
        <v>0</v>
      </c>
      <c r="AE293" s="802">
        <f t="shared" si="167"/>
        <v>0</v>
      </c>
      <c r="AF293" s="804"/>
      <c r="AH293" s="804"/>
    </row>
    <row r="294" spans="1:34">
      <c r="A294" s="239"/>
      <c r="B294" s="239" t="s">
        <v>78</v>
      </c>
      <c r="C294" s="806">
        <f t="shared" si="165"/>
        <v>0</v>
      </c>
      <c r="D294" s="806">
        <f t="shared" si="162"/>
        <v>0</v>
      </c>
      <c r="E294" s="806">
        <f t="shared" si="162"/>
        <v>0</v>
      </c>
      <c r="F294" s="806">
        <f t="shared" si="162"/>
        <v>0</v>
      </c>
      <c r="G294" s="806">
        <f t="shared" si="162"/>
        <v>0</v>
      </c>
      <c r="H294" s="806">
        <f t="shared" si="162"/>
        <v>0</v>
      </c>
      <c r="I294" s="624">
        <f t="shared" si="162"/>
        <v>0</v>
      </c>
      <c r="J294" s="624">
        <f t="shared" si="162"/>
        <v>0</v>
      </c>
      <c r="K294" s="625">
        <f t="shared" si="162"/>
        <v>0</v>
      </c>
      <c r="L294" s="625">
        <f t="shared" si="162"/>
        <v>0</v>
      </c>
      <c r="M294" s="625">
        <f t="shared" si="162"/>
        <v>0</v>
      </c>
      <c r="N294" s="624">
        <f t="shared" si="166"/>
        <v>0</v>
      </c>
      <c r="O294" s="624">
        <f t="shared" si="163"/>
        <v>0</v>
      </c>
      <c r="P294" s="626">
        <f t="shared" si="163"/>
        <v>0</v>
      </c>
      <c r="Q294" s="624">
        <f t="shared" si="163"/>
        <v>0</v>
      </c>
      <c r="S294" s="796">
        <f t="shared" si="167"/>
        <v>0</v>
      </c>
      <c r="T294" s="796">
        <f t="shared" si="167"/>
        <v>0</v>
      </c>
      <c r="U294" s="796">
        <f t="shared" si="167"/>
        <v>0</v>
      </c>
      <c r="V294" s="796">
        <f t="shared" si="167"/>
        <v>0</v>
      </c>
      <c r="W294" s="796">
        <f t="shared" si="167"/>
        <v>0</v>
      </c>
      <c r="X294" s="796">
        <f t="shared" si="167"/>
        <v>0</v>
      </c>
      <c r="Y294" s="802">
        <f t="shared" si="167"/>
        <v>0</v>
      </c>
      <c r="Z294" s="802">
        <f t="shared" si="167"/>
        <v>0</v>
      </c>
      <c r="AA294" s="796">
        <f t="shared" si="167"/>
        <v>0</v>
      </c>
      <c r="AB294" s="796">
        <f t="shared" si="167"/>
        <v>0</v>
      </c>
      <c r="AC294" s="796">
        <f t="shared" si="167"/>
        <v>0</v>
      </c>
      <c r="AD294" s="796">
        <f t="shared" si="167"/>
        <v>0</v>
      </c>
      <c r="AE294" s="802">
        <f t="shared" si="167"/>
        <v>0</v>
      </c>
      <c r="AF294" s="804"/>
      <c r="AH294" s="804"/>
    </row>
    <row r="295" spans="1:34">
      <c r="A295" s="580"/>
      <c r="B295" s="580" t="s">
        <v>131</v>
      </c>
      <c r="C295" s="806">
        <f t="shared" si="165"/>
        <v>0</v>
      </c>
      <c r="D295" s="806">
        <f t="shared" si="162"/>
        <v>0</v>
      </c>
      <c r="E295" s="806">
        <f t="shared" si="162"/>
        <v>0</v>
      </c>
      <c r="F295" s="806">
        <f t="shared" si="162"/>
        <v>0</v>
      </c>
      <c r="G295" s="806">
        <f t="shared" si="162"/>
        <v>0</v>
      </c>
      <c r="H295" s="806">
        <f t="shared" si="162"/>
        <v>0</v>
      </c>
      <c r="I295" s="624">
        <f t="shared" si="162"/>
        <v>0</v>
      </c>
      <c r="J295" s="624">
        <f t="shared" si="162"/>
        <v>0</v>
      </c>
      <c r="K295" s="625">
        <f t="shared" si="162"/>
        <v>0</v>
      </c>
      <c r="L295" s="625">
        <f t="shared" si="162"/>
        <v>0</v>
      </c>
      <c r="M295" s="625">
        <f t="shared" si="162"/>
        <v>0</v>
      </c>
      <c r="N295" s="624">
        <f t="shared" si="166"/>
        <v>0</v>
      </c>
      <c r="O295" s="624">
        <f t="shared" si="163"/>
        <v>0</v>
      </c>
      <c r="P295" s="626">
        <f t="shared" si="163"/>
        <v>0</v>
      </c>
      <c r="Q295" s="624">
        <f t="shared" si="163"/>
        <v>0</v>
      </c>
      <c r="S295" s="796">
        <f t="shared" si="167"/>
        <v>0</v>
      </c>
      <c r="T295" s="796">
        <f t="shared" si="167"/>
        <v>0</v>
      </c>
      <c r="U295" s="796">
        <f t="shared" si="167"/>
        <v>0</v>
      </c>
      <c r="V295" s="796">
        <f t="shared" si="167"/>
        <v>0</v>
      </c>
      <c r="W295" s="796">
        <f t="shared" si="167"/>
        <v>0</v>
      </c>
      <c r="X295" s="796">
        <f t="shared" si="167"/>
        <v>0</v>
      </c>
      <c r="Y295" s="802">
        <f t="shared" si="167"/>
        <v>0</v>
      </c>
      <c r="Z295" s="802">
        <f t="shared" si="167"/>
        <v>0</v>
      </c>
      <c r="AA295" s="796">
        <f t="shared" si="167"/>
        <v>0</v>
      </c>
      <c r="AB295" s="796">
        <f t="shared" si="167"/>
        <v>0</v>
      </c>
      <c r="AC295" s="796">
        <f t="shared" si="167"/>
        <v>0</v>
      </c>
      <c r="AD295" s="796">
        <f t="shared" si="167"/>
        <v>0</v>
      </c>
      <c r="AE295" s="802">
        <f t="shared" si="167"/>
        <v>0</v>
      </c>
      <c r="AF295" s="804"/>
      <c r="AH295" s="804"/>
    </row>
    <row r="296" spans="1:34">
      <c r="A296" s="436" t="s">
        <v>86</v>
      </c>
      <c r="B296" s="436" t="s">
        <v>59</v>
      </c>
      <c r="C296" s="807">
        <f t="shared" si="165"/>
        <v>0</v>
      </c>
      <c r="D296" s="808">
        <f t="shared" si="162"/>
        <v>0</v>
      </c>
      <c r="E296" s="808">
        <f t="shared" si="162"/>
        <v>0</v>
      </c>
      <c r="F296" s="808">
        <f t="shared" si="162"/>
        <v>0</v>
      </c>
      <c r="G296" s="808">
        <f t="shared" si="162"/>
        <v>0</v>
      </c>
      <c r="H296" s="809">
        <f t="shared" si="162"/>
        <v>0</v>
      </c>
      <c r="I296" s="577">
        <f t="shared" si="162"/>
        <v>0</v>
      </c>
      <c r="J296" s="577">
        <f t="shared" si="162"/>
        <v>0</v>
      </c>
      <c r="K296" s="578">
        <f t="shared" si="162"/>
        <v>0</v>
      </c>
      <c r="L296" s="578">
        <f t="shared" si="162"/>
        <v>0</v>
      </c>
      <c r="M296" s="578">
        <f t="shared" si="162"/>
        <v>0</v>
      </c>
      <c r="N296" s="577">
        <f t="shared" si="166"/>
        <v>0</v>
      </c>
      <c r="O296" s="577">
        <f t="shared" si="163"/>
        <v>0</v>
      </c>
      <c r="P296" s="579">
        <f t="shared" si="163"/>
        <v>0</v>
      </c>
      <c r="Q296" s="577">
        <f t="shared" si="163"/>
        <v>0</v>
      </c>
      <c r="S296" s="796">
        <f t="shared" si="167"/>
        <v>0</v>
      </c>
      <c r="T296" s="796">
        <f t="shared" si="167"/>
        <v>0</v>
      </c>
      <c r="U296" s="796">
        <f t="shared" si="167"/>
        <v>0</v>
      </c>
      <c r="V296" s="796">
        <f t="shared" si="167"/>
        <v>0</v>
      </c>
      <c r="W296" s="796">
        <f t="shared" si="167"/>
        <v>0</v>
      </c>
      <c r="X296" s="796">
        <f t="shared" si="167"/>
        <v>0</v>
      </c>
      <c r="Y296" s="802">
        <f t="shared" si="167"/>
        <v>0</v>
      </c>
      <c r="Z296" s="802">
        <f t="shared" si="167"/>
        <v>0</v>
      </c>
      <c r="AA296" s="796">
        <f t="shared" si="167"/>
        <v>0</v>
      </c>
      <c r="AB296" s="796">
        <f t="shared" si="167"/>
        <v>0</v>
      </c>
      <c r="AC296" s="796">
        <f t="shared" si="167"/>
        <v>0</v>
      </c>
      <c r="AD296" s="796">
        <f t="shared" si="167"/>
        <v>0</v>
      </c>
      <c r="AE296" s="802">
        <f t="shared" si="167"/>
        <v>0</v>
      </c>
      <c r="AF296" s="804"/>
      <c r="AH296" s="804"/>
    </row>
    <row r="297" spans="1:34">
      <c r="A297" s="240" t="s">
        <v>140</v>
      </c>
      <c r="B297" s="240" t="s">
        <v>53</v>
      </c>
      <c r="C297" s="806">
        <f>IF(S$302&gt;0,(S297/S$302),0)</f>
        <v>0</v>
      </c>
      <c r="D297" s="806">
        <f t="shared" ref="D297:M302" si="168">IF(T$302&gt;0,(T297/T$302),0)</f>
        <v>0</v>
      </c>
      <c r="E297" s="806">
        <f t="shared" si="168"/>
        <v>0</v>
      </c>
      <c r="F297" s="806">
        <f t="shared" si="168"/>
        <v>0</v>
      </c>
      <c r="G297" s="806">
        <f t="shared" si="168"/>
        <v>0</v>
      </c>
      <c r="H297" s="806">
        <f t="shared" si="168"/>
        <v>0</v>
      </c>
      <c r="I297" s="613">
        <f t="shared" si="168"/>
        <v>0</v>
      </c>
      <c r="J297" s="613">
        <f t="shared" si="168"/>
        <v>0</v>
      </c>
      <c r="K297" s="614">
        <f t="shared" si="168"/>
        <v>0</v>
      </c>
      <c r="L297" s="614">
        <f t="shared" si="168"/>
        <v>0</v>
      </c>
      <c r="M297" s="614">
        <f t="shared" si="168"/>
        <v>0</v>
      </c>
      <c r="N297" s="613">
        <f>IF(AE$302&gt;0,(AE297/AE$302),0)</f>
        <v>0</v>
      </c>
      <c r="O297" s="613">
        <f t="shared" ref="O297:Q302" si="169">IF(AF$302&gt;0,(AF297/AF$302),0)</f>
        <v>0</v>
      </c>
      <c r="P297" s="615">
        <f t="shared" si="169"/>
        <v>0</v>
      </c>
      <c r="Q297" s="613">
        <f t="shared" si="169"/>
        <v>0</v>
      </c>
      <c r="R297" s="799"/>
      <c r="S297" s="798"/>
      <c r="T297" s="798"/>
      <c r="U297" s="798"/>
      <c r="V297" s="798"/>
      <c r="W297" s="798"/>
      <c r="X297" s="798"/>
      <c r="Y297" s="803"/>
      <c r="Z297" s="803"/>
      <c r="AA297" s="798"/>
      <c r="AB297" s="798"/>
      <c r="AC297" s="798"/>
      <c r="AD297" s="798"/>
      <c r="AE297" s="803"/>
      <c r="AF297" s="803"/>
      <c r="AG297" s="798"/>
      <c r="AH297" s="803"/>
    </row>
    <row r="298" spans="1:34">
      <c r="A298" s="239"/>
      <c r="B298" s="239" t="s">
        <v>93</v>
      </c>
      <c r="C298" s="806">
        <f t="shared" ref="C298:C302" si="170">IF(S$302&gt;0,(S298/S$302),0)</f>
        <v>0</v>
      </c>
      <c r="D298" s="806">
        <f t="shared" si="168"/>
        <v>0</v>
      </c>
      <c r="E298" s="806">
        <f t="shared" si="168"/>
        <v>0</v>
      </c>
      <c r="F298" s="806">
        <f t="shared" si="168"/>
        <v>0</v>
      </c>
      <c r="G298" s="806">
        <f t="shared" si="168"/>
        <v>0</v>
      </c>
      <c r="H298" s="806">
        <f t="shared" si="168"/>
        <v>0</v>
      </c>
      <c r="I298" s="624">
        <f t="shared" si="168"/>
        <v>0</v>
      </c>
      <c r="J298" s="624">
        <f t="shared" si="168"/>
        <v>0</v>
      </c>
      <c r="K298" s="625">
        <f t="shared" si="168"/>
        <v>0</v>
      </c>
      <c r="L298" s="625">
        <f t="shared" si="168"/>
        <v>0</v>
      </c>
      <c r="M298" s="625">
        <f t="shared" si="168"/>
        <v>0</v>
      </c>
      <c r="N298" s="624">
        <f t="shared" ref="N298:N302" si="171">IF(AE$302&gt;0,(AE298/AE$302),0)</f>
        <v>0</v>
      </c>
      <c r="O298" s="624">
        <f t="shared" si="169"/>
        <v>0</v>
      </c>
      <c r="P298" s="626">
        <f t="shared" si="169"/>
        <v>0</v>
      </c>
      <c r="Q298" s="624">
        <f t="shared" si="169"/>
        <v>0</v>
      </c>
      <c r="Y298" s="804"/>
      <c r="Z298" s="804"/>
      <c r="AE298" s="804"/>
      <c r="AF298" s="804"/>
      <c r="AH298" s="804"/>
    </row>
    <row r="299" spans="1:34">
      <c r="A299" s="239"/>
      <c r="B299" s="239" t="s">
        <v>55</v>
      </c>
      <c r="C299" s="806">
        <f t="shared" si="170"/>
        <v>0</v>
      </c>
      <c r="D299" s="806">
        <f t="shared" si="168"/>
        <v>0</v>
      </c>
      <c r="E299" s="806">
        <f t="shared" si="168"/>
        <v>0</v>
      </c>
      <c r="F299" s="806">
        <f t="shared" si="168"/>
        <v>0</v>
      </c>
      <c r="G299" s="806">
        <f t="shared" si="168"/>
        <v>0</v>
      </c>
      <c r="H299" s="806">
        <f t="shared" si="168"/>
        <v>0</v>
      </c>
      <c r="I299" s="624">
        <f t="shared" si="168"/>
        <v>0</v>
      </c>
      <c r="J299" s="624">
        <f t="shared" si="168"/>
        <v>0</v>
      </c>
      <c r="K299" s="625">
        <f t="shared" si="168"/>
        <v>0</v>
      </c>
      <c r="L299" s="625">
        <f t="shared" si="168"/>
        <v>0</v>
      </c>
      <c r="M299" s="625">
        <f t="shared" si="168"/>
        <v>0</v>
      </c>
      <c r="N299" s="624">
        <f t="shared" si="171"/>
        <v>0</v>
      </c>
      <c r="O299" s="624">
        <f t="shared" si="169"/>
        <v>0</v>
      </c>
      <c r="P299" s="626">
        <f t="shared" si="169"/>
        <v>0</v>
      </c>
      <c r="Q299" s="624">
        <f t="shared" si="169"/>
        <v>0</v>
      </c>
      <c r="Y299" s="804"/>
      <c r="Z299" s="804"/>
      <c r="AE299" s="804"/>
      <c r="AF299" s="804"/>
      <c r="AH299" s="804"/>
    </row>
    <row r="300" spans="1:34">
      <c r="A300" s="239"/>
      <c r="B300" s="239" t="s">
        <v>78</v>
      </c>
      <c r="C300" s="806">
        <f t="shared" si="170"/>
        <v>0</v>
      </c>
      <c r="D300" s="806">
        <f t="shared" si="168"/>
        <v>0</v>
      </c>
      <c r="E300" s="806">
        <f t="shared" si="168"/>
        <v>0</v>
      </c>
      <c r="F300" s="806">
        <f t="shared" si="168"/>
        <v>0</v>
      </c>
      <c r="G300" s="806">
        <f t="shared" si="168"/>
        <v>0</v>
      </c>
      <c r="H300" s="806">
        <f t="shared" si="168"/>
        <v>0</v>
      </c>
      <c r="I300" s="624">
        <f t="shared" si="168"/>
        <v>0</v>
      </c>
      <c r="J300" s="624">
        <f t="shared" si="168"/>
        <v>0</v>
      </c>
      <c r="K300" s="625">
        <f t="shared" si="168"/>
        <v>0</v>
      </c>
      <c r="L300" s="625">
        <f t="shared" si="168"/>
        <v>0</v>
      </c>
      <c r="M300" s="625">
        <f t="shared" si="168"/>
        <v>0</v>
      </c>
      <c r="N300" s="624">
        <f t="shared" si="171"/>
        <v>0</v>
      </c>
      <c r="O300" s="624">
        <f t="shared" si="169"/>
        <v>0</v>
      </c>
      <c r="P300" s="626">
        <f t="shared" si="169"/>
        <v>0</v>
      </c>
      <c r="Q300" s="624">
        <f t="shared" si="169"/>
        <v>0</v>
      </c>
      <c r="Y300" s="804"/>
      <c r="Z300" s="804"/>
      <c r="AE300" s="804"/>
      <c r="AF300" s="804"/>
      <c r="AH300" s="804"/>
    </row>
    <row r="301" spans="1:34">
      <c r="A301" s="580"/>
      <c r="B301" s="580" t="s">
        <v>131</v>
      </c>
      <c r="C301" s="806">
        <f t="shared" si="170"/>
        <v>0</v>
      </c>
      <c r="D301" s="806">
        <f t="shared" si="168"/>
        <v>0</v>
      </c>
      <c r="E301" s="806">
        <f t="shared" si="168"/>
        <v>0</v>
      </c>
      <c r="F301" s="806">
        <f t="shared" si="168"/>
        <v>0</v>
      </c>
      <c r="G301" s="806">
        <f t="shared" si="168"/>
        <v>0</v>
      </c>
      <c r="H301" s="806">
        <f t="shared" si="168"/>
        <v>0</v>
      </c>
      <c r="I301" s="624">
        <f t="shared" si="168"/>
        <v>0</v>
      </c>
      <c r="J301" s="624">
        <f t="shared" si="168"/>
        <v>0</v>
      </c>
      <c r="K301" s="625">
        <f t="shared" si="168"/>
        <v>0</v>
      </c>
      <c r="L301" s="625">
        <f t="shared" si="168"/>
        <v>0</v>
      </c>
      <c r="M301" s="625">
        <f t="shared" si="168"/>
        <v>0</v>
      </c>
      <c r="N301" s="624">
        <f t="shared" si="171"/>
        <v>0</v>
      </c>
      <c r="O301" s="624">
        <f t="shared" si="169"/>
        <v>0</v>
      </c>
      <c r="P301" s="626">
        <f t="shared" si="169"/>
        <v>0</v>
      </c>
      <c r="Q301" s="624">
        <f t="shared" si="169"/>
        <v>0</v>
      </c>
      <c r="Y301" s="804"/>
      <c r="Z301" s="804"/>
      <c r="AE301" s="804"/>
      <c r="AF301" s="804"/>
      <c r="AH301" s="804"/>
    </row>
    <row r="302" spans="1:34">
      <c r="A302" s="436"/>
      <c r="B302" s="436" t="s">
        <v>59</v>
      </c>
      <c r="C302" s="807">
        <f t="shared" si="170"/>
        <v>0</v>
      </c>
      <c r="D302" s="808">
        <f t="shared" si="168"/>
        <v>0</v>
      </c>
      <c r="E302" s="808">
        <f t="shared" si="168"/>
        <v>0</v>
      </c>
      <c r="F302" s="808">
        <f t="shared" si="168"/>
        <v>0</v>
      </c>
      <c r="G302" s="808">
        <f t="shared" si="168"/>
        <v>0</v>
      </c>
      <c r="H302" s="809">
        <f t="shared" si="168"/>
        <v>0</v>
      </c>
      <c r="I302" s="577">
        <f t="shared" si="168"/>
        <v>0</v>
      </c>
      <c r="J302" s="577">
        <f t="shared" si="168"/>
        <v>0</v>
      </c>
      <c r="K302" s="578">
        <f t="shared" si="168"/>
        <v>0</v>
      </c>
      <c r="L302" s="578">
        <f t="shared" si="168"/>
        <v>0</v>
      </c>
      <c r="M302" s="578">
        <f t="shared" si="168"/>
        <v>0</v>
      </c>
      <c r="N302" s="577">
        <f t="shared" si="171"/>
        <v>0</v>
      </c>
      <c r="O302" s="577">
        <f t="shared" si="169"/>
        <v>0</v>
      </c>
      <c r="P302" s="579">
        <f t="shared" si="169"/>
        <v>0</v>
      </c>
      <c r="Q302" s="577">
        <f t="shared" si="169"/>
        <v>0</v>
      </c>
      <c r="Y302" s="804"/>
      <c r="Z302" s="804"/>
      <c r="AE302" s="804"/>
      <c r="AF302" s="804"/>
      <c r="AH302" s="804"/>
    </row>
    <row r="303" spans="1:34">
      <c r="A303" s="240" t="s">
        <v>148</v>
      </c>
      <c r="B303" s="240" t="s">
        <v>53</v>
      </c>
      <c r="C303" s="806">
        <f>IF(S$308&gt;0,(S303/S$308),0)</f>
        <v>0</v>
      </c>
      <c r="D303" s="806">
        <f t="shared" ref="D303:M308" si="172">IF(T$308&gt;0,(T303/T$308),0)</f>
        <v>0</v>
      </c>
      <c r="E303" s="806">
        <f t="shared" si="172"/>
        <v>0</v>
      </c>
      <c r="F303" s="806">
        <f t="shared" si="172"/>
        <v>0</v>
      </c>
      <c r="G303" s="806">
        <f t="shared" si="172"/>
        <v>0</v>
      </c>
      <c r="H303" s="806">
        <f t="shared" si="172"/>
        <v>0</v>
      </c>
      <c r="I303" s="613">
        <f t="shared" si="172"/>
        <v>0</v>
      </c>
      <c r="J303" s="613">
        <f t="shared" si="172"/>
        <v>0</v>
      </c>
      <c r="K303" s="614">
        <f t="shared" si="172"/>
        <v>0</v>
      </c>
      <c r="L303" s="614">
        <f t="shared" si="172"/>
        <v>0</v>
      </c>
      <c r="M303" s="614">
        <f t="shared" si="172"/>
        <v>0</v>
      </c>
      <c r="N303" s="613">
        <f>IF(AE$308&gt;0,(AE303/AE$308),0)</f>
        <v>0</v>
      </c>
      <c r="O303" s="613">
        <f t="shared" ref="O303:Q308" si="173">IF(AF$308&gt;0,(AF303/AF$308),0)</f>
        <v>0</v>
      </c>
      <c r="P303" s="615">
        <f t="shared" si="173"/>
        <v>0</v>
      </c>
      <c r="Q303" s="613">
        <f t="shared" si="173"/>
        <v>0</v>
      </c>
      <c r="R303" s="799"/>
      <c r="S303" s="798"/>
      <c r="T303" s="798"/>
      <c r="U303" s="798"/>
      <c r="V303" s="798"/>
      <c r="W303" s="798"/>
      <c r="X303" s="798"/>
      <c r="Y303" s="803"/>
      <c r="Z303" s="803"/>
      <c r="AA303" s="798"/>
      <c r="AB303" s="798"/>
      <c r="AC303" s="798"/>
      <c r="AD303" s="798"/>
      <c r="AE303" s="803"/>
      <c r="AF303" s="803"/>
      <c r="AG303" s="798"/>
      <c r="AH303" s="803"/>
    </row>
    <row r="304" spans="1:34">
      <c r="A304" s="239"/>
      <c r="B304" s="239" t="s">
        <v>93</v>
      </c>
      <c r="C304" s="806">
        <f t="shared" ref="C304:C308" si="174">IF(S$308&gt;0,(S304/S$308),0)</f>
        <v>0</v>
      </c>
      <c r="D304" s="806">
        <f t="shared" si="172"/>
        <v>0</v>
      </c>
      <c r="E304" s="806">
        <f t="shared" si="172"/>
        <v>0</v>
      </c>
      <c r="F304" s="806">
        <f t="shared" si="172"/>
        <v>0</v>
      </c>
      <c r="G304" s="806">
        <f t="shared" si="172"/>
        <v>0</v>
      </c>
      <c r="H304" s="806">
        <f t="shared" si="172"/>
        <v>0</v>
      </c>
      <c r="I304" s="624">
        <f t="shared" si="172"/>
        <v>0</v>
      </c>
      <c r="J304" s="624">
        <f t="shared" si="172"/>
        <v>0</v>
      </c>
      <c r="K304" s="625">
        <f t="shared" si="172"/>
        <v>0</v>
      </c>
      <c r="L304" s="625">
        <f t="shared" si="172"/>
        <v>0</v>
      </c>
      <c r="M304" s="625">
        <f t="shared" si="172"/>
        <v>0</v>
      </c>
      <c r="N304" s="624">
        <f t="shared" ref="N304:N308" si="175">IF(AE$308&gt;0,(AE304/AE$308),0)</f>
        <v>0</v>
      </c>
      <c r="O304" s="624">
        <f t="shared" si="173"/>
        <v>0</v>
      </c>
      <c r="P304" s="626">
        <f t="shared" si="173"/>
        <v>0</v>
      </c>
      <c r="Q304" s="624">
        <f t="shared" si="173"/>
        <v>0</v>
      </c>
      <c r="Y304" s="804"/>
      <c r="Z304" s="804"/>
      <c r="AE304" s="804"/>
      <c r="AF304" s="804"/>
      <c r="AH304" s="804"/>
    </row>
    <row r="305" spans="1:34">
      <c r="A305" s="239"/>
      <c r="B305" s="239" t="s">
        <v>55</v>
      </c>
      <c r="C305" s="806">
        <f t="shared" si="174"/>
        <v>0</v>
      </c>
      <c r="D305" s="806">
        <f t="shared" si="172"/>
        <v>0</v>
      </c>
      <c r="E305" s="806">
        <f t="shared" si="172"/>
        <v>0</v>
      </c>
      <c r="F305" s="806">
        <f t="shared" si="172"/>
        <v>0</v>
      </c>
      <c r="G305" s="806">
        <f t="shared" si="172"/>
        <v>0</v>
      </c>
      <c r="H305" s="806">
        <f t="shared" si="172"/>
        <v>0</v>
      </c>
      <c r="I305" s="624">
        <f t="shared" si="172"/>
        <v>0</v>
      </c>
      <c r="J305" s="624">
        <f t="shared" si="172"/>
        <v>0</v>
      </c>
      <c r="K305" s="625">
        <f t="shared" si="172"/>
        <v>0</v>
      </c>
      <c r="L305" s="625">
        <f t="shared" si="172"/>
        <v>0</v>
      </c>
      <c r="M305" s="625">
        <f t="shared" si="172"/>
        <v>0</v>
      </c>
      <c r="N305" s="624">
        <f t="shared" si="175"/>
        <v>0</v>
      </c>
      <c r="O305" s="624">
        <f t="shared" si="173"/>
        <v>0</v>
      </c>
      <c r="P305" s="626">
        <f t="shared" si="173"/>
        <v>0</v>
      </c>
      <c r="Q305" s="624">
        <f t="shared" si="173"/>
        <v>0</v>
      </c>
      <c r="Y305" s="804"/>
      <c r="Z305" s="804"/>
      <c r="AE305" s="804"/>
      <c r="AF305" s="804"/>
      <c r="AH305" s="804"/>
    </row>
    <row r="306" spans="1:34">
      <c r="A306" s="239"/>
      <c r="B306" s="239" t="s">
        <v>78</v>
      </c>
      <c r="C306" s="806">
        <f t="shared" si="174"/>
        <v>0</v>
      </c>
      <c r="D306" s="806">
        <f t="shared" si="172"/>
        <v>0</v>
      </c>
      <c r="E306" s="806">
        <f t="shared" si="172"/>
        <v>0</v>
      </c>
      <c r="F306" s="806">
        <f t="shared" si="172"/>
        <v>0</v>
      </c>
      <c r="G306" s="806">
        <f t="shared" si="172"/>
        <v>0</v>
      </c>
      <c r="H306" s="806">
        <f t="shared" si="172"/>
        <v>0</v>
      </c>
      <c r="I306" s="624">
        <f t="shared" si="172"/>
        <v>0</v>
      </c>
      <c r="J306" s="624">
        <f t="shared" si="172"/>
        <v>0</v>
      </c>
      <c r="K306" s="625">
        <f t="shared" si="172"/>
        <v>0</v>
      </c>
      <c r="L306" s="625">
        <f t="shared" si="172"/>
        <v>0</v>
      </c>
      <c r="M306" s="625">
        <f t="shared" si="172"/>
        <v>0</v>
      </c>
      <c r="N306" s="624">
        <f t="shared" si="175"/>
        <v>0</v>
      </c>
      <c r="O306" s="624">
        <f t="shared" si="173"/>
        <v>0</v>
      </c>
      <c r="P306" s="626">
        <f t="shared" si="173"/>
        <v>0</v>
      </c>
      <c r="Q306" s="624">
        <f t="shared" si="173"/>
        <v>0</v>
      </c>
      <c r="Y306" s="804"/>
      <c r="Z306" s="804"/>
      <c r="AE306" s="804"/>
      <c r="AF306" s="804"/>
      <c r="AH306" s="804"/>
    </row>
    <row r="307" spans="1:34">
      <c r="A307" s="580"/>
      <c r="B307" s="580" t="s">
        <v>131</v>
      </c>
      <c r="C307" s="806">
        <f t="shared" si="174"/>
        <v>0</v>
      </c>
      <c r="D307" s="806">
        <f t="shared" si="172"/>
        <v>0</v>
      </c>
      <c r="E307" s="806">
        <f t="shared" si="172"/>
        <v>0</v>
      </c>
      <c r="F307" s="806">
        <f t="shared" si="172"/>
        <v>0</v>
      </c>
      <c r="G307" s="806">
        <f t="shared" si="172"/>
        <v>0</v>
      </c>
      <c r="H307" s="806">
        <f t="shared" si="172"/>
        <v>0</v>
      </c>
      <c r="I307" s="624">
        <f t="shared" si="172"/>
        <v>0</v>
      </c>
      <c r="J307" s="624">
        <f t="shared" si="172"/>
        <v>0</v>
      </c>
      <c r="K307" s="625">
        <f t="shared" si="172"/>
        <v>0</v>
      </c>
      <c r="L307" s="625">
        <f t="shared" si="172"/>
        <v>0</v>
      </c>
      <c r="M307" s="625">
        <f t="shared" si="172"/>
        <v>0</v>
      </c>
      <c r="N307" s="624">
        <f t="shared" si="175"/>
        <v>0</v>
      </c>
      <c r="O307" s="624">
        <f t="shared" si="173"/>
        <v>0</v>
      </c>
      <c r="P307" s="626">
        <f t="shared" si="173"/>
        <v>0</v>
      </c>
      <c r="Q307" s="624">
        <f t="shared" si="173"/>
        <v>0</v>
      </c>
      <c r="Y307" s="804"/>
      <c r="Z307" s="804"/>
      <c r="AE307" s="804"/>
      <c r="AF307" s="804"/>
      <c r="AH307" s="804"/>
    </row>
    <row r="308" spans="1:34" ht="15" customHeight="1">
      <c r="A308" s="436"/>
      <c r="B308" s="436" t="s">
        <v>59</v>
      </c>
      <c r="C308" s="807">
        <f t="shared" si="174"/>
        <v>0</v>
      </c>
      <c r="D308" s="808">
        <f t="shared" si="172"/>
        <v>0</v>
      </c>
      <c r="E308" s="808">
        <f t="shared" si="172"/>
        <v>0</v>
      </c>
      <c r="F308" s="808">
        <f t="shared" si="172"/>
        <v>0</v>
      </c>
      <c r="G308" s="808">
        <f t="shared" si="172"/>
        <v>0</v>
      </c>
      <c r="H308" s="809">
        <f t="shared" si="172"/>
        <v>0</v>
      </c>
      <c r="I308" s="577">
        <f t="shared" si="172"/>
        <v>0</v>
      </c>
      <c r="J308" s="577">
        <f t="shared" si="172"/>
        <v>0</v>
      </c>
      <c r="K308" s="578">
        <f t="shared" si="172"/>
        <v>0</v>
      </c>
      <c r="L308" s="578">
        <f t="shared" si="172"/>
        <v>0</v>
      </c>
      <c r="M308" s="578">
        <f t="shared" si="172"/>
        <v>0</v>
      </c>
      <c r="N308" s="577">
        <f t="shared" si="175"/>
        <v>0</v>
      </c>
      <c r="O308" s="577">
        <f t="shared" si="173"/>
        <v>0</v>
      </c>
      <c r="P308" s="579">
        <f t="shared" si="173"/>
        <v>0</v>
      </c>
      <c r="Q308" s="577">
        <f t="shared" si="173"/>
        <v>0</v>
      </c>
      <c r="Y308" s="804"/>
      <c r="Z308" s="804"/>
      <c r="AE308" s="804"/>
      <c r="AF308" s="804"/>
      <c r="AH308" s="804"/>
    </row>
    <row r="309" spans="1:34">
      <c r="A309" s="240" t="s">
        <v>147</v>
      </c>
      <c r="B309" s="240" t="s">
        <v>53</v>
      </c>
      <c r="C309" s="806">
        <f>IF(S$314&gt;0,(S309/S$314),0)</f>
        <v>0</v>
      </c>
      <c r="D309" s="806">
        <f t="shared" ref="D309:M314" si="176">IF(T$314&gt;0,(T309/T$314),0)</f>
        <v>0</v>
      </c>
      <c r="E309" s="806">
        <f t="shared" si="176"/>
        <v>0</v>
      </c>
      <c r="F309" s="806">
        <f t="shared" si="176"/>
        <v>0</v>
      </c>
      <c r="G309" s="806">
        <f t="shared" si="176"/>
        <v>0</v>
      </c>
      <c r="H309" s="806">
        <f t="shared" si="176"/>
        <v>0</v>
      </c>
      <c r="I309" s="613">
        <f t="shared" si="176"/>
        <v>0</v>
      </c>
      <c r="J309" s="613">
        <f t="shared" si="176"/>
        <v>0</v>
      </c>
      <c r="K309" s="614">
        <f t="shared" si="176"/>
        <v>0</v>
      </c>
      <c r="L309" s="614">
        <f t="shared" si="176"/>
        <v>0</v>
      </c>
      <c r="M309" s="614">
        <f t="shared" si="176"/>
        <v>0</v>
      </c>
      <c r="N309" s="613">
        <f>IF(AE$314&gt;0,(AE309/AE$314),0)</f>
        <v>0</v>
      </c>
      <c r="O309" s="613">
        <f t="shared" ref="O309:Q314" si="177">IF(AF$314&gt;0,(AF309/AF$314),0)</f>
        <v>0</v>
      </c>
      <c r="P309" s="615">
        <f t="shared" si="177"/>
        <v>0</v>
      </c>
      <c r="Q309" s="613">
        <f t="shared" si="177"/>
        <v>0</v>
      </c>
      <c r="R309" s="799"/>
      <c r="S309" s="798"/>
      <c r="T309" s="798"/>
      <c r="U309" s="798"/>
      <c r="V309" s="798"/>
      <c r="W309" s="798"/>
      <c r="X309" s="798"/>
      <c r="Y309" s="803"/>
      <c r="Z309" s="803"/>
      <c r="AA309" s="798"/>
      <c r="AB309" s="798"/>
      <c r="AC309" s="798"/>
      <c r="AD309" s="798"/>
      <c r="AE309" s="803"/>
      <c r="AF309" s="803"/>
      <c r="AG309" s="798"/>
      <c r="AH309" s="803"/>
    </row>
    <row r="310" spans="1:34">
      <c r="A310" s="239"/>
      <c r="B310" s="239" t="s">
        <v>93</v>
      </c>
      <c r="C310" s="806">
        <f t="shared" ref="C310:C314" si="178">IF(S$314&gt;0,(S310/S$314),0)</f>
        <v>0</v>
      </c>
      <c r="D310" s="806">
        <f t="shared" si="176"/>
        <v>0</v>
      </c>
      <c r="E310" s="806">
        <f t="shared" si="176"/>
        <v>0</v>
      </c>
      <c r="F310" s="806">
        <f t="shared" si="176"/>
        <v>0</v>
      </c>
      <c r="G310" s="806">
        <f t="shared" si="176"/>
        <v>0</v>
      </c>
      <c r="H310" s="806">
        <f t="shared" si="176"/>
        <v>0</v>
      </c>
      <c r="I310" s="624">
        <f t="shared" si="176"/>
        <v>0</v>
      </c>
      <c r="J310" s="624">
        <f t="shared" si="176"/>
        <v>0</v>
      </c>
      <c r="K310" s="625">
        <f t="shared" si="176"/>
        <v>0</v>
      </c>
      <c r="L310" s="625">
        <f t="shared" si="176"/>
        <v>0</v>
      </c>
      <c r="M310" s="625">
        <f t="shared" si="176"/>
        <v>0</v>
      </c>
      <c r="N310" s="624">
        <f t="shared" ref="N310:N314" si="179">IF(AE$314&gt;0,(AE310/AE$314),0)</f>
        <v>0</v>
      </c>
      <c r="O310" s="624">
        <f t="shared" si="177"/>
        <v>0</v>
      </c>
      <c r="P310" s="626">
        <f t="shared" si="177"/>
        <v>0</v>
      </c>
      <c r="Q310" s="624">
        <f t="shared" si="177"/>
        <v>0</v>
      </c>
      <c r="Y310" s="804"/>
      <c r="Z310" s="804"/>
      <c r="AE310" s="804"/>
      <c r="AF310" s="804"/>
      <c r="AH310" s="804"/>
    </row>
    <row r="311" spans="1:34">
      <c r="A311" s="239"/>
      <c r="B311" s="239" t="s">
        <v>55</v>
      </c>
      <c r="C311" s="806">
        <f t="shared" si="178"/>
        <v>0</v>
      </c>
      <c r="D311" s="806">
        <f t="shared" si="176"/>
        <v>0</v>
      </c>
      <c r="E311" s="806">
        <f t="shared" si="176"/>
        <v>0</v>
      </c>
      <c r="F311" s="806">
        <f t="shared" si="176"/>
        <v>0</v>
      </c>
      <c r="G311" s="806">
        <f t="shared" si="176"/>
        <v>0</v>
      </c>
      <c r="H311" s="806">
        <f t="shared" si="176"/>
        <v>0</v>
      </c>
      <c r="I311" s="624">
        <f t="shared" si="176"/>
        <v>0</v>
      </c>
      <c r="J311" s="624">
        <f t="shared" si="176"/>
        <v>0</v>
      </c>
      <c r="K311" s="625">
        <f t="shared" si="176"/>
        <v>0</v>
      </c>
      <c r="L311" s="625">
        <f t="shared" si="176"/>
        <v>0</v>
      </c>
      <c r="M311" s="625">
        <f t="shared" si="176"/>
        <v>0</v>
      </c>
      <c r="N311" s="624">
        <f t="shared" si="179"/>
        <v>0</v>
      </c>
      <c r="O311" s="624">
        <f t="shared" si="177"/>
        <v>0</v>
      </c>
      <c r="P311" s="626">
        <f t="shared" si="177"/>
        <v>0</v>
      </c>
      <c r="Q311" s="624">
        <f t="shared" si="177"/>
        <v>0</v>
      </c>
      <c r="Y311" s="804"/>
      <c r="Z311" s="804"/>
      <c r="AE311" s="804"/>
      <c r="AF311" s="804"/>
      <c r="AH311" s="804"/>
    </row>
    <row r="312" spans="1:34">
      <c r="A312" s="239"/>
      <c r="B312" s="239" t="s">
        <v>78</v>
      </c>
      <c r="C312" s="806">
        <f t="shared" si="178"/>
        <v>0</v>
      </c>
      <c r="D312" s="806">
        <f t="shared" si="176"/>
        <v>0</v>
      </c>
      <c r="E312" s="806">
        <f t="shared" si="176"/>
        <v>0</v>
      </c>
      <c r="F312" s="806">
        <f t="shared" si="176"/>
        <v>0</v>
      </c>
      <c r="G312" s="806">
        <f t="shared" si="176"/>
        <v>0</v>
      </c>
      <c r="H312" s="806">
        <f t="shared" si="176"/>
        <v>0</v>
      </c>
      <c r="I312" s="624">
        <f t="shared" si="176"/>
        <v>0</v>
      </c>
      <c r="J312" s="624">
        <f t="shared" si="176"/>
        <v>0</v>
      </c>
      <c r="K312" s="625">
        <f t="shared" si="176"/>
        <v>0</v>
      </c>
      <c r="L312" s="625">
        <f t="shared" si="176"/>
        <v>0</v>
      </c>
      <c r="M312" s="625">
        <f t="shared" si="176"/>
        <v>0</v>
      </c>
      <c r="N312" s="624">
        <f t="shared" si="179"/>
        <v>0</v>
      </c>
      <c r="O312" s="624">
        <f t="shared" si="177"/>
        <v>0</v>
      </c>
      <c r="P312" s="626">
        <f t="shared" si="177"/>
        <v>0</v>
      </c>
      <c r="Q312" s="624">
        <f t="shared" si="177"/>
        <v>0</v>
      </c>
      <c r="Y312" s="804"/>
      <c r="Z312" s="804"/>
      <c r="AE312" s="804"/>
      <c r="AF312" s="804"/>
      <c r="AH312" s="804"/>
    </row>
    <row r="313" spans="1:34">
      <c r="A313" s="580"/>
      <c r="B313" s="580" t="s">
        <v>131</v>
      </c>
      <c r="C313" s="806">
        <f t="shared" si="178"/>
        <v>0</v>
      </c>
      <c r="D313" s="806">
        <f t="shared" si="176"/>
        <v>0</v>
      </c>
      <c r="E313" s="806">
        <f t="shared" si="176"/>
        <v>0</v>
      </c>
      <c r="F313" s="806">
        <f t="shared" si="176"/>
        <v>0</v>
      </c>
      <c r="G313" s="806">
        <f t="shared" si="176"/>
        <v>0</v>
      </c>
      <c r="H313" s="806">
        <f t="shared" si="176"/>
        <v>0</v>
      </c>
      <c r="I313" s="624">
        <f t="shared" si="176"/>
        <v>0</v>
      </c>
      <c r="J313" s="624">
        <f t="shared" si="176"/>
        <v>0</v>
      </c>
      <c r="K313" s="625">
        <f t="shared" si="176"/>
        <v>0</v>
      </c>
      <c r="L313" s="625">
        <f t="shared" si="176"/>
        <v>0</v>
      </c>
      <c r="M313" s="625">
        <f t="shared" si="176"/>
        <v>0</v>
      </c>
      <c r="N313" s="624">
        <f t="shared" si="179"/>
        <v>0</v>
      </c>
      <c r="O313" s="624">
        <f t="shared" si="177"/>
        <v>0</v>
      </c>
      <c r="P313" s="626">
        <f t="shared" si="177"/>
        <v>0</v>
      </c>
      <c r="Q313" s="624">
        <f t="shared" si="177"/>
        <v>0</v>
      </c>
      <c r="Y313" s="804"/>
      <c r="Z313" s="804"/>
      <c r="AE313" s="804"/>
      <c r="AF313" s="804"/>
      <c r="AH313" s="804"/>
    </row>
    <row r="314" spans="1:34">
      <c r="A314" s="436"/>
      <c r="B314" s="436" t="s">
        <v>59</v>
      </c>
      <c r="C314" s="807">
        <f t="shared" si="178"/>
        <v>0</v>
      </c>
      <c r="D314" s="808">
        <f t="shared" si="176"/>
        <v>0</v>
      </c>
      <c r="E314" s="808">
        <f t="shared" si="176"/>
        <v>0</v>
      </c>
      <c r="F314" s="808">
        <f t="shared" si="176"/>
        <v>0</v>
      </c>
      <c r="G314" s="808">
        <f t="shared" si="176"/>
        <v>0</v>
      </c>
      <c r="H314" s="809">
        <f t="shared" si="176"/>
        <v>0</v>
      </c>
      <c r="I314" s="577">
        <f t="shared" si="176"/>
        <v>0</v>
      </c>
      <c r="J314" s="577">
        <f t="shared" si="176"/>
        <v>0</v>
      </c>
      <c r="K314" s="578">
        <f t="shared" si="176"/>
        <v>0</v>
      </c>
      <c r="L314" s="578">
        <f t="shared" si="176"/>
        <v>0</v>
      </c>
      <c r="M314" s="578">
        <f t="shared" si="176"/>
        <v>0</v>
      </c>
      <c r="N314" s="577">
        <f t="shared" si="179"/>
        <v>0</v>
      </c>
      <c r="O314" s="577">
        <f t="shared" si="177"/>
        <v>0</v>
      </c>
      <c r="P314" s="579">
        <f t="shared" si="177"/>
        <v>0</v>
      </c>
      <c r="Q314" s="577">
        <f t="shared" si="177"/>
        <v>0</v>
      </c>
      <c r="Y314" s="804"/>
      <c r="Z314" s="804"/>
      <c r="AE314" s="804"/>
      <c r="AF314" s="804"/>
      <c r="AH314" s="804"/>
    </row>
    <row r="315" spans="1:34">
      <c r="A315" s="240" t="s">
        <v>155</v>
      </c>
      <c r="B315" s="240" t="s">
        <v>53</v>
      </c>
      <c r="C315" s="806">
        <f>IF(S$320&gt;0,(S315/S$320),0)</f>
        <v>0</v>
      </c>
      <c r="D315" s="806">
        <f t="shared" ref="D315:M320" si="180">IF(T$320&gt;0,(T315/T$320),0)</f>
        <v>0</v>
      </c>
      <c r="E315" s="806">
        <f t="shared" si="180"/>
        <v>0</v>
      </c>
      <c r="F315" s="806">
        <f t="shared" si="180"/>
        <v>0</v>
      </c>
      <c r="G315" s="806">
        <f t="shared" si="180"/>
        <v>0</v>
      </c>
      <c r="H315" s="806">
        <f t="shared" si="180"/>
        <v>0</v>
      </c>
      <c r="I315" s="613">
        <f t="shared" si="180"/>
        <v>0</v>
      </c>
      <c r="J315" s="613">
        <f t="shared" si="180"/>
        <v>0</v>
      </c>
      <c r="K315" s="614">
        <f t="shared" si="180"/>
        <v>0</v>
      </c>
      <c r="L315" s="614">
        <f t="shared" si="180"/>
        <v>0</v>
      </c>
      <c r="M315" s="614">
        <f t="shared" si="180"/>
        <v>0</v>
      </c>
      <c r="N315" s="613">
        <f>IF(AE$320&gt;0,(AE315/AE$320),0)</f>
        <v>0</v>
      </c>
      <c r="O315" s="613">
        <f t="shared" ref="O315:Q320" si="181">IF(AF$320&gt;0,(AF315/AF$320),0)</f>
        <v>0</v>
      </c>
      <c r="P315" s="615">
        <f t="shared" si="181"/>
        <v>0</v>
      </c>
      <c r="Q315" s="613">
        <f t="shared" si="181"/>
        <v>0</v>
      </c>
      <c r="R315" s="799"/>
      <c r="S315" s="798"/>
      <c r="T315" s="798"/>
      <c r="U315" s="798"/>
      <c r="V315" s="798"/>
      <c r="W315" s="798"/>
      <c r="X315" s="798"/>
      <c r="Y315" s="803"/>
      <c r="Z315" s="803"/>
      <c r="AA315" s="798"/>
      <c r="AB315" s="798"/>
      <c r="AC315" s="798"/>
      <c r="AD315" s="798"/>
      <c r="AE315" s="803"/>
      <c r="AF315" s="803"/>
      <c r="AG315" s="798"/>
      <c r="AH315" s="803"/>
    </row>
    <row r="316" spans="1:34">
      <c r="A316" s="239"/>
      <c r="B316" s="239" t="s">
        <v>93</v>
      </c>
      <c r="C316" s="806">
        <f t="shared" ref="C316:C320" si="182">IF(S$320&gt;0,(S316/S$320),0)</f>
        <v>0</v>
      </c>
      <c r="D316" s="806">
        <f t="shared" si="180"/>
        <v>0</v>
      </c>
      <c r="E316" s="806">
        <f t="shared" si="180"/>
        <v>0</v>
      </c>
      <c r="F316" s="806">
        <f t="shared" si="180"/>
        <v>0</v>
      </c>
      <c r="G316" s="806">
        <f t="shared" si="180"/>
        <v>0</v>
      </c>
      <c r="H316" s="806">
        <f t="shared" si="180"/>
        <v>0</v>
      </c>
      <c r="I316" s="624">
        <f t="shared" si="180"/>
        <v>0</v>
      </c>
      <c r="J316" s="624">
        <f t="shared" si="180"/>
        <v>0</v>
      </c>
      <c r="K316" s="625">
        <f t="shared" si="180"/>
        <v>0</v>
      </c>
      <c r="L316" s="625">
        <f t="shared" si="180"/>
        <v>0</v>
      </c>
      <c r="M316" s="625">
        <f t="shared" si="180"/>
        <v>0</v>
      </c>
      <c r="N316" s="624">
        <f t="shared" ref="N316:N320" si="183">IF(AE$320&gt;0,(AE316/AE$320),0)</f>
        <v>0</v>
      </c>
      <c r="O316" s="624">
        <f t="shared" si="181"/>
        <v>0</v>
      </c>
      <c r="P316" s="626">
        <f t="shared" si="181"/>
        <v>0</v>
      </c>
      <c r="Q316" s="624">
        <f t="shared" si="181"/>
        <v>0</v>
      </c>
      <c r="Y316" s="804"/>
      <c r="Z316" s="804"/>
      <c r="AE316" s="804"/>
      <c r="AF316" s="804"/>
      <c r="AH316" s="804"/>
    </row>
    <row r="317" spans="1:34">
      <c r="A317" s="239"/>
      <c r="B317" s="239" t="s">
        <v>55</v>
      </c>
      <c r="C317" s="806">
        <f t="shared" si="182"/>
        <v>0</v>
      </c>
      <c r="D317" s="806">
        <f t="shared" si="180"/>
        <v>0</v>
      </c>
      <c r="E317" s="806">
        <f t="shared" si="180"/>
        <v>0</v>
      </c>
      <c r="F317" s="806">
        <f t="shared" si="180"/>
        <v>0</v>
      </c>
      <c r="G317" s="806">
        <f t="shared" si="180"/>
        <v>0</v>
      </c>
      <c r="H317" s="806">
        <f t="shared" si="180"/>
        <v>0</v>
      </c>
      <c r="I317" s="624">
        <f t="shared" si="180"/>
        <v>0</v>
      </c>
      <c r="J317" s="624">
        <f t="shared" si="180"/>
        <v>0</v>
      </c>
      <c r="K317" s="625">
        <f t="shared" si="180"/>
        <v>0</v>
      </c>
      <c r="L317" s="625">
        <f t="shared" si="180"/>
        <v>0</v>
      </c>
      <c r="M317" s="625">
        <f t="shared" si="180"/>
        <v>0</v>
      </c>
      <c r="N317" s="624">
        <f t="shared" si="183"/>
        <v>0</v>
      </c>
      <c r="O317" s="624">
        <f t="shared" si="181"/>
        <v>0</v>
      </c>
      <c r="P317" s="626">
        <f t="shared" si="181"/>
        <v>0</v>
      </c>
      <c r="Q317" s="624">
        <f t="shared" si="181"/>
        <v>0</v>
      </c>
      <c r="Y317" s="804"/>
      <c r="Z317" s="804"/>
      <c r="AE317" s="804"/>
      <c r="AF317" s="804"/>
      <c r="AH317" s="804"/>
    </row>
    <row r="318" spans="1:34">
      <c r="A318" s="239"/>
      <c r="B318" s="239" t="s">
        <v>78</v>
      </c>
      <c r="C318" s="806">
        <f t="shared" si="182"/>
        <v>0</v>
      </c>
      <c r="D318" s="806">
        <f t="shared" si="180"/>
        <v>0</v>
      </c>
      <c r="E318" s="806">
        <f t="shared" si="180"/>
        <v>0</v>
      </c>
      <c r="F318" s="806">
        <f t="shared" si="180"/>
        <v>0</v>
      </c>
      <c r="G318" s="806">
        <f t="shared" si="180"/>
        <v>0</v>
      </c>
      <c r="H318" s="806">
        <f t="shared" si="180"/>
        <v>0</v>
      </c>
      <c r="I318" s="624">
        <f t="shared" si="180"/>
        <v>0</v>
      </c>
      <c r="J318" s="624">
        <f t="shared" si="180"/>
        <v>0</v>
      </c>
      <c r="K318" s="625">
        <f t="shared" si="180"/>
        <v>0</v>
      </c>
      <c r="L318" s="625">
        <f t="shared" si="180"/>
        <v>0</v>
      </c>
      <c r="M318" s="625">
        <f t="shared" si="180"/>
        <v>0</v>
      </c>
      <c r="N318" s="624">
        <f t="shared" si="183"/>
        <v>0</v>
      </c>
      <c r="O318" s="624">
        <f t="shared" si="181"/>
        <v>0</v>
      </c>
      <c r="P318" s="626">
        <f t="shared" si="181"/>
        <v>0</v>
      </c>
      <c r="Q318" s="624">
        <f t="shared" si="181"/>
        <v>0</v>
      </c>
      <c r="Y318" s="804"/>
      <c r="Z318" s="804"/>
      <c r="AE318" s="804"/>
      <c r="AF318" s="804"/>
      <c r="AH318" s="804"/>
    </row>
    <row r="319" spans="1:34">
      <c r="A319" s="580"/>
      <c r="B319" s="580" t="s">
        <v>131</v>
      </c>
      <c r="C319" s="806">
        <f t="shared" si="182"/>
        <v>0</v>
      </c>
      <c r="D319" s="806">
        <f t="shared" si="180"/>
        <v>0</v>
      </c>
      <c r="E319" s="806">
        <f t="shared" si="180"/>
        <v>0</v>
      </c>
      <c r="F319" s="806">
        <f t="shared" si="180"/>
        <v>0</v>
      </c>
      <c r="G319" s="806">
        <f t="shared" si="180"/>
        <v>0</v>
      </c>
      <c r="H319" s="806">
        <f t="shared" si="180"/>
        <v>0</v>
      </c>
      <c r="I319" s="624">
        <f t="shared" si="180"/>
        <v>0</v>
      </c>
      <c r="J319" s="624">
        <f t="shared" si="180"/>
        <v>0</v>
      </c>
      <c r="K319" s="625">
        <f t="shared" si="180"/>
        <v>0</v>
      </c>
      <c r="L319" s="625">
        <f t="shared" si="180"/>
        <v>0</v>
      </c>
      <c r="M319" s="625">
        <f t="shared" si="180"/>
        <v>0</v>
      </c>
      <c r="N319" s="624">
        <f t="shared" si="183"/>
        <v>0</v>
      </c>
      <c r="O319" s="624">
        <f t="shared" si="181"/>
        <v>0</v>
      </c>
      <c r="P319" s="626">
        <f t="shared" si="181"/>
        <v>0</v>
      </c>
      <c r="Q319" s="624">
        <f t="shared" si="181"/>
        <v>0</v>
      </c>
      <c r="Y319" s="804"/>
      <c r="Z319" s="804"/>
      <c r="AE319" s="804"/>
      <c r="AF319" s="804"/>
      <c r="AH319" s="804"/>
    </row>
    <row r="320" spans="1:34">
      <c r="A320" s="436"/>
      <c r="B320" s="436" t="s">
        <v>59</v>
      </c>
      <c r="C320" s="807">
        <f t="shared" si="182"/>
        <v>0</v>
      </c>
      <c r="D320" s="808">
        <f t="shared" si="180"/>
        <v>0</v>
      </c>
      <c r="E320" s="808">
        <f t="shared" si="180"/>
        <v>0</v>
      </c>
      <c r="F320" s="808">
        <f t="shared" si="180"/>
        <v>0</v>
      </c>
      <c r="G320" s="808">
        <f t="shared" si="180"/>
        <v>0</v>
      </c>
      <c r="H320" s="809">
        <f t="shared" si="180"/>
        <v>0</v>
      </c>
      <c r="I320" s="577">
        <f t="shared" si="180"/>
        <v>0</v>
      </c>
      <c r="J320" s="577">
        <f t="shared" si="180"/>
        <v>0</v>
      </c>
      <c r="K320" s="578">
        <f t="shared" si="180"/>
        <v>0</v>
      </c>
      <c r="L320" s="578">
        <f t="shared" si="180"/>
        <v>0</v>
      </c>
      <c r="M320" s="578">
        <f t="shared" si="180"/>
        <v>0</v>
      </c>
      <c r="N320" s="577">
        <f t="shared" si="183"/>
        <v>0</v>
      </c>
      <c r="O320" s="577">
        <f t="shared" si="181"/>
        <v>0</v>
      </c>
      <c r="P320" s="579">
        <f t="shared" si="181"/>
        <v>0</v>
      </c>
      <c r="Q320" s="577">
        <f t="shared" si="181"/>
        <v>0</v>
      </c>
      <c r="Y320" s="804"/>
      <c r="Z320" s="804"/>
      <c r="AE320" s="804"/>
      <c r="AF320" s="804"/>
      <c r="AH320" s="804"/>
    </row>
    <row r="321" spans="1:34">
      <c r="A321" s="240" t="s">
        <v>156</v>
      </c>
      <c r="B321" s="240" t="s">
        <v>53</v>
      </c>
      <c r="C321" s="806">
        <f>IF(S$326&gt;0,(S321/S$326),0)</f>
        <v>0</v>
      </c>
      <c r="D321" s="806">
        <f t="shared" ref="D321:M326" si="184">IF(T$326&gt;0,(T321/T$326),0)</f>
        <v>0</v>
      </c>
      <c r="E321" s="806">
        <f t="shared" si="184"/>
        <v>0</v>
      </c>
      <c r="F321" s="806">
        <f t="shared" si="184"/>
        <v>0</v>
      </c>
      <c r="G321" s="806">
        <f t="shared" si="184"/>
        <v>0</v>
      </c>
      <c r="H321" s="806">
        <f t="shared" si="184"/>
        <v>0</v>
      </c>
      <c r="I321" s="613">
        <f t="shared" si="184"/>
        <v>0</v>
      </c>
      <c r="J321" s="613">
        <f t="shared" si="184"/>
        <v>0</v>
      </c>
      <c r="K321" s="614">
        <f t="shared" si="184"/>
        <v>0</v>
      </c>
      <c r="L321" s="614">
        <f t="shared" si="184"/>
        <v>0</v>
      </c>
      <c r="M321" s="614">
        <f t="shared" si="184"/>
        <v>0</v>
      </c>
      <c r="N321" s="613">
        <f>IF(AE$326&gt;0,(AE321/AE$326),0)</f>
        <v>0</v>
      </c>
      <c r="O321" s="613">
        <f t="shared" ref="O321:Q326" si="185">IF(AF$326&gt;0,(AF321/AF$326),0)</f>
        <v>0</v>
      </c>
      <c r="P321" s="615">
        <f t="shared" si="185"/>
        <v>0</v>
      </c>
      <c r="Q321" s="613">
        <f t="shared" si="185"/>
        <v>0</v>
      </c>
      <c r="R321" s="799"/>
      <c r="S321" s="798"/>
      <c r="T321" s="798"/>
      <c r="U321" s="798"/>
      <c r="V321" s="798"/>
      <c r="W321" s="798"/>
      <c r="X321" s="798"/>
      <c r="Y321" s="803"/>
      <c r="Z321" s="803"/>
      <c r="AA321" s="798"/>
      <c r="AB321" s="798"/>
      <c r="AC321" s="798"/>
      <c r="AD321" s="798"/>
      <c r="AE321" s="803"/>
      <c r="AF321" s="803"/>
      <c r="AG321" s="798"/>
      <c r="AH321" s="803"/>
    </row>
    <row r="322" spans="1:34">
      <c r="A322" s="239"/>
      <c r="B322" s="239" t="s">
        <v>93</v>
      </c>
      <c r="C322" s="806">
        <f t="shared" ref="C322:C326" si="186">IF(S$326&gt;0,(S322/S$326),0)</f>
        <v>0</v>
      </c>
      <c r="D322" s="806">
        <f t="shared" si="184"/>
        <v>0</v>
      </c>
      <c r="E322" s="806">
        <f t="shared" si="184"/>
        <v>0</v>
      </c>
      <c r="F322" s="806">
        <f t="shared" si="184"/>
        <v>0</v>
      </c>
      <c r="G322" s="806">
        <f t="shared" si="184"/>
        <v>0</v>
      </c>
      <c r="H322" s="806">
        <f t="shared" si="184"/>
        <v>0</v>
      </c>
      <c r="I322" s="624">
        <f t="shared" si="184"/>
        <v>0</v>
      </c>
      <c r="J322" s="624">
        <f t="shared" si="184"/>
        <v>0</v>
      </c>
      <c r="K322" s="625">
        <f t="shared" si="184"/>
        <v>0</v>
      </c>
      <c r="L322" s="625">
        <f t="shared" si="184"/>
        <v>0</v>
      </c>
      <c r="M322" s="625">
        <f t="shared" si="184"/>
        <v>0</v>
      </c>
      <c r="N322" s="624">
        <f t="shared" ref="N322:N326" si="187">IF(AE$326&gt;0,(AE322/AE$326),0)</f>
        <v>0</v>
      </c>
      <c r="O322" s="624">
        <f t="shared" si="185"/>
        <v>0</v>
      </c>
      <c r="P322" s="626">
        <f t="shared" si="185"/>
        <v>0</v>
      </c>
      <c r="Q322" s="624">
        <f t="shared" si="185"/>
        <v>0</v>
      </c>
      <c r="Y322" s="804"/>
      <c r="Z322" s="804"/>
      <c r="AE322" s="804"/>
      <c r="AF322" s="804"/>
      <c r="AH322" s="804"/>
    </row>
    <row r="323" spans="1:34">
      <c r="A323" s="239"/>
      <c r="B323" s="239" t="s">
        <v>55</v>
      </c>
      <c r="C323" s="806">
        <f t="shared" si="186"/>
        <v>0</v>
      </c>
      <c r="D323" s="806">
        <f t="shared" si="184"/>
        <v>0</v>
      </c>
      <c r="E323" s="806">
        <f t="shared" si="184"/>
        <v>0</v>
      </c>
      <c r="F323" s="806">
        <f t="shared" si="184"/>
        <v>0</v>
      </c>
      <c r="G323" s="806">
        <f t="shared" si="184"/>
        <v>0</v>
      </c>
      <c r="H323" s="806">
        <f t="shared" si="184"/>
        <v>0</v>
      </c>
      <c r="I323" s="624">
        <f t="shared" si="184"/>
        <v>0</v>
      </c>
      <c r="J323" s="624">
        <f t="shared" si="184"/>
        <v>0</v>
      </c>
      <c r="K323" s="625">
        <f t="shared" si="184"/>
        <v>0</v>
      </c>
      <c r="L323" s="625">
        <f t="shared" si="184"/>
        <v>0</v>
      </c>
      <c r="M323" s="625">
        <f t="shared" si="184"/>
        <v>0</v>
      </c>
      <c r="N323" s="624">
        <f t="shared" si="187"/>
        <v>0</v>
      </c>
      <c r="O323" s="624">
        <f t="shared" si="185"/>
        <v>0</v>
      </c>
      <c r="P323" s="626">
        <f t="shared" si="185"/>
        <v>0</v>
      </c>
      <c r="Q323" s="624">
        <f t="shared" si="185"/>
        <v>0</v>
      </c>
      <c r="Y323" s="804"/>
      <c r="Z323" s="804"/>
      <c r="AE323" s="804"/>
      <c r="AF323" s="804"/>
      <c r="AH323" s="804"/>
    </row>
    <row r="324" spans="1:34">
      <c r="A324" s="239"/>
      <c r="B324" s="239" t="s">
        <v>78</v>
      </c>
      <c r="C324" s="806">
        <f t="shared" si="186"/>
        <v>0</v>
      </c>
      <c r="D324" s="806">
        <f t="shared" si="184"/>
        <v>0</v>
      </c>
      <c r="E324" s="806">
        <f t="shared" si="184"/>
        <v>0</v>
      </c>
      <c r="F324" s="806">
        <f t="shared" si="184"/>
        <v>0</v>
      </c>
      <c r="G324" s="806">
        <f t="shared" si="184"/>
        <v>0</v>
      </c>
      <c r="H324" s="806">
        <f t="shared" si="184"/>
        <v>0</v>
      </c>
      <c r="I324" s="624">
        <f t="shared" si="184"/>
        <v>0</v>
      </c>
      <c r="J324" s="624">
        <f t="shared" si="184"/>
        <v>0</v>
      </c>
      <c r="K324" s="625">
        <f t="shared" si="184"/>
        <v>0</v>
      </c>
      <c r="L324" s="625">
        <f t="shared" si="184"/>
        <v>0</v>
      </c>
      <c r="M324" s="625">
        <f t="shared" si="184"/>
        <v>0</v>
      </c>
      <c r="N324" s="624">
        <f t="shared" si="187"/>
        <v>0</v>
      </c>
      <c r="O324" s="624">
        <f t="shared" si="185"/>
        <v>0</v>
      </c>
      <c r="P324" s="626">
        <f t="shared" si="185"/>
        <v>0</v>
      </c>
      <c r="Q324" s="624">
        <f t="shared" si="185"/>
        <v>0</v>
      </c>
      <c r="Y324" s="804"/>
      <c r="Z324" s="804"/>
      <c r="AE324" s="804"/>
      <c r="AF324" s="804"/>
      <c r="AH324" s="804"/>
    </row>
    <row r="325" spans="1:34">
      <c r="A325" s="580"/>
      <c r="B325" s="580" t="s">
        <v>131</v>
      </c>
      <c r="C325" s="806">
        <f t="shared" si="186"/>
        <v>0</v>
      </c>
      <c r="D325" s="806">
        <f t="shared" si="184"/>
        <v>0</v>
      </c>
      <c r="E325" s="806">
        <f t="shared" si="184"/>
        <v>0</v>
      </c>
      <c r="F325" s="806">
        <f t="shared" si="184"/>
        <v>0</v>
      </c>
      <c r="G325" s="806">
        <f t="shared" si="184"/>
        <v>0</v>
      </c>
      <c r="H325" s="806">
        <f t="shared" si="184"/>
        <v>0</v>
      </c>
      <c r="I325" s="624">
        <f t="shared" si="184"/>
        <v>0</v>
      </c>
      <c r="J325" s="624">
        <f t="shared" si="184"/>
        <v>0</v>
      </c>
      <c r="K325" s="625">
        <f t="shared" si="184"/>
        <v>0</v>
      </c>
      <c r="L325" s="625">
        <f t="shared" si="184"/>
        <v>0</v>
      </c>
      <c r="M325" s="625">
        <f t="shared" si="184"/>
        <v>0</v>
      </c>
      <c r="N325" s="624">
        <f t="shared" si="187"/>
        <v>0</v>
      </c>
      <c r="O325" s="624">
        <f t="shared" si="185"/>
        <v>0</v>
      </c>
      <c r="P325" s="626">
        <f t="shared" si="185"/>
        <v>0</v>
      </c>
      <c r="Q325" s="624">
        <f t="shared" si="185"/>
        <v>0</v>
      </c>
      <c r="Y325" s="804"/>
      <c r="Z325" s="804"/>
      <c r="AE325" s="804"/>
      <c r="AF325" s="804"/>
      <c r="AH325" s="804"/>
    </row>
    <row r="326" spans="1:34">
      <c r="A326" s="436"/>
      <c r="B326" s="436" t="s">
        <v>59</v>
      </c>
      <c r="C326" s="807">
        <f t="shared" si="186"/>
        <v>0</v>
      </c>
      <c r="D326" s="808">
        <f t="shared" si="184"/>
        <v>0</v>
      </c>
      <c r="E326" s="808">
        <f t="shared" si="184"/>
        <v>0</v>
      </c>
      <c r="F326" s="808">
        <f t="shared" si="184"/>
        <v>0</v>
      </c>
      <c r="G326" s="808">
        <f t="shared" si="184"/>
        <v>0</v>
      </c>
      <c r="H326" s="809">
        <f t="shared" si="184"/>
        <v>0</v>
      </c>
      <c r="I326" s="577">
        <f t="shared" si="184"/>
        <v>0</v>
      </c>
      <c r="J326" s="577">
        <f t="shared" si="184"/>
        <v>0</v>
      </c>
      <c r="K326" s="578">
        <f t="shared" si="184"/>
        <v>0</v>
      </c>
      <c r="L326" s="578">
        <f t="shared" si="184"/>
        <v>0</v>
      </c>
      <c r="M326" s="578">
        <f t="shared" si="184"/>
        <v>0</v>
      </c>
      <c r="N326" s="577">
        <f t="shared" si="187"/>
        <v>0</v>
      </c>
      <c r="O326" s="577">
        <f t="shared" si="185"/>
        <v>0</v>
      </c>
      <c r="P326" s="579">
        <f t="shared" si="185"/>
        <v>0</v>
      </c>
      <c r="Q326" s="577">
        <f t="shared" si="185"/>
        <v>0</v>
      </c>
      <c r="Y326" s="804"/>
      <c r="Z326" s="804"/>
      <c r="AE326" s="804"/>
      <c r="AF326" s="804"/>
      <c r="AH326" s="804"/>
    </row>
    <row r="327" spans="1:34">
      <c r="A327" s="240" t="s">
        <v>159</v>
      </c>
      <c r="B327" s="240" t="s">
        <v>53</v>
      </c>
      <c r="C327" s="806">
        <f>IF(S$332&gt;0,(S327/S$332),0)</f>
        <v>0</v>
      </c>
      <c r="D327" s="806">
        <f t="shared" ref="D327:M332" si="188">IF(T$332&gt;0,(T327/T$332),0)</f>
        <v>0</v>
      </c>
      <c r="E327" s="806">
        <f t="shared" si="188"/>
        <v>0</v>
      </c>
      <c r="F327" s="806">
        <f t="shared" si="188"/>
        <v>0</v>
      </c>
      <c r="G327" s="806">
        <f t="shared" si="188"/>
        <v>0</v>
      </c>
      <c r="H327" s="806">
        <f t="shared" si="188"/>
        <v>0</v>
      </c>
      <c r="I327" s="613">
        <f t="shared" si="188"/>
        <v>0</v>
      </c>
      <c r="J327" s="613">
        <f t="shared" si="188"/>
        <v>0</v>
      </c>
      <c r="K327" s="614">
        <f t="shared" si="188"/>
        <v>0</v>
      </c>
      <c r="L327" s="614">
        <f t="shared" si="188"/>
        <v>0</v>
      </c>
      <c r="M327" s="614">
        <f t="shared" si="188"/>
        <v>0</v>
      </c>
      <c r="N327" s="613">
        <f>IF(AE$332&gt;0,(AE327/AE$332),0)</f>
        <v>0</v>
      </c>
      <c r="O327" s="613">
        <f t="shared" ref="O327:Q332" si="189">IF(AF$332&gt;0,(AF327/AF$332),0)</f>
        <v>0</v>
      </c>
      <c r="P327" s="615">
        <f t="shared" si="189"/>
        <v>0</v>
      </c>
      <c r="Q327" s="613">
        <f t="shared" si="189"/>
        <v>0</v>
      </c>
      <c r="R327" s="799"/>
      <c r="S327" s="798"/>
      <c r="T327" s="798"/>
      <c r="U327" s="798"/>
      <c r="V327" s="798"/>
      <c r="W327" s="798"/>
      <c r="X327" s="798"/>
      <c r="Y327" s="803"/>
      <c r="Z327" s="803"/>
      <c r="AA327" s="798"/>
      <c r="AB327" s="798"/>
      <c r="AC327" s="798"/>
      <c r="AD327" s="798"/>
      <c r="AE327" s="803"/>
      <c r="AF327" s="803"/>
      <c r="AG327" s="798"/>
      <c r="AH327" s="803"/>
    </row>
    <row r="328" spans="1:34">
      <c r="A328" s="239"/>
      <c r="B328" s="239" t="s">
        <v>93</v>
      </c>
      <c r="C328" s="806">
        <f t="shared" ref="C328:C332" si="190">IF(S$332&gt;0,(S328/S$332),0)</f>
        <v>0</v>
      </c>
      <c r="D328" s="806">
        <f t="shared" si="188"/>
        <v>0</v>
      </c>
      <c r="E328" s="806">
        <f t="shared" si="188"/>
        <v>0</v>
      </c>
      <c r="F328" s="806">
        <f t="shared" si="188"/>
        <v>0</v>
      </c>
      <c r="G328" s="806">
        <f t="shared" si="188"/>
        <v>0</v>
      </c>
      <c r="H328" s="806">
        <f t="shared" si="188"/>
        <v>0</v>
      </c>
      <c r="I328" s="624">
        <f t="shared" si="188"/>
        <v>0</v>
      </c>
      <c r="J328" s="624">
        <f t="shared" si="188"/>
        <v>0</v>
      </c>
      <c r="K328" s="625">
        <f t="shared" si="188"/>
        <v>0</v>
      </c>
      <c r="L328" s="625">
        <f t="shared" si="188"/>
        <v>0</v>
      </c>
      <c r="M328" s="625">
        <f t="shared" si="188"/>
        <v>0</v>
      </c>
      <c r="N328" s="624">
        <f t="shared" ref="N328:N332" si="191">IF(AE$332&gt;0,(AE328/AE$332),0)</f>
        <v>0</v>
      </c>
      <c r="O328" s="624">
        <f t="shared" si="189"/>
        <v>0</v>
      </c>
      <c r="P328" s="626">
        <f t="shared" si="189"/>
        <v>0</v>
      </c>
      <c r="Q328" s="624">
        <f t="shared" si="189"/>
        <v>0</v>
      </c>
      <c r="Y328" s="804"/>
      <c r="Z328" s="804"/>
      <c r="AE328" s="804"/>
      <c r="AF328" s="804"/>
      <c r="AH328" s="804"/>
    </row>
    <row r="329" spans="1:34">
      <c r="A329" s="239"/>
      <c r="B329" s="239" t="s">
        <v>55</v>
      </c>
      <c r="C329" s="806">
        <f t="shared" si="190"/>
        <v>0</v>
      </c>
      <c r="D329" s="806">
        <f t="shared" si="188"/>
        <v>0</v>
      </c>
      <c r="E329" s="806">
        <f t="shared" si="188"/>
        <v>0</v>
      </c>
      <c r="F329" s="806">
        <f t="shared" si="188"/>
        <v>0</v>
      </c>
      <c r="G329" s="806">
        <f t="shared" si="188"/>
        <v>0</v>
      </c>
      <c r="H329" s="806">
        <f t="shared" si="188"/>
        <v>0</v>
      </c>
      <c r="I329" s="624">
        <f t="shared" si="188"/>
        <v>0</v>
      </c>
      <c r="J329" s="624">
        <f t="shared" si="188"/>
        <v>0</v>
      </c>
      <c r="K329" s="625">
        <f t="shared" si="188"/>
        <v>0</v>
      </c>
      <c r="L329" s="625">
        <f t="shared" si="188"/>
        <v>0</v>
      </c>
      <c r="M329" s="625">
        <f t="shared" si="188"/>
        <v>0</v>
      </c>
      <c r="N329" s="624">
        <f t="shared" si="191"/>
        <v>0</v>
      </c>
      <c r="O329" s="624">
        <f t="shared" si="189"/>
        <v>0</v>
      </c>
      <c r="P329" s="626">
        <f t="shared" si="189"/>
        <v>0</v>
      </c>
      <c r="Q329" s="624">
        <f t="shared" si="189"/>
        <v>0</v>
      </c>
      <c r="Y329" s="804"/>
      <c r="Z329" s="804"/>
      <c r="AE329" s="804"/>
      <c r="AF329" s="804"/>
      <c r="AH329" s="804"/>
    </row>
    <row r="330" spans="1:34">
      <c r="A330" s="239"/>
      <c r="B330" s="239" t="s">
        <v>78</v>
      </c>
      <c r="C330" s="806">
        <f t="shared" si="190"/>
        <v>0</v>
      </c>
      <c r="D330" s="806">
        <f t="shared" si="188"/>
        <v>0</v>
      </c>
      <c r="E330" s="806">
        <f t="shared" si="188"/>
        <v>0</v>
      </c>
      <c r="F330" s="806">
        <f t="shared" si="188"/>
        <v>0</v>
      </c>
      <c r="G330" s="806">
        <f t="shared" si="188"/>
        <v>0</v>
      </c>
      <c r="H330" s="806">
        <f t="shared" si="188"/>
        <v>0</v>
      </c>
      <c r="I330" s="624">
        <f t="shared" si="188"/>
        <v>0</v>
      </c>
      <c r="J330" s="624">
        <f t="shared" si="188"/>
        <v>0</v>
      </c>
      <c r="K330" s="625">
        <f t="shared" si="188"/>
        <v>0</v>
      </c>
      <c r="L330" s="625">
        <f t="shared" si="188"/>
        <v>0</v>
      </c>
      <c r="M330" s="625">
        <f t="shared" si="188"/>
        <v>0</v>
      </c>
      <c r="N330" s="624">
        <f t="shared" si="191"/>
        <v>0</v>
      </c>
      <c r="O330" s="624">
        <f t="shared" si="189"/>
        <v>0</v>
      </c>
      <c r="P330" s="626">
        <f t="shared" si="189"/>
        <v>0</v>
      </c>
      <c r="Q330" s="624">
        <f t="shared" si="189"/>
        <v>0</v>
      </c>
      <c r="Y330" s="804"/>
      <c r="Z330" s="804"/>
      <c r="AE330" s="804"/>
      <c r="AF330" s="804"/>
      <c r="AH330" s="804"/>
    </row>
    <row r="331" spans="1:34">
      <c r="A331" s="580"/>
      <c r="B331" s="580" t="s">
        <v>131</v>
      </c>
      <c r="C331" s="806">
        <f t="shared" si="190"/>
        <v>0</v>
      </c>
      <c r="D331" s="806">
        <f t="shared" si="188"/>
        <v>0</v>
      </c>
      <c r="E331" s="806">
        <f t="shared" si="188"/>
        <v>0</v>
      </c>
      <c r="F331" s="806">
        <f t="shared" si="188"/>
        <v>0</v>
      </c>
      <c r="G331" s="806">
        <f t="shared" si="188"/>
        <v>0</v>
      </c>
      <c r="H331" s="806">
        <f t="shared" si="188"/>
        <v>0</v>
      </c>
      <c r="I331" s="624">
        <f t="shared" si="188"/>
        <v>0</v>
      </c>
      <c r="J331" s="624">
        <f t="shared" si="188"/>
        <v>0</v>
      </c>
      <c r="K331" s="625">
        <f t="shared" si="188"/>
        <v>0</v>
      </c>
      <c r="L331" s="625">
        <f t="shared" si="188"/>
        <v>0</v>
      </c>
      <c r="M331" s="625">
        <f t="shared" si="188"/>
        <v>0</v>
      </c>
      <c r="N331" s="624">
        <f t="shared" si="191"/>
        <v>0</v>
      </c>
      <c r="O331" s="624">
        <f t="shared" si="189"/>
        <v>0</v>
      </c>
      <c r="P331" s="626">
        <f t="shared" si="189"/>
        <v>0</v>
      </c>
      <c r="Q331" s="624">
        <f t="shared" si="189"/>
        <v>0</v>
      </c>
      <c r="Y331" s="804"/>
      <c r="Z331" s="804"/>
      <c r="AE331" s="804"/>
      <c r="AF331" s="804"/>
      <c r="AH331" s="804"/>
    </row>
    <row r="332" spans="1:34">
      <c r="A332" s="436"/>
      <c r="B332" s="436" t="s">
        <v>59</v>
      </c>
      <c r="C332" s="807">
        <f t="shared" si="190"/>
        <v>0</v>
      </c>
      <c r="D332" s="808">
        <f t="shared" si="188"/>
        <v>0</v>
      </c>
      <c r="E332" s="808">
        <f t="shared" si="188"/>
        <v>0</v>
      </c>
      <c r="F332" s="808">
        <f t="shared" si="188"/>
        <v>0</v>
      </c>
      <c r="G332" s="808">
        <f t="shared" si="188"/>
        <v>0</v>
      </c>
      <c r="H332" s="809">
        <f t="shared" si="188"/>
        <v>0</v>
      </c>
      <c r="I332" s="577">
        <f t="shared" si="188"/>
        <v>0</v>
      </c>
      <c r="J332" s="577">
        <f t="shared" si="188"/>
        <v>0</v>
      </c>
      <c r="K332" s="578">
        <f t="shared" si="188"/>
        <v>0</v>
      </c>
      <c r="L332" s="578">
        <f t="shared" si="188"/>
        <v>0</v>
      </c>
      <c r="M332" s="578">
        <f t="shared" si="188"/>
        <v>0</v>
      </c>
      <c r="N332" s="577">
        <f t="shared" si="191"/>
        <v>0</v>
      </c>
      <c r="O332" s="577">
        <f t="shared" si="189"/>
        <v>0</v>
      </c>
      <c r="P332" s="579">
        <f t="shared" si="189"/>
        <v>0</v>
      </c>
      <c r="Q332" s="577">
        <f t="shared" si="189"/>
        <v>0</v>
      </c>
      <c r="Y332" s="804"/>
      <c r="Z332" s="804"/>
      <c r="AE332" s="804"/>
      <c r="AF332" s="804"/>
      <c r="AH332" s="804"/>
    </row>
    <row r="333" spans="1:34">
      <c r="A333" s="240" t="s">
        <v>162</v>
      </c>
      <c r="B333" s="240" t="s">
        <v>53</v>
      </c>
      <c r="C333" s="806">
        <f>IF(S338&gt;0,(S333/S338),0)</f>
        <v>0</v>
      </c>
      <c r="D333" s="806">
        <f t="shared" ref="D333:M333" si="192">IF(T338&gt;0,(T333/T338),0)</f>
        <v>0</v>
      </c>
      <c r="E333" s="806">
        <f t="shared" si="192"/>
        <v>0</v>
      </c>
      <c r="F333" s="806">
        <f t="shared" si="192"/>
        <v>0</v>
      </c>
      <c r="G333" s="806">
        <f t="shared" si="192"/>
        <v>0</v>
      </c>
      <c r="H333" s="806">
        <f t="shared" si="192"/>
        <v>0</v>
      </c>
      <c r="I333" s="613">
        <f t="shared" si="192"/>
        <v>0</v>
      </c>
      <c r="J333" s="613">
        <f t="shared" si="192"/>
        <v>0</v>
      </c>
      <c r="K333" s="614">
        <f t="shared" si="192"/>
        <v>0</v>
      </c>
      <c r="L333" s="614">
        <f t="shared" si="192"/>
        <v>0</v>
      </c>
      <c r="M333" s="614">
        <f t="shared" si="192"/>
        <v>0</v>
      </c>
      <c r="N333" s="613">
        <f>IF(AE338&gt;0,(AE333/AE338),0)</f>
        <v>0</v>
      </c>
      <c r="O333" s="613">
        <f t="shared" ref="O333:Q333" si="193">IF(AF338&gt;0,(AF333/AF338),0)</f>
        <v>0</v>
      </c>
      <c r="P333" s="615">
        <f t="shared" si="193"/>
        <v>0</v>
      </c>
      <c r="Q333" s="613">
        <f t="shared" si="193"/>
        <v>0</v>
      </c>
      <c r="R333" s="799"/>
      <c r="S333" s="798"/>
      <c r="T333" s="798"/>
      <c r="U333" s="798"/>
      <c r="V333" s="798"/>
      <c r="W333" s="798"/>
      <c r="X333" s="798"/>
      <c r="Y333" s="803"/>
      <c r="Z333" s="803"/>
      <c r="AA333" s="798"/>
      <c r="AB333" s="798"/>
      <c r="AC333" s="798"/>
      <c r="AD333" s="798"/>
      <c r="AE333" s="803"/>
      <c r="AF333" s="803"/>
      <c r="AG333" s="798"/>
      <c r="AH333" s="803"/>
    </row>
    <row r="334" spans="1:34">
      <c r="A334" s="239"/>
      <c r="B334" s="239" t="s">
        <v>93</v>
      </c>
      <c r="C334" s="806">
        <f>IF(S338&gt;0,(S334/S338),0)</f>
        <v>0</v>
      </c>
      <c r="D334" s="806">
        <f t="shared" ref="D334:M334" si="194">IF(T338&gt;0,(T334/T338),0)</f>
        <v>0</v>
      </c>
      <c r="E334" s="806">
        <f t="shared" si="194"/>
        <v>0</v>
      </c>
      <c r="F334" s="806">
        <f t="shared" si="194"/>
        <v>0</v>
      </c>
      <c r="G334" s="806">
        <f t="shared" si="194"/>
        <v>0</v>
      </c>
      <c r="H334" s="806">
        <f t="shared" si="194"/>
        <v>0</v>
      </c>
      <c r="I334" s="624">
        <f t="shared" si="194"/>
        <v>0</v>
      </c>
      <c r="J334" s="624">
        <f t="shared" si="194"/>
        <v>0</v>
      </c>
      <c r="K334" s="625">
        <f t="shared" si="194"/>
        <v>0</v>
      </c>
      <c r="L334" s="625">
        <f t="shared" si="194"/>
        <v>0</v>
      </c>
      <c r="M334" s="625">
        <f t="shared" si="194"/>
        <v>0</v>
      </c>
      <c r="N334" s="624">
        <f>IF(AE338&gt;0,(AE334/AE338),0)</f>
        <v>0</v>
      </c>
      <c r="O334" s="624">
        <f t="shared" ref="O334:Q334" si="195">IF(AF338&gt;0,(AF334/AF338),0)</f>
        <v>0</v>
      </c>
      <c r="P334" s="626">
        <f t="shared" si="195"/>
        <v>0</v>
      </c>
      <c r="Q334" s="624">
        <f t="shared" si="195"/>
        <v>0</v>
      </c>
      <c r="Y334" s="804"/>
      <c r="Z334" s="804"/>
      <c r="AE334" s="804"/>
      <c r="AF334" s="804"/>
      <c r="AH334" s="804"/>
    </row>
    <row r="335" spans="1:34">
      <c r="A335" s="239"/>
      <c r="B335" s="239" t="s">
        <v>55</v>
      </c>
      <c r="C335" s="806">
        <f>IF(S338&gt;0,(S335/S338),0)</f>
        <v>0</v>
      </c>
      <c r="D335" s="806">
        <f t="shared" ref="D335:M335" si="196">IF(T338&gt;0,(T335/T338),0)</f>
        <v>0</v>
      </c>
      <c r="E335" s="806">
        <f t="shared" si="196"/>
        <v>0</v>
      </c>
      <c r="F335" s="806">
        <f t="shared" si="196"/>
        <v>0</v>
      </c>
      <c r="G335" s="806">
        <f t="shared" si="196"/>
        <v>0</v>
      </c>
      <c r="H335" s="806">
        <f t="shared" si="196"/>
        <v>0</v>
      </c>
      <c r="I335" s="624">
        <f t="shared" si="196"/>
        <v>0</v>
      </c>
      <c r="J335" s="624">
        <f t="shared" si="196"/>
        <v>0</v>
      </c>
      <c r="K335" s="625">
        <f t="shared" si="196"/>
        <v>0</v>
      </c>
      <c r="L335" s="625">
        <f t="shared" si="196"/>
        <v>0</v>
      </c>
      <c r="M335" s="625">
        <f t="shared" si="196"/>
        <v>0</v>
      </c>
      <c r="N335" s="624">
        <f>IF(AE338&gt;0,(AE335/AE338),0)</f>
        <v>0</v>
      </c>
      <c r="O335" s="624">
        <f t="shared" ref="O335:Q335" si="197">IF(AF338&gt;0,(AF335/AF338),0)</f>
        <v>0</v>
      </c>
      <c r="P335" s="626">
        <f t="shared" si="197"/>
        <v>0</v>
      </c>
      <c r="Q335" s="624">
        <f t="shared" si="197"/>
        <v>0</v>
      </c>
      <c r="Y335" s="804"/>
      <c r="Z335" s="804"/>
      <c r="AE335" s="804"/>
      <c r="AF335" s="804"/>
      <c r="AH335" s="804"/>
    </row>
    <row r="336" spans="1:34">
      <c r="A336" s="239"/>
      <c r="B336" s="239" t="s">
        <v>78</v>
      </c>
      <c r="C336" s="806">
        <f>IF(S338&gt;0,(S336/S338),0)</f>
        <v>0</v>
      </c>
      <c r="D336" s="806">
        <f t="shared" ref="D336:M336" si="198">IF(T338&gt;0,(T336/T338),0)</f>
        <v>0</v>
      </c>
      <c r="E336" s="806">
        <f t="shared" si="198"/>
        <v>0</v>
      </c>
      <c r="F336" s="806">
        <f t="shared" si="198"/>
        <v>0</v>
      </c>
      <c r="G336" s="806">
        <f t="shared" si="198"/>
        <v>0</v>
      </c>
      <c r="H336" s="806">
        <f t="shared" si="198"/>
        <v>0</v>
      </c>
      <c r="I336" s="624">
        <f t="shared" si="198"/>
        <v>0</v>
      </c>
      <c r="J336" s="624">
        <f t="shared" si="198"/>
        <v>0</v>
      </c>
      <c r="K336" s="625">
        <f t="shared" si="198"/>
        <v>0</v>
      </c>
      <c r="L336" s="625">
        <f t="shared" si="198"/>
        <v>0</v>
      </c>
      <c r="M336" s="625">
        <f t="shared" si="198"/>
        <v>0</v>
      </c>
      <c r="N336" s="624">
        <f>IF(AE338&gt;0,(AE336/AE338),0)</f>
        <v>0</v>
      </c>
      <c r="O336" s="624">
        <f t="shared" ref="O336:Q336" si="199">IF(AF338&gt;0,(AF336/AF338),0)</f>
        <v>0</v>
      </c>
      <c r="P336" s="626">
        <f t="shared" si="199"/>
        <v>0</v>
      </c>
      <c r="Q336" s="624">
        <f t="shared" si="199"/>
        <v>0</v>
      </c>
      <c r="Y336" s="804"/>
      <c r="Z336" s="804"/>
      <c r="AE336" s="804"/>
      <c r="AF336" s="804"/>
      <c r="AH336" s="804"/>
    </row>
    <row r="337" spans="1:34">
      <c r="A337" s="580"/>
      <c r="B337" s="580" t="s">
        <v>131</v>
      </c>
      <c r="C337" s="806">
        <f>IF(S338&gt;0,(S337/S338),0)</f>
        <v>0</v>
      </c>
      <c r="D337" s="806">
        <f t="shared" ref="D337:M337" si="200">IF(T338&gt;0,(T337/T338),0)</f>
        <v>0</v>
      </c>
      <c r="E337" s="806">
        <f t="shared" si="200"/>
        <v>0</v>
      </c>
      <c r="F337" s="806">
        <f t="shared" si="200"/>
        <v>0</v>
      </c>
      <c r="G337" s="806">
        <f t="shared" si="200"/>
        <v>0</v>
      </c>
      <c r="H337" s="806">
        <f t="shared" si="200"/>
        <v>0</v>
      </c>
      <c r="I337" s="624">
        <f t="shared" si="200"/>
        <v>0</v>
      </c>
      <c r="J337" s="624">
        <f t="shared" si="200"/>
        <v>0</v>
      </c>
      <c r="K337" s="625">
        <f t="shared" si="200"/>
        <v>0</v>
      </c>
      <c r="L337" s="625">
        <f t="shared" si="200"/>
        <v>0</v>
      </c>
      <c r="M337" s="625">
        <f t="shared" si="200"/>
        <v>0</v>
      </c>
      <c r="N337" s="624">
        <f>IF(AE338&gt;0,(AE337/AE338),0)</f>
        <v>0</v>
      </c>
      <c r="O337" s="624">
        <f t="shared" ref="O337:Q337" si="201">IF(AF338&gt;0,(AF337/AF338),0)</f>
        <v>0</v>
      </c>
      <c r="P337" s="626">
        <f t="shared" si="201"/>
        <v>0</v>
      </c>
      <c r="Q337" s="624">
        <f t="shared" si="201"/>
        <v>0</v>
      </c>
      <c r="Y337" s="804"/>
      <c r="Z337" s="804"/>
      <c r="AE337" s="804"/>
      <c r="AF337" s="804"/>
      <c r="AH337" s="804"/>
    </row>
    <row r="338" spans="1:34">
      <c r="A338" s="436"/>
      <c r="B338" s="436" t="s">
        <v>59</v>
      </c>
      <c r="C338" s="807">
        <f>IF(S338&gt;0,(S338/S338),0)</f>
        <v>0</v>
      </c>
      <c r="D338" s="808">
        <f t="shared" ref="D338:M338" si="202">IF(T338&gt;0,(T338/T338),0)</f>
        <v>0</v>
      </c>
      <c r="E338" s="808">
        <f t="shared" si="202"/>
        <v>0</v>
      </c>
      <c r="F338" s="808">
        <f t="shared" si="202"/>
        <v>0</v>
      </c>
      <c r="G338" s="808">
        <f t="shared" si="202"/>
        <v>0</v>
      </c>
      <c r="H338" s="809">
        <f t="shared" si="202"/>
        <v>0</v>
      </c>
      <c r="I338" s="577">
        <f t="shared" si="202"/>
        <v>0</v>
      </c>
      <c r="J338" s="577">
        <f t="shared" si="202"/>
        <v>0</v>
      </c>
      <c r="K338" s="578">
        <f t="shared" si="202"/>
        <v>0</v>
      </c>
      <c r="L338" s="578">
        <f t="shared" si="202"/>
        <v>0</v>
      </c>
      <c r="M338" s="578">
        <f t="shared" si="202"/>
        <v>0</v>
      </c>
      <c r="N338" s="577">
        <f>IF(AE338&gt;0,(AE338/AE338),0)</f>
        <v>0</v>
      </c>
      <c r="O338" s="577">
        <f t="shared" ref="O338:Q338" si="203">IF(AF338&gt;0,(AF338/AF338),0)</f>
        <v>0</v>
      </c>
      <c r="P338" s="579">
        <f t="shared" si="203"/>
        <v>0</v>
      </c>
      <c r="Q338" s="577">
        <f t="shared" si="203"/>
        <v>0</v>
      </c>
      <c r="Y338" s="804"/>
      <c r="Z338" s="804"/>
      <c r="AE338" s="804"/>
      <c r="AF338" s="804"/>
      <c r="AH338" s="804"/>
    </row>
    <row r="339" spans="1:34">
      <c r="A339" s="240" t="s">
        <v>163</v>
      </c>
      <c r="B339" s="240" t="s">
        <v>53</v>
      </c>
      <c r="C339" s="806">
        <f>IF(S344&gt;0,(S339/S344),0)</f>
        <v>0</v>
      </c>
      <c r="D339" s="806">
        <f t="shared" ref="D339:M339" si="204">IF(T344&gt;0,(T339/T344),0)</f>
        <v>0</v>
      </c>
      <c r="E339" s="806">
        <f t="shared" si="204"/>
        <v>0</v>
      </c>
      <c r="F339" s="806">
        <f t="shared" si="204"/>
        <v>0</v>
      </c>
      <c r="G339" s="806">
        <f t="shared" si="204"/>
        <v>0</v>
      </c>
      <c r="H339" s="806">
        <f t="shared" si="204"/>
        <v>0</v>
      </c>
      <c r="I339" s="613">
        <f t="shared" si="204"/>
        <v>0</v>
      </c>
      <c r="J339" s="613">
        <f t="shared" si="204"/>
        <v>0</v>
      </c>
      <c r="K339" s="614">
        <f t="shared" si="204"/>
        <v>0</v>
      </c>
      <c r="L339" s="614">
        <f t="shared" si="204"/>
        <v>0</v>
      </c>
      <c r="M339" s="614">
        <f t="shared" si="204"/>
        <v>0</v>
      </c>
      <c r="N339" s="613">
        <f>IF(AE344&gt;0,(AE339/AE344),0)</f>
        <v>0</v>
      </c>
      <c r="O339" s="613">
        <f t="shared" ref="O339:Q339" si="205">IF(AF344&gt;0,(AF339/AF344),0)</f>
        <v>0</v>
      </c>
      <c r="P339" s="615">
        <f t="shared" si="205"/>
        <v>0</v>
      </c>
      <c r="Q339" s="613">
        <f t="shared" si="205"/>
        <v>0</v>
      </c>
      <c r="R339" s="799"/>
      <c r="S339" s="798"/>
      <c r="T339" s="798"/>
      <c r="U339" s="798"/>
      <c r="V339" s="798"/>
      <c r="W339" s="798"/>
      <c r="X339" s="798"/>
      <c r="Y339" s="803"/>
      <c r="Z339" s="803"/>
      <c r="AA339" s="798"/>
      <c r="AB339" s="798"/>
      <c r="AC339" s="798"/>
      <c r="AD339" s="798"/>
      <c r="AE339" s="803"/>
      <c r="AF339" s="803"/>
      <c r="AG339" s="798"/>
      <c r="AH339" s="803"/>
    </row>
    <row r="340" spans="1:34">
      <c r="A340" s="239"/>
      <c r="B340" s="239" t="s">
        <v>93</v>
      </c>
      <c r="C340" s="806">
        <f>IF(S344&gt;0,(S340/S344),0)</f>
        <v>0</v>
      </c>
      <c r="D340" s="806">
        <f t="shared" ref="D340:M340" si="206">IF(T344&gt;0,(T340/T344),0)</f>
        <v>0</v>
      </c>
      <c r="E340" s="806">
        <f t="shared" si="206"/>
        <v>0</v>
      </c>
      <c r="F340" s="806">
        <f t="shared" si="206"/>
        <v>0</v>
      </c>
      <c r="G340" s="806">
        <f t="shared" si="206"/>
        <v>0</v>
      </c>
      <c r="H340" s="806">
        <f t="shared" si="206"/>
        <v>0</v>
      </c>
      <c r="I340" s="624">
        <f t="shared" si="206"/>
        <v>0</v>
      </c>
      <c r="J340" s="624">
        <f t="shared" si="206"/>
        <v>0</v>
      </c>
      <c r="K340" s="625">
        <f t="shared" si="206"/>
        <v>0</v>
      </c>
      <c r="L340" s="625">
        <f t="shared" si="206"/>
        <v>0</v>
      </c>
      <c r="M340" s="625">
        <f t="shared" si="206"/>
        <v>0</v>
      </c>
      <c r="N340" s="624">
        <f>IF(AE344&gt;0,(AE340/AE344),0)</f>
        <v>0</v>
      </c>
      <c r="O340" s="624">
        <f t="shared" ref="O340:Q340" si="207">IF(AF344&gt;0,(AF340/AF344),0)</f>
        <v>0</v>
      </c>
      <c r="P340" s="626">
        <f t="shared" si="207"/>
        <v>0</v>
      </c>
      <c r="Q340" s="624">
        <f t="shared" si="207"/>
        <v>0</v>
      </c>
      <c r="Y340" s="804"/>
      <c r="Z340" s="804"/>
      <c r="AE340" s="804"/>
      <c r="AF340" s="804"/>
      <c r="AH340" s="804"/>
    </row>
    <row r="341" spans="1:34">
      <c r="A341" s="239"/>
      <c r="B341" s="239" t="s">
        <v>55</v>
      </c>
      <c r="C341" s="806">
        <f>IF(S344&gt;0,(S341/S344),0)</f>
        <v>0</v>
      </c>
      <c r="D341" s="806">
        <f t="shared" ref="D341:M341" si="208">IF(T344&gt;0,(T341/T344),0)</f>
        <v>0</v>
      </c>
      <c r="E341" s="806">
        <f t="shared" si="208"/>
        <v>0</v>
      </c>
      <c r="F341" s="806">
        <f t="shared" si="208"/>
        <v>0</v>
      </c>
      <c r="G341" s="806">
        <f t="shared" si="208"/>
        <v>0</v>
      </c>
      <c r="H341" s="806">
        <f t="shared" si="208"/>
        <v>0</v>
      </c>
      <c r="I341" s="624">
        <f t="shared" si="208"/>
        <v>0</v>
      </c>
      <c r="J341" s="624">
        <f t="shared" si="208"/>
        <v>0</v>
      </c>
      <c r="K341" s="625">
        <f t="shared" si="208"/>
        <v>0</v>
      </c>
      <c r="L341" s="625">
        <f t="shared" si="208"/>
        <v>0</v>
      </c>
      <c r="M341" s="625">
        <f t="shared" si="208"/>
        <v>0</v>
      </c>
      <c r="N341" s="624">
        <f>IF(AE344&gt;0,(AE341/AE344),0)</f>
        <v>0</v>
      </c>
      <c r="O341" s="624">
        <f t="shared" ref="O341:Q341" si="209">IF(AF344&gt;0,(AF341/AF344),0)</f>
        <v>0</v>
      </c>
      <c r="P341" s="626">
        <f t="shared" si="209"/>
        <v>0</v>
      </c>
      <c r="Q341" s="624">
        <f t="shared" si="209"/>
        <v>0</v>
      </c>
      <c r="Y341" s="804"/>
      <c r="Z341" s="804"/>
      <c r="AE341" s="804"/>
      <c r="AF341" s="804"/>
      <c r="AH341" s="804"/>
    </row>
    <row r="342" spans="1:34">
      <c r="A342" s="239"/>
      <c r="B342" s="239" t="s">
        <v>78</v>
      </c>
      <c r="C342" s="806">
        <f>IF(S344&gt;0,(S342/S344),0)</f>
        <v>0</v>
      </c>
      <c r="D342" s="806">
        <f t="shared" ref="D342:M342" si="210">IF(T344&gt;0,(T342/T344),0)</f>
        <v>0</v>
      </c>
      <c r="E342" s="806">
        <f t="shared" si="210"/>
        <v>0</v>
      </c>
      <c r="F342" s="806">
        <f t="shared" si="210"/>
        <v>0</v>
      </c>
      <c r="G342" s="806">
        <f t="shared" si="210"/>
        <v>0</v>
      </c>
      <c r="H342" s="806">
        <f t="shared" si="210"/>
        <v>0</v>
      </c>
      <c r="I342" s="624">
        <f t="shared" si="210"/>
        <v>0</v>
      </c>
      <c r="J342" s="624">
        <f t="shared" si="210"/>
        <v>0</v>
      </c>
      <c r="K342" s="625">
        <f t="shared" si="210"/>
        <v>0</v>
      </c>
      <c r="L342" s="625">
        <f t="shared" si="210"/>
        <v>0</v>
      </c>
      <c r="M342" s="625">
        <f t="shared" si="210"/>
        <v>0</v>
      </c>
      <c r="N342" s="624">
        <f>IF(AE344&gt;0,(AE342/AE344),0)</f>
        <v>0</v>
      </c>
      <c r="O342" s="624">
        <f t="shared" ref="O342:Q342" si="211">IF(AF344&gt;0,(AF342/AF344),0)</f>
        <v>0</v>
      </c>
      <c r="P342" s="626">
        <f t="shared" si="211"/>
        <v>0</v>
      </c>
      <c r="Q342" s="624">
        <f t="shared" si="211"/>
        <v>0</v>
      </c>
      <c r="Y342" s="804"/>
      <c r="Z342" s="804"/>
      <c r="AE342" s="804"/>
      <c r="AF342" s="804"/>
      <c r="AH342" s="804"/>
    </row>
    <row r="343" spans="1:34">
      <c r="A343" s="580"/>
      <c r="B343" s="580" t="s">
        <v>131</v>
      </c>
      <c r="C343" s="806">
        <f>IF(S344&gt;0,(S343/S344),0)</f>
        <v>0</v>
      </c>
      <c r="D343" s="806">
        <f t="shared" ref="D343:M343" si="212">IF(T344&gt;0,(T343/T344),0)</f>
        <v>0</v>
      </c>
      <c r="E343" s="806">
        <f t="shared" si="212"/>
        <v>0</v>
      </c>
      <c r="F343" s="806">
        <f t="shared" si="212"/>
        <v>0</v>
      </c>
      <c r="G343" s="806">
        <f t="shared" si="212"/>
        <v>0</v>
      </c>
      <c r="H343" s="806">
        <f t="shared" si="212"/>
        <v>0</v>
      </c>
      <c r="I343" s="624">
        <f t="shared" si="212"/>
        <v>0</v>
      </c>
      <c r="J343" s="624">
        <f t="shared" si="212"/>
        <v>0</v>
      </c>
      <c r="K343" s="625">
        <f t="shared" si="212"/>
        <v>0</v>
      </c>
      <c r="L343" s="625">
        <f t="shared" si="212"/>
        <v>0</v>
      </c>
      <c r="M343" s="625">
        <f t="shared" si="212"/>
        <v>0</v>
      </c>
      <c r="N343" s="624">
        <f>IF(AE344&gt;0,(AE343/AE344),0)</f>
        <v>0</v>
      </c>
      <c r="O343" s="624">
        <f t="shared" ref="O343:Q343" si="213">IF(AF344&gt;0,(AF343/AF344),0)</f>
        <v>0</v>
      </c>
      <c r="P343" s="626">
        <f t="shared" si="213"/>
        <v>0</v>
      </c>
      <c r="Q343" s="624">
        <f t="shared" si="213"/>
        <v>0</v>
      </c>
      <c r="Y343" s="804"/>
      <c r="Z343" s="804"/>
      <c r="AE343" s="804"/>
      <c r="AF343" s="804"/>
      <c r="AH343" s="804"/>
    </row>
    <row r="344" spans="1:34">
      <c r="A344" s="436"/>
      <c r="B344" s="436" t="s">
        <v>59</v>
      </c>
      <c r="C344" s="807">
        <f>IF(S344&gt;0,(S344/S344),0)</f>
        <v>0</v>
      </c>
      <c r="D344" s="808">
        <f t="shared" ref="D344:M344" si="214">IF(T344&gt;0,(T344/T344),0)</f>
        <v>0</v>
      </c>
      <c r="E344" s="808">
        <f t="shared" si="214"/>
        <v>0</v>
      </c>
      <c r="F344" s="808">
        <f t="shared" si="214"/>
        <v>0</v>
      </c>
      <c r="G344" s="808">
        <f t="shared" si="214"/>
        <v>0</v>
      </c>
      <c r="H344" s="809">
        <f t="shared" si="214"/>
        <v>0</v>
      </c>
      <c r="I344" s="577">
        <f t="shared" si="214"/>
        <v>0</v>
      </c>
      <c r="J344" s="577">
        <f t="shared" si="214"/>
        <v>0</v>
      </c>
      <c r="K344" s="578">
        <f t="shared" si="214"/>
        <v>0</v>
      </c>
      <c r="L344" s="578">
        <f t="shared" si="214"/>
        <v>0</v>
      </c>
      <c r="M344" s="578">
        <f t="shared" si="214"/>
        <v>0</v>
      </c>
      <c r="N344" s="577">
        <f>IF(AE344&gt;0,(AE344/AE344),0)</f>
        <v>0</v>
      </c>
      <c r="O344" s="577">
        <f t="shared" ref="O344:Q344" si="215">IF(AF344&gt;0,(AF344/AF344),0)</f>
        <v>0</v>
      </c>
      <c r="P344" s="579">
        <f t="shared" si="215"/>
        <v>0</v>
      </c>
      <c r="Q344" s="577">
        <f t="shared" si="215"/>
        <v>0</v>
      </c>
      <c r="Y344" s="804"/>
      <c r="Z344" s="804"/>
      <c r="AE344" s="804"/>
      <c r="AF344" s="804"/>
      <c r="AH344" s="804"/>
    </row>
    <row r="345" spans="1:34">
      <c r="A345" s="240" t="s">
        <v>166</v>
      </c>
      <c r="B345" s="240" t="s">
        <v>53</v>
      </c>
      <c r="C345" s="806">
        <f>IF(S350&gt;0,(S345/S350),0)</f>
        <v>0</v>
      </c>
      <c r="D345" s="806">
        <f t="shared" ref="D345:M345" si="216">IF(T350&gt;0,(T345/T350),0)</f>
        <v>0</v>
      </c>
      <c r="E345" s="806">
        <f t="shared" si="216"/>
        <v>0</v>
      </c>
      <c r="F345" s="806">
        <f t="shared" si="216"/>
        <v>0</v>
      </c>
      <c r="G345" s="806">
        <f t="shared" si="216"/>
        <v>0</v>
      </c>
      <c r="H345" s="806">
        <f t="shared" si="216"/>
        <v>0</v>
      </c>
      <c r="I345" s="613">
        <f t="shared" si="216"/>
        <v>0</v>
      </c>
      <c r="J345" s="613">
        <f t="shared" si="216"/>
        <v>0</v>
      </c>
      <c r="K345" s="614">
        <f t="shared" si="216"/>
        <v>0</v>
      </c>
      <c r="L345" s="614">
        <f t="shared" si="216"/>
        <v>0</v>
      </c>
      <c r="M345" s="614">
        <f t="shared" si="216"/>
        <v>0</v>
      </c>
      <c r="N345" s="613">
        <f>IF(AE350&gt;0,(AE345/AE350),0)</f>
        <v>0</v>
      </c>
      <c r="O345" s="613">
        <f t="shared" ref="O345:Q345" si="217">IF(AF350&gt;0,(AF345/AF350),0)</f>
        <v>0</v>
      </c>
      <c r="P345" s="615">
        <f t="shared" si="217"/>
        <v>0</v>
      </c>
      <c r="Q345" s="613">
        <f t="shared" si="217"/>
        <v>0</v>
      </c>
      <c r="R345" s="799"/>
      <c r="S345" s="798"/>
      <c r="T345" s="798"/>
      <c r="U345" s="798"/>
      <c r="V345" s="798"/>
      <c r="W345" s="798"/>
      <c r="X345" s="798"/>
      <c r="Y345" s="803"/>
      <c r="Z345" s="803"/>
      <c r="AA345" s="798"/>
      <c r="AB345" s="798"/>
      <c r="AC345" s="798"/>
      <c r="AD345" s="798"/>
      <c r="AE345" s="803"/>
      <c r="AF345" s="803"/>
      <c r="AG345" s="798"/>
      <c r="AH345" s="803"/>
    </row>
    <row r="346" spans="1:34">
      <c r="A346" s="239"/>
      <c r="B346" s="239" t="s">
        <v>93</v>
      </c>
      <c r="C346" s="806">
        <f>IF(S350&gt;0,(S346/S350),0)</f>
        <v>0</v>
      </c>
      <c r="D346" s="806">
        <f t="shared" ref="D346:M346" si="218">IF(T350&gt;0,(T346/T350),0)</f>
        <v>0</v>
      </c>
      <c r="E346" s="806">
        <f t="shared" si="218"/>
        <v>0</v>
      </c>
      <c r="F346" s="806">
        <f t="shared" si="218"/>
        <v>0</v>
      </c>
      <c r="G346" s="806">
        <f t="shared" si="218"/>
        <v>0</v>
      </c>
      <c r="H346" s="806">
        <f t="shared" si="218"/>
        <v>0</v>
      </c>
      <c r="I346" s="624">
        <f t="shared" si="218"/>
        <v>0</v>
      </c>
      <c r="J346" s="624">
        <f t="shared" si="218"/>
        <v>0</v>
      </c>
      <c r="K346" s="625">
        <f t="shared" si="218"/>
        <v>0</v>
      </c>
      <c r="L346" s="625">
        <f t="shared" si="218"/>
        <v>0</v>
      </c>
      <c r="M346" s="625">
        <f t="shared" si="218"/>
        <v>0</v>
      </c>
      <c r="N346" s="624">
        <f>IF(AE350&gt;0,(AE346/AE350),0)</f>
        <v>0</v>
      </c>
      <c r="O346" s="624">
        <f t="shared" ref="O346:Q346" si="219">IF(AF350&gt;0,(AF346/AF350),0)</f>
        <v>0</v>
      </c>
      <c r="P346" s="626">
        <f t="shared" si="219"/>
        <v>0</v>
      </c>
      <c r="Q346" s="624">
        <f t="shared" si="219"/>
        <v>0</v>
      </c>
      <c r="Y346" s="804"/>
      <c r="Z346" s="804"/>
      <c r="AE346" s="804"/>
      <c r="AF346" s="804"/>
      <c r="AH346" s="804"/>
    </row>
    <row r="347" spans="1:34">
      <c r="A347" s="239"/>
      <c r="B347" s="239" t="s">
        <v>55</v>
      </c>
      <c r="C347" s="806">
        <f>IF(S350&gt;0,(S347/S350),0)</f>
        <v>0</v>
      </c>
      <c r="D347" s="806">
        <f t="shared" ref="D347:M347" si="220">IF(T350&gt;0,(T347/T350),0)</f>
        <v>0</v>
      </c>
      <c r="E347" s="806">
        <f t="shared" si="220"/>
        <v>0</v>
      </c>
      <c r="F347" s="806">
        <f t="shared" si="220"/>
        <v>0</v>
      </c>
      <c r="G347" s="806">
        <f t="shared" si="220"/>
        <v>0</v>
      </c>
      <c r="H347" s="806">
        <f t="shared" si="220"/>
        <v>0</v>
      </c>
      <c r="I347" s="624">
        <f t="shared" si="220"/>
        <v>0</v>
      </c>
      <c r="J347" s="624">
        <f t="shared" si="220"/>
        <v>0</v>
      </c>
      <c r="K347" s="625">
        <f t="shared" si="220"/>
        <v>0</v>
      </c>
      <c r="L347" s="625">
        <f t="shared" si="220"/>
        <v>0</v>
      </c>
      <c r="M347" s="625">
        <f t="shared" si="220"/>
        <v>0</v>
      </c>
      <c r="N347" s="624">
        <f>IF(AE350&gt;0,(AE347/AE350),0)</f>
        <v>0</v>
      </c>
      <c r="O347" s="624">
        <f t="shared" ref="O347:Q347" si="221">IF(AF350&gt;0,(AF347/AF350),0)</f>
        <v>0</v>
      </c>
      <c r="P347" s="626">
        <f t="shared" si="221"/>
        <v>0</v>
      </c>
      <c r="Q347" s="624">
        <f t="shared" si="221"/>
        <v>0</v>
      </c>
      <c r="Y347" s="804"/>
      <c r="Z347" s="804"/>
      <c r="AE347" s="804"/>
      <c r="AF347" s="804"/>
      <c r="AH347" s="804"/>
    </row>
    <row r="348" spans="1:34">
      <c r="A348" s="239"/>
      <c r="B348" s="239" t="s">
        <v>78</v>
      </c>
      <c r="C348" s="806">
        <f>IF(S350&gt;0,(S348/S350),0)</f>
        <v>0</v>
      </c>
      <c r="D348" s="806">
        <f t="shared" ref="D348:M348" si="222">IF(T350&gt;0,(T348/T350),0)</f>
        <v>0</v>
      </c>
      <c r="E348" s="806">
        <f t="shared" si="222"/>
        <v>0</v>
      </c>
      <c r="F348" s="806">
        <f t="shared" si="222"/>
        <v>0</v>
      </c>
      <c r="G348" s="806">
        <f t="shared" si="222"/>
        <v>0</v>
      </c>
      <c r="H348" s="806">
        <f t="shared" si="222"/>
        <v>0</v>
      </c>
      <c r="I348" s="624">
        <f t="shared" si="222"/>
        <v>0</v>
      </c>
      <c r="J348" s="624">
        <f t="shared" si="222"/>
        <v>0</v>
      </c>
      <c r="K348" s="625">
        <f t="shared" si="222"/>
        <v>0</v>
      </c>
      <c r="L348" s="625">
        <f t="shared" si="222"/>
        <v>0</v>
      </c>
      <c r="M348" s="625">
        <f t="shared" si="222"/>
        <v>0</v>
      </c>
      <c r="N348" s="624">
        <f>IF(AE350&gt;0,(AE348/AE350),0)</f>
        <v>0</v>
      </c>
      <c r="O348" s="624">
        <f t="shared" ref="O348:Q348" si="223">IF(AF350&gt;0,(AF348/AF350),0)</f>
        <v>0</v>
      </c>
      <c r="P348" s="626">
        <f t="shared" si="223"/>
        <v>0</v>
      </c>
      <c r="Q348" s="624">
        <f t="shared" si="223"/>
        <v>0</v>
      </c>
      <c r="Y348" s="804"/>
      <c r="Z348" s="804"/>
      <c r="AE348" s="804"/>
      <c r="AF348" s="804"/>
      <c r="AH348" s="804"/>
    </row>
    <row r="349" spans="1:34">
      <c r="A349" s="580"/>
      <c r="B349" s="580" t="s">
        <v>131</v>
      </c>
      <c r="C349" s="806">
        <f>IF(S350&gt;0,(S349/S350),0)</f>
        <v>0</v>
      </c>
      <c r="D349" s="806">
        <f t="shared" ref="D349:M349" si="224">IF(T350&gt;0,(T349/T350),0)</f>
        <v>0</v>
      </c>
      <c r="E349" s="806">
        <f t="shared" si="224"/>
        <v>0</v>
      </c>
      <c r="F349" s="806">
        <f t="shared" si="224"/>
        <v>0</v>
      </c>
      <c r="G349" s="806">
        <f t="shared" si="224"/>
        <v>0</v>
      </c>
      <c r="H349" s="806">
        <f t="shared" si="224"/>
        <v>0</v>
      </c>
      <c r="I349" s="624">
        <f t="shared" si="224"/>
        <v>0</v>
      </c>
      <c r="J349" s="624">
        <f t="shared" si="224"/>
        <v>0</v>
      </c>
      <c r="K349" s="625">
        <f t="shared" si="224"/>
        <v>0</v>
      </c>
      <c r="L349" s="625">
        <f t="shared" si="224"/>
        <v>0</v>
      </c>
      <c r="M349" s="625">
        <f t="shared" si="224"/>
        <v>0</v>
      </c>
      <c r="N349" s="624">
        <f>IF(AE350&gt;0,(AE349/AE350),0)</f>
        <v>0</v>
      </c>
      <c r="O349" s="624">
        <f t="shared" ref="O349:Q349" si="225">IF(AF350&gt;0,(AF349/AF350),0)</f>
        <v>0</v>
      </c>
      <c r="P349" s="626">
        <f t="shared" si="225"/>
        <v>0</v>
      </c>
      <c r="Q349" s="624">
        <f t="shared" si="225"/>
        <v>0</v>
      </c>
      <c r="Y349" s="804"/>
      <c r="Z349" s="804"/>
      <c r="AE349" s="804"/>
      <c r="AF349" s="804"/>
      <c r="AH349" s="804"/>
    </row>
    <row r="350" spans="1:34">
      <c r="A350" s="436"/>
      <c r="B350" s="436" t="s">
        <v>59</v>
      </c>
      <c r="C350" s="807">
        <f>IF(S350&gt;0,(S350/S350),0)</f>
        <v>0</v>
      </c>
      <c r="D350" s="808">
        <f t="shared" ref="D350:M350" si="226">IF(T350&gt;0,(T350/T350),0)</f>
        <v>0</v>
      </c>
      <c r="E350" s="808">
        <f t="shared" si="226"/>
        <v>0</v>
      </c>
      <c r="F350" s="808">
        <f t="shared" si="226"/>
        <v>0</v>
      </c>
      <c r="G350" s="808">
        <f t="shared" si="226"/>
        <v>0</v>
      </c>
      <c r="H350" s="809">
        <f t="shared" si="226"/>
        <v>0</v>
      </c>
      <c r="I350" s="577">
        <f t="shared" si="226"/>
        <v>0</v>
      </c>
      <c r="J350" s="577">
        <f t="shared" si="226"/>
        <v>0</v>
      </c>
      <c r="K350" s="578">
        <f t="shared" si="226"/>
        <v>0</v>
      </c>
      <c r="L350" s="578">
        <f t="shared" si="226"/>
        <v>0</v>
      </c>
      <c r="M350" s="578">
        <f t="shared" si="226"/>
        <v>0</v>
      </c>
      <c r="N350" s="577">
        <f>IF(AE350&gt;0,(AE350/AE350),0)</f>
        <v>0</v>
      </c>
      <c r="O350" s="577">
        <f t="shared" ref="O350:Q350" si="227">IF(AF350&gt;0,(AF350/AF350),0)</f>
        <v>0</v>
      </c>
      <c r="P350" s="579">
        <f t="shared" si="227"/>
        <v>0</v>
      </c>
      <c r="Q350" s="577">
        <f t="shared" si="227"/>
        <v>0</v>
      </c>
      <c r="Y350" s="804"/>
      <c r="Z350" s="804"/>
      <c r="AE350" s="804"/>
      <c r="AF350" s="804"/>
      <c r="AH350" s="804"/>
    </row>
    <row r="351" spans="1:34">
      <c r="A351" s="240" t="s">
        <v>170</v>
      </c>
      <c r="B351" s="240" t="s">
        <v>53</v>
      </c>
      <c r="C351" s="806">
        <f>IF(S356&gt;0,(S351/S356),0)</f>
        <v>0</v>
      </c>
      <c r="D351" s="806">
        <f t="shared" ref="D351:M351" si="228">IF(T356&gt;0,(T351/T356),0)</f>
        <v>0</v>
      </c>
      <c r="E351" s="806">
        <f t="shared" si="228"/>
        <v>0</v>
      </c>
      <c r="F351" s="806">
        <f t="shared" si="228"/>
        <v>0</v>
      </c>
      <c r="G351" s="806">
        <f t="shared" si="228"/>
        <v>0</v>
      </c>
      <c r="H351" s="806">
        <f t="shared" si="228"/>
        <v>0</v>
      </c>
      <c r="I351" s="613">
        <f t="shared" si="228"/>
        <v>0</v>
      </c>
      <c r="J351" s="613">
        <f t="shared" si="228"/>
        <v>0</v>
      </c>
      <c r="K351" s="614">
        <f t="shared" si="228"/>
        <v>0</v>
      </c>
      <c r="L351" s="614">
        <f t="shared" si="228"/>
        <v>0</v>
      </c>
      <c r="M351" s="614">
        <f t="shared" si="228"/>
        <v>0</v>
      </c>
      <c r="N351" s="613">
        <f>IF(AE356&gt;0,(AE351/AE356),0)</f>
        <v>0</v>
      </c>
      <c r="O351" s="613">
        <f t="shared" ref="O351:Q351" si="229">IF(AF356&gt;0,(AF351/AF356),0)</f>
        <v>0</v>
      </c>
      <c r="P351" s="615">
        <f t="shared" si="229"/>
        <v>0</v>
      </c>
      <c r="Q351" s="613">
        <f t="shared" si="229"/>
        <v>0</v>
      </c>
      <c r="R351" s="799"/>
      <c r="S351" s="798"/>
      <c r="T351" s="798"/>
      <c r="U351" s="798"/>
      <c r="V351" s="798"/>
      <c r="W351" s="798"/>
      <c r="X351" s="798"/>
      <c r="Y351" s="803"/>
      <c r="Z351" s="803"/>
      <c r="AA351" s="798"/>
      <c r="AB351" s="798"/>
      <c r="AC351" s="798"/>
      <c r="AD351" s="798"/>
      <c r="AE351" s="803"/>
      <c r="AF351" s="803"/>
      <c r="AG351" s="798"/>
      <c r="AH351" s="803"/>
    </row>
    <row r="352" spans="1:34">
      <c r="A352" s="239"/>
      <c r="B352" s="239" t="s">
        <v>93</v>
      </c>
      <c r="C352" s="806">
        <f>IF(S356&gt;0,(S352/S356),0)</f>
        <v>0</v>
      </c>
      <c r="D352" s="806">
        <f t="shared" ref="D352:M352" si="230">IF(T356&gt;0,(T352/T356),0)</f>
        <v>0</v>
      </c>
      <c r="E352" s="806">
        <f t="shared" si="230"/>
        <v>0</v>
      </c>
      <c r="F352" s="806">
        <f t="shared" si="230"/>
        <v>0</v>
      </c>
      <c r="G352" s="806">
        <f t="shared" si="230"/>
        <v>0</v>
      </c>
      <c r="H352" s="806">
        <f t="shared" si="230"/>
        <v>0</v>
      </c>
      <c r="I352" s="624">
        <f t="shared" si="230"/>
        <v>0</v>
      </c>
      <c r="J352" s="624">
        <f t="shared" si="230"/>
        <v>0</v>
      </c>
      <c r="K352" s="625">
        <f t="shared" si="230"/>
        <v>0</v>
      </c>
      <c r="L352" s="625">
        <f t="shared" si="230"/>
        <v>0</v>
      </c>
      <c r="M352" s="625">
        <f t="shared" si="230"/>
        <v>0</v>
      </c>
      <c r="N352" s="624">
        <f>IF(AE356&gt;0,(AE352/AE356),0)</f>
        <v>0</v>
      </c>
      <c r="O352" s="624">
        <f t="shared" ref="O352:Q352" si="231">IF(AF356&gt;0,(AF352/AF356),0)</f>
        <v>0</v>
      </c>
      <c r="P352" s="626">
        <f t="shared" si="231"/>
        <v>0</v>
      </c>
      <c r="Q352" s="624">
        <f t="shared" si="231"/>
        <v>0</v>
      </c>
      <c r="Y352" s="804"/>
      <c r="Z352" s="804"/>
      <c r="AE352" s="804"/>
      <c r="AF352" s="804"/>
      <c r="AH352" s="804"/>
    </row>
    <row r="353" spans="1:34">
      <c r="A353" s="239"/>
      <c r="B353" s="239" t="s">
        <v>55</v>
      </c>
      <c r="C353" s="806">
        <f>IF(S356&gt;0,(S353/S356),0)</f>
        <v>0</v>
      </c>
      <c r="D353" s="806">
        <f t="shared" ref="D353:M353" si="232">IF(T356&gt;0,(T353/T356),0)</f>
        <v>0</v>
      </c>
      <c r="E353" s="806">
        <f t="shared" si="232"/>
        <v>0</v>
      </c>
      <c r="F353" s="806">
        <f t="shared" si="232"/>
        <v>0</v>
      </c>
      <c r="G353" s="806">
        <f t="shared" si="232"/>
        <v>0</v>
      </c>
      <c r="H353" s="806">
        <f t="shared" si="232"/>
        <v>0</v>
      </c>
      <c r="I353" s="624">
        <f t="shared" si="232"/>
        <v>0</v>
      </c>
      <c r="J353" s="624">
        <f t="shared" si="232"/>
        <v>0</v>
      </c>
      <c r="K353" s="625">
        <f t="shared" si="232"/>
        <v>0</v>
      </c>
      <c r="L353" s="625">
        <f t="shared" si="232"/>
        <v>0</v>
      </c>
      <c r="M353" s="625">
        <f t="shared" si="232"/>
        <v>0</v>
      </c>
      <c r="N353" s="624">
        <f>IF(AE356&gt;0,(AE353/AE356),0)</f>
        <v>0</v>
      </c>
      <c r="O353" s="624">
        <f t="shared" ref="O353:Q353" si="233">IF(AF356&gt;0,(AF353/AF356),0)</f>
        <v>0</v>
      </c>
      <c r="P353" s="626">
        <f t="shared" si="233"/>
        <v>0</v>
      </c>
      <c r="Q353" s="624">
        <f t="shared" si="233"/>
        <v>0</v>
      </c>
      <c r="Y353" s="804"/>
      <c r="Z353" s="804"/>
      <c r="AE353" s="804"/>
      <c r="AF353" s="804"/>
      <c r="AH353" s="804"/>
    </row>
    <row r="354" spans="1:34">
      <c r="A354" s="239"/>
      <c r="B354" s="239" t="s">
        <v>78</v>
      </c>
      <c r="C354" s="806">
        <f>IF(S356&gt;0,(S354/S356),0)</f>
        <v>0</v>
      </c>
      <c r="D354" s="806">
        <f t="shared" ref="D354:M354" si="234">IF(T356&gt;0,(T354/T356),0)</f>
        <v>0</v>
      </c>
      <c r="E354" s="806">
        <f t="shared" si="234"/>
        <v>0</v>
      </c>
      <c r="F354" s="806">
        <f t="shared" si="234"/>
        <v>0</v>
      </c>
      <c r="G354" s="806">
        <f t="shared" si="234"/>
        <v>0</v>
      </c>
      <c r="H354" s="806">
        <f t="shared" si="234"/>
        <v>0</v>
      </c>
      <c r="I354" s="624">
        <f t="shared" si="234"/>
        <v>0</v>
      </c>
      <c r="J354" s="624">
        <f t="shared" si="234"/>
        <v>0</v>
      </c>
      <c r="K354" s="625">
        <f t="shared" si="234"/>
        <v>0</v>
      </c>
      <c r="L354" s="625">
        <f t="shared" si="234"/>
        <v>0</v>
      </c>
      <c r="M354" s="625">
        <f t="shared" si="234"/>
        <v>0</v>
      </c>
      <c r="N354" s="624">
        <f>IF(AE356&gt;0,(AE354/AE356),0)</f>
        <v>0</v>
      </c>
      <c r="O354" s="624">
        <f t="shared" ref="O354:Q354" si="235">IF(AF356&gt;0,(AF354/AF356),0)</f>
        <v>0</v>
      </c>
      <c r="P354" s="626">
        <f t="shared" si="235"/>
        <v>0</v>
      </c>
      <c r="Q354" s="624">
        <f t="shared" si="235"/>
        <v>0</v>
      </c>
      <c r="Y354" s="804"/>
      <c r="Z354" s="804"/>
      <c r="AE354" s="804"/>
      <c r="AF354" s="804"/>
      <c r="AH354" s="804"/>
    </row>
    <row r="355" spans="1:34">
      <c r="A355" s="580"/>
      <c r="B355" s="580" t="s">
        <v>131</v>
      </c>
      <c r="C355" s="806">
        <f>IF(S356&gt;0,(S355/S356),0)</f>
        <v>0</v>
      </c>
      <c r="D355" s="806">
        <f t="shared" ref="D355:M355" si="236">IF(T356&gt;0,(T355/T356),0)</f>
        <v>0</v>
      </c>
      <c r="E355" s="806">
        <f t="shared" si="236"/>
        <v>0</v>
      </c>
      <c r="F355" s="806">
        <f t="shared" si="236"/>
        <v>0</v>
      </c>
      <c r="G355" s="806">
        <f t="shared" si="236"/>
        <v>0</v>
      </c>
      <c r="H355" s="806">
        <f t="shared" si="236"/>
        <v>0</v>
      </c>
      <c r="I355" s="624">
        <f t="shared" si="236"/>
        <v>0</v>
      </c>
      <c r="J355" s="624">
        <f t="shared" si="236"/>
        <v>0</v>
      </c>
      <c r="K355" s="625">
        <f t="shared" si="236"/>
        <v>0</v>
      </c>
      <c r="L355" s="625">
        <f t="shared" si="236"/>
        <v>0</v>
      </c>
      <c r="M355" s="625">
        <f t="shared" si="236"/>
        <v>0</v>
      </c>
      <c r="N355" s="624">
        <f>IF(AE356&gt;0,(AE355/AE356),0)</f>
        <v>0</v>
      </c>
      <c r="O355" s="624">
        <f t="shared" ref="O355:Q355" si="237">IF(AF356&gt;0,(AF355/AF356),0)</f>
        <v>0</v>
      </c>
      <c r="P355" s="626">
        <f t="shared" si="237"/>
        <v>0</v>
      </c>
      <c r="Q355" s="624">
        <f t="shared" si="237"/>
        <v>0</v>
      </c>
      <c r="Y355" s="804"/>
      <c r="Z355" s="804"/>
      <c r="AE355" s="804"/>
      <c r="AF355" s="804"/>
      <c r="AH355" s="804"/>
    </row>
    <row r="356" spans="1:34">
      <c r="A356" s="436"/>
      <c r="B356" s="436" t="s">
        <v>59</v>
      </c>
      <c r="C356" s="806">
        <f>IF(S356&gt;0,(S356/S356),0)</f>
        <v>0</v>
      </c>
      <c r="D356" s="806">
        <f t="shared" ref="D356:M356" si="238">IF(T356&gt;0,(T356/T356),0)</f>
        <v>0</v>
      </c>
      <c r="E356" s="806">
        <f t="shared" si="238"/>
        <v>0</v>
      </c>
      <c r="F356" s="806">
        <f t="shared" si="238"/>
        <v>0</v>
      </c>
      <c r="G356" s="806">
        <f t="shared" si="238"/>
        <v>0</v>
      </c>
      <c r="H356" s="806">
        <f t="shared" si="238"/>
        <v>0</v>
      </c>
      <c r="I356" s="577">
        <f t="shared" si="238"/>
        <v>0</v>
      </c>
      <c r="J356" s="577">
        <f t="shared" si="238"/>
        <v>0</v>
      </c>
      <c r="K356" s="578">
        <f t="shared" si="238"/>
        <v>0</v>
      </c>
      <c r="L356" s="578">
        <f t="shared" si="238"/>
        <v>0</v>
      </c>
      <c r="M356" s="578">
        <f t="shared" si="238"/>
        <v>0</v>
      </c>
      <c r="N356" s="577">
        <f>IF(AE356&gt;0,(AE356/AE356),0)</f>
        <v>0</v>
      </c>
      <c r="O356" s="577">
        <f t="shared" ref="O356:Q356" si="239">IF(AF356&gt;0,(AF356/AF356),0)</f>
        <v>0</v>
      </c>
      <c r="P356" s="579">
        <f t="shared" si="239"/>
        <v>0</v>
      </c>
      <c r="Q356" s="577">
        <f t="shared" si="239"/>
        <v>0</v>
      </c>
      <c r="Y356" s="805"/>
      <c r="Z356" s="805"/>
      <c r="AE356" s="805"/>
      <c r="AF356" s="805"/>
      <c r="AH356" s="805"/>
    </row>
    <row r="357" spans="1:34">
      <c r="A357" s="240"/>
      <c r="B357" s="240"/>
      <c r="C357" s="359"/>
      <c r="D357" s="359"/>
      <c r="E357" s="359"/>
      <c r="F357" s="359"/>
      <c r="G357" s="359"/>
      <c r="H357" s="359"/>
      <c r="I357" s="359"/>
      <c r="J357" s="359"/>
      <c r="K357" s="359"/>
      <c r="L357" s="359"/>
      <c r="M357" s="359"/>
      <c r="N357" s="359"/>
      <c r="O357" s="359"/>
      <c r="P357" s="359"/>
      <c r="Q357" s="359"/>
      <c r="R357" s="799"/>
      <c r="S357" s="798"/>
      <c r="T357" s="798"/>
      <c r="U357" s="798"/>
      <c r="V357" s="798"/>
      <c r="W357" s="798"/>
      <c r="X357" s="798"/>
      <c r="Y357" s="798"/>
      <c r="Z357" s="798"/>
      <c r="AA357" s="798"/>
      <c r="AB357" s="798"/>
      <c r="AC357" s="798"/>
      <c r="AD357" s="798"/>
      <c r="AE357" s="798"/>
      <c r="AF357" s="798"/>
      <c r="AG357" s="798"/>
      <c r="AH357" s="798"/>
    </row>
    <row r="359" spans="1:34" ht="15">
      <c r="B359" s="890" t="s">
        <v>229</v>
      </c>
    </row>
  </sheetData>
  <pageMargins left="0.7" right="0.7" top="0.75" bottom="0.75" header="0.3" footer="0.3"/>
  <pageSetup scale="23" fitToWidth="0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00FF"/>
  </sheetPr>
  <dimension ref="A1:AO345"/>
  <sheetViews>
    <sheetView workbookViewId="0">
      <pane xSplit="2" ySplit="8" topLeftCell="C321" activePane="bottomRight" state="frozen"/>
      <selection pane="topRight" activeCell="C1" sqref="C1"/>
      <selection pane="bottomLeft" activeCell="A9" sqref="A9"/>
      <selection pane="bottomRight" activeCell="J340" sqref="J340:J344"/>
    </sheetView>
  </sheetViews>
  <sheetFormatPr defaultColWidth="8.88671875" defaultRowHeight="12.75" customHeight="1"/>
  <cols>
    <col min="1" max="1" width="5.33203125" style="500" customWidth="1"/>
    <col min="2" max="2" width="15.6640625" style="506" customWidth="1"/>
    <col min="3" max="3" width="6.21875" style="500" bestFit="1" customWidth="1"/>
    <col min="4" max="4" width="5.88671875" style="500" customWidth="1"/>
    <col min="5" max="5" width="5.77734375" style="500" customWidth="1"/>
    <col min="6" max="6" width="5.21875" style="500" customWidth="1"/>
    <col min="7" max="7" width="5.77734375" style="500" customWidth="1"/>
    <col min="8" max="9" width="5.44140625" style="500" customWidth="1"/>
    <col min="10" max="10" width="5.44140625" style="500" bestFit="1" customWidth="1"/>
    <col min="11" max="11" width="5.88671875" style="500" customWidth="1"/>
    <col min="12" max="12" width="5.6640625" style="500" customWidth="1"/>
    <col min="13" max="13" width="6.21875" style="500" customWidth="1"/>
    <col min="14" max="15" width="5.44140625" style="500" customWidth="1"/>
    <col min="16" max="17" width="5.88671875" style="500" customWidth="1"/>
    <col min="18" max="18" width="5.44140625" style="500" customWidth="1"/>
    <col min="19" max="19" width="5.6640625" style="500" customWidth="1"/>
    <col min="20" max="20" width="6.6640625" style="506" customWidth="1"/>
    <col min="21" max="21" width="3.6640625" style="507" customWidth="1"/>
    <col min="22" max="27" width="7.21875" style="209" customWidth="1"/>
    <col min="28" max="28" width="5.44140625" style="500" customWidth="1"/>
    <col min="29" max="29" width="7.6640625" style="209" customWidth="1"/>
    <col min="30" max="30" width="6.77734375" style="209" customWidth="1"/>
    <col min="31" max="31" width="7.21875" style="209" customWidth="1"/>
    <col min="32" max="32" width="8.109375" style="209" customWidth="1"/>
    <col min="33" max="34" width="6.44140625" style="209" customWidth="1"/>
    <col min="35" max="35" width="8.33203125" style="209" customWidth="1"/>
    <col min="36" max="36" width="6.77734375" style="209" customWidth="1"/>
    <col min="37" max="37" width="7.88671875" style="209" customWidth="1"/>
    <col min="38" max="38" width="6.33203125" style="209" customWidth="1"/>
    <col min="39" max="39" width="6.33203125" style="214" customWidth="1"/>
    <col min="40" max="40" width="5.33203125" style="209" customWidth="1"/>
    <col min="41" max="41" width="8.88671875" style="209" customWidth="1"/>
    <col min="42" max="16384" width="8.88671875" style="500"/>
  </cols>
  <sheetData>
    <row r="1" spans="1:41" ht="12.75" customHeight="1">
      <c r="A1" s="139" t="s">
        <v>132</v>
      </c>
      <c r="B1" s="781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7"/>
      <c r="U1" s="499" t="s">
        <v>86</v>
      </c>
      <c r="V1" s="207"/>
      <c r="W1" s="207"/>
      <c r="X1" s="207"/>
      <c r="Y1" s="207"/>
      <c r="Z1" s="207"/>
      <c r="AA1" s="207"/>
      <c r="AB1" s="498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8"/>
    </row>
    <row r="2" spans="1:41" ht="12.75" customHeight="1">
      <c r="A2" s="139" t="s">
        <v>215</v>
      </c>
      <c r="B2" s="781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7"/>
      <c r="U2" s="499" t="s">
        <v>86</v>
      </c>
      <c r="V2" s="207"/>
      <c r="W2" s="207"/>
      <c r="X2" s="207"/>
      <c r="Y2" s="207"/>
      <c r="Z2" s="207"/>
      <c r="AA2" s="207"/>
      <c r="AB2" s="498"/>
      <c r="AC2" s="207"/>
      <c r="AD2" s="207"/>
      <c r="AE2" s="207"/>
      <c r="AF2" s="207"/>
      <c r="AG2" s="207"/>
      <c r="AH2" s="207"/>
      <c r="AI2" s="207"/>
      <c r="AJ2" s="207"/>
      <c r="AK2" s="207"/>
      <c r="AL2" s="207"/>
      <c r="AM2" s="208"/>
    </row>
    <row r="3" spans="1:41" s="504" customFormat="1" ht="12.75" customHeight="1">
      <c r="A3" s="350" t="s">
        <v>92</v>
      </c>
      <c r="B3" s="501"/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  <c r="N3" s="502"/>
      <c r="O3" s="502"/>
      <c r="P3" s="502"/>
      <c r="Q3" s="502"/>
      <c r="R3" s="502"/>
      <c r="S3" s="502"/>
      <c r="T3" s="501"/>
      <c r="U3" s="503" t="s">
        <v>86</v>
      </c>
      <c r="V3" s="211"/>
      <c r="W3" s="211"/>
      <c r="X3" s="211"/>
      <c r="Y3" s="211"/>
      <c r="Z3" s="211"/>
      <c r="AA3" s="211"/>
      <c r="AB3" s="502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2"/>
      <c r="AN3" s="64"/>
      <c r="AO3" s="64"/>
    </row>
    <row r="4" spans="1:41" s="504" customFormat="1" ht="12.75" customHeight="1">
      <c r="A4" s="81"/>
      <c r="B4" s="501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1"/>
      <c r="U4" s="503" t="s">
        <v>86</v>
      </c>
      <c r="V4" s="432"/>
      <c r="W4" s="211"/>
      <c r="X4" s="211"/>
      <c r="Y4" s="211"/>
      <c r="Z4" s="211"/>
      <c r="AA4" s="211"/>
      <c r="AB4" s="502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2"/>
      <c r="AN4" s="64"/>
      <c r="AO4" s="64"/>
    </row>
    <row r="5" spans="1:41" ht="12.75" customHeight="1">
      <c r="A5" s="505"/>
      <c r="U5" s="507" t="s">
        <v>86</v>
      </c>
    </row>
    <row r="6" spans="1:41" ht="12.75" customHeight="1">
      <c r="A6" s="508"/>
      <c r="B6" s="509"/>
      <c r="C6" s="87" t="s">
        <v>95</v>
      </c>
      <c r="D6" s="510"/>
      <c r="E6" s="510"/>
      <c r="F6" s="510"/>
      <c r="G6" s="510"/>
      <c r="H6" s="510"/>
      <c r="I6" s="510"/>
      <c r="J6" s="510"/>
      <c r="K6" s="510"/>
      <c r="L6" s="510"/>
      <c r="M6" s="510"/>
      <c r="N6" s="510"/>
      <c r="O6" s="510"/>
      <c r="P6" s="510"/>
      <c r="Q6" s="510"/>
      <c r="R6" s="510"/>
      <c r="S6" s="510"/>
      <c r="T6" s="510"/>
      <c r="U6" s="511"/>
      <c r="V6" s="87" t="s">
        <v>52</v>
      </c>
      <c r="W6" s="217"/>
      <c r="X6" s="217"/>
      <c r="Y6" s="217"/>
      <c r="Z6" s="217"/>
      <c r="AA6" s="217"/>
      <c r="AB6" s="510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</row>
    <row r="7" spans="1:41" ht="12.75" customHeight="1">
      <c r="A7" s="512"/>
      <c r="B7" s="513"/>
      <c r="C7" s="90" t="s">
        <v>96</v>
      </c>
      <c r="D7" s="514"/>
      <c r="E7" s="514"/>
      <c r="F7" s="514"/>
      <c r="G7" s="514"/>
      <c r="H7" s="514"/>
      <c r="I7" s="514"/>
      <c r="J7" s="514"/>
      <c r="K7" s="515" t="s">
        <v>97</v>
      </c>
      <c r="L7" s="516"/>
      <c r="M7" s="516"/>
      <c r="N7" s="514"/>
      <c r="O7" s="514"/>
      <c r="P7" s="518"/>
      <c r="Q7" s="515" t="s">
        <v>110</v>
      </c>
      <c r="R7" s="514"/>
      <c r="S7" s="516"/>
      <c r="T7" s="514"/>
      <c r="V7" s="90" t="s">
        <v>96</v>
      </c>
      <c r="W7" s="223"/>
      <c r="X7" s="223"/>
      <c r="Y7" s="223"/>
      <c r="Z7" s="223"/>
      <c r="AA7" s="223"/>
      <c r="AB7" s="514"/>
      <c r="AC7" s="223"/>
      <c r="AD7" s="224" t="s">
        <v>97</v>
      </c>
      <c r="AE7" s="225"/>
      <c r="AF7" s="225"/>
      <c r="AG7" s="225"/>
      <c r="AH7" s="225"/>
      <c r="AI7" s="227"/>
      <c r="AJ7" s="224" t="s">
        <v>110</v>
      </c>
      <c r="AK7" s="225"/>
      <c r="AL7" s="225"/>
      <c r="AM7" s="223"/>
    </row>
    <row r="8" spans="1:41" ht="12.75" customHeight="1">
      <c r="A8" s="519"/>
      <c r="B8" s="520"/>
      <c r="C8" s="521">
        <v>1</v>
      </c>
      <c r="D8" s="522">
        <v>2</v>
      </c>
      <c r="E8" s="522">
        <v>3</v>
      </c>
      <c r="F8" s="522">
        <v>4</v>
      </c>
      <c r="G8" s="522">
        <v>5</v>
      </c>
      <c r="H8" s="522">
        <v>6</v>
      </c>
      <c r="I8" s="523" t="s">
        <v>217</v>
      </c>
      <c r="J8" s="528" t="s">
        <v>119</v>
      </c>
      <c r="K8" s="524" t="s">
        <v>111</v>
      </c>
      <c r="L8" s="522">
        <v>1</v>
      </c>
      <c r="M8" s="522">
        <v>2</v>
      </c>
      <c r="N8" s="522">
        <v>3</v>
      </c>
      <c r="O8" s="523" t="s">
        <v>217</v>
      </c>
      <c r="P8" s="523" t="s">
        <v>121</v>
      </c>
      <c r="Q8" s="524">
        <v>1</v>
      </c>
      <c r="R8" s="522">
        <v>2</v>
      </c>
      <c r="S8" s="524" t="s">
        <v>120</v>
      </c>
      <c r="T8" s="525" t="s">
        <v>113</v>
      </c>
      <c r="U8" s="526"/>
      <c r="V8" s="235">
        <v>1</v>
      </c>
      <c r="W8" s="236">
        <v>2</v>
      </c>
      <c r="X8" s="236">
        <v>3</v>
      </c>
      <c r="Y8" s="236">
        <v>4</v>
      </c>
      <c r="Z8" s="236">
        <v>5</v>
      </c>
      <c r="AA8" s="236">
        <v>6</v>
      </c>
      <c r="AB8" s="523" t="s">
        <v>217</v>
      </c>
      <c r="AC8" s="341" t="s">
        <v>98</v>
      </c>
      <c r="AD8" s="237" t="s">
        <v>111</v>
      </c>
      <c r="AE8" s="236">
        <v>1</v>
      </c>
      <c r="AF8" s="236">
        <v>2</v>
      </c>
      <c r="AG8" s="236">
        <v>3</v>
      </c>
      <c r="AH8" s="237" t="s">
        <v>216</v>
      </c>
      <c r="AI8" s="341" t="s">
        <v>113</v>
      </c>
      <c r="AJ8" s="237">
        <v>1</v>
      </c>
      <c r="AK8" s="237">
        <v>2</v>
      </c>
      <c r="AL8" s="237" t="s">
        <v>216</v>
      </c>
      <c r="AM8" s="238" t="s">
        <v>113</v>
      </c>
    </row>
    <row r="9" spans="1:41" ht="12.75" customHeight="1">
      <c r="A9" s="240" t="s">
        <v>128</v>
      </c>
      <c r="B9" s="240" t="s">
        <v>53</v>
      </c>
      <c r="C9" s="795">
        <f t="shared" ref="C9:H13" si="0">+V9/V$14</f>
        <v>0.35214388339767005</v>
      </c>
      <c r="D9" s="449">
        <f t="shared" si="0"/>
        <v>0.2831871093526005</v>
      </c>
      <c r="E9" s="449">
        <f t="shared" si="0"/>
        <v>0.28104175486460636</v>
      </c>
      <c r="F9" s="449">
        <f t="shared" si="0"/>
        <v>0.26533161247345849</v>
      </c>
      <c r="G9" s="449">
        <f t="shared" si="0"/>
        <v>0.24649882619606572</v>
      </c>
      <c r="H9" s="449">
        <f t="shared" si="0"/>
        <v>0.19919129681332434</v>
      </c>
      <c r="I9" s="449"/>
      <c r="J9" s="459">
        <f t="shared" ref="J9:P13" si="1">+AC9/AC$14</f>
        <v>0.3063427748586835</v>
      </c>
      <c r="K9" s="450">
        <f t="shared" si="1"/>
        <v>0.25264643613267468</v>
      </c>
      <c r="L9" s="449">
        <f t="shared" si="1"/>
        <v>0.14073876605741514</v>
      </c>
      <c r="M9" s="449">
        <f t="shared" si="1"/>
        <v>0.13069979768636197</v>
      </c>
      <c r="N9" s="449">
        <f t="shared" si="1"/>
        <v>0.11467041503292151</v>
      </c>
      <c r="O9" s="451">
        <f t="shared" si="1"/>
        <v>1.2121212121212121E-2</v>
      </c>
      <c r="P9" s="450">
        <f t="shared" si="1"/>
        <v>0.13829330678248331</v>
      </c>
      <c r="Q9" s="494">
        <f>+AJ9/$AJ$14</f>
        <v>3.7609694943585457E-3</v>
      </c>
      <c r="R9" s="449">
        <f>+AK9/$AK$14</f>
        <v>0</v>
      </c>
      <c r="S9" s="451">
        <f>+AL9/$AL$14</f>
        <v>0.13027522935779817</v>
      </c>
      <c r="T9" s="450">
        <f>+AM9/$AM$14</f>
        <v>2.5149324111914492E-2</v>
      </c>
      <c r="U9" s="244"/>
      <c r="V9" s="787">
        <v>40686</v>
      </c>
      <c r="W9" s="246">
        <v>9877</v>
      </c>
      <c r="X9" s="246">
        <v>17924</v>
      </c>
      <c r="Y9" s="246">
        <v>6373</v>
      </c>
      <c r="Z9" s="246">
        <v>3045</v>
      </c>
      <c r="AA9" s="246">
        <v>2069</v>
      </c>
      <c r="AB9" s="246">
        <v>17</v>
      </c>
      <c r="AC9" s="535">
        <v>79991</v>
      </c>
      <c r="AD9" s="245">
        <v>1074</v>
      </c>
      <c r="AE9" s="246">
        <v>8447</v>
      </c>
      <c r="AF9" s="246">
        <v>5039</v>
      </c>
      <c r="AG9" s="246">
        <v>1550</v>
      </c>
      <c r="AH9" s="248">
        <v>2</v>
      </c>
      <c r="AI9" s="538">
        <v>16112</v>
      </c>
      <c r="AJ9" s="245">
        <v>9</v>
      </c>
      <c r="AK9" s="246"/>
      <c r="AL9" s="248">
        <v>71</v>
      </c>
      <c r="AM9" s="541">
        <v>80</v>
      </c>
    </row>
    <row r="10" spans="1:41" ht="12.75" customHeight="1">
      <c r="A10" s="239"/>
      <c r="B10" s="239" t="s">
        <v>93</v>
      </c>
      <c r="C10" s="453">
        <f t="shared" si="0"/>
        <v>0.25757759351901538</v>
      </c>
      <c r="D10" s="452">
        <f t="shared" si="0"/>
        <v>0.28135214175124723</v>
      </c>
      <c r="E10" s="452">
        <f t="shared" si="0"/>
        <v>0.25730278940683948</v>
      </c>
      <c r="F10" s="452">
        <f t="shared" si="0"/>
        <v>0.26862067529872186</v>
      </c>
      <c r="G10" s="452">
        <f t="shared" si="0"/>
        <v>0.25783210556140207</v>
      </c>
      <c r="H10" s="452">
        <f t="shared" si="0"/>
        <v>0.26176951959179745</v>
      </c>
      <c r="I10" s="452"/>
      <c r="J10" s="460">
        <f t="shared" si="1"/>
        <v>0.26192573415646686</v>
      </c>
      <c r="K10" s="453">
        <f t="shared" si="1"/>
        <v>0.17501764290755117</v>
      </c>
      <c r="L10" s="452">
        <f t="shared" si="1"/>
        <v>9.8168913177493794E-2</v>
      </c>
      <c r="M10" s="452">
        <f t="shared" si="1"/>
        <v>9.5268973387975311E-2</v>
      </c>
      <c r="N10" s="452">
        <f t="shared" si="1"/>
        <v>8.7223496337944809E-2</v>
      </c>
      <c r="O10" s="454">
        <f t="shared" si="1"/>
        <v>1.8181818181818181E-2</v>
      </c>
      <c r="P10" s="453">
        <f t="shared" si="1"/>
        <v>9.8630113470550868E-2</v>
      </c>
      <c r="Q10" s="452">
        <f>+AJ10/$AJ$14</f>
        <v>1.3790221479314668E-2</v>
      </c>
      <c r="R10" s="452">
        <f>+AK10/$AK$14</f>
        <v>8.2304526748971193E-2</v>
      </c>
      <c r="S10" s="454">
        <f>+AL10/$AL$14</f>
        <v>3.4862385321100919E-2</v>
      </c>
      <c r="T10" s="453">
        <f>+AM10/$AM$14</f>
        <v>2.2634391700723042E-2</v>
      </c>
      <c r="U10" s="253"/>
      <c r="V10" s="254">
        <v>29760</v>
      </c>
      <c r="W10" s="255">
        <v>9813</v>
      </c>
      <c r="X10" s="255">
        <v>16410</v>
      </c>
      <c r="Y10" s="255">
        <v>6452</v>
      </c>
      <c r="Z10" s="255">
        <v>3185</v>
      </c>
      <c r="AA10" s="255">
        <v>2719</v>
      </c>
      <c r="AB10" s="255">
        <v>54</v>
      </c>
      <c r="AC10" s="536">
        <v>68393</v>
      </c>
      <c r="AD10" s="254">
        <v>744</v>
      </c>
      <c r="AE10" s="255">
        <v>5892</v>
      </c>
      <c r="AF10" s="255">
        <v>3673</v>
      </c>
      <c r="AG10" s="255">
        <v>1179</v>
      </c>
      <c r="AH10" s="257">
        <v>3</v>
      </c>
      <c r="AI10" s="539">
        <v>11491</v>
      </c>
      <c r="AJ10" s="254">
        <v>33</v>
      </c>
      <c r="AK10" s="255">
        <v>20</v>
      </c>
      <c r="AL10" s="257">
        <v>19</v>
      </c>
      <c r="AM10" s="542">
        <v>72</v>
      </c>
    </row>
    <row r="11" spans="1:41" ht="12.75" customHeight="1">
      <c r="A11" s="239"/>
      <c r="B11" s="239" t="s">
        <v>55</v>
      </c>
      <c r="C11" s="453">
        <f t="shared" si="0"/>
        <v>0.23900361785732832</v>
      </c>
      <c r="D11" s="452">
        <f t="shared" si="0"/>
        <v>0.25520385343196283</v>
      </c>
      <c r="E11" s="452">
        <f t="shared" si="0"/>
        <v>0.2830330683475234</v>
      </c>
      <c r="F11" s="452">
        <f t="shared" si="0"/>
        <v>0.31129522461384734</v>
      </c>
      <c r="G11" s="452">
        <f t="shared" si="0"/>
        <v>0.31854610216141827</v>
      </c>
      <c r="H11" s="452">
        <f t="shared" si="0"/>
        <v>0.34754982189275058</v>
      </c>
      <c r="I11" s="452"/>
      <c r="J11" s="460">
        <f t="shared" si="1"/>
        <v>0.2667013894207938</v>
      </c>
      <c r="K11" s="453">
        <f t="shared" si="1"/>
        <v>0.19289578922606446</v>
      </c>
      <c r="L11" s="452">
        <f t="shared" si="1"/>
        <v>0.11341408553957913</v>
      </c>
      <c r="M11" s="452">
        <f t="shared" si="1"/>
        <v>0.10613684701976449</v>
      </c>
      <c r="N11" s="452">
        <f t="shared" si="1"/>
        <v>0.10594066730783458</v>
      </c>
      <c r="O11" s="454">
        <f t="shared" si="1"/>
        <v>4.8484848484848485E-2</v>
      </c>
      <c r="P11" s="453">
        <f t="shared" si="1"/>
        <v>0.1129469726881019</v>
      </c>
      <c r="Q11" s="452">
        <f>+AJ11/$AJ$14</f>
        <v>1.5879648976180525E-2</v>
      </c>
      <c r="R11" s="452">
        <f>+AK11/$AK$14</f>
        <v>6.9958847736625515E-2</v>
      </c>
      <c r="S11" s="454">
        <f>+AL11/$AL$14</f>
        <v>5.321100917431193E-2</v>
      </c>
      <c r="T11" s="453">
        <f>+AM11/$AM$14</f>
        <v>2.6406790317510215E-2</v>
      </c>
      <c r="U11" s="253"/>
      <c r="V11" s="254">
        <v>27614</v>
      </c>
      <c r="W11" s="255">
        <v>8901</v>
      </c>
      <c r="X11" s="255">
        <v>18051</v>
      </c>
      <c r="Y11" s="255">
        <v>7477</v>
      </c>
      <c r="Z11" s="255">
        <v>3935</v>
      </c>
      <c r="AA11" s="255">
        <v>3610</v>
      </c>
      <c r="AB11" s="255">
        <v>52</v>
      </c>
      <c r="AC11" s="536">
        <v>69640</v>
      </c>
      <c r="AD11" s="254">
        <v>820</v>
      </c>
      <c r="AE11" s="255">
        <v>6807</v>
      </c>
      <c r="AF11" s="255">
        <v>4092</v>
      </c>
      <c r="AG11" s="255">
        <v>1432</v>
      </c>
      <c r="AH11" s="257">
        <v>8</v>
      </c>
      <c r="AI11" s="539">
        <v>13159</v>
      </c>
      <c r="AJ11" s="254">
        <v>38</v>
      </c>
      <c r="AK11" s="255">
        <v>17</v>
      </c>
      <c r="AL11" s="257">
        <v>29</v>
      </c>
      <c r="AM11" s="542">
        <v>84</v>
      </c>
    </row>
    <row r="12" spans="1:41" ht="12.75" customHeight="1">
      <c r="A12" s="239"/>
      <c r="B12" s="239" t="s">
        <v>78</v>
      </c>
      <c r="C12" s="453">
        <f t="shared" si="0"/>
        <v>4.9871038100019041E-2</v>
      </c>
      <c r="D12" s="452">
        <f t="shared" si="0"/>
        <v>8.3691725442972653E-2</v>
      </c>
      <c r="E12" s="452">
        <f t="shared" si="0"/>
        <v>8.4748420276902325E-2</v>
      </c>
      <c r="F12" s="452">
        <f t="shared" si="0"/>
        <v>7.47325034347808E-2</v>
      </c>
      <c r="G12" s="452">
        <f t="shared" si="0"/>
        <v>8.6618635149356429E-2</v>
      </c>
      <c r="H12" s="452">
        <f t="shared" si="0"/>
        <v>0.12149802637912775</v>
      </c>
      <c r="I12" s="452"/>
      <c r="J12" s="460">
        <f t="shared" si="1"/>
        <v>6.9880819252745904E-2</v>
      </c>
      <c r="K12" s="453">
        <f t="shared" si="1"/>
        <v>0.27358268642672312</v>
      </c>
      <c r="L12" s="452">
        <f t="shared" si="1"/>
        <v>0.44737499791732616</v>
      </c>
      <c r="M12" s="452">
        <f t="shared" si="1"/>
        <v>0.32652902422576124</v>
      </c>
      <c r="N12" s="452">
        <f t="shared" si="1"/>
        <v>0.43552563438632835</v>
      </c>
      <c r="O12" s="454">
        <f t="shared" si="1"/>
        <v>0.92121212121212126</v>
      </c>
      <c r="P12" s="453">
        <f t="shared" si="1"/>
        <v>0.40033989665768288</v>
      </c>
      <c r="Q12" s="452">
        <f>+AJ12/$AJ$14</f>
        <v>5.5578771416631846E-2</v>
      </c>
      <c r="R12" s="452">
        <f>+AK12/$AK$14</f>
        <v>0.23868312757201646</v>
      </c>
      <c r="S12" s="454">
        <f>+AL12/$AL$14</f>
        <v>0.76697247706422023</v>
      </c>
      <c r="T12" s="453">
        <f>+AM12/$AM$14</f>
        <v>0.19144922980194906</v>
      </c>
      <c r="U12" s="253"/>
      <c r="V12" s="254">
        <v>5762</v>
      </c>
      <c r="W12" s="255">
        <v>2919</v>
      </c>
      <c r="X12" s="255">
        <v>5405</v>
      </c>
      <c r="Y12" s="255">
        <v>1795</v>
      </c>
      <c r="Z12" s="255">
        <v>1070</v>
      </c>
      <c r="AA12" s="255">
        <v>1262</v>
      </c>
      <c r="AB12" s="255">
        <v>34</v>
      </c>
      <c r="AC12" s="536">
        <v>18247</v>
      </c>
      <c r="AD12" s="254">
        <v>1163</v>
      </c>
      <c r="AE12" s="255">
        <v>26851</v>
      </c>
      <c r="AF12" s="255">
        <v>12589</v>
      </c>
      <c r="AG12" s="255">
        <v>5887</v>
      </c>
      <c r="AH12" s="257">
        <v>152</v>
      </c>
      <c r="AI12" s="539">
        <v>46642</v>
      </c>
      <c r="AJ12" s="254">
        <v>133</v>
      </c>
      <c r="AK12" s="255">
        <v>58</v>
      </c>
      <c r="AL12" s="257">
        <v>418</v>
      </c>
      <c r="AM12" s="542">
        <v>609</v>
      </c>
    </row>
    <row r="13" spans="1:41" ht="12.75" customHeight="1">
      <c r="A13" s="580"/>
      <c r="B13" s="580" t="s">
        <v>131</v>
      </c>
      <c r="C13" s="581">
        <f t="shared" si="0"/>
        <v>0.10140386712596722</v>
      </c>
      <c r="D13" s="582">
        <f t="shared" si="0"/>
        <v>9.6565170021216812E-2</v>
      </c>
      <c r="E13" s="582">
        <f t="shared" si="0"/>
        <v>9.3873967104128445E-2</v>
      </c>
      <c r="F13" s="582">
        <f t="shared" si="0"/>
        <v>8.001998417919147E-2</v>
      </c>
      <c r="G13" s="582">
        <f t="shared" si="0"/>
        <v>9.0504330931757471E-2</v>
      </c>
      <c r="H13" s="582">
        <f t="shared" si="0"/>
        <v>6.9991335322999906E-2</v>
      </c>
      <c r="I13" s="583"/>
      <c r="J13" s="584">
        <f t="shared" si="1"/>
        <v>9.514928231130991E-2</v>
      </c>
      <c r="K13" s="581">
        <f t="shared" si="1"/>
        <v>0.1058574453069866</v>
      </c>
      <c r="L13" s="582">
        <f t="shared" si="1"/>
        <v>0.20030323730818575</v>
      </c>
      <c r="M13" s="582">
        <f t="shared" si="1"/>
        <v>0.34136535768013693</v>
      </c>
      <c r="N13" s="582">
        <f t="shared" si="1"/>
        <v>0.2566397869349708</v>
      </c>
      <c r="O13" s="583">
        <f t="shared" si="1"/>
        <v>0</v>
      </c>
      <c r="P13" s="581">
        <f t="shared" si="1"/>
        <v>0.24978971040118106</v>
      </c>
      <c r="Q13" s="581">
        <f>+AJ13/$AJ$14</f>
        <v>0.91099038863351445</v>
      </c>
      <c r="R13" s="582">
        <f>+AK13/$AK$14</f>
        <v>0.60905349794238683</v>
      </c>
      <c r="S13" s="583">
        <f>+AL13/$AL$14</f>
        <v>1.4678899082568808E-2</v>
      </c>
      <c r="T13" s="581">
        <f>+AM13/$AM$14</f>
        <v>0.73436026406790322</v>
      </c>
      <c r="U13" s="253"/>
      <c r="V13" s="585">
        <v>11716</v>
      </c>
      <c r="W13" s="586">
        <v>3368</v>
      </c>
      <c r="X13" s="586">
        <v>5987</v>
      </c>
      <c r="Y13" s="586">
        <v>1922</v>
      </c>
      <c r="Z13" s="586">
        <v>1118</v>
      </c>
      <c r="AA13" s="586">
        <v>727</v>
      </c>
      <c r="AB13" s="586">
        <v>7</v>
      </c>
      <c r="AC13" s="587">
        <v>24845</v>
      </c>
      <c r="AD13" s="585">
        <v>450</v>
      </c>
      <c r="AE13" s="586">
        <v>12022</v>
      </c>
      <c r="AF13" s="586">
        <v>13161</v>
      </c>
      <c r="AG13" s="586">
        <v>3469</v>
      </c>
      <c r="AH13" s="588"/>
      <c r="AI13" s="588">
        <v>29102</v>
      </c>
      <c r="AJ13" s="585">
        <v>2180</v>
      </c>
      <c r="AK13" s="586">
        <v>148</v>
      </c>
      <c r="AL13" s="588">
        <v>8</v>
      </c>
      <c r="AM13" s="585">
        <v>2336</v>
      </c>
    </row>
    <row r="14" spans="1:41" s="527" customFormat="1" ht="12.75" customHeight="1">
      <c r="A14" s="436" t="s">
        <v>86</v>
      </c>
      <c r="B14" s="435" t="s">
        <v>59</v>
      </c>
      <c r="C14" s="457">
        <f>SUM(C9:C13)</f>
        <v>1</v>
      </c>
      <c r="D14" s="456">
        <f t="shared" ref="D14:T14" si="2">SUM(D9:D13)</f>
        <v>1</v>
      </c>
      <c r="E14" s="456">
        <f t="shared" si="2"/>
        <v>1</v>
      </c>
      <c r="F14" s="456">
        <f t="shared" si="2"/>
        <v>0.99999999999999989</v>
      </c>
      <c r="G14" s="456">
        <f t="shared" si="2"/>
        <v>0.99999999999999989</v>
      </c>
      <c r="H14" s="456">
        <f t="shared" si="2"/>
        <v>1</v>
      </c>
      <c r="I14" s="456"/>
      <c r="J14" s="461">
        <f t="shared" si="2"/>
        <v>1</v>
      </c>
      <c r="K14" s="457">
        <f t="shared" si="2"/>
        <v>1</v>
      </c>
      <c r="L14" s="456">
        <f t="shared" si="2"/>
        <v>1</v>
      </c>
      <c r="M14" s="456">
        <f t="shared" si="2"/>
        <v>1</v>
      </c>
      <c r="N14" s="456">
        <f t="shared" si="2"/>
        <v>1</v>
      </c>
      <c r="O14" s="458">
        <f t="shared" si="2"/>
        <v>1</v>
      </c>
      <c r="P14" s="457">
        <f t="shared" si="2"/>
        <v>1</v>
      </c>
      <c r="Q14" s="456">
        <f t="shared" si="2"/>
        <v>1</v>
      </c>
      <c r="R14" s="456">
        <f t="shared" si="2"/>
        <v>1</v>
      </c>
      <c r="S14" s="458">
        <f t="shared" si="2"/>
        <v>1</v>
      </c>
      <c r="T14" s="457">
        <f t="shared" si="2"/>
        <v>1</v>
      </c>
      <c r="U14" s="264"/>
      <c r="V14" s="265">
        <v>115538</v>
      </c>
      <c r="W14" s="266">
        <v>34878</v>
      </c>
      <c r="X14" s="266">
        <v>63777</v>
      </c>
      <c r="Y14" s="266">
        <v>24019</v>
      </c>
      <c r="Z14" s="266">
        <v>12353</v>
      </c>
      <c r="AA14" s="266">
        <v>10387</v>
      </c>
      <c r="AB14" s="266">
        <v>164</v>
      </c>
      <c r="AC14" s="537">
        <v>261116</v>
      </c>
      <c r="AD14" s="265">
        <v>4251</v>
      </c>
      <c r="AE14" s="266">
        <v>60019</v>
      </c>
      <c r="AF14" s="266">
        <v>38554</v>
      </c>
      <c r="AG14" s="266">
        <v>13517</v>
      </c>
      <c r="AH14" s="268">
        <v>165</v>
      </c>
      <c r="AI14" s="540">
        <v>116506</v>
      </c>
      <c r="AJ14" s="265">
        <v>2393</v>
      </c>
      <c r="AK14" s="266">
        <v>243</v>
      </c>
      <c r="AL14" s="268">
        <v>545</v>
      </c>
      <c r="AM14" s="543">
        <v>3181</v>
      </c>
      <c r="AN14" s="209"/>
      <c r="AO14" s="270"/>
    </row>
    <row r="15" spans="1:41" ht="12.75" customHeight="1">
      <c r="A15" s="239" t="s">
        <v>3</v>
      </c>
      <c r="B15" s="240" t="s">
        <v>53</v>
      </c>
      <c r="C15" s="241">
        <v>0.3294158690011556</v>
      </c>
      <c r="D15" s="242">
        <v>0.25524542829643887</v>
      </c>
      <c r="E15" s="242">
        <v>0.24143043100954584</v>
      </c>
      <c r="F15" s="242">
        <v>0.21742234916101391</v>
      </c>
      <c r="G15" s="242">
        <v>0.21074681238615664</v>
      </c>
      <c r="H15" s="243">
        <v>0.19488926746166951</v>
      </c>
      <c r="I15" s="242"/>
      <c r="J15" s="529">
        <v>0.27788200958932668</v>
      </c>
      <c r="K15" s="241">
        <v>6.2621674237508113E-2</v>
      </c>
      <c r="L15" s="242">
        <v>0.13867040636979699</v>
      </c>
      <c r="M15" s="242">
        <v>0.10539792387543252</v>
      </c>
      <c r="N15" s="243">
        <v>6.7480125716398595E-2</v>
      </c>
      <c r="O15" s="242"/>
      <c r="P15" s="241">
        <v>0.11807199595254918</v>
      </c>
      <c r="Q15" s="342">
        <v>3.4989503149055285E-3</v>
      </c>
      <c r="R15" s="243">
        <v>0</v>
      </c>
      <c r="S15" s="243">
        <v>8.7188612099644125E-2</v>
      </c>
      <c r="T15" s="342">
        <v>1.9664967225054626E-2</v>
      </c>
      <c r="U15" s="244"/>
      <c r="V15" s="245">
        <v>15108</v>
      </c>
      <c r="W15" s="246">
        <v>2652</v>
      </c>
      <c r="X15" s="246">
        <v>6677</v>
      </c>
      <c r="Y15" s="246">
        <v>1827</v>
      </c>
      <c r="Z15" s="246">
        <v>1157</v>
      </c>
      <c r="AA15" s="246">
        <v>572</v>
      </c>
      <c r="AB15" s="242"/>
      <c r="AC15" s="247">
        <v>27993</v>
      </c>
      <c r="AD15" s="245">
        <v>193</v>
      </c>
      <c r="AE15" s="246">
        <v>3006</v>
      </c>
      <c r="AF15" s="246">
        <v>1523</v>
      </c>
      <c r="AG15" s="246">
        <v>365</v>
      </c>
      <c r="AH15" s="246">
        <v>444</v>
      </c>
      <c r="AI15" s="248">
        <v>5531</v>
      </c>
      <c r="AJ15" s="245">
        <v>10</v>
      </c>
      <c r="AK15" s="246">
        <v>0</v>
      </c>
      <c r="AL15" s="248">
        <v>98</v>
      </c>
      <c r="AM15" s="245">
        <v>108</v>
      </c>
    </row>
    <row r="16" spans="1:41" ht="12.75" customHeight="1">
      <c r="A16" s="249"/>
      <c r="B16" s="239" t="s">
        <v>93</v>
      </c>
      <c r="C16" s="250">
        <v>0.26679458386935001</v>
      </c>
      <c r="D16" s="251">
        <v>0.27574590952839267</v>
      </c>
      <c r="E16" s="251">
        <v>0.25408591264101821</v>
      </c>
      <c r="F16" s="251">
        <v>0.26181125788408899</v>
      </c>
      <c r="G16" s="251">
        <v>0.24608378870673953</v>
      </c>
      <c r="H16" s="252">
        <v>0.25689948892674619</v>
      </c>
      <c r="I16" s="251"/>
      <c r="J16" s="530">
        <v>0.26239614044492093</v>
      </c>
      <c r="K16" s="250">
        <v>6.8462037637897474E-2</v>
      </c>
      <c r="L16" s="251">
        <v>0.11057650168609559</v>
      </c>
      <c r="M16" s="251">
        <v>9.2041522491349476E-2</v>
      </c>
      <c r="N16" s="252">
        <v>6.0639674616380104E-2</v>
      </c>
      <c r="O16" s="251"/>
      <c r="P16" s="250">
        <v>0.10530630194068434</v>
      </c>
      <c r="Q16" s="250">
        <v>1.3995801259622114E-2</v>
      </c>
      <c r="R16" s="252">
        <v>0</v>
      </c>
      <c r="S16" s="252">
        <v>1.8683274021352312E-2</v>
      </c>
      <c r="T16" s="250">
        <v>1.110706482155863E-2</v>
      </c>
      <c r="U16" s="253"/>
      <c r="V16" s="254">
        <v>12236</v>
      </c>
      <c r="W16" s="255">
        <v>2865</v>
      </c>
      <c r="X16" s="255">
        <v>7027</v>
      </c>
      <c r="Y16" s="255">
        <v>2200</v>
      </c>
      <c r="Z16" s="255">
        <v>1351</v>
      </c>
      <c r="AA16" s="255">
        <v>754</v>
      </c>
      <c r="AB16" s="251"/>
      <c r="AC16" s="256">
        <v>26433</v>
      </c>
      <c r="AD16" s="254">
        <v>211</v>
      </c>
      <c r="AE16" s="255">
        <v>2397</v>
      </c>
      <c r="AF16" s="255">
        <v>1330</v>
      </c>
      <c r="AG16" s="255">
        <v>328</v>
      </c>
      <c r="AH16" s="255">
        <v>667</v>
      </c>
      <c r="AI16" s="257">
        <v>4933</v>
      </c>
      <c r="AJ16" s="254">
        <v>40</v>
      </c>
      <c r="AK16" s="255">
        <v>0</v>
      </c>
      <c r="AL16" s="257">
        <v>21</v>
      </c>
      <c r="AM16" s="254">
        <v>61</v>
      </c>
    </row>
    <row r="17" spans="1:41" ht="12.75" customHeight="1">
      <c r="A17" s="249"/>
      <c r="B17" s="239" t="s">
        <v>55</v>
      </c>
      <c r="C17" s="250">
        <v>0.24298454091533481</v>
      </c>
      <c r="D17" s="251">
        <v>0.24908565928777671</v>
      </c>
      <c r="E17" s="251">
        <v>0.29725918426381254</v>
      </c>
      <c r="F17" s="251">
        <v>0.36070451029394263</v>
      </c>
      <c r="G17" s="251">
        <v>0.33278688524590166</v>
      </c>
      <c r="H17" s="252">
        <v>0.33764906303236797</v>
      </c>
      <c r="I17" s="251"/>
      <c r="J17" s="530">
        <v>0.27598598330305646</v>
      </c>
      <c r="K17" s="250">
        <v>9.928617780661908E-2</v>
      </c>
      <c r="L17" s="251">
        <v>8.3036171478920354E-2</v>
      </c>
      <c r="M17" s="251">
        <v>8.2214532871972321E-2</v>
      </c>
      <c r="N17" s="252">
        <v>8.7446847846182285E-2</v>
      </c>
      <c r="O17" s="251"/>
      <c r="P17" s="250">
        <v>9.4995549084947367E-2</v>
      </c>
      <c r="Q17" s="250">
        <v>1.2946116165150455E-2</v>
      </c>
      <c r="R17" s="252">
        <v>6.6225165562913907E-4</v>
      </c>
      <c r="S17" s="252">
        <v>3.3807829181494664E-2</v>
      </c>
      <c r="T17" s="250">
        <v>1.3838310269482883E-2</v>
      </c>
      <c r="U17" s="253"/>
      <c r="V17" s="254">
        <v>11144</v>
      </c>
      <c r="W17" s="255">
        <v>2588</v>
      </c>
      <c r="X17" s="255">
        <v>8221</v>
      </c>
      <c r="Y17" s="255">
        <v>3031</v>
      </c>
      <c r="Z17" s="255">
        <v>1827</v>
      </c>
      <c r="AA17" s="255">
        <v>991</v>
      </c>
      <c r="AB17" s="251"/>
      <c r="AC17" s="256">
        <v>27802</v>
      </c>
      <c r="AD17" s="254">
        <v>306</v>
      </c>
      <c r="AE17" s="255">
        <v>1800</v>
      </c>
      <c r="AF17" s="255">
        <v>1188</v>
      </c>
      <c r="AG17" s="255">
        <v>473</v>
      </c>
      <c r="AH17" s="255">
        <v>683</v>
      </c>
      <c r="AI17" s="257">
        <v>4450</v>
      </c>
      <c r="AJ17" s="254">
        <v>37</v>
      </c>
      <c r="AK17" s="255">
        <v>1</v>
      </c>
      <c r="AL17" s="257">
        <v>38</v>
      </c>
      <c r="AM17" s="254">
        <v>76</v>
      </c>
    </row>
    <row r="18" spans="1:41" ht="12.75" customHeight="1">
      <c r="A18" s="249"/>
      <c r="B18" s="239" t="s">
        <v>78</v>
      </c>
      <c r="C18" s="250">
        <v>7.0361729498724462E-2</v>
      </c>
      <c r="D18" s="251">
        <v>0.10346487006737247</v>
      </c>
      <c r="E18" s="251">
        <v>0.10692074052646804</v>
      </c>
      <c r="F18" s="251">
        <v>0.10781863620135666</v>
      </c>
      <c r="G18" s="251">
        <v>0.1336976320582878</v>
      </c>
      <c r="H18" s="252">
        <v>0.14514480408858604</v>
      </c>
      <c r="I18" s="251"/>
      <c r="J18" s="530">
        <v>9.2567775494604765E-2</v>
      </c>
      <c r="K18" s="250">
        <v>0.20733290071382218</v>
      </c>
      <c r="L18" s="251">
        <v>0.13839361913153392</v>
      </c>
      <c r="M18" s="251">
        <v>0.14782006920415225</v>
      </c>
      <c r="N18" s="252">
        <v>0.16232205583287115</v>
      </c>
      <c r="O18" s="251"/>
      <c r="P18" s="250">
        <v>0.15122437521747575</v>
      </c>
      <c r="Q18" s="250">
        <v>4.7935619314205737E-2</v>
      </c>
      <c r="R18" s="252">
        <v>3.1125827814569535E-2</v>
      </c>
      <c r="S18" s="252">
        <v>0.38879003558718861</v>
      </c>
      <c r="T18" s="250">
        <v>0.11307356154406409</v>
      </c>
      <c r="U18" s="253"/>
      <c r="V18" s="254">
        <v>3227</v>
      </c>
      <c r="W18" s="255">
        <v>1075</v>
      </c>
      <c r="X18" s="255">
        <v>2957</v>
      </c>
      <c r="Y18" s="255">
        <v>906</v>
      </c>
      <c r="Z18" s="255">
        <v>734</v>
      </c>
      <c r="AA18" s="255">
        <v>426</v>
      </c>
      <c r="AB18" s="251"/>
      <c r="AC18" s="256">
        <v>9325</v>
      </c>
      <c r="AD18" s="254">
        <v>639</v>
      </c>
      <c r="AE18" s="255">
        <v>3000</v>
      </c>
      <c r="AF18" s="255">
        <v>2136</v>
      </c>
      <c r="AG18" s="255">
        <v>878</v>
      </c>
      <c r="AH18" s="255">
        <v>431</v>
      </c>
      <c r="AI18" s="257">
        <v>7084</v>
      </c>
      <c r="AJ18" s="254">
        <v>137</v>
      </c>
      <c r="AK18" s="255">
        <v>47</v>
      </c>
      <c r="AL18" s="257">
        <v>437</v>
      </c>
      <c r="AM18" s="254">
        <v>621</v>
      </c>
    </row>
    <row r="19" spans="1:41" ht="12.75" customHeight="1">
      <c r="A19" s="249"/>
      <c r="B19" s="782" t="s">
        <v>131</v>
      </c>
      <c r="C19" s="581">
        <v>9.0443276715435103E-2</v>
      </c>
      <c r="D19" s="582">
        <v>0.11645813282001925</v>
      </c>
      <c r="E19" s="582">
        <v>0.10030373155915534</v>
      </c>
      <c r="F19" s="582">
        <v>5.2243246459597756E-2</v>
      </c>
      <c r="G19" s="582">
        <v>7.6684881602914381E-2</v>
      </c>
      <c r="H19" s="583">
        <v>6.5417376490630327E-2</v>
      </c>
      <c r="I19" s="582"/>
      <c r="J19" s="783">
        <v>9.1168091168091173E-2</v>
      </c>
      <c r="K19" s="581">
        <v>0.56229720960415308</v>
      </c>
      <c r="L19" s="582">
        <v>0.52932330133365313</v>
      </c>
      <c r="M19" s="582">
        <v>0.5725259515570934</v>
      </c>
      <c r="N19" s="583">
        <v>0.62211129598816794</v>
      </c>
      <c r="O19" s="582"/>
      <c r="P19" s="581">
        <v>0.53040177780434328</v>
      </c>
      <c r="Q19" s="581">
        <v>0.92162351294611622</v>
      </c>
      <c r="R19" s="583">
        <v>0.96821192052980132</v>
      </c>
      <c r="S19" s="583">
        <v>0.47153024911032027</v>
      </c>
      <c r="T19" s="581">
        <v>0.84231609613983982</v>
      </c>
      <c r="U19" s="253"/>
      <c r="V19" s="895"/>
      <c r="W19" s="896"/>
      <c r="X19" s="896"/>
      <c r="Y19" s="896"/>
      <c r="Z19" s="896"/>
      <c r="AA19" s="896"/>
      <c r="AB19" s="899"/>
      <c r="AC19" s="898"/>
      <c r="AD19" s="895"/>
      <c r="AE19" s="896"/>
      <c r="AF19" s="896"/>
      <c r="AG19" s="896"/>
      <c r="AH19" s="896"/>
      <c r="AI19" s="900"/>
      <c r="AJ19" s="895"/>
      <c r="AK19" s="896"/>
      <c r="AL19" s="900"/>
      <c r="AM19" s="895"/>
      <c r="AO19" s="897"/>
    </row>
    <row r="20" spans="1:41" s="527" customFormat="1" ht="12.75" customHeight="1">
      <c r="A20" s="435" t="s">
        <v>86</v>
      </c>
      <c r="B20" s="436" t="s">
        <v>59</v>
      </c>
      <c r="C20" s="261">
        <v>1</v>
      </c>
      <c r="D20" s="262">
        <v>1</v>
      </c>
      <c r="E20" s="262">
        <v>1</v>
      </c>
      <c r="F20" s="262">
        <v>1</v>
      </c>
      <c r="G20" s="262">
        <v>1</v>
      </c>
      <c r="H20" s="263">
        <v>1</v>
      </c>
      <c r="I20" s="262"/>
      <c r="J20" s="531">
        <v>1</v>
      </c>
      <c r="K20" s="261">
        <v>1</v>
      </c>
      <c r="L20" s="262">
        <v>1</v>
      </c>
      <c r="M20" s="262">
        <v>1</v>
      </c>
      <c r="N20" s="263">
        <v>1</v>
      </c>
      <c r="O20" s="262"/>
      <c r="P20" s="261">
        <v>1</v>
      </c>
      <c r="Q20" s="261">
        <v>1</v>
      </c>
      <c r="R20" s="263">
        <v>1</v>
      </c>
      <c r="S20" s="263">
        <v>1</v>
      </c>
      <c r="T20" s="261">
        <v>1</v>
      </c>
      <c r="U20" s="264"/>
      <c r="V20" s="265">
        <v>45863</v>
      </c>
      <c r="W20" s="266">
        <v>10390</v>
      </c>
      <c r="X20" s="266">
        <v>27656</v>
      </c>
      <c r="Y20" s="266">
        <v>8403</v>
      </c>
      <c r="Z20" s="266">
        <v>5490</v>
      </c>
      <c r="AA20" s="266">
        <v>2935</v>
      </c>
      <c r="AB20" s="262"/>
      <c r="AC20" s="267">
        <v>100737</v>
      </c>
      <c r="AD20" s="265">
        <v>3082</v>
      </c>
      <c r="AE20" s="266">
        <v>21677.3</v>
      </c>
      <c r="AF20" s="266">
        <v>14450</v>
      </c>
      <c r="AG20" s="266">
        <v>5409</v>
      </c>
      <c r="AH20" s="266">
        <v>2226</v>
      </c>
      <c r="AI20" s="268">
        <v>46844.3</v>
      </c>
      <c r="AJ20" s="265">
        <v>2858</v>
      </c>
      <c r="AK20" s="266">
        <v>1510</v>
      </c>
      <c r="AL20" s="268">
        <v>1124</v>
      </c>
      <c r="AM20" s="265">
        <v>5492</v>
      </c>
      <c r="AN20" s="270"/>
      <c r="AO20" s="270"/>
    </row>
    <row r="21" spans="1:41" ht="12.75" customHeight="1">
      <c r="A21" s="239" t="s">
        <v>4</v>
      </c>
      <c r="B21" s="240" t="s">
        <v>53</v>
      </c>
      <c r="C21" s="241">
        <v>0.31033415841584161</v>
      </c>
      <c r="D21" s="242">
        <v>0.25082508250825081</v>
      </c>
      <c r="E21" s="242">
        <v>0.21885087153001936</v>
      </c>
      <c r="F21" s="242">
        <v>0.27570789865871831</v>
      </c>
      <c r="G21" s="242">
        <v>0.25</v>
      </c>
      <c r="H21" s="243">
        <v>0.2441860465116279</v>
      </c>
      <c r="I21" s="242"/>
      <c r="J21" s="529">
        <v>0.27691043549712407</v>
      </c>
      <c r="K21" s="241">
        <v>0</v>
      </c>
      <c r="L21" s="242">
        <v>0</v>
      </c>
      <c r="M21" s="242">
        <v>0</v>
      </c>
      <c r="N21" s="243">
        <v>0</v>
      </c>
      <c r="O21" s="242"/>
      <c r="P21" s="241">
        <v>0</v>
      </c>
      <c r="Q21" s="342">
        <v>0</v>
      </c>
      <c r="R21" s="243">
        <v>0</v>
      </c>
      <c r="S21" s="243">
        <v>0</v>
      </c>
      <c r="T21" s="342">
        <v>0</v>
      </c>
      <c r="U21" s="244"/>
      <c r="V21" s="245">
        <v>1003</v>
      </c>
      <c r="W21" s="246">
        <v>76</v>
      </c>
      <c r="X21" s="246">
        <v>339</v>
      </c>
      <c r="Y21" s="246">
        <v>185</v>
      </c>
      <c r="Z21" s="246">
        <v>61</v>
      </c>
      <c r="AA21" s="246">
        <v>21</v>
      </c>
      <c r="AB21" s="242"/>
      <c r="AC21" s="247">
        <v>1685</v>
      </c>
      <c r="AD21" s="245">
        <v>0</v>
      </c>
      <c r="AE21" s="246">
        <v>0</v>
      </c>
      <c r="AF21" s="246">
        <v>0</v>
      </c>
      <c r="AG21" s="246">
        <v>0</v>
      </c>
      <c r="AH21" s="246">
        <v>0</v>
      </c>
      <c r="AI21" s="248">
        <v>0</v>
      </c>
      <c r="AJ21" s="245">
        <v>0</v>
      </c>
      <c r="AK21" s="246">
        <v>0</v>
      </c>
      <c r="AL21" s="248">
        <v>0</v>
      </c>
      <c r="AM21" s="245">
        <v>0</v>
      </c>
    </row>
    <row r="22" spans="1:41" ht="12.75" customHeight="1">
      <c r="A22" s="249"/>
      <c r="B22" s="239" t="s">
        <v>93</v>
      </c>
      <c r="C22" s="250">
        <v>0.28341584158415839</v>
      </c>
      <c r="D22" s="251">
        <v>0.29372937293729373</v>
      </c>
      <c r="E22" s="251">
        <v>0.22724338282763074</v>
      </c>
      <c r="F22" s="251">
        <v>0.2548435171385991</v>
      </c>
      <c r="G22" s="251">
        <v>0.27049180327868855</v>
      </c>
      <c r="H22" s="252">
        <v>0.23255813953488372</v>
      </c>
      <c r="I22" s="251"/>
      <c r="J22" s="530">
        <v>0.26524239934264587</v>
      </c>
      <c r="K22" s="250">
        <v>0</v>
      </c>
      <c r="L22" s="251">
        <v>0</v>
      </c>
      <c r="M22" s="251">
        <v>0</v>
      </c>
      <c r="N22" s="252">
        <v>0</v>
      </c>
      <c r="O22" s="251"/>
      <c r="P22" s="250">
        <v>0</v>
      </c>
      <c r="Q22" s="250">
        <v>0</v>
      </c>
      <c r="R22" s="252">
        <v>0</v>
      </c>
      <c r="S22" s="252">
        <v>0</v>
      </c>
      <c r="T22" s="250">
        <v>0</v>
      </c>
      <c r="U22" s="253"/>
      <c r="V22" s="254">
        <v>916</v>
      </c>
      <c r="W22" s="255">
        <v>89</v>
      </c>
      <c r="X22" s="255">
        <v>352</v>
      </c>
      <c r="Y22" s="255">
        <v>171</v>
      </c>
      <c r="Z22" s="255">
        <v>66</v>
      </c>
      <c r="AA22" s="255">
        <v>20</v>
      </c>
      <c r="AB22" s="251"/>
      <c r="AC22" s="256">
        <v>1614</v>
      </c>
      <c r="AD22" s="254">
        <v>0</v>
      </c>
      <c r="AE22" s="255">
        <v>0</v>
      </c>
      <c r="AF22" s="255">
        <v>0</v>
      </c>
      <c r="AG22" s="255">
        <v>0</v>
      </c>
      <c r="AH22" s="255">
        <v>0</v>
      </c>
      <c r="AI22" s="257">
        <v>0</v>
      </c>
      <c r="AJ22" s="254">
        <v>0</v>
      </c>
      <c r="AK22" s="255">
        <v>0</v>
      </c>
      <c r="AL22" s="257">
        <v>0</v>
      </c>
      <c r="AM22" s="254">
        <v>0</v>
      </c>
    </row>
    <row r="23" spans="1:41" ht="12.75" customHeight="1">
      <c r="A23" s="249"/>
      <c r="B23" s="239" t="s">
        <v>55</v>
      </c>
      <c r="C23" s="250">
        <v>0.28001237623762376</v>
      </c>
      <c r="D23" s="251">
        <v>0.28052805280528054</v>
      </c>
      <c r="E23" s="251">
        <v>0.33053582956746286</v>
      </c>
      <c r="F23" s="251">
        <v>0.33084947839046197</v>
      </c>
      <c r="G23" s="251">
        <v>0.39754098360655737</v>
      </c>
      <c r="H23" s="252">
        <v>0.48837209302325579</v>
      </c>
      <c r="I23" s="251"/>
      <c r="J23" s="530">
        <v>0.30616269515201316</v>
      </c>
      <c r="K23" s="250">
        <v>0</v>
      </c>
      <c r="L23" s="251">
        <v>0</v>
      </c>
      <c r="M23" s="251">
        <v>0</v>
      </c>
      <c r="N23" s="252">
        <v>0</v>
      </c>
      <c r="O23" s="251"/>
      <c r="P23" s="250">
        <v>0</v>
      </c>
      <c r="Q23" s="250">
        <v>0</v>
      </c>
      <c r="R23" s="252">
        <v>0</v>
      </c>
      <c r="S23" s="252">
        <v>0</v>
      </c>
      <c r="T23" s="250">
        <v>0</v>
      </c>
      <c r="U23" s="253"/>
      <c r="V23" s="254">
        <v>905</v>
      </c>
      <c r="W23" s="255">
        <v>85</v>
      </c>
      <c r="X23" s="255">
        <v>512</v>
      </c>
      <c r="Y23" s="255">
        <v>222</v>
      </c>
      <c r="Z23" s="255">
        <v>97</v>
      </c>
      <c r="AA23" s="255">
        <v>42</v>
      </c>
      <c r="AB23" s="251"/>
      <c r="AC23" s="256">
        <v>1863</v>
      </c>
      <c r="AD23" s="254">
        <v>0</v>
      </c>
      <c r="AE23" s="255">
        <v>0</v>
      </c>
      <c r="AF23" s="255">
        <v>0</v>
      </c>
      <c r="AG23" s="255">
        <v>0</v>
      </c>
      <c r="AH23" s="255">
        <v>0</v>
      </c>
      <c r="AI23" s="257">
        <v>0</v>
      </c>
      <c r="AJ23" s="254">
        <v>0</v>
      </c>
      <c r="AK23" s="255">
        <v>0</v>
      </c>
      <c r="AL23" s="257">
        <v>0</v>
      </c>
      <c r="AM23" s="254">
        <v>0</v>
      </c>
    </row>
    <row r="24" spans="1:41" ht="12.75" customHeight="1">
      <c r="A24" s="249"/>
      <c r="B24" s="239" t="s">
        <v>78</v>
      </c>
      <c r="C24" s="250">
        <v>0.11819306930693069</v>
      </c>
      <c r="D24" s="251">
        <v>4.2904290429042903E-2</v>
      </c>
      <c r="E24" s="251">
        <v>0.17817947062621045</v>
      </c>
      <c r="F24" s="251">
        <v>0.13561847988077497</v>
      </c>
      <c r="G24" s="251">
        <v>4.9180327868852458E-2</v>
      </c>
      <c r="H24" s="252">
        <v>3.4883720930232558E-2</v>
      </c>
      <c r="I24" s="251"/>
      <c r="J24" s="530">
        <v>0.12769104354971242</v>
      </c>
      <c r="K24" s="250">
        <v>0</v>
      </c>
      <c r="L24" s="251">
        <v>0</v>
      </c>
      <c r="M24" s="251">
        <v>0</v>
      </c>
      <c r="N24" s="252">
        <v>0</v>
      </c>
      <c r="O24" s="251"/>
      <c r="P24" s="250">
        <v>0</v>
      </c>
      <c r="Q24" s="250">
        <v>0</v>
      </c>
      <c r="R24" s="252">
        <v>0</v>
      </c>
      <c r="S24" s="252">
        <v>0</v>
      </c>
      <c r="T24" s="250">
        <v>0</v>
      </c>
      <c r="U24" s="253"/>
      <c r="V24" s="254">
        <v>382</v>
      </c>
      <c r="W24" s="255">
        <v>13</v>
      </c>
      <c r="X24" s="255">
        <v>276</v>
      </c>
      <c r="Y24" s="255">
        <v>91</v>
      </c>
      <c r="Z24" s="255">
        <v>12</v>
      </c>
      <c r="AA24" s="255">
        <v>3</v>
      </c>
      <c r="AB24" s="251"/>
      <c r="AC24" s="256">
        <v>777</v>
      </c>
      <c r="AD24" s="254">
        <v>0</v>
      </c>
      <c r="AE24" s="255">
        <v>0</v>
      </c>
      <c r="AF24" s="255">
        <v>0</v>
      </c>
      <c r="AG24" s="255">
        <v>0</v>
      </c>
      <c r="AH24" s="255">
        <v>0</v>
      </c>
      <c r="AI24" s="257">
        <v>0</v>
      </c>
      <c r="AJ24" s="254">
        <v>0</v>
      </c>
      <c r="AK24" s="255">
        <v>0</v>
      </c>
      <c r="AL24" s="257">
        <v>0</v>
      </c>
      <c r="AM24" s="254">
        <v>0</v>
      </c>
    </row>
    <row r="25" spans="1:41" ht="12.75" customHeight="1">
      <c r="A25" s="249"/>
      <c r="B25" s="782" t="s">
        <v>131</v>
      </c>
      <c r="C25" s="581">
        <v>8.0445544554455448E-3</v>
      </c>
      <c r="D25" s="582">
        <v>0.132013201320132</v>
      </c>
      <c r="E25" s="582">
        <v>4.5190445448676564E-2</v>
      </c>
      <c r="F25" s="582">
        <v>2.9806259314456036E-3</v>
      </c>
      <c r="G25" s="582">
        <v>3.2786885245901641E-2</v>
      </c>
      <c r="H25" s="583">
        <v>0</v>
      </c>
      <c r="I25" s="582"/>
      <c r="J25" s="783">
        <v>2.3993426458504521E-2</v>
      </c>
      <c r="K25" s="581">
        <v>0</v>
      </c>
      <c r="L25" s="582">
        <v>1</v>
      </c>
      <c r="M25" s="582">
        <v>1</v>
      </c>
      <c r="N25" s="583">
        <v>1</v>
      </c>
      <c r="O25" s="582"/>
      <c r="P25" s="581">
        <v>1</v>
      </c>
      <c r="Q25" s="581">
        <v>1</v>
      </c>
      <c r="R25" s="583">
        <v>1</v>
      </c>
      <c r="S25" s="583">
        <v>0</v>
      </c>
      <c r="T25" s="581">
        <v>1</v>
      </c>
      <c r="U25" s="253"/>
      <c r="V25" s="895"/>
      <c r="W25" s="896"/>
      <c r="X25" s="896"/>
      <c r="Y25" s="896"/>
      <c r="Z25" s="896"/>
      <c r="AA25" s="896"/>
      <c r="AB25" s="899"/>
      <c r="AC25" s="898"/>
      <c r="AD25" s="895"/>
      <c r="AE25" s="896"/>
      <c r="AF25" s="896"/>
      <c r="AG25" s="896"/>
      <c r="AH25" s="896"/>
      <c r="AI25" s="900"/>
      <c r="AJ25" s="895"/>
      <c r="AK25" s="896"/>
      <c r="AL25" s="900"/>
      <c r="AM25" s="895"/>
    </row>
    <row r="26" spans="1:41" s="527" customFormat="1" ht="12.75" customHeight="1">
      <c r="A26" s="435"/>
      <c r="B26" s="436" t="s">
        <v>59</v>
      </c>
      <c r="C26" s="261">
        <v>1</v>
      </c>
      <c r="D26" s="262">
        <v>1</v>
      </c>
      <c r="E26" s="262">
        <v>1</v>
      </c>
      <c r="F26" s="262">
        <v>1</v>
      </c>
      <c r="G26" s="262">
        <v>1</v>
      </c>
      <c r="H26" s="263">
        <v>1</v>
      </c>
      <c r="I26" s="262"/>
      <c r="J26" s="531">
        <v>1</v>
      </c>
      <c r="K26" s="261">
        <v>0</v>
      </c>
      <c r="L26" s="262">
        <v>1</v>
      </c>
      <c r="M26" s="262">
        <v>1</v>
      </c>
      <c r="N26" s="263">
        <v>1</v>
      </c>
      <c r="O26" s="262"/>
      <c r="P26" s="261">
        <v>1</v>
      </c>
      <c r="Q26" s="261">
        <v>1</v>
      </c>
      <c r="R26" s="263">
        <v>1</v>
      </c>
      <c r="S26" s="263">
        <v>0</v>
      </c>
      <c r="T26" s="261">
        <v>1</v>
      </c>
      <c r="U26" s="264"/>
      <c r="V26" s="265">
        <v>3232</v>
      </c>
      <c r="W26" s="266">
        <v>303</v>
      </c>
      <c r="X26" s="266">
        <v>1549</v>
      </c>
      <c r="Y26" s="266">
        <v>671</v>
      </c>
      <c r="Z26" s="266">
        <v>244</v>
      </c>
      <c r="AA26" s="266">
        <v>86</v>
      </c>
      <c r="AB26" s="262"/>
      <c r="AC26" s="267">
        <v>6085</v>
      </c>
      <c r="AD26" s="265">
        <v>0</v>
      </c>
      <c r="AE26" s="266">
        <v>171</v>
      </c>
      <c r="AF26" s="266">
        <v>300</v>
      </c>
      <c r="AG26" s="266">
        <v>84</v>
      </c>
      <c r="AH26" s="266">
        <v>0</v>
      </c>
      <c r="AI26" s="268">
        <v>1773</v>
      </c>
      <c r="AJ26" s="265">
        <v>76</v>
      </c>
      <c r="AK26" s="266">
        <v>85</v>
      </c>
      <c r="AL26" s="268">
        <v>0</v>
      </c>
      <c r="AM26" s="265">
        <v>161</v>
      </c>
      <c r="AN26" s="270"/>
      <c r="AO26" s="270"/>
    </row>
    <row r="27" spans="1:41" ht="12.75" customHeight="1">
      <c r="A27" s="239" t="s">
        <v>5</v>
      </c>
      <c r="B27" s="240" t="s">
        <v>53</v>
      </c>
      <c r="C27" s="241">
        <v>0.37710084033613445</v>
      </c>
      <c r="D27" s="242">
        <v>0</v>
      </c>
      <c r="E27" s="242">
        <v>0.22938829787234041</v>
      </c>
      <c r="F27" s="242">
        <v>0.2412280701754386</v>
      </c>
      <c r="G27" s="242">
        <v>0.13141025641025642</v>
      </c>
      <c r="H27" s="243">
        <v>0.10353535353535354</v>
      </c>
      <c r="I27" s="242"/>
      <c r="J27" s="529">
        <v>0.24751381215469614</v>
      </c>
      <c r="K27" s="241">
        <v>0</v>
      </c>
      <c r="L27" s="242">
        <v>0</v>
      </c>
      <c r="M27" s="242">
        <v>0</v>
      </c>
      <c r="N27" s="243">
        <v>0</v>
      </c>
      <c r="O27" s="242"/>
      <c r="P27" s="342">
        <v>3.5063113604488078E-3</v>
      </c>
      <c r="Q27" s="342">
        <v>0</v>
      </c>
      <c r="R27" s="243">
        <v>0</v>
      </c>
      <c r="S27" s="243">
        <v>0</v>
      </c>
      <c r="T27" s="342">
        <v>0</v>
      </c>
      <c r="U27" s="244"/>
      <c r="V27" s="245">
        <v>359</v>
      </c>
      <c r="W27" s="246">
        <v>0</v>
      </c>
      <c r="X27" s="246">
        <v>345</v>
      </c>
      <c r="Y27" s="246">
        <v>110</v>
      </c>
      <c r="Z27" s="246">
        <v>41</v>
      </c>
      <c r="AA27" s="246">
        <v>41</v>
      </c>
      <c r="AB27" s="242"/>
      <c r="AC27" s="247">
        <v>896</v>
      </c>
      <c r="AD27" s="245">
        <v>0</v>
      </c>
      <c r="AE27" s="246">
        <v>0</v>
      </c>
      <c r="AF27" s="246">
        <v>0</v>
      </c>
      <c r="AG27" s="246">
        <v>0</v>
      </c>
      <c r="AH27" s="246">
        <v>0</v>
      </c>
      <c r="AI27" s="248">
        <v>5</v>
      </c>
      <c r="AJ27" s="245">
        <v>0</v>
      </c>
      <c r="AK27" s="246">
        <v>0</v>
      </c>
      <c r="AL27" s="248">
        <v>0</v>
      </c>
      <c r="AM27" s="245">
        <v>0</v>
      </c>
    </row>
    <row r="28" spans="1:41" ht="12.75" customHeight="1">
      <c r="A28" s="249"/>
      <c r="B28" s="239" t="s">
        <v>93</v>
      </c>
      <c r="C28" s="250">
        <v>0.22899159663865545</v>
      </c>
      <c r="D28" s="251">
        <v>0</v>
      </c>
      <c r="E28" s="251">
        <v>0.24468085106382978</v>
      </c>
      <c r="F28" s="251">
        <v>0.24342105263157895</v>
      </c>
      <c r="G28" s="251">
        <v>0.20833333333333334</v>
      </c>
      <c r="H28" s="252">
        <v>0.20707070707070707</v>
      </c>
      <c r="I28" s="251"/>
      <c r="J28" s="530">
        <v>0.23314917127071824</v>
      </c>
      <c r="K28" s="250">
        <v>0</v>
      </c>
      <c r="L28" s="251">
        <v>0</v>
      </c>
      <c r="M28" s="251">
        <v>0</v>
      </c>
      <c r="N28" s="252">
        <v>0</v>
      </c>
      <c r="O28" s="251"/>
      <c r="P28" s="250">
        <v>6.311360448807854E-3</v>
      </c>
      <c r="Q28" s="250">
        <v>0</v>
      </c>
      <c r="R28" s="252">
        <v>0</v>
      </c>
      <c r="S28" s="252">
        <v>0</v>
      </c>
      <c r="T28" s="250">
        <v>0</v>
      </c>
      <c r="U28" s="253"/>
      <c r="V28" s="254">
        <v>218</v>
      </c>
      <c r="W28" s="255">
        <v>0</v>
      </c>
      <c r="X28" s="255">
        <v>368</v>
      </c>
      <c r="Y28" s="255">
        <v>111</v>
      </c>
      <c r="Z28" s="255">
        <v>65</v>
      </c>
      <c r="AA28" s="255">
        <v>82</v>
      </c>
      <c r="AB28" s="251"/>
      <c r="AC28" s="256">
        <v>844</v>
      </c>
      <c r="AD28" s="254">
        <v>0</v>
      </c>
      <c r="AE28" s="255">
        <v>0</v>
      </c>
      <c r="AF28" s="255">
        <v>0</v>
      </c>
      <c r="AG28" s="255">
        <v>0</v>
      </c>
      <c r="AH28" s="255">
        <v>0</v>
      </c>
      <c r="AI28" s="257">
        <v>9</v>
      </c>
      <c r="AJ28" s="254">
        <v>0</v>
      </c>
      <c r="AK28" s="255">
        <v>0</v>
      </c>
      <c r="AL28" s="257">
        <v>0</v>
      </c>
      <c r="AM28" s="254">
        <v>0</v>
      </c>
    </row>
    <row r="29" spans="1:41" ht="12.75" customHeight="1">
      <c r="A29" s="249"/>
      <c r="B29" s="239" t="s">
        <v>55</v>
      </c>
      <c r="C29" s="250">
        <v>0.17857142857142858</v>
      </c>
      <c r="D29" s="251">
        <v>0</v>
      </c>
      <c r="E29" s="251">
        <v>0.28523936170212766</v>
      </c>
      <c r="F29" s="251">
        <v>0.31798245614035087</v>
      </c>
      <c r="G29" s="251">
        <v>0.31730769230769229</v>
      </c>
      <c r="H29" s="252">
        <v>0.38131313131313133</v>
      </c>
      <c r="I29" s="251"/>
      <c r="J29" s="530">
        <v>0.27458563535911601</v>
      </c>
      <c r="K29" s="250">
        <v>0</v>
      </c>
      <c r="L29" s="251">
        <v>0</v>
      </c>
      <c r="M29" s="251">
        <v>0</v>
      </c>
      <c r="N29" s="252">
        <v>0</v>
      </c>
      <c r="O29" s="251"/>
      <c r="P29" s="250">
        <v>4.6283309957924262E-2</v>
      </c>
      <c r="Q29" s="250">
        <v>0</v>
      </c>
      <c r="R29" s="252">
        <v>0</v>
      </c>
      <c r="S29" s="252">
        <v>0</v>
      </c>
      <c r="T29" s="250">
        <v>0</v>
      </c>
      <c r="U29" s="253"/>
      <c r="V29" s="254">
        <v>170</v>
      </c>
      <c r="W29" s="255">
        <v>0</v>
      </c>
      <c r="X29" s="255">
        <v>429</v>
      </c>
      <c r="Y29" s="255">
        <v>145</v>
      </c>
      <c r="Z29" s="255">
        <v>99</v>
      </c>
      <c r="AA29" s="255">
        <v>151</v>
      </c>
      <c r="AB29" s="251"/>
      <c r="AC29" s="256">
        <v>994</v>
      </c>
      <c r="AD29" s="254">
        <v>0</v>
      </c>
      <c r="AE29" s="255">
        <v>0</v>
      </c>
      <c r="AF29" s="255">
        <v>0</v>
      </c>
      <c r="AG29" s="255">
        <v>0</v>
      </c>
      <c r="AH29" s="255">
        <v>0</v>
      </c>
      <c r="AI29" s="257">
        <v>66</v>
      </c>
      <c r="AJ29" s="254">
        <v>0</v>
      </c>
      <c r="AK29" s="255">
        <v>0</v>
      </c>
      <c r="AL29" s="257">
        <v>0</v>
      </c>
      <c r="AM29" s="254">
        <v>0</v>
      </c>
    </row>
    <row r="30" spans="1:41" ht="12.75" customHeight="1">
      <c r="A30" s="249"/>
      <c r="B30" s="239" t="s">
        <v>78</v>
      </c>
      <c r="C30" s="250">
        <v>0.13550420168067226</v>
      </c>
      <c r="D30" s="251">
        <v>0</v>
      </c>
      <c r="E30" s="251">
        <v>0.19680851063829788</v>
      </c>
      <c r="F30" s="251">
        <v>0.1206140350877193</v>
      </c>
      <c r="G30" s="251">
        <v>0.20833333333333334</v>
      </c>
      <c r="H30" s="252">
        <v>0.29040404040404039</v>
      </c>
      <c r="I30" s="251"/>
      <c r="J30" s="530">
        <v>0.18232044198895028</v>
      </c>
      <c r="K30" s="250">
        <v>0</v>
      </c>
      <c r="L30" s="251">
        <v>0</v>
      </c>
      <c r="M30" s="251">
        <v>0</v>
      </c>
      <c r="N30" s="252">
        <v>0</v>
      </c>
      <c r="O30" s="251"/>
      <c r="P30" s="250">
        <v>0.10589060308555399</v>
      </c>
      <c r="Q30" s="250">
        <v>0</v>
      </c>
      <c r="R30" s="252">
        <v>0</v>
      </c>
      <c r="S30" s="252">
        <v>0</v>
      </c>
      <c r="T30" s="250">
        <v>0</v>
      </c>
      <c r="U30" s="253"/>
      <c r="V30" s="254">
        <v>129</v>
      </c>
      <c r="W30" s="255">
        <v>0</v>
      </c>
      <c r="X30" s="255">
        <v>296</v>
      </c>
      <c r="Y30" s="255">
        <v>55</v>
      </c>
      <c r="Z30" s="255">
        <v>65</v>
      </c>
      <c r="AA30" s="255">
        <v>115</v>
      </c>
      <c r="AB30" s="251"/>
      <c r="AC30" s="256">
        <v>660</v>
      </c>
      <c r="AD30" s="254">
        <v>0</v>
      </c>
      <c r="AE30" s="255">
        <v>0</v>
      </c>
      <c r="AF30" s="255">
        <v>0</v>
      </c>
      <c r="AG30" s="255">
        <v>0</v>
      </c>
      <c r="AH30" s="255">
        <v>0</v>
      </c>
      <c r="AI30" s="257">
        <v>151</v>
      </c>
      <c r="AJ30" s="254">
        <v>0</v>
      </c>
      <c r="AK30" s="255">
        <v>0</v>
      </c>
      <c r="AL30" s="257">
        <v>0</v>
      </c>
      <c r="AM30" s="254">
        <v>0</v>
      </c>
    </row>
    <row r="31" spans="1:41" ht="12.75" customHeight="1">
      <c r="A31" s="249"/>
      <c r="B31" s="782" t="s">
        <v>131</v>
      </c>
      <c r="C31" s="581">
        <v>7.9831932773109238E-2</v>
      </c>
      <c r="D31" s="582">
        <v>0</v>
      </c>
      <c r="E31" s="582">
        <v>4.3882978723404256E-2</v>
      </c>
      <c r="F31" s="582">
        <v>7.6754385964912283E-2</v>
      </c>
      <c r="G31" s="582">
        <v>0.13461538461538461</v>
      </c>
      <c r="H31" s="583">
        <v>1.7676767676767676E-2</v>
      </c>
      <c r="I31" s="582"/>
      <c r="J31" s="783">
        <v>6.2430939226519336E-2</v>
      </c>
      <c r="K31" s="581">
        <v>0</v>
      </c>
      <c r="L31" s="582">
        <v>1</v>
      </c>
      <c r="M31" s="582">
        <v>1</v>
      </c>
      <c r="N31" s="583">
        <v>1</v>
      </c>
      <c r="O31" s="582"/>
      <c r="P31" s="581">
        <v>0.8380084151472651</v>
      </c>
      <c r="Q31" s="581">
        <v>0</v>
      </c>
      <c r="R31" s="583">
        <v>0</v>
      </c>
      <c r="S31" s="583">
        <v>0</v>
      </c>
      <c r="T31" s="581">
        <v>0</v>
      </c>
      <c r="U31" s="253"/>
      <c r="V31" s="895"/>
      <c r="W31" s="896"/>
      <c r="X31" s="896"/>
      <c r="Y31" s="896"/>
      <c r="Z31" s="896"/>
      <c r="AA31" s="896"/>
      <c r="AB31" s="899"/>
      <c r="AC31" s="898"/>
      <c r="AD31" s="895"/>
      <c r="AE31" s="896"/>
      <c r="AF31" s="896"/>
      <c r="AG31" s="896"/>
      <c r="AH31" s="896"/>
      <c r="AI31" s="900"/>
      <c r="AJ31" s="895"/>
      <c r="AK31" s="896"/>
      <c r="AL31" s="900"/>
      <c r="AM31" s="895"/>
      <c r="AN31" s="901"/>
    </row>
    <row r="32" spans="1:41" s="527" customFormat="1" ht="12.75" customHeight="1">
      <c r="A32" s="435"/>
      <c r="B32" s="436" t="s">
        <v>59</v>
      </c>
      <c r="C32" s="261">
        <v>1</v>
      </c>
      <c r="D32" s="262">
        <v>0</v>
      </c>
      <c r="E32" s="262">
        <v>1</v>
      </c>
      <c r="F32" s="262">
        <v>1</v>
      </c>
      <c r="G32" s="262">
        <v>1</v>
      </c>
      <c r="H32" s="263">
        <v>1</v>
      </c>
      <c r="I32" s="262"/>
      <c r="J32" s="531">
        <v>1</v>
      </c>
      <c r="K32" s="261">
        <v>0</v>
      </c>
      <c r="L32" s="262">
        <v>1</v>
      </c>
      <c r="M32" s="262">
        <v>1</v>
      </c>
      <c r="N32" s="263">
        <v>1</v>
      </c>
      <c r="O32" s="262"/>
      <c r="P32" s="261">
        <v>1</v>
      </c>
      <c r="Q32" s="261">
        <v>0</v>
      </c>
      <c r="R32" s="263">
        <v>0</v>
      </c>
      <c r="S32" s="263">
        <v>0</v>
      </c>
      <c r="T32" s="261">
        <v>0</v>
      </c>
      <c r="U32" s="264"/>
      <c r="V32" s="265">
        <v>952</v>
      </c>
      <c r="W32" s="266">
        <v>0</v>
      </c>
      <c r="X32" s="266">
        <v>1504</v>
      </c>
      <c r="Y32" s="266">
        <v>456</v>
      </c>
      <c r="Z32" s="266">
        <v>312</v>
      </c>
      <c r="AA32" s="266">
        <v>396</v>
      </c>
      <c r="AB32" s="262"/>
      <c r="AC32" s="267">
        <v>3620</v>
      </c>
      <c r="AD32" s="265">
        <v>0</v>
      </c>
      <c r="AE32" s="266">
        <v>171</v>
      </c>
      <c r="AF32" s="266">
        <v>300</v>
      </c>
      <c r="AG32" s="266">
        <v>84</v>
      </c>
      <c r="AH32" s="266">
        <v>0</v>
      </c>
      <c r="AI32" s="268">
        <v>1426</v>
      </c>
      <c r="AJ32" s="265">
        <v>0</v>
      </c>
      <c r="AK32" s="266">
        <v>0</v>
      </c>
      <c r="AL32" s="268">
        <v>0</v>
      </c>
      <c r="AM32" s="265">
        <v>0</v>
      </c>
      <c r="AN32" s="270"/>
      <c r="AO32" s="270"/>
    </row>
    <row r="33" spans="1:41" ht="12.75" customHeight="1">
      <c r="A33" s="239" t="s">
        <v>82</v>
      </c>
      <c r="B33" s="240" t="s">
        <v>53</v>
      </c>
      <c r="C33" s="241">
        <v>0.33658969804618116</v>
      </c>
      <c r="D33" s="242">
        <v>0</v>
      </c>
      <c r="E33" s="242">
        <v>0</v>
      </c>
      <c r="F33" s="242">
        <v>0.18181818181818182</v>
      </c>
      <c r="G33" s="242">
        <v>0</v>
      </c>
      <c r="H33" s="243">
        <v>0</v>
      </c>
      <c r="I33" s="242"/>
      <c r="J33" s="529">
        <v>0.31344410876132933</v>
      </c>
      <c r="K33" s="241">
        <v>0</v>
      </c>
      <c r="L33" s="242">
        <v>0</v>
      </c>
      <c r="M33" s="242">
        <v>0</v>
      </c>
      <c r="N33" s="243">
        <v>0</v>
      </c>
      <c r="O33" s="242"/>
      <c r="P33" s="241">
        <v>0</v>
      </c>
      <c r="Q33" s="342">
        <v>0</v>
      </c>
      <c r="R33" s="243">
        <v>0</v>
      </c>
      <c r="S33" s="243">
        <v>0</v>
      </c>
      <c r="T33" s="342">
        <v>0</v>
      </c>
      <c r="U33" s="244"/>
      <c r="V33" s="245">
        <v>379</v>
      </c>
      <c r="W33" s="246">
        <v>0</v>
      </c>
      <c r="X33" s="246">
        <v>0</v>
      </c>
      <c r="Y33" s="246">
        <v>36</v>
      </c>
      <c r="Z33" s="246">
        <v>0</v>
      </c>
      <c r="AA33" s="246">
        <v>0</v>
      </c>
      <c r="AB33" s="242"/>
      <c r="AC33" s="247">
        <v>415</v>
      </c>
      <c r="AD33" s="245">
        <v>0</v>
      </c>
      <c r="AE33" s="246">
        <v>0</v>
      </c>
      <c r="AF33" s="246">
        <v>0</v>
      </c>
      <c r="AG33" s="246">
        <v>0</v>
      </c>
      <c r="AH33" s="246">
        <v>0</v>
      </c>
      <c r="AI33" s="248">
        <v>0</v>
      </c>
      <c r="AJ33" s="245">
        <v>0</v>
      </c>
      <c r="AK33" s="246">
        <v>0</v>
      </c>
      <c r="AL33" s="248">
        <v>0</v>
      </c>
      <c r="AM33" s="245">
        <v>0</v>
      </c>
    </row>
    <row r="34" spans="1:41" ht="12.75" customHeight="1">
      <c r="A34" s="249"/>
      <c r="B34" s="239" t="s">
        <v>93</v>
      </c>
      <c r="C34" s="250">
        <v>0.31083481349911191</v>
      </c>
      <c r="D34" s="251">
        <v>0</v>
      </c>
      <c r="E34" s="251">
        <v>0</v>
      </c>
      <c r="F34" s="251">
        <v>0.43434343434343436</v>
      </c>
      <c r="G34" s="251">
        <v>0</v>
      </c>
      <c r="H34" s="252">
        <v>0</v>
      </c>
      <c r="I34" s="251"/>
      <c r="J34" s="530">
        <v>0.32930513595166161</v>
      </c>
      <c r="K34" s="250">
        <v>0</v>
      </c>
      <c r="L34" s="251">
        <v>0</v>
      </c>
      <c r="M34" s="251">
        <v>0</v>
      </c>
      <c r="N34" s="252">
        <v>0</v>
      </c>
      <c r="O34" s="251"/>
      <c r="P34" s="250">
        <v>0</v>
      </c>
      <c r="Q34" s="250">
        <v>0</v>
      </c>
      <c r="R34" s="252">
        <v>0</v>
      </c>
      <c r="S34" s="252">
        <v>0</v>
      </c>
      <c r="T34" s="250">
        <v>0</v>
      </c>
      <c r="U34" s="253"/>
      <c r="V34" s="254">
        <v>350</v>
      </c>
      <c r="W34" s="255">
        <v>0</v>
      </c>
      <c r="X34" s="255">
        <v>0</v>
      </c>
      <c r="Y34" s="255">
        <v>86</v>
      </c>
      <c r="Z34" s="255">
        <v>0</v>
      </c>
      <c r="AA34" s="255">
        <v>0</v>
      </c>
      <c r="AB34" s="251"/>
      <c r="AC34" s="256">
        <v>436</v>
      </c>
      <c r="AD34" s="254">
        <v>0</v>
      </c>
      <c r="AE34" s="255">
        <v>0</v>
      </c>
      <c r="AF34" s="255">
        <v>0</v>
      </c>
      <c r="AG34" s="255">
        <v>0</v>
      </c>
      <c r="AH34" s="255">
        <v>0</v>
      </c>
      <c r="AI34" s="257">
        <v>0</v>
      </c>
      <c r="AJ34" s="254">
        <v>0</v>
      </c>
      <c r="AK34" s="255">
        <v>0</v>
      </c>
      <c r="AL34" s="257">
        <v>0</v>
      </c>
      <c r="AM34" s="254">
        <v>0</v>
      </c>
    </row>
    <row r="35" spans="1:41" ht="12.75" customHeight="1">
      <c r="A35" s="249"/>
      <c r="B35" s="239" t="s">
        <v>55</v>
      </c>
      <c r="C35" s="250">
        <v>0.25754884547069273</v>
      </c>
      <c r="D35" s="251">
        <v>0</v>
      </c>
      <c r="E35" s="251">
        <v>0</v>
      </c>
      <c r="F35" s="251">
        <v>0.31818181818181818</v>
      </c>
      <c r="G35" s="251">
        <v>0</v>
      </c>
      <c r="H35" s="252">
        <v>0</v>
      </c>
      <c r="I35" s="251"/>
      <c r="J35" s="530">
        <v>0.26661631419939574</v>
      </c>
      <c r="K35" s="250">
        <v>0</v>
      </c>
      <c r="L35" s="251">
        <v>0</v>
      </c>
      <c r="M35" s="251">
        <v>0</v>
      </c>
      <c r="N35" s="252">
        <v>0</v>
      </c>
      <c r="O35" s="251"/>
      <c r="P35" s="250">
        <v>0</v>
      </c>
      <c r="Q35" s="250">
        <v>0</v>
      </c>
      <c r="R35" s="252">
        <v>0</v>
      </c>
      <c r="S35" s="252">
        <v>0</v>
      </c>
      <c r="T35" s="250">
        <v>0</v>
      </c>
      <c r="U35" s="253"/>
      <c r="V35" s="254">
        <v>290</v>
      </c>
      <c r="W35" s="255">
        <v>0</v>
      </c>
      <c r="X35" s="255">
        <v>0</v>
      </c>
      <c r="Y35" s="255">
        <v>63</v>
      </c>
      <c r="Z35" s="255">
        <v>0</v>
      </c>
      <c r="AA35" s="255">
        <v>0</v>
      </c>
      <c r="AB35" s="251"/>
      <c r="AC35" s="256">
        <v>353</v>
      </c>
      <c r="AD35" s="254">
        <v>0</v>
      </c>
      <c r="AE35" s="255">
        <v>0</v>
      </c>
      <c r="AF35" s="255">
        <v>0</v>
      </c>
      <c r="AG35" s="255">
        <v>0</v>
      </c>
      <c r="AH35" s="255">
        <v>0</v>
      </c>
      <c r="AI35" s="257">
        <v>0</v>
      </c>
      <c r="AJ35" s="254">
        <v>0</v>
      </c>
      <c r="AK35" s="255">
        <v>0</v>
      </c>
      <c r="AL35" s="257">
        <v>0</v>
      </c>
      <c r="AM35" s="254">
        <v>0</v>
      </c>
    </row>
    <row r="36" spans="1:41" ht="12.75" customHeight="1">
      <c r="A36" s="249"/>
      <c r="B36" s="239" t="s">
        <v>78</v>
      </c>
      <c r="C36" s="250">
        <v>9.5026642984014212E-2</v>
      </c>
      <c r="D36" s="251">
        <v>0</v>
      </c>
      <c r="E36" s="251">
        <v>0</v>
      </c>
      <c r="F36" s="251">
        <v>5.5555555555555552E-2</v>
      </c>
      <c r="G36" s="251">
        <v>0</v>
      </c>
      <c r="H36" s="252">
        <v>0</v>
      </c>
      <c r="I36" s="251"/>
      <c r="J36" s="530">
        <v>8.9123867069486398E-2</v>
      </c>
      <c r="K36" s="250">
        <v>0</v>
      </c>
      <c r="L36" s="251">
        <v>0</v>
      </c>
      <c r="M36" s="251">
        <v>0</v>
      </c>
      <c r="N36" s="252">
        <v>0</v>
      </c>
      <c r="O36" s="251"/>
      <c r="P36" s="250">
        <v>0</v>
      </c>
      <c r="Q36" s="250">
        <v>0</v>
      </c>
      <c r="R36" s="252">
        <v>0</v>
      </c>
      <c r="S36" s="252">
        <v>0</v>
      </c>
      <c r="T36" s="250">
        <v>0</v>
      </c>
      <c r="U36" s="253"/>
      <c r="V36" s="254">
        <v>107</v>
      </c>
      <c r="W36" s="255">
        <v>0</v>
      </c>
      <c r="X36" s="255">
        <v>0</v>
      </c>
      <c r="Y36" s="255">
        <v>11</v>
      </c>
      <c r="Z36" s="255">
        <v>0</v>
      </c>
      <c r="AA36" s="255">
        <v>0</v>
      </c>
      <c r="AB36" s="251"/>
      <c r="AC36" s="256">
        <v>118</v>
      </c>
      <c r="AD36" s="254">
        <v>0</v>
      </c>
      <c r="AE36" s="255">
        <v>0</v>
      </c>
      <c r="AF36" s="255">
        <v>0</v>
      </c>
      <c r="AG36" s="255">
        <v>0</v>
      </c>
      <c r="AH36" s="255">
        <v>0</v>
      </c>
      <c r="AI36" s="257">
        <v>0</v>
      </c>
      <c r="AJ36" s="254">
        <v>0</v>
      </c>
      <c r="AK36" s="255">
        <v>0</v>
      </c>
      <c r="AL36" s="257">
        <v>0</v>
      </c>
      <c r="AM36" s="254">
        <v>0</v>
      </c>
    </row>
    <row r="37" spans="1:41" ht="12.75" customHeight="1">
      <c r="A37" s="249"/>
      <c r="B37" s="782" t="s">
        <v>131</v>
      </c>
      <c r="C37" s="581">
        <v>0</v>
      </c>
      <c r="D37" s="582">
        <v>0</v>
      </c>
      <c r="E37" s="582">
        <v>0</v>
      </c>
      <c r="F37" s="582">
        <v>1.0101010101010102E-2</v>
      </c>
      <c r="G37" s="582">
        <v>0</v>
      </c>
      <c r="H37" s="583">
        <v>0</v>
      </c>
      <c r="I37" s="582"/>
      <c r="J37" s="783">
        <v>1.5105740181268882E-3</v>
      </c>
      <c r="K37" s="581">
        <v>0</v>
      </c>
      <c r="L37" s="582">
        <v>1</v>
      </c>
      <c r="M37" s="582">
        <v>1</v>
      </c>
      <c r="N37" s="583">
        <v>1</v>
      </c>
      <c r="O37" s="582"/>
      <c r="P37" s="581">
        <v>1</v>
      </c>
      <c r="Q37" s="581">
        <v>0</v>
      </c>
      <c r="R37" s="583">
        <v>0</v>
      </c>
      <c r="S37" s="583">
        <v>0</v>
      </c>
      <c r="T37" s="581">
        <v>0</v>
      </c>
      <c r="U37" s="253"/>
      <c r="V37" s="895"/>
      <c r="W37" s="896"/>
      <c r="X37" s="896"/>
      <c r="Y37" s="896"/>
      <c r="Z37" s="896"/>
      <c r="AA37" s="896"/>
      <c r="AB37" s="899"/>
      <c r="AC37" s="898"/>
      <c r="AD37" s="895"/>
      <c r="AE37" s="896"/>
      <c r="AF37" s="896"/>
      <c r="AG37" s="896"/>
      <c r="AH37" s="896"/>
      <c r="AI37" s="900"/>
      <c r="AJ37" s="895"/>
      <c r="AK37" s="896"/>
      <c r="AL37" s="900"/>
      <c r="AM37" s="895"/>
    </row>
    <row r="38" spans="1:41" s="527" customFormat="1" ht="12.75" customHeight="1">
      <c r="A38" s="435"/>
      <c r="B38" s="436" t="s">
        <v>59</v>
      </c>
      <c r="C38" s="261">
        <v>1</v>
      </c>
      <c r="D38" s="262">
        <v>0</v>
      </c>
      <c r="E38" s="262">
        <v>0</v>
      </c>
      <c r="F38" s="262">
        <v>1</v>
      </c>
      <c r="G38" s="262">
        <v>0</v>
      </c>
      <c r="H38" s="263">
        <v>0</v>
      </c>
      <c r="I38" s="262"/>
      <c r="J38" s="531">
        <v>1</v>
      </c>
      <c r="K38" s="261">
        <v>0</v>
      </c>
      <c r="L38" s="262">
        <v>1</v>
      </c>
      <c r="M38" s="262">
        <v>1</v>
      </c>
      <c r="N38" s="263">
        <v>1</v>
      </c>
      <c r="O38" s="262"/>
      <c r="P38" s="261">
        <v>1</v>
      </c>
      <c r="Q38" s="261">
        <v>0</v>
      </c>
      <c r="R38" s="263">
        <v>0</v>
      </c>
      <c r="S38" s="263">
        <v>0</v>
      </c>
      <c r="T38" s="261">
        <v>0</v>
      </c>
      <c r="U38" s="264"/>
      <c r="V38" s="265">
        <v>1126</v>
      </c>
      <c r="W38" s="266">
        <v>0</v>
      </c>
      <c r="X38" s="266">
        <v>0</v>
      </c>
      <c r="Y38" s="266">
        <v>198</v>
      </c>
      <c r="Z38" s="266">
        <v>0</v>
      </c>
      <c r="AA38" s="266">
        <v>0</v>
      </c>
      <c r="AB38" s="262"/>
      <c r="AC38" s="267">
        <v>1324</v>
      </c>
      <c r="AD38" s="265">
        <v>0</v>
      </c>
      <c r="AE38" s="266">
        <v>171</v>
      </c>
      <c r="AF38" s="266">
        <v>300</v>
      </c>
      <c r="AG38" s="266">
        <v>84</v>
      </c>
      <c r="AH38" s="266">
        <v>0</v>
      </c>
      <c r="AI38" s="268">
        <v>384</v>
      </c>
      <c r="AJ38" s="265">
        <v>0</v>
      </c>
      <c r="AK38" s="266">
        <v>0</v>
      </c>
      <c r="AL38" s="268">
        <v>0</v>
      </c>
      <c r="AM38" s="265">
        <v>0</v>
      </c>
      <c r="AN38" s="270"/>
      <c r="AO38" s="270"/>
    </row>
    <row r="39" spans="1:41" ht="12.75" customHeight="1">
      <c r="A39" s="239" t="s">
        <v>6</v>
      </c>
      <c r="B39" s="240" t="s">
        <v>53</v>
      </c>
      <c r="C39" s="241">
        <v>0.29625114294422433</v>
      </c>
      <c r="D39" s="242">
        <v>0.24935400516795866</v>
      </c>
      <c r="E39" s="242">
        <v>0.22926093514328807</v>
      </c>
      <c r="F39" s="242">
        <v>0.17158176943699732</v>
      </c>
      <c r="G39" s="242">
        <v>0</v>
      </c>
      <c r="H39" s="243">
        <v>0.3380281690140845</v>
      </c>
      <c r="I39" s="242"/>
      <c r="J39" s="529">
        <v>0.2777289699099495</v>
      </c>
      <c r="K39" s="241">
        <v>0</v>
      </c>
      <c r="L39" s="242">
        <v>0</v>
      </c>
      <c r="M39" s="242">
        <v>0</v>
      </c>
      <c r="N39" s="243">
        <v>0</v>
      </c>
      <c r="O39" s="242"/>
      <c r="P39" s="241">
        <v>0</v>
      </c>
      <c r="Q39" s="342">
        <v>0</v>
      </c>
      <c r="R39" s="243">
        <v>0</v>
      </c>
      <c r="S39" s="243">
        <v>0</v>
      </c>
      <c r="T39" s="342">
        <v>0</v>
      </c>
      <c r="U39" s="244"/>
      <c r="V39" s="245">
        <v>1944</v>
      </c>
      <c r="W39" s="246">
        <v>193</v>
      </c>
      <c r="X39" s="246">
        <v>304</v>
      </c>
      <c r="Y39" s="246">
        <v>64</v>
      </c>
      <c r="Z39" s="246">
        <v>0</v>
      </c>
      <c r="AA39" s="246">
        <v>24</v>
      </c>
      <c r="AB39" s="242"/>
      <c r="AC39" s="247">
        <v>2529</v>
      </c>
      <c r="AD39" s="245">
        <v>0</v>
      </c>
      <c r="AE39" s="246">
        <v>0</v>
      </c>
      <c r="AF39" s="246">
        <v>0</v>
      </c>
      <c r="AG39" s="246">
        <v>0</v>
      </c>
      <c r="AH39" s="246">
        <v>0</v>
      </c>
      <c r="AI39" s="248">
        <v>0</v>
      </c>
      <c r="AJ39" s="245">
        <v>0</v>
      </c>
      <c r="AK39" s="246">
        <v>0</v>
      </c>
      <c r="AL39" s="248">
        <v>0</v>
      </c>
      <c r="AM39" s="245">
        <v>0</v>
      </c>
    </row>
    <row r="40" spans="1:41" ht="12.75" customHeight="1">
      <c r="A40" s="249"/>
      <c r="B40" s="239" t="s">
        <v>93</v>
      </c>
      <c r="C40" s="250">
        <v>0.28588844864370616</v>
      </c>
      <c r="D40" s="251">
        <v>0.29715762273901808</v>
      </c>
      <c r="E40" s="251">
        <v>0.30392156862745096</v>
      </c>
      <c r="F40" s="251">
        <v>0.2546916890080429</v>
      </c>
      <c r="G40" s="251">
        <v>0</v>
      </c>
      <c r="H40" s="252">
        <v>0.3380281690140845</v>
      </c>
      <c r="I40" s="251"/>
      <c r="J40" s="530">
        <v>0.28860092246870195</v>
      </c>
      <c r="K40" s="250">
        <v>0</v>
      </c>
      <c r="L40" s="251">
        <v>0</v>
      </c>
      <c r="M40" s="251">
        <v>0</v>
      </c>
      <c r="N40" s="252">
        <v>0</v>
      </c>
      <c r="O40" s="251"/>
      <c r="P40" s="250">
        <v>0</v>
      </c>
      <c r="Q40" s="250">
        <v>0</v>
      </c>
      <c r="R40" s="252">
        <v>0</v>
      </c>
      <c r="S40" s="252">
        <v>0</v>
      </c>
      <c r="T40" s="250">
        <v>0</v>
      </c>
      <c r="U40" s="253"/>
      <c r="V40" s="254">
        <v>1876</v>
      </c>
      <c r="W40" s="255">
        <v>230</v>
      </c>
      <c r="X40" s="255">
        <v>403</v>
      </c>
      <c r="Y40" s="255">
        <v>95</v>
      </c>
      <c r="Z40" s="255">
        <v>0</v>
      </c>
      <c r="AA40" s="255">
        <v>24</v>
      </c>
      <c r="AB40" s="251"/>
      <c r="AC40" s="256">
        <v>2628</v>
      </c>
      <c r="AD40" s="254">
        <v>0</v>
      </c>
      <c r="AE40" s="255">
        <v>0</v>
      </c>
      <c r="AF40" s="255">
        <v>0</v>
      </c>
      <c r="AG40" s="255">
        <v>0</v>
      </c>
      <c r="AH40" s="255">
        <v>0</v>
      </c>
      <c r="AI40" s="257">
        <v>0</v>
      </c>
      <c r="AJ40" s="254">
        <v>0</v>
      </c>
      <c r="AK40" s="255">
        <v>0</v>
      </c>
      <c r="AL40" s="257">
        <v>0</v>
      </c>
      <c r="AM40" s="254">
        <v>0</v>
      </c>
    </row>
    <row r="41" spans="1:41" ht="12.75" customHeight="1">
      <c r="A41" s="249"/>
      <c r="B41" s="239" t="s">
        <v>55</v>
      </c>
      <c r="C41" s="250">
        <v>0.23559890277354464</v>
      </c>
      <c r="D41" s="251">
        <v>0.2144702842377261</v>
      </c>
      <c r="E41" s="251">
        <v>0.29260935143288086</v>
      </c>
      <c r="F41" s="251">
        <v>0.33243967828418231</v>
      </c>
      <c r="G41" s="251">
        <v>0</v>
      </c>
      <c r="H41" s="252">
        <v>0.30985915492957744</v>
      </c>
      <c r="I41" s="251"/>
      <c r="J41" s="530">
        <v>0.24665056007028333</v>
      </c>
      <c r="K41" s="250">
        <v>0</v>
      </c>
      <c r="L41" s="251">
        <v>0</v>
      </c>
      <c r="M41" s="251">
        <v>0</v>
      </c>
      <c r="N41" s="252">
        <v>0</v>
      </c>
      <c r="O41" s="251"/>
      <c r="P41" s="250">
        <v>0</v>
      </c>
      <c r="Q41" s="250">
        <v>0</v>
      </c>
      <c r="R41" s="252">
        <v>0</v>
      </c>
      <c r="S41" s="252">
        <v>0</v>
      </c>
      <c r="T41" s="250">
        <v>0</v>
      </c>
      <c r="U41" s="253"/>
      <c r="V41" s="254">
        <v>1546</v>
      </c>
      <c r="W41" s="255">
        <v>166</v>
      </c>
      <c r="X41" s="255">
        <v>388</v>
      </c>
      <c r="Y41" s="255">
        <v>124</v>
      </c>
      <c r="Z41" s="255">
        <v>0</v>
      </c>
      <c r="AA41" s="255">
        <v>22</v>
      </c>
      <c r="AB41" s="251"/>
      <c r="AC41" s="256">
        <v>2246</v>
      </c>
      <c r="AD41" s="254">
        <v>0</v>
      </c>
      <c r="AE41" s="255">
        <v>0</v>
      </c>
      <c r="AF41" s="255">
        <v>0</v>
      </c>
      <c r="AG41" s="255">
        <v>0</v>
      </c>
      <c r="AH41" s="255">
        <v>0</v>
      </c>
      <c r="AI41" s="257">
        <v>0</v>
      </c>
      <c r="AJ41" s="254">
        <v>0</v>
      </c>
      <c r="AK41" s="255">
        <v>0</v>
      </c>
      <c r="AL41" s="257">
        <v>0</v>
      </c>
      <c r="AM41" s="254">
        <v>0</v>
      </c>
    </row>
    <row r="42" spans="1:41" ht="12.75" customHeight="1">
      <c r="A42" s="249"/>
      <c r="B42" s="239" t="s">
        <v>78</v>
      </c>
      <c r="C42" s="250">
        <v>0.10042669917708016</v>
      </c>
      <c r="D42" s="251">
        <v>0.23514211886304909</v>
      </c>
      <c r="E42" s="251">
        <v>0.14027149321266968</v>
      </c>
      <c r="F42" s="251">
        <v>0.24128686327077747</v>
      </c>
      <c r="G42" s="251">
        <v>0</v>
      </c>
      <c r="H42" s="252">
        <v>1.4084507042253521E-2</v>
      </c>
      <c r="I42" s="251"/>
      <c r="J42" s="530">
        <v>0.12277619152207336</v>
      </c>
      <c r="K42" s="250">
        <v>0</v>
      </c>
      <c r="L42" s="251">
        <v>0</v>
      </c>
      <c r="M42" s="251">
        <v>0</v>
      </c>
      <c r="N42" s="252">
        <v>0</v>
      </c>
      <c r="O42" s="251"/>
      <c r="P42" s="250">
        <v>0</v>
      </c>
      <c r="Q42" s="250">
        <v>0</v>
      </c>
      <c r="R42" s="252">
        <v>0</v>
      </c>
      <c r="S42" s="252">
        <v>0</v>
      </c>
      <c r="T42" s="250">
        <v>0</v>
      </c>
      <c r="U42" s="253"/>
      <c r="V42" s="254">
        <v>659</v>
      </c>
      <c r="W42" s="255">
        <v>182</v>
      </c>
      <c r="X42" s="255">
        <v>186</v>
      </c>
      <c r="Y42" s="255">
        <v>90</v>
      </c>
      <c r="Z42" s="255">
        <v>0</v>
      </c>
      <c r="AA42" s="255">
        <v>1</v>
      </c>
      <c r="AB42" s="251"/>
      <c r="AC42" s="256">
        <v>1118</v>
      </c>
      <c r="AD42" s="254">
        <v>0</v>
      </c>
      <c r="AE42" s="255">
        <v>0</v>
      </c>
      <c r="AF42" s="255">
        <v>0</v>
      </c>
      <c r="AG42" s="255">
        <v>0</v>
      </c>
      <c r="AH42" s="255">
        <v>0</v>
      </c>
      <c r="AI42" s="257">
        <v>0</v>
      </c>
      <c r="AJ42" s="254">
        <v>0</v>
      </c>
      <c r="AK42" s="255">
        <v>0</v>
      </c>
      <c r="AL42" s="257">
        <v>0</v>
      </c>
      <c r="AM42" s="254">
        <v>0</v>
      </c>
    </row>
    <row r="43" spans="1:41" ht="12.75" customHeight="1">
      <c r="A43" s="249"/>
      <c r="B43" s="782" t="s">
        <v>131</v>
      </c>
      <c r="C43" s="581">
        <v>8.1834806461444684E-2</v>
      </c>
      <c r="D43" s="582">
        <v>3.875968992248062E-3</v>
      </c>
      <c r="E43" s="582">
        <v>3.3936651583710405E-2</v>
      </c>
      <c r="F43" s="582">
        <v>0</v>
      </c>
      <c r="G43" s="582">
        <v>0</v>
      </c>
      <c r="H43" s="583">
        <v>0</v>
      </c>
      <c r="I43" s="582"/>
      <c r="J43" s="783">
        <v>6.424335602899188E-2</v>
      </c>
      <c r="K43" s="581">
        <v>0</v>
      </c>
      <c r="L43" s="582">
        <v>1</v>
      </c>
      <c r="M43" s="582">
        <v>1</v>
      </c>
      <c r="N43" s="583">
        <v>1</v>
      </c>
      <c r="O43" s="582"/>
      <c r="P43" s="581">
        <v>1</v>
      </c>
      <c r="Q43" s="581">
        <v>0</v>
      </c>
      <c r="R43" s="583">
        <v>0</v>
      </c>
      <c r="S43" s="583">
        <v>0</v>
      </c>
      <c r="T43" s="581">
        <v>0</v>
      </c>
      <c r="U43" s="253"/>
      <c r="V43" s="895"/>
      <c r="W43" s="896"/>
      <c r="X43" s="896"/>
      <c r="Y43" s="896"/>
      <c r="Z43" s="896"/>
      <c r="AA43" s="896"/>
      <c r="AB43" s="899"/>
      <c r="AC43" s="898"/>
      <c r="AD43" s="895"/>
      <c r="AE43" s="896"/>
      <c r="AF43" s="896"/>
      <c r="AG43" s="896"/>
      <c r="AH43" s="896"/>
      <c r="AI43" s="900"/>
      <c r="AJ43" s="895"/>
      <c r="AK43" s="896"/>
      <c r="AL43" s="900"/>
      <c r="AM43" s="895"/>
    </row>
    <row r="44" spans="1:41" s="527" customFormat="1" ht="12.75" customHeight="1">
      <c r="A44" s="435"/>
      <c r="B44" s="436" t="s">
        <v>59</v>
      </c>
      <c r="C44" s="261">
        <v>1</v>
      </c>
      <c r="D44" s="262">
        <v>1</v>
      </c>
      <c r="E44" s="262">
        <v>1</v>
      </c>
      <c r="F44" s="262">
        <v>1</v>
      </c>
      <c r="G44" s="262">
        <v>0</v>
      </c>
      <c r="H44" s="263">
        <v>1</v>
      </c>
      <c r="I44" s="262"/>
      <c r="J44" s="531">
        <v>1</v>
      </c>
      <c r="K44" s="261">
        <v>0</v>
      </c>
      <c r="L44" s="262">
        <v>1</v>
      </c>
      <c r="M44" s="262">
        <v>1</v>
      </c>
      <c r="N44" s="263">
        <v>1</v>
      </c>
      <c r="O44" s="262"/>
      <c r="P44" s="261">
        <v>1</v>
      </c>
      <c r="Q44" s="261">
        <v>0</v>
      </c>
      <c r="R44" s="263">
        <v>0</v>
      </c>
      <c r="S44" s="263">
        <v>0</v>
      </c>
      <c r="T44" s="261">
        <v>0</v>
      </c>
      <c r="U44" s="264"/>
      <c r="V44" s="265">
        <v>6562</v>
      </c>
      <c r="W44" s="266">
        <v>774</v>
      </c>
      <c r="X44" s="266">
        <v>1326</v>
      </c>
      <c r="Y44" s="266">
        <v>373</v>
      </c>
      <c r="Z44" s="266">
        <v>0</v>
      </c>
      <c r="AA44" s="266">
        <v>71</v>
      </c>
      <c r="AB44" s="262"/>
      <c r="AC44" s="267">
        <v>9106</v>
      </c>
      <c r="AD44" s="265">
        <v>0</v>
      </c>
      <c r="AE44" s="266">
        <v>171</v>
      </c>
      <c r="AF44" s="266">
        <v>300</v>
      </c>
      <c r="AG44" s="266">
        <v>84</v>
      </c>
      <c r="AH44" s="266">
        <v>0</v>
      </c>
      <c r="AI44" s="268">
        <v>5493</v>
      </c>
      <c r="AJ44" s="265">
        <v>0</v>
      </c>
      <c r="AK44" s="266">
        <v>0</v>
      </c>
      <c r="AL44" s="268">
        <v>0</v>
      </c>
      <c r="AM44" s="265">
        <v>0</v>
      </c>
      <c r="AN44" s="270"/>
      <c r="AO44" s="270"/>
    </row>
    <row r="45" spans="1:41" ht="12.75" customHeight="1">
      <c r="A45" s="239" t="s">
        <v>7</v>
      </c>
      <c r="B45" s="240" t="s">
        <v>53</v>
      </c>
      <c r="C45" s="241">
        <v>0.31588319088319089</v>
      </c>
      <c r="D45" s="242">
        <v>0.42153846153846153</v>
      </c>
      <c r="E45" s="242">
        <v>0.24373854612095297</v>
      </c>
      <c r="F45" s="242">
        <v>0.20443925233644861</v>
      </c>
      <c r="G45" s="242">
        <v>0.22272215973003376</v>
      </c>
      <c r="H45" s="243">
        <v>0.13910761154855644</v>
      </c>
      <c r="I45" s="242"/>
      <c r="J45" s="529">
        <v>0.27350630802189957</v>
      </c>
      <c r="K45" s="241">
        <v>0</v>
      </c>
      <c r="L45" s="242">
        <v>0</v>
      </c>
      <c r="M45" s="242">
        <v>0</v>
      </c>
      <c r="N45" s="243">
        <v>0</v>
      </c>
      <c r="O45" s="242"/>
      <c r="P45" s="241">
        <v>0.11085316308763785</v>
      </c>
      <c r="Q45" s="342">
        <v>0</v>
      </c>
      <c r="R45" s="243">
        <v>0</v>
      </c>
      <c r="S45" s="243">
        <v>0</v>
      </c>
      <c r="T45" s="342">
        <v>0</v>
      </c>
      <c r="U45" s="244"/>
      <c r="V45" s="245">
        <v>887</v>
      </c>
      <c r="W45" s="246">
        <v>411</v>
      </c>
      <c r="X45" s="246">
        <v>399</v>
      </c>
      <c r="Y45" s="246">
        <v>350</v>
      </c>
      <c r="Z45" s="246">
        <v>198</v>
      </c>
      <c r="AA45" s="246">
        <v>53</v>
      </c>
      <c r="AB45" s="242"/>
      <c r="AC45" s="247">
        <v>2298</v>
      </c>
      <c r="AD45" s="245">
        <v>0</v>
      </c>
      <c r="AE45" s="246">
        <v>0</v>
      </c>
      <c r="AF45" s="246">
        <v>0</v>
      </c>
      <c r="AG45" s="246">
        <v>0</v>
      </c>
      <c r="AH45" s="246">
        <v>0</v>
      </c>
      <c r="AI45" s="248">
        <v>191</v>
      </c>
      <c r="AJ45" s="245">
        <v>0</v>
      </c>
      <c r="AK45" s="246">
        <v>0</v>
      </c>
      <c r="AL45" s="248">
        <v>0</v>
      </c>
      <c r="AM45" s="245">
        <v>0</v>
      </c>
    </row>
    <row r="46" spans="1:41" ht="12.75" customHeight="1">
      <c r="A46" s="249"/>
      <c r="B46" s="239" t="s">
        <v>93</v>
      </c>
      <c r="C46" s="250">
        <v>0.28062678062678065</v>
      </c>
      <c r="D46" s="251">
        <v>0.24717948717948718</v>
      </c>
      <c r="E46" s="251">
        <v>0.24434941967012827</v>
      </c>
      <c r="F46" s="251">
        <v>0.23539719626168223</v>
      </c>
      <c r="G46" s="251">
        <v>0.22609673790776152</v>
      </c>
      <c r="H46" s="252">
        <v>0.32545931758530183</v>
      </c>
      <c r="I46" s="251"/>
      <c r="J46" s="530">
        <v>0.25672458938348014</v>
      </c>
      <c r="K46" s="250">
        <v>0</v>
      </c>
      <c r="L46" s="251">
        <v>0</v>
      </c>
      <c r="M46" s="251">
        <v>0</v>
      </c>
      <c r="N46" s="252">
        <v>0</v>
      </c>
      <c r="O46" s="251"/>
      <c r="P46" s="250">
        <v>0.25478816018572259</v>
      </c>
      <c r="Q46" s="250">
        <v>0</v>
      </c>
      <c r="R46" s="252">
        <v>0</v>
      </c>
      <c r="S46" s="252">
        <v>0</v>
      </c>
      <c r="T46" s="250">
        <v>0</v>
      </c>
      <c r="U46" s="253"/>
      <c r="V46" s="254">
        <v>788</v>
      </c>
      <c r="W46" s="255">
        <v>241</v>
      </c>
      <c r="X46" s="255">
        <v>400</v>
      </c>
      <c r="Y46" s="255">
        <v>403</v>
      </c>
      <c r="Z46" s="255">
        <v>201</v>
      </c>
      <c r="AA46" s="255">
        <v>124</v>
      </c>
      <c r="AB46" s="251"/>
      <c r="AC46" s="256">
        <v>2157</v>
      </c>
      <c r="AD46" s="254">
        <v>0</v>
      </c>
      <c r="AE46" s="255">
        <v>0</v>
      </c>
      <c r="AF46" s="255">
        <v>0</v>
      </c>
      <c r="AG46" s="255">
        <v>0</v>
      </c>
      <c r="AH46" s="255">
        <v>0</v>
      </c>
      <c r="AI46" s="257">
        <v>439</v>
      </c>
      <c r="AJ46" s="254">
        <v>0</v>
      </c>
      <c r="AK46" s="255">
        <v>0</v>
      </c>
      <c r="AL46" s="257">
        <v>0</v>
      </c>
      <c r="AM46" s="254">
        <v>0</v>
      </c>
    </row>
    <row r="47" spans="1:41" ht="12.75" customHeight="1">
      <c r="A47" s="249"/>
      <c r="B47" s="239" t="s">
        <v>55</v>
      </c>
      <c r="C47" s="250">
        <v>0.27314814814814814</v>
      </c>
      <c r="D47" s="251">
        <v>0.2287179487179487</v>
      </c>
      <c r="E47" s="251">
        <v>0.337202199144777</v>
      </c>
      <c r="F47" s="251">
        <v>0.3855140186915888</v>
      </c>
      <c r="G47" s="251">
        <v>0.36782902137232848</v>
      </c>
      <c r="H47" s="252">
        <v>0.41994750656167978</v>
      </c>
      <c r="I47" s="251"/>
      <c r="J47" s="530">
        <v>0.3200428469412045</v>
      </c>
      <c r="K47" s="250">
        <v>0</v>
      </c>
      <c r="L47" s="251">
        <v>0</v>
      </c>
      <c r="M47" s="251">
        <v>0</v>
      </c>
      <c r="N47" s="252">
        <v>0</v>
      </c>
      <c r="O47" s="251"/>
      <c r="P47" s="250">
        <v>0.36157864190365641</v>
      </c>
      <c r="Q47" s="250">
        <v>0</v>
      </c>
      <c r="R47" s="252">
        <v>0</v>
      </c>
      <c r="S47" s="252">
        <v>0</v>
      </c>
      <c r="T47" s="250">
        <v>0</v>
      </c>
      <c r="U47" s="253"/>
      <c r="V47" s="254">
        <v>767</v>
      </c>
      <c r="W47" s="255">
        <v>223</v>
      </c>
      <c r="X47" s="255">
        <v>552</v>
      </c>
      <c r="Y47" s="255">
        <v>660</v>
      </c>
      <c r="Z47" s="255">
        <v>327</v>
      </c>
      <c r="AA47" s="255">
        <v>160</v>
      </c>
      <c r="AB47" s="251"/>
      <c r="AC47" s="256">
        <v>2689</v>
      </c>
      <c r="AD47" s="254">
        <v>0</v>
      </c>
      <c r="AE47" s="255">
        <v>0</v>
      </c>
      <c r="AF47" s="255">
        <v>0</v>
      </c>
      <c r="AG47" s="255">
        <v>0</v>
      </c>
      <c r="AH47" s="255">
        <v>0</v>
      </c>
      <c r="AI47" s="257">
        <v>623</v>
      </c>
      <c r="AJ47" s="254">
        <v>0</v>
      </c>
      <c r="AK47" s="255">
        <v>0</v>
      </c>
      <c r="AL47" s="257">
        <v>0</v>
      </c>
      <c r="AM47" s="254">
        <v>0</v>
      </c>
    </row>
    <row r="48" spans="1:41" ht="12.75" customHeight="1">
      <c r="A48" s="249"/>
      <c r="B48" s="239" t="s">
        <v>78</v>
      </c>
      <c r="C48" s="250">
        <v>3.7749287749287749E-2</v>
      </c>
      <c r="D48" s="251">
        <v>2.6666666666666668E-2</v>
      </c>
      <c r="E48" s="251">
        <v>0.13500305436774587</v>
      </c>
      <c r="F48" s="251">
        <v>9.2289719626168221E-2</v>
      </c>
      <c r="G48" s="251">
        <v>0.12823397075365578</v>
      </c>
      <c r="H48" s="252">
        <v>1.8372703412073491E-2</v>
      </c>
      <c r="I48" s="251"/>
      <c r="J48" s="530">
        <v>7.5220185670078557E-2</v>
      </c>
      <c r="K48" s="250">
        <v>0</v>
      </c>
      <c r="L48" s="251">
        <v>0</v>
      </c>
      <c r="M48" s="251">
        <v>0</v>
      </c>
      <c r="N48" s="252">
        <v>0</v>
      </c>
      <c r="O48" s="251"/>
      <c r="P48" s="250">
        <v>0.2199651770168311</v>
      </c>
      <c r="Q48" s="250">
        <v>0</v>
      </c>
      <c r="R48" s="252">
        <v>0</v>
      </c>
      <c r="S48" s="252">
        <v>0</v>
      </c>
      <c r="T48" s="250">
        <v>0</v>
      </c>
      <c r="U48" s="253"/>
      <c r="V48" s="254">
        <v>106</v>
      </c>
      <c r="W48" s="255">
        <v>26</v>
      </c>
      <c r="X48" s="255">
        <v>221</v>
      </c>
      <c r="Y48" s="255">
        <v>158</v>
      </c>
      <c r="Z48" s="255">
        <v>114</v>
      </c>
      <c r="AA48" s="255">
        <v>7</v>
      </c>
      <c r="AB48" s="251"/>
      <c r="AC48" s="256">
        <v>632</v>
      </c>
      <c r="AD48" s="254">
        <v>0</v>
      </c>
      <c r="AE48" s="255">
        <v>0</v>
      </c>
      <c r="AF48" s="255">
        <v>0</v>
      </c>
      <c r="AG48" s="255">
        <v>0</v>
      </c>
      <c r="AH48" s="255">
        <v>0</v>
      </c>
      <c r="AI48" s="257">
        <v>379</v>
      </c>
      <c r="AJ48" s="254">
        <v>0</v>
      </c>
      <c r="AK48" s="255">
        <v>0</v>
      </c>
      <c r="AL48" s="257">
        <v>0</v>
      </c>
      <c r="AM48" s="254">
        <v>0</v>
      </c>
    </row>
    <row r="49" spans="1:41" ht="12.75" customHeight="1">
      <c r="A49" s="249"/>
      <c r="B49" s="782" t="s">
        <v>131</v>
      </c>
      <c r="C49" s="581">
        <v>9.2592592592592587E-2</v>
      </c>
      <c r="D49" s="582">
        <v>7.5897435897435903E-2</v>
      </c>
      <c r="E49" s="582">
        <v>3.9706780696395848E-2</v>
      </c>
      <c r="F49" s="582">
        <v>8.2359813084112152E-2</v>
      </c>
      <c r="G49" s="582">
        <v>5.5118110236220472E-2</v>
      </c>
      <c r="H49" s="583">
        <v>9.711286089238845E-2</v>
      </c>
      <c r="I49" s="582"/>
      <c r="J49" s="783">
        <v>7.4506069983337295E-2</v>
      </c>
      <c r="K49" s="581">
        <v>0</v>
      </c>
      <c r="L49" s="582">
        <v>1</v>
      </c>
      <c r="M49" s="582">
        <v>1</v>
      </c>
      <c r="N49" s="583">
        <v>1</v>
      </c>
      <c r="O49" s="582"/>
      <c r="P49" s="581">
        <v>5.2814857806152062E-2</v>
      </c>
      <c r="Q49" s="581">
        <v>1</v>
      </c>
      <c r="R49" s="583">
        <v>1</v>
      </c>
      <c r="S49" s="583">
        <v>0</v>
      </c>
      <c r="T49" s="581">
        <v>1</v>
      </c>
      <c r="U49" s="253"/>
      <c r="V49" s="895"/>
      <c r="W49" s="896"/>
      <c r="X49" s="896"/>
      <c r="Y49" s="896"/>
      <c r="Z49" s="896"/>
      <c r="AA49" s="896"/>
      <c r="AB49" s="899"/>
      <c r="AC49" s="898"/>
      <c r="AD49" s="895"/>
      <c r="AE49" s="896"/>
      <c r="AF49" s="896"/>
      <c r="AG49" s="896"/>
      <c r="AH49" s="896"/>
      <c r="AI49" s="900"/>
      <c r="AJ49" s="895"/>
      <c r="AK49" s="896"/>
      <c r="AL49" s="900"/>
      <c r="AM49" s="895"/>
    </row>
    <row r="50" spans="1:41" s="527" customFormat="1" ht="12.75" customHeight="1">
      <c r="A50" s="435"/>
      <c r="B50" s="436" t="s">
        <v>59</v>
      </c>
      <c r="C50" s="261">
        <v>1</v>
      </c>
      <c r="D50" s="262">
        <v>1</v>
      </c>
      <c r="E50" s="262">
        <v>1</v>
      </c>
      <c r="F50" s="262">
        <v>1</v>
      </c>
      <c r="G50" s="262">
        <v>1</v>
      </c>
      <c r="H50" s="263">
        <v>1</v>
      </c>
      <c r="I50" s="262"/>
      <c r="J50" s="531">
        <v>1</v>
      </c>
      <c r="K50" s="261">
        <v>0</v>
      </c>
      <c r="L50" s="262">
        <v>1</v>
      </c>
      <c r="M50" s="262">
        <v>1</v>
      </c>
      <c r="N50" s="263">
        <v>1</v>
      </c>
      <c r="O50" s="262"/>
      <c r="P50" s="261">
        <v>1</v>
      </c>
      <c r="Q50" s="261">
        <v>1</v>
      </c>
      <c r="R50" s="263">
        <v>1</v>
      </c>
      <c r="S50" s="263">
        <v>0</v>
      </c>
      <c r="T50" s="261">
        <v>1</v>
      </c>
      <c r="U50" s="264"/>
      <c r="V50" s="265">
        <v>2808</v>
      </c>
      <c r="W50" s="266">
        <v>975</v>
      </c>
      <c r="X50" s="266">
        <v>1637</v>
      </c>
      <c r="Y50" s="266">
        <v>1712</v>
      </c>
      <c r="Z50" s="266">
        <v>889</v>
      </c>
      <c r="AA50" s="266">
        <v>381</v>
      </c>
      <c r="AB50" s="262"/>
      <c r="AC50" s="267">
        <v>8402</v>
      </c>
      <c r="AD50" s="265">
        <v>0</v>
      </c>
      <c r="AE50" s="266">
        <v>171</v>
      </c>
      <c r="AF50" s="266">
        <v>300</v>
      </c>
      <c r="AG50" s="266">
        <v>84</v>
      </c>
      <c r="AH50" s="266">
        <v>0</v>
      </c>
      <c r="AI50" s="268">
        <v>1723</v>
      </c>
      <c r="AJ50" s="265">
        <v>2249</v>
      </c>
      <c r="AK50" s="266">
        <v>29</v>
      </c>
      <c r="AL50" s="268">
        <v>0</v>
      </c>
      <c r="AM50" s="265">
        <v>2278</v>
      </c>
      <c r="AN50" s="270"/>
      <c r="AO50" s="270"/>
    </row>
    <row r="51" spans="1:41" ht="12.75" customHeight="1">
      <c r="A51" s="239" t="s">
        <v>8</v>
      </c>
      <c r="B51" s="240" t="s">
        <v>53</v>
      </c>
      <c r="C51" s="241">
        <v>0.34345265065700048</v>
      </c>
      <c r="D51" s="242">
        <v>0</v>
      </c>
      <c r="E51" s="242">
        <v>0.2014821676702177</v>
      </c>
      <c r="F51" s="242">
        <v>0.16972477064220184</v>
      </c>
      <c r="G51" s="242">
        <v>0</v>
      </c>
      <c r="H51" s="243">
        <v>0</v>
      </c>
      <c r="I51" s="242"/>
      <c r="J51" s="529">
        <v>0.25976095617529882</v>
      </c>
      <c r="K51" s="241">
        <v>0</v>
      </c>
      <c r="L51" s="242">
        <v>0</v>
      </c>
      <c r="M51" s="242">
        <v>0</v>
      </c>
      <c r="N51" s="243">
        <v>0</v>
      </c>
      <c r="O51" s="242"/>
      <c r="P51" s="241">
        <v>0.34140845070422537</v>
      </c>
      <c r="Q51" s="241">
        <v>6.3291139240506333E-2</v>
      </c>
      <c r="R51" s="243">
        <v>0</v>
      </c>
      <c r="S51" s="243">
        <v>0</v>
      </c>
      <c r="T51" s="241">
        <v>6.3291139240506333E-2</v>
      </c>
      <c r="U51" s="244"/>
      <c r="V51" s="245">
        <v>758</v>
      </c>
      <c r="W51" s="246">
        <v>0</v>
      </c>
      <c r="X51" s="246">
        <v>435</v>
      </c>
      <c r="Y51" s="246">
        <v>111</v>
      </c>
      <c r="Z51" s="246">
        <v>0</v>
      </c>
      <c r="AA51" s="246">
        <v>0</v>
      </c>
      <c r="AB51" s="242"/>
      <c r="AC51" s="247">
        <v>1304</v>
      </c>
      <c r="AD51" s="245">
        <v>0</v>
      </c>
      <c r="AE51" s="246">
        <v>0</v>
      </c>
      <c r="AF51" s="246">
        <v>0</v>
      </c>
      <c r="AG51" s="246">
        <v>0</v>
      </c>
      <c r="AH51" s="246">
        <v>0</v>
      </c>
      <c r="AI51" s="248">
        <v>606</v>
      </c>
      <c r="AJ51" s="245">
        <v>10</v>
      </c>
      <c r="AK51" s="246">
        <v>0</v>
      </c>
      <c r="AL51" s="248">
        <v>0</v>
      </c>
      <c r="AM51" s="245">
        <v>10</v>
      </c>
    </row>
    <row r="52" spans="1:41" ht="12.75" customHeight="1">
      <c r="A52" s="249"/>
      <c r="B52" s="239" t="s">
        <v>93</v>
      </c>
      <c r="C52" s="250">
        <v>0.28001812415043043</v>
      </c>
      <c r="D52" s="251">
        <v>0</v>
      </c>
      <c r="E52" s="251">
        <v>0.26030569708198242</v>
      </c>
      <c r="F52" s="251">
        <v>0.29357798165137616</v>
      </c>
      <c r="G52" s="251">
        <v>0</v>
      </c>
      <c r="H52" s="252">
        <v>0</v>
      </c>
      <c r="I52" s="251"/>
      <c r="J52" s="530">
        <v>0.27330677290836652</v>
      </c>
      <c r="K52" s="250">
        <v>0</v>
      </c>
      <c r="L52" s="251">
        <v>0</v>
      </c>
      <c r="M52" s="251">
        <v>0</v>
      </c>
      <c r="N52" s="252">
        <v>0</v>
      </c>
      <c r="O52" s="251"/>
      <c r="P52" s="250">
        <v>0.33577464788732392</v>
      </c>
      <c r="Q52" s="250">
        <v>0.25316455696202533</v>
      </c>
      <c r="R52" s="252">
        <v>0</v>
      </c>
      <c r="S52" s="252">
        <v>0</v>
      </c>
      <c r="T52" s="250">
        <v>0.25316455696202533</v>
      </c>
      <c r="U52" s="253"/>
      <c r="V52" s="254">
        <v>618</v>
      </c>
      <c r="W52" s="255">
        <v>0</v>
      </c>
      <c r="X52" s="255">
        <v>562</v>
      </c>
      <c r="Y52" s="255">
        <v>192</v>
      </c>
      <c r="Z52" s="255">
        <v>0</v>
      </c>
      <c r="AA52" s="255">
        <v>0</v>
      </c>
      <c r="AB52" s="251"/>
      <c r="AC52" s="256">
        <v>1372</v>
      </c>
      <c r="AD52" s="254">
        <v>0</v>
      </c>
      <c r="AE52" s="255">
        <v>0</v>
      </c>
      <c r="AF52" s="255">
        <v>0</v>
      </c>
      <c r="AG52" s="255">
        <v>0</v>
      </c>
      <c r="AH52" s="255">
        <v>0</v>
      </c>
      <c r="AI52" s="257">
        <v>596</v>
      </c>
      <c r="AJ52" s="254">
        <v>40</v>
      </c>
      <c r="AK52" s="255">
        <v>0</v>
      </c>
      <c r="AL52" s="257">
        <v>0</v>
      </c>
      <c r="AM52" s="254">
        <v>40</v>
      </c>
    </row>
    <row r="53" spans="1:41" ht="12.75" customHeight="1">
      <c r="A53" s="249"/>
      <c r="B53" s="239" t="s">
        <v>55</v>
      </c>
      <c r="C53" s="250">
        <v>0.26506570004531038</v>
      </c>
      <c r="D53" s="251">
        <v>0</v>
      </c>
      <c r="E53" s="251">
        <v>0.28392774432607687</v>
      </c>
      <c r="F53" s="251">
        <v>0.29051987767584098</v>
      </c>
      <c r="G53" s="251">
        <v>0</v>
      </c>
      <c r="H53" s="252">
        <v>0</v>
      </c>
      <c r="I53" s="251"/>
      <c r="J53" s="530">
        <v>0.27649402390438249</v>
      </c>
      <c r="K53" s="250">
        <v>0</v>
      </c>
      <c r="L53" s="251">
        <v>0</v>
      </c>
      <c r="M53" s="251">
        <v>0</v>
      </c>
      <c r="N53" s="252">
        <v>0</v>
      </c>
      <c r="O53" s="251"/>
      <c r="P53" s="250">
        <v>0.13464788732394367</v>
      </c>
      <c r="Q53" s="250">
        <v>0.23417721518987342</v>
      </c>
      <c r="R53" s="252">
        <v>0</v>
      </c>
      <c r="S53" s="252">
        <v>0</v>
      </c>
      <c r="T53" s="250">
        <v>0.23417721518987342</v>
      </c>
      <c r="U53" s="253"/>
      <c r="V53" s="254">
        <v>585</v>
      </c>
      <c r="W53" s="255">
        <v>0</v>
      </c>
      <c r="X53" s="255">
        <v>613</v>
      </c>
      <c r="Y53" s="255">
        <v>190</v>
      </c>
      <c r="Z53" s="255">
        <v>0</v>
      </c>
      <c r="AA53" s="255">
        <v>0</v>
      </c>
      <c r="AB53" s="251"/>
      <c r="AC53" s="256">
        <v>1388</v>
      </c>
      <c r="AD53" s="254">
        <v>0</v>
      </c>
      <c r="AE53" s="255">
        <v>0</v>
      </c>
      <c r="AF53" s="255">
        <v>0</v>
      </c>
      <c r="AG53" s="255">
        <v>0</v>
      </c>
      <c r="AH53" s="255">
        <v>0</v>
      </c>
      <c r="AI53" s="257">
        <v>239</v>
      </c>
      <c r="AJ53" s="254">
        <v>37</v>
      </c>
      <c r="AK53" s="255">
        <v>0</v>
      </c>
      <c r="AL53" s="257">
        <v>0</v>
      </c>
      <c r="AM53" s="254">
        <v>37</v>
      </c>
    </row>
    <row r="54" spans="1:41" ht="12.75" customHeight="1">
      <c r="A54" s="249"/>
      <c r="B54" s="239" t="s">
        <v>78</v>
      </c>
      <c r="C54" s="272">
        <v>4.2591753511554149E-2</v>
      </c>
      <c r="D54" s="251">
        <v>0</v>
      </c>
      <c r="E54" s="251">
        <v>0.12366836498378879</v>
      </c>
      <c r="F54" s="251">
        <v>2.7522935779816515E-2</v>
      </c>
      <c r="G54" s="251">
        <v>0</v>
      </c>
      <c r="H54" s="252">
        <v>0</v>
      </c>
      <c r="I54" s="251"/>
      <c r="J54" s="530">
        <v>7.5498007968127487E-2</v>
      </c>
      <c r="K54" s="250">
        <v>0</v>
      </c>
      <c r="L54" s="251">
        <v>0</v>
      </c>
      <c r="M54" s="251">
        <v>0</v>
      </c>
      <c r="N54" s="252">
        <v>0</v>
      </c>
      <c r="O54" s="251"/>
      <c r="P54" s="250">
        <v>0.18816901408450704</v>
      </c>
      <c r="Q54" s="250">
        <v>0.44936708860759494</v>
      </c>
      <c r="R54" s="252">
        <v>0</v>
      </c>
      <c r="S54" s="252">
        <v>0</v>
      </c>
      <c r="T54" s="250">
        <v>0.44936708860759494</v>
      </c>
      <c r="U54" s="253"/>
      <c r="V54" s="254">
        <v>94</v>
      </c>
      <c r="W54" s="255">
        <v>0</v>
      </c>
      <c r="X54" s="255">
        <v>267</v>
      </c>
      <c r="Y54" s="255">
        <v>18</v>
      </c>
      <c r="Z54" s="255">
        <v>0</v>
      </c>
      <c r="AA54" s="255">
        <v>0</v>
      </c>
      <c r="AB54" s="251"/>
      <c r="AC54" s="256">
        <v>379</v>
      </c>
      <c r="AD54" s="254">
        <v>0</v>
      </c>
      <c r="AE54" s="255">
        <v>0</v>
      </c>
      <c r="AF54" s="255">
        <v>0</v>
      </c>
      <c r="AG54" s="255">
        <v>0</v>
      </c>
      <c r="AH54" s="255">
        <v>0</v>
      </c>
      <c r="AI54" s="257">
        <v>334</v>
      </c>
      <c r="AJ54" s="254">
        <v>71</v>
      </c>
      <c r="AK54" s="255">
        <v>0</v>
      </c>
      <c r="AL54" s="257">
        <v>0</v>
      </c>
      <c r="AM54" s="254">
        <v>71</v>
      </c>
    </row>
    <row r="55" spans="1:41" ht="12.75" customHeight="1">
      <c r="A55" s="249"/>
      <c r="B55" s="782" t="s">
        <v>131</v>
      </c>
      <c r="C55" s="581">
        <v>6.8871771635704571E-2</v>
      </c>
      <c r="D55" s="582">
        <v>0</v>
      </c>
      <c r="E55" s="582">
        <v>0.13061602593793423</v>
      </c>
      <c r="F55" s="582">
        <v>0.21865443425076453</v>
      </c>
      <c r="G55" s="582">
        <v>0</v>
      </c>
      <c r="H55" s="583">
        <v>0</v>
      </c>
      <c r="I55" s="582"/>
      <c r="J55" s="783">
        <v>0.11494023904382471</v>
      </c>
      <c r="K55" s="581">
        <v>0</v>
      </c>
      <c r="L55" s="582">
        <v>1</v>
      </c>
      <c r="M55" s="582">
        <v>1</v>
      </c>
      <c r="N55" s="583">
        <v>1</v>
      </c>
      <c r="O55" s="582"/>
      <c r="P55" s="581">
        <v>0</v>
      </c>
      <c r="Q55" s="581">
        <v>0</v>
      </c>
      <c r="R55" s="583">
        <v>0</v>
      </c>
      <c r="S55" s="583">
        <v>0</v>
      </c>
      <c r="T55" s="581">
        <v>0</v>
      </c>
      <c r="U55" s="253"/>
      <c r="V55" s="895"/>
      <c r="W55" s="896"/>
      <c r="X55" s="896"/>
      <c r="Y55" s="896"/>
      <c r="Z55" s="896"/>
      <c r="AA55" s="896"/>
      <c r="AB55" s="899"/>
      <c r="AC55" s="898"/>
      <c r="AD55" s="895"/>
      <c r="AE55" s="896"/>
      <c r="AF55" s="896"/>
      <c r="AG55" s="896"/>
      <c r="AH55" s="896"/>
      <c r="AI55" s="900"/>
      <c r="AJ55" s="895"/>
      <c r="AK55" s="896"/>
      <c r="AL55" s="900"/>
      <c r="AM55" s="895"/>
    </row>
    <row r="56" spans="1:41" s="527" customFormat="1" ht="12.75" customHeight="1">
      <c r="A56" s="435"/>
      <c r="B56" s="436" t="s">
        <v>59</v>
      </c>
      <c r="C56" s="261">
        <v>1</v>
      </c>
      <c r="D56" s="262">
        <v>0</v>
      </c>
      <c r="E56" s="262">
        <v>1</v>
      </c>
      <c r="F56" s="262">
        <v>1</v>
      </c>
      <c r="G56" s="262">
        <v>0</v>
      </c>
      <c r="H56" s="263">
        <v>0</v>
      </c>
      <c r="I56" s="262"/>
      <c r="J56" s="531">
        <v>1</v>
      </c>
      <c r="K56" s="261">
        <v>0</v>
      </c>
      <c r="L56" s="262">
        <v>1</v>
      </c>
      <c r="M56" s="262">
        <v>1</v>
      </c>
      <c r="N56" s="263">
        <v>1</v>
      </c>
      <c r="O56" s="262"/>
      <c r="P56" s="261">
        <v>1</v>
      </c>
      <c r="Q56" s="261">
        <v>1</v>
      </c>
      <c r="R56" s="263">
        <v>0</v>
      </c>
      <c r="S56" s="263">
        <v>0</v>
      </c>
      <c r="T56" s="261">
        <v>1</v>
      </c>
      <c r="U56" s="264"/>
      <c r="V56" s="265">
        <v>2207</v>
      </c>
      <c r="W56" s="266">
        <v>0</v>
      </c>
      <c r="X56" s="266">
        <v>2159</v>
      </c>
      <c r="Y56" s="266">
        <v>654</v>
      </c>
      <c r="Z56" s="266">
        <v>0</v>
      </c>
      <c r="AA56" s="266">
        <v>0</v>
      </c>
      <c r="AB56" s="262"/>
      <c r="AC56" s="267">
        <v>5020</v>
      </c>
      <c r="AD56" s="265">
        <v>0</v>
      </c>
      <c r="AE56" s="266">
        <v>171</v>
      </c>
      <c r="AF56" s="266">
        <v>300</v>
      </c>
      <c r="AG56" s="266">
        <v>84</v>
      </c>
      <c r="AH56" s="266">
        <v>0</v>
      </c>
      <c r="AI56" s="268">
        <v>1775</v>
      </c>
      <c r="AJ56" s="265">
        <v>158</v>
      </c>
      <c r="AK56" s="266">
        <v>0</v>
      </c>
      <c r="AL56" s="268">
        <v>0</v>
      </c>
      <c r="AM56" s="265">
        <v>158</v>
      </c>
      <c r="AN56" s="270"/>
      <c r="AO56" s="270"/>
    </row>
    <row r="57" spans="1:41" ht="12.75" customHeight="1">
      <c r="A57" s="239" t="s">
        <v>9</v>
      </c>
      <c r="B57" s="240" t="s">
        <v>53</v>
      </c>
      <c r="C57" s="241">
        <v>0.34652665589660742</v>
      </c>
      <c r="D57" s="242">
        <v>0.25778421433743665</v>
      </c>
      <c r="E57" s="242">
        <v>0.23867313915857605</v>
      </c>
      <c r="F57" s="242">
        <v>0.18859315589353612</v>
      </c>
      <c r="G57" s="242">
        <v>0</v>
      </c>
      <c r="H57" s="243">
        <v>0</v>
      </c>
      <c r="I57" s="242"/>
      <c r="J57" s="529">
        <v>0.25686653771760154</v>
      </c>
      <c r="K57" s="241">
        <v>0</v>
      </c>
      <c r="L57" s="242">
        <v>0</v>
      </c>
      <c r="M57" s="242">
        <v>0</v>
      </c>
      <c r="N57" s="243">
        <v>0</v>
      </c>
      <c r="O57" s="242"/>
      <c r="P57" s="241">
        <v>0.12253641816623821</v>
      </c>
      <c r="Q57" s="342">
        <v>0</v>
      </c>
      <c r="R57" s="243">
        <v>0</v>
      </c>
      <c r="S57" s="243">
        <v>8.7656529516994638E-2</v>
      </c>
      <c r="T57" s="342">
        <v>7.9223928860145509E-2</v>
      </c>
      <c r="U57" s="244"/>
      <c r="V57" s="245">
        <v>429</v>
      </c>
      <c r="W57" s="246">
        <v>356</v>
      </c>
      <c r="X57" s="246">
        <v>295</v>
      </c>
      <c r="Y57" s="246">
        <v>248</v>
      </c>
      <c r="Z57" s="246">
        <v>0</v>
      </c>
      <c r="AA57" s="246">
        <v>0</v>
      </c>
      <c r="AB57" s="242"/>
      <c r="AC57" s="247">
        <v>1328</v>
      </c>
      <c r="AD57" s="245">
        <v>0</v>
      </c>
      <c r="AE57" s="246">
        <v>0</v>
      </c>
      <c r="AF57" s="246">
        <v>0</v>
      </c>
      <c r="AG57" s="246">
        <v>0</v>
      </c>
      <c r="AH57" s="246">
        <v>0</v>
      </c>
      <c r="AI57" s="248">
        <v>143</v>
      </c>
      <c r="AJ57" s="245">
        <v>0</v>
      </c>
      <c r="AK57" s="246">
        <v>0</v>
      </c>
      <c r="AL57" s="248">
        <v>98</v>
      </c>
      <c r="AM57" s="245">
        <v>98</v>
      </c>
    </row>
    <row r="58" spans="1:41" ht="12.75" customHeight="1">
      <c r="A58" s="249"/>
      <c r="B58" s="239" t="s">
        <v>93</v>
      </c>
      <c r="C58" s="250">
        <v>0.23990306946688206</v>
      </c>
      <c r="D58" s="251">
        <v>0.24764663287472846</v>
      </c>
      <c r="E58" s="251">
        <v>0.2313915857605178</v>
      </c>
      <c r="F58" s="251">
        <v>0.21825095057034222</v>
      </c>
      <c r="G58" s="251">
        <v>0</v>
      </c>
      <c r="H58" s="252">
        <v>0</v>
      </c>
      <c r="I58" s="251"/>
      <c r="J58" s="530">
        <v>0.2344294003868472</v>
      </c>
      <c r="K58" s="250">
        <v>0</v>
      </c>
      <c r="L58" s="251">
        <v>0</v>
      </c>
      <c r="M58" s="251">
        <v>0</v>
      </c>
      <c r="N58" s="252">
        <v>0</v>
      </c>
      <c r="O58" s="251"/>
      <c r="P58" s="250">
        <v>0.17309340188517566</v>
      </c>
      <c r="Q58" s="250">
        <v>0</v>
      </c>
      <c r="R58" s="252">
        <v>0</v>
      </c>
      <c r="S58" s="252">
        <v>1.8783542039355994E-2</v>
      </c>
      <c r="T58" s="250">
        <v>1.6976556184316895E-2</v>
      </c>
      <c r="U58" s="253"/>
      <c r="V58" s="254">
        <v>297</v>
      </c>
      <c r="W58" s="255">
        <v>342</v>
      </c>
      <c r="X58" s="255">
        <v>286</v>
      </c>
      <c r="Y58" s="255">
        <v>287</v>
      </c>
      <c r="Z58" s="255">
        <v>0</v>
      </c>
      <c r="AA58" s="255">
        <v>0</v>
      </c>
      <c r="AB58" s="251"/>
      <c r="AC58" s="256">
        <v>1212</v>
      </c>
      <c r="AD58" s="254">
        <v>0</v>
      </c>
      <c r="AE58" s="255">
        <v>0</v>
      </c>
      <c r="AF58" s="255">
        <v>0</v>
      </c>
      <c r="AG58" s="255">
        <v>0</v>
      </c>
      <c r="AH58" s="255">
        <v>0</v>
      </c>
      <c r="AI58" s="257">
        <v>202</v>
      </c>
      <c r="AJ58" s="254">
        <v>0</v>
      </c>
      <c r="AK58" s="255">
        <v>0</v>
      </c>
      <c r="AL58" s="257">
        <v>21</v>
      </c>
      <c r="AM58" s="254">
        <v>21</v>
      </c>
    </row>
    <row r="59" spans="1:41" ht="12.75" customHeight="1">
      <c r="A59" s="249"/>
      <c r="B59" s="239" t="s">
        <v>55</v>
      </c>
      <c r="C59" s="250">
        <v>0.2245557350565428</v>
      </c>
      <c r="D59" s="251">
        <v>0.26574945691527879</v>
      </c>
      <c r="E59" s="251">
        <v>0.2726537216828479</v>
      </c>
      <c r="F59" s="251">
        <v>0.40228136882129278</v>
      </c>
      <c r="G59" s="251">
        <v>0</v>
      </c>
      <c r="H59" s="252">
        <v>0</v>
      </c>
      <c r="I59" s="251"/>
      <c r="J59" s="530">
        <v>0.29226305609284331</v>
      </c>
      <c r="K59" s="250">
        <v>0</v>
      </c>
      <c r="L59" s="251">
        <v>0</v>
      </c>
      <c r="M59" s="251">
        <v>0</v>
      </c>
      <c r="N59" s="252">
        <v>0</v>
      </c>
      <c r="O59" s="251"/>
      <c r="P59" s="250">
        <v>0.24764353041988005</v>
      </c>
      <c r="Q59" s="250">
        <v>0</v>
      </c>
      <c r="R59" s="252">
        <v>1.8867924528301886E-2</v>
      </c>
      <c r="S59" s="252">
        <v>3.3989266547406083E-2</v>
      </c>
      <c r="T59" s="250">
        <v>3.1527890056588521E-2</v>
      </c>
      <c r="U59" s="253"/>
      <c r="V59" s="254">
        <v>278</v>
      </c>
      <c r="W59" s="255">
        <v>367</v>
      </c>
      <c r="X59" s="255">
        <v>337</v>
      </c>
      <c r="Y59" s="255">
        <v>529</v>
      </c>
      <c r="Z59" s="255">
        <v>0</v>
      </c>
      <c r="AA59" s="255">
        <v>0</v>
      </c>
      <c r="AB59" s="251"/>
      <c r="AC59" s="256">
        <v>1511</v>
      </c>
      <c r="AD59" s="254">
        <v>0</v>
      </c>
      <c r="AE59" s="255">
        <v>0</v>
      </c>
      <c r="AF59" s="255">
        <v>0</v>
      </c>
      <c r="AG59" s="255">
        <v>0</v>
      </c>
      <c r="AH59" s="255">
        <v>0</v>
      </c>
      <c r="AI59" s="257">
        <v>289</v>
      </c>
      <c r="AJ59" s="254">
        <v>0</v>
      </c>
      <c r="AK59" s="255">
        <v>1</v>
      </c>
      <c r="AL59" s="257">
        <v>38</v>
      </c>
      <c r="AM59" s="254">
        <v>39</v>
      </c>
    </row>
    <row r="60" spans="1:41" ht="12.75" customHeight="1">
      <c r="A60" s="249"/>
      <c r="B60" s="239" t="s">
        <v>78</v>
      </c>
      <c r="C60" s="250">
        <v>0.17205169628432956</v>
      </c>
      <c r="D60" s="251">
        <v>0.21723388848660391</v>
      </c>
      <c r="E60" s="251">
        <v>0.24919093851132687</v>
      </c>
      <c r="F60" s="251">
        <v>0.17034220532319391</v>
      </c>
      <c r="G60" s="251">
        <v>0</v>
      </c>
      <c r="H60" s="252">
        <v>0</v>
      </c>
      <c r="I60" s="251"/>
      <c r="J60" s="530">
        <v>0.20212765957446807</v>
      </c>
      <c r="K60" s="250">
        <v>0</v>
      </c>
      <c r="L60" s="251">
        <v>0</v>
      </c>
      <c r="M60" s="251">
        <v>0</v>
      </c>
      <c r="N60" s="252">
        <v>0</v>
      </c>
      <c r="O60" s="251"/>
      <c r="P60" s="250">
        <v>0.34275921165381318</v>
      </c>
      <c r="Q60" s="250">
        <v>1</v>
      </c>
      <c r="R60" s="252">
        <v>0.8867924528301887</v>
      </c>
      <c r="S60" s="252">
        <v>0.39087656529516995</v>
      </c>
      <c r="T60" s="250">
        <v>0.44462409054163299</v>
      </c>
      <c r="U60" s="253"/>
      <c r="V60" s="254">
        <v>213</v>
      </c>
      <c r="W60" s="255">
        <v>300</v>
      </c>
      <c r="X60" s="255">
        <v>308</v>
      </c>
      <c r="Y60" s="255">
        <v>224</v>
      </c>
      <c r="Z60" s="255">
        <v>0</v>
      </c>
      <c r="AA60" s="255">
        <v>0</v>
      </c>
      <c r="AB60" s="251"/>
      <c r="AC60" s="256">
        <v>1045</v>
      </c>
      <c r="AD60" s="254">
        <v>0</v>
      </c>
      <c r="AE60" s="255">
        <v>0</v>
      </c>
      <c r="AF60" s="255">
        <v>0</v>
      </c>
      <c r="AG60" s="255">
        <v>0</v>
      </c>
      <c r="AH60" s="255">
        <v>0</v>
      </c>
      <c r="AI60" s="257">
        <v>400</v>
      </c>
      <c r="AJ60" s="254">
        <v>66</v>
      </c>
      <c r="AK60" s="255">
        <v>47</v>
      </c>
      <c r="AL60" s="257">
        <v>437</v>
      </c>
      <c r="AM60" s="254">
        <v>550</v>
      </c>
    </row>
    <row r="61" spans="1:41" ht="12.75" customHeight="1">
      <c r="A61" s="249"/>
      <c r="B61" s="782" t="s">
        <v>131</v>
      </c>
      <c r="C61" s="581">
        <v>1.6962843295638127E-2</v>
      </c>
      <c r="D61" s="582">
        <v>1.1585807385952208E-2</v>
      </c>
      <c r="E61" s="582">
        <v>8.0906148867313909E-3</v>
      </c>
      <c r="F61" s="582">
        <v>2.0532319391634982E-2</v>
      </c>
      <c r="G61" s="582">
        <v>0</v>
      </c>
      <c r="H61" s="583">
        <v>0</v>
      </c>
      <c r="I61" s="582"/>
      <c r="J61" s="783">
        <v>1.4313346228239845E-2</v>
      </c>
      <c r="K61" s="581">
        <v>0</v>
      </c>
      <c r="L61" s="582">
        <v>1</v>
      </c>
      <c r="M61" s="582">
        <v>1</v>
      </c>
      <c r="N61" s="583">
        <v>1</v>
      </c>
      <c r="O61" s="582"/>
      <c r="P61" s="581">
        <v>0.11396743787489289</v>
      </c>
      <c r="Q61" s="581">
        <v>0</v>
      </c>
      <c r="R61" s="583">
        <v>9.4339622641509441E-2</v>
      </c>
      <c r="S61" s="583">
        <v>0.46869409660107336</v>
      </c>
      <c r="T61" s="581">
        <v>0.42764753435731612</v>
      </c>
      <c r="U61" s="253"/>
      <c r="V61" s="254"/>
      <c r="W61" s="255"/>
      <c r="X61" s="255"/>
      <c r="Y61" s="255"/>
      <c r="Z61" s="255"/>
      <c r="AA61" s="255"/>
      <c r="AB61" s="582"/>
      <c r="AC61" s="256"/>
      <c r="AD61" s="254"/>
      <c r="AE61" s="255"/>
      <c r="AF61" s="255"/>
      <c r="AG61" s="255"/>
      <c r="AH61" s="255"/>
      <c r="AI61" s="257"/>
      <c r="AJ61" s="254"/>
      <c r="AK61" s="255"/>
      <c r="AL61" s="257"/>
      <c r="AM61" s="254"/>
    </row>
    <row r="62" spans="1:41" s="527" customFormat="1" ht="12.75" customHeight="1">
      <c r="A62" s="435"/>
      <c r="B62" s="436" t="s">
        <v>59</v>
      </c>
      <c r="C62" s="261">
        <v>1</v>
      </c>
      <c r="D62" s="262">
        <v>1</v>
      </c>
      <c r="E62" s="262">
        <v>1</v>
      </c>
      <c r="F62" s="262">
        <v>1</v>
      </c>
      <c r="G62" s="262">
        <v>0</v>
      </c>
      <c r="H62" s="263">
        <v>0</v>
      </c>
      <c r="I62" s="262"/>
      <c r="J62" s="531">
        <v>1</v>
      </c>
      <c r="K62" s="261">
        <v>0</v>
      </c>
      <c r="L62" s="262">
        <v>1</v>
      </c>
      <c r="M62" s="262">
        <v>1</v>
      </c>
      <c r="N62" s="263">
        <v>1</v>
      </c>
      <c r="O62" s="262"/>
      <c r="P62" s="261">
        <v>1</v>
      </c>
      <c r="Q62" s="261">
        <v>1</v>
      </c>
      <c r="R62" s="263">
        <v>1</v>
      </c>
      <c r="S62" s="263">
        <v>1</v>
      </c>
      <c r="T62" s="261">
        <v>1</v>
      </c>
      <c r="U62" s="264"/>
      <c r="V62" s="265">
        <v>1238</v>
      </c>
      <c r="W62" s="266">
        <v>1381</v>
      </c>
      <c r="X62" s="266">
        <v>1236</v>
      </c>
      <c r="Y62" s="266">
        <v>1315</v>
      </c>
      <c r="Z62" s="266">
        <v>0</v>
      </c>
      <c r="AA62" s="266">
        <v>0</v>
      </c>
      <c r="AB62" s="262"/>
      <c r="AC62" s="267">
        <v>5170</v>
      </c>
      <c r="AD62" s="265">
        <v>0</v>
      </c>
      <c r="AE62" s="266">
        <v>171</v>
      </c>
      <c r="AF62" s="266">
        <v>300</v>
      </c>
      <c r="AG62" s="266">
        <v>84</v>
      </c>
      <c r="AH62" s="266">
        <v>0</v>
      </c>
      <c r="AI62" s="268">
        <v>1167</v>
      </c>
      <c r="AJ62" s="265">
        <v>66</v>
      </c>
      <c r="AK62" s="266">
        <v>53</v>
      </c>
      <c r="AL62" s="268">
        <v>1118</v>
      </c>
      <c r="AM62" s="265">
        <v>1237</v>
      </c>
      <c r="AN62" s="270"/>
      <c r="AO62" s="270"/>
    </row>
    <row r="63" spans="1:41" ht="12.75" customHeight="1">
      <c r="A63" s="239" t="s">
        <v>10</v>
      </c>
      <c r="B63" s="240" t="s">
        <v>53</v>
      </c>
      <c r="C63" s="241">
        <v>0.47490909090909089</v>
      </c>
      <c r="D63" s="242">
        <v>0.36855036855036855</v>
      </c>
      <c r="E63" s="242">
        <v>0.24840085287846481</v>
      </c>
      <c r="F63" s="242">
        <v>0.27007943512797883</v>
      </c>
      <c r="G63" s="242">
        <v>0</v>
      </c>
      <c r="H63" s="243">
        <v>0.29655172413793102</v>
      </c>
      <c r="I63" s="242"/>
      <c r="J63" s="529">
        <v>0.34642321160580292</v>
      </c>
      <c r="K63" s="241">
        <v>0</v>
      </c>
      <c r="L63" s="242">
        <v>0</v>
      </c>
      <c r="M63" s="242">
        <v>0</v>
      </c>
      <c r="N63" s="243">
        <v>0</v>
      </c>
      <c r="O63" s="242"/>
      <c r="P63" s="241">
        <v>0.3345323741007194</v>
      </c>
      <c r="Q63" s="342">
        <v>0</v>
      </c>
      <c r="R63" s="243">
        <v>0</v>
      </c>
      <c r="S63" s="243">
        <v>0</v>
      </c>
      <c r="T63" s="342">
        <v>0</v>
      </c>
      <c r="U63" s="244"/>
      <c r="V63" s="245">
        <v>653</v>
      </c>
      <c r="W63" s="246">
        <v>150</v>
      </c>
      <c r="X63" s="246">
        <v>233</v>
      </c>
      <c r="Y63" s="246">
        <v>306</v>
      </c>
      <c r="Z63" s="246">
        <v>0</v>
      </c>
      <c r="AA63" s="246">
        <v>43</v>
      </c>
      <c r="AB63" s="242"/>
      <c r="AC63" s="247">
        <v>1385</v>
      </c>
      <c r="AD63" s="245">
        <v>0</v>
      </c>
      <c r="AE63" s="246">
        <v>0</v>
      </c>
      <c r="AF63" s="246">
        <v>0</v>
      </c>
      <c r="AG63" s="246">
        <v>0</v>
      </c>
      <c r="AH63" s="246">
        <v>0</v>
      </c>
      <c r="AI63" s="248">
        <v>837</v>
      </c>
      <c r="AJ63" s="245">
        <v>0</v>
      </c>
      <c r="AK63" s="246">
        <v>0</v>
      </c>
      <c r="AL63" s="248">
        <v>0</v>
      </c>
      <c r="AM63" s="245">
        <v>0</v>
      </c>
    </row>
    <row r="64" spans="1:41" ht="12.75" customHeight="1">
      <c r="A64" s="249"/>
      <c r="B64" s="239" t="s">
        <v>93</v>
      </c>
      <c r="C64" s="250">
        <v>0.29381818181818181</v>
      </c>
      <c r="D64" s="251">
        <v>0.36855036855036855</v>
      </c>
      <c r="E64" s="251">
        <v>0.30170575692963753</v>
      </c>
      <c r="F64" s="251">
        <v>0.29126213592233008</v>
      </c>
      <c r="G64" s="251">
        <v>0</v>
      </c>
      <c r="H64" s="252">
        <v>0.33103448275862069</v>
      </c>
      <c r="I64" s="251"/>
      <c r="J64" s="530">
        <v>0.30390195097548772</v>
      </c>
      <c r="K64" s="250">
        <v>0</v>
      </c>
      <c r="L64" s="251">
        <v>0</v>
      </c>
      <c r="M64" s="251">
        <v>0</v>
      </c>
      <c r="N64" s="252">
        <v>0</v>
      </c>
      <c r="O64" s="251"/>
      <c r="P64" s="250">
        <v>0.26978417266187049</v>
      </c>
      <c r="Q64" s="250">
        <v>0</v>
      </c>
      <c r="R64" s="252">
        <v>0</v>
      </c>
      <c r="S64" s="252">
        <v>0</v>
      </c>
      <c r="T64" s="250">
        <v>0</v>
      </c>
      <c r="U64" s="253"/>
      <c r="V64" s="254">
        <v>404</v>
      </c>
      <c r="W64" s="255">
        <v>150</v>
      </c>
      <c r="X64" s="255">
        <v>283</v>
      </c>
      <c r="Y64" s="255">
        <v>330</v>
      </c>
      <c r="Z64" s="255">
        <v>0</v>
      </c>
      <c r="AA64" s="255">
        <v>48</v>
      </c>
      <c r="AB64" s="251"/>
      <c r="AC64" s="256">
        <v>1215</v>
      </c>
      <c r="AD64" s="254">
        <v>0</v>
      </c>
      <c r="AE64" s="255">
        <v>0</v>
      </c>
      <c r="AF64" s="255">
        <v>0</v>
      </c>
      <c r="AG64" s="255">
        <v>0</v>
      </c>
      <c r="AH64" s="255">
        <v>0</v>
      </c>
      <c r="AI64" s="257">
        <v>675</v>
      </c>
      <c r="AJ64" s="254">
        <v>0</v>
      </c>
      <c r="AK64" s="255">
        <v>0</v>
      </c>
      <c r="AL64" s="257">
        <v>0</v>
      </c>
      <c r="AM64" s="254">
        <v>0</v>
      </c>
    </row>
    <row r="65" spans="1:41" ht="12.75" customHeight="1">
      <c r="A65" s="249"/>
      <c r="B65" s="239" t="s">
        <v>55</v>
      </c>
      <c r="C65" s="250">
        <v>0.21818181818181817</v>
      </c>
      <c r="D65" s="251">
        <v>0.2334152334152334</v>
      </c>
      <c r="E65" s="251">
        <v>0.42324093816631131</v>
      </c>
      <c r="F65" s="251">
        <v>0.40247131509267431</v>
      </c>
      <c r="G65" s="251">
        <v>0</v>
      </c>
      <c r="H65" s="252">
        <v>0.35172413793103446</v>
      </c>
      <c r="I65" s="251"/>
      <c r="J65" s="530">
        <v>0.32491245622811404</v>
      </c>
      <c r="K65" s="250">
        <v>0</v>
      </c>
      <c r="L65" s="251">
        <v>0</v>
      </c>
      <c r="M65" s="251">
        <v>0</v>
      </c>
      <c r="N65" s="252">
        <v>0</v>
      </c>
      <c r="O65" s="251"/>
      <c r="P65" s="250">
        <v>0.30775379696243005</v>
      </c>
      <c r="Q65" s="250">
        <v>0</v>
      </c>
      <c r="R65" s="252">
        <v>0</v>
      </c>
      <c r="S65" s="252">
        <v>0</v>
      </c>
      <c r="T65" s="250">
        <v>0</v>
      </c>
      <c r="U65" s="253"/>
      <c r="V65" s="254">
        <v>300</v>
      </c>
      <c r="W65" s="255">
        <v>95</v>
      </c>
      <c r="X65" s="255">
        <v>397</v>
      </c>
      <c r="Y65" s="255">
        <v>456</v>
      </c>
      <c r="Z65" s="255">
        <v>0</v>
      </c>
      <c r="AA65" s="255">
        <v>51</v>
      </c>
      <c r="AB65" s="251"/>
      <c r="AC65" s="256">
        <v>1299</v>
      </c>
      <c r="AD65" s="254">
        <v>0</v>
      </c>
      <c r="AE65" s="255">
        <v>0</v>
      </c>
      <c r="AF65" s="255">
        <v>0</v>
      </c>
      <c r="AG65" s="255">
        <v>0</v>
      </c>
      <c r="AH65" s="255">
        <v>0</v>
      </c>
      <c r="AI65" s="257">
        <v>770</v>
      </c>
      <c r="AJ65" s="254">
        <v>0</v>
      </c>
      <c r="AK65" s="255">
        <v>0</v>
      </c>
      <c r="AL65" s="257">
        <v>0</v>
      </c>
      <c r="AM65" s="254">
        <v>0</v>
      </c>
    </row>
    <row r="66" spans="1:41" ht="12.75" customHeight="1">
      <c r="A66" s="249"/>
      <c r="B66" s="239" t="s">
        <v>78</v>
      </c>
      <c r="C66" s="250">
        <v>1.3090909090909091E-2</v>
      </c>
      <c r="D66" s="251">
        <v>2.9484029484029485E-2</v>
      </c>
      <c r="E66" s="251">
        <v>2.6652452025586353E-2</v>
      </c>
      <c r="F66" s="251">
        <v>3.3539276257722857E-2</v>
      </c>
      <c r="G66" s="251">
        <v>0</v>
      </c>
      <c r="H66" s="252">
        <v>2.0689655172413793E-2</v>
      </c>
      <c r="I66" s="251"/>
      <c r="J66" s="530">
        <v>2.4012006003001501E-2</v>
      </c>
      <c r="K66" s="250">
        <v>0</v>
      </c>
      <c r="L66" s="251">
        <v>0</v>
      </c>
      <c r="M66" s="251">
        <v>0</v>
      </c>
      <c r="N66" s="252">
        <v>0</v>
      </c>
      <c r="O66" s="251"/>
      <c r="P66" s="250">
        <v>7.3141486810551562E-2</v>
      </c>
      <c r="Q66" s="250">
        <v>0</v>
      </c>
      <c r="R66" s="252">
        <v>0</v>
      </c>
      <c r="S66" s="252">
        <v>0</v>
      </c>
      <c r="T66" s="250">
        <v>0</v>
      </c>
      <c r="U66" s="253"/>
      <c r="V66" s="254">
        <v>18</v>
      </c>
      <c r="W66" s="255">
        <v>12</v>
      </c>
      <c r="X66" s="255">
        <v>25</v>
      </c>
      <c r="Y66" s="255">
        <v>38</v>
      </c>
      <c r="Z66" s="255">
        <v>0</v>
      </c>
      <c r="AA66" s="255">
        <v>3</v>
      </c>
      <c r="AB66" s="251"/>
      <c r="AC66" s="256">
        <v>96</v>
      </c>
      <c r="AD66" s="254">
        <v>0</v>
      </c>
      <c r="AE66" s="255">
        <v>0</v>
      </c>
      <c r="AF66" s="255">
        <v>0</v>
      </c>
      <c r="AG66" s="255">
        <v>0</v>
      </c>
      <c r="AH66" s="255">
        <v>0</v>
      </c>
      <c r="AI66" s="257">
        <v>183</v>
      </c>
      <c r="AJ66" s="254">
        <v>0</v>
      </c>
      <c r="AK66" s="255">
        <v>0</v>
      </c>
      <c r="AL66" s="257">
        <v>0</v>
      </c>
      <c r="AM66" s="254">
        <v>0</v>
      </c>
    </row>
    <row r="67" spans="1:41" ht="12.75" customHeight="1">
      <c r="A67" s="249"/>
      <c r="B67" s="782" t="s">
        <v>131</v>
      </c>
      <c r="C67" s="581">
        <v>0</v>
      </c>
      <c r="D67" s="582">
        <v>0</v>
      </c>
      <c r="E67" s="582">
        <v>0</v>
      </c>
      <c r="F67" s="582">
        <v>2.6478375992939102E-3</v>
      </c>
      <c r="G67" s="582">
        <v>0</v>
      </c>
      <c r="H67" s="583">
        <v>0</v>
      </c>
      <c r="I67" s="582"/>
      <c r="J67" s="783">
        <v>7.503751875937969E-4</v>
      </c>
      <c r="K67" s="581">
        <v>0</v>
      </c>
      <c r="L67" s="582">
        <v>1</v>
      </c>
      <c r="M67" s="582">
        <v>1</v>
      </c>
      <c r="N67" s="583">
        <v>1</v>
      </c>
      <c r="O67" s="582"/>
      <c r="P67" s="581">
        <v>1.4788169464428458E-2</v>
      </c>
      <c r="Q67" s="581">
        <v>0</v>
      </c>
      <c r="R67" s="583">
        <v>0</v>
      </c>
      <c r="S67" s="583">
        <v>0</v>
      </c>
      <c r="T67" s="581">
        <v>0</v>
      </c>
      <c r="U67" s="253"/>
      <c r="V67" s="254"/>
      <c r="W67" s="255"/>
      <c r="X67" s="255"/>
      <c r="Y67" s="255"/>
      <c r="Z67" s="255"/>
      <c r="AA67" s="255"/>
      <c r="AB67" s="582"/>
      <c r="AC67" s="256"/>
      <c r="AD67" s="254"/>
      <c r="AE67" s="255"/>
      <c r="AF67" s="255"/>
      <c r="AG67" s="255"/>
      <c r="AH67" s="255"/>
      <c r="AI67" s="257"/>
      <c r="AJ67" s="254"/>
      <c r="AK67" s="255"/>
      <c r="AL67" s="257"/>
      <c r="AM67" s="254"/>
    </row>
    <row r="68" spans="1:41" s="527" customFormat="1" ht="12.75" customHeight="1">
      <c r="A68" s="435"/>
      <c r="B68" s="436" t="s">
        <v>59</v>
      </c>
      <c r="C68" s="261">
        <v>1</v>
      </c>
      <c r="D68" s="262">
        <v>1</v>
      </c>
      <c r="E68" s="262">
        <v>1</v>
      </c>
      <c r="F68" s="262">
        <v>1</v>
      </c>
      <c r="G68" s="262">
        <v>0</v>
      </c>
      <c r="H68" s="263">
        <v>1</v>
      </c>
      <c r="I68" s="262"/>
      <c r="J68" s="531">
        <v>1</v>
      </c>
      <c r="K68" s="261">
        <v>0</v>
      </c>
      <c r="L68" s="262">
        <v>1</v>
      </c>
      <c r="M68" s="262">
        <v>1</v>
      </c>
      <c r="N68" s="263">
        <v>1</v>
      </c>
      <c r="O68" s="262"/>
      <c r="P68" s="261">
        <v>1</v>
      </c>
      <c r="Q68" s="261">
        <v>0</v>
      </c>
      <c r="R68" s="263">
        <v>0</v>
      </c>
      <c r="S68" s="263">
        <v>0</v>
      </c>
      <c r="T68" s="261">
        <v>0</v>
      </c>
      <c r="U68" s="264"/>
      <c r="V68" s="265">
        <v>1375</v>
      </c>
      <c r="W68" s="266">
        <v>407</v>
      </c>
      <c r="X68" s="266">
        <v>938</v>
      </c>
      <c r="Y68" s="266">
        <v>1133</v>
      </c>
      <c r="Z68" s="266">
        <v>0</v>
      </c>
      <c r="AA68" s="266">
        <v>145</v>
      </c>
      <c r="AB68" s="262"/>
      <c r="AC68" s="267">
        <v>3998</v>
      </c>
      <c r="AD68" s="265">
        <v>0</v>
      </c>
      <c r="AE68" s="266">
        <v>171</v>
      </c>
      <c r="AF68" s="266">
        <v>300</v>
      </c>
      <c r="AG68" s="266">
        <v>84</v>
      </c>
      <c r="AH68" s="266">
        <v>0</v>
      </c>
      <c r="AI68" s="268">
        <v>2502</v>
      </c>
      <c r="AJ68" s="265">
        <v>0</v>
      </c>
      <c r="AK68" s="266">
        <v>0</v>
      </c>
      <c r="AL68" s="268">
        <v>0</v>
      </c>
      <c r="AM68" s="265">
        <v>0</v>
      </c>
      <c r="AN68" s="270"/>
      <c r="AO68" s="270"/>
    </row>
    <row r="69" spans="1:41" ht="12.75" customHeight="1">
      <c r="A69" s="239" t="s">
        <v>11</v>
      </c>
      <c r="B69" s="240" t="s">
        <v>53</v>
      </c>
      <c r="C69" s="241">
        <v>0.23032258064516128</v>
      </c>
      <c r="D69" s="242">
        <v>0.21940163191296463</v>
      </c>
      <c r="E69" s="242">
        <v>0</v>
      </c>
      <c r="F69" s="242">
        <v>0.16768916155419222</v>
      </c>
      <c r="G69" s="242">
        <v>0.2076923076923077</v>
      </c>
      <c r="H69" s="243">
        <v>0</v>
      </c>
      <c r="I69" s="242"/>
      <c r="J69" s="529">
        <v>0.21638141809290953</v>
      </c>
      <c r="K69" s="241">
        <v>0</v>
      </c>
      <c r="L69" s="242">
        <v>0</v>
      </c>
      <c r="M69" s="242">
        <v>0</v>
      </c>
      <c r="N69" s="243">
        <v>0</v>
      </c>
      <c r="O69" s="242"/>
      <c r="P69" s="241">
        <v>0</v>
      </c>
      <c r="Q69" s="342">
        <v>0</v>
      </c>
      <c r="R69" s="243">
        <v>0</v>
      </c>
      <c r="S69" s="243">
        <v>0</v>
      </c>
      <c r="T69" s="342">
        <v>0</v>
      </c>
      <c r="U69" s="244"/>
      <c r="V69" s="245">
        <v>357</v>
      </c>
      <c r="W69" s="246">
        <v>242</v>
      </c>
      <c r="X69" s="246">
        <v>0</v>
      </c>
      <c r="Y69" s="246">
        <v>82</v>
      </c>
      <c r="Z69" s="246">
        <v>27</v>
      </c>
      <c r="AA69" s="246">
        <v>0</v>
      </c>
      <c r="AB69" s="242"/>
      <c r="AC69" s="247">
        <v>708</v>
      </c>
      <c r="AD69" s="245">
        <v>0</v>
      </c>
      <c r="AE69" s="246">
        <v>0</v>
      </c>
      <c r="AF69" s="246">
        <v>0</v>
      </c>
      <c r="AG69" s="246">
        <v>0</v>
      </c>
      <c r="AH69" s="246">
        <v>0</v>
      </c>
      <c r="AI69" s="248">
        <v>0</v>
      </c>
      <c r="AJ69" s="245">
        <v>0</v>
      </c>
      <c r="AK69" s="246">
        <v>0</v>
      </c>
      <c r="AL69" s="248">
        <v>0</v>
      </c>
      <c r="AM69" s="245">
        <v>0</v>
      </c>
    </row>
    <row r="70" spans="1:41" ht="12.75" customHeight="1">
      <c r="A70" s="249"/>
      <c r="B70" s="239" t="s">
        <v>93</v>
      </c>
      <c r="C70" s="250">
        <v>0.24516129032258063</v>
      </c>
      <c r="D70" s="251">
        <v>0.27923844061650044</v>
      </c>
      <c r="E70" s="251">
        <v>0</v>
      </c>
      <c r="F70" s="251">
        <v>0.23312883435582821</v>
      </c>
      <c r="G70" s="251">
        <v>0.15384615384615385</v>
      </c>
      <c r="H70" s="252">
        <v>0</v>
      </c>
      <c r="I70" s="251"/>
      <c r="J70" s="530">
        <v>0.25122249388753054</v>
      </c>
      <c r="K70" s="250">
        <v>0</v>
      </c>
      <c r="L70" s="251">
        <v>0</v>
      </c>
      <c r="M70" s="251">
        <v>0</v>
      </c>
      <c r="N70" s="252">
        <v>0</v>
      </c>
      <c r="O70" s="251"/>
      <c r="P70" s="250">
        <v>0</v>
      </c>
      <c r="Q70" s="250">
        <v>0</v>
      </c>
      <c r="R70" s="252">
        <v>0</v>
      </c>
      <c r="S70" s="252">
        <v>0</v>
      </c>
      <c r="T70" s="250">
        <v>0</v>
      </c>
      <c r="U70" s="253"/>
      <c r="V70" s="254">
        <v>380</v>
      </c>
      <c r="W70" s="255">
        <v>308</v>
      </c>
      <c r="X70" s="255">
        <v>0</v>
      </c>
      <c r="Y70" s="255">
        <v>114</v>
      </c>
      <c r="Z70" s="255">
        <v>20</v>
      </c>
      <c r="AA70" s="255">
        <v>0</v>
      </c>
      <c r="AB70" s="251"/>
      <c r="AC70" s="256">
        <v>822</v>
      </c>
      <c r="AD70" s="254">
        <v>0</v>
      </c>
      <c r="AE70" s="255">
        <v>0</v>
      </c>
      <c r="AF70" s="255">
        <v>0</v>
      </c>
      <c r="AG70" s="255">
        <v>0</v>
      </c>
      <c r="AH70" s="255">
        <v>0</v>
      </c>
      <c r="AI70" s="257">
        <v>0</v>
      </c>
      <c r="AJ70" s="254">
        <v>0</v>
      </c>
      <c r="AK70" s="255">
        <v>0</v>
      </c>
      <c r="AL70" s="257">
        <v>0</v>
      </c>
      <c r="AM70" s="254">
        <v>0</v>
      </c>
    </row>
    <row r="71" spans="1:41" ht="12.75" customHeight="1">
      <c r="A71" s="249"/>
      <c r="B71" s="239" t="s">
        <v>55</v>
      </c>
      <c r="C71" s="250">
        <v>0.31483870967741934</v>
      </c>
      <c r="D71" s="251">
        <v>0.30553037171350861</v>
      </c>
      <c r="E71" s="251">
        <v>0</v>
      </c>
      <c r="F71" s="251">
        <v>0.34151329243353784</v>
      </c>
      <c r="G71" s="251">
        <v>0.26153846153846155</v>
      </c>
      <c r="H71" s="252">
        <v>0</v>
      </c>
      <c r="I71" s="251"/>
      <c r="J71" s="530">
        <v>0.31356968215158926</v>
      </c>
      <c r="K71" s="250">
        <v>0</v>
      </c>
      <c r="L71" s="251">
        <v>0</v>
      </c>
      <c r="M71" s="251">
        <v>0</v>
      </c>
      <c r="N71" s="252">
        <v>0</v>
      </c>
      <c r="O71" s="251"/>
      <c r="P71" s="250">
        <v>0</v>
      </c>
      <c r="Q71" s="250">
        <v>0</v>
      </c>
      <c r="R71" s="252">
        <v>0</v>
      </c>
      <c r="S71" s="252">
        <v>0</v>
      </c>
      <c r="T71" s="250">
        <v>0</v>
      </c>
      <c r="U71" s="253"/>
      <c r="V71" s="254">
        <v>488</v>
      </c>
      <c r="W71" s="255">
        <v>337</v>
      </c>
      <c r="X71" s="255">
        <v>0</v>
      </c>
      <c r="Y71" s="255">
        <v>167</v>
      </c>
      <c r="Z71" s="255">
        <v>34</v>
      </c>
      <c r="AA71" s="255">
        <v>0</v>
      </c>
      <c r="AB71" s="251"/>
      <c r="AC71" s="256">
        <v>1026</v>
      </c>
      <c r="AD71" s="254">
        <v>0</v>
      </c>
      <c r="AE71" s="255">
        <v>0</v>
      </c>
      <c r="AF71" s="255">
        <v>0</v>
      </c>
      <c r="AG71" s="255">
        <v>0</v>
      </c>
      <c r="AH71" s="255">
        <v>0</v>
      </c>
      <c r="AI71" s="257">
        <v>0</v>
      </c>
      <c r="AJ71" s="254">
        <v>0</v>
      </c>
      <c r="AK71" s="255">
        <v>0</v>
      </c>
      <c r="AL71" s="257">
        <v>0</v>
      </c>
      <c r="AM71" s="254">
        <v>0</v>
      </c>
    </row>
    <row r="72" spans="1:41" ht="12.75" customHeight="1">
      <c r="A72" s="249"/>
      <c r="B72" s="239" t="s">
        <v>78</v>
      </c>
      <c r="C72" s="250">
        <v>0.17548387096774193</v>
      </c>
      <c r="D72" s="251">
        <v>0.17860380779691751</v>
      </c>
      <c r="E72" s="251">
        <v>0</v>
      </c>
      <c r="F72" s="251">
        <v>0.25766871165644173</v>
      </c>
      <c r="G72" s="251">
        <v>0.37692307692307692</v>
      </c>
      <c r="H72" s="252">
        <v>0</v>
      </c>
      <c r="I72" s="251"/>
      <c r="J72" s="530">
        <v>0.19682151589242053</v>
      </c>
      <c r="K72" s="250">
        <v>0</v>
      </c>
      <c r="L72" s="251">
        <v>0</v>
      </c>
      <c r="M72" s="251">
        <v>0</v>
      </c>
      <c r="N72" s="252">
        <v>0</v>
      </c>
      <c r="O72" s="251"/>
      <c r="P72" s="250">
        <v>0</v>
      </c>
      <c r="Q72" s="250">
        <v>0</v>
      </c>
      <c r="R72" s="252">
        <v>0</v>
      </c>
      <c r="S72" s="252">
        <v>0</v>
      </c>
      <c r="T72" s="250">
        <v>0</v>
      </c>
      <c r="U72" s="253"/>
      <c r="V72" s="254">
        <v>272</v>
      </c>
      <c r="W72" s="255">
        <v>197</v>
      </c>
      <c r="X72" s="255">
        <v>0</v>
      </c>
      <c r="Y72" s="255">
        <v>126</v>
      </c>
      <c r="Z72" s="255">
        <v>49</v>
      </c>
      <c r="AA72" s="255">
        <v>0</v>
      </c>
      <c r="AB72" s="251"/>
      <c r="AC72" s="256">
        <v>644</v>
      </c>
      <c r="AD72" s="254">
        <v>0</v>
      </c>
      <c r="AE72" s="255">
        <v>0</v>
      </c>
      <c r="AF72" s="255">
        <v>0</v>
      </c>
      <c r="AG72" s="255">
        <v>0</v>
      </c>
      <c r="AH72" s="255">
        <v>0</v>
      </c>
      <c r="AI72" s="257">
        <v>0</v>
      </c>
      <c r="AJ72" s="254">
        <v>0</v>
      </c>
      <c r="AK72" s="255">
        <v>0</v>
      </c>
      <c r="AL72" s="257">
        <v>0</v>
      </c>
      <c r="AM72" s="254">
        <v>0</v>
      </c>
    </row>
    <row r="73" spans="1:41" ht="12.75" customHeight="1">
      <c r="A73" s="249"/>
      <c r="B73" s="782" t="s">
        <v>131</v>
      </c>
      <c r="C73" s="581">
        <v>3.4193548387096775E-2</v>
      </c>
      <c r="D73" s="582">
        <v>1.7225747960108794E-2</v>
      </c>
      <c r="E73" s="582">
        <v>0</v>
      </c>
      <c r="F73" s="582">
        <v>0</v>
      </c>
      <c r="G73" s="582">
        <v>0</v>
      </c>
      <c r="H73" s="583">
        <v>0</v>
      </c>
      <c r="I73" s="582"/>
      <c r="J73" s="783">
        <v>2.2004889975550123E-2</v>
      </c>
      <c r="K73" s="581">
        <v>0</v>
      </c>
      <c r="L73" s="582">
        <v>1</v>
      </c>
      <c r="M73" s="582">
        <v>1</v>
      </c>
      <c r="N73" s="583">
        <v>1</v>
      </c>
      <c r="O73" s="582"/>
      <c r="P73" s="581">
        <v>1</v>
      </c>
      <c r="Q73" s="581">
        <v>0</v>
      </c>
      <c r="R73" s="583">
        <v>0</v>
      </c>
      <c r="S73" s="583">
        <v>0</v>
      </c>
      <c r="T73" s="581">
        <v>0</v>
      </c>
      <c r="U73" s="253"/>
      <c r="V73" s="254"/>
      <c r="W73" s="255"/>
      <c r="X73" s="255"/>
      <c r="Y73" s="255"/>
      <c r="Z73" s="255"/>
      <c r="AA73" s="255"/>
      <c r="AB73" s="582"/>
      <c r="AC73" s="256"/>
      <c r="AD73" s="254"/>
      <c r="AE73" s="255"/>
      <c r="AF73" s="255"/>
      <c r="AG73" s="255"/>
      <c r="AH73" s="255"/>
      <c r="AI73" s="257"/>
      <c r="AJ73" s="254"/>
      <c r="AK73" s="255"/>
      <c r="AL73" s="257"/>
      <c r="AM73" s="254"/>
    </row>
    <row r="74" spans="1:41" s="527" customFormat="1" ht="12.75" customHeight="1">
      <c r="A74" s="435"/>
      <c r="B74" s="436" t="s">
        <v>59</v>
      </c>
      <c r="C74" s="261">
        <v>1</v>
      </c>
      <c r="D74" s="262">
        <v>1</v>
      </c>
      <c r="E74" s="262">
        <v>0</v>
      </c>
      <c r="F74" s="262">
        <v>1</v>
      </c>
      <c r="G74" s="262">
        <v>1</v>
      </c>
      <c r="H74" s="263">
        <v>0</v>
      </c>
      <c r="I74" s="262"/>
      <c r="J74" s="531">
        <v>1</v>
      </c>
      <c r="K74" s="261">
        <v>0</v>
      </c>
      <c r="L74" s="262">
        <v>1</v>
      </c>
      <c r="M74" s="262">
        <v>1</v>
      </c>
      <c r="N74" s="263">
        <v>1</v>
      </c>
      <c r="O74" s="262"/>
      <c r="P74" s="261">
        <v>1</v>
      </c>
      <c r="Q74" s="261">
        <v>0</v>
      </c>
      <c r="R74" s="263">
        <v>0</v>
      </c>
      <c r="S74" s="263">
        <v>0</v>
      </c>
      <c r="T74" s="261">
        <v>0</v>
      </c>
      <c r="U74" s="264"/>
      <c r="V74" s="265">
        <v>1550</v>
      </c>
      <c r="W74" s="266">
        <v>1103</v>
      </c>
      <c r="X74" s="266">
        <v>0</v>
      </c>
      <c r="Y74" s="266">
        <v>489</v>
      </c>
      <c r="Z74" s="266">
        <v>130</v>
      </c>
      <c r="AA74" s="266">
        <v>0</v>
      </c>
      <c r="AB74" s="262"/>
      <c r="AC74" s="267">
        <v>3272</v>
      </c>
      <c r="AD74" s="265">
        <v>0</v>
      </c>
      <c r="AE74" s="266">
        <v>171</v>
      </c>
      <c r="AF74" s="266">
        <v>300</v>
      </c>
      <c r="AG74" s="266">
        <v>84</v>
      </c>
      <c r="AH74" s="266">
        <v>0</v>
      </c>
      <c r="AI74" s="268">
        <v>2505.3000000000002</v>
      </c>
      <c r="AJ74" s="265">
        <v>0</v>
      </c>
      <c r="AK74" s="266">
        <v>0</v>
      </c>
      <c r="AL74" s="268">
        <v>0</v>
      </c>
      <c r="AM74" s="265">
        <v>0</v>
      </c>
      <c r="AN74" s="270"/>
      <c r="AO74" s="270"/>
    </row>
    <row r="75" spans="1:41" ht="12.75" customHeight="1">
      <c r="A75" s="239" t="s">
        <v>12</v>
      </c>
      <c r="B75" s="240" t="s">
        <v>53</v>
      </c>
      <c r="C75" s="241">
        <v>0.38207822533566843</v>
      </c>
      <c r="D75" s="242">
        <v>0.22259507829977629</v>
      </c>
      <c r="E75" s="242">
        <v>0.22303384465546627</v>
      </c>
      <c r="F75" s="242">
        <v>0.1588447653429603</v>
      </c>
      <c r="G75" s="242">
        <v>0.14880952380952381</v>
      </c>
      <c r="H75" s="243">
        <v>0.29715762273901808</v>
      </c>
      <c r="I75" s="242"/>
      <c r="J75" s="529">
        <v>0.27043257952519473</v>
      </c>
      <c r="K75" s="241">
        <v>0</v>
      </c>
      <c r="L75" s="242">
        <v>0</v>
      </c>
      <c r="M75" s="242">
        <v>0</v>
      </c>
      <c r="N75" s="243">
        <v>0</v>
      </c>
      <c r="O75" s="242"/>
      <c r="P75" s="241">
        <v>0</v>
      </c>
      <c r="Q75" s="342">
        <v>0</v>
      </c>
      <c r="R75" s="243">
        <v>0</v>
      </c>
      <c r="S75" s="243">
        <v>0</v>
      </c>
      <c r="T75" s="342">
        <v>0</v>
      </c>
      <c r="U75" s="244"/>
      <c r="V75" s="245">
        <v>1309</v>
      </c>
      <c r="W75" s="246">
        <v>398</v>
      </c>
      <c r="X75" s="246">
        <v>916</v>
      </c>
      <c r="Y75" s="246">
        <v>44</v>
      </c>
      <c r="Z75" s="246">
        <v>100</v>
      </c>
      <c r="AA75" s="246">
        <v>115</v>
      </c>
      <c r="AB75" s="242"/>
      <c r="AC75" s="247">
        <v>2882</v>
      </c>
      <c r="AD75" s="245">
        <v>0</v>
      </c>
      <c r="AE75" s="246">
        <v>0</v>
      </c>
      <c r="AF75" s="246">
        <v>0</v>
      </c>
      <c r="AG75" s="246">
        <v>0</v>
      </c>
      <c r="AH75" s="246">
        <v>0</v>
      </c>
      <c r="AI75" s="248">
        <v>0</v>
      </c>
      <c r="AJ75" s="245">
        <v>0</v>
      </c>
      <c r="AK75" s="246">
        <v>0</v>
      </c>
      <c r="AL75" s="248">
        <v>0</v>
      </c>
      <c r="AM75" s="245">
        <v>0</v>
      </c>
    </row>
    <row r="76" spans="1:41" ht="12.75" customHeight="1">
      <c r="A76" s="249"/>
      <c r="B76" s="239" t="s">
        <v>93</v>
      </c>
      <c r="C76" s="250">
        <v>0.22767075306479859</v>
      </c>
      <c r="D76" s="251">
        <v>0.30089485458612975</v>
      </c>
      <c r="E76" s="251">
        <v>0.28682736790844898</v>
      </c>
      <c r="F76" s="251">
        <v>0.29602888086642598</v>
      </c>
      <c r="G76" s="251">
        <v>0.25744047619047616</v>
      </c>
      <c r="H76" s="252">
        <v>0.25839793281653745</v>
      </c>
      <c r="I76" s="251"/>
      <c r="J76" s="530">
        <v>0.2675236933470958</v>
      </c>
      <c r="K76" s="250">
        <v>0</v>
      </c>
      <c r="L76" s="251">
        <v>0</v>
      </c>
      <c r="M76" s="251">
        <v>0</v>
      </c>
      <c r="N76" s="252">
        <v>0</v>
      </c>
      <c r="O76" s="251"/>
      <c r="P76" s="250">
        <v>0</v>
      </c>
      <c r="Q76" s="250">
        <v>0</v>
      </c>
      <c r="R76" s="252">
        <v>0</v>
      </c>
      <c r="S76" s="252">
        <v>0</v>
      </c>
      <c r="T76" s="250">
        <v>0</v>
      </c>
      <c r="U76" s="253"/>
      <c r="V76" s="254">
        <v>780</v>
      </c>
      <c r="W76" s="255">
        <v>538</v>
      </c>
      <c r="X76" s="255">
        <v>1178</v>
      </c>
      <c r="Y76" s="255">
        <v>82</v>
      </c>
      <c r="Z76" s="255">
        <v>173</v>
      </c>
      <c r="AA76" s="255">
        <v>100</v>
      </c>
      <c r="AB76" s="251"/>
      <c r="AC76" s="256">
        <v>2851</v>
      </c>
      <c r="AD76" s="254">
        <v>0</v>
      </c>
      <c r="AE76" s="255">
        <v>0</v>
      </c>
      <c r="AF76" s="255">
        <v>0</v>
      </c>
      <c r="AG76" s="255">
        <v>0</v>
      </c>
      <c r="AH76" s="255">
        <v>0</v>
      </c>
      <c r="AI76" s="257">
        <v>0</v>
      </c>
      <c r="AJ76" s="254">
        <v>0</v>
      </c>
      <c r="AK76" s="255">
        <v>0</v>
      </c>
      <c r="AL76" s="257">
        <v>0</v>
      </c>
      <c r="AM76" s="254">
        <v>0</v>
      </c>
    </row>
    <row r="77" spans="1:41" ht="12.75" customHeight="1">
      <c r="A77" s="249"/>
      <c r="B77" s="239" t="s">
        <v>55</v>
      </c>
      <c r="C77" s="250">
        <v>0.19643899591360187</v>
      </c>
      <c r="D77" s="251">
        <v>0.21364653243847875</v>
      </c>
      <c r="E77" s="251">
        <v>0.25687850012174335</v>
      </c>
      <c r="F77" s="251">
        <v>0.39350180505415161</v>
      </c>
      <c r="G77" s="251">
        <v>0.36607142857142855</v>
      </c>
      <c r="H77" s="252">
        <v>0.22480620155038761</v>
      </c>
      <c r="I77" s="251"/>
      <c r="J77" s="530">
        <v>0.23946701698414188</v>
      </c>
      <c r="K77" s="250">
        <v>0</v>
      </c>
      <c r="L77" s="251">
        <v>0</v>
      </c>
      <c r="M77" s="251">
        <v>0</v>
      </c>
      <c r="N77" s="252">
        <v>0</v>
      </c>
      <c r="O77" s="251"/>
      <c r="P77" s="250">
        <v>0</v>
      </c>
      <c r="Q77" s="250">
        <v>0</v>
      </c>
      <c r="R77" s="252">
        <v>0</v>
      </c>
      <c r="S77" s="252">
        <v>0</v>
      </c>
      <c r="T77" s="250">
        <v>0</v>
      </c>
      <c r="U77" s="253"/>
      <c r="V77" s="254">
        <v>673</v>
      </c>
      <c r="W77" s="255">
        <v>382</v>
      </c>
      <c r="X77" s="255">
        <v>1055</v>
      </c>
      <c r="Y77" s="255">
        <v>109</v>
      </c>
      <c r="Z77" s="255">
        <v>246</v>
      </c>
      <c r="AA77" s="255">
        <v>87</v>
      </c>
      <c r="AB77" s="251"/>
      <c r="AC77" s="256">
        <v>2552</v>
      </c>
      <c r="AD77" s="254">
        <v>0</v>
      </c>
      <c r="AE77" s="255">
        <v>0</v>
      </c>
      <c r="AF77" s="255">
        <v>0</v>
      </c>
      <c r="AG77" s="255">
        <v>0</v>
      </c>
      <c r="AH77" s="255">
        <v>0</v>
      </c>
      <c r="AI77" s="257">
        <v>0</v>
      </c>
      <c r="AJ77" s="254">
        <v>0</v>
      </c>
      <c r="AK77" s="255">
        <v>0</v>
      </c>
      <c r="AL77" s="257">
        <v>0</v>
      </c>
      <c r="AM77" s="254">
        <v>0</v>
      </c>
    </row>
    <row r="78" spans="1:41" ht="12.75" customHeight="1">
      <c r="A78" s="249"/>
      <c r="B78" s="239" t="s">
        <v>78</v>
      </c>
      <c r="C78" s="250">
        <v>4.6701692936368944E-3</v>
      </c>
      <c r="D78" s="273">
        <v>3.3557046979865772E-2</v>
      </c>
      <c r="E78" s="251">
        <v>8.5220355490625756E-3</v>
      </c>
      <c r="F78" s="251">
        <v>3.2490974729241874E-2</v>
      </c>
      <c r="G78" s="251">
        <v>7.1428571428571425E-2</v>
      </c>
      <c r="H78" s="252">
        <v>7.7519379844961239E-3</v>
      </c>
      <c r="I78" s="251"/>
      <c r="J78" s="530">
        <v>1.6045791498545556E-2</v>
      </c>
      <c r="K78" s="250">
        <v>0</v>
      </c>
      <c r="L78" s="251">
        <v>0</v>
      </c>
      <c r="M78" s="251">
        <v>0</v>
      </c>
      <c r="N78" s="252">
        <v>0</v>
      </c>
      <c r="O78" s="251"/>
      <c r="P78" s="250">
        <v>0</v>
      </c>
      <c r="Q78" s="250">
        <v>0</v>
      </c>
      <c r="R78" s="252">
        <v>0</v>
      </c>
      <c r="S78" s="252">
        <v>0</v>
      </c>
      <c r="T78" s="250">
        <v>0</v>
      </c>
      <c r="U78" s="253"/>
      <c r="V78" s="254">
        <v>16</v>
      </c>
      <c r="W78" s="255">
        <v>60</v>
      </c>
      <c r="X78" s="255">
        <v>35</v>
      </c>
      <c r="Y78" s="255">
        <v>9</v>
      </c>
      <c r="Z78" s="255">
        <v>48</v>
      </c>
      <c r="AA78" s="255">
        <v>3</v>
      </c>
      <c r="AB78" s="251"/>
      <c r="AC78" s="256">
        <v>171</v>
      </c>
      <c r="AD78" s="254">
        <v>0</v>
      </c>
      <c r="AE78" s="255">
        <v>0</v>
      </c>
      <c r="AF78" s="255">
        <v>0</v>
      </c>
      <c r="AG78" s="255">
        <v>0</v>
      </c>
      <c r="AH78" s="255">
        <v>0</v>
      </c>
      <c r="AI78" s="257">
        <v>0</v>
      </c>
      <c r="AJ78" s="254">
        <v>0</v>
      </c>
      <c r="AK78" s="255">
        <v>0</v>
      </c>
      <c r="AL78" s="257">
        <v>0</v>
      </c>
      <c r="AM78" s="254">
        <v>0</v>
      </c>
    </row>
    <row r="79" spans="1:41" ht="12.75" customHeight="1">
      <c r="A79" s="249"/>
      <c r="B79" s="782" t="s">
        <v>131</v>
      </c>
      <c r="C79" s="581">
        <v>0.18914185639229422</v>
      </c>
      <c r="D79" s="582">
        <v>0.22930648769574943</v>
      </c>
      <c r="E79" s="582">
        <v>0.22473825176527878</v>
      </c>
      <c r="F79" s="582">
        <v>0.11913357400722022</v>
      </c>
      <c r="G79" s="582">
        <v>0.15625</v>
      </c>
      <c r="H79" s="583">
        <v>0.21188630490956073</v>
      </c>
      <c r="I79" s="582"/>
      <c r="J79" s="783">
        <v>0.20653091864502204</v>
      </c>
      <c r="K79" s="581">
        <v>0</v>
      </c>
      <c r="L79" s="582">
        <v>1</v>
      </c>
      <c r="M79" s="582">
        <v>1</v>
      </c>
      <c r="N79" s="583">
        <v>1</v>
      </c>
      <c r="O79" s="582"/>
      <c r="P79" s="581">
        <v>1</v>
      </c>
      <c r="Q79" s="581">
        <v>0</v>
      </c>
      <c r="R79" s="583">
        <v>0</v>
      </c>
      <c r="S79" s="583">
        <v>0</v>
      </c>
      <c r="T79" s="581">
        <v>0</v>
      </c>
      <c r="U79" s="253"/>
      <c r="V79" s="254"/>
      <c r="W79" s="255"/>
      <c r="X79" s="255"/>
      <c r="Y79" s="255"/>
      <c r="Z79" s="255"/>
      <c r="AA79" s="255"/>
      <c r="AB79" s="582"/>
      <c r="AC79" s="256"/>
      <c r="AD79" s="254"/>
      <c r="AE79" s="255"/>
      <c r="AF79" s="255"/>
      <c r="AG79" s="255"/>
      <c r="AH79" s="255"/>
      <c r="AI79" s="257"/>
      <c r="AJ79" s="254"/>
      <c r="AK79" s="255"/>
      <c r="AL79" s="257"/>
      <c r="AM79" s="254"/>
    </row>
    <row r="80" spans="1:41" s="527" customFormat="1" ht="12.75" customHeight="1">
      <c r="A80" s="435"/>
      <c r="B80" s="436" t="s">
        <v>59</v>
      </c>
      <c r="C80" s="261">
        <v>1</v>
      </c>
      <c r="D80" s="262">
        <v>1</v>
      </c>
      <c r="E80" s="262">
        <v>1</v>
      </c>
      <c r="F80" s="262">
        <v>1</v>
      </c>
      <c r="G80" s="262">
        <v>1</v>
      </c>
      <c r="H80" s="263">
        <v>1</v>
      </c>
      <c r="I80" s="262"/>
      <c r="J80" s="531">
        <v>1</v>
      </c>
      <c r="K80" s="261">
        <v>0</v>
      </c>
      <c r="L80" s="262">
        <v>1</v>
      </c>
      <c r="M80" s="262">
        <v>1</v>
      </c>
      <c r="N80" s="263">
        <v>1</v>
      </c>
      <c r="O80" s="262"/>
      <c r="P80" s="261">
        <v>1</v>
      </c>
      <c r="Q80" s="261">
        <v>0</v>
      </c>
      <c r="R80" s="263">
        <v>0</v>
      </c>
      <c r="S80" s="263">
        <v>0</v>
      </c>
      <c r="T80" s="261">
        <v>0</v>
      </c>
      <c r="U80" s="264"/>
      <c r="V80" s="265">
        <v>3426</v>
      </c>
      <c r="W80" s="266">
        <v>1788</v>
      </c>
      <c r="X80" s="266">
        <v>4107</v>
      </c>
      <c r="Y80" s="266">
        <v>277</v>
      </c>
      <c r="Z80" s="266">
        <v>672</v>
      </c>
      <c r="AA80" s="266">
        <v>387</v>
      </c>
      <c r="AB80" s="262"/>
      <c r="AC80" s="267">
        <v>10657</v>
      </c>
      <c r="AD80" s="265">
        <v>0</v>
      </c>
      <c r="AE80" s="266">
        <v>171</v>
      </c>
      <c r="AF80" s="266">
        <v>300</v>
      </c>
      <c r="AG80" s="266">
        <v>84</v>
      </c>
      <c r="AH80" s="266">
        <v>0</v>
      </c>
      <c r="AI80" s="268">
        <v>6807</v>
      </c>
      <c r="AJ80" s="265">
        <v>0</v>
      </c>
      <c r="AK80" s="266">
        <v>0</v>
      </c>
      <c r="AL80" s="268">
        <v>0</v>
      </c>
      <c r="AM80" s="265">
        <v>0</v>
      </c>
      <c r="AN80" s="270"/>
      <c r="AO80" s="270"/>
    </row>
    <row r="81" spans="1:41" ht="12.75" customHeight="1">
      <c r="A81" s="239" t="s">
        <v>13</v>
      </c>
      <c r="B81" s="240" t="s">
        <v>53</v>
      </c>
      <c r="C81" s="241">
        <v>0.33983422720624085</v>
      </c>
      <c r="D81" s="242">
        <v>0</v>
      </c>
      <c r="E81" s="242">
        <v>0.29705505761843792</v>
      </c>
      <c r="F81" s="242">
        <v>0</v>
      </c>
      <c r="G81" s="242">
        <v>0.21297297297297296</v>
      </c>
      <c r="H81" s="243">
        <v>0.14953271028037382</v>
      </c>
      <c r="I81" s="242"/>
      <c r="J81" s="529">
        <v>0.29161420297154367</v>
      </c>
      <c r="K81" s="241">
        <v>0</v>
      </c>
      <c r="L81" s="242">
        <v>0</v>
      </c>
      <c r="M81" s="242">
        <v>0</v>
      </c>
      <c r="N81" s="243">
        <v>0</v>
      </c>
      <c r="O81" s="242"/>
      <c r="P81" s="241">
        <v>0</v>
      </c>
      <c r="Q81" s="342">
        <v>0</v>
      </c>
      <c r="R81" s="243">
        <v>0</v>
      </c>
      <c r="S81" s="243">
        <v>0</v>
      </c>
      <c r="T81" s="342">
        <v>0</v>
      </c>
      <c r="U81" s="244"/>
      <c r="V81" s="245">
        <v>697</v>
      </c>
      <c r="W81" s="246">
        <v>0</v>
      </c>
      <c r="X81" s="246">
        <v>232</v>
      </c>
      <c r="Y81" s="246">
        <v>0</v>
      </c>
      <c r="Z81" s="246">
        <v>197</v>
      </c>
      <c r="AA81" s="246">
        <v>32</v>
      </c>
      <c r="AB81" s="242"/>
      <c r="AC81" s="247">
        <v>1158</v>
      </c>
      <c r="AD81" s="245">
        <v>0</v>
      </c>
      <c r="AE81" s="246">
        <v>0</v>
      </c>
      <c r="AF81" s="246">
        <v>0</v>
      </c>
      <c r="AG81" s="246">
        <v>0</v>
      </c>
      <c r="AH81" s="246">
        <v>0</v>
      </c>
      <c r="AI81" s="248">
        <v>0</v>
      </c>
      <c r="AJ81" s="245">
        <v>0</v>
      </c>
      <c r="AK81" s="246">
        <v>0</v>
      </c>
      <c r="AL81" s="248">
        <v>0</v>
      </c>
      <c r="AM81" s="245">
        <v>0</v>
      </c>
    </row>
    <row r="82" spans="1:41" ht="12.75" customHeight="1">
      <c r="A82" s="249"/>
      <c r="B82" s="239" t="s">
        <v>93</v>
      </c>
      <c r="C82" s="250">
        <v>0.27157484154071188</v>
      </c>
      <c r="D82" s="251">
        <v>0</v>
      </c>
      <c r="E82" s="251">
        <v>0.1946222791293214</v>
      </c>
      <c r="F82" s="251">
        <v>0</v>
      </c>
      <c r="G82" s="251">
        <v>0.20432432432432432</v>
      </c>
      <c r="H82" s="252">
        <v>0.26168224299065418</v>
      </c>
      <c r="I82" s="251"/>
      <c r="J82" s="530">
        <v>0.24024175270712667</v>
      </c>
      <c r="K82" s="250">
        <v>0</v>
      </c>
      <c r="L82" s="251">
        <v>0</v>
      </c>
      <c r="M82" s="251">
        <v>0</v>
      </c>
      <c r="N82" s="252">
        <v>0</v>
      </c>
      <c r="O82" s="251"/>
      <c r="P82" s="272">
        <v>0</v>
      </c>
      <c r="Q82" s="250">
        <v>0</v>
      </c>
      <c r="R82" s="252">
        <v>0</v>
      </c>
      <c r="S82" s="252">
        <v>0</v>
      </c>
      <c r="T82" s="250">
        <v>0</v>
      </c>
      <c r="U82" s="253"/>
      <c r="V82" s="254">
        <v>557</v>
      </c>
      <c r="W82" s="255">
        <v>0</v>
      </c>
      <c r="X82" s="255">
        <v>152</v>
      </c>
      <c r="Y82" s="255">
        <v>0</v>
      </c>
      <c r="Z82" s="255">
        <v>189</v>
      </c>
      <c r="AA82" s="255">
        <v>56</v>
      </c>
      <c r="AB82" s="251"/>
      <c r="AC82" s="256">
        <v>954</v>
      </c>
      <c r="AD82" s="254">
        <v>0</v>
      </c>
      <c r="AE82" s="255">
        <v>0</v>
      </c>
      <c r="AF82" s="255">
        <v>0</v>
      </c>
      <c r="AG82" s="255">
        <v>0</v>
      </c>
      <c r="AH82" s="255">
        <v>0</v>
      </c>
      <c r="AI82" s="257">
        <v>0</v>
      </c>
      <c r="AJ82" s="254">
        <v>0</v>
      </c>
      <c r="AK82" s="255">
        <v>0</v>
      </c>
      <c r="AL82" s="257">
        <v>0</v>
      </c>
      <c r="AM82" s="254">
        <v>0</v>
      </c>
    </row>
    <row r="83" spans="1:41" ht="12.75" customHeight="1">
      <c r="A83" s="249"/>
      <c r="B83" s="239" t="s">
        <v>55</v>
      </c>
      <c r="C83" s="250">
        <v>0.24475865431496832</v>
      </c>
      <c r="D83" s="251">
        <v>0</v>
      </c>
      <c r="E83" s="251">
        <v>0.27528809218950062</v>
      </c>
      <c r="F83" s="251">
        <v>0</v>
      </c>
      <c r="G83" s="251">
        <v>0.28540540540540543</v>
      </c>
      <c r="H83" s="252">
        <v>0.30841121495327101</v>
      </c>
      <c r="I83" s="251"/>
      <c r="J83" s="530">
        <v>0.26366154621002269</v>
      </c>
      <c r="K83" s="250">
        <v>0</v>
      </c>
      <c r="L83" s="251">
        <v>0</v>
      </c>
      <c r="M83" s="251">
        <v>0</v>
      </c>
      <c r="N83" s="252">
        <v>0</v>
      </c>
      <c r="O83" s="251"/>
      <c r="P83" s="250">
        <v>0</v>
      </c>
      <c r="Q83" s="250">
        <v>0</v>
      </c>
      <c r="R83" s="252">
        <v>0</v>
      </c>
      <c r="S83" s="252">
        <v>0</v>
      </c>
      <c r="T83" s="250">
        <v>0</v>
      </c>
      <c r="U83" s="253"/>
      <c r="V83" s="254">
        <v>502</v>
      </c>
      <c r="W83" s="255">
        <v>0</v>
      </c>
      <c r="X83" s="255">
        <v>215</v>
      </c>
      <c r="Y83" s="255">
        <v>0</v>
      </c>
      <c r="Z83" s="255">
        <v>264</v>
      </c>
      <c r="AA83" s="255">
        <v>66</v>
      </c>
      <c r="AB83" s="251"/>
      <c r="AC83" s="256">
        <v>1047</v>
      </c>
      <c r="AD83" s="254">
        <v>0</v>
      </c>
      <c r="AE83" s="255">
        <v>0</v>
      </c>
      <c r="AF83" s="255">
        <v>0</v>
      </c>
      <c r="AG83" s="255">
        <v>0</v>
      </c>
      <c r="AH83" s="255">
        <v>0</v>
      </c>
      <c r="AI83" s="257">
        <v>0</v>
      </c>
      <c r="AJ83" s="254">
        <v>0</v>
      </c>
      <c r="AK83" s="255">
        <v>0</v>
      </c>
      <c r="AL83" s="257">
        <v>0</v>
      </c>
      <c r="AM83" s="254">
        <v>0</v>
      </c>
    </row>
    <row r="84" spans="1:41" ht="12.75" customHeight="1">
      <c r="A84" s="249"/>
      <c r="B84" s="239" t="s">
        <v>78</v>
      </c>
      <c r="C84" s="250">
        <v>0.14383227693807898</v>
      </c>
      <c r="D84" s="251">
        <v>0</v>
      </c>
      <c r="E84" s="251">
        <v>0.23303457106274009</v>
      </c>
      <c r="F84" s="251">
        <v>0</v>
      </c>
      <c r="G84" s="251">
        <v>0.29729729729729731</v>
      </c>
      <c r="H84" s="252">
        <v>0.28037383177570091</v>
      </c>
      <c r="I84" s="251"/>
      <c r="J84" s="530">
        <v>0.20448249811130698</v>
      </c>
      <c r="K84" s="250">
        <v>0</v>
      </c>
      <c r="L84" s="251">
        <v>0</v>
      </c>
      <c r="M84" s="251">
        <v>0</v>
      </c>
      <c r="N84" s="252">
        <v>0</v>
      </c>
      <c r="O84" s="251"/>
      <c r="P84" s="250">
        <v>0</v>
      </c>
      <c r="Q84" s="250">
        <v>0</v>
      </c>
      <c r="R84" s="252">
        <v>0</v>
      </c>
      <c r="S84" s="252">
        <v>0</v>
      </c>
      <c r="T84" s="250">
        <v>0</v>
      </c>
      <c r="U84" s="253"/>
      <c r="V84" s="254">
        <v>295</v>
      </c>
      <c r="W84" s="255">
        <v>0</v>
      </c>
      <c r="X84" s="255">
        <v>182</v>
      </c>
      <c r="Y84" s="255">
        <v>0</v>
      </c>
      <c r="Z84" s="255">
        <v>275</v>
      </c>
      <c r="AA84" s="255">
        <v>60</v>
      </c>
      <c r="AB84" s="251"/>
      <c r="AC84" s="256">
        <v>812</v>
      </c>
      <c r="AD84" s="254">
        <v>0</v>
      </c>
      <c r="AE84" s="255">
        <v>0</v>
      </c>
      <c r="AF84" s="255">
        <v>0</v>
      </c>
      <c r="AG84" s="255">
        <v>0</v>
      </c>
      <c r="AH84" s="255">
        <v>0</v>
      </c>
      <c r="AI84" s="257">
        <v>0</v>
      </c>
      <c r="AJ84" s="254">
        <v>0</v>
      </c>
      <c r="AK84" s="255">
        <v>0</v>
      </c>
      <c r="AL84" s="257">
        <v>0</v>
      </c>
      <c r="AM84" s="254">
        <v>0</v>
      </c>
    </row>
    <row r="85" spans="1:41" ht="12.75" customHeight="1">
      <c r="A85" s="249"/>
      <c r="B85" s="782" t="s">
        <v>131</v>
      </c>
      <c r="C85" s="581">
        <v>0</v>
      </c>
      <c r="D85" s="582">
        <v>0</v>
      </c>
      <c r="E85" s="582">
        <v>0</v>
      </c>
      <c r="F85" s="582">
        <v>0</v>
      </c>
      <c r="G85" s="582">
        <v>0</v>
      </c>
      <c r="H85" s="583">
        <v>0</v>
      </c>
      <c r="I85" s="582"/>
      <c r="J85" s="783">
        <v>0</v>
      </c>
      <c r="K85" s="581">
        <v>0</v>
      </c>
      <c r="L85" s="582">
        <v>1</v>
      </c>
      <c r="M85" s="582">
        <v>1</v>
      </c>
      <c r="N85" s="583">
        <v>1</v>
      </c>
      <c r="O85" s="582"/>
      <c r="P85" s="581">
        <v>1</v>
      </c>
      <c r="Q85" s="581">
        <v>1</v>
      </c>
      <c r="R85" s="583">
        <v>1</v>
      </c>
      <c r="S85" s="583">
        <v>1</v>
      </c>
      <c r="T85" s="581">
        <v>1</v>
      </c>
      <c r="U85" s="253"/>
      <c r="V85" s="254"/>
      <c r="W85" s="255"/>
      <c r="X85" s="255"/>
      <c r="Y85" s="255"/>
      <c r="Z85" s="255"/>
      <c r="AA85" s="255"/>
      <c r="AB85" s="582"/>
      <c r="AC85" s="256"/>
      <c r="AD85" s="254"/>
      <c r="AE85" s="255"/>
      <c r="AF85" s="255"/>
      <c r="AG85" s="255"/>
      <c r="AH85" s="255"/>
      <c r="AI85" s="257"/>
      <c r="AJ85" s="254"/>
      <c r="AK85" s="255"/>
      <c r="AL85" s="257"/>
      <c r="AM85" s="254"/>
    </row>
    <row r="86" spans="1:41" s="527" customFormat="1" ht="12.75" customHeight="1">
      <c r="A86" s="435"/>
      <c r="B86" s="436" t="s">
        <v>59</v>
      </c>
      <c r="C86" s="261">
        <v>1</v>
      </c>
      <c r="D86" s="262">
        <v>0</v>
      </c>
      <c r="E86" s="262">
        <v>1</v>
      </c>
      <c r="F86" s="262">
        <v>0</v>
      </c>
      <c r="G86" s="262">
        <v>1</v>
      </c>
      <c r="H86" s="263">
        <v>1</v>
      </c>
      <c r="I86" s="262"/>
      <c r="J86" s="531">
        <v>1</v>
      </c>
      <c r="K86" s="261">
        <v>0</v>
      </c>
      <c r="L86" s="262">
        <v>1</v>
      </c>
      <c r="M86" s="262">
        <v>1</v>
      </c>
      <c r="N86" s="263">
        <v>1</v>
      </c>
      <c r="O86" s="262"/>
      <c r="P86" s="261">
        <v>1</v>
      </c>
      <c r="Q86" s="261">
        <v>1</v>
      </c>
      <c r="R86" s="263">
        <v>1</v>
      </c>
      <c r="S86" s="263">
        <v>1</v>
      </c>
      <c r="T86" s="261">
        <v>1</v>
      </c>
      <c r="U86" s="264"/>
      <c r="V86" s="265">
        <v>2051</v>
      </c>
      <c r="W86" s="266">
        <v>0</v>
      </c>
      <c r="X86" s="266">
        <v>781</v>
      </c>
      <c r="Y86" s="266">
        <v>0</v>
      </c>
      <c r="Z86" s="266">
        <v>925</v>
      </c>
      <c r="AA86" s="266">
        <v>214</v>
      </c>
      <c r="AB86" s="262"/>
      <c r="AC86" s="267">
        <v>3971</v>
      </c>
      <c r="AD86" s="265">
        <v>0</v>
      </c>
      <c r="AE86" s="266">
        <v>171</v>
      </c>
      <c r="AF86" s="266">
        <v>300</v>
      </c>
      <c r="AG86" s="266">
        <v>84</v>
      </c>
      <c r="AH86" s="266">
        <v>0</v>
      </c>
      <c r="AI86" s="268">
        <v>1236</v>
      </c>
      <c r="AJ86" s="265">
        <v>309</v>
      </c>
      <c r="AK86" s="266">
        <v>814</v>
      </c>
      <c r="AL86" s="268">
        <v>6</v>
      </c>
      <c r="AM86" s="265">
        <v>1129</v>
      </c>
      <c r="AN86" s="270"/>
      <c r="AO86" s="270"/>
    </row>
    <row r="87" spans="1:41" ht="12.75" customHeight="1">
      <c r="A87" s="239" t="s">
        <v>14</v>
      </c>
      <c r="B87" s="240" t="s">
        <v>53</v>
      </c>
      <c r="C87" s="241">
        <v>0.29986492570914003</v>
      </c>
      <c r="D87" s="242">
        <v>0</v>
      </c>
      <c r="E87" s="242">
        <v>0.24874371859296482</v>
      </c>
      <c r="F87" s="242">
        <v>0.31176470588235294</v>
      </c>
      <c r="G87" s="242">
        <v>0.21596858638743455</v>
      </c>
      <c r="H87" s="243">
        <v>0.15352697095435686</v>
      </c>
      <c r="I87" s="242"/>
      <c r="J87" s="529">
        <v>0.26077148657793819</v>
      </c>
      <c r="K87" s="241">
        <v>0</v>
      </c>
      <c r="L87" s="242">
        <v>0</v>
      </c>
      <c r="M87" s="242">
        <v>0</v>
      </c>
      <c r="N87" s="243">
        <v>0</v>
      </c>
      <c r="O87" s="242"/>
      <c r="P87" s="241">
        <v>1.2676056338028169E-2</v>
      </c>
      <c r="Q87" s="342">
        <v>0</v>
      </c>
      <c r="R87" s="243">
        <v>0</v>
      </c>
      <c r="S87" s="243">
        <v>0</v>
      </c>
      <c r="T87" s="342">
        <v>0</v>
      </c>
      <c r="U87" s="244"/>
      <c r="V87" s="245">
        <v>666</v>
      </c>
      <c r="W87" s="246">
        <v>0</v>
      </c>
      <c r="X87" s="246">
        <v>198</v>
      </c>
      <c r="Y87" s="246">
        <v>53</v>
      </c>
      <c r="Z87" s="246">
        <v>165</v>
      </c>
      <c r="AA87" s="246">
        <v>74</v>
      </c>
      <c r="AB87" s="242"/>
      <c r="AC87" s="247">
        <v>1156</v>
      </c>
      <c r="AD87" s="245">
        <v>0</v>
      </c>
      <c r="AE87" s="246">
        <v>0</v>
      </c>
      <c r="AF87" s="246">
        <v>0</v>
      </c>
      <c r="AG87" s="246">
        <v>0</v>
      </c>
      <c r="AH87" s="246">
        <v>0</v>
      </c>
      <c r="AI87" s="248">
        <v>27</v>
      </c>
      <c r="AJ87" s="245">
        <v>0</v>
      </c>
      <c r="AK87" s="246">
        <v>0</v>
      </c>
      <c r="AL87" s="248">
        <v>0</v>
      </c>
      <c r="AM87" s="245">
        <v>0</v>
      </c>
    </row>
    <row r="88" spans="1:41" ht="12.75" customHeight="1">
      <c r="A88" s="249"/>
      <c r="B88" s="239" t="s">
        <v>93</v>
      </c>
      <c r="C88" s="250">
        <v>0.26924808644754616</v>
      </c>
      <c r="D88" s="251">
        <v>0</v>
      </c>
      <c r="E88" s="251">
        <v>0.31281407035175879</v>
      </c>
      <c r="F88" s="251">
        <v>0.3</v>
      </c>
      <c r="G88" s="251">
        <v>0.23691099476439789</v>
      </c>
      <c r="H88" s="252">
        <v>0.23029045643153526</v>
      </c>
      <c r="I88" s="251"/>
      <c r="J88" s="530">
        <v>0.26844123618317167</v>
      </c>
      <c r="K88" s="250">
        <v>0</v>
      </c>
      <c r="L88" s="251">
        <v>0</v>
      </c>
      <c r="M88" s="251">
        <v>0</v>
      </c>
      <c r="N88" s="252">
        <v>0</v>
      </c>
      <c r="O88" s="251"/>
      <c r="P88" s="250">
        <v>1.7840375586854459E-2</v>
      </c>
      <c r="Q88" s="250">
        <v>0</v>
      </c>
      <c r="R88" s="252">
        <v>0</v>
      </c>
      <c r="S88" s="252">
        <v>0</v>
      </c>
      <c r="T88" s="250">
        <v>0</v>
      </c>
      <c r="U88" s="253"/>
      <c r="V88" s="254">
        <v>598</v>
      </c>
      <c r="W88" s="255">
        <v>0</v>
      </c>
      <c r="X88" s="255">
        <v>249</v>
      </c>
      <c r="Y88" s="255">
        <v>51</v>
      </c>
      <c r="Z88" s="255">
        <v>181</v>
      </c>
      <c r="AA88" s="255">
        <v>111</v>
      </c>
      <c r="AB88" s="251"/>
      <c r="AC88" s="256">
        <v>1190</v>
      </c>
      <c r="AD88" s="254">
        <v>0</v>
      </c>
      <c r="AE88" s="255">
        <v>0</v>
      </c>
      <c r="AF88" s="255">
        <v>0</v>
      </c>
      <c r="AG88" s="255">
        <v>0</v>
      </c>
      <c r="AH88" s="255">
        <v>0</v>
      </c>
      <c r="AI88" s="257">
        <v>38</v>
      </c>
      <c r="AJ88" s="254">
        <v>0</v>
      </c>
      <c r="AK88" s="255">
        <v>0</v>
      </c>
      <c r="AL88" s="257">
        <v>0</v>
      </c>
      <c r="AM88" s="254">
        <v>0</v>
      </c>
    </row>
    <row r="89" spans="1:41" ht="12.75" customHeight="1">
      <c r="A89" s="249"/>
      <c r="B89" s="239" t="s">
        <v>55</v>
      </c>
      <c r="C89" s="250">
        <v>0.27059882935614588</v>
      </c>
      <c r="D89" s="251">
        <v>0</v>
      </c>
      <c r="E89" s="251">
        <v>0.32412060301507539</v>
      </c>
      <c r="F89" s="251">
        <v>0.37647058823529411</v>
      </c>
      <c r="G89" s="251">
        <v>0.37041884816753928</v>
      </c>
      <c r="H89" s="252">
        <v>0.33402489626556015</v>
      </c>
      <c r="I89" s="251"/>
      <c r="J89" s="530">
        <v>0.30836905030453415</v>
      </c>
      <c r="K89" s="250">
        <v>0</v>
      </c>
      <c r="L89" s="251">
        <v>0</v>
      </c>
      <c r="M89" s="251">
        <v>0</v>
      </c>
      <c r="N89" s="252">
        <v>0</v>
      </c>
      <c r="O89" s="251"/>
      <c r="P89" s="250">
        <v>2.5352112676056339E-2</v>
      </c>
      <c r="Q89" s="250">
        <v>0</v>
      </c>
      <c r="R89" s="252">
        <v>0</v>
      </c>
      <c r="S89" s="252">
        <v>0</v>
      </c>
      <c r="T89" s="250">
        <v>0</v>
      </c>
      <c r="U89" s="253"/>
      <c r="V89" s="254">
        <v>601</v>
      </c>
      <c r="W89" s="255">
        <v>0</v>
      </c>
      <c r="X89" s="255">
        <v>258</v>
      </c>
      <c r="Y89" s="255">
        <v>64</v>
      </c>
      <c r="Z89" s="255">
        <v>283</v>
      </c>
      <c r="AA89" s="255">
        <v>161</v>
      </c>
      <c r="AB89" s="251"/>
      <c r="AC89" s="256">
        <v>1367</v>
      </c>
      <c r="AD89" s="254">
        <v>0</v>
      </c>
      <c r="AE89" s="255">
        <v>0</v>
      </c>
      <c r="AF89" s="255">
        <v>0</v>
      </c>
      <c r="AG89" s="255">
        <v>0</v>
      </c>
      <c r="AH89" s="255">
        <v>0</v>
      </c>
      <c r="AI89" s="257">
        <v>54</v>
      </c>
      <c r="AJ89" s="254">
        <v>0</v>
      </c>
      <c r="AK89" s="255">
        <v>0</v>
      </c>
      <c r="AL89" s="257">
        <v>0</v>
      </c>
      <c r="AM89" s="254">
        <v>0</v>
      </c>
    </row>
    <row r="90" spans="1:41" ht="12.75" customHeight="1">
      <c r="A90" s="249"/>
      <c r="B90" s="239" t="s">
        <v>78</v>
      </c>
      <c r="C90" s="250">
        <v>6.5285907248986946E-2</v>
      </c>
      <c r="D90" s="251">
        <v>0</v>
      </c>
      <c r="E90" s="251">
        <v>0.114321608040201</v>
      </c>
      <c r="F90" s="251">
        <v>1.1764705882352941E-2</v>
      </c>
      <c r="G90" s="251">
        <v>8.1151832460732987E-2</v>
      </c>
      <c r="H90" s="252">
        <v>0.26970954356846472</v>
      </c>
      <c r="I90" s="251"/>
      <c r="J90" s="530">
        <v>9.6999774419129256E-2</v>
      </c>
      <c r="K90" s="250">
        <v>0</v>
      </c>
      <c r="L90" s="251">
        <v>0</v>
      </c>
      <c r="M90" s="251">
        <v>0</v>
      </c>
      <c r="N90" s="252">
        <v>0</v>
      </c>
      <c r="O90" s="251"/>
      <c r="P90" s="250">
        <v>3.0516431924882629E-2</v>
      </c>
      <c r="Q90" s="250">
        <v>0</v>
      </c>
      <c r="R90" s="252">
        <v>0</v>
      </c>
      <c r="S90" s="252">
        <v>0</v>
      </c>
      <c r="T90" s="250">
        <v>0</v>
      </c>
      <c r="U90" s="253"/>
      <c r="V90" s="254">
        <v>145</v>
      </c>
      <c r="W90" s="255">
        <v>0</v>
      </c>
      <c r="X90" s="255">
        <v>91</v>
      </c>
      <c r="Y90" s="255">
        <v>2</v>
      </c>
      <c r="Z90" s="255">
        <v>62</v>
      </c>
      <c r="AA90" s="255">
        <v>130</v>
      </c>
      <c r="AB90" s="251"/>
      <c r="AC90" s="256">
        <v>430</v>
      </c>
      <c r="AD90" s="254">
        <v>0</v>
      </c>
      <c r="AE90" s="255">
        <v>0</v>
      </c>
      <c r="AF90" s="255">
        <v>0</v>
      </c>
      <c r="AG90" s="255">
        <v>0</v>
      </c>
      <c r="AH90" s="255">
        <v>0</v>
      </c>
      <c r="AI90" s="257">
        <v>65</v>
      </c>
      <c r="AJ90" s="254">
        <v>0</v>
      </c>
      <c r="AK90" s="255">
        <v>0</v>
      </c>
      <c r="AL90" s="257">
        <v>0</v>
      </c>
      <c r="AM90" s="254">
        <v>0</v>
      </c>
    </row>
    <row r="91" spans="1:41" ht="12.75" customHeight="1">
      <c r="A91" s="249"/>
      <c r="B91" s="782" t="s">
        <v>131</v>
      </c>
      <c r="C91" s="581">
        <v>9.5002251238180999E-2</v>
      </c>
      <c r="D91" s="582">
        <v>0</v>
      </c>
      <c r="E91" s="582">
        <v>0</v>
      </c>
      <c r="F91" s="582">
        <v>0</v>
      </c>
      <c r="G91" s="582">
        <v>9.5549738219895292E-2</v>
      </c>
      <c r="H91" s="583">
        <v>1.2448132780082987E-2</v>
      </c>
      <c r="I91" s="582"/>
      <c r="J91" s="783">
        <v>6.541845251522671E-2</v>
      </c>
      <c r="K91" s="581">
        <v>0</v>
      </c>
      <c r="L91" s="582">
        <v>1</v>
      </c>
      <c r="M91" s="582">
        <v>1</v>
      </c>
      <c r="N91" s="583">
        <v>1</v>
      </c>
      <c r="O91" s="582"/>
      <c r="P91" s="581">
        <v>0.91361502347417844</v>
      </c>
      <c r="Q91" s="581">
        <v>0</v>
      </c>
      <c r="R91" s="583">
        <v>0</v>
      </c>
      <c r="S91" s="583">
        <v>0</v>
      </c>
      <c r="T91" s="581">
        <v>0</v>
      </c>
      <c r="U91" s="253"/>
      <c r="V91" s="254"/>
      <c r="W91" s="255"/>
      <c r="X91" s="255"/>
      <c r="Y91" s="255"/>
      <c r="Z91" s="255"/>
      <c r="AA91" s="255"/>
      <c r="AB91" s="582"/>
      <c r="AC91" s="256"/>
      <c r="AD91" s="254"/>
      <c r="AE91" s="255"/>
      <c r="AF91" s="255"/>
      <c r="AG91" s="255"/>
      <c r="AH91" s="255"/>
      <c r="AI91" s="257"/>
      <c r="AJ91" s="254"/>
      <c r="AK91" s="255"/>
      <c r="AL91" s="257"/>
      <c r="AM91" s="254"/>
    </row>
    <row r="92" spans="1:41" s="527" customFormat="1" ht="12.75" customHeight="1">
      <c r="A92" s="435"/>
      <c r="B92" s="436" t="s">
        <v>59</v>
      </c>
      <c r="C92" s="261">
        <v>1</v>
      </c>
      <c r="D92" s="262">
        <v>0</v>
      </c>
      <c r="E92" s="262">
        <v>1</v>
      </c>
      <c r="F92" s="262">
        <v>1</v>
      </c>
      <c r="G92" s="262">
        <v>1</v>
      </c>
      <c r="H92" s="263">
        <v>1</v>
      </c>
      <c r="I92" s="262"/>
      <c r="J92" s="531">
        <v>1</v>
      </c>
      <c r="K92" s="261">
        <v>0</v>
      </c>
      <c r="L92" s="262">
        <v>1</v>
      </c>
      <c r="M92" s="262">
        <v>1</v>
      </c>
      <c r="N92" s="263">
        <v>1</v>
      </c>
      <c r="O92" s="262"/>
      <c r="P92" s="261">
        <v>1</v>
      </c>
      <c r="Q92" s="261">
        <v>0</v>
      </c>
      <c r="R92" s="263">
        <v>0</v>
      </c>
      <c r="S92" s="263">
        <v>0</v>
      </c>
      <c r="T92" s="261">
        <v>0</v>
      </c>
      <c r="U92" s="264"/>
      <c r="V92" s="265">
        <v>2221</v>
      </c>
      <c r="W92" s="266">
        <v>0</v>
      </c>
      <c r="X92" s="266">
        <v>796</v>
      </c>
      <c r="Y92" s="266">
        <v>170</v>
      </c>
      <c r="Z92" s="266">
        <v>764</v>
      </c>
      <c r="AA92" s="266">
        <v>482</v>
      </c>
      <c r="AB92" s="262"/>
      <c r="AC92" s="267">
        <v>4433</v>
      </c>
      <c r="AD92" s="265">
        <v>0</v>
      </c>
      <c r="AE92" s="266">
        <v>171</v>
      </c>
      <c r="AF92" s="266">
        <v>300</v>
      </c>
      <c r="AG92" s="266">
        <v>84</v>
      </c>
      <c r="AH92" s="266">
        <v>0</v>
      </c>
      <c r="AI92" s="268">
        <v>2130</v>
      </c>
      <c r="AJ92" s="265">
        <v>0</v>
      </c>
      <c r="AK92" s="266">
        <v>0</v>
      </c>
      <c r="AL92" s="268">
        <v>0</v>
      </c>
      <c r="AM92" s="265">
        <v>0</v>
      </c>
      <c r="AN92" s="270"/>
      <c r="AO92" s="270"/>
    </row>
    <row r="93" spans="1:41" ht="12.75" customHeight="1">
      <c r="A93" s="239" t="s">
        <v>15</v>
      </c>
      <c r="B93" s="240" t="s">
        <v>53</v>
      </c>
      <c r="C93" s="241">
        <v>0.32051800890327803</v>
      </c>
      <c r="D93" s="242">
        <v>0</v>
      </c>
      <c r="E93" s="242">
        <v>0.32235294117647056</v>
      </c>
      <c r="F93" s="242">
        <v>0</v>
      </c>
      <c r="G93" s="242">
        <v>0.2805755395683453</v>
      </c>
      <c r="H93" s="243">
        <v>0</v>
      </c>
      <c r="I93" s="242"/>
      <c r="J93" s="529">
        <v>0.3195317959468903</v>
      </c>
      <c r="K93" s="241">
        <v>0</v>
      </c>
      <c r="L93" s="242">
        <v>0</v>
      </c>
      <c r="M93" s="242">
        <v>0</v>
      </c>
      <c r="N93" s="243">
        <v>0</v>
      </c>
      <c r="O93" s="242"/>
      <c r="P93" s="241">
        <v>0.12548369264787176</v>
      </c>
      <c r="Q93" s="342">
        <v>0</v>
      </c>
      <c r="R93" s="243">
        <v>0</v>
      </c>
      <c r="S93" s="243">
        <v>0</v>
      </c>
      <c r="T93" s="342">
        <v>0</v>
      </c>
      <c r="U93" s="244"/>
      <c r="V93" s="245">
        <v>792</v>
      </c>
      <c r="W93" s="246">
        <v>0</v>
      </c>
      <c r="X93" s="246">
        <v>959</v>
      </c>
      <c r="Y93" s="246">
        <v>0</v>
      </c>
      <c r="Z93" s="246">
        <v>78</v>
      </c>
      <c r="AA93" s="246">
        <v>0</v>
      </c>
      <c r="AB93" s="242"/>
      <c r="AC93" s="247">
        <v>1829</v>
      </c>
      <c r="AD93" s="245">
        <v>0</v>
      </c>
      <c r="AE93" s="246">
        <v>0</v>
      </c>
      <c r="AF93" s="246">
        <v>0</v>
      </c>
      <c r="AG93" s="246">
        <v>0</v>
      </c>
      <c r="AH93" s="246">
        <v>0</v>
      </c>
      <c r="AI93" s="248">
        <v>227</v>
      </c>
      <c r="AJ93" s="245">
        <v>0</v>
      </c>
      <c r="AK93" s="246">
        <v>0</v>
      </c>
      <c r="AL93" s="248">
        <v>0</v>
      </c>
      <c r="AM93" s="245">
        <v>0</v>
      </c>
    </row>
    <row r="94" spans="1:41" ht="12.75" customHeight="1">
      <c r="A94" s="249"/>
      <c r="B94" s="239" t="s">
        <v>93</v>
      </c>
      <c r="C94" s="250">
        <v>0.26669364629704573</v>
      </c>
      <c r="D94" s="251">
        <v>0</v>
      </c>
      <c r="E94" s="251">
        <v>0.25949579831932773</v>
      </c>
      <c r="F94" s="251">
        <v>0</v>
      </c>
      <c r="G94" s="251">
        <v>0.20503597122302158</v>
      </c>
      <c r="H94" s="252">
        <v>0</v>
      </c>
      <c r="I94" s="251"/>
      <c r="J94" s="530">
        <v>0.25995807127882598</v>
      </c>
      <c r="K94" s="250">
        <v>0</v>
      </c>
      <c r="L94" s="251">
        <v>0</v>
      </c>
      <c r="M94" s="251">
        <v>0</v>
      </c>
      <c r="N94" s="252">
        <v>0</v>
      </c>
      <c r="O94" s="251"/>
      <c r="P94" s="250">
        <v>0.43228302929795465</v>
      </c>
      <c r="Q94" s="250">
        <v>0</v>
      </c>
      <c r="R94" s="252">
        <v>0</v>
      </c>
      <c r="S94" s="252">
        <v>0</v>
      </c>
      <c r="T94" s="250">
        <v>0</v>
      </c>
      <c r="U94" s="253"/>
      <c r="V94" s="254">
        <v>659</v>
      </c>
      <c r="W94" s="255">
        <v>0</v>
      </c>
      <c r="X94" s="255">
        <v>772</v>
      </c>
      <c r="Y94" s="255">
        <v>0</v>
      </c>
      <c r="Z94" s="255">
        <v>57</v>
      </c>
      <c r="AA94" s="255">
        <v>0</v>
      </c>
      <c r="AB94" s="251"/>
      <c r="AC94" s="256">
        <v>1488</v>
      </c>
      <c r="AD94" s="254">
        <v>0</v>
      </c>
      <c r="AE94" s="255">
        <v>0</v>
      </c>
      <c r="AF94" s="255">
        <v>0</v>
      </c>
      <c r="AG94" s="255">
        <v>0</v>
      </c>
      <c r="AH94" s="255">
        <v>0</v>
      </c>
      <c r="AI94" s="257">
        <v>782</v>
      </c>
      <c r="AJ94" s="254">
        <v>0</v>
      </c>
      <c r="AK94" s="255">
        <v>0</v>
      </c>
      <c r="AL94" s="257">
        <v>0</v>
      </c>
      <c r="AM94" s="254">
        <v>0</v>
      </c>
    </row>
    <row r="95" spans="1:41" ht="12.75" customHeight="1">
      <c r="A95" s="249"/>
      <c r="B95" s="239" t="s">
        <v>55</v>
      </c>
      <c r="C95" s="250">
        <v>0.24281667341157426</v>
      </c>
      <c r="D95" s="251">
        <v>0</v>
      </c>
      <c r="E95" s="251">
        <v>0.27663865546218486</v>
      </c>
      <c r="F95" s="251">
        <v>0</v>
      </c>
      <c r="G95" s="251">
        <v>0.29136690647482016</v>
      </c>
      <c r="H95" s="252">
        <v>0</v>
      </c>
      <c r="I95" s="251"/>
      <c r="J95" s="530">
        <v>0.26275331935709295</v>
      </c>
      <c r="K95" s="250">
        <v>0</v>
      </c>
      <c r="L95" s="251">
        <v>0</v>
      </c>
      <c r="M95" s="251">
        <v>0</v>
      </c>
      <c r="N95" s="252">
        <v>0</v>
      </c>
      <c r="O95" s="251"/>
      <c r="P95" s="250">
        <v>0.20121614151464898</v>
      </c>
      <c r="Q95" s="250">
        <v>0</v>
      </c>
      <c r="R95" s="252">
        <v>0</v>
      </c>
      <c r="S95" s="252">
        <v>0</v>
      </c>
      <c r="T95" s="250">
        <v>0</v>
      </c>
      <c r="U95" s="253"/>
      <c r="V95" s="254">
        <v>600</v>
      </c>
      <c r="W95" s="255">
        <v>0</v>
      </c>
      <c r="X95" s="255">
        <v>823</v>
      </c>
      <c r="Y95" s="255">
        <v>0</v>
      </c>
      <c r="Z95" s="255">
        <v>81</v>
      </c>
      <c r="AA95" s="255">
        <v>0</v>
      </c>
      <c r="AB95" s="251"/>
      <c r="AC95" s="256">
        <v>1504</v>
      </c>
      <c r="AD95" s="254">
        <v>0</v>
      </c>
      <c r="AE95" s="255">
        <v>0</v>
      </c>
      <c r="AF95" s="255">
        <v>0</v>
      </c>
      <c r="AG95" s="255">
        <v>0</v>
      </c>
      <c r="AH95" s="255">
        <v>0</v>
      </c>
      <c r="AI95" s="257">
        <v>364</v>
      </c>
      <c r="AJ95" s="254">
        <v>0</v>
      </c>
      <c r="AK95" s="255">
        <v>0</v>
      </c>
      <c r="AL95" s="257">
        <v>0</v>
      </c>
      <c r="AM95" s="254">
        <v>0</v>
      </c>
    </row>
    <row r="96" spans="1:41" ht="12.75" customHeight="1">
      <c r="A96" s="249"/>
      <c r="B96" s="239" t="s">
        <v>78</v>
      </c>
      <c r="C96" s="250">
        <v>5.7871307163091863E-2</v>
      </c>
      <c r="D96" s="251">
        <v>0</v>
      </c>
      <c r="E96" s="251">
        <v>9.1764705882352943E-2</v>
      </c>
      <c r="F96" s="251">
        <v>0</v>
      </c>
      <c r="G96" s="251">
        <v>6.1151079136690649E-2</v>
      </c>
      <c r="H96" s="252">
        <v>0</v>
      </c>
      <c r="I96" s="251"/>
      <c r="J96" s="530">
        <v>7.5646401118099227E-2</v>
      </c>
      <c r="K96" s="250">
        <v>0</v>
      </c>
      <c r="L96" s="251">
        <v>0</v>
      </c>
      <c r="M96" s="251">
        <v>0</v>
      </c>
      <c r="N96" s="252">
        <v>0</v>
      </c>
      <c r="O96" s="251"/>
      <c r="P96" s="250">
        <v>0.23659480375898287</v>
      </c>
      <c r="Q96" s="250">
        <v>0</v>
      </c>
      <c r="R96" s="252">
        <v>0</v>
      </c>
      <c r="S96" s="252">
        <v>0</v>
      </c>
      <c r="T96" s="250">
        <v>0</v>
      </c>
      <c r="U96" s="253"/>
      <c r="V96" s="254">
        <v>143</v>
      </c>
      <c r="W96" s="255">
        <v>0</v>
      </c>
      <c r="X96" s="255">
        <v>273</v>
      </c>
      <c r="Y96" s="255">
        <v>0</v>
      </c>
      <c r="Z96" s="255">
        <v>17</v>
      </c>
      <c r="AA96" s="255">
        <v>0</v>
      </c>
      <c r="AB96" s="251"/>
      <c r="AC96" s="256">
        <v>433</v>
      </c>
      <c r="AD96" s="254">
        <v>0</v>
      </c>
      <c r="AE96" s="255">
        <v>0</v>
      </c>
      <c r="AF96" s="255">
        <v>0</v>
      </c>
      <c r="AG96" s="255">
        <v>0</v>
      </c>
      <c r="AH96" s="255">
        <v>0</v>
      </c>
      <c r="AI96" s="257">
        <v>428</v>
      </c>
      <c r="AJ96" s="254">
        <v>0</v>
      </c>
      <c r="AK96" s="255">
        <v>0</v>
      </c>
      <c r="AL96" s="257">
        <v>0</v>
      </c>
      <c r="AM96" s="254">
        <v>0</v>
      </c>
    </row>
    <row r="97" spans="1:41" ht="12.75" customHeight="1">
      <c r="A97" s="249"/>
      <c r="B97" s="782" t="s">
        <v>131</v>
      </c>
      <c r="C97" s="581">
        <v>0.11210036422501012</v>
      </c>
      <c r="D97" s="582">
        <v>0</v>
      </c>
      <c r="E97" s="582">
        <v>4.9747899159663864E-2</v>
      </c>
      <c r="F97" s="582">
        <v>0</v>
      </c>
      <c r="G97" s="582">
        <v>0.16187050359712229</v>
      </c>
      <c r="H97" s="583">
        <v>0</v>
      </c>
      <c r="I97" s="582"/>
      <c r="J97" s="783">
        <v>8.2110412299091551E-2</v>
      </c>
      <c r="K97" s="581">
        <v>0</v>
      </c>
      <c r="L97" s="582">
        <v>1</v>
      </c>
      <c r="M97" s="582">
        <v>1</v>
      </c>
      <c r="N97" s="583">
        <v>1</v>
      </c>
      <c r="O97" s="582"/>
      <c r="P97" s="581">
        <v>4.4223327805417356E-3</v>
      </c>
      <c r="Q97" s="581">
        <v>0</v>
      </c>
      <c r="R97" s="583">
        <v>1</v>
      </c>
      <c r="S97" s="583">
        <v>0</v>
      </c>
      <c r="T97" s="581">
        <v>1</v>
      </c>
      <c r="U97" s="253"/>
      <c r="V97" s="254"/>
      <c r="W97" s="255"/>
      <c r="X97" s="255"/>
      <c r="Y97" s="255"/>
      <c r="Z97" s="255"/>
      <c r="AA97" s="255"/>
      <c r="AB97" s="582"/>
      <c r="AC97" s="256"/>
      <c r="AD97" s="254"/>
      <c r="AE97" s="255"/>
      <c r="AF97" s="255"/>
      <c r="AG97" s="255"/>
      <c r="AH97" s="255"/>
      <c r="AI97" s="257"/>
      <c r="AJ97" s="254"/>
      <c r="AK97" s="255"/>
      <c r="AL97" s="257"/>
      <c r="AM97" s="254"/>
    </row>
    <row r="98" spans="1:41" s="527" customFormat="1" ht="12.75" customHeight="1">
      <c r="A98" s="435"/>
      <c r="B98" s="436" t="s">
        <v>59</v>
      </c>
      <c r="C98" s="261">
        <v>1</v>
      </c>
      <c r="D98" s="262">
        <v>0</v>
      </c>
      <c r="E98" s="262">
        <v>1</v>
      </c>
      <c r="F98" s="262">
        <v>0</v>
      </c>
      <c r="G98" s="262">
        <v>1</v>
      </c>
      <c r="H98" s="263">
        <v>0</v>
      </c>
      <c r="I98" s="262"/>
      <c r="J98" s="531">
        <v>1</v>
      </c>
      <c r="K98" s="261">
        <v>0</v>
      </c>
      <c r="L98" s="262">
        <v>1</v>
      </c>
      <c r="M98" s="262">
        <v>1</v>
      </c>
      <c r="N98" s="263">
        <v>1</v>
      </c>
      <c r="O98" s="262"/>
      <c r="P98" s="261">
        <v>1</v>
      </c>
      <c r="Q98" s="261">
        <v>0</v>
      </c>
      <c r="R98" s="263">
        <v>1</v>
      </c>
      <c r="S98" s="263">
        <v>0</v>
      </c>
      <c r="T98" s="261">
        <v>1</v>
      </c>
      <c r="U98" s="264"/>
      <c r="V98" s="265">
        <v>2471</v>
      </c>
      <c r="W98" s="266">
        <v>0</v>
      </c>
      <c r="X98" s="266">
        <v>2975</v>
      </c>
      <c r="Y98" s="266">
        <v>0</v>
      </c>
      <c r="Z98" s="266">
        <v>278</v>
      </c>
      <c r="AA98" s="266">
        <v>0</v>
      </c>
      <c r="AB98" s="262"/>
      <c r="AC98" s="267">
        <v>5724</v>
      </c>
      <c r="AD98" s="265">
        <v>0</v>
      </c>
      <c r="AE98" s="266">
        <v>171</v>
      </c>
      <c r="AF98" s="266">
        <v>300</v>
      </c>
      <c r="AG98" s="266">
        <v>84</v>
      </c>
      <c r="AH98" s="266">
        <v>0</v>
      </c>
      <c r="AI98" s="268">
        <v>1809</v>
      </c>
      <c r="AJ98" s="265">
        <v>0</v>
      </c>
      <c r="AK98" s="266">
        <v>529</v>
      </c>
      <c r="AL98" s="268">
        <v>0</v>
      </c>
      <c r="AM98" s="265">
        <v>529</v>
      </c>
      <c r="AN98" s="270"/>
      <c r="AO98" s="270"/>
    </row>
    <row r="99" spans="1:41" ht="12.75" customHeight="1">
      <c r="A99" s="239" t="s">
        <v>16</v>
      </c>
      <c r="B99" s="240" t="s">
        <v>53</v>
      </c>
      <c r="C99" s="241">
        <v>0.32923570283270975</v>
      </c>
      <c r="D99" s="242">
        <v>0.20113460546673542</v>
      </c>
      <c r="E99" s="242">
        <v>0.21115082201572552</v>
      </c>
      <c r="F99" s="242">
        <v>0.23492063492063492</v>
      </c>
      <c r="G99" s="242">
        <v>0.16838487972508592</v>
      </c>
      <c r="H99" s="243">
        <v>0.24</v>
      </c>
      <c r="I99" s="242"/>
      <c r="J99" s="529">
        <v>0.26817583574624904</v>
      </c>
      <c r="K99" s="241">
        <v>0</v>
      </c>
      <c r="L99" s="242">
        <v>0</v>
      </c>
      <c r="M99" s="242">
        <v>0</v>
      </c>
      <c r="N99" s="243">
        <v>0</v>
      </c>
      <c r="O99" s="242"/>
      <c r="P99" s="241">
        <v>0.21962406015037594</v>
      </c>
      <c r="Q99" s="342">
        <v>0</v>
      </c>
      <c r="R99" s="243">
        <v>0</v>
      </c>
      <c r="S99" s="243">
        <v>0</v>
      </c>
      <c r="T99" s="342">
        <v>0</v>
      </c>
      <c r="U99" s="244"/>
      <c r="V99" s="245">
        <v>3080</v>
      </c>
      <c r="W99" s="246">
        <v>390</v>
      </c>
      <c r="X99" s="246">
        <v>1477</v>
      </c>
      <c r="Y99" s="246">
        <v>74</v>
      </c>
      <c r="Z99" s="246">
        <v>49</v>
      </c>
      <c r="AA99" s="246">
        <v>24</v>
      </c>
      <c r="AB99" s="242"/>
      <c r="AC99" s="247">
        <v>5094</v>
      </c>
      <c r="AD99" s="245">
        <v>0</v>
      </c>
      <c r="AE99" s="246">
        <v>0</v>
      </c>
      <c r="AF99" s="246">
        <v>0</v>
      </c>
      <c r="AG99" s="246">
        <v>0</v>
      </c>
      <c r="AH99" s="246">
        <v>0</v>
      </c>
      <c r="AI99" s="248">
        <v>2921</v>
      </c>
      <c r="AJ99" s="245">
        <v>0</v>
      </c>
      <c r="AK99" s="246">
        <v>0</v>
      </c>
      <c r="AL99" s="248">
        <v>0</v>
      </c>
      <c r="AM99" s="245">
        <v>0</v>
      </c>
    </row>
    <row r="100" spans="1:41" ht="12.75" customHeight="1">
      <c r="A100" s="249"/>
      <c r="B100" s="239" t="s">
        <v>93</v>
      </c>
      <c r="C100" s="250">
        <v>0.24094067343666489</v>
      </c>
      <c r="D100" s="251">
        <v>0.24600309437854564</v>
      </c>
      <c r="E100" s="251">
        <v>0.23059328091493925</v>
      </c>
      <c r="F100" s="251">
        <v>0.29206349206349208</v>
      </c>
      <c r="G100" s="251">
        <v>0.32302405498281789</v>
      </c>
      <c r="H100" s="252">
        <v>0.14000000000000001</v>
      </c>
      <c r="I100" s="251"/>
      <c r="J100" s="530">
        <v>0.23922084759147144</v>
      </c>
      <c r="K100" s="250">
        <v>0</v>
      </c>
      <c r="L100" s="251">
        <v>0</v>
      </c>
      <c r="M100" s="251">
        <v>0</v>
      </c>
      <c r="N100" s="252">
        <v>0</v>
      </c>
      <c r="O100" s="251"/>
      <c r="P100" s="250">
        <v>0.10857142857142857</v>
      </c>
      <c r="Q100" s="250">
        <v>0</v>
      </c>
      <c r="R100" s="252">
        <v>0</v>
      </c>
      <c r="S100" s="252">
        <v>0</v>
      </c>
      <c r="T100" s="250">
        <v>0</v>
      </c>
      <c r="U100" s="253"/>
      <c r="V100" s="254">
        <v>2254</v>
      </c>
      <c r="W100" s="255">
        <v>477</v>
      </c>
      <c r="X100" s="255">
        <v>1613</v>
      </c>
      <c r="Y100" s="255">
        <v>92</v>
      </c>
      <c r="Z100" s="255">
        <v>94</v>
      </c>
      <c r="AA100" s="255">
        <v>14</v>
      </c>
      <c r="AB100" s="251"/>
      <c r="AC100" s="256">
        <v>4544</v>
      </c>
      <c r="AD100" s="254">
        <v>0</v>
      </c>
      <c r="AE100" s="255">
        <v>0</v>
      </c>
      <c r="AF100" s="255">
        <v>0</v>
      </c>
      <c r="AG100" s="255">
        <v>0</v>
      </c>
      <c r="AH100" s="255">
        <v>0</v>
      </c>
      <c r="AI100" s="257">
        <v>1444</v>
      </c>
      <c r="AJ100" s="254">
        <v>0</v>
      </c>
      <c r="AK100" s="255">
        <v>0</v>
      </c>
      <c r="AL100" s="257">
        <v>0</v>
      </c>
      <c r="AM100" s="254">
        <v>0</v>
      </c>
    </row>
    <row r="101" spans="1:41" ht="12.75" customHeight="1">
      <c r="A101" s="249"/>
      <c r="B101" s="239" t="s">
        <v>55</v>
      </c>
      <c r="C101" s="250">
        <v>0.22191341528594336</v>
      </c>
      <c r="D101" s="251">
        <v>0.21763795771015987</v>
      </c>
      <c r="E101" s="251">
        <v>0.30879199428162973</v>
      </c>
      <c r="F101" s="251">
        <v>0.27301587301587299</v>
      </c>
      <c r="G101" s="251">
        <v>0.33333333333333331</v>
      </c>
      <c r="H101" s="252">
        <v>0.18</v>
      </c>
      <c r="I101" s="251"/>
      <c r="J101" s="530">
        <v>0.25580415898920766</v>
      </c>
      <c r="K101" s="250">
        <v>0</v>
      </c>
      <c r="L101" s="251">
        <v>0</v>
      </c>
      <c r="M101" s="251">
        <v>0</v>
      </c>
      <c r="N101" s="252">
        <v>0</v>
      </c>
      <c r="O101" s="251"/>
      <c r="P101" s="250">
        <v>9.1203007518796994E-2</v>
      </c>
      <c r="Q101" s="250">
        <v>0</v>
      </c>
      <c r="R101" s="252">
        <v>0</v>
      </c>
      <c r="S101" s="252">
        <v>0</v>
      </c>
      <c r="T101" s="250">
        <v>0</v>
      </c>
      <c r="U101" s="253"/>
      <c r="V101" s="254">
        <v>2076</v>
      </c>
      <c r="W101" s="255">
        <v>422</v>
      </c>
      <c r="X101" s="255">
        <v>2160</v>
      </c>
      <c r="Y101" s="255">
        <v>86</v>
      </c>
      <c r="Z101" s="255">
        <v>97</v>
      </c>
      <c r="AA101" s="255">
        <v>18</v>
      </c>
      <c r="AB101" s="251"/>
      <c r="AC101" s="256">
        <v>4859</v>
      </c>
      <c r="AD101" s="254">
        <v>0</v>
      </c>
      <c r="AE101" s="255">
        <v>0</v>
      </c>
      <c r="AF101" s="255">
        <v>0</v>
      </c>
      <c r="AG101" s="255">
        <v>0</v>
      </c>
      <c r="AH101" s="255">
        <v>0</v>
      </c>
      <c r="AI101" s="257">
        <v>1213</v>
      </c>
      <c r="AJ101" s="254">
        <v>0</v>
      </c>
      <c r="AK101" s="255">
        <v>0</v>
      </c>
      <c r="AL101" s="257">
        <v>0</v>
      </c>
      <c r="AM101" s="254">
        <v>0</v>
      </c>
    </row>
    <row r="102" spans="1:41" ht="12.75" customHeight="1">
      <c r="A102" s="249"/>
      <c r="B102" s="239" t="s">
        <v>78</v>
      </c>
      <c r="C102" s="250">
        <v>3.2602886157135219E-2</v>
      </c>
      <c r="D102" s="251">
        <v>5.6730273336771534E-3</v>
      </c>
      <c r="E102" s="251">
        <v>8.2916368834882057E-2</v>
      </c>
      <c r="F102" s="251">
        <v>3.4920634920634921E-2</v>
      </c>
      <c r="G102" s="251">
        <v>2.4054982817869417E-2</v>
      </c>
      <c r="H102" s="252">
        <v>0</v>
      </c>
      <c r="I102" s="251"/>
      <c r="J102" s="530">
        <v>4.8117925769939458E-2</v>
      </c>
      <c r="K102" s="250">
        <v>0</v>
      </c>
      <c r="L102" s="251">
        <v>0</v>
      </c>
      <c r="M102" s="251">
        <v>0</v>
      </c>
      <c r="N102" s="252">
        <v>0</v>
      </c>
      <c r="O102" s="251"/>
      <c r="P102" s="250">
        <v>0.3398496240601504</v>
      </c>
      <c r="Q102" s="250">
        <v>0</v>
      </c>
      <c r="R102" s="252">
        <v>0</v>
      </c>
      <c r="S102" s="252">
        <v>0</v>
      </c>
      <c r="T102" s="250">
        <v>0</v>
      </c>
      <c r="U102" s="253"/>
      <c r="V102" s="254">
        <v>305</v>
      </c>
      <c r="W102" s="255">
        <v>11</v>
      </c>
      <c r="X102" s="255">
        <v>580</v>
      </c>
      <c r="Y102" s="255">
        <v>11</v>
      </c>
      <c r="Z102" s="255">
        <v>7</v>
      </c>
      <c r="AA102" s="255">
        <v>0</v>
      </c>
      <c r="AB102" s="251"/>
      <c r="AC102" s="256">
        <v>914</v>
      </c>
      <c r="AD102" s="254">
        <v>0</v>
      </c>
      <c r="AE102" s="255">
        <v>0</v>
      </c>
      <c r="AF102" s="255">
        <v>0</v>
      </c>
      <c r="AG102" s="255">
        <v>0</v>
      </c>
      <c r="AH102" s="255">
        <v>0</v>
      </c>
      <c r="AI102" s="257">
        <v>4520</v>
      </c>
      <c r="AJ102" s="254">
        <v>0</v>
      </c>
      <c r="AK102" s="255">
        <v>0</v>
      </c>
      <c r="AL102" s="257">
        <v>0</v>
      </c>
      <c r="AM102" s="254">
        <v>0</v>
      </c>
    </row>
    <row r="103" spans="1:41" ht="12.75" customHeight="1">
      <c r="A103" s="249"/>
      <c r="B103" s="782" t="s">
        <v>131</v>
      </c>
      <c r="C103" s="581">
        <v>0.17530732228754675</v>
      </c>
      <c r="D103" s="582">
        <v>0.32955131511088187</v>
      </c>
      <c r="E103" s="582">
        <v>0.16654753395282343</v>
      </c>
      <c r="F103" s="582">
        <v>0.16507936507936508</v>
      </c>
      <c r="G103" s="582">
        <v>0.15120274914089349</v>
      </c>
      <c r="H103" s="583">
        <v>0.44</v>
      </c>
      <c r="I103" s="582"/>
      <c r="J103" s="783">
        <v>0.18868123190313241</v>
      </c>
      <c r="K103" s="581">
        <v>0</v>
      </c>
      <c r="L103" s="582">
        <v>1</v>
      </c>
      <c r="M103" s="582">
        <v>1</v>
      </c>
      <c r="N103" s="583">
        <v>1</v>
      </c>
      <c r="O103" s="582"/>
      <c r="P103" s="581">
        <v>0.24075187969924813</v>
      </c>
      <c r="Q103" s="581">
        <v>0</v>
      </c>
      <c r="R103" s="583">
        <v>0</v>
      </c>
      <c r="S103" s="583">
        <v>0</v>
      </c>
      <c r="T103" s="581">
        <v>0</v>
      </c>
      <c r="U103" s="253"/>
      <c r="V103" s="254"/>
      <c r="W103" s="255"/>
      <c r="X103" s="255"/>
      <c r="Y103" s="255"/>
      <c r="Z103" s="255"/>
      <c r="AA103" s="255"/>
      <c r="AB103" s="582"/>
      <c r="AC103" s="256"/>
      <c r="AD103" s="254"/>
      <c r="AE103" s="255"/>
      <c r="AF103" s="255"/>
      <c r="AG103" s="255"/>
      <c r="AH103" s="255"/>
      <c r="AI103" s="257"/>
      <c r="AJ103" s="254"/>
      <c r="AK103" s="255"/>
      <c r="AL103" s="257"/>
      <c r="AM103" s="254"/>
    </row>
    <row r="104" spans="1:41" s="527" customFormat="1" ht="12.75" customHeight="1">
      <c r="A104" s="435"/>
      <c r="B104" s="436" t="s">
        <v>59</v>
      </c>
      <c r="C104" s="261">
        <v>1</v>
      </c>
      <c r="D104" s="262">
        <v>1</v>
      </c>
      <c r="E104" s="262">
        <v>1</v>
      </c>
      <c r="F104" s="262">
        <v>1</v>
      </c>
      <c r="G104" s="262">
        <v>1</v>
      </c>
      <c r="H104" s="263">
        <v>1</v>
      </c>
      <c r="I104" s="262"/>
      <c r="J104" s="531">
        <v>1</v>
      </c>
      <c r="K104" s="261">
        <v>0</v>
      </c>
      <c r="L104" s="262">
        <v>1</v>
      </c>
      <c r="M104" s="262">
        <v>1</v>
      </c>
      <c r="N104" s="263">
        <v>1</v>
      </c>
      <c r="O104" s="262"/>
      <c r="P104" s="261">
        <v>1</v>
      </c>
      <c r="Q104" s="261">
        <v>0</v>
      </c>
      <c r="R104" s="263">
        <v>0</v>
      </c>
      <c r="S104" s="263">
        <v>0</v>
      </c>
      <c r="T104" s="261">
        <v>0</v>
      </c>
      <c r="U104" s="264"/>
      <c r="V104" s="265">
        <v>9355</v>
      </c>
      <c r="W104" s="266">
        <v>1939</v>
      </c>
      <c r="X104" s="266">
        <v>6995</v>
      </c>
      <c r="Y104" s="266">
        <v>315</v>
      </c>
      <c r="Z104" s="266">
        <v>291</v>
      </c>
      <c r="AA104" s="266">
        <v>100</v>
      </c>
      <c r="AB104" s="262"/>
      <c r="AC104" s="267">
        <v>18995</v>
      </c>
      <c r="AD104" s="265">
        <v>0</v>
      </c>
      <c r="AE104" s="266">
        <v>171</v>
      </c>
      <c r="AF104" s="266">
        <v>300</v>
      </c>
      <c r="AG104" s="266">
        <v>84</v>
      </c>
      <c r="AH104" s="266">
        <v>0</v>
      </c>
      <c r="AI104" s="268">
        <v>13300</v>
      </c>
      <c r="AJ104" s="265">
        <v>0</v>
      </c>
      <c r="AK104" s="266">
        <v>0</v>
      </c>
      <c r="AL104" s="268">
        <v>0</v>
      </c>
      <c r="AM104" s="265">
        <v>0</v>
      </c>
      <c r="AN104" s="270"/>
      <c r="AO104" s="270"/>
    </row>
    <row r="105" spans="1:41" ht="12.75" customHeight="1">
      <c r="A105" s="239" t="s">
        <v>17</v>
      </c>
      <c r="B105" s="240" t="s">
        <v>53</v>
      </c>
      <c r="C105" s="241">
        <v>0.34728323699421965</v>
      </c>
      <c r="D105" s="242">
        <v>0.25348837209302327</v>
      </c>
      <c r="E105" s="242">
        <v>0.294468085106383</v>
      </c>
      <c r="F105" s="242">
        <v>0.25624999999999998</v>
      </c>
      <c r="G105" s="242">
        <v>0.23242467718794835</v>
      </c>
      <c r="H105" s="243">
        <v>0.2</v>
      </c>
      <c r="I105" s="242"/>
      <c r="J105" s="529">
        <v>0.30392043483289</v>
      </c>
      <c r="K105" s="241">
        <v>0</v>
      </c>
      <c r="L105" s="242">
        <v>0</v>
      </c>
      <c r="M105" s="242">
        <v>0</v>
      </c>
      <c r="N105" s="243">
        <v>0</v>
      </c>
      <c r="O105" s="242"/>
      <c r="P105" s="241">
        <v>0.20053120849933598</v>
      </c>
      <c r="Q105" s="342">
        <v>0</v>
      </c>
      <c r="R105" s="243">
        <v>0</v>
      </c>
      <c r="S105" s="243">
        <v>0</v>
      </c>
      <c r="T105" s="342">
        <v>0</v>
      </c>
      <c r="U105" s="244"/>
      <c r="V105" s="245">
        <v>1502</v>
      </c>
      <c r="W105" s="246">
        <v>436</v>
      </c>
      <c r="X105" s="246">
        <v>346</v>
      </c>
      <c r="Y105" s="246">
        <v>164</v>
      </c>
      <c r="Z105" s="246">
        <v>162</v>
      </c>
      <c r="AA105" s="246">
        <v>18</v>
      </c>
      <c r="AB105" s="242"/>
      <c r="AC105" s="247">
        <v>2628</v>
      </c>
      <c r="AD105" s="245">
        <v>0</v>
      </c>
      <c r="AE105" s="246">
        <v>0</v>
      </c>
      <c r="AF105" s="246">
        <v>0</v>
      </c>
      <c r="AG105" s="246">
        <v>0</v>
      </c>
      <c r="AH105" s="246">
        <v>444</v>
      </c>
      <c r="AI105" s="248">
        <v>453</v>
      </c>
      <c r="AJ105" s="245">
        <v>0</v>
      </c>
      <c r="AK105" s="246">
        <v>0</v>
      </c>
      <c r="AL105" s="248">
        <v>0</v>
      </c>
      <c r="AM105" s="245">
        <v>0</v>
      </c>
    </row>
    <row r="106" spans="1:41" ht="12.75" customHeight="1">
      <c r="A106" s="249"/>
      <c r="B106" s="239" t="s">
        <v>93</v>
      </c>
      <c r="C106" s="250">
        <v>0.29919075144508672</v>
      </c>
      <c r="D106" s="251">
        <v>0.28488372093023256</v>
      </c>
      <c r="E106" s="251">
        <v>0.24765957446808512</v>
      </c>
      <c r="F106" s="251">
        <v>0.29062500000000002</v>
      </c>
      <c r="G106" s="251">
        <v>0.32711621233859395</v>
      </c>
      <c r="H106" s="252">
        <v>0.32222222222222224</v>
      </c>
      <c r="I106" s="251"/>
      <c r="J106" s="530">
        <v>0.2911992598589106</v>
      </c>
      <c r="K106" s="250">
        <v>0</v>
      </c>
      <c r="L106" s="251">
        <v>0</v>
      </c>
      <c r="M106" s="251">
        <v>0</v>
      </c>
      <c r="N106" s="252">
        <v>0</v>
      </c>
      <c r="O106" s="251"/>
      <c r="P106" s="250">
        <v>0.3010181496237273</v>
      </c>
      <c r="Q106" s="250">
        <v>0</v>
      </c>
      <c r="R106" s="252">
        <v>0</v>
      </c>
      <c r="S106" s="252">
        <v>0</v>
      </c>
      <c r="T106" s="250">
        <v>0</v>
      </c>
      <c r="U106" s="253"/>
      <c r="V106" s="254">
        <v>1294</v>
      </c>
      <c r="W106" s="255">
        <v>490</v>
      </c>
      <c r="X106" s="255">
        <v>291</v>
      </c>
      <c r="Y106" s="255">
        <v>186</v>
      </c>
      <c r="Z106" s="255">
        <v>228</v>
      </c>
      <c r="AA106" s="255">
        <v>29</v>
      </c>
      <c r="AB106" s="251"/>
      <c r="AC106" s="256">
        <v>2518</v>
      </c>
      <c r="AD106" s="254">
        <v>0</v>
      </c>
      <c r="AE106" s="255">
        <v>0</v>
      </c>
      <c r="AF106" s="255">
        <v>0</v>
      </c>
      <c r="AG106" s="255">
        <v>0</v>
      </c>
      <c r="AH106" s="255">
        <v>667</v>
      </c>
      <c r="AI106" s="257">
        <v>680</v>
      </c>
      <c r="AJ106" s="254">
        <v>0</v>
      </c>
      <c r="AK106" s="255">
        <v>0</v>
      </c>
      <c r="AL106" s="257">
        <v>0</v>
      </c>
      <c r="AM106" s="254">
        <v>0</v>
      </c>
    </row>
    <row r="107" spans="1:41" ht="12.75" customHeight="1">
      <c r="A107" s="249"/>
      <c r="B107" s="239" t="s">
        <v>55</v>
      </c>
      <c r="C107" s="250">
        <v>0.23375722543352601</v>
      </c>
      <c r="D107" s="251">
        <v>0.29709302325581394</v>
      </c>
      <c r="E107" s="251">
        <v>0.30893617021276598</v>
      </c>
      <c r="F107" s="251">
        <v>0.33750000000000002</v>
      </c>
      <c r="G107" s="251">
        <v>0.28120516499282638</v>
      </c>
      <c r="H107" s="252">
        <v>0.22222222222222221</v>
      </c>
      <c r="I107" s="251"/>
      <c r="J107" s="530">
        <v>0.26795420377009366</v>
      </c>
      <c r="K107" s="250">
        <v>0</v>
      </c>
      <c r="L107" s="251">
        <v>0</v>
      </c>
      <c r="M107" s="251">
        <v>0</v>
      </c>
      <c r="N107" s="252">
        <v>0</v>
      </c>
      <c r="O107" s="251"/>
      <c r="P107" s="250">
        <v>0.30721558211598055</v>
      </c>
      <c r="Q107" s="250">
        <v>0</v>
      </c>
      <c r="R107" s="252">
        <v>0</v>
      </c>
      <c r="S107" s="252">
        <v>0</v>
      </c>
      <c r="T107" s="250">
        <v>0</v>
      </c>
      <c r="U107" s="253"/>
      <c r="V107" s="254">
        <v>1011</v>
      </c>
      <c r="W107" s="255">
        <v>511</v>
      </c>
      <c r="X107" s="255">
        <v>363</v>
      </c>
      <c r="Y107" s="255">
        <v>216</v>
      </c>
      <c r="Z107" s="255">
        <v>196</v>
      </c>
      <c r="AA107" s="255">
        <v>20</v>
      </c>
      <c r="AB107" s="251"/>
      <c r="AC107" s="256">
        <v>2317</v>
      </c>
      <c r="AD107" s="254">
        <v>0</v>
      </c>
      <c r="AE107" s="255">
        <v>0</v>
      </c>
      <c r="AF107" s="255">
        <v>0</v>
      </c>
      <c r="AG107" s="255">
        <v>0</v>
      </c>
      <c r="AH107" s="255">
        <v>683</v>
      </c>
      <c r="AI107" s="257">
        <v>694</v>
      </c>
      <c r="AJ107" s="254">
        <v>0</v>
      </c>
      <c r="AK107" s="255">
        <v>0</v>
      </c>
      <c r="AL107" s="257">
        <v>0</v>
      </c>
      <c r="AM107" s="254">
        <v>0</v>
      </c>
    </row>
    <row r="108" spans="1:41" ht="12.75" customHeight="1">
      <c r="A108" s="249"/>
      <c r="B108" s="239" t="s">
        <v>78</v>
      </c>
      <c r="C108" s="250">
        <v>6.7514450867052017E-2</v>
      </c>
      <c r="D108" s="251">
        <v>0.15930232558139534</v>
      </c>
      <c r="E108" s="251">
        <v>0.14893617021276595</v>
      </c>
      <c r="F108" s="251">
        <v>0.1140625</v>
      </c>
      <c r="G108" s="251">
        <v>0.10043041606886657</v>
      </c>
      <c r="H108" s="252">
        <v>0.24444444444444444</v>
      </c>
      <c r="I108" s="251"/>
      <c r="J108" s="530">
        <v>0.10477622296750318</v>
      </c>
      <c r="K108" s="250">
        <v>0</v>
      </c>
      <c r="L108" s="251">
        <v>0</v>
      </c>
      <c r="M108" s="251">
        <v>0</v>
      </c>
      <c r="N108" s="252">
        <v>0</v>
      </c>
      <c r="O108" s="251"/>
      <c r="P108" s="250">
        <v>0.19079238601150952</v>
      </c>
      <c r="Q108" s="250">
        <v>0</v>
      </c>
      <c r="R108" s="252">
        <v>0</v>
      </c>
      <c r="S108" s="252">
        <v>0</v>
      </c>
      <c r="T108" s="250">
        <v>0</v>
      </c>
      <c r="U108" s="253"/>
      <c r="V108" s="254">
        <v>292</v>
      </c>
      <c r="W108" s="255">
        <v>274</v>
      </c>
      <c r="X108" s="255">
        <v>175</v>
      </c>
      <c r="Y108" s="255">
        <v>73</v>
      </c>
      <c r="Z108" s="255">
        <v>70</v>
      </c>
      <c r="AA108" s="255">
        <v>22</v>
      </c>
      <c r="AB108" s="251"/>
      <c r="AC108" s="256">
        <v>906</v>
      </c>
      <c r="AD108" s="254">
        <v>0</v>
      </c>
      <c r="AE108" s="255">
        <v>0</v>
      </c>
      <c r="AF108" s="255">
        <v>0</v>
      </c>
      <c r="AG108" s="255">
        <v>0</v>
      </c>
      <c r="AH108" s="255">
        <v>431</v>
      </c>
      <c r="AI108" s="257">
        <v>431</v>
      </c>
      <c r="AJ108" s="254">
        <v>0</v>
      </c>
      <c r="AK108" s="255">
        <v>0</v>
      </c>
      <c r="AL108" s="257">
        <v>0</v>
      </c>
      <c r="AM108" s="254">
        <v>0</v>
      </c>
    </row>
    <row r="109" spans="1:41" ht="12.75" customHeight="1">
      <c r="A109" s="249"/>
      <c r="B109" s="782" t="s">
        <v>131</v>
      </c>
      <c r="C109" s="581">
        <v>5.2254335260115609E-2</v>
      </c>
      <c r="D109" s="582">
        <v>5.2325581395348836E-3</v>
      </c>
      <c r="E109" s="582">
        <v>0</v>
      </c>
      <c r="F109" s="582">
        <v>1.5625000000000001E-3</v>
      </c>
      <c r="G109" s="582">
        <v>5.8823529411764705E-2</v>
      </c>
      <c r="H109" s="583">
        <v>1.1111111111111112E-2</v>
      </c>
      <c r="I109" s="582"/>
      <c r="J109" s="783">
        <v>3.2149878570602523E-2</v>
      </c>
      <c r="K109" s="581">
        <v>0</v>
      </c>
      <c r="L109" s="582">
        <v>1</v>
      </c>
      <c r="M109" s="582">
        <v>1</v>
      </c>
      <c r="N109" s="583">
        <v>1</v>
      </c>
      <c r="O109" s="582"/>
      <c r="P109" s="581">
        <v>4.4267374944665782E-4</v>
      </c>
      <c r="Q109" s="581">
        <v>0</v>
      </c>
      <c r="R109" s="583">
        <v>0</v>
      </c>
      <c r="S109" s="583">
        <v>0</v>
      </c>
      <c r="T109" s="581">
        <v>0</v>
      </c>
      <c r="U109" s="253"/>
      <c r="V109" s="254"/>
      <c r="W109" s="255"/>
      <c r="X109" s="255"/>
      <c r="Y109" s="255"/>
      <c r="Z109" s="255"/>
      <c r="AA109" s="255"/>
      <c r="AB109" s="582"/>
      <c r="AC109" s="256"/>
      <c r="AD109" s="254"/>
      <c r="AE109" s="255"/>
      <c r="AF109" s="255"/>
      <c r="AG109" s="255"/>
      <c r="AH109" s="255"/>
      <c r="AI109" s="257"/>
      <c r="AJ109" s="254"/>
      <c r="AK109" s="255"/>
      <c r="AL109" s="257"/>
      <c r="AM109" s="254"/>
    </row>
    <row r="110" spans="1:41" s="527" customFormat="1" ht="12.75" customHeight="1">
      <c r="A110" s="435"/>
      <c r="B110" s="436" t="s">
        <v>59</v>
      </c>
      <c r="C110" s="261">
        <v>1</v>
      </c>
      <c r="D110" s="262">
        <v>1</v>
      </c>
      <c r="E110" s="262">
        <v>1</v>
      </c>
      <c r="F110" s="262">
        <v>1</v>
      </c>
      <c r="G110" s="262">
        <v>1</v>
      </c>
      <c r="H110" s="263">
        <v>1</v>
      </c>
      <c r="I110" s="262"/>
      <c r="J110" s="531">
        <v>1</v>
      </c>
      <c r="K110" s="261">
        <v>0</v>
      </c>
      <c r="L110" s="262">
        <v>1</v>
      </c>
      <c r="M110" s="262">
        <v>1</v>
      </c>
      <c r="N110" s="263">
        <v>1</v>
      </c>
      <c r="O110" s="262"/>
      <c r="P110" s="261">
        <v>1</v>
      </c>
      <c r="Q110" s="261">
        <v>0</v>
      </c>
      <c r="R110" s="263">
        <v>0</v>
      </c>
      <c r="S110" s="263">
        <v>0</v>
      </c>
      <c r="T110" s="261">
        <v>0</v>
      </c>
      <c r="U110" s="264"/>
      <c r="V110" s="265">
        <v>4325</v>
      </c>
      <c r="W110" s="266">
        <v>1720</v>
      </c>
      <c r="X110" s="266">
        <v>1175</v>
      </c>
      <c r="Y110" s="266">
        <v>640</v>
      </c>
      <c r="Z110" s="266">
        <v>697</v>
      </c>
      <c r="AA110" s="266">
        <v>90</v>
      </c>
      <c r="AB110" s="262"/>
      <c r="AC110" s="267">
        <v>8647</v>
      </c>
      <c r="AD110" s="265">
        <v>0</v>
      </c>
      <c r="AE110" s="266">
        <v>171</v>
      </c>
      <c r="AF110" s="266">
        <v>300</v>
      </c>
      <c r="AG110" s="266">
        <v>84</v>
      </c>
      <c r="AH110" s="266">
        <v>2226</v>
      </c>
      <c r="AI110" s="268">
        <v>2259</v>
      </c>
      <c r="AJ110" s="265">
        <v>0</v>
      </c>
      <c r="AK110" s="266">
        <v>0</v>
      </c>
      <c r="AL110" s="268">
        <v>0</v>
      </c>
      <c r="AM110" s="265">
        <v>0</v>
      </c>
      <c r="AN110" s="270"/>
      <c r="AO110" s="270"/>
    </row>
    <row r="111" spans="1:41" ht="12.75" customHeight="1">
      <c r="A111" s="239" t="s">
        <v>18</v>
      </c>
      <c r="B111" s="240" t="s">
        <v>53</v>
      </c>
      <c r="C111" s="241">
        <v>0.30394190871369292</v>
      </c>
      <c r="D111" s="242">
        <v>0</v>
      </c>
      <c r="E111" s="242">
        <v>0.41631799163179917</v>
      </c>
      <c r="F111" s="242">
        <v>0</v>
      </c>
      <c r="G111" s="242">
        <v>0.27430555555555558</v>
      </c>
      <c r="H111" s="243">
        <v>0.21783876500857632</v>
      </c>
      <c r="I111" s="242"/>
      <c r="J111" s="529">
        <v>0.30177258971033288</v>
      </c>
      <c r="K111" s="241">
        <v>0</v>
      </c>
      <c r="L111" s="242">
        <v>0</v>
      </c>
      <c r="M111" s="242">
        <v>0</v>
      </c>
      <c r="N111" s="243">
        <v>0</v>
      </c>
      <c r="O111" s="242"/>
      <c r="P111" s="241">
        <v>0.21801801801801801</v>
      </c>
      <c r="Q111" s="342">
        <v>0</v>
      </c>
      <c r="R111" s="243">
        <v>0</v>
      </c>
      <c r="S111" s="243">
        <v>0</v>
      </c>
      <c r="T111" s="342">
        <v>0</v>
      </c>
      <c r="U111" s="244"/>
      <c r="V111" s="245">
        <v>293</v>
      </c>
      <c r="W111" s="246">
        <v>0</v>
      </c>
      <c r="X111" s="246">
        <v>199</v>
      </c>
      <c r="Y111" s="246">
        <v>0</v>
      </c>
      <c r="Z111" s="246">
        <v>79</v>
      </c>
      <c r="AA111" s="246">
        <v>127</v>
      </c>
      <c r="AB111" s="242"/>
      <c r="AC111" s="247">
        <v>698</v>
      </c>
      <c r="AD111" s="245">
        <v>0</v>
      </c>
      <c r="AE111" s="246">
        <v>0</v>
      </c>
      <c r="AF111" s="246">
        <v>0</v>
      </c>
      <c r="AG111" s="246">
        <v>0</v>
      </c>
      <c r="AH111" s="246">
        <v>0</v>
      </c>
      <c r="AI111" s="248">
        <v>121</v>
      </c>
      <c r="AJ111" s="245">
        <v>0</v>
      </c>
      <c r="AK111" s="246">
        <v>0</v>
      </c>
      <c r="AL111" s="248">
        <v>0</v>
      </c>
      <c r="AM111" s="245">
        <v>0</v>
      </c>
    </row>
    <row r="112" spans="1:41" ht="12.75" customHeight="1">
      <c r="A112" s="249"/>
      <c r="B112" s="239" t="s">
        <v>93</v>
      </c>
      <c r="C112" s="250">
        <v>0.25622406639004147</v>
      </c>
      <c r="D112" s="251">
        <v>0</v>
      </c>
      <c r="E112" s="251">
        <v>0.24686192468619247</v>
      </c>
      <c r="F112" s="251">
        <v>0</v>
      </c>
      <c r="G112" s="251">
        <v>0.2673611111111111</v>
      </c>
      <c r="H112" s="252">
        <v>0.2504288164665523</v>
      </c>
      <c r="I112" s="251"/>
      <c r="J112" s="530">
        <v>0.25421530479896237</v>
      </c>
      <c r="K112" s="250">
        <v>0</v>
      </c>
      <c r="L112" s="251">
        <v>0</v>
      </c>
      <c r="M112" s="251">
        <v>0</v>
      </c>
      <c r="N112" s="252">
        <v>0</v>
      </c>
      <c r="O112" s="251"/>
      <c r="P112" s="250">
        <v>0.12252252252252252</v>
      </c>
      <c r="Q112" s="250">
        <v>0</v>
      </c>
      <c r="R112" s="252">
        <v>0</v>
      </c>
      <c r="S112" s="252">
        <v>0</v>
      </c>
      <c r="T112" s="250">
        <v>0</v>
      </c>
      <c r="U112" s="253"/>
      <c r="V112" s="254">
        <v>247</v>
      </c>
      <c r="W112" s="255">
        <v>0</v>
      </c>
      <c r="X112" s="255">
        <v>118</v>
      </c>
      <c r="Y112" s="255">
        <v>0</v>
      </c>
      <c r="Z112" s="255">
        <v>77</v>
      </c>
      <c r="AA112" s="255">
        <v>146</v>
      </c>
      <c r="AB112" s="251"/>
      <c r="AC112" s="256">
        <v>588</v>
      </c>
      <c r="AD112" s="254">
        <v>0</v>
      </c>
      <c r="AE112" s="255">
        <v>0</v>
      </c>
      <c r="AF112" s="255">
        <v>0</v>
      </c>
      <c r="AG112" s="255">
        <v>0</v>
      </c>
      <c r="AH112" s="255">
        <v>0</v>
      </c>
      <c r="AI112" s="257">
        <v>68</v>
      </c>
      <c r="AJ112" s="254">
        <v>0</v>
      </c>
      <c r="AK112" s="255">
        <v>0</v>
      </c>
      <c r="AL112" s="257">
        <v>0</v>
      </c>
      <c r="AM112" s="254">
        <v>0</v>
      </c>
    </row>
    <row r="113" spans="1:41" ht="12.75" customHeight="1">
      <c r="A113" s="249"/>
      <c r="B113" s="239" t="s">
        <v>55</v>
      </c>
      <c r="C113" s="250">
        <v>0.36514522821576761</v>
      </c>
      <c r="D113" s="251">
        <v>0</v>
      </c>
      <c r="E113" s="251">
        <v>0.2489539748953975</v>
      </c>
      <c r="F113" s="251">
        <v>0</v>
      </c>
      <c r="G113" s="251">
        <v>0.3576388888888889</v>
      </c>
      <c r="H113" s="252">
        <v>0.36535162950257288</v>
      </c>
      <c r="I113" s="251"/>
      <c r="J113" s="530">
        <v>0.34025075659316906</v>
      </c>
      <c r="K113" s="250">
        <v>0</v>
      </c>
      <c r="L113" s="251">
        <v>0</v>
      </c>
      <c r="M113" s="251">
        <v>0</v>
      </c>
      <c r="N113" s="252">
        <v>0</v>
      </c>
      <c r="O113" s="251"/>
      <c r="P113" s="250">
        <v>0.24864864864864866</v>
      </c>
      <c r="Q113" s="250">
        <v>0</v>
      </c>
      <c r="R113" s="252">
        <v>0</v>
      </c>
      <c r="S113" s="252">
        <v>0</v>
      </c>
      <c r="T113" s="250">
        <v>0</v>
      </c>
      <c r="U113" s="253"/>
      <c r="V113" s="254">
        <v>352</v>
      </c>
      <c r="W113" s="255">
        <v>0</v>
      </c>
      <c r="X113" s="255">
        <v>119</v>
      </c>
      <c r="Y113" s="255">
        <v>0</v>
      </c>
      <c r="Z113" s="255">
        <v>103</v>
      </c>
      <c r="AA113" s="255">
        <v>213</v>
      </c>
      <c r="AB113" s="251"/>
      <c r="AC113" s="256">
        <v>787</v>
      </c>
      <c r="AD113" s="254">
        <v>0</v>
      </c>
      <c r="AE113" s="255">
        <v>0</v>
      </c>
      <c r="AF113" s="255">
        <v>0</v>
      </c>
      <c r="AG113" s="255">
        <v>0</v>
      </c>
      <c r="AH113" s="255">
        <v>0</v>
      </c>
      <c r="AI113" s="257">
        <v>138</v>
      </c>
      <c r="AJ113" s="254">
        <v>0</v>
      </c>
      <c r="AK113" s="255">
        <v>0</v>
      </c>
      <c r="AL113" s="257">
        <v>0</v>
      </c>
      <c r="AM113" s="254">
        <v>0</v>
      </c>
    </row>
    <row r="114" spans="1:41" ht="12.75" customHeight="1">
      <c r="A114" s="249"/>
      <c r="B114" s="239" t="s">
        <v>78</v>
      </c>
      <c r="C114" s="250">
        <v>5.2904564315352696E-2</v>
      </c>
      <c r="D114" s="251">
        <v>0</v>
      </c>
      <c r="E114" s="251">
        <v>8.7866108786610872E-2</v>
      </c>
      <c r="F114" s="251">
        <v>0</v>
      </c>
      <c r="G114" s="251">
        <v>5.2083333333333336E-2</v>
      </c>
      <c r="H114" s="252">
        <v>0.14065180102915953</v>
      </c>
      <c r="I114" s="251"/>
      <c r="J114" s="530">
        <v>8.214440121054907E-2</v>
      </c>
      <c r="K114" s="250">
        <v>0</v>
      </c>
      <c r="L114" s="251">
        <v>0</v>
      </c>
      <c r="M114" s="251">
        <v>0</v>
      </c>
      <c r="N114" s="252">
        <v>0</v>
      </c>
      <c r="O114" s="251"/>
      <c r="P114" s="250">
        <v>0.34774774774774775</v>
      </c>
      <c r="Q114" s="250">
        <v>0</v>
      </c>
      <c r="R114" s="252">
        <v>0</v>
      </c>
      <c r="S114" s="252">
        <v>0</v>
      </c>
      <c r="T114" s="250">
        <v>0</v>
      </c>
      <c r="U114" s="253"/>
      <c r="V114" s="254">
        <v>51</v>
      </c>
      <c r="W114" s="255">
        <v>0</v>
      </c>
      <c r="X114" s="255">
        <v>42</v>
      </c>
      <c r="Y114" s="255">
        <v>0</v>
      </c>
      <c r="Z114" s="255">
        <v>15</v>
      </c>
      <c r="AA114" s="255">
        <v>82</v>
      </c>
      <c r="AB114" s="251"/>
      <c r="AC114" s="256">
        <v>190</v>
      </c>
      <c r="AD114" s="254">
        <v>0</v>
      </c>
      <c r="AE114" s="255">
        <v>0</v>
      </c>
      <c r="AF114" s="255">
        <v>0</v>
      </c>
      <c r="AG114" s="255">
        <v>0</v>
      </c>
      <c r="AH114" s="255">
        <v>0</v>
      </c>
      <c r="AI114" s="257">
        <v>193</v>
      </c>
      <c r="AJ114" s="254">
        <v>0</v>
      </c>
      <c r="AK114" s="255">
        <v>0</v>
      </c>
      <c r="AL114" s="257">
        <v>0</v>
      </c>
      <c r="AM114" s="254">
        <v>0</v>
      </c>
    </row>
    <row r="115" spans="1:41" ht="12.75" customHeight="1">
      <c r="A115" s="249"/>
      <c r="B115" s="782" t="s">
        <v>131</v>
      </c>
      <c r="C115" s="581">
        <v>2.1784232365145227E-2</v>
      </c>
      <c r="D115" s="582">
        <v>0</v>
      </c>
      <c r="E115" s="582">
        <v>0</v>
      </c>
      <c r="F115" s="582">
        <v>0</v>
      </c>
      <c r="G115" s="582">
        <v>4.8611111111111112E-2</v>
      </c>
      <c r="H115" s="583">
        <v>2.5728987993138937E-2</v>
      </c>
      <c r="I115" s="582"/>
      <c r="J115" s="783">
        <v>2.1616947686986597E-2</v>
      </c>
      <c r="K115" s="581">
        <v>0</v>
      </c>
      <c r="L115" s="582">
        <v>1</v>
      </c>
      <c r="M115" s="582">
        <v>1</v>
      </c>
      <c r="N115" s="583">
        <v>1</v>
      </c>
      <c r="O115" s="582"/>
      <c r="P115" s="581">
        <v>6.3063063063063057E-2</v>
      </c>
      <c r="Q115" s="581">
        <v>0</v>
      </c>
      <c r="R115" s="583">
        <v>0</v>
      </c>
      <c r="S115" s="583">
        <v>0</v>
      </c>
      <c r="T115" s="581">
        <v>0</v>
      </c>
      <c r="U115" s="253"/>
      <c r="V115" s="254"/>
      <c r="W115" s="255"/>
      <c r="X115" s="255"/>
      <c r="Y115" s="255"/>
      <c r="Z115" s="255"/>
      <c r="AA115" s="255"/>
      <c r="AB115" s="582"/>
      <c r="AC115" s="256"/>
      <c r="AD115" s="254"/>
      <c r="AE115" s="255"/>
      <c r="AF115" s="255"/>
      <c r="AG115" s="255"/>
      <c r="AH115" s="255"/>
      <c r="AI115" s="257"/>
      <c r="AJ115" s="254"/>
      <c r="AK115" s="255"/>
      <c r="AL115" s="257"/>
      <c r="AM115" s="254"/>
    </row>
    <row r="116" spans="1:41" s="527" customFormat="1" ht="12.75" customHeight="1">
      <c r="A116" s="435"/>
      <c r="B116" s="436" t="s">
        <v>59</v>
      </c>
      <c r="C116" s="261">
        <v>1</v>
      </c>
      <c r="D116" s="262">
        <v>0</v>
      </c>
      <c r="E116" s="262">
        <v>1</v>
      </c>
      <c r="F116" s="262">
        <v>0</v>
      </c>
      <c r="G116" s="262">
        <v>1</v>
      </c>
      <c r="H116" s="263">
        <v>1</v>
      </c>
      <c r="I116" s="262"/>
      <c r="J116" s="531">
        <v>1</v>
      </c>
      <c r="K116" s="261">
        <v>0</v>
      </c>
      <c r="L116" s="262">
        <v>1</v>
      </c>
      <c r="M116" s="262">
        <v>1</v>
      </c>
      <c r="N116" s="263">
        <v>1</v>
      </c>
      <c r="O116" s="262"/>
      <c r="P116" s="261">
        <v>1</v>
      </c>
      <c r="Q116" s="261">
        <v>0</v>
      </c>
      <c r="R116" s="263">
        <v>0</v>
      </c>
      <c r="S116" s="263">
        <v>0</v>
      </c>
      <c r="T116" s="261">
        <v>0</v>
      </c>
      <c r="U116" s="264"/>
      <c r="V116" s="265">
        <v>964</v>
      </c>
      <c r="W116" s="266">
        <v>0</v>
      </c>
      <c r="X116" s="266">
        <v>478</v>
      </c>
      <c r="Y116" s="266">
        <v>0</v>
      </c>
      <c r="Z116" s="266">
        <v>288</v>
      </c>
      <c r="AA116" s="266">
        <v>583</v>
      </c>
      <c r="AB116" s="262"/>
      <c r="AC116" s="267">
        <v>2313</v>
      </c>
      <c r="AD116" s="265">
        <v>0</v>
      </c>
      <c r="AE116" s="266">
        <v>171</v>
      </c>
      <c r="AF116" s="266">
        <v>300</v>
      </c>
      <c r="AG116" s="266">
        <v>84</v>
      </c>
      <c r="AH116" s="266">
        <v>0</v>
      </c>
      <c r="AI116" s="268">
        <v>555</v>
      </c>
      <c r="AJ116" s="265">
        <v>0</v>
      </c>
      <c r="AK116" s="266">
        <v>0</v>
      </c>
      <c r="AL116" s="268">
        <v>0</v>
      </c>
      <c r="AM116" s="265">
        <v>0</v>
      </c>
      <c r="AN116" s="270"/>
      <c r="AO116" s="270"/>
    </row>
    <row r="118" spans="1:41" ht="12.75" customHeight="1">
      <c r="A118" s="240" t="s">
        <v>171</v>
      </c>
      <c r="B118" s="240" t="s">
        <v>53</v>
      </c>
      <c r="C118" s="568">
        <f>IF(V118&gt;0,(V118/V123),0)</f>
        <v>0.4095310499359795</v>
      </c>
      <c r="D118" s="568">
        <f t="shared" ref="D118:T118" si="3">IF(W118&gt;0,(W118/W123),0)</f>
        <v>0.31514263163829065</v>
      </c>
      <c r="E118" s="568">
        <f t="shared" si="3"/>
        <v>0.37188683807528006</v>
      </c>
      <c r="F118" s="568">
        <f t="shared" si="3"/>
        <v>0.30358327803583279</v>
      </c>
      <c r="G118" s="568">
        <f t="shared" si="3"/>
        <v>0.21621621621621623</v>
      </c>
      <c r="H118" s="568">
        <f t="shared" si="3"/>
        <v>0.24380574826560952</v>
      </c>
      <c r="I118" s="568">
        <f t="shared" si="3"/>
        <v>0</v>
      </c>
      <c r="J118" s="569">
        <f t="shared" si="3"/>
        <v>0.36861656294877931</v>
      </c>
      <c r="K118" s="570">
        <f t="shared" si="3"/>
        <v>0</v>
      </c>
      <c r="L118" s="568">
        <f t="shared" si="3"/>
        <v>0</v>
      </c>
      <c r="M118" s="568">
        <f t="shared" si="3"/>
        <v>0</v>
      </c>
      <c r="N118" s="568">
        <f t="shared" si="3"/>
        <v>0</v>
      </c>
      <c r="O118" s="571">
        <f t="shared" si="3"/>
        <v>0</v>
      </c>
      <c r="P118" s="570">
        <f t="shared" si="3"/>
        <v>5.8543748204424297E-2</v>
      </c>
      <c r="Q118" s="568">
        <f t="shared" si="3"/>
        <v>0</v>
      </c>
      <c r="R118" s="568">
        <f t="shared" si="3"/>
        <v>0</v>
      </c>
      <c r="S118" s="571">
        <f t="shared" si="3"/>
        <v>0</v>
      </c>
      <c r="T118" s="570">
        <f t="shared" si="3"/>
        <v>4.3630017452006981E-3</v>
      </c>
      <c r="U118" s="244"/>
      <c r="V118" s="590">
        <f t="shared" ref="V118:V123" si="4">+V124+V130+V136+V142+V148+V154+V160+V166+V172+V178+V184+V190+V196</f>
        <v>10235</v>
      </c>
      <c r="W118" s="591">
        <f t="shared" ref="W118:AM123" si="5">+W124+W130+W136+W142+W148+W154+W160+W166+W172+W178+W184+W190+W196</f>
        <v>2795</v>
      </c>
      <c r="X118" s="591">
        <f t="shared" si="5"/>
        <v>4614</v>
      </c>
      <c r="Y118" s="591">
        <f t="shared" si="5"/>
        <v>915</v>
      </c>
      <c r="Z118" s="591">
        <f t="shared" si="5"/>
        <v>200</v>
      </c>
      <c r="AA118" s="591">
        <f t="shared" si="5"/>
        <v>492</v>
      </c>
      <c r="AB118" s="591">
        <f t="shared" si="5"/>
        <v>0</v>
      </c>
      <c r="AC118" s="592">
        <f t="shared" si="5"/>
        <v>19251</v>
      </c>
      <c r="AD118" s="590">
        <f t="shared" si="5"/>
        <v>0</v>
      </c>
      <c r="AE118" s="591">
        <f t="shared" si="5"/>
        <v>0</v>
      </c>
      <c r="AF118" s="591">
        <f t="shared" si="5"/>
        <v>0</v>
      </c>
      <c r="AG118" s="591">
        <f t="shared" si="5"/>
        <v>0</v>
      </c>
      <c r="AH118" s="593">
        <f t="shared" si="5"/>
        <v>0</v>
      </c>
      <c r="AI118" s="593">
        <f t="shared" si="5"/>
        <v>1834</v>
      </c>
      <c r="AJ118" s="590">
        <f t="shared" si="5"/>
        <v>0</v>
      </c>
      <c r="AK118" s="591">
        <f t="shared" si="5"/>
        <v>0</v>
      </c>
      <c r="AL118" s="593">
        <f t="shared" si="5"/>
        <v>0</v>
      </c>
      <c r="AM118" s="590">
        <f t="shared" si="5"/>
        <v>5</v>
      </c>
    </row>
    <row r="119" spans="1:41" ht="12.75" customHeight="1">
      <c r="A119" s="239"/>
      <c r="B119" s="239" t="s">
        <v>93</v>
      </c>
      <c r="C119" s="572">
        <f>IF(V119&gt;0,(V119/V123),0)</f>
        <v>0.23719590268886043</v>
      </c>
      <c r="D119" s="572">
        <f t="shared" ref="D119:T119" si="6">IF(W119&gt;0,(W119/W123),0)</f>
        <v>0.25989401285376029</v>
      </c>
      <c r="E119" s="572">
        <f t="shared" si="6"/>
        <v>0.24228258241315387</v>
      </c>
      <c r="F119" s="572">
        <f t="shared" si="6"/>
        <v>0.25646980756469806</v>
      </c>
      <c r="G119" s="572">
        <f t="shared" si="6"/>
        <v>0.17837837837837839</v>
      </c>
      <c r="H119" s="572">
        <f t="shared" si="6"/>
        <v>0.23389494549058473</v>
      </c>
      <c r="I119" s="572">
        <f t="shared" si="6"/>
        <v>0</v>
      </c>
      <c r="J119" s="573">
        <f t="shared" si="6"/>
        <v>0.24220201053135471</v>
      </c>
      <c r="K119" s="574">
        <f t="shared" si="6"/>
        <v>0</v>
      </c>
      <c r="L119" s="572">
        <f t="shared" si="6"/>
        <v>0</v>
      </c>
      <c r="M119" s="572">
        <f t="shared" si="6"/>
        <v>0</v>
      </c>
      <c r="N119" s="572">
        <f t="shared" si="6"/>
        <v>0</v>
      </c>
      <c r="O119" s="575">
        <f t="shared" si="6"/>
        <v>0</v>
      </c>
      <c r="P119" s="574">
        <f t="shared" si="6"/>
        <v>2.2440706100169183E-2</v>
      </c>
      <c r="Q119" s="572">
        <f t="shared" si="6"/>
        <v>0</v>
      </c>
      <c r="R119" s="572">
        <f t="shared" si="6"/>
        <v>0</v>
      </c>
      <c r="S119" s="575">
        <f t="shared" si="6"/>
        <v>0</v>
      </c>
      <c r="T119" s="574">
        <f t="shared" si="6"/>
        <v>3.4904013961605585E-3</v>
      </c>
      <c r="U119" s="253"/>
      <c r="V119" s="594">
        <f t="shared" si="4"/>
        <v>5928</v>
      </c>
      <c r="W119" s="595">
        <f t="shared" ref="W119:AK119" si="7">+W125+W131+W137+W143+W149+W155+W161+W167+W173+W179+W185+W191+W197</f>
        <v>2305</v>
      </c>
      <c r="X119" s="595">
        <f t="shared" si="7"/>
        <v>3006</v>
      </c>
      <c r="Y119" s="595">
        <f t="shared" si="7"/>
        <v>773</v>
      </c>
      <c r="Z119" s="595">
        <f t="shared" si="7"/>
        <v>165</v>
      </c>
      <c r="AA119" s="595">
        <f t="shared" si="7"/>
        <v>472</v>
      </c>
      <c r="AB119" s="595">
        <f t="shared" si="7"/>
        <v>0</v>
      </c>
      <c r="AC119" s="596">
        <f t="shared" si="7"/>
        <v>12649</v>
      </c>
      <c r="AD119" s="594">
        <f t="shared" si="7"/>
        <v>0</v>
      </c>
      <c r="AE119" s="595">
        <f t="shared" si="7"/>
        <v>0</v>
      </c>
      <c r="AF119" s="595">
        <f t="shared" si="7"/>
        <v>0</v>
      </c>
      <c r="AG119" s="595">
        <f t="shared" si="7"/>
        <v>0</v>
      </c>
      <c r="AH119" s="597">
        <f t="shared" si="7"/>
        <v>0</v>
      </c>
      <c r="AI119" s="597">
        <f t="shared" si="7"/>
        <v>703</v>
      </c>
      <c r="AJ119" s="594">
        <f t="shared" si="7"/>
        <v>0</v>
      </c>
      <c r="AK119" s="595">
        <f t="shared" si="7"/>
        <v>0</v>
      </c>
      <c r="AL119" s="597">
        <f t="shared" si="5"/>
        <v>0</v>
      </c>
      <c r="AM119" s="594">
        <f t="shared" si="5"/>
        <v>4</v>
      </c>
    </row>
    <row r="120" spans="1:41" ht="12.75" customHeight="1">
      <c r="A120" s="239"/>
      <c r="B120" s="239" t="s">
        <v>55</v>
      </c>
      <c r="C120" s="572">
        <f>IF(V120&gt;0,(V120/V123),0)</f>
        <v>0.19806338028169015</v>
      </c>
      <c r="D120" s="572">
        <f t="shared" ref="D120:T120" si="8">IF(W120&gt;0,(W120/W123),0)</f>
        <v>0.24399594091780358</v>
      </c>
      <c r="E120" s="572">
        <f t="shared" si="8"/>
        <v>0.22978963488353349</v>
      </c>
      <c r="F120" s="572">
        <f t="shared" si="8"/>
        <v>0.24485733244857333</v>
      </c>
      <c r="G120" s="572">
        <f t="shared" si="8"/>
        <v>0.26270270270270268</v>
      </c>
      <c r="H120" s="572">
        <f t="shared" si="8"/>
        <v>0.35381565906838452</v>
      </c>
      <c r="I120" s="572">
        <f t="shared" si="8"/>
        <v>0</v>
      </c>
      <c r="J120" s="573">
        <f t="shared" si="8"/>
        <v>0.22326471996170416</v>
      </c>
      <c r="K120" s="574">
        <f t="shared" si="8"/>
        <v>0</v>
      </c>
      <c r="L120" s="572">
        <f t="shared" si="8"/>
        <v>0</v>
      </c>
      <c r="M120" s="572">
        <f t="shared" si="8"/>
        <v>0</v>
      </c>
      <c r="N120" s="572">
        <f t="shared" si="8"/>
        <v>0</v>
      </c>
      <c r="O120" s="575">
        <f t="shared" si="8"/>
        <v>0</v>
      </c>
      <c r="P120" s="574">
        <f t="shared" si="8"/>
        <v>2.6494717017269447E-2</v>
      </c>
      <c r="Q120" s="572">
        <f t="shared" si="8"/>
        <v>0</v>
      </c>
      <c r="R120" s="572">
        <f t="shared" si="8"/>
        <v>0</v>
      </c>
      <c r="S120" s="575">
        <f t="shared" si="8"/>
        <v>0</v>
      </c>
      <c r="T120" s="574">
        <f t="shared" si="8"/>
        <v>9.5986038394415361E-3</v>
      </c>
      <c r="U120" s="253"/>
      <c r="V120" s="594">
        <f t="shared" si="4"/>
        <v>4950</v>
      </c>
      <c r="W120" s="595">
        <f t="shared" si="5"/>
        <v>2164</v>
      </c>
      <c r="X120" s="595">
        <f t="shared" si="5"/>
        <v>2851</v>
      </c>
      <c r="Y120" s="595">
        <f t="shared" si="5"/>
        <v>738</v>
      </c>
      <c r="Z120" s="595">
        <f t="shared" si="5"/>
        <v>243</v>
      </c>
      <c r="AA120" s="595">
        <f t="shared" si="5"/>
        <v>714</v>
      </c>
      <c r="AB120" s="595">
        <f t="shared" si="5"/>
        <v>0</v>
      </c>
      <c r="AC120" s="596">
        <f t="shared" si="5"/>
        <v>11660</v>
      </c>
      <c r="AD120" s="594">
        <f t="shared" si="5"/>
        <v>0</v>
      </c>
      <c r="AE120" s="595">
        <f t="shared" si="5"/>
        <v>0</v>
      </c>
      <c r="AF120" s="595">
        <f t="shared" si="5"/>
        <v>0</v>
      </c>
      <c r="AG120" s="595">
        <f t="shared" si="5"/>
        <v>0</v>
      </c>
      <c r="AH120" s="597">
        <f t="shared" si="5"/>
        <v>0</v>
      </c>
      <c r="AI120" s="597">
        <f t="shared" si="5"/>
        <v>830</v>
      </c>
      <c r="AJ120" s="594">
        <f t="shared" si="5"/>
        <v>0</v>
      </c>
      <c r="AK120" s="595">
        <f t="shared" si="5"/>
        <v>0</v>
      </c>
      <c r="AL120" s="597">
        <f t="shared" si="5"/>
        <v>0</v>
      </c>
      <c r="AM120" s="594">
        <f t="shared" si="5"/>
        <v>11</v>
      </c>
    </row>
    <row r="121" spans="1:41" ht="12.75" customHeight="1">
      <c r="A121" s="239"/>
      <c r="B121" s="239" t="s">
        <v>78</v>
      </c>
      <c r="C121" s="572">
        <f>IF(V121&gt;0,(V121/V123),0)</f>
        <v>5.3737195902688863E-2</v>
      </c>
      <c r="D121" s="572">
        <f t="shared" ref="D121:T121" si="9">IF(W121&gt;0,(W121/W123),0)</f>
        <v>9.3697147367234182E-2</v>
      </c>
      <c r="E121" s="572">
        <f t="shared" si="9"/>
        <v>1.81349238333199E-2</v>
      </c>
      <c r="F121" s="572">
        <f t="shared" si="9"/>
        <v>8.1287325812873262E-2</v>
      </c>
      <c r="G121" s="572">
        <f t="shared" si="9"/>
        <v>9.7297297297297303E-2</v>
      </c>
      <c r="H121" s="572">
        <f t="shared" si="9"/>
        <v>5.4509415262636272E-2</v>
      </c>
      <c r="I121" s="572">
        <f t="shared" si="9"/>
        <v>0</v>
      </c>
      <c r="J121" s="573">
        <f t="shared" si="9"/>
        <v>5.4456677836285307E-2</v>
      </c>
      <c r="K121" s="574">
        <f t="shared" si="9"/>
        <v>0</v>
      </c>
      <c r="L121" s="572">
        <f t="shared" si="9"/>
        <v>0</v>
      </c>
      <c r="M121" s="572">
        <f t="shared" si="9"/>
        <v>0</v>
      </c>
      <c r="N121" s="572">
        <f t="shared" si="9"/>
        <v>0</v>
      </c>
      <c r="O121" s="575">
        <f t="shared" si="9"/>
        <v>0</v>
      </c>
      <c r="P121" s="574">
        <f t="shared" si="9"/>
        <v>0.70341877613560189</v>
      </c>
      <c r="Q121" s="572">
        <f t="shared" si="9"/>
        <v>0</v>
      </c>
      <c r="R121" s="572">
        <f t="shared" si="9"/>
        <v>0</v>
      </c>
      <c r="S121" s="575">
        <f t="shared" si="9"/>
        <v>0</v>
      </c>
      <c r="T121" s="574">
        <f t="shared" si="9"/>
        <v>0.55322862129144856</v>
      </c>
      <c r="U121" s="253"/>
      <c r="V121" s="594">
        <f t="shared" si="4"/>
        <v>1343</v>
      </c>
      <c r="W121" s="595">
        <f t="shared" si="5"/>
        <v>831</v>
      </c>
      <c r="X121" s="595">
        <f t="shared" si="5"/>
        <v>225</v>
      </c>
      <c r="Y121" s="595">
        <f t="shared" si="5"/>
        <v>245</v>
      </c>
      <c r="Z121" s="595">
        <f t="shared" si="5"/>
        <v>90</v>
      </c>
      <c r="AA121" s="595">
        <f t="shared" si="5"/>
        <v>110</v>
      </c>
      <c r="AB121" s="595">
        <f t="shared" si="5"/>
        <v>0</v>
      </c>
      <c r="AC121" s="596">
        <f t="shared" si="5"/>
        <v>2844</v>
      </c>
      <c r="AD121" s="594">
        <f t="shared" si="5"/>
        <v>0</v>
      </c>
      <c r="AE121" s="595">
        <f t="shared" si="5"/>
        <v>0</v>
      </c>
      <c r="AF121" s="595">
        <f t="shared" si="5"/>
        <v>0</v>
      </c>
      <c r="AG121" s="595">
        <f t="shared" si="5"/>
        <v>0</v>
      </c>
      <c r="AH121" s="597">
        <f t="shared" si="5"/>
        <v>0</v>
      </c>
      <c r="AI121" s="597">
        <f t="shared" si="5"/>
        <v>22036</v>
      </c>
      <c r="AJ121" s="594">
        <f t="shared" si="5"/>
        <v>0</v>
      </c>
      <c r="AK121" s="595">
        <f t="shared" si="5"/>
        <v>0</v>
      </c>
      <c r="AL121" s="597">
        <f t="shared" si="5"/>
        <v>0</v>
      </c>
      <c r="AM121" s="594">
        <f t="shared" si="5"/>
        <v>634</v>
      </c>
    </row>
    <row r="122" spans="1:41" ht="12.75" customHeight="1">
      <c r="A122" s="580"/>
      <c r="B122" s="580" t="s">
        <v>131</v>
      </c>
      <c r="C122" s="581">
        <f>IF(V122&gt;0,(V122/V123),0)</f>
        <v>0.10147247119078105</v>
      </c>
      <c r="D122" s="582">
        <f t="shared" ref="D122:T122" si="10">IF(W122&gt;0,(W122/W123),0)</f>
        <v>8.7270267222911257E-2</v>
      </c>
      <c r="E122" s="582">
        <f t="shared" si="10"/>
        <v>0.13790602079471267</v>
      </c>
      <c r="F122" s="582">
        <f t="shared" si="10"/>
        <v>0.11380225613802256</v>
      </c>
      <c r="G122" s="582">
        <f t="shared" si="10"/>
        <v>0.2454054054054054</v>
      </c>
      <c r="H122" s="582">
        <f t="shared" si="10"/>
        <v>0.11397423191278494</v>
      </c>
      <c r="I122" s="583">
        <f t="shared" si="10"/>
        <v>0</v>
      </c>
      <c r="J122" s="584">
        <f t="shared" si="10"/>
        <v>0.11146002872187649</v>
      </c>
      <c r="K122" s="581">
        <f t="shared" si="10"/>
        <v>0</v>
      </c>
      <c r="L122" s="582">
        <f t="shared" si="10"/>
        <v>0</v>
      </c>
      <c r="M122" s="582">
        <f t="shared" si="10"/>
        <v>0</v>
      </c>
      <c r="N122" s="582">
        <f t="shared" si="10"/>
        <v>0</v>
      </c>
      <c r="O122" s="583">
        <f t="shared" si="10"/>
        <v>0</v>
      </c>
      <c r="P122" s="581">
        <f t="shared" si="10"/>
        <v>0.1891020525425352</v>
      </c>
      <c r="Q122" s="581">
        <f t="shared" si="10"/>
        <v>0</v>
      </c>
      <c r="R122" s="582">
        <f t="shared" si="10"/>
        <v>0</v>
      </c>
      <c r="S122" s="583">
        <f t="shared" si="10"/>
        <v>0</v>
      </c>
      <c r="T122" s="581">
        <f t="shared" si="10"/>
        <v>0.4293193717277487</v>
      </c>
      <c r="U122" s="253"/>
      <c r="V122" s="585">
        <f t="shared" si="4"/>
        <v>2536</v>
      </c>
      <c r="W122" s="586">
        <f t="shared" si="5"/>
        <v>774</v>
      </c>
      <c r="X122" s="586">
        <f t="shared" si="5"/>
        <v>1711</v>
      </c>
      <c r="Y122" s="586">
        <f t="shared" si="5"/>
        <v>343</v>
      </c>
      <c r="Z122" s="586">
        <f t="shared" si="5"/>
        <v>227</v>
      </c>
      <c r="AA122" s="586">
        <f t="shared" si="5"/>
        <v>230</v>
      </c>
      <c r="AB122" s="586">
        <f t="shared" si="5"/>
        <v>0</v>
      </c>
      <c r="AC122" s="587">
        <f t="shared" si="5"/>
        <v>5821</v>
      </c>
      <c r="AD122" s="585">
        <f t="shared" si="5"/>
        <v>0</v>
      </c>
      <c r="AE122" s="586">
        <f t="shared" si="5"/>
        <v>0</v>
      </c>
      <c r="AF122" s="586">
        <f t="shared" si="5"/>
        <v>0</v>
      </c>
      <c r="AG122" s="586">
        <f t="shared" si="5"/>
        <v>0</v>
      </c>
      <c r="AH122" s="588">
        <f t="shared" si="5"/>
        <v>0</v>
      </c>
      <c r="AI122" s="588">
        <f t="shared" si="5"/>
        <v>5924</v>
      </c>
      <c r="AJ122" s="585">
        <f t="shared" si="5"/>
        <v>0</v>
      </c>
      <c r="AK122" s="586">
        <f t="shared" si="5"/>
        <v>0</v>
      </c>
      <c r="AL122" s="588">
        <f t="shared" si="5"/>
        <v>0</v>
      </c>
      <c r="AM122" s="585">
        <f t="shared" si="5"/>
        <v>492</v>
      </c>
    </row>
    <row r="123" spans="1:41" s="527" customFormat="1" ht="12.75" customHeight="1">
      <c r="A123" s="436" t="s">
        <v>86</v>
      </c>
      <c r="B123" s="436" t="s">
        <v>59</v>
      </c>
      <c r="C123" s="456">
        <f>SUM(C118:C122)</f>
        <v>1</v>
      </c>
      <c r="D123" s="456">
        <f t="shared" ref="D123:T123" si="11">SUM(D118:D122)</f>
        <v>1</v>
      </c>
      <c r="E123" s="456">
        <f t="shared" si="11"/>
        <v>1</v>
      </c>
      <c r="F123" s="456">
        <f t="shared" si="11"/>
        <v>0.99999999999999989</v>
      </c>
      <c r="G123" s="456">
        <f t="shared" si="11"/>
        <v>1</v>
      </c>
      <c r="H123" s="456">
        <f t="shared" si="11"/>
        <v>1</v>
      </c>
      <c r="I123" s="456">
        <f t="shared" si="11"/>
        <v>0</v>
      </c>
      <c r="J123" s="576">
        <f t="shared" si="11"/>
        <v>1</v>
      </c>
      <c r="K123" s="577">
        <f t="shared" si="11"/>
        <v>0</v>
      </c>
      <c r="L123" s="578">
        <f t="shared" si="11"/>
        <v>0</v>
      </c>
      <c r="M123" s="578">
        <f t="shared" si="11"/>
        <v>0</v>
      </c>
      <c r="N123" s="578">
        <f t="shared" si="11"/>
        <v>0</v>
      </c>
      <c r="O123" s="579">
        <f t="shared" si="11"/>
        <v>0</v>
      </c>
      <c r="P123" s="577">
        <f t="shared" si="11"/>
        <v>1</v>
      </c>
      <c r="Q123" s="578">
        <f t="shared" si="11"/>
        <v>0</v>
      </c>
      <c r="R123" s="578">
        <f t="shared" si="11"/>
        <v>0</v>
      </c>
      <c r="S123" s="579">
        <f t="shared" si="11"/>
        <v>0</v>
      </c>
      <c r="T123" s="577">
        <f t="shared" si="11"/>
        <v>1</v>
      </c>
      <c r="U123" s="264"/>
      <c r="V123" s="598">
        <f t="shared" si="4"/>
        <v>24992</v>
      </c>
      <c r="W123" s="599">
        <f t="shared" si="5"/>
        <v>8869</v>
      </c>
      <c r="X123" s="599">
        <f t="shared" si="5"/>
        <v>12407</v>
      </c>
      <c r="Y123" s="599">
        <f t="shared" si="5"/>
        <v>3014</v>
      </c>
      <c r="Z123" s="599">
        <f t="shared" si="5"/>
        <v>925</v>
      </c>
      <c r="AA123" s="599">
        <f t="shared" si="5"/>
        <v>2018</v>
      </c>
      <c r="AB123" s="599">
        <f t="shared" si="5"/>
        <v>0</v>
      </c>
      <c r="AC123" s="600">
        <f t="shared" si="5"/>
        <v>52225</v>
      </c>
      <c r="AD123" s="598">
        <f t="shared" si="5"/>
        <v>0</v>
      </c>
      <c r="AE123" s="599">
        <f t="shared" si="5"/>
        <v>0</v>
      </c>
      <c r="AF123" s="599">
        <f t="shared" si="5"/>
        <v>0</v>
      </c>
      <c r="AG123" s="599">
        <f t="shared" si="5"/>
        <v>0</v>
      </c>
      <c r="AH123" s="601">
        <f t="shared" si="5"/>
        <v>0</v>
      </c>
      <c r="AI123" s="601">
        <f t="shared" si="5"/>
        <v>31327</v>
      </c>
      <c r="AJ123" s="598">
        <f t="shared" si="5"/>
        <v>0</v>
      </c>
      <c r="AK123" s="599">
        <f t="shared" si="5"/>
        <v>0</v>
      </c>
      <c r="AL123" s="601">
        <f t="shared" si="5"/>
        <v>0</v>
      </c>
      <c r="AM123" s="598">
        <f t="shared" si="5"/>
        <v>1146</v>
      </c>
      <c r="AN123" s="270"/>
      <c r="AO123" s="270"/>
    </row>
    <row r="124" spans="1:41" ht="12.75" customHeight="1">
      <c r="A124" s="240" t="s">
        <v>136</v>
      </c>
      <c r="B124" s="240" t="s">
        <v>53</v>
      </c>
      <c r="C124" s="568">
        <f>IF(V124&gt;0,(V124/V129),0)</f>
        <v>0</v>
      </c>
      <c r="D124" s="568">
        <f t="shared" ref="D124:T124" si="12">IF(W124&gt;0,(W124/W129),0)</f>
        <v>0.21276595744680851</v>
      </c>
      <c r="E124" s="568">
        <f t="shared" si="12"/>
        <v>0.21113243761996162</v>
      </c>
      <c r="F124" s="568">
        <f t="shared" si="12"/>
        <v>0</v>
      </c>
      <c r="G124" s="568">
        <f t="shared" si="12"/>
        <v>4.9019607843137254E-2</v>
      </c>
      <c r="H124" s="568">
        <f t="shared" si="12"/>
        <v>0</v>
      </c>
      <c r="I124" s="568">
        <f t="shared" si="12"/>
        <v>0</v>
      </c>
      <c r="J124" s="569">
        <f t="shared" si="12"/>
        <v>0.1959847036328872</v>
      </c>
      <c r="K124" s="570">
        <f t="shared" si="12"/>
        <v>0</v>
      </c>
      <c r="L124" s="568">
        <f t="shared" si="12"/>
        <v>0</v>
      </c>
      <c r="M124" s="568">
        <f t="shared" si="12"/>
        <v>0</v>
      </c>
      <c r="N124" s="568">
        <f t="shared" si="12"/>
        <v>0</v>
      </c>
      <c r="O124" s="571">
        <f t="shared" si="12"/>
        <v>0</v>
      </c>
      <c r="P124" s="570">
        <f t="shared" si="12"/>
        <v>0.44444444444444442</v>
      </c>
      <c r="Q124" s="568">
        <f t="shared" si="12"/>
        <v>0</v>
      </c>
      <c r="R124" s="568">
        <f t="shared" si="12"/>
        <v>0</v>
      </c>
      <c r="S124" s="571">
        <f t="shared" si="12"/>
        <v>0</v>
      </c>
      <c r="T124" s="570">
        <f t="shared" si="12"/>
        <v>0</v>
      </c>
      <c r="U124" s="253"/>
      <c r="V124" s="245"/>
      <c r="W124" s="246">
        <v>90</v>
      </c>
      <c r="X124" s="246">
        <v>110</v>
      </c>
      <c r="Y124" s="246"/>
      <c r="Z124" s="246">
        <v>5</v>
      </c>
      <c r="AA124" s="246"/>
      <c r="AB124" s="242"/>
      <c r="AC124" s="247">
        <v>205</v>
      </c>
      <c r="AD124" s="245"/>
      <c r="AE124" s="246"/>
      <c r="AF124" s="246"/>
      <c r="AG124" s="246"/>
      <c r="AH124" s="246"/>
      <c r="AI124" s="248">
        <v>4</v>
      </c>
      <c r="AJ124" s="245"/>
      <c r="AK124" s="246"/>
      <c r="AL124" s="248"/>
      <c r="AM124" s="245"/>
      <c r="AN124" s="563"/>
    </row>
    <row r="125" spans="1:41" ht="12.75" customHeight="1">
      <c r="A125" s="239"/>
      <c r="B125" s="239" t="s">
        <v>93</v>
      </c>
      <c r="C125" s="572">
        <f>IF(V125&gt;0,(V125/V129),0)</f>
        <v>0</v>
      </c>
      <c r="D125" s="572">
        <f t="shared" ref="D125:T125" si="13">IF(W125&gt;0,(W125/W129),0)</f>
        <v>0.27423167848699764</v>
      </c>
      <c r="E125" s="572">
        <f t="shared" si="13"/>
        <v>0.27639155470249521</v>
      </c>
      <c r="F125" s="572">
        <f t="shared" si="13"/>
        <v>0</v>
      </c>
      <c r="G125" s="572">
        <f t="shared" si="13"/>
        <v>0.3235294117647059</v>
      </c>
      <c r="H125" s="572">
        <f t="shared" si="13"/>
        <v>0</v>
      </c>
      <c r="I125" s="572">
        <f t="shared" si="13"/>
        <v>0</v>
      </c>
      <c r="J125" s="573">
        <f t="shared" si="13"/>
        <v>0.28011472275334609</v>
      </c>
      <c r="K125" s="574">
        <f t="shared" si="13"/>
        <v>0</v>
      </c>
      <c r="L125" s="572">
        <f t="shared" si="13"/>
        <v>0</v>
      </c>
      <c r="M125" s="572">
        <f t="shared" si="13"/>
        <v>0</v>
      </c>
      <c r="N125" s="572">
        <f t="shared" si="13"/>
        <v>0</v>
      </c>
      <c r="O125" s="575">
        <f t="shared" si="13"/>
        <v>0</v>
      </c>
      <c r="P125" s="574">
        <f t="shared" si="13"/>
        <v>0.1111111111111111</v>
      </c>
      <c r="Q125" s="572">
        <f t="shared" si="13"/>
        <v>0</v>
      </c>
      <c r="R125" s="572">
        <f t="shared" si="13"/>
        <v>0</v>
      </c>
      <c r="S125" s="575">
        <f t="shared" si="13"/>
        <v>0</v>
      </c>
      <c r="T125" s="574">
        <f t="shared" si="13"/>
        <v>7.6923076923076927E-2</v>
      </c>
      <c r="U125" s="253"/>
      <c r="V125" s="254"/>
      <c r="W125" s="255">
        <v>116</v>
      </c>
      <c r="X125" s="255">
        <v>144</v>
      </c>
      <c r="Y125" s="255"/>
      <c r="Z125" s="255">
        <v>33</v>
      </c>
      <c r="AA125" s="255"/>
      <c r="AB125" s="251"/>
      <c r="AC125" s="256">
        <v>293</v>
      </c>
      <c r="AD125" s="254"/>
      <c r="AE125" s="255"/>
      <c r="AF125" s="255"/>
      <c r="AG125" s="255"/>
      <c r="AH125" s="255"/>
      <c r="AI125" s="257">
        <v>1</v>
      </c>
      <c r="AJ125" s="254"/>
      <c r="AK125" s="255"/>
      <c r="AL125" s="257"/>
      <c r="AM125" s="254">
        <v>1</v>
      </c>
      <c r="AN125" s="563"/>
    </row>
    <row r="126" spans="1:41" ht="12.75" customHeight="1">
      <c r="A126" s="239"/>
      <c r="B126" s="239" t="s">
        <v>55</v>
      </c>
      <c r="C126" s="572">
        <f>IF(V126&gt;0,(V126/V129),0)</f>
        <v>0</v>
      </c>
      <c r="D126" s="572">
        <f t="shared" ref="D126:T126" si="14">IF(W126&gt;0,(W126/W129),0)</f>
        <v>0.4160756501182033</v>
      </c>
      <c r="E126" s="572">
        <f t="shared" si="14"/>
        <v>0.40882917466410751</v>
      </c>
      <c r="F126" s="572">
        <f t="shared" si="14"/>
        <v>0</v>
      </c>
      <c r="G126" s="572">
        <f t="shared" si="14"/>
        <v>0.61764705882352944</v>
      </c>
      <c r="H126" s="572">
        <f t="shared" si="14"/>
        <v>0</v>
      </c>
      <c r="I126" s="572">
        <f t="shared" si="14"/>
        <v>0</v>
      </c>
      <c r="J126" s="573">
        <f t="shared" si="14"/>
        <v>0.43212237093690248</v>
      </c>
      <c r="K126" s="574">
        <f t="shared" si="14"/>
        <v>0</v>
      </c>
      <c r="L126" s="572">
        <f t="shared" si="14"/>
        <v>0</v>
      </c>
      <c r="M126" s="572">
        <f t="shared" si="14"/>
        <v>0</v>
      </c>
      <c r="N126" s="572">
        <f t="shared" si="14"/>
        <v>0</v>
      </c>
      <c r="O126" s="575">
        <f t="shared" si="14"/>
        <v>0</v>
      </c>
      <c r="P126" s="574">
        <f t="shared" si="14"/>
        <v>0.44444444444444442</v>
      </c>
      <c r="Q126" s="572">
        <f t="shared" si="14"/>
        <v>0</v>
      </c>
      <c r="R126" s="572">
        <f t="shared" si="14"/>
        <v>0</v>
      </c>
      <c r="S126" s="575">
        <f t="shared" si="14"/>
        <v>0</v>
      </c>
      <c r="T126" s="574">
        <f t="shared" si="14"/>
        <v>0.46153846153846156</v>
      </c>
      <c r="U126" s="253"/>
      <c r="V126" s="254"/>
      <c r="W126" s="255">
        <v>176</v>
      </c>
      <c r="X126" s="255">
        <v>213</v>
      </c>
      <c r="Y126" s="255"/>
      <c r="Z126" s="255">
        <v>63</v>
      </c>
      <c r="AA126" s="255"/>
      <c r="AB126" s="251"/>
      <c r="AC126" s="256">
        <v>452</v>
      </c>
      <c r="AD126" s="254"/>
      <c r="AE126" s="255"/>
      <c r="AF126" s="255"/>
      <c r="AG126" s="255"/>
      <c r="AH126" s="255"/>
      <c r="AI126" s="257">
        <v>4</v>
      </c>
      <c r="AJ126" s="254"/>
      <c r="AK126" s="255"/>
      <c r="AL126" s="257"/>
      <c r="AM126" s="254">
        <v>6</v>
      </c>
      <c r="AN126" s="563"/>
    </row>
    <row r="127" spans="1:41" ht="12.75" customHeight="1">
      <c r="A127" s="239"/>
      <c r="B127" s="239" t="s">
        <v>78</v>
      </c>
      <c r="C127" s="572">
        <f>IF(V127&gt;0,(V127/V129),0)</f>
        <v>0</v>
      </c>
      <c r="D127" s="572">
        <f t="shared" ref="D127:T127" si="15">IF(W127&gt;0,(W127/W129),0)</f>
        <v>6.8557919621749411E-2</v>
      </c>
      <c r="E127" s="572">
        <f t="shared" si="15"/>
        <v>0.1036468330134357</v>
      </c>
      <c r="F127" s="572">
        <f t="shared" si="15"/>
        <v>0</v>
      </c>
      <c r="G127" s="572">
        <f t="shared" si="15"/>
        <v>9.8039215686274508E-3</v>
      </c>
      <c r="H127" s="572">
        <f t="shared" si="15"/>
        <v>0</v>
      </c>
      <c r="I127" s="572">
        <f t="shared" si="15"/>
        <v>0</v>
      </c>
      <c r="J127" s="573">
        <f t="shared" si="15"/>
        <v>8.0305927342256209E-2</v>
      </c>
      <c r="K127" s="574">
        <f t="shared" si="15"/>
        <v>0</v>
      </c>
      <c r="L127" s="572">
        <f t="shared" si="15"/>
        <v>0</v>
      </c>
      <c r="M127" s="572">
        <f t="shared" si="15"/>
        <v>0</v>
      </c>
      <c r="N127" s="572">
        <f t="shared" si="15"/>
        <v>0</v>
      </c>
      <c r="O127" s="575">
        <f t="shared" si="15"/>
        <v>0</v>
      </c>
      <c r="P127" s="574">
        <f t="shared" si="15"/>
        <v>0</v>
      </c>
      <c r="Q127" s="572">
        <f t="shared" si="15"/>
        <v>0</v>
      </c>
      <c r="R127" s="572">
        <f t="shared" si="15"/>
        <v>0</v>
      </c>
      <c r="S127" s="575">
        <f t="shared" si="15"/>
        <v>0</v>
      </c>
      <c r="T127" s="574">
        <f t="shared" si="15"/>
        <v>0.38461538461538464</v>
      </c>
      <c r="U127" s="253"/>
      <c r="V127" s="254"/>
      <c r="W127" s="255">
        <v>29</v>
      </c>
      <c r="X127" s="255">
        <v>54</v>
      </c>
      <c r="Y127" s="255"/>
      <c r="Z127" s="255">
        <v>1</v>
      </c>
      <c r="AA127" s="255"/>
      <c r="AB127" s="251"/>
      <c r="AC127" s="256">
        <v>84</v>
      </c>
      <c r="AD127" s="254"/>
      <c r="AE127" s="255"/>
      <c r="AF127" s="255"/>
      <c r="AG127" s="255"/>
      <c r="AH127" s="255"/>
      <c r="AI127" s="257"/>
      <c r="AJ127" s="254"/>
      <c r="AK127" s="255"/>
      <c r="AL127" s="257"/>
      <c r="AM127" s="254">
        <v>5</v>
      </c>
      <c r="AN127" s="563"/>
    </row>
    <row r="128" spans="1:41" ht="12.75" customHeight="1">
      <c r="A128" s="580"/>
      <c r="B128" s="580" t="s">
        <v>131</v>
      </c>
      <c r="C128" s="581">
        <f>IF(V128&gt;0,(V128/V129),0)</f>
        <v>0</v>
      </c>
      <c r="D128" s="582">
        <f t="shared" ref="D128:T128" si="16">IF(W128&gt;0,(W128/W129),0)</f>
        <v>2.8368794326241134E-2</v>
      </c>
      <c r="E128" s="582">
        <f t="shared" si="16"/>
        <v>0</v>
      </c>
      <c r="F128" s="582">
        <f t="shared" si="16"/>
        <v>0</v>
      </c>
      <c r="G128" s="582">
        <f t="shared" si="16"/>
        <v>0</v>
      </c>
      <c r="H128" s="582">
        <f t="shared" si="16"/>
        <v>0</v>
      </c>
      <c r="I128" s="583">
        <f t="shared" si="16"/>
        <v>0</v>
      </c>
      <c r="J128" s="584">
        <f t="shared" si="16"/>
        <v>1.1472275334608031E-2</v>
      </c>
      <c r="K128" s="581">
        <f t="shared" si="16"/>
        <v>0</v>
      </c>
      <c r="L128" s="582">
        <f t="shared" si="16"/>
        <v>0</v>
      </c>
      <c r="M128" s="582">
        <f t="shared" si="16"/>
        <v>0</v>
      </c>
      <c r="N128" s="582">
        <f t="shared" si="16"/>
        <v>0</v>
      </c>
      <c r="O128" s="583">
        <f t="shared" si="16"/>
        <v>0</v>
      </c>
      <c r="P128" s="581">
        <f t="shared" si="16"/>
        <v>0</v>
      </c>
      <c r="Q128" s="581">
        <f t="shared" si="16"/>
        <v>0</v>
      </c>
      <c r="R128" s="582">
        <f t="shared" si="16"/>
        <v>0</v>
      </c>
      <c r="S128" s="583">
        <f t="shared" si="16"/>
        <v>0</v>
      </c>
      <c r="T128" s="581">
        <f t="shared" si="16"/>
        <v>7.6923076923076927E-2</v>
      </c>
      <c r="U128" s="253"/>
      <c r="V128" s="254"/>
      <c r="W128" s="255">
        <v>12</v>
      </c>
      <c r="X128" s="255"/>
      <c r="Y128" s="255"/>
      <c r="Z128" s="255"/>
      <c r="AA128" s="255"/>
      <c r="AB128" s="582"/>
      <c r="AC128" s="256">
        <v>12</v>
      </c>
      <c r="AD128" s="254"/>
      <c r="AE128" s="255"/>
      <c r="AF128" s="255"/>
      <c r="AG128" s="255"/>
      <c r="AH128" s="255"/>
      <c r="AI128" s="257"/>
      <c r="AJ128" s="254"/>
      <c r="AK128" s="255"/>
      <c r="AL128" s="257"/>
      <c r="AM128" s="254">
        <v>1</v>
      </c>
    </row>
    <row r="129" spans="1:41" s="527" customFormat="1" ht="12.75" customHeight="1">
      <c r="A129" s="436"/>
      <c r="B129" s="436" t="s">
        <v>59</v>
      </c>
      <c r="C129" s="456">
        <f>SUM(C124:C128)</f>
        <v>0</v>
      </c>
      <c r="D129" s="456">
        <f t="shared" ref="D129:T129" si="17">SUM(D124:D128)</f>
        <v>1</v>
      </c>
      <c r="E129" s="456">
        <f t="shared" si="17"/>
        <v>1</v>
      </c>
      <c r="F129" s="456">
        <f t="shared" si="17"/>
        <v>0</v>
      </c>
      <c r="G129" s="456">
        <f t="shared" si="17"/>
        <v>1</v>
      </c>
      <c r="H129" s="456">
        <f t="shared" si="17"/>
        <v>0</v>
      </c>
      <c r="I129" s="456">
        <f t="shared" si="17"/>
        <v>0</v>
      </c>
      <c r="J129" s="576">
        <f t="shared" si="17"/>
        <v>0.99999999999999989</v>
      </c>
      <c r="K129" s="577">
        <f t="shared" si="17"/>
        <v>0</v>
      </c>
      <c r="L129" s="578">
        <f t="shared" si="17"/>
        <v>0</v>
      </c>
      <c r="M129" s="578">
        <f t="shared" si="17"/>
        <v>0</v>
      </c>
      <c r="N129" s="578">
        <f t="shared" si="17"/>
        <v>0</v>
      </c>
      <c r="O129" s="579">
        <f t="shared" si="17"/>
        <v>0</v>
      </c>
      <c r="P129" s="577">
        <f t="shared" si="17"/>
        <v>1</v>
      </c>
      <c r="Q129" s="578">
        <f t="shared" si="17"/>
        <v>0</v>
      </c>
      <c r="R129" s="578">
        <f t="shared" si="17"/>
        <v>0</v>
      </c>
      <c r="S129" s="579">
        <f t="shared" si="17"/>
        <v>0</v>
      </c>
      <c r="T129" s="577">
        <f t="shared" si="17"/>
        <v>1</v>
      </c>
      <c r="U129" s="264"/>
      <c r="V129" s="265"/>
      <c r="W129" s="266">
        <v>423</v>
      </c>
      <c r="X129" s="266">
        <v>521</v>
      </c>
      <c r="Y129" s="266"/>
      <c r="Z129" s="266">
        <v>102</v>
      </c>
      <c r="AA129" s="266"/>
      <c r="AB129" s="262"/>
      <c r="AC129" s="267">
        <v>1046</v>
      </c>
      <c r="AD129" s="265"/>
      <c r="AE129" s="266"/>
      <c r="AF129" s="266"/>
      <c r="AG129" s="266"/>
      <c r="AH129" s="266"/>
      <c r="AI129" s="268">
        <v>9</v>
      </c>
      <c r="AJ129" s="265"/>
      <c r="AK129" s="266"/>
      <c r="AL129" s="268"/>
      <c r="AM129" s="265">
        <v>13</v>
      </c>
      <c r="AN129" s="270"/>
      <c r="AO129" s="270"/>
    </row>
    <row r="130" spans="1:41" ht="12.75" customHeight="1">
      <c r="A130" s="240" t="s">
        <v>137</v>
      </c>
      <c r="B130" s="240" t="s">
        <v>53</v>
      </c>
      <c r="C130" s="568">
        <f>IF(V130&gt;0,(V130/V135),0)</f>
        <v>0.35480598529038804</v>
      </c>
      <c r="D130" s="568">
        <f t="shared" ref="D130:T130" si="18">IF(W130&gt;0,(W130/W135),0)</f>
        <v>0.3006060606060606</v>
      </c>
      <c r="E130" s="568">
        <f t="shared" si="18"/>
        <v>0</v>
      </c>
      <c r="F130" s="568">
        <f t="shared" si="18"/>
        <v>0</v>
      </c>
      <c r="G130" s="568">
        <f t="shared" si="18"/>
        <v>0</v>
      </c>
      <c r="H130" s="568">
        <f t="shared" si="18"/>
        <v>0</v>
      </c>
      <c r="I130" s="568">
        <f t="shared" si="18"/>
        <v>0</v>
      </c>
      <c r="J130" s="569">
        <f t="shared" si="18"/>
        <v>0.34542785234899331</v>
      </c>
      <c r="K130" s="570">
        <f t="shared" si="18"/>
        <v>0</v>
      </c>
      <c r="L130" s="568">
        <f t="shared" si="18"/>
        <v>0</v>
      </c>
      <c r="M130" s="568">
        <f t="shared" si="18"/>
        <v>0</v>
      </c>
      <c r="N130" s="568">
        <f t="shared" si="18"/>
        <v>0</v>
      </c>
      <c r="O130" s="571">
        <f t="shared" si="18"/>
        <v>0</v>
      </c>
      <c r="P130" s="570">
        <f t="shared" si="18"/>
        <v>4.3775100401606426E-2</v>
      </c>
      <c r="Q130" s="568">
        <f t="shared" si="18"/>
        <v>0</v>
      </c>
      <c r="R130" s="568">
        <f t="shared" si="18"/>
        <v>0</v>
      </c>
      <c r="S130" s="571">
        <f t="shared" si="18"/>
        <v>0</v>
      </c>
      <c r="T130" s="570">
        <f t="shared" si="18"/>
        <v>0</v>
      </c>
      <c r="U130" s="253"/>
      <c r="V130" s="245">
        <v>1399</v>
      </c>
      <c r="W130" s="246">
        <v>248</v>
      </c>
      <c r="X130" s="246"/>
      <c r="Y130" s="246"/>
      <c r="Z130" s="246"/>
      <c r="AA130" s="246"/>
      <c r="AB130" s="242"/>
      <c r="AC130" s="247">
        <v>1647</v>
      </c>
      <c r="AD130" s="245"/>
      <c r="AE130" s="246"/>
      <c r="AF130" s="246"/>
      <c r="AG130" s="246"/>
      <c r="AH130" s="246"/>
      <c r="AI130" s="248">
        <v>109</v>
      </c>
      <c r="AJ130" s="245"/>
      <c r="AK130" s="246"/>
      <c r="AL130" s="248"/>
      <c r="AM130" s="245"/>
      <c r="AN130" s="563"/>
    </row>
    <row r="131" spans="1:41" ht="12.75" customHeight="1">
      <c r="A131" s="239"/>
      <c r="B131" s="239" t="s">
        <v>93</v>
      </c>
      <c r="C131" s="572">
        <f>IF(V131&gt;0,(V131/V135),0)</f>
        <v>0.25893989348212021</v>
      </c>
      <c r="D131" s="572">
        <f t="shared" ref="D131:T131" si="19">IF(W131&gt;0,(W131/W135),0)</f>
        <v>0.22787878787878788</v>
      </c>
      <c r="E131" s="572">
        <f t="shared" si="19"/>
        <v>0</v>
      </c>
      <c r="F131" s="572">
        <f t="shared" si="19"/>
        <v>0</v>
      </c>
      <c r="G131" s="572">
        <f t="shared" si="19"/>
        <v>0</v>
      </c>
      <c r="H131" s="572">
        <f t="shared" si="19"/>
        <v>0</v>
      </c>
      <c r="I131" s="572">
        <f t="shared" si="19"/>
        <v>0</v>
      </c>
      <c r="J131" s="573">
        <f t="shared" si="19"/>
        <v>0.25356543624161076</v>
      </c>
      <c r="K131" s="574">
        <f t="shared" si="19"/>
        <v>0</v>
      </c>
      <c r="L131" s="572">
        <f t="shared" si="19"/>
        <v>0</v>
      </c>
      <c r="M131" s="572">
        <f t="shared" si="19"/>
        <v>0</v>
      </c>
      <c r="N131" s="572">
        <f t="shared" si="19"/>
        <v>0</v>
      </c>
      <c r="O131" s="575">
        <f t="shared" si="19"/>
        <v>0</v>
      </c>
      <c r="P131" s="574">
        <f t="shared" si="19"/>
        <v>0</v>
      </c>
      <c r="Q131" s="572">
        <f t="shared" si="19"/>
        <v>0</v>
      </c>
      <c r="R131" s="572">
        <f t="shared" si="19"/>
        <v>0</v>
      </c>
      <c r="S131" s="575">
        <f t="shared" si="19"/>
        <v>0</v>
      </c>
      <c r="T131" s="574">
        <f t="shared" si="19"/>
        <v>0</v>
      </c>
      <c r="U131" s="253"/>
      <c r="V131" s="254">
        <v>1021</v>
      </c>
      <c r="W131" s="255">
        <v>188</v>
      </c>
      <c r="X131" s="255"/>
      <c r="Y131" s="255"/>
      <c r="Z131" s="255"/>
      <c r="AA131" s="255"/>
      <c r="AB131" s="251"/>
      <c r="AC131" s="256">
        <v>1209</v>
      </c>
      <c r="AD131" s="254"/>
      <c r="AE131" s="255"/>
      <c r="AF131" s="255"/>
      <c r="AG131" s="255"/>
      <c r="AH131" s="255"/>
      <c r="AI131" s="257"/>
      <c r="AJ131" s="254"/>
      <c r="AK131" s="255"/>
      <c r="AL131" s="257"/>
      <c r="AM131" s="254"/>
      <c r="AN131" s="563"/>
    </row>
    <row r="132" spans="1:41" ht="12.75" customHeight="1">
      <c r="A132" s="239"/>
      <c r="B132" s="239" t="s">
        <v>55</v>
      </c>
      <c r="C132" s="572">
        <f>IF(V132&gt;0,(V132/V135),0)</f>
        <v>0.20441288359117424</v>
      </c>
      <c r="D132" s="572">
        <f t="shared" ref="D132:T132" si="20">IF(W132&gt;0,(W132/W135),0)</f>
        <v>0.22787878787878788</v>
      </c>
      <c r="E132" s="572">
        <f t="shared" si="20"/>
        <v>0</v>
      </c>
      <c r="F132" s="572">
        <f t="shared" si="20"/>
        <v>0</v>
      </c>
      <c r="G132" s="572">
        <f t="shared" si="20"/>
        <v>0</v>
      </c>
      <c r="H132" s="572">
        <f t="shared" si="20"/>
        <v>0</v>
      </c>
      <c r="I132" s="572">
        <f t="shared" si="20"/>
        <v>0</v>
      </c>
      <c r="J132" s="573">
        <f t="shared" si="20"/>
        <v>0.20847315436241612</v>
      </c>
      <c r="K132" s="574">
        <f t="shared" si="20"/>
        <v>0</v>
      </c>
      <c r="L132" s="572">
        <f t="shared" si="20"/>
        <v>0</v>
      </c>
      <c r="M132" s="572">
        <f t="shared" si="20"/>
        <v>0</v>
      </c>
      <c r="N132" s="572">
        <f t="shared" si="20"/>
        <v>0</v>
      </c>
      <c r="O132" s="575">
        <f t="shared" si="20"/>
        <v>0</v>
      </c>
      <c r="P132" s="574">
        <f t="shared" si="20"/>
        <v>0</v>
      </c>
      <c r="Q132" s="572">
        <f t="shared" si="20"/>
        <v>0</v>
      </c>
      <c r="R132" s="572">
        <f t="shared" si="20"/>
        <v>0</v>
      </c>
      <c r="S132" s="575">
        <f t="shared" si="20"/>
        <v>0</v>
      </c>
      <c r="T132" s="574">
        <f t="shared" si="20"/>
        <v>0</v>
      </c>
      <c r="U132" s="253"/>
      <c r="V132" s="254">
        <v>806</v>
      </c>
      <c r="W132" s="255">
        <v>188</v>
      </c>
      <c r="X132" s="255"/>
      <c r="Y132" s="255"/>
      <c r="Z132" s="255"/>
      <c r="AA132" s="255"/>
      <c r="AB132" s="251"/>
      <c r="AC132" s="256">
        <v>994</v>
      </c>
      <c r="AD132" s="254"/>
      <c r="AE132" s="255"/>
      <c r="AF132" s="255"/>
      <c r="AG132" s="255"/>
      <c r="AH132" s="255"/>
      <c r="AI132" s="257"/>
      <c r="AJ132" s="254"/>
      <c r="AK132" s="255"/>
      <c r="AL132" s="257"/>
      <c r="AM132" s="254"/>
      <c r="AN132" s="563"/>
    </row>
    <row r="133" spans="1:41" ht="12.75" customHeight="1">
      <c r="A133" s="239"/>
      <c r="B133" s="239" t="s">
        <v>78</v>
      </c>
      <c r="C133" s="572">
        <f>IF(V133&gt;0,(V133/V135),0)</f>
        <v>5.325893989348212E-2</v>
      </c>
      <c r="D133" s="572">
        <f t="shared" ref="D133:T133" si="21">IF(W133&gt;0,(W133/W135),0)</f>
        <v>9.4545454545454544E-2</v>
      </c>
      <c r="E133" s="572">
        <f t="shared" si="21"/>
        <v>0</v>
      </c>
      <c r="F133" s="572">
        <f t="shared" si="21"/>
        <v>0</v>
      </c>
      <c r="G133" s="572">
        <f t="shared" si="21"/>
        <v>0</v>
      </c>
      <c r="H133" s="572">
        <f t="shared" si="21"/>
        <v>0</v>
      </c>
      <c r="I133" s="572">
        <f t="shared" si="21"/>
        <v>0</v>
      </c>
      <c r="J133" s="573">
        <f t="shared" si="21"/>
        <v>6.0402684563758392E-2</v>
      </c>
      <c r="K133" s="574">
        <f t="shared" si="21"/>
        <v>0</v>
      </c>
      <c r="L133" s="572">
        <f t="shared" si="21"/>
        <v>0</v>
      </c>
      <c r="M133" s="572">
        <f t="shared" si="21"/>
        <v>0</v>
      </c>
      <c r="N133" s="572">
        <f t="shared" si="21"/>
        <v>0</v>
      </c>
      <c r="O133" s="575">
        <f t="shared" si="21"/>
        <v>0</v>
      </c>
      <c r="P133" s="574">
        <f t="shared" si="21"/>
        <v>0.13132530120481928</v>
      </c>
      <c r="Q133" s="572">
        <f t="shared" si="21"/>
        <v>0</v>
      </c>
      <c r="R133" s="572">
        <f t="shared" si="21"/>
        <v>0</v>
      </c>
      <c r="S133" s="575">
        <f t="shared" si="21"/>
        <v>0</v>
      </c>
      <c r="T133" s="574">
        <f t="shared" si="21"/>
        <v>1</v>
      </c>
      <c r="U133" s="253"/>
      <c r="V133" s="254">
        <v>210</v>
      </c>
      <c r="W133" s="255">
        <v>78</v>
      </c>
      <c r="X133" s="255"/>
      <c r="Y133" s="255"/>
      <c r="Z133" s="255"/>
      <c r="AA133" s="255"/>
      <c r="AB133" s="251"/>
      <c r="AC133" s="256">
        <v>288</v>
      </c>
      <c r="AD133" s="254"/>
      <c r="AE133" s="255"/>
      <c r="AF133" s="255"/>
      <c r="AG133" s="255"/>
      <c r="AH133" s="255"/>
      <c r="AI133" s="257">
        <v>327</v>
      </c>
      <c r="AJ133" s="254"/>
      <c r="AK133" s="255"/>
      <c r="AL133" s="257"/>
      <c r="AM133" s="254">
        <v>15</v>
      </c>
      <c r="AN133" s="563"/>
    </row>
    <row r="134" spans="1:41" ht="12.75" customHeight="1">
      <c r="A134" s="580"/>
      <c r="B134" s="580" t="s">
        <v>131</v>
      </c>
      <c r="C134" s="581">
        <f>IF(V134&gt;0,(V134/V135),0)</f>
        <v>0.12858229774283542</v>
      </c>
      <c r="D134" s="582">
        <f t="shared" ref="D134:T134" si="22">IF(W134&gt;0,(W134/W135),0)</f>
        <v>0.14909090909090908</v>
      </c>
      <c r="E134" s="582">
        <f t="shared" si="22"/>
        <v>0</v>
      </c>
      <c r="F134" s="582">
        <f t="shared" si="22"/>
        <v>0</v>
      </c>
      <c r="G134" s="582">
        <f t="shared" si="22"/>
        <v>0</v>
      </c>
      <c r="H134" s="582">
        <f t="shared" si="22"/>
        <v>0</v>
      </c>
      <c r="I134" s="583">
        <f t="shared" si="22"/>
        <v>0</v>
      </c>
      <c r="J134" s="584">
        <f t="shared" si="22"/>
        <v>0.13213087248322147</v>
      </c>
      <c r="K134" s="581">
        <f t="shared" si="22"/>
        <v>0</v>
      </c>
      <c r="L134" s="582">
        <f t="shared" si="22"/>
        <v>0</v>
      </c>
      <c r="M134" s="582">
        <f t="shared" si="22"/>
        <v>0</v>
      </c>
      <c r="N134" s="582">
        <f t="shared" si="22"/>
        <v>0</v>
      </c>
      <c r="O134" s="583">
        <f t="shared" si="22"/>
        <v>0</v>
      </c>
      <c r="P134" s="581">
        <f t="shared" si="22"/>
        <v>0.8248995983935743</v>
      </c>
      <c r="Q134" s="581">
        <f t="shared" si="22"/>
        <v>0</v>
      </c>
      <c r="R134" s="582">
        <f t="shared" si="22"/>
        <v>0</v>
      </c>
      <c r="S134" s="583">
        <f t="shared" si="22"/>
        <v>0</v>
      </c>
      <c r="T134" s="581">
        <f t="shared" si="22"/>
        <v>0</v>
      </c>
      <c r="U134" s="253"/>
      <c r="V134" s="254">
        <v>507</v>
      </c>
      <c r="W134" s="255">
        <v>123</v>
      </c>
      <c r="X134" s="255"/>
      <c r="Y134" s="255"/>
      <c r="Z134" s="255"/>
      <c r="AA134" s="255"/>
      <c r="AB134" s="582"/>
      <c r="AC134" s="256">
        <v>630</v>
      </c>
      <c r="AD134" s="254"/>
      <c r="AE134" s="255"/>
      <c r="AF134" s="255"/>
      <c r="AG134" s="255"/>
      <c r="AH134" s="255"/>
      <c r="AI134" s="257">
        <v>2054</v>
      </c>
      <c r="AJ134" s="254"/>
      <c r="AK134" s="255"/>
      <c r="AL134" s="257"/>
      <c r="AM134" s="254"/>
    </row>
    <row r="135" spans="1:41" s="527" customFormat="1" ht="12.75" customHeight="1">
      <c r="A135" s="436"/>
      <c r="B135" s="436" t="s">
        <v>59</v>
      </c>
      <c r="C135" s="456">
        <f>SUM(C130:C134)</f>
        <v>1</v>
      </c>
      <c r="D135" s="456">
        <f t="shared" ref="D135:T135" si="23">SUM(D130:D134)</f>
        <v>0.99999999999999989</v>
      </c>
      <c r="E135" s="456">
        <f t="shared" si="23"/>
        <v>0</v>
      </c>
      <c r="F135" s="456">
        <f t="shared" si="23"/>
        <v>0</v>
      </c>
      <c r="G135" s="456">
        <f t="shared" si="23"/>
        <v>0</v>
      </c>
      <c r="H135" s="456">
        <f t="shared" si="23"/>
        <v>0</v>
      </c>
      <c r="I135" s="456">
        <f t="shared" si="23"/>
        <v>0</v>
      </c>
      <c r="J135" s="576">
        <f t="shared" si="23"/>
        <v>1</v>
      </c>
      <c r="K135" s="577">
        <f t="shared" si="23"/>
        <v>0</v>
      </c>
      <c r="L135" s="578">
        <f t="shared" si="23"/>
        <v>0</v>
      </c>
      <c r="M135" s="578">
        <f t="shared" si="23"/>
        <v>0</v>
      </c>
      <c r="N135" s="578">
        <f t="shared" si="23"/>
        <v>0</v>
      </c>
      <c r="O135" s="579">
        <f t="shared" si="23"/>
        <v>0</v>
      </c>
      <c r="P135" s="577">
        <f t="shared" si="23"/>
        <v>1</v>
      </c>
      <c r="Q135" s="578">
        <f t="shared" si="23"/>
        <v>0</v>
      </c>
      <c r="R135" s="578">
        <f t="shared" si="23"/>
        <v>0</v>
      </c>
      <c r="S135" s="579">
        <f t="shared" si="23"/>
        <v>0</v>
      </c>
      <c r="T135" s="577">
        <f t="shared" si="23"/>
        <v>1</v>
      </c>
      <c r="U135" s="264"/>
      <c r="V135" s="265">
        <v>3943</v>
      </c>
      <c r="W135" s="266">
        <v>825</v>
      </c>
      <c r="X135" s="266"/>
      <c r="Y135" s="266"/>
      <c r="Z135" s="266"/>
      <c r="AA135" s="266"/>
      <c r="AB135" s="262"/>
      <c r="AC135" s="267">
        <v>4768</v>
      </c>
      <c r="AD135" s="265"/>
      <c r="AE135" s="266"/>
      <c r="AF135" s="266"/>
      <c r="AG135" s="266"/>
      <c r="AH135" s="266"/>
      <c r="AI135" s="268">
        <v>2490</v>
      </c>
      <c r="AJ135" s="265"/>
      <c r="AK135" s="266"/>
      <c r="AL135" s="268"/>
      <c r="AM135" s="265">
        <v>15</v>
      </c>
      <c r="AN135" s="270"/>
      <c r="AO135" s="270"/>
    </row>
    <row r="136" spans="1:41" ht="12.75" customHeight="1">
      <c r="A136" s="240" t="s">
        <v>138</v>
      </c>
      <c r="B136" s="240" t="s">
        <v>53</v>
      </c>
      <c r="C136" s="568">
        <f>IF(V136&gt;0,(V136/V141),0)</f>
        <v>0.53600970552553218</v>
      </c>
      <c r="D136" s="568">
        <f t="shared" ref="D136:T136" si="24">IF(W136&gt;0,(W136/W141),0)</f>
        <v>0.43158783783783783</v>
      </c>
      <c r="E136" s="568">
        <f t="shared" si="24"/>
        <v>0.40058817351118581</v>
      </c>
      <c r="F136" s="568">
        <f t="shared" si="24"/>
        <v>0.32665832290362956</v>
      </c>
      <c r="G136" s="568">
        <f t="shared" si="24"/>
        <v>0</v>
      </c>
      <c r="H136" s="568">
        <f t="shared" si="24"/>
        <v>0.14009661835748793</v>
      </c>
      <c r="I136" s="568">
        <f t="shared" si="24"/>
        <v>0</v>
      </c>
      <c r="J136" s="569">
        <f t="shared" si="24"/>
        <v>0.45601116565598226</v>
      </c>
      <c r="K136" s="570">
        <f t="shared" si="24"/>
        <v>0</v>
      </c>
      <c r="L136" s="568">
        <f t="shared" si="24"/>
        <v>0</v>
      </c>
      <c r="M136" s="568">
        <f t="shared" si="24"/>
        <v>0</v>
      </c>
      <c r="N136" s="568">
        <f t="shared" si="24"/>
        <v>0</v>
      </c>
      <c r="O136" s="571">
        <f t="shared" si="24"/>
        <v>0</v>
      </c>
      <c r="P136" s="570">
        <f t="shared" si="24"/>
        <v>1.2440138713051137E-2</v>
      </c>
      <c r="Q136" s="568">
        <f t="shared" si="24"/>
        <v>0</v>
      </c>
      <c r="R136" s="568">
        <f t="shared" si="24"/>
        <v>0</v>
      </c>
      <c r="S136" s="571">
        <f t="shared" si="24"/>
        <v>0</v>
      </c>
      <c r="T136" s="570">
        <f t="shared" si="24"/>
        <v>0</v>
      </c>
      <c r="U136" s="253"/>
      <c r="V136" s="245">
        <v>4860</v>
      </c>
      <c r="W136" s="246">
        <v>511</v>
      </c>
      <c r="X136" s="246">
        <v>3814</v>
      </c>
      <c r="Y136" s="246">
        <v>261</v>
      </c>
      <c r="Z136" s="246"/>
      <c r="AA136" s="246">
        <v>29</v>
      </c>
      <c r="AB136" s="242"/>
      <c r="AC136" s="247">
        <v>9475</v>
      </c>
      <c r="AD136" s="245"/>
      <c r="AE136" s="246"/>
      <c r="AF136" s="246"/>
      <c r="AG136" s="246"/>
      <c r="AH136" s="246"/>
      <c r="AI136" s="248">
        <v>226</v>
      </c>
      <c r="AJ136" s="245"/>
      <c r="AK136" s="246"/>
      <c r="AL136" s="248"/>
      <c r="AM136" s="245"/>
      <c r="AN136" s="563"/>
    </row>
    <row r="137" spans="1:41" ht="12.75" customHeight="1">
      <c r="A137" s="239"/>
      <c r="B137" s="239" t="s">
        <v>93</v>
      </c>
      <c r="C137" s="572">
        <f>IF(V137&gt;0,(V137/V141),0)</f>
        <v>0.18672107643101357</v>
      </c>
      <c r="D137" s="572">
        <f t="shared" ref="D137:T137" si="25">IF(W137&gt;0,(W137/W141),0)</f>
        <v>0.25506756756756754</v>
      </c>
      <c r="E137" s="572">
        <f t="shared" si="25"/>
        <v>0.23495431152189897</v>
      </c>
      <c r="F137" s="572">
        <f t="shared" si="25"/>
        <v>0.26032540675844806</v>
      </c>
      <c r="G137" s="572">
        <f t="shared" si="25"/>
        <v>0</v>
      </c>
      <c r="H137" s="572">
        <f t="shared" si="25"/>
        <v>0.1111111111111111</v>
      </c>
      <c r="I137" s="572">
        <f t="shared" si="25"/>
        <v>0</v>
      </c>
      <c r="J137" s="573">
        <f t="shared" si="25"/>
        <v>0.21479449417653287</v>
      </c>
      <c r="K137" s="574">
        <f t="shared" si="25"/>
        <v>0</v>
      </c>
      <c r="L137" s="572">
        <f t="shared" si="25"/>
        <v>0</v>
      </c>
      <c r="M137" s="572">
        <f t="shared" si="25"/>
        <v>0</v>
      </c>
      <c r="N137" s="572">
        <f t="shared" si="25"/>
        <v>0</v>
      </c>
      <c r="O137" s="575">
        <f t="shared" si="25"/>
        <v>0</v>
      </c>
      <c r="P137" s="574">
        <f t="shared" si="25"/>
        <v>5.3943964330929704E-3</v>
      </c>
      <c r="Q137" s="572">
        <f t="shared" si="25"/>
        <v>0</v>
      </c>
      <c r="R137" s="572">
        <f t="shared" si="25"/>
        <v>0</v>
      </c>
      <c r="S137" s="575">
        <f t="shared" si="25"/>
        <v>0</v>
      </c>
      <c r="T137" s="574">
        <f t="shared" si="25"/>
        <v>0</v>
      </c>
      <c r="U137" s="253"/>
      <c r="V137" s="254">
        <v>1693</v>
      </c>
      <c r="W137" s="255">
        <v>302</v>
      </c>
      <c r="X137" s="255">
        <v>2237</v>
      </c>
      <c r="Y137" s="255">
        <v>208</v>
      </c>
      <c r="Z137" s="255"/>
      <c r="AA137" s="255">
        <v>23</v>
      </c>
      <c r="AB137" s="251"/>
      <c r="AC137" s="256">
        <v>4463</v>
      </c>
      <c r="AD137" s="254"/>
      <c r="AE137" s="255"/>
      <c r="AF137" s="255"/>
      <c r="AG137" s="255"/>
      <c r="AH137" s="255"/>
      <c r="AI137" s="257">
        <v>98</v>
      </c>
      <c r="AJ137" s="254"/>
      <c r="AK137" s="255"/>
      <c r="AL137" s="257"/>
      <c r="AM137" s="254"/>
      <c r="AN137" s="563"/>
    </row>
    <row r="138" spans="1:41" ht="12.75" customHeight="1">
      <c r="A138" s="239"/>
      <c r="B138" s="239" t="s">
        <v>55</v>
      </c>
      <c r="C138" s="572">
        <f>IF(V138&gt;0,(V138/V141),0)</f>
        <v>0.16995698687548252</v>
      </c>
      <c r="D138" s="572">
        <f t="shared" ref="D138:T138" si="26">IF(W138&gt;0,(W138/W141),0)</f>
        <v>0.18412162162162163</v>
      </c>
      <c r="E138" s="572">
        <f t="shared" si="26"/>
        <v>0.21583867240836047</v>
      </c>
      <c r="F138" s="572">
        <f t="shared" si="26"/>
        <v>0.18272841051314143</v>
      </c>
      <c r="G138" s="572">
        <f t="shared" si="26"/>
        <v>0</v>
      </c>
      <c r="H138" s="572">
        <f t="shared" si="26"/>
        <v>0.35265700483091789</v>
      </c>
      <c r="I138" s="572">
        <f t="shared" si="26"/>
        <v>0</v>
      </c>
      <c r="J138" s="573">
        <f t="shared" si="26"/>
        <v>0.19409952834729041</v>
      </c>
      <c r="K138" s="574">
        <f t="shared" si="26"/>
        <v>0</v>
      </c>
      <c r="L138" s="572">
        <f t="shared" si="26"/>
        <v>0</v>
      </c>
      <c r="M138" s="572">
        <f t="shared" si="26"/>
        <v>0</v>
      </c>
      <c r="N138" s="572">
        <f t="shared" si="26"/>
        <v>0</v>
      </c>
      <c r="O138" s="575">
        <f t="shared" si="26"/>
        <v>0</v>
      </c>
      <c r="P138" s="574">
        <f t="shared" si="26"/>
        <v>2.1467496009247538E-3</v>
      </c>
      <c r="Q138" s="572">
        <f t="shared" si="26"/>
        <v>0</v>
      </c>
      <c r="R138" s="572">
        <f t="shared" si="26"/>
        <v>0</v>
      </c>
      <c r="S138" s="575">
        <f t="shared" si="26"/>
        <v>0</v>
      </c>
      <c r="T138" s="574">
        <f t="shared" si="26"/>
        <v>0</v>
      </c>
      <c r="U138" s="253"/>
      <c r="V138" s="254">
        <v>1541</v>
      </c>
      <c r="W138" s="255">
        <v>218</v>
      </c>
      <c r="X138" s="255">
        <v>2055</v>
      </c>
      <c r="Y138" s="255">
        <v>146</v>
      </c>
      <c r="Z138" s="255"/>
      <c r="AA138" s="255">
        <v>73</v>
      </c>
      <c r="AB138" s="251"/>
      <c r="AC138" s="256">
        <v>4033</v>
      </c>
      <c r="AD138" s="254"/>
      <c r="AE138" s="255"/>
      <c r="AF138" s="255"/>
      <c r="AG138" s="255"/>
      <c r="AH138" s="255"/>
      <c r="AI138" s="257">
        <v>39</v>
      </c>
      <c r="AJ138" s="254"/>
      <c r="AK138" s="255"/>
      <c r="AL138" s="257"/>
      <c r="AM138" s="254"/>
      <c r="AN138" s="563"/>
    </row>
    <row r="139" spans="1:41" ht="12.75" customHeight="1">
      <c r="A139" s="239"/>
      <c r="B139" s="239" t="s">
        <v>78</v>
      </c>
      <c r="C139" s="572">
        <f>IF(V139&gt;0,(V139/V141),0)</f>
        <v>6.61740377192015E-4</v>
      </c>
      <c r="D139" s="572">
        <f t="shared" ref="D139:T139" si="27">IF(W139&gt;0,(W139/W141),0)</f>
        <v>0</v>
      </c>
      <c r="E139" s="572">
        <f t="shared" si="27"/>
        <v>1.0503098414032139E-4</v>
      </c>
      <c r="F139" s="572">
        <f t="shared" si="27"/>
        <v>0</v>
      </c>
      <c r="G139" s="572">
        <f t="shared" si="27"/>
        <v>0</v>
      </c>
      <c r="H139" s="572">
        <f t="shared" si="27"/>
        <v>0</v>
      </c>
      <c r="I139" s="572">
        <f t="shared" si="27"/>
        <v>0</v>
      </c>
      <c r="J139" s="573">
        <f t="shared" si="27"/>
        <v>3.3689479256906346E-4</v>
      </c>
      <c r="K139" s="574">
        <f t="shared" si="27"/>
        <v>0</v>
      </c>
      <c r="L139" s="572">
        <f t="shared" si="27"/>
        <v>0</v>
      </c>
      <c r="M139" s="572">
        <f t="shared" si="27"/>
        <v>0</v>
      </c>
      <c r="N139" s="572">
        <f t="shared" si="27"/>
        <v>0</v>
      </c>
      <c r="O139" s="575">
        <f t="shared" si="27"/>
        <v>0</v>
      </c>
      <c r="P139" s="574">
        <f t="shared" si="27"/>
        <v>0.97853250399075242</v>
      </c>
      <c r="Q139" s="572">
        <f t="shared" si="27"/>
        <v>0</v>
      </c>
      <c r="R139" s="572">
        <f t="shared" si="27"/>
        <v>0</v>
      </c>
      <c r="S139" s="575">
        <f t="shared" si="27"/>
        <v>0</v>
      </c>
      <c r="T139" s="574">
        <f t="shared" si="27"/>
        <v>1</v>
      </c>
      <c r="U139" s="253"/>
      <c r="V139" s="254">
        <v>6</v>
      </c>
      <c r="W139" s="255"/>
      <c r="X139" s="255">
        <v>1</v>
      </c>
      <c r="Y139" s="255"/>
      <c r="Z139" s="255"/>
      <c r="AA139" s="255"/>
      <c r="AB139" s="251"/>
      <c r="AC139" s="256">
        <v>7</v>
      </c>
      <c r="AD139" s="254"/>
      <c r="AE139" s="255"/>
      <c r="AF139" s="255"/>
      <c r="AG139" s="255"/>
      <c r="AH139" s="255"/>
      <c r="AI139" s="257">
        <v>17777</v>
      </c>
      <c r="AJ139" s="254"/>
      <c r="AK139" s="255"/>
      <c r="AL139" s="257"/>
      <c r="AM139" s="254">
        <v>206</v>
      </c>
      <c r="AN139" s="563"/>
    </row>
    <row r="140" spans="1:41" ht="12.75" customHeight="1">
      <c r="A140" s="580"/>
      <c r="B140" s="580" t="s">
        <v>131</v>
      </c>
      <c r="C140" s="581">
        <f>IF(V140&gt;0,(V140/V141),0)</f>
        <v>0.10665049079077975</v>
      </c>
      <c r="D140" s="582">
        <f t="shared" ref="D140:T140" si="28">IF(W140&gt;0,(W140/W141),0)</f>
        <v>0.12922297297297297</v>
      </c>
      <c r="E140" s="582">
        <f t="shared" si="28"/>
        <v>0.14851381157441446</v>
      </c>
      <c r="F140" s="582">
        <f t="shared" si="28"/>
        <v>0.23028785982478098</v>
      </c>
      <c r="G140" s="582">
        <f t="shared" si="28"/>
        <v>0</v>
      </c>
      <c r="H140" s="582">
        <f t="shared" si="28"/>
        <v>0.39613526570048307</v>
      </c>
      <c r="I140" s="583">
        <f t="shared" si="28"/>
        <v>0</v>
      </c>
      <c r="J140" s="584">
        <f t="shared" si="28"/>
        <v>0.13475791702762538</v>
      </c>
      <c r="K140" s="581">
        <f t="shared" si="28"/>
        <v>0</v>
      </c>
      <c r="L140" s="582">
        <f t="shared" si="28"/>
        <v>0</v>
      </c>
      <c r="M140" s="582">
        <f t="shared" si="28"/>
        <v>0</v>
      </c>
      <c r="N140" s="582">
        <f t="shared" si="28"/>
        <v>0</v>
      </c>
      <c r="O140" s="583">
        <f t="shared" si="28"/>
        <v>0</v>
      </c>
      <c r="P140" s="581">
        <f t="shared" si="28"/>
        <v>1.4862112621786756E-3</v>
      </c>
      <c r="Q140" s="581">
        <f t="shared" si="28"/>
        <v>0</v>
      </c>
      <c r="R140" s="582">
        <f t="shared" si="28"/>
        <v>0</v>
      </c>
      <c r="S140" s="583">
        <f t="shared" si="28"/>
        <v>0</v>
      </c>
      <c r="T140" s="581">
        <f t="shared" si="28"/>
        <v>0</v>
      </c>
      <c r="U140" s="253"/>
      <c r="V140" s="254">
        <v>967</v>
      </c>
      <c r="W140" s="255">
        <v>153</v>
      </c>
      <c r="X140" s="255">
        <v>1414</v>
      </c>
      <c r="Y140" s="255">
        <v>184</v>
      </c>
      <c r="Z140" s="255"/>
      <c r="AA140" s="255">
        <v>82</v>
      </c>
      <c r="AB140" s="582"/>
      <c r="AC140" s="256">
        <v>2800</v>
      </c>
      <c r="AD140" s="254"/>
      <c r="AE140" s="255"/>
      <c r="AF140" s="255"/>
      <c r="AG140" s="255"/>
      <c r="AH140" s="255"/>
      <c r="AI140" s="257">
        <v>27</v>
      </c>
      <c r="AJ140" s="254"/>
      <c r="AK140" s="255"/>
      <c r="AL140" s="257"/>
      <c r="AM140" s="254"/>
    </row>
    <row r="141" spans="1:41" s="527" customFormat="1" ht="12.75" customHeight="1">
      <c r="A141" s="436"/>
      <c r="B141" s="436" t="s">
        <v>59</v>
      </c>
      <c r="C141" s="456">
        <f>SUM(C136:C140)</f>
        <v>1</v>
      </c>
      <c r="D141" s="456">
        <f t="shared" ref="D141:T141" si="29">SUM(D136:D140)</f>
        <v>1</v>
      </c>
      <c r="E141" s="456">
        <f t="shared" si="29"/>
        <v>0.99999999999999989</v>
      </c>
      <c r="F141" s="456">
        <f t="shared" si="29"/>
        <v>1.0000000000000002</v>
      </c>
      <c r="G141" s="456">
        <f t="shared" si="29"/>
        <v>0</v>
      </c>
      <c r="H141" s="456">
        <f t="shared" si="29"/>
        <v>1</v>
      </c>
      <c r="I141" s="456">
        <f t="shared" si="29"/>
        <v>0</v>
      </c>
      <c r="J141" s="576">
        <f t="shared" si="29"/>
        <v>1</v>
      </c>
      <c r="K141" s="577">
        <f t="shared" si="29"/>
        <v>0</v>
      </c>
      <c r="L141" s="578">
        <f t="shared" si="29"/>
        <v>0</v>
      </c>
      <c r="M141" s="578">
        <f t="shared" si="29"/>
        <v>0</v>
      </c>
      <c r="N141" s="578">
        <f t="shared" si="29"/>
        <v>0</v>
      </c>
      <c r="O141" s="579">
        <f t="shared" si="29"/>
        <v>0</v>
      </c>
      <c r="P141" s="577">
        <f t="shared" si="29"/>
        <v>0.99999999999999989</v>
      </c>
      <c r="Q141" s="578">
        <f t="shared" si="29"/>
        <v>0</v>
      </c>
      <c r="R141" s="578">
        <f t="shared" si="29"/>
        <v>0</v>
      </c>
      <c r="S141" s="579">
        <f t="shared" si="29"/>
        <v>0</v>
      </c>
      <c r="T141" s="577">
        <f t="shared" si="29"/>
        <v>1</v>
      </c>
      <c r="U141" s="264"/>
      <c r="V141" s="265">
        <v>9067</v>
      </c>
      <c r="W141" s="266">
        <v>1184</v>
      </c>
      <c r="X141" s="266">
        <v>9521</v>
      </c>
      <c r="Y141" s="266">
        <v>799</v>
      </c>
      <c r="Z141" s="266"/>
      <c r="AA141" s="266">
        <v>207</v>
      </c>
      <c r="AB141" s="262"/>
      <c r="AC141" s="267">
        <v>20778</v>
      </c>
      <c r="AD141" s="265"/>
      <c r="AE141" s="266"/>
      <c r="AF141" s="266"/>
      <c r="AG141" s="266"/>
      <c r="AH141" s="266"/>
      <c r="AI141" s="268">
        <v>18167</v>
      </c>
      <c r="AJ141" s="265"/>
      <c r="AK141" s="266"/>
      <c r="AL141" s="268"/>
      <c r="AM141" s="265">
        <v>206</v>
      </c>
      <c r="AN141" s="270"/>
      <c r="AO141" s="270"/>
    </row>
    <row r="142" spans="1:41" ht="12.75" customHeight="1">
      <c r="A142" s="240" t="s">
        <v>139</v>
      </c>
      <c r="B142" s="240" t="s">
        <v>53</v>
      </c>
      <c r="C142" s="568">
        <f>IF(V142&gt;0,(V142/V147),0)</f>
        <v>0.318359375</v>
      </c>
      <c r="D142" s="568">
        <f t="shared" ref="D142:T142" si="30">IF(W142&gt;0,(W142/W147),0)</f>
        <v>0.25722983257229831</v>
      </c>
      <c r="E142" s="568">
        <f t="shared" si="30"/>
        <v>0.21766561514195584</v>
      </c>
      <c r="F142" s="568">
        <f t="shared" si="30"/>
        <v>0.25555555555555554</v>
      </c>
      <c r="G142" s="568">
        <f t="shared" si="30"/>
        <v>0.30555555555555558</v>
      </c>
      <c r="H142" s="568">
        <f t="shared" si="30"/>
        <v>0.27078085642317379</v>
      </c>
      <c r="I142" s="568">
        <f t="shared" si="30"/>
        <v>0</v>
      </c>
      <c r="J142" s="569">
        <f t="shared" si="30"/>
        <v>0.28821278921479321</v>
      </c>
      <c r="K142" s="570">
        <f t="shared" si="30"/>
        <v>0</v>
      </c>
      <c r="L142" s="568">
        <f t="shared" si="30"/>
        <v>0</v>
      </c>
      <c r="M142" s="568">
        <f t="shared" si="30"/>
        <v>0</v>
      </c>
      <c r="N142" s="568">
        <f t="shared" si="30"/>
        <v>0</v>
      </c>
      <c r="O142" s="571">
        <f t="shared" si="30"/>
        <v>0</v>
      </c>
      <c r="P142" s="570">
        <f t="shared" si="30"/>
        <v>0.26926196269261965</v>
      </c>
      <c r="Q142" s="568">
        <f t="shared" si="30"/>
        <v>0</v>
      </c>
      <c r="R142" s="568">
        <f t="shared" si="30"/>
        <v>0</v>
      </c>
      <c r="S142" s="571">
        <f t="shared" si="30"/>
        <v>0</v>
      </c>
      <c r="T142" s="570">
        <f t="shared" si="30"/>
        <v>0</v>
      </c>
      <c r="U142" s="253"/>
      <c r="V142" s="245">
        <v>815</v>
      </c>
      <c r="W142" s="246">
        <v>338</v>
      </c>
      <c r="X142" s="246">
        <v>69</v>
      </c>
      <c r="Y142" s="246">
        <v>46</v>
      </c>
      <c r="Z142" s="246">
        <v>99</v>
      </c>
      <c r="AA142" s="246">
        <v>215</v>
      </c>
      <c r="AB142" s="242"/>
      <c r="AC142" s="247">
        <v>1582</v>
      </c>
      <c r="AD142" s="245"/>
      <c r="AE142" s="246"/>
      <c r="AF142" s="246"/>
      <c r="AG142" s="246"/>
      <c r="AH142" s="246"/>
      <c r="AI142" s="248">
        <v>332</v>
      </c>
      <c r="AJ142" s="245"/>
      <c r="AK142" s="246"/>
      <c r="AL142" s="248"/>
      <c r="AM142" s="245"/>
      <c r="AN142" s="563"/>
    </row>
    <row r="143" spans="1:41" ht="12.75" customHeight="1">
      <c r="A143" s="239"/>
      <c r="B143" s="239" t="s">
        <v>93</v>
      </c>
      <c r="C143" s="572">
        <f>IF(V143&gt;0,(V143/V147),0)</f>
        <v>0.26523437500000002</v>
      </c>
      <c r="D143" s="572">
        <f t="shared" ref="D143:T143" si="31">IF(W143&gt;0,(W143/W147),0)</f>
        <v>0.22298325722983256</v>
      </c>
      <c r="E143" s="572">
        <f t="shared" si="31"/>
        <v>0.20820189274447951</v>
      </c>
      <c r="F143" s="572">
        <f t="shared" si="31"/>
        <v>0.21666666666666667</v>
      </c>
      <c r="G143" s="572">
        <f t="shared" si="31"/>
        <v>0.18209876543209877</v>
      </c>
      <c r="H143" s="572">
        <f t="shared" si="31"/>
        <v>0.19017632241813601</v>
      </c>
      <c r="I143" s="572">
        <f t="shared" si="31"/>
        <v>0</v>
      </c>
      <c r="J143" s="573">
        <f t="shared" si="31"/>
        <v>0.23446893787575152</v>
      </c>
      <c r="K143" s="574">
        <f t="shared" si="31"/>
        <v>0</v>
      </c>
      <c r="L143" s="572">
        <f t="shared" si="31"/>
        <v>0</v>
      </c>
      <c r="M143" s="572">
        <f t="shared" si="31"/>
        <v>0</v>
      </c>
      <c r="N143" s="572">
        <f t="shared" si="31"/>
        <v>0</v>
      </c>
      <c r="O143" s="575">
        <f t="shared" si="31"/>
        <v>0</v>
      </c>
      <c r="P143" s="574">
        <f t="shared" si="31"/>
        <v>6.3260340632603412E-2</v>
      </c>
      <c r="Q143" s="572">
        <f t="shared" si="31"/>
        <v>0</v>
      </c>
      <c r="R143" s="572">
        <f t="shared" si="31"/>
        <v>0</v>
      </c>
      <c r="S143" s="575">
        <f t="shared" si="31"/>
        <v>0</v>
      </c>
      <c r="T143" s="574">
        <f t="shared" si="31"/>
        <v>0</v>
      </c>
      <c r="U143" s="253"/>
      <c r="V143" s="254">
        <v>679</v>
      </c>
      <c r="W143" s="255">
        <v>293</v>
      </c>
      <c r="X143" s="255">
        <v>66</v>
      </c>
      <c r="Y143" s="255">
        <v>39</v>
      </c>
      <c r="Z143" s="255">
        <v>59</v>
      </c>
      <c r="AA143" s="255">
        <v>151</v>
      </c>
      <c r="AB143" s="251"/>
      <c r="AC143" s="256">
        <v>1287</v>
      </c>
      <c r="AD143" s="254"/>
      <c r="AE143" s="255"/>
      <c r="AF143" s="255"/>
      <c r="AG143" s="255"/>
      <c r="AH143" s="255"/>
      <c r="AI143" s="257">
        <v>78</v>
      </c>
      <c r="AJ143" s="254"/>
      <c r="AK143" s="255"/>
      <c r="AL143" s="257"/>
      <c r="AM143" s="254"/>
      <c r="AN143" s="563"/>
    </row>
    <row r="144" spans="1:41" ht="12.75" customHeight="1">
      <c r="A144" s="239"/>
      <c r="B144" s="239" t="s">
        <v>55</v>
      </c>
      <c r="C144" s="572">
        <f>IF(V144&gt;0,(V144/V147),0)</f>
        <v>0.25468750000000001</v>
      </c>
      <c r="D144" s="572">
        <f t="shared" ref="D144:T144" si="32">IF(W144&gt;0,(W144/W147),0)</f>
        <v>0.25799086757990869</v>
      </c>
      <c r="E144" s="572">
        <f t="shared" si="32"/>
        <v>0.24921135646687698</v>
      </c>
      <c r="F144" s="572">
        <f t="shared" si="32"/>
        <v>0.35</v>
      </c>
      <c r="G144" s="572">
        <f t="shared" si="32"/>
        <v>0.23148148148148148</v>
      </c>
      <c r="H144" s="572">
        <f t="shared" si="32"/>
        <v>0.43198992443324935</v>
      </c>
      <c r="I144" s="572">
        <f t="shared" si="32"/>
        <v>0</v>
      </c>
      <c r="J144" s="573">
        <f t="shared" si="32"/>
        <v>0.28256513026052105</v>
      </c>
      <c r="K144" s="574">
        <f t="shared" si="32"/>
        <v>0</v>
      </c>
      <c r="L144" s="572">
        <f t="shared" si="32"/>
        <v>0</v>
      </c>
      <c r="M144" s="572">
        <f t="shared" si="32"/>
        <v>0</v>
      </c>
      <c r="N144" s="572">
        <f t="shared" si="32"/>
        <v>0</v>
      </c>
      <c r="O144" s="575">
        <f t="shared" si="32"/>
        <v>0</v>
      </c>
      <c r="P144" s="574">
        <f t="shared" si="32"/>
        <v>4.5417680454176802E-2</v>
      </c>
      <c r="Q144" s="572">
        <f t="shared" si="32"/>
        <v>0</v>
      </c>
      <c r="R144" s="572">
        <f t="shared" si="32"/>
        <v>0</v>
      </c>
      <c r="S144" s="575">
        <f t="shared" si="32"/>
        <v>0</v>
      </c>
      <c r="T144" s="574">
        <f t="shared" si="32"/>
        <v>0</v>
      </c>
      <c r="U144" s="253"/>
      <c r="V144" s="254">
        <v>652</v>
      </c>
      <c r="W144" s="255">
        <v>339</v>
      </c>
      <c r="X144" s="255">
        <v>79</v>
      </c>
      <c r="Y144" s="255">
        <v>63</v>
      </c>
      <c r="Z144" s="255">
        <v>75</v>
      </c>
      <c r="AA144" s="255">
        <v>343</v>
      </c>
      <c r="AB144" s="251"/>
      <c r="AC144" s="256">
        <v>1551</v>
      </c>
      <c r="AD144" s="254"/>
      <c r="AE144" s="255"/>
      <c r="AF144" s="255"/>
      <c r="AG144" s="255"/>
      <c r="AH144" s="255"/>
      <c r="AI144" s="257">
        <v>56</v>
      </c>
      <c r="AJ144" s="254"/>
      <c r="AK144" s="255"/>
      <c r="AL144" s="257"/>
      <c r="AM144" s="254"/>
      <c r="AN144" s="563"/>
    </row>
    <row r="145" spans="1:41" ht="12.75" customHeight="1">
      <c r="A145" s="239"/>
      <c r="B145" s="239" t="s">
        <v>78</v>
      </c>
      <c r="C145" s="572">
        <f>IF(V145&gt;0,(V145/V147),0)</f>
        <v>0.16171874999999999</v>
      </c>
      <c r="D145" s="572">
        <f t="shared" ref="D145:T145" si="33">IF(W145&gt;0,(W145/W147),0)</f>
        <v>0.23059360730593606</v>
      </c>
      <c r="E145" s="572">
        <f t="shared" si="33"/>
        <v>0.32492113564668768</v>
      </c>
      <c r="F145" s="572">
        <f t="shared" si="33"/>
        <v>5.5555555555555558E-3</v>
      </c>
      <c r="G145" s="572">
        <f t="shared" si="33"/>
        <v>0.22530864197530864</v>
      </c>
      <c r="H145" s="572">
        <f t="shared" si="33"/>
        <v>6.2972292191435769E-2</v>
      </c>
      <c r="I145" s="572">
        <f t="shared" si="33"/>
        <v>0</v>
      </c>
      <c r="J145" s="573">
        <f t="shared" si="33"/>
        <v>0.17198032428493351</v>
      </c>
      <c r="K145" s="574">
        <f t="shared" si="33"/>
        <v>0</v>
      </c>
      <c r="L145" s="572">
        <f t="shared" si="33"/>
        <v>0</v>
      </c>
      <c r="M145" s="572">
        <f t="shared" si="33"/>
        <v>0</v>
      </c>
      <c r="N145" s="572">
        <f t="shared" si="33"/>
        <v>0</v>
      </c>
      <c r="O145" s="575">
        <f t="shared" si="33"/>
        <v>0</v>
      </c>
      <c r="P145" s="574">
        <f t="shared" si="33"/>
        <v>0.24249797242497972</v>
      </c>
      <c r="Q145" s="572">
        <f t="shared" si="33"/>
        <v>0</v>
      </c>
      <c r="R145" s="572">
        <f t="shared" si="33"/>
        <v>0</v>
      </c>
      <c r="S145" s="575">
        <f t="shared" si="33"/>
        <v>0</v>
      </c>
      <c r="T145" s="574">
        <f t="shared" si="33"/>
        <v>0</v>
      </c>
      <c r="U145" s="253"/>
      <c r="V145" s="254">
        <v>414</v>
      </c>
      <c r="W145" s="255">
        <v>303</v>
      </c>
      <c r="X145" s="255">
        <v>103</v>
      </c>
      <c r="Y145" s="255">
        <v>1</v>
      </c>
      <c r="Z145" s="255">
        <v>73</v>
      </c>
      <c r="AA145" s="255">
        <v>50</v>
      </c>
      <c r="AB145" s="251"/>
      <c r="AC145" s="256">
        <v>944</v>
      </c>
      <c r="AD145" s="254"/>
      <c r="AE145" s="255"/>
      <c r="AF145" s="255"/>
      <c r="AG145" s="255"/>
      <c r="AH145" s="255"/>
      <c r="AI145" s="257">
        <v>299</v>
      </c>
      <c r="AJ145" s="254"/>
      <c r="AK145" s="255"/>
      <c r="AL145" s="257"/>
      <c r="AM145" s="254"/>
      <c r="AN145" s="563"/>
    </row>
    <row r="146" spans="1:41" ht="12.75" customHeight="1">
      <c r="A146" s="580"/>
      <c r="B146" s="580" t="s">
        <v>131</v>
      </c>
      <c r="C146" s="581">
        <f>IF(V146&gt;0,(V146/V147),0)</f>
        <v>0</v>
      </c>
      <c r="D146" s="582">
        <f t="shared" ref="D146:T146" si="34">IF(W146&gt;0,(W146/W147),0)</f>
        <v>3.1202435312024351E-2</v>
      </c>
      <c r="E146" s="582">
        <f t="shared" si="34"/>
        <v>0</v>
      </c>
      <c r="F146" s="582">
        <f t="shared" si="34"/>
        <v>0.17222222222222222</v>
      </c>
      <c r="G146" s="582">
        <f t="shared" si="34"/>
        <v>5.5555555555555552E-2</v>
      </c>
      <c r="H146" s="582">
        <f t="shared" si="34"/>
        <v>4.4080604534005037E-2</v>
      </c>
      <c r="I146" s="583">
        <f t="shared" si="34"/>
        <v>0</v>
      </c>
      <c r="J146" s="584">
        <f t="shared" si="34"/>
        <v>2.2772818364000729E-2</v>
      </c>
      <c r="K146" s="581">
        <f t="shared" si="34"/>
        <v>0</v>
      </c>
      <c r="L146" s="582">
        <f t="shared" si="34"/>
        <v>0</v>
      </c>
      <c r="M146" s="582">
        <f t="shared" si="34"/>
        <v>0</v>
      </c>
      <c r="N146" s="582">
        <f t="shared" si="34"/>
        <v>0</v>
      </c>
      <c r="O146" s="583">
        <f t="shared" si="34"/>
        <v>0</v>
      </c>
      <c r="P146" s="581">
        <f t="shared" si="34"/>
        <v>0.37956204379562042</v>
      </c>
      <c r="Q146" s="581">
        <f t="shared" si="34"/>
        <v>0</v>
      </c>
      <c r="R146" s="582">
        <f t="shared" si="34"/>
        <v>0</v>
      </c>
      <c r="S146" s="583">
        <f t="shared" si="34"/>
        <v>0</v>
      </c>
      <c r="T146" s="581">
        <f t="shared" si="34"/>
        <v>0</v>
      </c>
      <c r="U146" s="253"/>
      <c r="V146" s="254"/>
      <c r="W146" s="255">
        <v>41</v>
      </c>
      <c r="X146" s="255"/>
      <c r="Y146" s="255">
        <v>31</v>
      </c>
      <c r="Z146" s="255">
        <v>18</v>
      </c>
      <c r="AA146" s="255">
        <v>35</v>
      </c>
      <c r="AB146" s="582"/>
      <c r="AC146" s="256">
        <v>125</v>
      </c>
      <c r="AD146" s="254"/>
      <c r="AE146" s="255"/>
      <c r="AF146" s="255"/>
      <c r="AG146" s="255"/>
      <c r="AH146" s="255"/>
      <c r="AI146" s="257">
        <v>468</v>
      </c>
      <c r="AJ146" s="254"/>
      <c r="AK146" s="255"/>
      <c r="AL146" s="257"/>
      <c r="AM146" s="254"/>
    </row>
    <row r="147" spans="1:41" s="527" customFormat="1" ht="12.75" customHeight="1">
      <c r="A147" s="436"/>
      <c r="B147" s="436" t="s">
        <v>59</v>
      </c>
      <c r="C147" s="456">
        <f>SUM(C142:C146)</f>
        <v>1</v>
      </c>
      <c r="D147" s="456">
        <f t="shared" ref="D147:T147" si="35">SUM(D142:D146)</f>
        <v>1</v>
      </c>
      <c r="E147" s="456">
        <f t="shared" si="35"/>
        <v>1</v>
      </c>
      <c r="F147" s="456">
        <f t="shared" si="35"/>
        <v>1</v>
      </c>
      <c r="G147" s="456">
        <f t="shared" si="35"/>
        <v>1</v>
      </c>
      <c r="H147" s="456">
        <f t="shared" si="35"/>
        <v>1</v>
      </c>
      <c r="I147" s="456">
        <f t="shared" si="35"/>
        <v>0</v>
      </c>
      <c r="J147" s="576">
        <f t="shared" si="35"/>
        <v>1</v>
      </c>
      <c r="K147" s="577">
        <f t="shared" si="35"/>
        <v>0</v>
      </c>
      <c r="L147" s="578">
        <f t="shared" si="35"/>
        <v>0</v>
      </c>
      <c r="M147" s="578">
        <f t="shared" si="35"/>
        <v>0</v>
      </c>
      <c r="N147" s="578">
        <f t="shared" si="35"/>
        <v>0</v>
      </c>
      <c r="O147" s="579">
        <f t="shared" si="35"/>
        <v>0</v>
      </c>
      <c r="P147" s="577">
        <f t="shared" si="35"/>
        <v>1</v>
      </c>
      <c r="Q147" s="578">
        <f t="shared" si="35"/>
        <v>0</v>
      </c>
      <c r="R147" s="578">
        <f t="shared" si="35"/>
        <v>0</v>
      </c>
      <c r="S147" s="579">
        <f t="shared" si="35"/>
        <v>0</v>
      </c>
      <c r="T147" s="577">
        <f t="shared" si="35"/>
        <v>0</v>
      </c>
      <c r="U147" s="264"/>
      <c r="V147" s="265">
        <v>2560</v>
      </c>
      <c r="W147" s="266">
        <v>1314</v>
      </c>
      <c r="X147" s="266">
        <v>317</v>
      </c>
      <c r="Y147" s="266">
        <v>180</v>
      </c>
      <c r="Z147" s="266">
        <v>324</v>
      </c>
      <c r="AA147" s="266">
        <v>794</v>
      </c>
      <c r="AB147" s="262"/>
      <c r="AC147" s="267">
        <v>5489</v>
      </c>
      <c r="AD147" s="265"/>
      <c r="AE147" s="266"/>
      <c r="AF147" s="266"/>
      <c r="AG147" s="266"/>
      <c r="AH147" s="266"/>
      <c r="AI147" s="268">
        <v>1233</v>
      </c>
      <c r="AJ147" s="265"/>
      <c r="AK147" s="266"/>
      <c r="AL147" s="268"/>
      <c r="AM147" s="265"/>
      <c r="AN147" s="270"/>
      <c r="AO147" s="270"/>
    </row>
    <row r="148" spans="1:41" ht="12.75" customHeight="1">
      <c r="A148" s="240" t="s">
        <v>141</v>
      </c>
      <c r="B148" s="240" t="s">
        <v>53</v>
      </c>
      <c r="C148" s="568">
        <f>IF(V148&gt;0,(V148/V153),0)</f>
        <v>0.40774907749077488</v>
      </c>
      <c r="D148" s="568">
        <f t="shared" ref="D148:T148" si="36">IF(W148&gt;0,(W148/W153),0)</f>
        <v>0</v>
      </c>
      <c r="E148" s="568">
        <f t="shared" si="36"/>
        <v>0</v>
      </c>
      <c r="F148" s="568">
        <f t="shared" si="36"/>
        <v>0.25663716814159293</v>
      </c>
      <c r="G148" s="568">
        <f t="shared" si="36"/>
        <v>0</v>
      </c>
      <c r="H148" s="568">
        <f t="shared" si="36"/>
        <v>0.30232558139534882</v>
      </c>
      <c r="I148" s="568">
        <f t="shared" si="36"/>
        <v>0</v>
      </c>
      <c r="J148" s="569">
        <f t="shared" si="36"/>
        <v>0.37915742793791574</v>
      </c>
      <c r="K148" s="570">
        <f t="shared" si="36"/>
        <v>0</v>
      </c>
      <c r="L148" s="568">
        <f t="shared" si="36"/>
        <v>0</v>
      </c>
      <c r="M148" s="568">
        <f t="shared" si="36"/>
        <v>0</v>
      </c>
      <c r="N148" s="568">
        <f t="shared" si="36"/>
        <v>0</v>
      </c>
      <c r="O148" s="571">
        <f t="shared" si="36"/>
        <v>0</v>
      </c>
      <c r="P148" s="570">
        <f t="shared" si="36"/>
        <v>0.26794871794871794</v>
      </c>
      <c r="Q148" s="568">
        <f t="shared" si="36"/>
        <v>0</v>
      </c>
      <c r="R148" s="568">
        <f t="shared" si="36"/>
        <v>0</v>
      </c>
      <c r="S148" s="571">
        <f t="shared" si="36"/>
        <v>0</v>
      </c>
      <c r="T148" s="570">
        <f t="shared" si="36"/>
        <v>0</v>
      </c>
      <c r="U148" s="253"/>
      <c r="V148" s="245">
        <v>442</v>
      </c>
      <c r="W148" s="246"/>
      <c r="X148" s="246"/>
      <c r="Y148" s="246">
        <v>58</v>
      </c>
      <c r="Z148" s="246"/>
      <c r="AA148" s="246">
        <v>13</v>
      </c>
      <c r="AB148" s="242"/>
      <c r="AC148" s="247">
        <v>513</v>
      </c>
      <c r="AD148" s="245"/>
      <c r="AE148" s="246"/>
      <c r="AF148" s="246"/>
      <c r="AG148" s="246"/>
      <c r="AH148" s="246"/>
      <c r="AI148" s="248">
        <v>209</v>
      </c>
      <c r="AJ148" s="245"/>
      <c r="AK148" s="246"/>
      <c r="AL148" s="248"/>
      <c r="AM148" s="245"/>
      <c r="AN148" s="563"/>
    </row>
    <row r="149" spans="1:41" ht="12.75" customHeight="1">
      <c r="A149" s="239"/>
      <c r="B149" s="239" t="s">
        <v>93</v>
      </c>
      <c r="C149" s="572">
        <f>IF(V149&gt;0,(V149/V153),0)</f>
        <v>0.26660516605166051</v>
      </c>
      <c r="D149" s="572">
        <f t="shared" ref="D149:T149" si="37">IF(W149&gt;0,(W149/W153),0)</f>
        <v>0</v>
      </c>
      <c r="E149" s="572">
        <f t="shared" si="37"/>
        <v>0</v>
      </c>
      <c r="F149" s="572">
        <f t="shared" si="37"/>
        <v>0.26548672566371684</v>
      </c>
      <c r="G149" s="572">
        <f t="shared" si="37"/>
        <v>0</v>
      </c>
      <c r="H149" s="572">
        <f t="shared" si="37"/>
        <v>0.18604651162790697</v>
      </c>
      <c r="I149" s="572">
        <f t="shared" si="37"/>
        <v>0</v>
      </c>
      <c r="J149" s="573">
        <f t="shared" si="37"/>
        <v>0.26385809312638581</v>
      </c>
      <c r="K149" s="574">
        <f t="shared" si="37"/>
        <v>0</v>
      </c>
      <c r="L149" s="572">
        <f t="shared" si="37"/>
        <v>0</v>
      </c>
      <c r="M149" s="572">
        <f t="shared" si="37"/>
        <v>0</v>
      </c>
      <c r="N149" s="572">
        <f t="shared" si="37"/>
        <v>0</v>
      </c>
      <c r="O149" s="575">
        <f t="shared" si="37"/>
        <v>0</v>
      </c>
      <c r="P149" s="574">
        <f t="shared" si="37"/>
        <v>0.14871794871794872</v>
      </c>
      <c r="Q149" s="572">
        <f t="shared" si="37"/>
        <v>0</v>
      </c>
      <c r="R149" s="572">
        <f t="shared" si="37"/>
        <v>0</v>
      </c>
      <c r="S149" s="575">
        <f t="shared" si="37"/>
        <v>0</v>
      </c>
      <c r="T149" s="574">
        <f t="shared" si="37"/>
        <v>0</v>
      </c>
      <c r="U149" s="253"/>
      <c r="V149" s="254">
        <v>289</v>
      </c>
      <c r="W149" s="255"/>
      <c r="X149" s="255"/>
      <c r="Y149" s="255">
        <v>60</v>
      </c>
      <c r="Z149" s="255"/>
      <c r="AA149" s="255">
        <v>8</v>
      </c>
      <c r="AB149" s="251"/>
      <c r="AC149" s="256">
        <v>357</v>
      </c>
      <c r="AD149" s="254"/>
      <c r="AE149" s="255"/>
      <c r="AF149" s="255"/>
      <c r="AG149" s="255"/>
      <c r="AH149" s="255"/>
      <c r="AI149" s="257">
        <v>116</v>
      </c>
      <c r="AJ149" s="254"/>
      <c r="AK149" s="255"/>
      <c r="AL149" s="257"/>
      <c r="AM149" s="254"/>
      <c r="AN149" s="563"/>
    </row>
    <row r="150" spans="1:41" ht="12.75" customHeight="1">
      <c r="A150" s="239"/>
      <c r="B150" s="239" t="s">
        <v>55</v>
      </c>
      <c r="C150" s="572">
        <f>IF(V150&gt;0,(V150/V153),0)</f>
        <v>0.22509225092250923</v>
      </c>
      <c r="D150" s="572">
        <f t="shared" ref="D150:T150" si="38">IF(W150&gt;0,(W150/W153),0)</f>
        <v>0</v>
      </c>
      <c r="E150" s="572">
        <f t="shared" si="38"/>
        <v>0</v>
      </c>
      <c r="F150" s="572">
        <f t="shared" si="38"/>
        <v>0.36283185840707965</v>
      </c>
      <c r="G150" s="572">
        <f t="shared" si="38"/>
        <v>0</v>
      </c>
      <c r="H150" s="572">
        <f t="shared" si="38"/>
        <v>0.48837209302325579</v>
      </c>
      <c r="I150" s="572">
        <f t="shared" si="38"/>
        <v>0</v>
      </c>
      <c r="J150" s="573">
        <f t="shared" si="38"/>
        <v>0.25646711012564671</v>
      </c>
      <c r="K150" s="574">
        <f t="shared" si="38"/>
        <v>0</v>
      </c>
      <c r="L150" s="572">
        <f t="shared" si="38"/>
        <v>0</v>
      </c>
      <c r="M150" s="572">
        <f t="shared" si="38"/>
        <v>0</v>
      </c>
      <c r="N150" s="572">
        <f t="shared" si="38"/>
        <v>0</v>
      </c>
      <c r="O150" s="575">
        <f t="shared" si="38"/>
        <v>0</v>
      </c>
      <c r="P150" s="574">
        <f t="shared" si="38"/>
        <v>0.23717948717948717</v>
      </c>
      <c r="Q150" s="572">
        <f t="shared" si="38"/>
        <v>0</v>
      </c>
      <c r="R150" s="572">
        <f t="shared" si="38"/>
        <v>0</v>
      </c>
      <c r="S150" s="575">
        <f t="shared" si="38"/>
        <v>0</v>
      </c>
      <c r="T150" s="574">
        <f t="shared" si="38"/>
        <v>0</v>
      </c>
      <c r="U150" s="253"/>
      <c r="V150" s="254">
        <v>244</v>
      </c>
      <c r="W150" s="255"/>
      <c r="X150" s="255"/>
      <c r="Y150" s="255">
        <v>82</v>
      </c>
      <c r="Z150" s="255"/>
      <c r="AA150" s="255">
        <v>21</v>
      </c>
      <c r="AB150" s="251"/>
      <c r="AC150" s="256">
        <v>347</v>
      </c>
      <c r="AD150" s="254"/>
      <c r="AE150" s="255"/>
      <c r="AF150" s="255"/>
      <c r="AG150" s="255"/>
      <c r="AH150" s="255"/>
      <c r="AI150" s="257">
        <v>185</v>
      </c>
      <c r="AJ150" s="254"/>
      <c r="AK150" s="255"/>
      <c r="AL150" s="257"/>
      <c r="AM150" s="254"/>
      <c r="AN150" s="563"/>
    </row>
    <row r="151" spans="1:41" ht="12.75" customHeight="1">
      <c r="A151" s="239"/>
      <c r="B151" s="239" t="s">
        <v>78</v>
      </c>
      <c r="C151" s="572">
        <f>IF(V151&gt;0,(V151/V153),0)</f>
        <v>0.10055350553505535</v>
      </c>
      <c r="D151" s="572">
        <f t="shared" ref="D151:T151" si="39">IF(W151&gt;0,(W151/W153),0)</f>
        <v>0</v>
      </c>
      <c r="E151" s="572">
        <f t="shared" si="39"/>
        <v>0</v>
      </c>
      <c r="F151" s="572">
        <f t="shared" si="39"/>
        <v>0.11504424778761062</v>
      </c>
      <c r="G151" s="572">
        <f t="shared" si="39"/>
        <v>0</v>
      </c>
      <c r="H151" s="572">
        <f t="shared" si="39"/>
        <v>2.3255813953488372E-2</v>
      </c>
      <c r="I151" s="572">
        <f t="shared" si="39"/>
        <v>0</v>
      </c>
      <c r="J151" s="573">
        <f t="shared" si="39"/>
        <v>0.10051736881005174</v>
      </c>
      <c r="K151" s="574">
        <f t="shared" si="39"/>
        <v>0</v>
      </c>
      <c r="L151" s="572">
        <f t="shared" si="39"/>
        <v>0</v>
      </c>
      <c r="M151" s="572">
        <f t="shared" si="39"/>
        <v>0</v>
      </c>
      <c r="N151" s="572">
        <f t="shared" si="39"/>
        <v>0</v>
      </c>
      <c r="O151" s="575">
        <f t="shared" si="39"/>
        <v>0</v>
      </c>
      <c r="P151" s="574">
        <f t="shared" si="39"/>
        <v>0.34615384615384615</v>
      </c>
      <c r="Q151" s="572">
        <f t="shared" si="39"/>
        <v>0</v>
      </c>
      <c r="R151" s="572">
        <f t="shared" si="39"/>
        <v>0</v>
      </c>
      <c r="S151" s="575">
        <f t="shared" si="39"/>
        <v>0</v>
      </c>
      <c r="T151" s="574">
        <f t="shared" si="39"/>
        <v>0</v>
      </c>
      <c r="U151" s="253"/>
      <c r="V151" s="254">
        <v>109</v>
      </c>
      <c r="W151" s="255"/>
      <c r="X151" s="255"/>
      <c r="Y151" s="255">
        <v>26</v>
      </c>
      <c r="Z151" s="255"/>
      <c r="AA151" s="255">
        <v>1</v>
      </c>
      <c r="AB151" s="251"/>
      <c r="AC151" s="256">
        <v>136</v>
      </c>
      <c r="AD151" s="254"/>
      <c r="AE151" s="255"/>
      <c r="AF151" s="255"/>
      <c r="AG151" s="255"/>
      <c r="AH151" s="255"/>
      <c r="AI151" s="257">
        <v>270</v>
      </c>
      <c r="AJ151" s="254"/>
      <c r="AK151" s="255"/>
      <c r="AL151" s="257"/>
      <c r="AM151" s="254"/>
      <c r="AN151" s="563"/>
    </row>
    <row r="152" spans="1:41" ht="12.75" customHeight="1">
      <c r="A152" s="580"/>
      <c r="B152" s="580" t="s">
        <v>131</v>
      </c>
      <c r="C152" s="581">
        <f>IF(V152&gt;0,(V152/V153),0)</f>
        <v>0</v>
      </c>
      <c r="D152" s="582">
        <f t="shared" ref="D152:T152" si="40">IF(W152&gt;0,(W152/W153),0)</f>
        <v>0</v>
      </c>
      <c r="E152" s="582">
        <f t="shared" si="40"/>
        <v>0</v>
      </c>
      <c r="F152" s="582">
        <f t="shared" si="40"/>
        <v>0</v>
      </c>
      <c r="G152" s="582">
        <f t="shared" si="40"/>
        <v>0</v>
      </c>
      <c r="H152" s="582">
        <f t="shared" si="40"/>
        <v>0</v>
      </c>
      <c r="I152" s="583">
        <f t="shared" si="40"/>
        <v>0</v>
      </c>
      <c r="J152" s="584">
        <f t="shared" si="40"/>
        <v>0</v>
      </c>
      <c r="K152" s="581">
        <f t="shared" si="40"/>
        <v>0</v>
      </c>
      <c r="L152" s="582">
        <f t="shared" si="40"/>
        <v>0</v>
      </c>
      <c r="M152" s="582">
        <f t="shared" si="40"/>
        <v>0</v>
      </c>
      <c r="N152" s="582">
        <f t="shared" si="40"/>
        <v>0</v>
      </c>
      <c r="O152" s="583">
        <f t="shared" si="40"/>
        <v>0</v>
      </c>
      <c r="P152" s="581">
        <f t="shared" si="40"/>
        <v>0</v>
      </c>
      <c r="Q152" s="581">
        <f t="shared" si="40"/>
        <v>0</v>
      </c>
      <c r="R152" s="582">
        <f t="shared" si="40"/>
        <v>0</v>
      </c>
      <c r="S152" s="583">
        <f t="shared" si="40"/>
        <v>0</v>
      </c>
      <c r="T152" s="581">
        <f t="shared" si="40"/>
        <v>0</v>
      </c>
      <c r="U152" s="253"/>
      <c r="V152" s="254"/>
      <c r="W152" s="255"/>
      <c r="X152" s="255"/>
      <c r="Y152" s="255"/>
      <c r="Z152" s="255"/>
      <c r="AA152" s="255"/>
      <c r="AB152" s="582"/>
      <c r="AC152" s="256"/>
      <c r="AD152" s="254"/>
      <c r="AE152" s="255"/>
      <c r="AF152" s="255"/>
      <c r="AG152" s="255"/>
      <c r="AH152" s="255"/>
      <c r="AI152" s="257"/>
      <c r="AJ152" s="254"/>
      <c r="AK152" s="255"/>
      <c r="AL152" s="257"/>
      <c r="AM152" s="254"/>
    </row>
    <row r="153" spans="1:41" s="527" customFormat="1" ht="12.75" customHeight="1">
      <c r="A153" s="436"/>
      <c r="B153" s="436" t="s">
        <v>59</v>
      </c>
      <c r="C153" s="456">
        <f>SUM(C148:C152)</f>
        <v>1</v>
      </c>
      <c r="D153" s="456">
        <f t="shared" ref="D153:T153" si="41">SUM(D148:D152)</f>
        <v>0</v>
      </c>
      <c r="E153" s="456">
        <f t="shared" si="41"/>
        <v>0</v>
      </c>
      <c r="F153" s="456">
        <f t="shared" si="41"/>
        <v>1</v>
      </c>
      <c r="G153" s="456">
        <f t="shared" si="41"/>
        <v>0</v>
      </c>
      <c r="H153" s="456">
        <f t="shared" si="41"/>
        <v>1</v>
      </c>
      <c r="I153" s="456">
        <f t="shared" si="41"/>
        <v>0</v>
      </c>
      <c r="J153" s="576">
        <f t="shared" si="41"/>
        <v>1</v>
      </c>
      <c r="K153" s="577">
        <f t="shared" si="41"/>
        <v>0</v>
      </c>
      <c r="L153" s="578">
        <f t="shared" si="41"/>
        <v>0</v>
      </c>
      <c r="M153" s="578">
        <f t="shared" si="41"/>
        <v>0</v>
      </c>
      <c r="N153" s="578">
        <f t="shared" si="41"/>
        <v>0</v>
      </c>
      <c r="O153" s="579">
        <f t="shared" si="41"/>
        <v>0</v>
      </c>
      <c r="P153" s="577">
        <f t="shared" si="41"/>
        <v>0.99999999999999989</v>
      </c>
      <c r="Q153" s="578">
        <f t="shared" si="41"/>
        <v>0</v>
      </c>
      <c r="R153" s="578">
        <f t="shared" si="41"/>
        <v>0</v>
      </c>
      <c r="S153" s="579">
        <f t="shared" si="41"/>
        <v>0</v>
      </c>
      <c r="T153" s="577">
        <f t="shared" si="41"/>
        <v>0</v>
      </c>
      <c r="U153" s="264"/>
      <c r="V153" s="265">
        <v>1084</v>
      </c>
      <c r="W153" s="266"/>
      <c r="X153" s="266"/>
      <c r="Y153" s="266">
        <v>226</v>
      </c>
      <c r="Z153" s="266"/>
      <c r="AA153" s="266">
        <v>43</v>
      </c>
      <c r="AB153" s="262"/>
      <c r="AC153" s="267">
        <v>1353</v>
      </c>
      <c r="AD153" s="265"/>
      <c r="AE153" s="266"/>
      <c r="AF153" s="266"/>
      <c r="AG153" s="266"/>
      <c r="AH153" s="266"/>
      <c r="AI153" s="257">
        <v>780</v>
      </c>
      <c r="AJ153" s="265"/>
      <c r="AK153" s="266"/>
      <c r="AL153" s="268"/>
      <c r="AM153" s="265"/>
      <c r="AN153" s="270"/>
      <c r="AO153" s="270"/>
    </row>
    <row r="154" spans="1:41" ht="12.75" customHeight="1">
      <c r="A154" s="240" t="s">
        <v>143</v>
      </c>
      <c r="B154" s="240" t="s">
        <v>53</v>
      </c>
      <c r="C154" s="568">
        <f>IF(V154&gt;0,(V154/V159),0)</f>
        <v>0</v>
      </c>
      <c r="D154" s="568">
        <f t="shared" ref="D154:T154" si="42">IF(W154&gt;0,(W154/W159),0)</f>
        <v>0.3041556145004421</v>
      </c>
      <c r="E154" s="568">
        <f t="shared" si="42"/>
        <v>0.28014184397163122</v>
      </c>
      <c r="F154" s="568">
        <f t="shared" si="42"/>
        <v>0</v>
      </c>
      <c r="G154" s="568">
        <f t="shared" si="42"/>
        <v>0</v>
      </c>
      <c r="H154" s="568">
        <f t="shared" si="42"/>
        <v>0.36708860759493672</v>
      </c>
      <c r="I154" s="568">
        <f t="shared" si="42"/>
        <v>0</v>
      </c>
      <c r="J154" s="569">
        <f t="shared" si="42"/>
        <v>0.30221262817053429</v>
      </c>
      <c r="K154" s="570">
        <f t="shared" si="42"/>
        <v>0</v>
      </c>
      <c r="L154" s="568">
        <f t="shared" si="42"/>
        <v>0</v>
      </c>
      <c r="M154" s="568">
        <f t="shared" si="42"/>
        <v>0</v>
      </c>
      <c r="N154" s="568">
        <f t="shared" si="42"/>
        <v>0</v>
      </c>
      <c r="O154" s="571">
        <f t="shared" si="42"/>
        <v>0</v>
      </c>
      <c r="P154" s="570">
        <f t="shared" si="42"/>
        <v>0.13186813186813187</v>
      </c>
      <c r="Q154" s="568">
        <f t="shared" si="42"/>
        <v>0</v>
      </c>
      <c r="R154" s="568">
        <f t="shared" si="42"/>
        <v>0</v>
      </c>
      <c r="S154" s="571">
        <f t="shared" si="42"/>
        <v>0</v>
      </c>
      <c r="T154" s="570">
        <f t="shared" si="42"/>
        <v>0</v>
      </c>
      <c r="U154" s="253"/>
      <c r="V154" s="245"/>
      <c r="W154" s="246">
        <v>344</v>
      </c>
      <c r="X154" s="246">
        <v>158</v>
      </c>
      <c r="Y154" s="246"/>
      <c r="Z154" s="246"/>
      <c r="AA154" s="246">
        <v>58</v>
      </c>
      <c r="AB154" s="242"/>
      <c r="AC154" s="247">
        <v>560</v>
      </c>
      <c r="AD154" s="245"/>
      <c r="AE154" s="246"/>
      <c r="AF154" s="246"/>
      <c r="AG154" s="246"/>
      <c r="AH154" s="246"/>
      <c r="AI154" s="248">
        <v>48</v>
      </c>
      <c r="AJ154" s="245"/>
      <c r="AK154" s="246"/>
      <c r="AL154" s="248"/>
      <c r="AM154" s="245"/>
      <c r="AN154" s="245"/>
    </row>
    <row r="155" spans="1:41" ht="12.75" customHeight="1">
      <c r="A155" s="239"/>
      <c r="B155" s="239" t="s">
        <v>93</v>
      </c>
      <c r="C155" s="572">
        <f>IF(V155&gt;0,(V155/V159),0)</f>
        <v>0</v>
      </c>
      <c r="D155" s="572">
        <f t="shared" ref="D155:T155" si="43">IF(W155&gt;0,(W155/W159),0)</f>
        <v>0.22458001768346597</v>
      </c>
      <c r="E155" s="572">
        <f t="shared" si="43"/>
        <v>0.30319148936170215</v>
      </c>
      <c r="F155" s="572">
        <f t="shared" si="43"/>
        <v>0</v>
      </c>
      <c r="G155" s="572">
        <f t="shared" si="43"/>
        <v>0</v>
      </c>
      <c r="H155" s="572">
        <f t="shared" si="43"/>
        <v>0.22784810126582278</v>
      </c>
      <c r="I155" s="572">
        <f t="shared" si="43"/>
        <v>0</v>
      </c>
      <c r="J155" s="573">
        <f t="shared" si="43"/>
        <v>0.24878575283324339</v>
      </c>
      <c r="K155" s="574">
        <f t="shared" si="43"/>
        <v>0</v>
      </c>
      <c r="L155" s="572">
        <f t="shared" si="43"/>
        <v>0</v>
      </c>
      <c r="M155" s="572">
        <f t="shared" si="43"/>
        <v>0</v>
      </c>
      <c r="N155" s="572">
        <f t="shared" si="43"/>
        <v>0</v>
      </c>
      <c r="O155" s="575">
        <f t="shared" si="43"/>
        <v>0</v>
      </c>
      <c r="P155" s="574">
        <f t="shared" si="43"/>
        <v>0.11263736263736264</v>
      </c>
      <c r="Q155" s="572">
        <f t="shared" si="43"/>
        <v>0</v>
      </c>
      <c r="R155" s="572">
        <f t="shared" si="43"/>
        <v>0</v>
      </c>
      <c r="S155" s="575">
        <f t="shared" si="43"/>
        <v>0</v>
      </c>
      <c r="T155" s="574">
        <f t="shared" si="43"/>
        <v>0</v>
      </c>
      <c r="U155" s="253"/>
      <c r="V155" s="254"/>
      <c r="W155" s="255">
        <v>254</v>
      </c>
      <c r="X155" s="255">
        <v>171</v>
      </c>
      <c r="Y155" s="255"/>
      <c r="Z155" s="255"/>
      <c r="AA155" s="255">
        <v>36</v>
      </c>
      <c r="AB155" s="251"/>
      <c r="AC155" s="256">
        <v>461</v>
      </c>
      <c r="AD155" s="254"/>
      <c r="AE155" s="255"/>
      <c r="AF155" s="255"/>
      <c r="AG155" s="255"/>
      <c r="AH155" s="255"/>
      <c r="AI155" s="257">
        <v>41</v>
      </c>
      <c r="AJ155" s="254"/>
      <c r="AK155" s="255"/>
      <c r="AL155" s="257"/>
      <c r="AM155" s="254"/>
      <c r="AN155" s="254"/>
    </row>
    <row r="156" spans="1:41" ht="12.75" customHeight="1">
      <c r="A156" s="239"/>
      <c r="B156" s="239" t="s">
        <v>55</v>
      </c>
      <c r="C156" s="572">
        <f>IF(V156&gt;0,(V156/V159),0)</f>
        <v>0</v>
      </c>
      <c r="D156" s="572">
        <f t="shared" ref="D156:T156" si="44">IF(W156&gt;0,(W156/W159),0)</f>
        <v>0.22546419098143236</v>
      </c>
      <c r="E156" s="572">
        <f t="shared" si="44"/>
        <v>0.24822695035460993</v>
      </c>
      <c r="F156" s="572">
        <f t="shared" si="44"/>
        <v>0</v>
      </c>
      <c r="G156" s="572">
        <f t="shared" si="44"/>
        <v>0</v>
      </c>
      <c r="H156" s="572">
        <f t="shared" si="44"/>
        <v>0.25949367088607594</v>
      </c>
      <c r="I156" s="572">
        <f t="shared" si="44"/>
        <v>0</v>
      </c>
      <c r="J156" s="573">
        <f t="shared" si="44"/>
        <v>0.23529411764705882</v>
      </c>
      <c r="K156" s="574">
        <f t="shared" si="44"/>
        <v>0</v>
      </c>
      <c r="L156" s="572">
        <f t="shared" si="44"/>
        <v>0</v>
      </c>
      <c r="M156" s="572">
        <f t="shared" si="44"/>
        <v>0</v>
      </c>
      <c r="N156" s="572">
        <f t="shared" si="44"/>
        <v>0</v>
      </c>
      <c r="O156" s="575">
        <f t="shared" si="44"/>
        <v>0</v>
      </c>
      <c r="P156" s="574">
        <f t="shared" si="44"/>
        <v>9.8901098901098897E-2</v>
      </c>
      <c r="Q156" s="572">
        <f t="shared" si="44"/>
        <v>0</v>
      </c>
      <c r="R156" s="572">
        <f t="shared" si="44"/>
        <v>0</v>
      </c>
      <c r="S156" s="575">
        <f t="shared" si="44"/>
        <v>0</v>
      </c>
      <c r="T156" s="574">
        <f t="shared" si="44"/>
        <v>0</v>
      </c>
      <c r="U156" s="253"/>
      <c r="V156" s="254"/>
      <c r="W156" s="255">
        <v>255</v>
      </c>
      <c r="X156" s="255">
        <v>140</v>
      </c>
      <c r="Y156" s="255"/>
      <c r="Z156" s="255"/>
      <c r="AA156" s="255">
        <v>41</v>
      </c>
      <c r="AB156" s="251"/>
      <c r="AC156" s="256">
        <v>436</v>
      </c>
      <c r="AD156" s="254"/>
      <c r="AE156" s="255"/>
      <c r="AF156" s="255"/>
      <c r="AG156" s="255"/>
      <c r="AH156" s="255"/>
      <c r="AI156" s="257">
        <v>36</v>
      </c>
      <c r="AJ156" s="254"/>
      <c r="AK156" s="255"/>
      <c r="AL156" s="257"/>
      <c r="AM156" s="254"/>
      <c r="AN156" s="254"/>
    </row>
    <row r="157" spans="1:41" ht="12.75" customHeight="1">
      <c r="A157" s="239"/>
      <c r="B157" s="239" t="s">
        <v>78</v>
      </c>
      <c r="C157" s="572">
        <f>IF(V157&gt;0,(V157/V159),0)</f>
        <v>0</v>
      </c>
      <c r="D157" s="572">
        <f t="shared" ref="D157:T157" si="45">IF(W157&gt;0,(W157/W159),0)</f>
        <v>0.125552608311229</v>
      </c>
      <c r="E157" s="572">
        <f t="shared" si="45"/>
        <v>1.0638297872340425E-2</v>
      </c>
      <c r="F157" s="572">
        <f t="shared" si="45"/>
        <v>0</v>
      </c>
      <c r="G157" s="572">
        <f t="shared" si="45"/>
        <v>0</v>
      </c>
      <c r="H157" s="572">
        <f t="shared" si="45"/>
        <v>2.5316455696202531E-2</v>
      </c>
      <c r="I157" s="572">
        <f t="shared" si="45"/>
        <v>0</v>
      </c>
      <c r="J157" s="573">
        <f t="shared" si="45"/>
        <v>8.2029141932002156E-2</v>
      </c>
      <c r="K157" s="574">
        <f t="shared" si="45"/>
        <v>0</v>
      </c>
      <c r="L157" s="572">
        <f t="shared" si="45"/>
        <v>0</v>
      </c>
      <c r="M157" s="572">
        <f t="shared" si="45"/>
        <v>0</v>
      </c>
      <c r="N157" s="572">
        <f t="shared" si="45"/>
        <v>0</v>
      </c>
      <c r="O157" s="575">
        <f t="shared" si="45"/>
        <v>0</v>
      </c>
      <c r="P157" s="574">
        <f t="shared" si="45"/>
        <v>0.65109890109890112</v>
      </c>
      <c r="Q157" s="572">
        <f t="shared" si="45"/>
        <v>0</v>
      </c>
      <c r="R157" s="572">
        <f t="shared" si="45"/>
        <v>0</v>
      </c>
      <c r="S157" s="575">
        <f t="shared" si="45"/>
        <v>0</v>
      </c>
      <c r="T157" s="574">
        <f t="shared" si="45"/>
        <v>0</v>
      </c>
      <c r="U157" s="253"/>
      <c r="V157" s="254"/>
      <c r="W157" s="255">
        <v>142</v>
      </c>
      <c r="X157" s="255">
        <v>6</v>
      </c>
      <c r="Y157" s="255"/>
      <c r="Z157" s="255"/>
      <c r="AA157" s="255">
        <v>4</v>
      </c>
      <c r="AB157" s="251"/>
      <c r="AC157" s="256">
        <v>152</v>
      </c>
      <c r="AD157" s="254"/>
      <c r="AE157" s="255"/>
      <c r="AF157" s="255"/>
      <c r="AG157" s="255"/>
      <c r="AH157" s="255"/>
      <c r="AI157" s="257">
        <v>237</v>
      </c>
      <c r="AJ157" s="254"/>
      <c r="AK157" s="255"/>
      <c r="AL157" s="257"/>
      <c r="AM157" s="254"/>
      <c r="AN157" s="254"/>
    </row>
    <row r="158" spans="1:41" ht="12.75" customHeight="1">
      <c r="A158" s="580"/>
      <c r="B158" s="580" t="s">
        <v>131</v>
      </c>
      <c r="C158" s="581">
        <f>IF(V158&gt;0,(V158/V159),0)</f>
        <v>0</v>
      </c>
      <c r="D158" s="582">
        <f t="shared" ref="D158:T158" si="46">IF(W158&gt;0,(W158/W159),0)</f>
        <v>0.12024756852343059</v>
      </c>
      <c r="E158" s="582">
        <f t="shared" si="46"/>
        <v>0.15780141843971632</v>
      </c>
      <c r="F158" s="582">
        <f t="shared" si="46"/>
        <v>0</v>
      </c>
      <c r="G158" s="582">
        <f t="shared" si="46"/>
        <v>0</v>
      </c>
      <c r="H158" s="582">
        <f t="shared" si="46"/>
        <v>0.12025316455696203</v>
      </c>
      <c r="I158" s="583">
        <f t="shared" si="46"/>
        <v>0</v>
      </c>
      <c r="J158" s="584">
        <f t="shared" si="46"/>
        <v>0.13167835941716136</v>
      </c>
      <c r="K158" s="581">
        <f t="shared" si="46"/>
        <v>0</v>
      </c>
      <c r="L158" s="582">
        <f t="shared" si="46"/>
        <v>0</v>
      </c>
      <c r="M158" s="582">
        <f t="shared" si="46"/>
        <v>0</v>
      </c>
      <c r="N158" s="582">
        <f t="shared" si="46"/>
        <v>0</v>
      </c>
      <c r="O158" s="583">
        <f t="shared" si="46"/>
        <v>0</v>
      </c>
      <c r="P158" s="581">
        <f t="shared" si="46"/>
        <v>5.4945054945054949E-3</v>
      </c>
      <c r="Q158" s="581">
        <f t="shared" si="46"/>
        <v>0</v>
      </c>
      <c r="R158" s="582">
        <f t="shared" si="46"/>
        <v>0</v>
      </c>
      <c r="S158" s="583">
        <f t="shared" si="46"/>
        <v>0</v>
      </c>
      <c r="T158" s="581">
        <f t="shared" si="46"/>
        <v>0</v>
      </c>
      <c r="U158" s="253"/>
      <c r="V158" s="254"/>
      <c r="W158" s="255">
        <v>136</v>
      </c>
      <c r="X158" s="255">
        <v>89</v>
      </c>
      <c r="Y158" s="255"/>
      <c r="Z158" s="255"/>
      <c r="AA158" s="255">
        <v>19</v>
      </c>
      <c r="AB158" s="582"/>
      <c r="AC158" s="256">
        <v>244</v>
      </c>
      <c r="AD158" s="254"/>
      <c r="AE158" s="255"/>
      <c r="AF158" s="255"/>
      <c r="AG158" s="255"/>
      <c r="AH158" s="255"/>
      <c r="AI158" s="257">
        <v>2</v>
      </c>
      <c r="AJ158" s="254"/>
      <c r="AK158" s="255"/>
      <c r="AL158" s="257"/>
      <c r="AM158" s="254"/>
      <c r="AN158" s="585"/>
    </row>
    <row r="159" spans="1:41" s="527" customFormat="1" ht="12.75" customHeight="1">
      <c r="A159" s="436"/>
      <c r="B159" s="436" t="s">
        <v>59</v>
      </c>
      <c r="C159" s="456">
        <f>SUM(C154:C158)</f>
        <v>0</v>
      </c>
      <c r="D159" s="456">
        <f t="shared" ref="D159:T159" si="47">SUM(D154:D158)</f>
        <v>1</v>
      </c>
      <c r="E159" s="456">
        <f t="shared" si="47"/>
        <v>1</v>
      </c>
      <c r="F159" s="456">
        <f t="shared" si="47"/>
        <v>0</v>
      </c>
      <c r="G159" s="456">
        <f t="shared" si="47"/>
        <v>0</v>
      </c>
      <c r="H159" s="456">
        <f t="shared" si="47"/>
        <v>1.0000000000000002</v>
      </c>
      <c r="I159" s="456">
        <f t="shared" si="47"/>
        <v>0</v>
      </c>
      <c r="J159" s="576">
        <f t="shared" si="47"/>
        <v>1.0000000000000002</v>
      </c>
      <c r="K159" s="577">
        <f t="shared" si="47"/>
        <v>0</v>
      </c>
      <c r="L159" s="578">
        <f t="shared" si="47"/>
        <v>0</v>
      </c>
      <c r="M159" s="578">
        <f t="shared" si="47"/>
        <v>0</v>
      </c>
      <c r="N159" s="578">
        <f t="shared" si="47"/>
        <v>0</v>
      </c>
      <c r="O159" s="579">
        <f t="shared" si="47"/>
        <v>0</v>
      </c>
      <c r="P159" s="577">
        <f t="shared" si="47"/>
        <v>1</v>
      </c>
      <c r="Q159" s="578">
        <f t="shared" si="47"/>
        <v>0</v>
      </c>
      <c r="R159" s="578">
        <f t="shared" si="47"/>
        <v>0</v>
      </c>
      <c r="S159" s="579">
        <f t="shared" si="47"/>
        <v>0</v>
      </c>
      <c r="T159" s="577">
        <f t="shared" si="47"/>
        <v>0</v>
      </c>
      <c r="U159" s="264"/>
      <c r="V159" s="265"/>
      <c r="W159" s="266">
        <v>1131</v>
      </c>
      <c r="X159" s="266">
        <v>564</v>
      </c>
      <c r="Y159" s="266"/>
      <c r="Z159" s="266"/>
      <c r="AA159" s="266">
        <v>158</v>
      </c>
      <c r="AB159" s="262"/>
      <c r="AC159" s="267">
        <v>1853</v>
      </c>
      <c r="AD159" s="265"/>
      <c r="AE159" s="266"/>
      <c r="AF159" s="266"/>
      <c r="AG159" s="266"/>
      <c r="AH159" s="266"/>
      <c r="AI159" s="268">
        <v>364</v>
      </c>
      <c r="AJ159" s="265"/>
      <c r="AK159" s="266"/>
      <c r="AL159" s="268"/>
      <c r="AM159" s="265"/>
      <c r="AN159" s="270"/>
      <c r="AO159" s="270"/>
    </row>
    <row r="160" spans="1:41" ht="12.75" customHeight="1">
      <c r="A160" s="240" t="s">
        <v>152</v>
      </c>
      <c r="B160" s="240" t="s">
        <v>53</v>
      </c>
      <c r="C160" s="568">
        <f>IF(V160&gt;0,(V160/V165),0)</f>
        <v>0</v>
      </c>
      <c r="D160" s="568">
        <f t="shared" ref="D160:T160" si="48">IF(W160&gt;0,(W160/W165),0)</f>
        <v>0.3473684210526316</v>
      </c>
      <c r="E160" s="568">
        <f t="shared" si="48"/>
        <v>0</v>
      </c>
      <c r="F160" s="568">
        <f t="shared" si="48"/>
        <v>0.22727272727272727</v>
      </c>
      <c r="G160" s="568">
        <f t="shared" si="48"/>
        <v>0</v>
      </c>
      <c r="H160" s="568">
        <f t="shared" si="48"/>
        <v>0.25806451612903225</v>
      </c>
      <c r="I160" s="568">
        <f t="shared" si="48"/>
        <v>0</v>
      </c>
      <c r="J160" s="569">
        <f t="shared" si="48"/>
        <v>0.31555834378920955</v>
      </c>
      <c r="K160" s="570">
        <f t="shared" si="48"/>
        <v>0</v>
      </c>
      <c r="L160" s="568">
        <f t="shared" si="48"/>
        <v>0</v>
      </c>
      <c r="M160" s="568">
        <f t="shared" si="48"/>
        <v>0</v>
      </c>
      <c r="N160" s="568">
        <f t="shared" si="48"/>
        <v>0</v>
      </c>
      <c r="O160" s="571">
        <f t="shared" si="48"/>
        <v>0</v>
      </c>
      <c r="P160" s="570">
        <f t="shared" si="48"/>
        <v>0</v>
      </c>
      <c r="Q160" s="568">
        <f t="shared" si="48"/>
        <v>0</v>
      </c>
      <c r="R160" s="568">
        <f t="shared" si="48"/>
        <v>0</v>
      </c>
      <c r="S160" s="571">
        <f t="shared" si="48"/>
        <v>0</v>
      </c>
      <c r="T160" s="570">
        <f t="shared" si="48"/>
        <v>0</v>
      </c>
      <c r="U160" s="253"/>
      <c r="V160" s="245"/>
      <c r="W160" s="246">
        <v>396</v>
      </c>
      <c r="X160" s="246"/>
      <c r="Y160" s="246">
        <v>75</v>
      </c>
      <c r="Z160" s="246"/>
      <c r="AA160" s="246">
        <v>32</v>
      </c>
      <c r="AB160" s="242"/>
      <c r="AC160" s="247">
        <v>503</v>
      </c>
      <c r="AD160" s="245"/>
      <c r="AE160" s="246"/>
      <c r="AF160" s="246"/>
      <c r="AG160" s="246"/>
      <c r="AH160" s="246"/>
      <c r="AI160" s="248"/>
      <c r="AJ160" s="245"/>
      <c r="AK160" s="246"/>
      <c r="AL160" s="248"/>
      <c r="AM160" s="245"/>
      <c r="AN160" s="563"/>
    </row>
    <row r="161" spans="1:41" ht="12.75" customHeight="1">
      <c r="A161" s="239"/>
      <c r="B161" s="239" t="s">
        <v>93</v>
      </c>
      <c r="C161" s="572">
        <f>IF(V161&gt;0,(V161/V165),0)</f>
        <v>0</v>
      </c>
      <c r="D161" s="572">
        <f t="shared" ref="D161:T161" si="49">IF(W161&gt;0,(W161/W165),0)</f>
        <v>0.27105263157894738</v>
      </c>
      <c r="E161" s="572">
        <f t="shared" si="49"/>
        <v>0</v>
      </c>
      <c r="F161" s="572">
        <f t="shared" si="49"/>
        <v>0.15757575757575756</v>
      </c>
      <c r="G161" s="572">
        <f t="shared" si="49"/>
        <v>0</v>
      </c>
      <c r="H161" s="572">
        <f t="shared" si="49"/>
        <v>0.20161290322580644</v>
      </c>
      <c r="I161" s="572">
        <f t="shared" si="49"/>
        <v>0</v>
      </c>
      <c r="J161" s="573">
        <f t="shared" si="49"/>
        <v>0.24215809284818068</v>
      </c>
      <c r="K161" s="574">
        <f t="shared" si="49"/>
        <v>0</v>
      </c>
      <c r="L161" s="572">
        <f t="shared" si="49"/>
        <v>0</v>
      </c>
      <c r="M161" s="572">
        <f t="shared" si="49"/>
        <v>0</v>
      </c>
      <c r="N161" s="572">
        <f t="shared" si="49"/>
        <v>0</v>
      </c>
      <c r="O161" s="575">
        <f t="shared" si="49"/>
        <v>0</v>
      </c>
      <c r="P161" s="574">
        <f t="shared" si="49"/>
        <v>0</v>
      </c>
      <c r="Q161" s="572">
        <f t="shared" si="49"/>
        <v>0</v>
      </c>
      <c r="R161" s="572">
        <f t="shared" si="49"/>
        <v>0</v>
      </c>
      <c r="S161" s="575">
        <f t="shared" si="49"/>
        <v>0</v>
      </c>
      <c r="T161" s="574">
        <f t="shared" si="49"/>
        <v>0</v>
      </c>
      <c r="U161" s="253"/>
      <c r="V161" s="254"/>
      <c r="W161" s="255">
        <v>309</v>
      </c>
      <c r="X161" s="255"/>
      <c r="Y161" s="255">
        <v>52</v>
      </c>
      <c r="Z161" s="255"/>
      <c r="AA161" s="255">
        <v>25</v>
      </c>
      <c r="AB161" s="251"/>
      <c r="AC161" s="256">
        <v>386</v>
      </c>
      <c r="AD161" s="254"/>
      <c r="AE161" s="255"/>
      <c r="AF161" s="255"/>
      <c r="AG161" s="255"/>
      <c r="AH161" s="255"/>
      <c r="AI161" s="257"/>
      <c r="AJ161" s="254"/>
      <c r="AK161" s="255"/>
      <c r="AL161" s="257"/>
      <c r="AM161" s="254"/>
      <c r="AN161" s="563"/>
    </row>
    <row r="162" spans="1:41" ht="12.75" customHeight="1">
      <c r="A162" s="239"/>
      <c r="B162" s="239" t="s">
        <v>55</v>
      </c>
      <c r="C162" s="572">
        <f>IF(V162&gt;0,(V162/V165),0)</f>
        <v>0</v>
      </c>
      <c r="D162" s="572">
        <f t="shared" ref="D162:T162" si="50">IF(W162&gt;0,(W162/W165),0)</f>
        <v>0.22105263157894736</v>
      </c>
      <c r="E162" s="572">
        <f t="shared" si="50"/>
        <v>0</v>
      </c>
      <c r="F162" s="572">
        <f t="shared" si="50"/>
        <v>0.21515151515151515</v>
      </c>
      <c r="G162" s="572">
        <f t="shared" si="50"/>
        <v>0</v>
      </c>
      <c r="H162" s="572">
        <f t="shared" si="50"/>
        <v>0.33064516129032256</v>
      </c>
      <c r="I162" s="572">
        <f t="shared" si="50"/>
        <v>0</v>
      </c>
      <c r="J162" s="573">
        <f t="shared" si="50"/>
        <v>0.22835633626097868</v>
      </c>
      <c r="K162" s="574">
        <f t="shared" si="50"/>
        <v>0</v>
      </c>
      <c r="L162" s="572">
        <f t="shared" si="50"/>
        <v>0</v>
      </c>
      <c r="M162" s="572">
        <f t="shared" si="50"/>
        <v>0</v>
      </c>
      <c r="N162" s="572">
        <f t="shared" si="50"/>
        <v>0</v>
      </c>
      <c r="O162" s="575">
        <f t="shared" si="50"/>
        <v>0</v>
      </c>
      <c r="P162" s="574">
        <f t="shared" si="50"/>
        <v>0</v>
      </c>
      <c r="Q162" s="572">
        <f t="shared" si="50"/>
        <v>0</v>
      </c>
      <c r="R162" s="572">
        <f t="shared" si="50"/>
        <v>0</v>
      </c>
      <c r="S162" s="575">
        <f t="shared" si="50"/>
        <v>0</v>
      </c>
      <c r="T162" s="574">
        <f t="shared" si="50"/>
        <v>0</v>
      </c>
      <c r="U162" s="253"/>
      <c r="V162" s="254"/>
      <c r="W162" s="255">
        <v>252</v>
      </c>
      <c r="X162" s="255"/>
      <c r="Y162" s="255">
        <v>71</v>
      </c>
      <c r="Z162" s="255"/>
      <c r="AA162" s="255">
        <v>41</v>
      </c>
      <c r="AB162" s="251"/>
      <c r="AC162" s="256">
        <v>364</v>
      </c>
      <c r="AD162" s="254"/>
      <c r="AE162" s="255"/>
      <c r="AF162" s="255"/>
      <c r="AG162" s="255"/>
      <c r="AH162" s="255"/>
      <c r="AI162" s="257"/>
      <c r="AJ162" s="254"/>
      <c r="AK162" s="255"/>
      <c r="AL162" s="257"/>
      <c r="AM162" s="254"/>
      <c r="AN162" s="563"/>
    </row>
    <row r="163" spans="1:41" ht="12.75" customHeight="1">
      <c r="A163" s="239"/>
      <c r="B163" s="239" t="s">
        <v>78</v>
      </c>
      <c r="C163" s="572">
        <f>IF(V163&gt;0,(V163/V165),0)</f>
        <v>0</v>
      </c>
      <c r="D163" s="572">
        <f t="shared" ref="D163:T163" si="51">IF(W163&gt;0,(W163/W165),0)</f>
        <v>9.2982456140350875E-2</v>
      </c>
      <c r="E163" s="572">
        <f t="shared" si="51"/>
        <v>0</v>
      </c>
      <c r="F163" s="572">
        <f t="shared" si="51"/>
        <v>0.19393939393939394</v>
      </c>
      <c r="G163" s="572">
        <f t="shared" si="51"/>
        <v>0</v>
      </c>
      <c r="H163" s="572">
        <f t="shared" si="51"/>
        <v>0.20967741935483872</v>
      </c>
      <c r="I163" s="572">
        <f t="shared" si="51"/>
        <v>0</v>
      </c>
      <c r="J163" s="573">
        <f t="shared" si="51"/>
        <v>0.12296110414052698</v>
      </c>
      <c r="K163" s="574">
        <f t="shared" si="51"/>
        <v>0</v>
      </c>
      <c r="L163" s="572">
        <f t="shared" si="51"/>
        <v>0</v>
      </c>
      <c r="M163" s="572">
        <f t="shared" si="51"/>
        <v>0</v>
      </c>
      <c r="N163" s="572">
        <f t="shared" si="51"/>
        <v>0</v>
      </c>
      <c r="O163" s="575">
        <f t="shared" si="51"/>
        <v>0</v>
      </c>
      <c r="P163" s="574">
        <f t="shared" si="51"/>
        <v>0.66666666666666663</v>
      </c>
      <c r="Q163" s="572">
        <f t="shared" si="51"/>
        <v>0</v>
      </c>
      <c r="R163" s="572">
        <f t="shared" si="51"/>
        <v>0</v>
      </c>
      <c r="S163" s="575">
        <f t="shared" si="51"/>
        <v>0</v>
      </c>
      <c r="T163" s="574">
        <f t="shared" si="51"/>
        <v>0</v>
      </c>
      <c r="U163" s="253"/>
      <c r="V163" s="254"/>
      <c r="W163" s="255">
        <v>106</v>
      </c>
      <c r="X163" s="255"/>
      <c r="Y163" s="255">
        <v>64</v>
      </c>
      <c r="Z163" s="255"/>
      <c r="AA163" s="255">
        <v>26</v>
      </c>
      <c r="AB163" s="251"/>
      <c r="AC163" s="256">
        <v>196</v>
      </c>
      <c r="AD163" s="254"/>
      <c r="AE163" s="255"/>
      <c r="AF163" s="255"/>
      <c r="AG163" s="255"/>
      <c r="AH163" s="255"/>
      <c r="AI163" s="257">
        <v>166</v>
      </c>
      <c r="AJ163" s="254"/>
      <c r="AK163" s="255"/>
      <c r="AL163" s="257"/>
      <c r="AM163" s="254"/>
      <c r="AN163" s="563"/>
    </row>
    <row r="164" spans="1:41" ht="12.75" customHeight="1">
      <c r="A164" s="580"/>
      <c r="B164" s="580" t="s">
        <v>131</v>
      </c>
      <c r="C164" s="581">
        <f>IF(V164&gt;0,(V164/V165),0)</f>
        <v>0</v>
      </c>
      <c r="D164" s="582">
        <f t="shared" ref="D164:T164" si="52">IF(W164&gt;0,(W164/W165),0)</f>
        <v>6.7543859649122809E-2</v>
      </c>
      <c r="E164" s="582">
        <f t="shared" si="52"/>
        <v>0</v>
      </c>
      <c r="F164" s="582">
        <f t="shared" si="52"/>
        <v>0.20606060606060606</v>
      </c>
      <c r="G164" s="582">
        <f t="shared" si="52"/>
        <v>0</v>
      </c>
      <c r="H164" s="582">
        <f t="shared" si="52"/>
        <v>0</v>
      </c>
      <c r="I164" s="583">
        <f t="shared" si="52"/>
        <v>0</v>
      </c>
      <c r="J164" s="584">
        <f t="shared" si="52"/>
        <v>9.0966122961104137E-2</v>
      </c>
      <c r="K164" s="581">
        <f t="shared" si="52"/>
        <v>0</v>
      </c>
      <c r="L164" s="582">
        <f t="shared" si="52"/>
        <v>0</v>
      </c>
      <c r="M164" s="582">
        <f t="shared" si="52"/>
        <v>0</v>
      </c>
      <c r="N164" s="582">
        <f t="shared" si="52"/>
        <v>0</v>
      </c>
      <c r="O164" s="583">
        <f t="shared" si="52"/>
        <v>0</v>
      </c>
      <c r="P164" s="581">
        <f t="shared" si="52"/>
        <v>0.33333333333333331</v>
      </c>
      <c r="Q164" s="581">
        <f t="shared" si="52"/>
        <v>0</v>
      </c>
      <c r="R164" s="582">
        <f t="shared" si="52"/>
        <v>0</v>
      </c>
      <c r="S164" s="583">
        <f t="shared" si="52"/>
        <v>0</v>
      </c>
      <c r="T164" s="581">
        <f t="shared" si="52"/>
        <v>0</v>
      </c>
      <c r="U164" s="253"/>
      <c r="V164" s="254"/>
      <c r="W164" s="255">
        <v>77</v>
      </c>
      <c r="X164" s="255"/>
      <c r="Y164" s="255">
        <v>68</v>
      </c>
      <c r="Z164" s="255"/>
      <c r="AA164" s="255"/>
      <c r="AB164" s="582"/>
      <c r="AC164" s="256">
        <v>145</v>
      </c>
      <c r="AD164" s="254"/>
      <c r="AE164" s="255"/>
      <c r="AF164" s="255"/>
      <c r="AG164" s="255"/>
      <c r="AH164" s="255"/>
      <c r="AI164" s="257">
        <v>83</v>
      </c>
      <c r="AJ164" s="254"/>
      <c r="AK164" s="255"/>
      <c r="AL164" s="257"/>
      <c r="AM164" s="254"/>
    </row>
    <row r="165" spans="1:41" s="527" customFormat="1" ht="12.75" customHeight="1">
      <c r="A165" s="436"/>
      <c r="B165" s="436" t="s">
        <v>59</v>
      </c>
      <c r="C165" s="456">
        <f>SUM(C160:C164)</f>
        <v>0</v>
      </c>
      <c r="D165" s="456">
        <f t="shared" ref="D165:T165" si="53">SUM(D160:D164)</f>
        <v>1</v>
      </c>
      <c r="E165" s="456">
        <f t="shared" si="53"/>
        <v>0</v>
      </c>
      <c r="F165" s="456">
        <f t="shared" si="53"/>
        <v>1</v>
      </c>
      <c r="G165" s="456">
        <f t="shared" si="53"/>
        <v>0</v>
      </c>
      <c r="H165" s="456">
        <f t="shared" si="53"/>
        <v>1</v>
      </c>
      <c r="I165" s="456">
        <f t="shared" si="53"/>
        <v>0</v>
      </c>
      <c r="J165" s="576">
        <f t="shared" si="53"/>
        <v>1</v>
      </c>
      <c r="K165" s="577">
        <f t="shared" si="53"/>
        <v>0</v>
      </c>
      <c r="L165" s="578">
        <f t="shared" si="53"/>
        <v>0</v>
      </c>
      <c r="M165" s="578">
        <f t="shared" si="53"/>
        <v>0</v>
      </c>
      <c r="N165" s="578">
        <f t="shared" si="53"/>
        <v>0</v>
      </c>
      <c r="O165" s="579">
        <f t="shared" si="53"/>
        <v>0</v>
      </c>
      <c r="P165" s="577">
        <f t="shared" si="53"/>
        <v>1</v>
      </c>
      <c r="Q165" s="578">
        <f t="shared" si="53"/>
        <v>0</v>
      </c>
      <c r="R165" s="578">
        <f t="shared" si="53"/>
        <v>0</v>
      </c>
      <c r="S165" s="579">
        <f t="shared" si="53"/>
        <v>0</v>
      </c>
      <c r="T165" s="577">
        <f t="shared" si="53"/>
        <v>0</v>
      </c>
      <c r="U165" s="264"/>
      <c r="V165" s="265"/>
      <c r="W165" s="266">
        <v>1140</v>
      </c>
      <c r="X165" s="266"/>
      <c r="Y165" s="266">
        <v>330</v>
      </c>
      <c r="Z165" s="266"/>
      <c r="AA165" s="266">
        <v>124</v>
      </c>
      <c r="AB165" s="262"/>
      <c r="AC165" s="267">
        <v>1594</v>
      </c>
      <c r="AD165" s="265"/>
      <c r="AE165" s="266"/>
      <c r="AF165" s="266"/>
      <c r="AG165" s="266"/>
      <c r="AH165" s="266"/>
      <c r="AI165" s="268">
        <v>249</v>
      </c>
      <c r="AJ165" s="265"/>
      <c r="AK165" s="266"/>
      <c r="AL165" s="268"/>
      <c r="AM165" s="265"/>
      <c r="AN165" s="270"/>
      <c r="AO165" s="270"/>
    </row>
    <row r="166" spans="1:41" ht="12.75" customHeight="1">
      <c r="A166" s="240" t="s">
        <v>158</v>
      </c>
      <c r="B166" s="240" t="s">
        <v>53</v>
      </c>
      <c r="C166" s="568">
        <f t="shared" ref="C166:T166" si="54">IF(V166&gt;0,(V166/V171),0)</f>
        <v>0.31160896130346233</v>
      </c>
      <c r="D166" s="568">
        <f t="shared" si="54"/>
        <v>0</v>
      </c>
      <c r="E166" s="568">
        <f t="shared" si="54"/>
        <v>0</v>
      </c>
      <c r="F166" s="568">
        <f t="shared" si="54"/>
        <v>0</v>
      </c>
      <c r="G166" s="568">
        <f t="shared" si="54"/>
        <v>0</v>
      </c>
      <c r="H166" s="568">
        <f t="shared" si="54"/>
        <v>4.7619047619047616E-2</v>
      </c>
      <c r="I166" s="568">
        <f t="shared" si="54"/>
        <v>0</v>
      </c>
      <c r="J166" s="569">
        <f t="shared" si="54"/>
        <v>0.30429042904290426</v>
      </c>
      <c r="K166" s="570">
        <f t="shared" si="54"/>
        <v>0</v>
      </c>
      <c r="L166" s="568">
        <f t="shared" si="54"/>
        <v>0</v>
      </c>
      <c r="M166" s="568">
        <f t="shared" si="54"/>
        <v>0</v>
      </c>
      <c r="N166" s="568">
        <f t="shared" si="54"/>
        <v>0</v>
      </c>
      <c r="O166" s="571">
        <f t="shared" si="54"/>
        <v>0</v>
      </c>
      <c r="P166" s="570">
        <f t="shared" si="54"/>
        <v>0.69374999999999998</v>
      </c>
      <c r="Q166" s="568">
        <f t="shared" si="54"/>
        <v>0</v>
      </c>
      <c r="R166" s="568">
        <f t="shared" si="54"/>
        <v>0</v>
      </c>
      <c r="S166" s="571">
        <f t="shared" si="54"/>
        <v>0</v>
      </c>
      <c r="T166" s="570">
        <f t="shared" si="54"/>
        <v>0</v>
      </c>
      <c r="U166" s="253"/>
      <c r="V166" s="245">
        <v>459</v>
      </c>
      <c r="W166" s="246"/>
      <c r="X166" s="246"/>
      <c r="Y166" s="246"/>
      <c r="Z166" s="246"/>
      <c r="AA166" s="246">
        <v>2</v>
      </c>
      <c r="AB166" s="242"/>
      <c r="AC166" s="247">
        <v>461</v>
      </c>
      <c r="AD166" s="245"/>
      <c r="AE166" s="246"/>
      <c r="AF166" s="246"/>
      <c r="AG166" s="246"/>
      <c r="AH166" s="246"/>
      <c r="AI166" s="248">
        <v>555</v>
      </c>
      <c r="AJ166" s="245"/>
      <c r="AK166" s="246"/>
      <c r="AL166" s="248"/>
      <c r="AM166" s="245"/>
      <c r="AN166" s="563"/>
    </row>
    <row r="167" spans="1:41" ht="12.75" customHeight="1">
      <c r="A167" s="239"/>
      <c r="B167" s="239" t="s">
        <v>93</v>
      </c>
      <c r="C167" s="572">
        <f t="shared" ref="C167:T167" si="55">IF(V167&gt;0,(V167/V171),0)</f>
        <v>0.34215885947046842</v>
      </c>
      <c r="D167" s="572">
        <f t="shared" si="55"/>
        <v>0</v>
      </c>
      <c r="E167" s="572">
        <f t="shared" si="55"/>
        <v>0</v>
      </c>
      <c r="F167" s="572">
        <f t="shared" si="55"/>
        <v>0</v>
      </c>
      <c r="G167" s="572">
        <f t="shared" si="55"/>
        <v>0</v>
      </c>
      <c r="H167" s="572">
        <f t="shared" si="55"/>
        <v>0.11904761904761904</v>
      </c>
      <c r="I167" s="572">
        <f t="shared" si="55"/>
        <v>0</v>
      </c>
      <c r="J167" s="573">
        <f t="shared" si="55"/>
        <v>0.33597359735973598</v>
      </c>
      <c r="K167" s="574">
        <f t="shared" si="55"/>
        <v>0</v>
      </c>
      <c r="L167" s="572">
        <f t="shared" si="55"/>
        <v>0</v>
      </c>
      <c r="M167" s="572">
        <f t="shared" si="55"/>
        <v>0</v>
      </c>
      <c r="N167" s="572">
        <f t="shared" si="55"/>
        <v>0</v>
      </c>
      <c r="O167" s="575">
        <f t="shared" si="55"/>
        <v>0</v>
      </c>
      <c r="P167" s="574">
        <f t="shared" si="55"/>
        <v>0</v>
      </c>
      <c r="Q167" s="572">
        <f t="shared" si="55"/>
        <v>0</v>
      </c>
      <c r="R167" s="572">
        <f t="shared" si="55"/>
        <v>0</v>
      </c>
      <c r="S167" s="575">
        <f t="shared" si="55"/>
        <v>0</v>
      </c>
      <c r="T167" s="574">
        <f t="shared" si="55"/>
        <v>0</v>
      </c>
      <c r="U167" s="253"/>
      <c r="V167" s="254">
        <v>504</v>
      </c>
      <c r="W167" s="255"/>
      <c r="X167" s="255"/>
      <c r="Y167" s="255"/>
      <c r="Z167" s="255"/>
      <c r="AA167" s="255">
        <v>5</v>
      </c>
      <c r="AB167" s="251"/>
      <c r="AC167" s="256">
        <v>509</v>
      </c>
      <c r="AD167" s="254"/>
      <c r="AE167" s="255"/>
      <c r="AF167" s="255"/>
      <c r="AG167" s="255"/>
      <c r="AH167" s="255"/>
      <c r="AI167" s="257"/>
      <c r="AJ167" s="254"/>
      <c r="AK167" s="255"/>
      <c r="AL167" s="257"/>
      <c r="AM167" s="254"/>
      <c r="AN167" s="563"/>
    </row>
    <row r="168" spans="1:41" ht="12.75" customHeight="1">
      <c r="A168" s="239"/>
      <c r="B168" s="239" t="s">
        <v>55</v>
      </c>
      <c r="C168" s="572">
        <f t="shared" ref="C168:T168" si="56">IF(V168&gt;0,(V168/V171),0)</f>
        <v>0.24372029871011541</v>
      </c>
      <c r="D168" s="572">
        <f t="shared" si="56"/>
        <v>0</v>
      </c>
      <c r="E168" s="572">
        <f t="shared" si="56"/>
        <v>0</v>
      </c>
      <c r="F168" s="572">
        <f t="shared" si="56"/>
        <v>0</v>
      </c>
      <c r="G168" s="572">
        <f t="shared" si="56"/>
        <v>0</v>
      </c>
      <c r="H168" s="572">
        <f t="shared" si="56"/>
        <v>0.40476190476190477</v>
      </c>
      <c r="I168" s="572">
        <f t="shared" si="56"/>
        <v>0</v>
      </c>
      <c r="J168" s="573">
        <f t="shared" si="56"/>
        <v>0.24818481848184817</v>
      </c>
      <c r="K168" s="574">
        <f t="shared" si="56"/>
        <v>0</v>
      </c>
      <c r="L168" s="572">
        <f t="shared" si="56"/>
        <v>0</v>
      </c>
      <c r="M168" s="572">
        <f t="shared" si="56"/>
        <v>0</v>
      </c>
      <c r="N168" s="572">
        <f t="shared" si="56"/>
        <v>0</v>
      </c>
      <c r="O168" s="575">
        <f t="shared" si="56"/>
        <v>0</v>
      </c>
      <c r="P168" s="574">
        <f t="shared" si="56"/>
        <v>0</v>
      </c>
      <c r="Q168" s="572">
        <f t="shared" si="56"/>
        <v>0</v>
      </c>
      <c r="R168" s="572">
        <f t="shared" si="56"/>
        <v>0</v>
      </c>
      <c r="S168" s="575">
        <f t="shared" si="56"/>
        <v>0</v>
      </c>
      <c r="T168" s="574">
        <f t="shared" si="56"/>
        <v>0</v>
      </c>
      <c r="U168" s="253"/>
      <c r="V168" s="254">
        <v>359</v>
      </c>
      <c r="W168" s="255"/>
      <c r="X168" s="255"/>
      <c r="Y168" s="255"/>
      <c r="Z168" s="255"/>
      <c r="AA168" s="255">
        <v>17</v>
      </c>
      <c r="AB168" s="251"/>
      <c r="AC168" s="256">
        <v>376</v>
      </c>
      <c r="AD168" s="254"/>
      <c r="AE168" s="255"/>
      <c r="AF168" s="255"/>
      <c r="AG168" s="255"/>
      <c r="AH168" s="255"/>
      <c r="AI168" s="257"/>
      <c r="AJ168" s="254"/>
      <c r="AK168" s="255"/>
      <c r="AL168" s="257"/>
      <c r="AM168" s="254"/>
      <c r="AN168" s="563"/>
    </row>
    <row r="169" spans="1:41" ht="12.75" customHeight="1">
      <c r="A169" s="239"/>
      <c r="B169" s="239" t="s">
        <v>78</v>
      </c>
      <c r="C169" s="572">
        <f>IF(V169&gt;0,(V169/V171),0)</f>
        <v>5.4989816700610997E-2</v>
      </c>
      <c r="D169" s="572">
        <f t="shared" ref="D169:T169" si="57">IF(W169&gt;0,(W169/W171),0)</f>
        <v>0</v>
      </c>
      <c r="E169" s="572">
        <f t="shared" si="57"/>
        <v>0</v>
      </c>
      <c r="F169" s="572">
        <f t="shared" si="57"/>
        <v>0</v>
      </c>
      <c r="G169" s="572">
        <f t="shared" si="57"/>
        <v>0</v>
      </c>
      <c r="H169" s="572">
        <f t="shared" si="57"/>
        <v>0</v>
      </c>
      <c r="I169" s="572">
        <f t="shared" si="57"/>
        <v>0</v>
      </c>
      <c r="J169" s="573">
        <f t="shared" si="57"/>
        <v>5.3465346534653464E-2</v>
      </c>
      <c r="K169" s="574">
        <f t="shared" si="57"/>
        <v>0</v>
      </c>
      <c r="L169" s="572">
        <f t="shared" si="57"/>
        <v>0</v>
      </c>
      <c r="M169" s="572">
        <f t="shared" si="57"/>
        <v>0</v>
      </c>
      <c r="N169" s="572">
        <f t="shared" si="57"/>
        <v>0</v>
      </c>
      <c r="O169" s="575">
        <f t="shared" si="57"/>
        <v>0</v>
      </c>
      <c r="P169" s="574">
        <f t="shared" si="57"/>
        <v>0.30625000000000002</v>
      </c>
      <c r="Q169" s="572">
        <f t="shared" si="57"/>
        <v>0</v>
      </c>
      <c r="R169" s="572">
        <f t="shared" si="57"/>
        <v>0</v>
      </c>
      <c r="S169" s="575">
        <f t="shared" si="57"/>
        <v>0</v>
      </c>
      <c r="T169" s="574">
        <f t="shared" si="57"/>
        <v>0</v>
      </c>
      <c r="U169" s="253"/>
      <c r="V169" s="254">
        <v>81</v>
      </c>
      <c r="W169" s="255"/>
      <c r="X169" s="255"/>
      <c r="Y169" s="255"/>
      <c r="Z169" s="255"/>
      <c r="AA169" s="255"/>
      <c r="AB169" s="251"/>
      <c r="AC169" s="256">
        <v>81</v>
      </c>
      <c r="AD169" s="254"/>
      <c r="AE169" s="255"/>
      <c r="AF169" s="255"/>
      <c r="AG169" s="255"/>
      <c r="AH169" s="255"/>
      <c r="AI169" s="257">
        <v>245</v>
      </c>
      <c r="AJ169" s="254"/>
      <c r="AK169" s="255"/>
      <c r="AL169" s="257"/>
      <c r="AM169" s="254"/>
      <c r="AN169" s="563"/>
    </row>
    <row r="170" spans="1:41" ht="12.75" customHeight="1">
      <c r="A170" s="580"/>
      <c r="B170" s="580" t="s">
        <v>131</v>
      </c>
      <c r="C170" s="581">
        <f>IF(V170&gt;0,(V170/V171),0)</f>
        <v>4.7522063815342838E-2</v>
      </c>
      <c r="D170" s="582">
        <f t="shared" ref="D170:T170" si="58">IF(W170&gt;0,(W170/W171),0)</f>
        <v>0</v>
      </c>
      <c r="E170" s="582">
        <f t="shared" si="58"/>
        <v>0</v>
      </c>
      <c r="F170" s="582">
        <f t="shared" si="58"/>
        <v>0</v>
      </c>
      <c r="G170" s="582">
        <f t="shared" si="58"/>
        <v>0</v>
      </c>
      <c r="H170" s="582">
        <f t="shared" si="58"/>
        <v>0.42857142857142855</v>
      </c>
      <c r="I170" s="583">
        <f t="shared" si="58"/>
        <v>0</v>
      </c>
      <c r="J170" s="584">
        <f t="shared" si="58"/>
        <v>5.8085808580858087E-2</v>
      </c>
      <c r="K170" s="581">
        <f t="shared" si="58"/>
        <v>0</v>
      </c>
      <c r="L170" s="582">
        <f t="shared" si="58"/>
        <v>0</v>
      </c>
      <c r="M170" s="582">
        <f t="shared" si="58"/>
        <v>0</v>
      </c>
      <c r="N170" s="582">
        <f t="shared" si="58"/>
        <v>0</v>
      </c>
      <c r="O170" s="583">
        <f t="shared" si="58"/>
        <v>0</v>
      </c>
      <c r="P170" s="581">
        <f t="shared" si="58"/>
        <v>0</v>
      </c>
      <c r="Q170" s="581">
        <f t="shared" si="58"/>
        <v>0</v>
      </c>
      <c r="R170" s="582">
        <f t="shared" si="58"/>
        <v>0</v>
      </c>
      <c r="S170" s="583">
        <f t="shared" si="58"/>
        <v>0</v>
      </c>
      <c r="T170" s="581">
        <f t="shared" si="58"/>
        <v>0</v>
      </c>
      <c r="U170" s="253"/>
      <c r="V170" s="254">
        <v>70</v>
      </c>
      <c r="W170" s="255"/>
      <c r="X170" s="255"/>
      <c r="Y170" s="255"/>
      <c r="Z170" s="255"/>
      <c r="AA170" s="255">
        <v>18</v>
      </c>
      <c r="AB170" s="582"/>
      <c r="AC170" s="256">
        <v>88</v>
      </c>
      <c r="AD170" s="254"/>
      <c r="AE170" s="255"/>
      <c r="AF170" s="255"/>
      <c r="AG170" s="255"/>
      <c r="AH170" s="255"/>
      <c r="AI170" s="257"/>
      <c r="AJ170" s="254"/>
      <c r="AK170" s="255"/>
      <c r="AL170" s="257"/>
      <c r="AM170" s="254"/>
    </row>
    <row r="171" spans="1:41" s="527" customFormat="1" ht="12.75" customHeight="1">
      <c r="A171" s="436"/>
      <c r="B171" s="436" t="s">
        <v>59</v>
      </c>
      <c r="C171" s="456">
        <f>SUM(C166:C170)</f>
        <v>1</v>
      </c>
      <c r="D171" s="456">
        <f t="shared" ref="D171:K171" si="59">SUM(D166:D170)</f>
        <v>0</v>
      </c>
      <c r="E171" s="456">
        <f t="shared" si="59"/>
        <v>0</v>
      </c>
      <c r="F171" s="456">
        <f t="shared" si="59"/>
        <v>0</v>
      </c>
      <c r="G171" s="456">
        <f t="shared" si="59"/>
        <v>0</v>
      </c>
      <c r="H171" s="456">
        <f t="shared" si="59"/>
        <v>1</v>
      </c>
      <c r="I171" s="456">
        <f t="shared" si="59"/>
        <v>0</v>
      </c>
      <c r="J171" s="576">
        <f t="shared" si="59"/>
        <v>1</v>
      </c>
      <c r="K171" s="577">
        <f t="shared" si="59"/>
        <v>0</v>
      </c>
      <c r="L171" s="578">
        <f t="shared" ref="L171:T171" si="60">SUM(L166:L170)</f>
        <v>0</v>
      </c>
      <c r="M171" s="578">
        <f t="shared" si="60"/>
        <v>0</v>
      </c>
      <c r="N171" s="578">
        <f t="shared" si="60"/>
        <v>0</v>
      </c>
      <c r="O171" s="579">
        <f t="shared" si="60"/>
        <v>0</v>
      </c>
      <c r="P171" s="577">
        <f t="shared" si="60"/>
        <v>1</v>
      </c>
      <c r="Q171" s="578">
        <f t="shared" si="60"/>
        <v>0</v>
      </c>
      <c r="R171" s="578">
        <f t="shared" si="60"/>
        <v>0</v>
      </c>
      <c r="S171" s="579">
        <f t="shared" si="60"/>
        <v>0</v>
      </c>
      <c r="T171" s="577">
        <f t="shared" si="60"/>
        <v>0</v>
      </c>
      <c r="U171" s="264"/>
      <c r="V171" s="265">
        <v>1473</v>
      </c>
      <c r="W171" s="266"/>
      <c r="X171" s="266"/>
      <c r="Y171" s="266"/>
      <c r="Z171" s="266"/>
      <c r="AA171" s="266">
        <v>42</v>
      </c>
      <c r="AB171" s="262"/>
      <c r="AC171" s="267">
        <v>1515</v>
      </c>
      <c r="AD171" s="265"/>
      <c r="AE171" s="266"/>
      <c r="AF171" s="266"/>
      <c r="AG171" s="266"/>
      <c r="AH171" s="266"/>
      <c r="AI171" s="268">
        <v>800</v>
      </c>
      <c r="AJ171" s="265"/>
      <c r="AK171" s="266"/>
      <c r="AL171" s="268"/>
      <c r="AM171" s="265"/>
      <c r="AN171" s="270"/>
      <c r="AO171" s="270"/>
    </row>
    <row r="172" spans="1:41" ht="12.75" customHeight="1">
      <c r="A172" s="240" t="s">
        <v>157</v>
      </c>
      <c r="B172" s="240" t="s">
        <v>53</v>
      </c>
      <c r="C172" s="568">
        <f>IF(V172&gt;0,(V172/V177),0)</f>
        <v>0.33970276008492567</v>
      </c>
      <c r="D172" s="568">
        <f t="shared" ref="D172:T172" si="61">IF(W172&gt;0,(W172/W177),0)</f>
        <v>0.32045779685264664</v>
      </c>
      <c r="E172" s="568">
        <f t="shared" si="61"/>
        <v>0.18382352941176472</v>
      </c>
      <c r="F172" s="568">
        <f t="shared" si="61"/>
        <v>0.30188679245283018</v>
      </c>
      <c r="G172" s="568">
        <f t="shared" si="61"/>
        <v>0.40425531914893614</v>
      </c>
      <c r="H172" s="568">
        <f t="shared" si="61"/>
        <v>0</v>
      </c>
      <c r="I172" s="568">
        <f t="shared" si="61"/>
        <v>0</v>
      </c>
      <c r="J172" s="569">
        <f t="shared" si="61"/>
        <v>0.32162921348314605</v>
      </c>
      <c r="K172" s="570">
        <f t="shared" si="61"/>
        <v>0</v>
      </c>
      <c r="L172" s="568">
        <f t="shared" si="61"/>
        <v>0</v>
      </c>
      <c r="M172" s="568">
        <f t="shared" si="61"/>
        <v>0</v>
      </c>
      <c r="N172" s="568">
        <f t="shared" si="61"/>
        <v>0</v>
      </c>
      <c r="O172" s="571">
        <f t="shared" si="61"/>
        <v>0</v>
      </c>
      <c r="P172" s="570">
        <f t="shared" si="61"/>
        <v>6.4672594987873894E-2</v>
      </c>
      <c r="Q172" s="568">
        <f t="shared" si="61"/>
        <v>0</v>
      </c>
      <c r="R172" s="568">
        <f t="shared" si="61"/>
        <v>0</v>
      </c>
      <c r="S172" s="571">
        <f t="shared" si="61"/>
        <v>0</v>
      </c>
      <c r="T172" s="570">
        <f t="shared" si="61"/>
        <v>0.29411764705882354</v>
      </c>
      <c r="U172" s="253"/>
      <c r="V172" s="245">
        <v>320</v>
      </c>
      <c r="W172" s="246">
        <v>224</v>
      </c>
      <c r="X172" s="246">
        <v>25</v>
      </c>
      <c r="Y172" s="246">
        <v>80</v>
      </c>
      <c r="Z172" s="246">
        <v>38</v>
      </c>
      <c r="AA172" s="246"/>
      <c r="AB172" s="242"/>
      <c r="AC172" s="247">
        <v>687</v>
      </c>
      <c r="AD172" s="245"/>
      <c r="AE172" s="246"/>
      <c r="AF172" s="246"/>
      <c r="AG172" s="246"/>
      <c r="AH172" s="246"/>
      <c r="AI172" s="248">
        <v>80</v>
      </c>
      <c r="AJ172" s="245"/>
      <c r="AK172" s="246"/>
      <c r="AL172" s="248"/>
      <c r="AM172" s="245">
        <v>5</v>
      </c>
      <c r="AN172" s="563"/>
    </row>
    <row r="173" spans="1:41" ht="12.75" customHeight="1">
      <c r="A173" s="239"/>
      <c r="B173" s="239" t="s">
        <v>93</v>
      </c>
      <c r="C173" s="572">
        <f>IF(V173&gt;0,(V173/V177),0)</f>
        <v>0.29936305732484075</v>
      </c>
      <c r="D173" s="572">
        <f t="shared" ref="D173:T173" si="62">IF(W173&gt;0,(W173/W177),0)</f>
        <v>0.34763948497854075</v>
      </c>
      <c r="E173" s="572">
        <f t="shared" si="62"/>
        <v>0.29411764705882354</v>
      </c>
      <c r="F173" s="572">
        <f t="shared" si="62"/>
        <v>0.30943396226415093</v>
      </c>
      <c r="G173" s="572">
        <f t="shared" si="62"/>
        <v>0.23404255319148937</v>
      </c>
      <c r="H173" s="572">
        <f t="shared" si="62"/>
        <v>0</v>
      </c>
      <c r="I173" s="572">
        <f t="shared" si="62"/>
        <v>0</v>
      </c>
      <c r="J173" s="573">
        <f t="shared" si="62"/>
        <v>0.31320224719101125</v>
      </c>
      <c r="K173" s="574">
        <f t="shared" si="62"/>
        <v>0</v>
      </c>
      <c r="L173" s="572">
        <f t="shared" si="62"/>
        <v>0</v>
      </c>
      <c r="M173" s="572">
        <f t="shared" si="62"/>
        <v>0</v>
      </c>
      <c r="N173" s="572">
        <f t="shared" si="62"/>
        <v>0</v>
      </c>
      <c r="O173" s="575">
        <f t="shared" si="62"/>
        <v>0</v>
      </c>
      <c r="P173" s="574">
        <f t="shared" si="62"/>
        <v>7.4373484236054971E-2</v>
      </c>
      <c r="Q173" s="572">
        <f t="shared" si="62"/>
        <v>0</v>
      </c>
      <c r="R173" s="572">
        <f t="shared" si="62"/>
        <v>0</v>
      </c>
      <c r="S173" s="575">
        <f t="shared" si="62"/>
        <v>0</v>
      </c>
      <c r="T173" s="574">
        <f t="shared" si="62"/>
        <v>0.17647058823529413</v>
      </c>
      <c r="U173" s="253"/>
      <c r="V173" s="254">
        <v>282</v>
      </c>
      <c r="W173" s="255">
        <v>243</v>
      </c>
      <c r="X173" s="255">
        <v>40</v>
      </c>
      <c r="Y173" s="255">
        <v>82</v>
      </c>
      <c r="Z173" s="255">
        <v>22</v>
      </c>
      <c r="AA173" s="255"/>
      <c r="AB173" s="251"/>
      <c r="AC173" s="256">
        <v>669</v>
      </c>
      <c r="AD173" s="254"/>
      <c r="AE173" s="255"/>
      <c r="AF173" s="255"/>
      <c r="AG173" s="255"/>
      <c r="AH173" s="255"/>
      <c r="AI173" s="257">
        <v>92</v>
      </c>
      <c r="AJ173" s="254"/>
      <c r="AK173" s="255"/>
      <c r="AL173" s="257"/>
      <c r="AM173" s="254">
        <v>3</v>
      </c>
      <c r="AN173" s="563"/>
    </row>
    <row r="174" spans="1:41" ht="12.75" customHeight="1">
      <c r="A174" s="239"/>
      <c r="B174" s="239" t="s">
        <v>55</v>
      </c>
      <c r="C174" s="572">
        <f>IF(V174&gt;0,(V174/V177),0)</f>
        <v>0.21656050955414013</v>
      </c>
      <c r="D174" s="572">
        <f t="shared" ref="D174:T174" si="63">IF(W174&gt;0,(W174/W177),0)</f>
        <v>0.29470672389127323</v>
      </c>
      <c r="E174" s="572">
        <f t="shared" si="63"/>
        <v>0.35294117647058826</v>
      </c>
      <c r="F174" s="572">
        <f t="shared" si="63"/>
        <v>0.25660377358490566</v>
      </c>
      <c r="G174" s="572">
        <f t="shared" si="63"/>
        <v>0.34042553191489361</v>
      </c>
      <c r="H174" s="572">
        <f t="shared" si="63"/>
        <v>0</v>
      </c>
      <c r="I174" s="572">
        <f t="shared" si="63"/>
        <v>0</v>
      </c>
      <c r="J174" s="573">
        <f t="shared" si="63"/>
        <v>0.2612359550561798</v>
      </c>
      <c r="K174" s="574">
        <f t="shared" si="63"/>
        <v>0</v>
      </c>
      <c r="L174" s="572">
        <f t="shared" si="63"/>
        <v>0</v>
      </c>
      <c r="M174" s="572">
        <f t="shared" si="63"/>
        <v>0</v>
      </c>
      <c r="N174" s="572">
        <f t="shared" si="63"/>
        <v>0</v>
      </c>
      <c r="O174" s="575">
        <f t="shared" si="63"/>
        <v>0</v>
      </c>
      <c r="P174" s="574">
        <f t="shared" si="63"/>
        <v>0.17542441390460792</v>
      </c>
      <c r="Q174" s="572">
        <f t="shared" si="63"/>
        <v>0</v>
      </c>
      <c r="R174" s="572">
        <f t="shared" si="63"/>
        <v>0</v>
      </c>
      <c r="S174" s="575">
        <f t="shared" si="63"/>
        <v>0</v>
      </c>
      <c r="T174" s="574">
        <f t="shared" si="63"/>
        <v>0.29411764705882354</v>
      </c>
      <c r="U174" s="253"/>
      <c r="V174" s="254">
        <v>204</v>
      </c>
      <c r="W174" s="255">
        <v>206</v>
      </c>
      <c r="X174" s="255">
        <v>48</v>
      </c>
      <c r="Y174" s="255">
        <v>68</v>
      </c>
      <c r="Z174" s="255">
        <v>32</v>
      </c>
      <c r="AA174" s="255"/>
      <c r="AB174" s="251"/>
      <c r="AC174" s="256">
        <v>558</v>
      </c>
      <c r="AD174" s="254"/>
      <c r="AE174" s="255"/>
      <c r="AF174" s="255"/>
      <c r="AG174" s="255"/>
      <c r="AH174" s="255"/>
      <c r="AI174" s="257">
        <v>217</v>
      </c>
      <c r="AJ174" s="254"/>
      <c r="AK174" s="255"/>
      <c r="AL174" s="257"/>
      <c r="AM174" s="254">
        <v>5</v>
      </c>
      <c r="AN174" s="563"/>
    </row>
    <row r="175" spans="1:41" ht="12.75" customHeight="1">
      <c r="A175" s="239"/>
      <c r="B175" s="239" t="s">
        <v>78</v>
      </c>
      <c r="C175" s="572">
        <f>IF(V175&gt;0,(V175/V177),0)</f>
        <v>8.4925690021231421E-3</v>
      </c>
      <c r="D175" s="572">
        <f t="shared" ref="D175:T175" si="64">IF(W175&gt;0,(W175/W177),0)</f>
        <v>2.8612303290414878E-2</v>
      </c>
      <c r="E175" s="572">
        <f t="shared" si="64"/>
        <v>0.11029411764705882</v>
      </c>
      <c r="F175" s="572">
        <f t="shared" si="64"/>
        <v>0.1169811320754717</v>
      </c>
      <c r="G175" s="572">
        <f t="shared" si="64"/>
        <v>2.1276595744680851E-2</v>
      </c>
      <c r="H175" s="572">
        <f t="shared" si="64"/>
        <v>0</v>
      </c>
      <c r="I175" s="572">
        <f t="shared" si="64"/>
        <v>0</v>
      </c>
      <c r="J175" s="573">
        <f t="shared" si="64"/>
        <v>3.5580524344569285E-2</v>
      </c>
      <c r="K175" s="574">
        <f t="shared" si="64"/>
        <v>0</v>
      </c>
      <c r="L175" s="572">
        <f t="shared" si="64"/>
        <v>0</v>
      </c>
      <c r="M175" s="572">
        <f t="shared" si="64"/>
        <v>0</v>
      </c>
      <c r="N175" s="572">
        <f t="shared" si="64"/>
        <v>0</v>
      </c>
      <c r="O175" s="575">
        <f t="shared" si="64"/>
        <v>0</v>
      </c>
      <c r="P175" s="574">
        <f t="shared" si="64"/>
        <v>0.5844785772029103</v>
      </c>
      <c r="Q175" s="572">
        <f t="shared" si="64"/>
        <v>0</v>
      </c>
      <c r="R175" s="572">
        <f t="shared" si="64"/>
        <v>0</v>
      </c>
      <c r="S175" s="575">
        <f t="shared" si="64"/>
        <v>0</v>
      </c>
      <c r="T175" s="574">
        <f t="shared" si="64"/>
        <v>0.11764705882352941</v>
      </c>
      <c r="U175" s="253"/>
      <c r="V175" s="254">
        <v>8</v>
      </c>
      <c r="W175" s="255">
        <v>20</v>
      </c>
      <c r="X175" s="255">
        <v>15</v>
      </c>
      <c r="Y175" s="255">
        <v>31</v>
      </c>
      <c r="Z175" s="255">
        <v>2</v>
      </c>
      <c r="AA175" s="255"/>
      <c r="AB175" s="251"/>
      <c r="AC175" s="256">
        <v>76</v>
      </c>
      <c r="AD175" s="254"/>
      <c r="AE175" s="255"/>
      <c r="AF175" s="255"/>
      <c r="AG175" s="255"/>
      <c r="AH175" s="255"/>
      <c r="AI175" s="257">
        <v>723</v>
      </c>
      <c r="AJ175" s="254"/>
      <c r="AK175" s="255"/>
      <c r="AL175" s="257"/>
      <c r="AM175" s="254">
        <v>2</v>
      </c>
      <c r="AN175" s="563"/>
    </row>
    <row r="176" spans="1:41" ht="12.75" customHeight="1">
      <c r="A176" s="580"/>
      <c r="B176" s="580" t="s">
        <v>131</v>
      </c>
      <c r="C176" s="581">
        <f>IF(V176&gt;0,(V176/V177),0)</f>
        <v>0.13588110403397027</v>
      </c>
      <c r="D176" s="582">
        <f t="shared" ref="D176:T176" si="65">IF(W176&gt;0,(W176/W177),0)</f>
        <v>8.5836909871244635E-3</v>
      </c>
      <c r="E176" s="582">
        <f t="shared" si="65"/>
        <v>5.8823529411764705E-2</v>
      </c>
      <c r="F176" s="582">
        <f t="shared" si="65"/>
        <v>1.509433962264151E-2</v>
      </c>
      <c r="G176" s="582">
        <f t="shared" si="65"/>
        <v>0</v>
      </c>
      <c r="H176" s="582">
        <f t="shared" si="65"/>
        <v>0</v>
      </c>
      <c r="I176" s="583">
        <f t="shared" si="65"/>
        <v>0</v>
      </c>
      <c r="J176" s="584">
        <f t="shared" si="65"/>
        <v>6.8352059925093633E-2</v>
      </c>
      <c r="K176" s="581">
        <f t="shared" si="65"/>
        <v>0</v>
      </c>
      <c r="L176" s="582">
        <f t="shared" si="65"/>
        <v>0</v>
      </c>
      <c r="M176" s="582">
        <f t="shared" si="65"/>
        <v>0</v>
      </c>
      <c r="N176" s="582">
        <f t="shared" si="65"/>
        <v>0</v>
      </c>
      <c r="O176" s="583">
        <f t="shared" si="65"/>
        <v>0</v>
      </c>
      <c r="P176" s="581">
        <f t="shared" si="65"/>
        <v>0.10105092966855295</v>
      </c>
      <c r="Q176" s="581">
        <f t="shared" si="65"/>
        <v>0</v>
      </c>
      <c r="R176" s="582">
        <f t="shared" si="65"/>
        <v>0</v>
      </c>
      <c r="S176" s="583">
        <f t="shared" si="65"/>
        <v>0</v>
      </c>
      <c r="T176" s="581">
        <f t="shared" si="65"/>
        <v>0.11764705882352941</v>
      </c>
      <c r="U176" s="253"/>
      <c r="V176" s="254">
        <v>128</v>
      </c>
      <c r="W176" s="255">
        <v>6</v>
      </c>
      <c r="X176" s="255">
        <v>8</v>
      </c>
      <c r="Y176" s="255">
        <v>4</v>
      </c>
      <c r="Z176" s="255"/>
      <c r="AA176" s="255"/>
      <c r="AB176" s="582"/>
      <c r="AC176" s="256">
        <v>146</v>
      </c>
      <c r="AD176" s="254"/>
      <c r="AE176" s="255"/>
      <c r="AF176" s="255"/>
      <c r="AG176" s="255"/>
      <c r="AH176" s="255"/>
      <c r="AI176" s="257">
        <v>125</v>
      </c>
      <c r="AJ176" s="254"/>
      <c r="AK176" s="255"/>
      <c r="AL176" s="257"/>
      <c r="AM176" s="254">
        <v>2</v>
      </c>
    </row>
    <row r="177" spans="1:41" s="527" customFormat="1" ht="12.75" customHeight="1">
      <c r="A177" s="436"/>
      <c r="B177" s="436" t="s">
        <v>59</v>
      </c>
      <c r="C177" s="456">
        <f>SUM(C172:C176)</f>
        <v>1</v>
      </c>
      <c r="D177" s="456">
        <f t="shared" ref="D177:T177" si="66">SUM(D172:D176)</f>
        <v>1</v>
      </c>
      <c r="E177" s="456">
        <f t="shared" si="66"/>
        <v>1</v>
      </c>
      <c r="F177" s="456">
        <f t="shared" si="66"/>
        <v>1</v>
      </c>
      <c r="G177" s="456">
        <f t="shared" si="66"/>
        <v>1</v>
      </c>
      <c r="H177" s="456">
        <f t="shared" si="66"/>
        <v>0</v>
      </c>
      <c r="I177" s="456">
        <f t="shared" si="66"/>
        <v>0</v>
      </c>
      <c r="J177" s="576">
        <f t="shared" si="66"/>
        <v>1</v>
      </c>
      <c r="K177" s="577">
        <f t="shared" si="66"/>
        <v>0</v>
      </c>
      <c r="L177" s="578">
        <f t="shared" si="66"/>
        <v>0</v>
      </c>
      <c r="M177" s="578">
        <f t="shared" si="66"/>
        <v>0</v>
      </c>
      <c r="N177" s="578">
        <f t="shared" si="66"/>
        <v>0</v>
      </c>
      <c r="O177" s="579">
        <f t="shared" si="66"/>
        <v>0</v>
      </c>
      <c r="P177" s="577">
        <f t="shared" si="66"/>
        <v>1</v>
      </c>
      <c r="Q177" s="578">
        <f t="shared" si="66"/>
        <v>0</v>
      </c>
      <c r="R177" s="578">
        <f t="shared" si="66"/>
        <v>0</v>
      </c>
      <c r="S177" s="579">
        <f t="shared" si="66"/>
        <v>0</v>
      </c>
      <c r="T177" s="577">
        <f t="shared" si="66"/>
        <v>1</v>
      </c>
      <c r="U177" s="264"/>
      <c r="V177" s="265">
        <v>942</v>
      </c>
      <c r="W177" s="266">
        <v>699</v>
      </c>
      <c r="X177" s="266">
        <v>136</v>
      </c>
      <c r="Y177" s="266">
        <v>265</v>
      </c>
      <c r="Z177" s="266">
        <v>94</v>
      </c>
      <c r="AA177" s="266"/>
      <c r="AB177" s="262"/>
      <c r="AC177" s="267">
        <v>2136</v>
      </c>
      <c r="AD177" s="265"/>
      <c r="AE177" s="266"/>
      <c r="AF177" s="266"/>
      <c r="AG177" s="266"/>
      <c r="AH177" s="266"/>
      <c r="AI177" s="268">
        <v>1237</v>
      </c>
      <c r="AJ177" s="265"/>
      <c r="AK177" s="266"/>
      <c r="AL177" s="268"/>
      <c r="AM177" s="265">
        <v>17</v>
      </c>
      <c r="AN177" s="270"/>
      <c r="AO177" s="270"/>
    </row>
    <row r="178" spans="1:41" ht="12.75" customHeight="1">
      <c r="A178" s="240" t="s">
        <v>161</v>
      </c>
      <c r="B178" s="240" t="s">
        <v>53</v>
      </c>
      <c r="C178" s="568">
        <f>IF(V178&gt;0,(V178/V183),0)</f>
        <v>0.26493011435832275</v>
      </c>
      <c r="D178" s="568">
        <f t="shared" ref="D178:T178" si="67">IF(W178&gt;0,(W178/W183),0)</f>
        <v>0.31223628691983124</v>
      </c>
      <c r="E178" s="568">
        <f t="shared" si="67"/>
        <v>0</v>
      </c>
      <c r="F178" s="568">
        <f t="shared" si="67"/>
        <v>0.38082901554404147</v>
      </c>
      <c r="G178" s="568">
        <f t="shared" si="67"/>
        <v>0.27777777777777779</v>
      </c>
      <c r="H178" s="568">
        <f t="shared" si="67"/>
        <v>0.31297709923664124</v>
      </c>
      <c r="I178" s="568">
        <f t="shared" si="67"/>
        <v>0</v>
      </c>
      <c r="J178" s="569">
        <f t="shared" si="67"/>
        <v>0.29450171821305843</v>
      </c>
      <c r="K178" s="570">
        <f t="shared" si="67"/>
        <v>0</v>
      </c>
      <c r="L178" s="568">
        <f t="shared" si="67"/>
        <v>0</v>
      </c>
      <c r="M178" s="568">
        <f t="shared" si="67"/>
        <v>0</v>
      </c>
      <c r="N178" s="568">
        <f t="shared" si="67"/>
        <v>0</v>
      </c>
      <c r="O178" s="571">
        <f t="shared" si="67"/>
        <v>0</v>
      </c>
      <c r="P178" s="570">
        <f t="shared" si="67"/>
        <v>3.0382399161864852E-2</v>
      </c>
      <c r="Q178" s="568">
        <f t="shared" si="67"/>
        <v>0</v>
      </c>
      <c r="R178" s="568">
        <f t="shared" si="67"/>
        <v>0</v>
      </c>
      <c r="S178" s="571">
        <f t="shared" si="67"/>
        <v>0</v>
      </c>
      <c r="T178" s="570">
        <f t="shared" si="67"/>
        <v>0</v>
      </c>
      <c r="U178" s="253"/>
      <c r="V178" s="245">
        <v>417</v>
      </c>
      <c r="W178" s="246">
        <v>222</v>
      </c>
      <c r="X178" s="246"/>
      <c r="Y178" s="246">
        <v>147</v>
      </c>
      <c r="Z178" s="246">
        <v>30</v>
      </c>
      <c r="AA178" s="246">
        <v>41</v>
      </c>
      <c r="AB178" s="242"/>
      <c r="AC178" s="247">
        <v>857</v>
      </c>
      <c r="AD178" s="245"/>
      <c r="AE178" s="246"/>
      <c r="AF178" s="246"/>
      <c r="AG178" s="246"/>
      <c r="AH178" s="246"/>
      <c r="AI178" s="248">
        <v>58</v>
      </c>
      <c r="AJ178" s="245"/>
      <c r="AK178" s="246"/>
      <c r="AL178" s="248"/>
      <c r="AM178" s="245"/>
      <c r="AN178" s="563"/>
    </row>
    <row r="179" spans="1:41" ht="12.75" customHeight="1">
      <c r="A179" s="239"/>
      <c r="B179" s="239" t="s">
        <v>93</v>
      </c>
      <c r="C179" s="572">
        <f>IF(V179&gt;0,(V179/V183),0)</f>
        <v>0.28081321473951715</v>
      </c>
      <c r="D179" s="572">
        <f t="shared" ref="D179:T179" si="68">IF(W179&gt;0,(W179/W183),0)</f>
        <v>0.24331926863572434</v>
      </c>
      <c r="E179" s="572">
        <f t="shared" si="68"/>
        <v>0</v>
      </c>
      <c r="F179" s="572">
        <f t="shared" si="68"/>
        <v>0.29792746113989638</v>
      </c>
      <c r="G179" s="572">
        <f t="shared" si="68"/>
        <v>0.29629629629629628</v>
      </c>
      <c r="H179" s="572">
        <f t="shared" si="68"/>
        <v>0.28244274809160308</v>
      </c>
      <c r="I179" s="572">
        <f t="shared" si="68"/>
        <v>0</v>
      </c>
      <c r="J179" s="573">
        <f t="shared" si="68"/>
        <v>0.27457044673539521</v>
      </c>
      <c r="K179" s="574">
        <f t="shared" si="68"/>
        <v>0</v>
      </c>
      <c r="L179" s="572">
        <f t="shared" si="68"/>
        <v>0</v>
      </c>
      <c r="M179" s="572">
        <f t="shared" si="68"/>
        <v>0</v>
      </c>
      <c r="N179" s="572">
        <f t="shared" si="68"/>
        <v>0</v>
      </c>
      <c r="O179" s="575">
        <f t="shared" si="68"/>
        <v>0</v>
      </c>
      <c r="P179" s="574">
        <f t="shared" si="68"/>
        <v>1.676270298585647E-2</v>
      </c>
      <c r="Q179" s="572">
        <f t="shared" si="68"/>
        <v>0</v>
      </c>
      <c r="R179" s="572">
        <f t="shared" si="68"/>
        <v>0</v>
      </c>
      <c r="S179" s="575">
        <f t="shared" si="68"/>
        <v>0</v>
      </c>
      <c r="T179" s="574">
        <f t="shared" si="68"/>
        <v>0</v>
      </c>
      <c r="U179" s="253"/>
      <c r="V179" s="254">
        <v>442</v>
      </c>
      <c r="W179" s="255">
        <v>173</v>
      </c>
      <c r="X179" s="255"/>
      <c r="Y179" s="255">
        <v>115</v>
      </c>
      <c r="Z179" s="255">
        <v>32</v>
      </c>
      <c r="AA179" s="255">
        <v>37</v>
      </c>
      <c r="AB179" s="251"/>
      <c r="AC179" s="256">
        <v>799</v>
      </c>
      <c r="AD179" s="254"/>
      <c r="AE179" s="255"/>
      <c r="AF179" s="255"/>
      <c r="AG179" s="255"/>
      <c r="AH179" s="255"/>
      <c r="AI179" s="257">
        <v>32</v>
      </c>
      <c r="AJ179" s="254"/>
      <c r="AK179" s="255"/>
      <c r="AL179" s="257"/>
      <c r="AM179" s="254"/>
      <c r="AN179" s="563"/>
    </row>
    <row r="180" spans="1:41" ht="12.75" customHeight="1">
      <c r="A180" s="239"/>
      <c r="B180" s="239" t="s">
        <v>55</v>
      </c>
      <c r="C180" s="572">
        <f>IF(V180&gt;0,(V180/V183),0)</f>
        <v>0.21029224904701399</v>
      </c>
      <c r="D180" s="572">
        <f t="shared" ref="D180:T180" si="69">IF(W180&gt;0,(W180/W183),0)</f>
        <v>0.26019690576652604</v>
      </c>
      <c r="E180" s="572">
        <f t="shared" si="69"/>
        <v>0</v>
      </c>
      <c r="F180" s="572">
        <f t="shared" si="69"/>
        <v>0.15544041450777202</v>
      </c>
      <c r="G180" s="572">
        <f t="shared" si="69"/>
        <v>0.29629629629629628</v>
      </c>
      <c r="H180" s="572">
        <f t="shared" si="69"/>
        <v>0.28244274809160308</v>
      </c>
      <c r="I180" s="572">
        <f t="shared" si="69"/>
        <v>0</v>
      </c>
      <c r="J180" s="573">
        <f t="shared" si="69"/>
        <v>0.22164948453608246</v>
      </c>
      <c r="K180" s="574">
        <f t="shared" si="69"/>
        <v>0</v>
      </c>
      <c r="L180" s="572">
        <f t="shared" si="69"/>
        <v>0</v>
      </c>
      <c r="M180" s="572">
        <f t="shared" si="69"/>
        <v>0</v>
      </c>
      <c r="N180" s="572">
        <f t="shared" si="69"/>
        <v>0</v>
      </c>
      <c r="O180" s="575">
        <f t="shared" si="69"/>
        <v>0</v>
      </c>
      <c r="P180" s="574">
        <f t="shared" si="69"/>
        <v>2.2524882137244632E-2</v>
      </c>
      <c r="Q180" s="572">
        <f t="shared" si="69"/>
        <v>0</v>
      </c>
      <c r="R180" s="572">
        <f t="shared" si="69"/>
        <v>0</v>
      </c>
      <c r="S180" s="575">
        <f t="shared" si="69"/>
        <v>0</v>
      </c>
      <c r="T180" s="574">
        <f t="shared" si="69"/>
        <v>0</v>
      </c>
      <c r="U180" s="253"/>
      <c r="V180" s="254">
        <v>331</v>
      </c>
      <c r="W180" s="255">
        <v>185</v>
      </c>
      <c r="X180" s="255"/>
      <c r="Y180" s="255">
        <v>60</v>
      </c>
      <c r="Z180" s="255">
        <v>32</v>
      </c>
      <c r="AA180" s="255">
        <v>37</v>
      </c>
      <c r="AB180" s="251"/>
      <c r="AC180" s="256">
        <v>645</v>
      </c>
      <c r="AD180" s="254"/>
      <c r="AE180" s="255"/>
      <c r="AF180" s="255"/>
      <c r="AG180" s="255"/>
      <c r="AH180" s="255"/>
      <c r="AI180" s="257">
        <v>43</v>
      </c>
      <c r="AJ180" s="254"/>
      <c r="AK180" s="255"/>
      <c r="AL180" s="257"/>
      <c r="AM180" s="254"/>
      <c r="AN180" s="563"/>
    </row>
    <row r="181" spans="1:41" ht="12.75" customHeight="1">
      <c r="A181" s="239"/>
      <c r="B181" s="239" t="s">
        <v>78</v>
      </c>
      <c r="C181" s="572">
        <f>IF(V181&gt;0,(V181/V183),0)</f>
        <v>0.20838627700127066</v>
      </c>
      <c r="D181" s="572">
        <f t="shared" ref="D181:T181" si="70">IF(W181&gt;0,(W181/W183),0)</f>
        <v>0.18424753867791843</v>
      </c>
      <c r="E181" s="572">
        <f t="shared" si="70"/>
        <v>0</v>
      </c>
      <c r="F181" s="572">
        <f t="shared" si="70"/>
        <v>0.15803108808290156</v>
      </c>
      <c r="G181" s="572">
        <f t="shared" si="70"/>
        <v>0.1111111111111111</v>
      </c>
      <c r="H181" s="572">
        <f t="shared" si="70"/>
        <v>0.12213740458015267</v>
      </c>
      <c r="I181" s="572">
        <f t="shared" si="70"/>
        <v>0</v>
      </c>
      <c r="J181" s="573">
        <f t="shared" si="70"/>
        <v>0.18831615120274914</v>
      </c>
      <c r="K181" s="574">
        <f t="shared" si="70"/>
        <v>0</v>
      </c>
      <c r="L181" s="572">
        <f t="shared" si="70"/>
        <v>0</v>
      </c>
      <c r="M181" s="572">
        <f t="shared" si="70"/>
        <v>0</v>
      </c>
      <c r="N181" s="572">
        <f t="shared" si="70"/>
        <v>0</v>
      </c>
      <c r="O181" s="575">
        <f t="shared" si="70"/>
        <v>0</v>
      </c>
      <c r="P181" s="574">
        <f t="shared" si="70"/>
        <v>0.82503928758512313</v>
      </c>
      <c r="Q181" s="572">
        <f t="shared" si="70"/>
        <v>0</v>
      </c>
      <c r="R181" s="572">
        <f t="shared" si="70"/>
        <v>0</v>
      </c>
      <c r="S181" s="575">
        <f t="shared" si="70"/>
        <v>0</v>
      </c>
      <c r="T181" s="574">
        <f t="shared" si="70"/>
        <v>0</v>
      </c>
      <c r="U181" s="253"/>
      <c r="V181" s="254">
        <v>328</v>
      </c>
      <c r="W181" s="255">
        <v>131</v>
      </c>
      <c r="X181" s="255"/>
      <c r="Y181" s="255">
        <v>61</v>
      </c>
      <c r="Z181" s="255">
        <v>12</v>
      </c>
      <c r="AA181" s="255">
        <v>16</v>
      </c>
      <c r="AB181" s="251"/>
      <c r="AC181" s="256">
        <v>548</v>
      </c>
      <c r="AD181" s="254"/>
      <c r="AE181" s="255"/>
      <c r="AF181" s="255"/>
      <c r="AG181" s="255"/>
      <c r="AH181" s="255"/>
      <c r="AI181" s="257">
        <v>1575</v>
      </c>
      <c r="AJ181" s="254"/>
      <c r="AK181" s="255"/>
      <c r="AL181" s="257"/>
      <c r="AM181" s="254"/>
      <c r="AN181" s="563"/>
    </row>
    <row r="182" spans="1:41" ht="12.75" customHeight="1">
      <c r="A182" s="580"/>
      <c r="B182" s="580" t="s">
        <v>131</v>
      </c>
      <c r="C182" s="581">
        <f>IF(V182&gt;0,(V182/V183),0)</f>
        <v>3.5578144853875476E-2</v>
      </c>
      <c r="D182" s="582">
        <f t="shared" ref="D182:T182" si="71">IF(W182&gt;0,(W182/W183),0)</f>
        <v>0</v>
      </c>
      <c r="E182" s="582">
        <f t="shared" si="71"/>
        <v>0</v>
      </c>
      <c r="F182" s="582">
        <f t="shared" si="71"/>
        <v>7.7720207253886009E-3</v>
      </c>
      <c r="G182" s="582">
        <f t="shared" si="71"/>
        <v>1.8518518518518517E-2</v>
      </c>
      <c r="H182" s="582">
        <f t="shared" si="71"/>
        <v>0</v>
      </c>
      <c r="I182" s="583">
        <f t="shared" si="71"/>
        <v>0</v>
      </c>
      <c r="J182" s="584">
        <f t="shared" si="71"/>
        <v>2.0962199312714775E-2</v>
      </c>
      <c r="K182" s="581">
        <f t="shared" si="71"/>
        <v>0</v>
      </c>
      <c r="L182" s="582">
        <f t="shared" si="71"/>
        <v>0</v>
      </c>
      <c r="M182" s="582">
        <f t="shared" si="71"/>
        <v>0</v>
      </c>
      <c r="N182" s="582">
        <f t="shared" si="71"/>
        <v>0</v>
      </c>
      <c r="O182" s="583">
        <f t="shared" si="71"/>
        <v>0</v>
      </c>
      <c r="P182" s="581">
        <f t="shared" si="71"/>
        <v>0.10529072812991094</v>
      </c>
      <c r="Q182" s="581">
        <f t="shared" si="71"/>
        <v>0</v>
      </c>
      <c r="R182" s="582">
        <f t="shared" si="71"/>
        <v>0</v>
      </c>
      <c r="S182" s="583">
        <f t="shared" si="71"/>
        <v>0</v>
      </c>
      <c r="T182" s="581">
        <f t="shared" si="71"/>
        <v>0</v>
      </c>
      <c r="U182" s="253"/>
      <c r="V182" s="254">
        <v>56</v>
      </c>
      <c r="W182" s="255"/>
      <c r="X182" s="255"/>
      <c r="Y182" s="255">
        <v>3</v>
      </c>
      <c r="Z182" s="255">
        <v>2</v>
      </c>
      <c r="AA182" s="255"/>
      <c r="AB182" s="582"/>
      <c r="AC182" s="256">
        <v>61</v>
      </c>
      <c r="AD182" s="254"/>
      <c r="AE182" s="255"/>
      <c r="AF182" s="255"/>
      <c r="AG182" s="255"/>
      <c r="AH182" s="255"/>
      <c r="AI182" s="257">
        <v>201</v>
      </c>
      <c r="AJ182" s="254"/>
      <c r="AK182" s="255"/>
      <c r="AL182" s="257"/>
      <c r="AM182" s="254"/>
    </row>
    <row r="183" spans="1:41" s="527" customFormat="1" ht="12.75" customHeight="1">
      <c r="A183" s="436"/>
      <c r="B183" s="436" t="s">
        <v>59</v>
      </c>
      <c r="C183" s="456">
        <f>SUM(C178:C182)</f>
        <v>1.0000000000000002</v>
      </c>
      <c r="D183" s="456">
        <f t="shared" ref="D183:T183" si="72">SUM(D178:D182)</f>
        <v>1</v>
      </c>
      <c r="E183" s="456">
        <f t="shared" si="72"/>
        <v>0</v>
      </c>
      <c r="F183" s="456">
        <f t="shared" si="72"/>
        <v>1</v>
      </c>
      <c r="G183" s="456">
        <f t="shared" si="72"/>
        <v>0.99999999999999989</v>
      </c>
      <c r="H183" s="456">
        <f t="shared" si="72"/>
        <v>1.0000000000000002</v>
      </c>
      <c r="I183" s="456">
        <f t="shared" si="72"/>
        <v>0</v>
      </c>
      <c r="J183" s="576">
        <f t="shared" si="72"/>
        <v>1</v>
      </c>
      <c r="K183" s="577">
        <f t="shared" si="72"/>
        <v>0</v>
      </c>
      <c r="L183" s="578">
        <f t="shared" si="72"/>
        <v>0</v>
      </c>
      <c r="M183" s="578">
        <f t="shared" si="72"/>
        <v>0</v>
      </c>
      <c r="N183" s="578">
        <f t="shared" si="72"/>
        <v>0</v>
      </c>
      <c r="O183" s="579">
        <f t="shared" si="72"/>
        <v>0</v>
      </c>
      <c r="P183" s="577">
        <f t="shared" si="72"/>
        <v>1</v>
      </c>
      <c r="Q183" s="578">
        <f t="shared" si="72"/>
        <v>0</v>
      </c>
      <c r="R183" s="578">
        <f t="shared" si="72"/>
        <v>0</v>
      </c>
      <c r="S183" s="579">
        <f t="shared" si="72"/>
        <v>0</v>
      </c>
      <c r="T183" s="577">
        <f t="shared" si="72"/>
        <v>0</v>
      </c>
      <c r="U183" s="264"/>
      <c r="V183" s="265">
        <v>1574</v>
      </c>
      <c r="W183" s="266">
        <v>711</v>
      </c>
      <c r="X183" s="266"/>
      <c r="Y183" s="266">
        <v>386</v>
      </c>
      <c r="Z183" s="266">
        <v>108</v>
      </c>
      <c r="AA183" s="266">
        <v>131</v>
      </c>
      <c r="AB183" s="262"/>
      <c r="AC183" s="267">
        <v>2910</v>
      </c>
      <c r="AD183" s="265"/>
      <c r="AE183" s="266"/>
      <c r="AF183" s="266"/>
      <c r="AG183" s="266"/>
      <c r="AH183" s="266"/>
      <c r="AI183" s="268">
        <v>1909</v>
      </c>
      <c r="AJ183" s="265"/>
      <c r="AK183" s="266"/>
      <c r="AL183" s="268"/>
      <c r="AM183" s="265"/>
      <c r="AN183" s="270"/>
      <c r="AO183" s="270"/>
    </row>
    <row r="184" spans="1:41" ht="12.75" customHeight="1">
      <c r="A184" s="240" t="s">
        <v>165</v>
      </c>
      <c r="B184" s="240" t="s">
        <v>53</v>
      </c>
      <c r="C184" s="568">
        <f>IF(V184&gt;0,(V184/V189),0)</f>
        <v>0.32556332556332557</v>
      </c>
      <c r="D184" s="568">
        <f t="shared" ref="D184:T184" si="73">IF(W184&gt;0,(W184/W189),0)</f>
        <v>0.29202279202279202</v>
      </c>
      <c r="E184" s="568">
        <f t="shared" si="73"/>
        <v>0</v>
      </c>
      <c r="F184" s="568">
        <f t="shared" si="73"/>
        <v>0.31556195965417866</v>
      </c>
      <c r="G184" s="568">
        <f t="shared" si="73"/>
        <v>0</v>
      </c>
      <c r="H184" s="568">
        <f t="shared" si="73"/>
        <v>0.19653179190751446</v>
      </c>
      <c r="I184" s="568">
        <f t="shared" si="73"/>
        <v>0</v>
      </c>
      <c r="J184" s="569">
        <f t="shared" si="73"/>
        <v>0.29512804497189254</v>
      </c>
      <c r="K184" s="570">
        <f t="shared" si="73"/>
        <v>0</v>
      </c>
      <c r="L184" s="568">
        <f t="shared" si="73"/>
        <v>0</v>
      </c>
      <c r="M184" s="568">
        <f t="shared" si="73"/>
        <v>0</v>
      </c>
      <c r="N184" s="568">
        <f t="shared" si="73"/>
        <v>0</v>
      </c>
      <c r="O184" s="571">
        <f t="shared" si="73"/>
        <v>0</v>
      </c>
      <c r="P184" s="570">
        <f t="shared" si="73"/>
        <v>0.12096774193548387</v>
      </c>
      <c r="Q184" s="568">
        <f t="shared" si="73"/>
        <v>0</v>
      </c>
      <c r="R184" s="568">
        <f t="shared" si="73"/>
        <v>0</v>
      </c>
      <c r="S184" s="571">
        <f t="shared" si="73"/>
        <v>0</v>
      </c>
      <c r="T184" s="570">
        <f t="shared" si="73"/>
        <v>0</v>
      </c>
      <c r="U184" s="253"/>
      <c r="V184" s="245">
        <v>419</v>
      </c>
      <c r="W184" s="246">
        <v>205</v>
      </c>
      <c r="X184" s="246"/>
      <c r="Y184" s="246">
        <v>219</v>
      </c>
      <c r="Z184" s="246"/>
      <c r="AA184" s="246">
        <v>102</v>
      </c>
      <c r="AB184" s="242"/>
      <c r="AC184" s="247">
        <v>945</v>
      </c>
      <c r="AD184" s="245"/>
      <c r="AE184" s="246"/>
      <c r="AF184" s="246"/>
      <c r="AG184" s="246"/>
      <c r="AH184" s="246"/>
      <c r="AI184" s="248">
        <v>90</v>
      </c>
      <c r="AJ184" s="245"/>
      <c r="AK184" s="246"/>
      <c r="AL184" s="248"/>
      <c r="AM184" s="245"/>
      <c r="AN184" s="563"/>
    </row>
    <row r="185" spans="1:41" ht="12.75" customHeight="1">
      <c r="A185" s="239"/>
      <c r="B185" s="239" t="s">
        <v>93</v>
      </c>
      <c r="C185" s="572">
        <f>IF(V185&gt;0,(V185/V189),0)</f>
        <v>0.21445221445221446</v>
      </c>
      <c r="D185" s="572">
        <f t="shared" ref="D185:T185" si="74">IF(W185&gt;0,(W185/W189),0)</f>
        <v>0.32051282051282054</v>
      </c>
      <c r="E185" s="572">
        <f t="shared" si="74"/>
        <v>0</v>
      </c>
      <c r="F185" s="572">
        <f t="shared" si="74"/>
        <v>0.25360230547550433</v>
      </c>
      <c r="G185" s="572">
        <f t="shared" si="74"/>
        <v>0</v>
      </c>
      <c r="H185" s="572">
        <f t="shared" si="74"/>
        <v>0.3603082851637765</v>
      </c>
      <c r="I185" s="572">
        <f t="shared" si="74"/>
        <v>0</v>
      </c>
      <c r="J185" s="573">
        <f t="shared" si="74"/>
        <v>0.26983135540287323</v>
      </c>
      <c r="K185" s="574">
        <f t="shared" si="74"/>
        <v>0</v>
      </c>
      <c r="L185" s="572">
        <f t="shared" si="74"/>
        <v>0</v>
      </c>
      <c r="M185" s="572">
        <f t="shared" si="74"/>
        <v>0</v>
      </c>
      <c r="N185" s="572">
        <f t="shared" si="74"/>
        <v>0</v>
      </c>
      <c r="O185" s="575">
        <f t="shared" si="74"/>
        <v>0</v>
      </c>
      <c r="P185" s="574">
        <f t="shared" si="74"/>
        <v>0.26478494623655913</v>
      </c>
      <c r="Q185" s="572">
        <f t="shared" si="74"/>
        <v>0</v>
      </c>
      <c r="R185" s="572">
        <f t="shared" si="74"/>
        <v>0</v>
      </c>
      <c r="S185" s="575">
        <f t="shared" si="74"/>
        <v>0</v>
      </c>
      <c r="T185" s="574">
        <f t="shared" si="74"/>
        <v>0</v>
      </c>
      <c r="U185" s="253"/>
      <c r="V185" s="254">
        <v>276</v>
      </c>
      <c r="W185" s="255">
        <v>225</v>
      </c>
      <c r="X185" s="255"/>
      <c r="Y185" s="255">
        <v>176</v>
      </c>
      <c r="Z185" s="255"/>
      <c r="AA185" s="255">
        <v>187</v>
      </c>
      <c r="AB185" s="251"/>
      <c r="AC185" s="256">
        <v>864</v>
      </c>
      <c r="AD185" s="254"/>
      <c r="AE185" s="255"/>
      <c r="AF185" s="255"/>
      <c r="AG185" s="255"/>
      <c r="AH185" s="255"/>
      <c r="AI185" s="257">
        <v>197</v>
      </c>
      <c r="AJ185" s="254"/>
      <c r="AK185" s="255"/>
      <c r="AL185" s="257"/>
      <c r="AM185" s="254"/>
      <c r="AN185" s="563"/>
    </row>
    <row r="186" spans="1:41" ht="12.75" customHeight="1">
      <c r="A186" s="239"/>
      <c r="B186" s="239" t="s">
        <v>55</v>
      </c>
      <c r="C186" s="572">
        <f>IF(V186&gt;0,(V186/V189),0)</f>
        <v>0.16938616938616938</v>
      </c>
      <c r="D186" s="572">
        <f t="shared" ref="D186:T186" si="75">IF(W186&gt;0,(W186/W189),0)</f>
        <v>0.24358974358974358</v>
      </c>
      <c r="E186" s="572">
        <f t="shared" si="75"/>
        <v>0</v>
      </c>
      <c r="F186" s="572">
        <f t="shared" si="75"/>
        <v>0.30547550432276654</v>
      </c>
      <c r="G186" s="572">
        <f t="shared" si="75"/>
        <v>0</v>
      </c>
      <c r="H186" s="572">
        <f t="shared" si="75"/>
        <v>0.27167630057803466</v>
      </c>
      <c r="I186" s="572">
        <f t="shared" si="75"/>
        <v>0</v>
      </c>
      <c r="J186" s="573">
        <f t="shared" si="75"/>
        <v>0.23173016864459714</v>
      </c>
      <c r="K186" s="574">
        <f t="shared" si="75"/>
        <v>0</v>
      </c>
      <c r="L186" s="572">
        <f t="shared" si="75"/>
        <v>0</v>
      </c>
      <c r="M186" s="572">
        <f t="shared" si="75"/>
        <v>0</v>
      </c>
      <c r="N186" s="572">
        <f t="shared" si="75"/>
        <v>0</v>
      </c>
      <c r="O186" s="575">
        <f t="shared" si="75"/>
        <v>0</v>
      </c>
      <c r="P186" s="574">
        <f t="shared" si="75"/>
        <v>0.2553763440860215</v>
      </c>
      <c r="Q186" s="572">
        <f t="shared" si="75"/>
        <v>0</v>
      </c>
      <c r="R186" s="572">
        <f t="shared" si="75"/>
        <v>0</v>
      </c>
      <c r="S186" s="575">
        <f t="shared" si="75"/>
        <v>0</v>
      </c>
      <c r="T186" s="574">
        <f t="shared" si="75"/>
        <v>0</v>
      </c>
      <c r="U186" s="253"/>
      <c r="V186" s="254">
        <v>218</v>
      </c>
      <c r="W186" s="255">
        <v>171</v>
      </c>
      <c r="X186" s="255"/>
      <c r="Y186" s="255">
        <v>212</v>
      </c>
      <c r="Z186" s="255"/>
      <c r="AA186" s="255">
        <v>141</v>
      </c>
      <c r="AB186" s="251"/>
      <c r="AC186" s="256">
        <v>742</v>
      </c>
      <c r="AD186" s="254"/>
      <c r="AE186" s="255"/>
      <c r="AF186" s="255"/>
      <c r="AG186" s="255"/>
      <c r="AH186" s="255"/>
      <c r="AI186" s="257">
        <v>190</v>
      </c>
      <c r="AJ186" s="254"/>
      <c r="AK186" s="255"/>
      <c r="AL186" s="257"/>
      <c r="AM186" s="254"/>
      <c r="AN186" s="563"/>
    </row>
    <row r="187" spans="1:41" ht="12.75" customHeight="1">
      <c r="A187" s="239"/>
      <c r="B187" s="239" t="s">
        <v>78</v>
      </c>
      <c r="C187" s="572">
        <f>IF(V187&gt;0,(V187/V189),0)</f>
        <v>1.554001554001554E-3</v>
      </c>
      <c r="D187" s="572">
        <f t="shared" ref="D187:T187" si="76">IF(W187&gt;0,(W187/W189),0)</f>
        <v>2.8490028490028491E-2</v>
      </c>
      <c r="E187" s="572">
        <f t="shared" si="76"/>
        <v>0</v>
      </c>
      <c r="F187" s="572">
        <f t="shared" si="76"/>
        <v>8.9337175792507204E-2</v>
      </c>
      <c r="G187" s="572">
        <f t="shared" si="76"/>
        <v>0</v>
      </c>
      <c r="H187" s="572">
        <f t="shared" si="76"/>
        <v>2.5048169556840076E-2</v>
      </c>
      <c r="I187" s="572">
        <f t="shared" si="76"/>
        <v>0</v>
      </c>
      <c r="J187" s="573">
        <f t="shared" si="76"/>
        <v>3.0293566520924423E-2</v>
      </c>
      <c r="K187" s="574">
        <f t="shared" si="76"/>
        <v>0</v>
      </c>
      <c r="L187" s="572">
        <f t="shared" si="76"/>
        <v>0</v>
      </c>
      <c r="M187" s="572">
        <f t="shared" si="76"/>
        <v>0</v>
      </c>
      <c r="N187" s="572">
        <f t="shared" si="76"/>
        <v>0</v>
      </c>
      <c r="O187" s="575">
        <f t="shared" si="76"/>
        <v>0</v>
      </c>
      <c r="P187" s="574">
        <f t="shared" si="76"/>
        <v>0.21370967741935484</v>
      </c>
      <c r="Q187" s="572">
        <f t="shared" si="76"/>
        <v>0</v>
      </c>
      <c r="R187" s="572">
        <f t="shared" si="76"/>
        <v>0</v>
      </c>
      <c r="S187" s="575">
        <f t="shared" si="76"/>
        <v>0</v>
      </c>
      <c r="T187" s="574">
        <f t="shared" si="76"/>
        <v>1</v>
      </c>
      <c r="U187" s="253"/>
      <c r="V187" s="254">
        <v>2</v>
      </c>
      <c r="W187" s="255">
        <v>20</v>
      </c>
      <c r="X187" s="255"/>
      <c r="Y187" s="255">
        <v>62</v>
      </c>
      <c r="Z187" s="255"/>
      <c r="AA187" s="255">
        <v>13</v>
      </c>
      <c r="AB187" s="251"/>
      <c r="AC187" s="256">
        <v>97</v>
      </c>
      <c r="AD187" s="254"/>
      <c r="AE187" s="255"/>
      <c r="AF187" s="255"/>
      <c r="AG187" s="255"/>
      <c r="AH187" s="255"/>
      <c r="AI187" s="257">
        <v>159</v>
      </c>
      <c r="AJ187" s="254"/>
      <c r="AK187" s="255"/>
      <c r="AL187" s="257"/>
      <c r="AM187" s="254">
        <v>80</v>
      </c>
      <c r="AN187" s="563"/>
    </row>
    <row r="188" spans="1:41" ht="12.75" customHeight="1">
      <c r="A188" s="580"/>
      <c r="B188" s="580" t="s">
        <v>131</v>
      </c>
      <c r="C188" s="581">
        <f>IF(V188&gt;0,(V188/V189),0)</f>
        <v>0.28904428904428903</v>
      </c>
      <c r="D188" s="582">
        <f t="shared" ref="D188:T188" si="77">IF(W188&gt;0,(W188/W189),0)</f>
        <v>0.11538461538461539</v>
      </c>
      <c r="E188" s="582">
        <f t="shared" si="77"/>
        <v>0</v>
      </c>
      <c r="F188" s="582">
        <f t="shared" si="77"/>
        <v>3.6023054755043228E-2</v>
      </c>
      <c r="G188" s="582">
        <f t="shared" si="77"/>
        <v>0</v>
      </c>
      <c r="H188" s="582">
        <f t="shared" si="77"/>
        <v>0.1464354527938343</v>
      </c>
      <c r="I188" s="583">
        <f t="shared" si="77"/>
        <v>0</v>
      </c>
      <c r="J188" s="584">
        <f t="shared" si="77"/>
        <v>0.17301686445971268</v>
      </c>
      <c r="K188" s="581">
        <f t="shared" si="77"/>
        <v>0</v>
      </c>
      <c r="L188" s="582">
        <f t="shared" si="77"/>
        <v>0</v>
      </c>
      <c r="M188" s="582">
        <f t="shared" si="77"/>
        <v>0</v>
      </c>
      <c r="N188" s="582">
        <f t="shared" si="77"/>
        <v>0</v>
      </c>
      <c r="O188" s="583">
        <f t="shared" si="77"/>
        <v>0</v>
      </c>
      <c r="P188" s="581">
        <f t="shared" si="77"/>
        <v>0.14516129032258066</v>
      </c>
      <c r="Q188" s="581">
        <f t="shared" si="77"/>
        <v>0</v>
      </c>
      <c r="R188" s="582">
        <f t="shared" si="77"/>
        <v>0</v>
      </c>
      <c r="S188" s="583">
        <f t="shared" si="77"/>
        <v>0</v>
      </c>
      <c r="T188" s="581">
        <f t="shared" si="77"/>
        <v>0</v>
      </c>
      <c r="U188" s="253"/>
      <c r="V188" s="254">
        <v>372</v>
      </c>
      <c r="W188" s="255">
        <v>81</v>
      </c>
      <c r="X188" s="255"/>
      <c r="Y188" s="255">
        <v>25</v>
      </c>
      <c r="Z188" s="255"/>
      <c r="AA188" s="255">
        <v>76</v>
      </c>
      <c r="AB188" s="582"/>
      <c r="AC188" s="256">
        <v>554</v>
      </c>
      <c r="AD188" s="254"/>
      <c r="AE188" s="255"/>
      <c r="AF188" s="255"/>
      <c r="AG188" s="255"/>
      <c r="AH188" s="255"/>
      <c r="AI188" s="257">
        <v>108</v>
      </c>
      <c r="AJ188" s="254"/>
      <c r="AK188" s="255"/>
      <c r="AL188" s="257"/>
      <c r="AM188" s="254"/>
    </row>
    <row r="189" spans="1:41" s="527" customFormat="1" ht="12.75" customHeight="1">
      <c r="A189" s="436"/>
      <c r="B189" s="436" t="s">
        <v>59</v>
      </c>
      <c r="C189" s="456">
        <f>SUM(C184:C188)</f>
        <v>0.99999999999999989</v>
      </c>
      <c r="D189" s="456">
        <f t="shared" ref="D189:T189" si="78">SUM(D184:D188)</f>
        <v>1</v>
      </c>
      <c r="E189" s="456">
        <f t="shared" si="78"/>
        <v>0</v>
      </c>
      <c r="F189" s="456">
        <f t="shared" si="78"/>
        <v>0.99999999999999989</v>
      </c>
      <c r="G189" s="456">
        <f t="shared" si="78"/>
        <v>0</v>
      </c>
      <c r="H189" s="456">
        <f t="shared" si="78"/>
        <v>1</v>
      </c>
      <c r="I189" s="456">
        <f t="shared" si="78"/>
        <v>0</v>
      </c>
      <c r="J189" s="576">
        <f t="shared" si="78"/>
        <v>1</v>
      </c>
      <c r="K189" s="577">
        <f t="shared" si="78"/>
        <v>0</v>
      </c>
      <c r="L189" s="578">
        <f t="shared" si="78"/>
        <v>0</v>
      </c>
      <c r="M189" s="578">
        <f t="shared" si="78"/>
        <v>0</v>
      </c>
      <c r="N189" s="578">
        <f t="shared" si="78"/>
        <v>0</v>
      </c>
      <c r="O189" s="579">
        <f t="shared" si="78"/>
        <v>0</v>
      </c>
      <c r="P189" s="577">
        <f t="shared" si="78"/>
        <v>1</v>
      </c>
      <c r="Q189" s="578">
        <f t="shared" si="78"/>
        <v>0</v>
      </c>
      <c r="R189" s="578">
        <f t="shared" si="78"/>
        <v>0</v>
      </c>
      <c r="S189" s="579">
        <f t="shared" si="78"/>
        <v>0</v>
      </c>
      <c r="T189" s="577">
        <f t="shared" si="78"/>
        <v>1</v>
      </c>
      <c r="U189" s="264"/>
      <c r="V189" s="265">
        <v>1287</v>
      </c>
      <c r="W189" s="266">
        <v>702</v>
      </c>
      <c r="X189" s="266"/>
      <c r="Y189" s="266">
        <v>694</v>
      </c>
      <c r="Z189" s="266"/>
      <c r="AA189" s="266">
        <v>519</v>
      </c>
      <c r="AB189" s="262"/>
      <c r="AC189" s="267">
        <v>3202</v>
      </c>
      <c r="AD189" s="265"/>
      <c r="AE189" s="266"/>
      <c r="AF189" s="266"/>
      <c r="AG189" s="266"/>
      <c r="AH189" s="266"/>
      <c r="AI189" s="268">
        <v>744</v>
      </c>
      <c r="AJ189" s="265"/>
      <c r="AK189" s="266"/>
      <c r="AL189" s="268"/>
      <c r="AM189" s="265">
        <v>80</v>
      </c>
      <c r="AN189" s="270"/>
      <c r="AO189" s="270"/>
    </row>
    <row r="190" spans="1:41" ht="12.75" customHeight="1">
      <c r="A190" s="240" t="s">
        <v>167</v>
      </c>
      <c r="B190" s="240" t="s">
        <v>53</v>
      </c>
      <c r="C190" s="568">
        <f t="shared" ref="C190:T190" si="79">IF(V190&gt;0,(V190/V195),0)</f>
        <v>0.36054866100587851</v>
      </c>
      <c r="D190" s="568">
        <f t="shared" si="79"/>
        <v>0</v>
      </c>
      <c r="E190" s="568">
        <f t="shared" si="79"/>
        <v>0.32492581602373888</v>
      </c>
      <c r="F190" s="568">
        <f t="shared" si="79"/>
        <v>0.21641791044776118</v>
      </c>
      <c r="G190" s="568">
        <f t="shared" si="79"/>
        <v>9.4276094276094277E-2</v>
      </c>
      <c r="H190" s="568">
        <f t="shared" si="79"/>
        <v>0</v>
      </c>
      <c r="I190" s="568">
        <f t="shared" si="79"/>
        <v>0</v>
      </c>
      <c r="J190" s="569">
        <f t="shared" si="79"/>
        <v>0.33030365626936581</v>
      </c>
      <c r="K190" s="570">
        <f t="shared" si="79"/>
        <v>0</v>
      </c>
      <c r="L190" s="568">
        <f t="shared" si="79"/>
        <v>0</v>
      </c>
      <c r="M190" s="568">
        <f t="shared" si="79"/>
        <v>0</v>
      </c>
      <c r="N190" s="568">
        <f t="shared" si="79"/>
        <v>0</v>
      </c>
      <c r="O190" s="571">
        <f t="shared" si="79"/>
        <v>0</v>
      </c>
      <c r="P190" s="570">
        <f t="shared" si="79"/>
        <v>3.3454545454545452E-2</v>
      </c>
      <c r="Q190" s="568">
        <f t="shared" si="79"/>
        <v>0</v>
      </c>
      <c r="R190" s="568">
        <f t="shared" si="79"/>
        <v>0</v>
      </c>
      <c r="S190" s="571">
        <f t="shared" si="79"/>
        <v>0</v>
      </c>
      <c r="T190" s="570">
        <f t="shared" si="79"/>
        <v>0</v>
      </c>
      <c r="U190" s="253"/>
      <c r="V190" s="245">
        <v>1104</v>
      </c>
      <c r="W190" s="246"/>
      <c r="X190" s="246">
        <v>438</v>
      </c>
      <c r="Y190" s="246">
        <v>29</v>
      </c>
      <c r="Z190" s="246">
        <v>28</v>
      </c>
      <c r="AA190" s="246"/>
      <c r="AB190" s="242"/>
      <c r="AC190" s="247">
        <v>1599</v>
      </c>
      <c r="AD190" s="245"/>
      <c r="AE190" s="246"/>
      <c r="AF190" s="246"/>
      <c r="AG190" s="246"/>
      <c r="AH190" s="246"/>
      <c r="AI190" s="248">
        <v>92</v>
      </c>
      <c r="AJ190" s="245"/>
      <c r="AK190" s="246"/>
      <c r="AL190" s="248"/>
      <c r="AM190" s="245"/>
      <c r="AN190" s="563"/>
    </row>
    <row r="191" spans="1:41" ht="12.75" customHeight="1">
      <c r="A191" s="239"/>
      <c r="B191" s="239" t="s">
        <v>93</v>
      </c>
      <c r="C191" s="572">
        <f t="shared" ref="C191:T191" si="80">IF(V191&gt;0,(V191/V195),0)</f>
        <v>0.24232527759634226</v>
      </c>
      <c r="D191" s="572">
        <f t="shared" si="80"/>
        <v>0</v>
      </c>
      <c r="E191" s="572">
        <f t="shared" si="80"/>
        <v>0.25816023738872401</v>
      </c>
      <c r="F191" s="572">
        <f t="shared" si="80"/>
        <v>0.30597014925373134</v>
      </c>
      <c r="G191" s="572">
        <f t="shared" si="80"/>
        <v>6.3973063973063973E-2</v>
      </c>
      <c r="H191" s="572">
        <f t="shared" si="80"/>
        <v>0</v>
      </c>
      <c r="I191" s="572">
        <f t="shared" si="80"/>
        <v>0</v>
      </c>
      <c r="J191" s="573">
        <f t="shared" si="80"/>
        <v>0.23755422433381532</v>
      </c>
      <c r="K191" s="574">
        <f t="shared" si="80"/>
        <v>0</v>
      </c>
      <c r="L191" s="572">
        <f t="shared" si="80"/>
        <v>0</v>
      </c>
      <c r="M191" s="572">
        <f t="shared" si="80"/>
        <v>0</v>
      </c>
      <c r="N191" s="572">
        <f t="shared" si="80"/>
        <v>0</v>
      </c>
      <c r="O191" s="575">
        <f t="shared" si="80"/>
        <v>0</v>
      </c>
      <c r="P191" s="574">
        <f t="shared" si="80"/>
        <v>0</v>
      </c>
      <c r="Q191" s="572">
        <f t="shared" si="80"/>
        <v>0</v>
      </c>
      <c r="R191" s="572">
        <f t="shared" si="80"/>
        <v>0</v>
      </c>
      <c r="S191" s="575">
        <f t="shared" si="80"/>
        <v>0</v>
      </c>
      <c r="T191" s="574">
        <f t="shared" si="80"/>
        <v>0</v>
      </c>
      <c r="U191" s="253"/>
      <c r="V191" s="254">
        <v>742</v>
      </c>
      <c r="W191" s="255"/>
      <c r="X191" s="255">
        <v>348</v>
      </c>
      <c r="Y191" s="255">
        <v>41</v>
      </c>
      <c r="Z191" s="255">
        <v>19</v>
      </c>
      <c r="AA191" s="255"/>
      <c r="AB191" s="251"/>
      <c r="AC191" s="256">
        <v>1150</v>
      </c>
      <c r="AD191" s="254"/>
      <c r="AE191" s="255"/>
      <c r="AF191" s="255"/>
      <c r="AG191" s="255"/>
      <c r="AH191" s="255"/>
      <c r="AI191" s="257"/>
      <c r="AJ191" s="254"/>
      <c r="AK191" s="255"/>
      <c r="AL191" s="257"/>
      <c r="AM191" s="254"/>
      <c r="AN191" s="563"/>
    </row>
    <row r="192" spans="1:41" ht="12.75" customHeight="1">
      <c r="A192" s="239"/>
      <c r="B192" s="239" t="s">
        <v>55</v>
      </c>
      <c r="C192" s="572">
        <f t="shared" ref="C192:T192" si="81">IF(V192&gt;0,(V192/V195),0)</f>
        <v>0.19431743958197256</v>
      </c>
      <c r="D192" s="572">
        <f t="shared" si="81"/>
        <v>0</v>
      </c>
      <c r="E192" s="572">
        <f t="shared" si="81"/>
        <v>0.23442136498516319</v>
      </c>
      <c r="F192" s="572">
        <f t="shared" si="81"/>
        <v>0.26865671641791045</v>
      </c>
      <c r="G192" s="572">
        <f t="shared" si="81"/>
        <v>0.13804713804713806</v>
      </c>
      <c r="H192" s="572">
        <f t="shared" si="81"/>
        <v>0</v>
      </c>
      <c r="I192" s="572">
        <f t="shared" si="81"/>
        <v>0</v>
      </c>
      <c r="J192" s="573">
        <f t="shared" si="81"/>
        <v>0.20409006403635613</v>
      </c>
      <c r="K192" s="574">
        <f t="shared" si="81"/>
        <v>0</v>
      </c>
      <c r="L192" s="572">
        <f t="shared" si="81"/>
        <v>0</v>
      </c>
      <c r="M192" s="572">
        <f t="shared" si="81"/>
        <v>0</v>
      </c>
      <c r="N192" s="572">
        <f t="shared" si="81"/>
        <v>0</v>
      </c>
      <c r="O192" s="575">
        <f t="shared" si="81"/>
        <v>0</v>
      </c>
      <c r="P192" s="574">
        <f t="shared" si="81"/>
        <v>0</v>
      </c>
      <c r="Q192" s="572">
        <f t="shared" si="81"/>
        <v>0</v>
      </c>
      <c r="R192" s="572">
        <f t="shared" si="81"/>
        <v>0</v>
      </c>
      <c r="S192" s="575">
        <f t="shared" si="81"/>
        <v>0</v>
      </c>
      <c r="T192" s="574">
        <f t="shared" si="81"/>
        <v>0</v>
      </c>
      <c r="U192" s="253"/>
      <c r="V192" s="254">
        <v>595</v>
      </c>
      <c r="W192" s="255"/>
      <c r="X192" s="255">
        <v>316</v>
      </c>
      <c r="Y192" s="255">
        <v>36</v>
      </c>
      <c r="Z192" s="255">
        <v>41</v>
      </c>
      <c r="AA192" s="255"/>
      <c r="AB192" s="251"/>
      <c r="AC192" s="256">
        <v>988</v>
      </c>
      <c r="AD192" s="254"/>
      <c r="AE192" s="255"/>
      <c r="AF192" s="255"/>
      <c r="AG192" s="255"/>
      <c r="AH192" s="255"/>
      <c r="AI192" s="257"/>
      <c r="AJ192" s="254"/>
      <c r="AK192" s="255"/>
      <c r="AL192" s="257"/>
      <c r="AM192" s="254"/>
      <c r="AN192" s="563"/>
    </row>
    <row r="193" spans="1:41" ht="12.75" customHeight="1">
      <c r="A193" s="239"/>
      <c r="B193" s="239" t="s">
        <v>78</v>
      </c>
      <c r="C193" s="572">
        <f t="shared" ref="C193:T193" si="82">IF(V193&gt;0,(V193/V195),0)</f>
        <v>6.0418027433050296E-2</v>
      </c>
      <c r="D193" s="572">
        <f t="shared" si="82"/>
        <v>0</v>
      </c>
      <c r="E193" s="572">
        <f t="shared" si="82"/>
        <v>3.4124629080118693E-2</v>
      </c>
      <c r="F193" s="572">
        <f t="shared" si="82"/>
        <v>0</v>
      </c>
      <c r="G193" s="572">
        <f t="shared" si="82"/>
        <v>6.7340067340067337E-3</v>
      </c>
      <c r="H193" s="572">
        <f t="shared" si="82"/>
        <v>0</v>
      </c>
      <c r="I193" s="572">
        <f t="shared" si="82"/>
        <v>0</v>
      </c>
      <c r="J193" s="573">
        <f t="shared" si="82"/>
        <v>4.8130551538938235E-2</v>
      </c>
      <c r="K193" s="574">
        <f t="shared" si="82"/>
        <v>0</v>
      </c>
      <c r="L193" s="572">
        <f t="shared" si="82"/>
        <v>0</v>
      </c>
      <c r="M193" s="572">
        <f t="shared" si="82"/>
        <v>0</v>
      </c>
      <c r="N193" s="572">
        <f t="shared" si="82"/>
        <v>0</v>
      </c>
      <c r="O193" s="575">
        <f t="shared" si="82"/>
        <v>0</v>
      </c>
      <c r="P193" s="574">
        <f t="shared" si="82"/>
        <v>5.3818181818181821E-2</v>
      </c>
      <c r="Q193" s="572">
        <f t="shared" si="82"/>
        <v>0</v>
      </c>
      <c r="R193" s="572">
        <f t="shared" si="82"/>
        <v>0</v>
      </c>
      <c r="S193" s="575">
        <f t="shared" si="82"/>
        <v>0</v>
      </c>
      <c r="T193" s="574">
        <f t="shared" si="82"/>
        <v>0.4</v>
      </c>
      <c r="U193" s="253"/>
      <c r="V193" s="254">
        <v>185</v>
      </c>
      <c r="W193" s="255"/>
      <c r="X193" s="255">
        <v>46</v>
      </c>
      <c r="Y193" s="255"/>
      <c r="Z193" s="255">
        <v>2</v>
      </c>
      <c r="AA193" s="255"/>
      <c r="AB193" s="251"/>
      <c r="AC193" s="256">
        <v>233</v>
      </c>
      <c r="AD193" s="254"/>
      <c r="AE193" s="255"/>
      <c r="AF193" s="255"/>
      <c r="AG193" s="255"/>
      <c r="AH193" s="255"/>
      <c r="AI193" s="257">
        <v>148</v>
      </c>
      <c r="AJ193" s="254"/>
      <c r="AK193" s="255"/>
      <c r="AL193" s="257"/>
      <c r="AM193" s="254">
        <v>326</v>
      </c>
      <c r="AN193" s="563"/>
    </row>
    <row r="194" spans="1:41" ht="12.75" customHeight="1">
      <c r="A194" s="580"/>
      <c r="B194" s="580" t="s">
        <v>131</v>
      </c>
      <c r="C194" s="581">
        <f t="shared" ref="C194:T194" si="83">IF(V194&gt;0,(V194/V195),0)</f>
        <v>0.14239059438275636</v>
      </c>
      <c r="D194" s="582">
        <f t="shared" si="83"/>
        <v>0</v>
      </c>
      <c r="E194" s="582">
        <f t="shared" si="83"/>
        <v>0.14836795252225518</v>
      </c>
      <c r="F194" s="582">
        <f t="shared" si="83"/>
        <v>0.20895522388059701</v>
      </c>
      <c r="G194" s="582">
        <f t="shared" si="83"/>
        <v>0.69696969696969702</v>
      </c>
      <c r="H194" s="582">
        <f t="shared" si="83"/>
        <v>0</v>
      </c>
      <c r="I194" s="583">
        <f t="shared" si="83"/>
        <v>0</v>
      </c>
      <c r="J194" s="584">
        <f t="shared" si="83"/>
        <v>0.17992150382152447</v>
      </c>
      <c r="K194" s="581">
        <f t="shared" si="83"/>
        <v>0</v>
      </c>
      <c r="L194" s="582">
        <f t="shared" si="83"/>
        <v>0</v>
      </c>
      <c r="M194" s="582">
        <f t="shared" si="83"/>
        <v>0</v>
      </c>
      <c r="N194" s="582">
        <f t="shared" si="83"/>
        <v>0</v>
      </c>
      <c r="O194" s="583">
        <f t="shared" si="83"/>
        <v>0</v>
      </c>
      <c r="P194" s="581">
        <f t="shared" si="83"/>
        <v>0.91272727272727272</v>
      </c>
      <c r="Q194" s="581">
        <f t="shared" si="83"/>
        <v>0</v>
      </c>
      <c r="R194" s="582">
        <f t="shared" si="83"/>
        <v>0</v>
      </c>
      <c r="S194" s="583">
        <f t="shared" si="83"/>
        <v>0</v>
      </c>
      <c r="T194" s="581">
        <f t="shared" si="83"/>
        <v>0.6</v>
      </c>
      <c r="U194" s="253"/>
      <c r="V194" s="254">
        <v>436</v>
      </c>
      <c r="W194" s="255"/>
      <c r="X194" s="255">
        <v>200</v>
      </c>
      <c r="Y194" s="255">
        <v>28</v>
      </c>
      <c r="Z194" s="255">
        <v>207</v>
      </c>
      <c r="AA194" s="255"/>
      <c r="AB194" s="582"/>
      <c r="AC194" s="256">
        <v>871</v>
      </c>
      <c r="AD194" s="254"/>
      <c r="AE194" s="255"/>
      <c r="AF194" s="255"/>
      <c r="AG194" s="255"/>
      <c r="AH194" s="255"/>
      <c r="AI194" s="257">
        <v>2510</v>
      </c>
      <c r="AJ194" s="254"/>
      <c r="AK194" s="255"/>
      <c r="AL194" s="257"/>
      <c r="AM194" s="254">
        <v>489</v>
      </c>
    </row>
    <row r="195" spans="1:41" s="527" customFormat="1" ht="12.75" customHeight="1">
      <c r="A195" s="436"/>
      <c r="B195" s="436" t="s">
        <v>59</v>
      </c>
      <c r="C195" s="456">
        <f>SUM(C190:C194)</f>
        <v>1</v>
      </c>
      <c r="D195" s="456">
        <f t="shared" ref="D195:T195" si="84">SUM(D190:D194)</f>
        <v>0</v>
      </c>
      <c r="E195" s="456">
        <f t="shared" si="84"/>
        <v>1</v>
      </c>
      <c r="F195" s="456">
        <f t="shared" si="84"/>
        <v>1</v>
      </c>
      <c r="G195" s="456">
        <f t="shared" si="84"/>
        <v>1</v>
      </c>
      <c r="H195" s="456">
        <f t="shared" si="84"/>
        <v>0</v>
      </c>
      <c r="I195" s="456">
        <f t="shared" si="84"/>
        <v>0</v>
      </c>
      <c r="J195" s="576">
        <f t="shared" si="84"/>
        <v>0.99999999999999989</v>
      </c>
      <c r="K195" s="577">
        <f t="shared" si="84"/>
        <v>0</v>
      </c>
      <c r="L195" s="578">
        <f t="shared" si="84"/>
        <v>0</v>
      </c>
      <c r="M195" s="578">
        <f t="shared" si="84"/>
        <v>0</v>
      </c>
      <c r="N195" s="578">
        <f t="shared" si="84"/>
        <v>0</v>
      </c>
      <c r="O195" s="579">
        <f t="shared" si="84"/>
        <v>0</v>
      </c>
      <c r="P195" s="577">
        <f t="shared" si="84"/>
        <v>1</v>
      </c>
      <c r="Q195" s="578">
        <f t="shared" si="84"/>
        <v>0</v>
      </c>
      <c r="R195" s="578">
        <f t="shared" si="84"/>
        <v>0</v>
      </c>
      <c r="S195" s="579">
        <f t="shared" si="84"/>
        <v>0</v>
      </c>
      <c r="T195" s="577">
        <f t="shared" si="84"/>
        <v>1</v>
      </c>
      <c r="U195" s="264"/>
      <c r="V195" s="265">
        <v>3062</v>
      </c>
      <c r="W195" s="266"/>
      <c r="X195" s="266">
        <v>1348</v>
      </c>
      <c r="Y195" s="266">
        <v>134</v>
      </c>
      <c r="Z195" s="266">
        <v>297</v>
      </c>
      <c r="AA195" s="266"/>
      <c r="AB195" s="262"/>
      <c r="AC195" s="267">
        <v>4841</v>
      </c>
      <c r="AD195" s="265"/>
      <c r="AE195" s="266"/>
      <c r="AF195" s="266"/>
      <c r="AG195" s="266"/>
      <c r="AH195" s="266"/>
      <c r="AI195" s="268">
        <v>2750</v>
      </c>
      <c r="AJ195" s="265"/>
      <c r="AK195" s="266"/>
      <c r="AL195" s="268"/>
      <c r="AM195" s="265">
        <v>815</v>
      </c>
      <c r="AN195" s="270"/>
      <c r="AO195" s="270"/>
    </row>
    <row r="196" spans="1:41" ht="12.75" customHeight="1">
      <c r="A196" s="240" t="s">
        <v>169</v>
      </c>
      <c r="B196" s="240" t="s">
        <v>53</v>
      </c>
      <c r="C196" s="568">
        <f>IF(V196&gt;0,(V196/V201),0)</f>
        <v>0</v>
      </c>
      <c r="D196" s="568">
        <f t="shared" ref="D196:T196" si="85">IF(W196&gt;0,(W196/W201),0)</f>
        <v>0.29324324324324325</v>
      </c>
      <c r="E196" s="568">
        <f t="shared" si="85"/>
        <v>0</v>
      </c>
      <c r="F196" s="568">
        <f t="shared" si="85"/>
        <v>0</v>
      </c>
      <c r="G196" s="568">
        <f t="shared" si="85"/>
        <v>0</v>
      </c>
      <c r="H196" s="568">
        <f t="shared" si="85"/>
        <v>0</v>
      </c>
      <c r="I196" s="568">
        <f t="shared" si="85"/>
        <v>0</v>
      </c>
      <c r="J196" s="569">
        <f t="shared" si="85"/>
        <v>0.29324324324324325</v>
      </c>
      <c r="K196" s="570">
        <f t="shared" si="85"/>
        <v>0</v>
      </c>
      <c r="L196" s="568">
        <f t="shared" si="85"/>
        <v>0</v>
      </c>
      <c r="M196" s="568">
        <f t="shared" si="85"/>
        <v>0</v>
      </c>
      <c r="N196" s="568">
        <f t="shared" si="85"/>
        <v>0</v>
      </c>
      <c r="O196" s="571">
        <f t="shared" si="85"/>
        <v>0</v>
      </c>
      <c r="P196" s="570">
        <f t="shared" si="85"/>
        <v>5.2100840336134456E-2</v>
      </c>
      <c r="Q196" s="568">
        <f t="shared" si="85"/>
        <v>0</v>
      </c>
      <c r="R196" s="568">
        <f t="shared" si="85"/>
        <v>0</v>
      </c>
      <c r="S196" s="571">
        <f t="shared" si="85"/>
        <v>0</v>
      </c>
      <c r="T196" s="570">
        <f t="shared" si="85"/>
        <v>0</v>
      </c>
      <c r="U196" s="253"/>
      <c r="V196" s="245"/>
      <c r="W196" s="246">
        <v>217</v>
      </c>
      <c r="X196" s="246"/>
      <c r="Y196" s="246"/>
      <c r="Z196" s="246"/>
      <c r="AA196" s="246"/>
      <c r="AB196" s="242"/>
      <c r="AC196" s="247">
        <v>217</v>
      </c>
      <c r="AD196" s="245"/>
      <c r="AE196" s="246"/>
      <c r="AF196" s="246"/>
      <c r="AG196" s="246"/>
      <c r="AH196" s="246"/>
      <c r="AI196" s="248">
        <v>31</v>
      </c>
      <c r="AJ196" s="245"/>
      <c r="AK196" s="246"/>
      <c r="AL196" s="248"/>
      <c r="AM196" s="245"/>
      <c r="AN196" s="563"/>
    </row>
    <row r="197" spans="1:41" ht="12.75" customHeight="1">
      <c r="A197" s="239"/>
      <c r="B197" s="239" t="s">
        <v>93</v>
      </c>
      <c r="C197" s="572">
        <f>IF(V197&gt;0,(V197/V201),0)</f>
        <v>0</v>
      </c>
      <c r="D197" s="572">
        <f t="shared" ref="D197:T197" si="86">IF(W197&gt;0,(W197/W201),0)</f>
        <v>0.27297297297297296</v>
      </c>
      <c r="E197" s="572">
        <f t="shared" si="86"/>
        <v>0</v>
      </c>
      <c r="F197" s="572">
        <f t="shared" si="86"/>
        <v>0</v>
      </c>
      <c r="G197" s="572">
        <f t="shared" si="86"/>
        <v>0</v>
      </c>
      <c r="H197" s="572">
        <f t="shared" si="86"/>
        <v>0</v>
      </c>
      <c r="I197" s="572">
        <f t="shared" si="86"/>
        <v>0</v>
      </c>
      <c r="J197" s="573">
        <f t="shared" si="86"/>
        <v>0.27297297297297296</v>
      </c>
      <c r="K197" s="574">
        <f t="shared" si="86"/>
        <v>0</v>
      </c>
      <c r="L197" s="572">
        <f t="shared" si="86"/>
        <v>0</v>
      </c>
      <c r="M197" s="572">
        <f t="shared" si="86"/>
        <v>0</v>
      </c>
      <c r="N197" s="572">
        <f t="shared" si="86"/>
        <v>0</v>
      </c>
      <c r="O197" s="575">
        <f t="shared" si="86"/>
        <v>0</v>
      </c>
      <c r="P197" s="574">
        <f t="shared" si="86"/>
        <v>8.067226890756303E-2</v>
      </c>
      <c r="Q197" s="572">
        <f t="shared" si="86"/>
        <v>0</v>
      </c>
      <c r="R197" s="572">
        <f t="shared" si="86"/>
        <v>0</v>
      </c>
      <c r="S197" s="575">
        <f t="shared" si="86"/>
        <v>0</v>
      </c>
      <c r="T197" s="574">
        <f t="shared" si="86"/>
        <v>0</v>
      </c>
      <c r="U197" s="253"/>
      <c r="V197" s="254"/>
      <c r="W197" s="255">
        <v>202</v>
      </c>
      <c r="X197" s="255"/>
      <c r="Y197" s="255"/>
      <c r="Z197" s="255"/>
      <c r="AA197" s="255"/>
      <c r="AB197" s="251"/>
      <c r="AC197" s="256">
        <v>202</v>
      </c>
      <c r="AD197" s="254"/>
      <c r="AE197" s="255"/>
      <c r="AF197" s="255"/>
      <c r="AG197" s="255"/>
      <c r="AH197" s="255"/>
      <c r="AI197" s="257">
        <v>48</v>
      </c>
      <c r="AJ197" s="254"/>
      <c r="AK197" s="255"/>
      <c r="AL197" s="257"/>
      <c r="AM197" s="254"/>
      <c r="AN197" s="563"/>
    </row>
    <row r="198" spans="1:41" ht="12.75" customHeight="1">
      <c r="A198" s="239"/>
      <c r="B198" s="239" t="s">
        <v>55</v>
      </c>
      <c r="C198" s="572">
        <f>IF(V198&gt;0,(V198/V201),0)</f>
        <v>0</v>
      </c>
      <c r="D198" s="572">
        <f t="shared" ref="D198:T198" si="87">IF(W198&gt;0,(W198/W201),0)</f>
        <v>0.23513513513513515</v>
      </c>
      <c r="E198" s="572">
        <f t="shared" si="87"/>
        <v>0</v>
      </c>
      <c r="F198" s="572">
        <f t="shared" si="87"/>
        <v>0</v>
      </c>
      <c r="G198" s="572">
        <f t="shared" si="87"/>
        <v>0</v>
      </c>
      <c r="H198" s="572">
        <f t="shared" si="87"/>
        <v>0</v>
      </c>
      <c r="I198" s="572">
        <f t="shared" si="87"/>
        <v>0</v>
      </c>
      <c r="J198" s="573">
        <f t="shared" si="87"/>
        <v>0.23513513513513515</v>
      </c>
      <c r="K198" s="574">
        <f t="shared" si="87"/>
        <v>0</v>
      </c>
      <c r="L198" s="572">
        <f t="shared" si="87"/>
        <v>0</v>
      </c>
      <c r="M198" s="572">
        <f t="shared" si="87"/>
        <v>0</v>
      </c>
      <c r="N198" s="572">
        <f t="shared" si="87"/>
        <v>0</v>
      </c>
      <c r="O198" s="575">
        <f t="shared" si="87"/>
        <v>0</v>
      </c>
      <c r="P198" s="574">
        <f t="shared" si="87"/>
        <v>0.10084033613445378</v>
      </c>
      <c r="Q198" s="572">
        <f t="shared" si="87"/>
        <v>0</v>
      </c>
      <c r="R198" s="572">
        <f t="shared" si="87"/>
        <v>0</v>
      </c>
      <c r="S198" s="575">
        <f t="shared" si="87"/>
        <v>0</v>
      </c>
      <c r="T198" s="574">
        <f t="shared" si="87"/>
        <v>0</v>
      </c>
      <c r="U198" s="253"/>
      <c r="V198" s="254"/>
      <c r="W198" s="255">
        <v>174</v>
      </c>
      <c r="X198" s="255"/>
      <c r="Y198" s="255"/>
      <c r="Z198" s="255"/>
      <c r="AA198" s="255"/>
      <c r="AB198" s="251"/>
      <c r="AC198" s="256">
        <v>174</v>
      </c>
      <c r="AD198" s="254"/>
      <c r="AE198" s="255"/>
      <c r="AF198" s="255"/>
      <c r="AG198" s="255"/>
      <c r="AH198" s="255"/>
      <c r="AI198" s="257">
        <v>60</v>
      </c>
      <c r="AJ198" s="254"/>
      <c r="AK198" s="255"/>
      <c r="AL198" s="257"/>
      <c r="AM198" s="254"/>
      <c r="AN198" s="563"/>
    </row>
    <row r="199" spans="1:41" ht="12.75" customHeight="1">
      <c r="A199" s="239"/>
      <c r="B199" s="239" t="s">
        <v>78</v>
      </c>
      <c r="C199" s="572">
        <f>IF(V199&gt;0,(V199/V201),0)</f>
        <v>0</v>
      </c>
      <c r="D199" s="572">
        <f t="shared" ref="D199:T199" si="88">IF(W199&gt;0,(W199/W201),0)</f>
        <v>2.7027027027027029E-3</v>
      </c>
      <c r="E199" s="572">
        <f t="shared" si="88"/>
        <v>0</v>
      </c>
      <c r="F199" s="572">
        <f t="shared" si="88"/>
        <v>0</v>
      </c>
      <c r="G199" s="572">
        <f t="shared" si="88"/>
        <v>0</v>
      </c>
      <c r="H199" s="572">
        <f t="shared" si="88"/>
        <v>0</v>
      </c>
      <c r="I199" s="572">
        <f t="shared" si="88"/>
        <v>0</v>
      </c>
      <c r="J199" s="573">
        <f t="shared" si="88"/>
        <v>2.7027027027027029E-3</v>
      </c>
      <c r="K199" s="574">
        <f t="shared" si="88"/>
        <v>0</v>
      </c>
      <c r="L199" s="572">
        <f t="shared" si="88"/>
        <v>0</v>
      </c>
      <c r="M199" s="572">
        <f t="shared" si="88"/>
        <v>0</v>
      </c>
      <c r="N199" s="572">
        <f t="shared" si="88"/>
        <v>0</v>
      </c>
      <c r="O199" s="575">
        <f t="shared" si="88"/>
        <v>0</v>
      </c>
      <c r="P199" s="574">
        <f t="shared" si="88"/>
        <v>0.18487394957983194</v>
      </c>
      <c r="Q199" s="572">
        <f t="shared" si="88"/>
        <v>0</v>
      </c>
      <c r="R199" s="572">
        <f t="shared" si="88"/>
        <v>0</v>
      </c>
      <c r="S199" s="575">
        <f t="shared" si="88"/>
        <v>0</v>
      </c>
      <c r="T199" s="574">
        <f t="shared" si="88"/>
        <v>0</v>
      </c>
      <c r="U199" s="253"/>
      <c r="V199" s="254"/>
      <c r="W199" s="255">
        <v>2</v>
      </c>
      <c r="X199" s="255"/>
      <c r="Y199" s="255"/>
      <c r="Z199" s="255"/>
      <c r="AA199" s="255"/>
      <c r="AB199" s="251"/>
      <c r="AC199" s="256">
        <v>2</v>
      </c>
      <c r="AD199" s="254"/>
      <c r="AE199" s="255"/>
      <c r="AF199" s="255"/>
      <c r="AG199" s="255"/>
      <c r="AH199" s="255"/>
      <c r="AI199" s="257">
        <v>110</v>
      </c>
      <c r="AJ199" s="254"/>
      <c r="AK199" s="255"/>
      <c r="AL199" s="257"/>
      <c r="AM199" s="254"/>
      <c r="AN199" s="563"/>
    </row>
    <row r="200" spans="1:41" ht="12.75" customHeight="1">
      <c r="A200" s="580"/>
      <c r="B200" s="580" t="s">
        <v>131</v>
      </c>
      <c r="C200" s="581">
        <f>IF(V200&gt;0,(V200/V201),0)</f>
        <v>0</v>
      </c>
      <c r="D200" s="582">
        <f t="shared" ref="D200:T200" si="89">IF(W200&gt;0,(W200/W201),0)</f>
        <v>0.19594594594594594</v>
      </c>
      <c r="E200" s="582">
        <f t="shared" si="89"/>
        <v>0</v>
      </c>
      <c r="F200" s="582">
        <f t="shared" si="89"/>
        <v>0</v>
      </c>
      <c r="G200" s="582">
        <f t="shared" si="89"/>
        <v>0</v>
      </c>
      <c r="H200" s="582">
        <f t="shared" si="89"/>
        <v>0</v>
      </c>
      <c r="I200" s="583">
        <f t="shared" si="89"/>
        <v>0</v>
      </c>
      <c r="J200" s="584">
        <f t="shared" si="89"/>
        <v>0.19594594594594594</v>
      </c>
      <c r="K200" s="581">
        <f t="shared" si="89"/>
        <v>0</v>
      </c>
      <c r="L200" s="582">
        <f t="shared" si="89"/>
        <v>0</v>
      </c>
      <c r="M200" s="582">
        <f t="shared" si="89"/>
        <v>0</v>
      </c>
      <c r="N200" s="582">
        <f t="shared" si="89"/>
        <v>0</v>
      </c>
      <c r="O200" s="583">
        <f t="shared" si="89"/>
        <v>0</v>
      </c>
      <c r="P200" s="581">
        <f t="shared" si="89"/>
        <v>0.58151260504201685</v>
      </c>
      <c r="Q200" s="581">
        <f t="shared" si="89"/>
        <v>0</v>
      </c>
      <c r="R200" s="582">
        <f t="shared" si="89"/>
        <v>0</v>
      </c>
      <c r="S200" s="583">
        <f t="shared" si="89"/>
        <v>0</v>
      </c>
      <c r="T200" s="581">
        <f t="shared" si="89"/>
        <v>0</v>
      </c>
      <c r="U200" s="253"/>
      <c r="V200" s="254"/>
      <c r="W200" s="255">
        <v>145</v>
      </c>
      <c r="X200" s="255"/>
      <c r="Y200" s="255"/>
      <c r="Z200" s="255"/>
      <c r="AA200" s="255"/>
      <c r="AB200" s="582"/>
      <c r="AC200" s="256">
        <v>145</v>
      </c>
      <c r="AD200" s="254"/>
      <c r="AE200" s="255"/>
      <c r="AF200" s="255"/>
      <c r="AG200" s="255"/>
      <c r="AH200" s="255"/>
      <c r="AI200" s="257">
        <v>346</v>
      </c>
      <c r="AJ200" s="254"/>
      <c r="AK200" s="255"/>
      <c r="AL200" s="257"/>
      <c r="AM200" s="254"/>
    </row>
    <row r="201" spans="1:41" s="527" customFormat="1" ht="12.75" customHeight="1">
      <c r="A201" s="436"/>
      <c r="B201" s="436" t="s">
        <v>59</v>
      </c>
      <c r="C201" s="456">
        <f>SUM(C196:C200)</f>
        <v>0</v>
      </c>
      <c r="D201" s="456">
        <f t="shared" ref="D201:T201" si="90">SUM(D196:D200)</f>
        <v>1</v>
      </c>
      <c r="E201" s="456">
        <f t="shared" si="90"/>
        <v>0</v>
      </c>
      <c r="F201" s="456">
        <f t="shared" si="90"/>
        <v>0</v>
      </c>
      <c r="G201" s="456">
        <f t="shared" si="90"/>
        <v>0</v>
      </c>
      <c r="H201" s="456">
        <f t="shared" si="90"/>
        <v>0</v>
      </c>
      <c r="I201" s="456">
        <f t="shared" si="90"/>
        <v>0</v>
      </c>
      <c r="J201" s="576">
        <f t="shared" si="90"/>
        <v>1</v>
      </c>
      <c r="K201" s="577">
        <f t="shared" si="90"/>
        <v>0</v>
      </c>
      <c r="L201" s="578">
        <f t="shared" si="90"/>
        <v>0</v>
      </c>
      <c r="M201" s="578">
        <f t="shared" si="90"/>
        <v>0</v>
      </c>
      <c r="N201" s="578">
        <f t="shared" si="90"/>
        <v>0</v>
      </c>
      <c r="O201" s="579">
        <f t="shared" si="90"/>
        <v>0</v>
      </c>
      <c r="P201" s="577">
        <f t="shared" si="90"/>
        <v>1</v>
      </c>
      <c r="Q201" s="578">
        <f t="shared" si="90"/>
        <v>0</v>
      </c>
      <c r="R201" s="578">
        <f t="shared" si="90"/>
        <v>0</v>
      </c>
      <c r="S201" s="579">
        <f t="shared" si="90"/>
        <v>0</v>
      </c>
      <c r="T201" s="577">
        <f t="shared" si="90"/>
        <v>0</v>
      </c>
      <c r="U201" s="264"/>
      <c r="V201" s="265"/>
      <c r="W201" s="266">
        <v>740</v>
      </c>
      <c r="X201" s="266"/>
      <c r="Y201" s="266"/>
      <c r="Z201" s="266"/>
      <c r="AA201" s="266"/>
      <c r="AB201" s="262"/>
      <c r="AC201" s="267">
        <v>740</v>
      </c>
      <c r="AD201" s="265"/>
      <c r="AE201" s="266"/>
      <c r="AF201" s="266"/>
      <c r="AG201" s="266"/>
      <c r="AH201" s="266"/>
      <c r="AI201" s="268">
        <v>595</v>
      </c>
      <c r="AJ201" s="265"/>
      <c r="AK201" s="266"/>
      <c r="AL201" s="268"/>
      <c r="AM201" s="265"/>
      <c r="AN201" s="270"/>
      <c r="AO201" s="270"/>
    </row>
    <row r="202" spans="1:41" ht="12.75" customHeight="1">
      <c r="A202" s="240" t="s">
        <v>172</v>
      </c>
      <c r="B202" s="240" t="s">
        <v>53</v>
      </c>
      <c r="C202" s="568">
        <f>IF(V202&gt;0,(V202/V207),0)</f>
        <v>0.34574800107005915</v>
      </c>
      <c r="D202" s="568">
        <f t="shared" ref="D202:T202" si="91">IF(W202&gt;0,(W202/W207),0)</f>
        <v>0.25042436345481778</v>
      </c>
      <c r="E202" s="568">
        <f t="shared" si="91"/>
        <v>0.28701218253148875</v>
      </c>
      <c r="F202" s="568">
        <f t="shared" si="91"/>
        <v>0.29495128432240919</v>
      </c>
      <c r="G202" s="568">
        <f t="shared" si="91"/>
        <v>0.28001968503937008</v>
      </c>
      <c r="H202" s="568">
        <f t="shared" si="91"/>
        <v>0.1991842284160435</v>
      </c>
      <c r="I202" s="568">
        <f t="shared" si="91"/>
        <v>0</v>
      </c>
      <c r="J202" s="569">
        <f t="shared" si="91"/>
        <v>0.309213601308717</v>
      </c>
      <c r="K202" s="570">
        <f t="shared" si="91"/>
        <v>0</v>
      </c>
      <c r="L202" s="568">
        <f t="shared" si="91"/>
        <v>0</v>
      </c>
      <c r="M202" s="568">
        <f t="shared" si="91"/>
        <v>0</v>
      </c>
      <c r="N202" s="568">
        <f t="shared" si="91"/>
        <v>0</v>
      </c>
      <c r="O202" s="571">
        <f t="shared" si="91"/>
        <v>0</v>
      </c>
      <c r="P202" s="570">
        <f t="shared" si="91"/>
        <v>0.13868808567603749</v>
      </c>
      <c r="Q202" s="568">
        <f t="shared" si="91"/>
        <v>0</v>
      </c>
      <c r="R202" s="568">
        <f t="shared" si="91"/>
        <v>0</v>
      </c>
      <c r="S202" s="571">
        <f t="shared" si="91"/>
        <v>0</v>
      </c>
      <c r="T202" s="570">
        <f t="shared" si="91"/>
        <v>0</v>
      </c>
      <c r="U202" s="244"/>
      <c r="V202" s="590">
        <f t="shared" ref="V202:V207" si="92">+V208+V214+V220+V226+V232+V238+V244+V250+V256+V262+V268+V274</f>
        <v>11632</v>
      </c>
      <c r="W202" s="591">
        <f t="shared" ref="W202:AM207" si="93">+W208+W214+W220+W226+W232+W238+W244+W250+W256+W262+W268+W274</f>
        <v>2508</v>
      </c>
      <c r="X202" s="591">
        <f t="shared" si="93"/>
        <v>4170</v>
      </c>
      <c r="Y202" s="591">
        <f t="shared" si="93"/>
        <v>1998</v>
      </c>
      <c r="Z202" s="591">
        <f t="shared" si="93"/>
        <v>569</v>
      </c>
      <c r="AA202" s="591">
        <f t="shared" si="93"/>
        <v>293</v>
      </c>
      <c r="AB202" s="591">
        <f t="shared" si="93"/>
        <v>0</v>
      </c>
      <c r="AC202" s="592">
        <f t="shared" si="93"/>
        <v>21170</v>
      </c>
      <c r="AD202" s="590">
        <f t="shared" si="93"/>
        <v>0</v>
      </c>
      <c r="AE202" s="591">
        <f t="shared" si="93"/>
        <v>0</v>
      </c>
      <c r="AF202" s="591">
        <f t="shared" si="93"/>
        <v>0</v>
      </c>
      <c r="AG202" s="591">
        <f t="shared" si="93"/>
        <v>0</v>
      </c>
      <c r="AH202" s="593">
        <f t="shared" si="93"/>
        <v>0</v>
      </c>
      <c r="AI202" s="593">
        <f t="shared" si="93"/>
        <v>3626</v>
      </c>
      <c r="AJ202" s="590">
        <f t="shared" si="93"/>
        <v>0</v>
      </c>
      <c r="AK202" s="591">
        <f t="shared" si="93"/>
        <v>0</v>
      </c>
      <c r="AL202" s="593">
        <f t="shared" si="93"/>
        <v>0</v>
      </c>
      <c r="AM202" s="590">
        <f t="shared" si="93"/>
        <v>0</v>
      </c>
    </row>
    <row r="203" spans="1:41" ht="12.75" customHeight="1">
      <c r="A203" s="239"/>
      <c r="B203" s="239" t="s">
        <v>93</v>
      </c>
      <c r="C203" s="572">
        <f>IF(V203&gt;0,(V203/V207),0)</f>
        <v>0.27152750943732723</v>
      </c>
      <c r="D203" s="572">
        <f t="shared" ref="D203:T203" si="94">IF(W203&gt;0,(W203/W207),0)</f>
        <v>0.30344483275087369</v>
      </c>
      <c r="E203" s="572">
        <f t="shared" si="94"/>
        <v>0.26560671759928417</v>
      </c>
      <c r="F203" s="572">
        <f t="shared" si="94"/>
        <v>0.25450250959551224</v>
      </c>
      <c r="G203" s="572">
        <f t="shared" si="94"/>
        <v>0.265255905511811</v>
      </c>
      <c r="H203" s="572">
        <f t="shared" si="94"/>
        <v>0.2732834806254249</v>
      </c>
      <c r="I203" s="572">
        <f t="shared" si="94"/>
        <v>0</v>
      </c>
      <c r="J203" s="573">
        <f t="shared" si="94"/>
        <v>0.273107034353821</v>
      </c>
      <c r="K203" s="574">
        <f t="shared" si="94"/>
        <v>0</v>
      </c>
      <c r="L203" s="572">
        <f t="shared" si="94"/>
        <v>0</v>
      </c>
      <c r="M203" s="572">
        <f t="shared" si="94"/>
        <v>0</v>
      </c>
      <c r="N203" s="572">
        <f t="shared" si="94"/>
        <v>0</v>
      </c>
      <c r="O203" s="575">
        <f t="shared" si="94"/>
        <v>0</v>
      </c>
      <c r="P203" s="574">
        <f t="shared" si="94"/>
        <v>0.10694205393000573</v>
      </c>
      <c r="Q203" s="572">
        <f t="shared" si="94"/>
        <v>0</v>
      </c>
      <c r="R203" s="572">
        <f t="shared" si="94"/>
        <v>0</v>
      </c>
      <c r="S203" s="575">
        <f t="shared" si="94"/>
        <v>0</v>
      </c>
      <c r="T203" s="574">
        <f t="shared" si="94"/>
        <v>0</v>
      </c>
      <c r="U203" s="253"/>
      <c r="V203" s="594">
        <f t="shared" si="92"/>
        <v>9135</v>
      </c>
      <c r="W203" s="595">
        <f t="shared" ref="W203:AK203" si="95">+W209+W215+W221+W227+W233+W239+W245+W251+W257+W263+W269+W275</f>
        <v>3039</v>
      </c>
      <c r="X203" s="595">
        <f t="shared" si="95"/>
        <v>3859</v>
      </c>
      <c r="Y203" s="595">
        <f t="shared" si="95"/>
        <v>1724</v>
      </c>
      <c r="Z203" s="595">
        <f t="shared" si="95"/>
        <v>539</v>
      </c>
      <c r="AA203" s="595">
        <f t="shared" si="95"/>
        <v>402</v>
      </c>
      <c r="AB203" s="595">
        <f t="shared" si="95"/>
        <v>0</v>
      </c>
      <c r="AC203" s="596">
        <f t="shared" si="95"/>
        <v>18698</v>
      </c>
      <c r="AD203" s="594">
        <f t="shared" si="95"/>
        <v>0</v>
      </c>
      <c r="AE203" s="595">
        <f t="shared" si="95"/>
        <v>0</v>
      </c>
      <c r="AF203" s="595">
        <f t="shared" si="95"/>
        <v>0</v>
      </c>
      <c r="AG203" s="595">
        <f t="shared" si="95"/>
        <v>0</v>
      </c>
      <c r="AH203" s="597">
        <f t="shared" si="95"/>
        <v>0</v>
      </c>
      <c r="AI203" s="597">
        <f t="shared" si="95"/>
        <v>2796</v>
      </c>
      <c r="AJ203" s="594">
        <f t="shared" si="95"/>
        <v>0</v>
      </c>
      <c r="AK203" s="595">
        <f t="shared" si="95"/>
        <v>0</v>
      </c>
      <c r="AL203" s="597">
        <f t="shared" si="93"/>
        <v>0</v>
      </c>
      <c r="AM203" s="594">
        <f t="shared" si="93"/>
        <v>0</v>
      </c>
    </row>
    <row r="204" spans="1:41" ht="12.75" customHeight="1">
      <c r="A204" s="239"/>
      <c r="B204" s="239" t="s">
        <v>55</v>
      </c>
      <c r="C204" s="572">
        <f>IF(V204&gt;0,(V204/V207),0)</f>
        <v>0.23585887108759623</v>
      </c>
      <c r="D204" s="572">
        <f t="shared" ref="D204:T204" si="96">IF(W204&gt;0,(W204/W207),0)</f>
        <v>0.26280579131303045</v>
      </c>
      <c r="E204" s="572">
        <f t="shared" si="96"/>
        <v>0.25555784981760615</v>
      </c>
      <c r="F204" s="572">
        <f t="shared" si="96"/>
        <v>0.27679362267493357</v>
      </c>
      <c r="G204" s="572">
        <f t="shared" si="96"/>
        <v>0.28838582677165353</v>
      </c>
      <c r="H204" s="572">
        <f t="shared" si="96"/>
        <v>0.34262406526172673</v>
      </c>
      <c r="I204" s="572">
        <f t="shared" si="96"/>
        <v>0</v>
      </c>
      <c r="J204" s="573">
        <f t="shared" si="96"/>
        <v>0.25188420191633559</v>
      </c>
      <c r="K204" s="574">
        <f t="shared" si="96"/>
        <v>0</v>
      </c>
      <c r="L204" s="572">
        <f t="shared" si="96"/>
        <v>0</v>
      </c>
      <c r="M204" s="572">
        <f t="shared" si="96"/>
        <v>0</v>
      </c>
      <c r="N204" s="572">
        <f t="shared" si="96"/>
        <v>0</v>
      </c>
      <c r="O204" s="575">
        <f t="shared" si="96"/>
        <v>0</v>
      </c>
      <c r="P204" s="574">
        <f t="shared" si="96"/>
        <v>0.12292981449607955</v>
      </c>
      <c r="Q204" s="572">
        <f t="shared" si="96"/>
        <v>0</v>
      </c>
      <c r="R204" s="572">
        <f t="shared" si="96"/>
        <v>0</v>
      </c>
      <c r="S204" s="575">
        <f t="shared" si="96"/>
        <v>0</v>
      </c>
      <c r="T204" s="574">
        <f t="shared" si="96"/>
        <v>0</v>
      </c>
      <c r="U204" s="253"/>
      <c r="V204" s="594">
        <f t="shared" si="92"/>
        <v>7935</v>
      </c>
      <c r="W204" s="595">
        <f t="shared" si="93"/>
        <v>2632</v>
      </c>
      <c r="X204" s="595">
        <f t="shared" si="93"/>
        <v>3713</v>
      </c>
      <c r="Y204" s="595">
        <f t="shared" si="93"/>
        <v>1875</v>
      </c>
      <c r="Z204" s="595">
        <f t="shared" si="93"/>
        <v>586</v>
      </c>
      <c r="AA204" s="595">
        <f t="shared" si="93"/>
        <v>504</v>
      </c>
      <c r="AB204" s="595">
        <f t="shared" si="93"/>
        <v>0</v>
      </c>
      <c r="AC204" s="596">
        <f t="shared" si="93"/>
        <v>17245</v>
      </c>
      <c r="AD204" s="594">
        <f t="shared" si="93"/>
        <v>0</v>
      </c>
      <c r="AE204" s="595">
        <f t="shared" si="93"/>
        <v>0</v>
      </c>
      <c r="AF204" s="595">
        <f t="shared" si="93"/>
        <v>0</v>
      </c>
      <c r="AG204" s="595">
        <f t="shared" si="93"/>
        <v>0</v>
      </c>
      <c r="AH204" s="597">
        <f t="shared" si="93"/>
        <v>0</v>
      </c>
      <c r="AI204" s="597">
        <f t="shared" si="93"/>
        <v>3214</v>
      </c>
      <c r="AJ204" s="594">
        <f t="shared" si="93"/>
        <v>0</v>
      </c>
      <c r="AK204" s="595">
        <f t="shared" si="93"/>
        <v>0</v>
      </c>
      <c r="AL204" s="597">
        <f t="shared" si="93"/>
        <v>0</v>
      </c>
      <c r="AM204" s="594">
        <f t="shared" si="93"/>
        <v>0</v>
      </c>
    </row>
    <row r="205" spans="1:41" ht="12.75" customHeight="1">
      <c r="A205" s="239"/>
      <c r="B205" s="239" t="s">
        <v>78</v>
      </c>
      <c r="C205" s="572">
        <f>IF(V205&gt;0,(V205/V207),0)</f>
        <v>3.1120886960140298E-2</v>
      </c>
      <c r="D205" s="572">
        <f t="shared" ref="D205:T205" si="97">IF(W205&gt;0,(W205/W207),0)</f>
        <v>9.8452321517723415E-2</v>
      </c>
      <c r="E205" s="572">
        <f t="shared" si="97"/>
        <v>0.13421432996076813</v>
      </c>
      <c r="F205" s="572">
        <f t="shared" si="97"/>
        <v>4.4286979627989373E-2</v>
      </c>
      <c r="G205" s="572">
        <f t="shared" si="97"/>
        <v>5.5118110236220472E-2</v>
      </c>
      <c r="H205" s="572">
        <f t="shared" si="97"/>
        <v>0.13596193065941536</v>
      </c>
      <c r="I205" s="572">
        <f t="shared" si="97"/>
        <v>0</v>
      </c>
      <c r="J205" s="573">
        <f t="shared" si="97"/>
        <v>6.7115564384201923E-2</v>
      </c>
      <c r="K205" s="574">
        <f t="shared" si="97"/>
        <v>0</v>
      </c>
      <c r="L205" s="572">
        <f t="shared" si="97"/>
        <v>0</v>
      </c>
      <c r="M205" s="572">
        <f t="shared" si="97"/>
        <v>0</v>
      </c>
      <c r="N205" s="572">
        <f t="shared" si="97"/>
        <v>0</v>
      </c>
      <c r="O205" s="575">
        <f t="shared" si="97"/>
        <v>0</v>
      </c>
      <c r="P205" s="574">
        <f t="shared" si="97"/>
        <v>0.34652897303499713</v>
      </c>
      <c r="Q205" s="572">
        <f t="shared" si="97"/>
        <v>0</v>
      </c>
      <c r="R205" s="572">
        <f t="shared" si="97"/>
        <v>0</v>
      </c>
      <c r="S205" s="575">
        <f t="shared" si="97"/>
        <v>0</v>
      </c>
      <c r="T205" s="574">
        <f t="shared" si="97"/>
        <v>0</v>
      </c>
      <c r="U205" s="253"/>
      <c r="V205" s="594">
        <f t="shared" si="92"/>
        <v>1047</v>
      </c>
      <c r="W205" s="595">
        <f t="shared" si="93"/>
        <v>986</v>
      </c>
      <c r="X205" s="595">
        <f t="shared" si="93"/>
        <v>1950</v>
      </c>
      <c r="Y205" s="595">
        <f t="shared" si="93"/>
        <v>300</v>
      </c>
      <c r="Z205" s="595">
        <f t="shared" si="93"/>
        <v>112</v>
      </c>
      <c r="AA205" s="595">
        <f t="shared" si="93"/>
        <v>200</v>
      </c>
      <c r="AB205" s="595">
        <f t="shared" si="93"/>
        <v>0</v>
      </c>
      <c r="AC205" s="596">
        <f t="shared" si="93"/>
        <v>4595</v>
      </c>
      <c r="AD205" s="594">
        <f t="shared" si="93"/>
        <v>0</v>
      </c>
      <c r="AE205" s="595">
        <f t="shared" si="93"/>
        <v>0</v>
      </c>
      <c r="AF205" s="595">
        <f t="shared" si="93"/>
        <v>0</v>
      </c>
      <c r="AG205" s="595">
        <f t="shared" si="93"/>
        <v>0</v>
      </c>
      <c r="AH205" s="597">
        <f t="shared" si="93"/>
        <v>0</v>
      </c>
      <c r="AI205" s="597">
        <f t="shared" si="93"/>
        <v>9060</v>
      </c>
      <c r="AJ205" s="594">
        <f t="shared" si="93"/>
        <v>0</v>
      </c>
      <c r="AK205" s="595">
        <f t="shared" si="93"/>
        <v>0</v>
      </c>
      <c r="AL205" s="597">
        <f t="shared" si="93"/>
        <v>0</v>
      </c>
      <c r="AM205" s="594">
        <f t="shared" si="93"/>
        <v>0</v>
      </c>
    </row>
    <row r="206" spans="1:41" ht="12.75" customHeight="1">
      <c r="A206" s="580"/>
      <c r="B206" s="580" t="s">
        <v>131</v>
      </c>
      <c r="C206" s="581">
        <f>IF(V206&gt;0,(V206/V207),0)</f>
        <v>0.1157447314448771</v>
      </c>
      <c r="D206" s="582">
        <f t="shared" ref="D206:T206" si="98">IF(W206&gt;0,(W206/W207),0)</f>
        <v>8.4872690963554667E-2</v>
      </c>
      <c r="E206" s="582">
        <f t="shared" si="98"/>
        <v>5.7608920090852778E-2</v>
      </c>
      <c r="F206" s="582">
        <f t="shared" si="98"/>
        <v>0.12946560377915559</v>
      </c>
      <c r="G206" s="582">
        <f t="shared" si="98"/>
        <v>0.11122047244094488</v>
      </c>
      <c r="H206" s="582">
        <f t="shared" si="98"/>
        <v>4.894629503738953E-2</v>
      </c>
      <c r="I206" s="583">
        <f t="shared" si="98"/>
        <v>0</v>
      </c>
      <c r="J206" s="584">
        <f t="shared" si="98"/>
        <v>9.8679598036924512E-2</v>
      </c>
      <c r="K206" s="581">
        <f t="shared" si="98"/>
        <v>0</v>
      </c>
      <c r="L206" s="582">
        <f t="shared" si="98"/>
        <v>0</v>
      </c>
      <c r="M206" s="582">
        <f t="shared" si="98"/>
        <v>0</v>
      </c>
      <c r="N206" s="582">
        <f t="shared" si="98"/>
        <v>0</v>
      </c>
      <c r="O206" s="583">
        <f t="shared" si="98"/>
        <v>0</v>
      </c>
      <c r="P206" s="581">
        <f t="shared" si="98"/>
        <v>0.28491107286288009</v>
      </c>
      <c r="Q206" s="581">
        <f t="shared" si="98"/>
        <v>0</v>
      </c>
      <c r="R206" s="582">
        <f t="shared" si="98"/>
        <v>0</v>
      </c>
      <c r="S206" s="583">
        <f t="shared" si="98"/>
        <v>0</v>
      </c>
      <c r="T206" s="581">
        <f t="shared" si="98"/>
        <v>1</v>
      </c>
      <c r="U206" s="253"/>
      <c r="V206" s="585">
        <f t="shared" si="92"/>
        <v>3894</v>
      </c>
      <c r="W206" s="586">
        <f t="shared" si="93"/>
        <v>850</v>
      </c>
      <c r="X206" s="586">
        <f t="shared" si="93"/>
        <v>837</v>
      </c>
      <c r="Y206" s="586">
        <f t="shared" si="93"/>
        <v>877</v>
      </c>
      <c r="Z206" s="586">
        <f t="shared" si="93"/>
        <v>226</v>
      </c>
      <c r="AA206" s="586">
        <f t="shared" si="93"/>
        <v>72</v>
      </c>
      <c r="AB206" s="586">
        <f t="shared" si="93"/>
        <v>0</v>
      </c>
      <c r="AC206" s="587">
        <f t="shared" si="93"/>
        <v>6756</v>
      </c>
      <c r="AD206" s="585">
        <f t="shared" si="93"/>
        <v>0</v>
      </c>
      <c r="AE206" s="586">
        <f t="shared" si="93"/>
        <v>0</v>
      </c>
      <c r="AF206" s="586">
        <f t="shared" si="93"/>
        <v>0</v>
      </c>
      <c r="AG206" s="586">
        <f t="shared" si="93"/>
        <v>0</v>
      </c>
      <c r="AH206" s="588">
        <f t="shared" si="93"/>
        <v>0</v>
      </c>
      <c r="AI206" s="588">
        <f t="shared" si="93"/>
        <v>7449</v>
      </c>
      <c r="AJ206" s="585">
        <f t="shared" si="93"/>
        <v>0</v>
      </c>
      <c r="AK206" s="586">
        <f t="shared" si="93"/>
        <v>0</v>
      </c>
      <c r="AL206" s="588">
        <f t="shared" si="93"/>
        <v>0</v>
      </c>
      <c r="AM206" s="585">
        <f t="shared" si="93"/>
        <v>15</v>
      </c>
    </row>
    <row r="207" spans="1:41" s="527" customFormat="1" ht="12.75" customHeight="1">
      <c r="A207" s="436" t="s">
        <v>86</v>
      </c>
      <c r="B207" s="436" t="s">
        <v>59</v>
      </c>
      <c r="C207" s="456">
        <f>SUM(C202:C206)</f>
        <v>0.99999999999999989</v>
      </c>
      <c r="D207" s="456">
        <f t="shared" ref="D207:T207" si="99">SUM(D202:D206)</f>
        <v>0.99999999999999989</v>
      </c>
      <c r="E207" s="456">
        <f t="shared" si="99"/>
        <v>0.99999999999999978</v>
      </c>
      <c r="F207" s="456">
        <f t="shared" si="99"/>
        <v>0.99999999999999989</v>
      </c>
      <c r="G207" s="456">
        <f t="shared" si="99"/>
        <v>0.99999999999999989</v>
      </c>
      <c r="H207" s="456">
        <f t="shared" si="99"/>
        <v>1</v>
      </c>
      <c r="I207" s="456">
        <f t="shared" si="99"/>
        <v>0</v>
      </c>
      <c r="J207" s="576">
        <f t="shared" si="99"/>
        <v>1</v>
      </c>
      <c r="K207" s="577">
        <f t="shared" si="99"/>
        <v>0</v>
      </c>
      <c r="L207" s="578">
        <f t="shared" si="99"/>
        <v>0</v>
      </c>
      <c r="M207" s="578">
        <f t="shared" si="99"/>
        <v>0</v>
      </c>
      <c r="N207" s="578">
        <f t="shared" si="99"/>
        <v>0</v>
      </c>
      <c r="O207" s="579">
        <f t="shared" si="99"/>
        <v>0</v>
      </c>
      <c r="P207" s="577">
        <f t="shared" si="99"/>
        <v>1</v>
      </c>
      <c r="Q207" s="578">
        <f t="shared" si="99"/>
        <v>0</v>
      </c>
      <c r="R207" s="578">
        <f t="shared" si="99"/>
        <v>0</v>
      </c>
      <c r="S207" s="579">
        <f t="shared" si="99"/>
        <v>0</v>
      </c>
      <c r="T207" s="577">
        <f t="shared" si="99"/>
        <v>1</v>
      </c>
      <c r="U207" s="264"/>
      <c r="V207" s="598">
        <f t="shared" si="92"/>
        <v>33643</v>
      </c>
      <c r="W207" s="599">
        <f t="shared" si="93"/>
        <v>10015</v>
      </c>
      <c r="X207" s="599">
        <f t="shared" si="93"/>
        <v>14529</v>
      </c>
      <c r="Y207" s="599">
        <f t="shared" si="93"/>
        <v>6774</v>
      </c>
      <c r="Z207" s="599">
        <f t="shared" si="93"/>
        <v>2032</v>
      </c>
      <c r="AA207" s="599">
        <f t="shared" si="93"/>
        <v>1471</v>
      </c>
      <c r="AB207" s="599">
        <f t="shared" si="93"/>
        <v>0</v>
      </c>
      <c r="AC207" s="600">
        <f t="shared" si="93"/>
        <v>68464</v>
      </c>
      <c r="AD207" s="598">
        <f t="shared" si="93"/>
        <v>0</v>
      </c>
      <c r="AE207" s="599">
        <f t="shared" si="93"/>
        <v>0</v>
      </c>
      <c r="AF207" s="599">
        <f t="shared" si="93"/>
        <v>0</v>
      </c>
      <c r="AG207" s="599">
        <f t="shared" si="93"/>
        <v>0</v>
      </c>
      <c r="AH207" s="601">
        <f t="shared" si="93"/>
        <v>0</v>
      </c>
      <c r="AI207" s="601">
        <f t="shared" si="93"/>
        <v>26145</v>
      </c>
      <c r="AJ207" s="598">
        <f t="shared" si="93"/>
        <v>0</v>
      </c>
      <c r="AK207" s="599">
        <f t="shared" si="93"/>
        <v>0</v>
      </c>
      <c r="AL207" s="601">
        <f t="shared" si="93"/>
        <v>0</v>
      </c>
      <c r="AM207" s="598">
        <f t="shared" si="93"/>
        <v>15</v>
      </c>
      <c r="AN207" s="270"/>
      <c r="AO207" s="270"/>
    </row>
    <row r="208" spans="1:41" ht="12.75" customHeight="1">
      <c r="A208" s="240" t="s">
        <v>144</v>
      </c>
      <c r="B208" s="240" t="s">
        <v>53</v>
      </c>
      <c r="C208" s="568">
        <f>IF(V208&gt;0,(V208/V213),0)</f>
        <v>0.31678936119686535</v>
      </c>
      <c r="D208" s="568">
        <f t="shared" ref="D208:T208" si="100">IF(W208&gt;0,(W208/W213),0)</f>
        <v>0.25223214285714285</v>
      </c>
      <c r="E208" s="568">
        <f t="shared" si="100"/>
        <v>0.24748905485449396</v>
      </c>
      <c r="F208" s="568">
        <f t="shared" si="100"/>
        <v>0</v>
      </c>
      <c r="G208" s="568">
        <f t="shared" si="100"/>
        <v>0</v>
      </c>
      <c r="H208" s="568">
        <f t="shared" si="100"/>
        <v>0</v>
      </c>
      <c r="I208" s="568">
        <f t="shared" si="100"/>
        <v>0</v>
      </c>
      <c r="J208" s="569">
        <f t="shared" si="100"/>
        <v>0.28042269187986651</v>
      </c>
      <c r="K208" s="570">
        <f t="shared" si="100"/>
        <v>0</v>
      </c>
      <c r="L208" s="568">
        <f t="shared" si="100"/>
        <v>0</v>
      </c>
      <c r="M208" s="568">
        <f t="shared" si="100"/>
        <v>0</v>
      </c>
      <c r="N208" s="568">
        <f t="shared" si="100"/>
        <v>0</v>
      </c>
      <c r="O208" s="571">
        <f t="shared" si="100"/>
        <v>0</v>
      </c>
      <c r="P208" s="570">
        <f t="shared" si="100"/>
        <v>0.22588235294117648</v>
      </c>
      <c r="Q208" s="568">
        <f t="shared" si="100"/>
        <v>0</v>
      </c>
      <c r="R208" s="568">
        <f t="shared" si="100"/>
        <v>0</v>
      </c>
      <c r="S208" s="571">
        <f t="shared" si="100"/>
        <v>0</v>
      </c>
      <c r="T208" s="570">
        <f t="shared" si="100"/>
        <v>0</v>
      </c>
      <c r="U208" s="253"/>
      <c r="V208" s="245">
        <v>1334</v>
      </c>
      <c r="W208" s="246">
        <v>226</v>
      </c>
      <c r="X208" s="246">
        <v>961</v>
      </c>
      <c r="Y208" s="246"/>
      <c r="Z208" s="246"/>
      <c r="AA208" s="246"/>
      <c r="AB208" s="242"/>
      <c r="AC208" s="247">
        <v>2521</v>
      </c>
      <c r="AD208" s="245"/>
      <c r="AE208" s="246"/>
      <c r="AF208" s="246"/>
      <c r="AG208" s="246"/>
      <c r="AH208" s="246"/>
      <c r="AI208" s="248">
        <v>1056</v>
      </c>
      <c r="AJ208" s="245"/>
      <c r="AK208" s="246"/>
      <c r="AL208" s="248"/>
      <c r="AM208" s="245"/>
      <c r="AN208" s="563"/>
    </row>
    <row r="209" spans="1:41" ht="12.75" customHeight="1">
      <c r="A209" s="239"/>
      <c r="B209" s="239" t="s">
        <v>93</v>
      </c>
      <c r="C209" s="572">
        <f>IF(V209&gt;0,(V209/V213),0)</f>
        <v>0.2669199715032059</v>
      </c>
      <c r="D209" s="572">
        <f t="shared" ref="D209:T209" si="101">IF(W209&gt;0,(W209/W213),0)</f>
        <v>0.34151785714285715</v>
      </c>
      <c r="E209" s="572">
        <f t="shared" si="101"/>
        <v>0.26216842647437549</v>
      </c>
      <c r="F209" s="572">
        <f t="shared" si="101"/>
        <v>0</v>
      </c>
      <c r="G209" s="572">
        <f t="shared" si="101"/>
        <v>0</v>
      </c>
      <c r="H209" s="572">
        <f t="shared" si="101"/>
        <v>0</v>
      </c>
      <c r="I209" s="572">
        <f t="shared" si="101"/>
        <v>0</v>
      </c>
      <c r="J209" s="573">
        <f t="shared" si="101"/>
        <v>0.27230255839822026</v>
      </c>
      <c r="K209" s="574">
        <f t="shared" si="101"/>
        <v>0</v>
      </c>
      <c r="L209" s="572">
        <f t="shared" si="101"/>
        <v>0</v>
      </c>
      <c r="M209" s="572">
        <f t="shared" si="101"/>
        <v>0</v>
      </c>
      <c r="N209" s="572">
        <f t="shared" si="101"/>
        <v>0</v>
      </c>
      <c r="O209" s="575">
        <f t="shared" si="101"/>
        <v>0</v>
      </c>
      <c r="P209" s="574">
        <f t="shared" si="101"/>
        <v>0.15914438502673797</v>
      </c>
      <c r="Q209" s="572">
        <f t="shared" si="101"/>
        <v>0</v>
      </c>
      <c r="R209" s="572">
        <f t="shared" si="101"/>
        <v>0</v>
      </c>
      <c r="S209" s="575">
        <f t="shared" si="101"/>
        <v>0</v>
      </c>
      <c r="T209" s="574">
        <f t="shared" si="101"/>
        <v>0</v>
      </c>
      <c r="U209" s="253"/>
      <c r="V209" s="254">
        <v>1124</v>
      </c>
      <c r="W209" s="255">
        <v>306</v>
      </c>
      <c r="X209" s="255">
        <v>1018</v>
      </c>
      <c r="Y209" s="255"/>
      <c r="Z209" s="255"/>
      <c r="AA209" s="255"/>
      <c r="AB209" s="251"/>
      <c r="AC209" s="256">
        <v>2448</v>
      </c>
      <c r="AD209" s="254"/>
      <c r="AE209" s="255"/>
      <c r="AF209" s="255"/>
      <c r="AG209" s="255"/>
      <c r="AH209" s="255"/>
      <c r="AI209" s="257">
        <v>744</v>
      </c>
      <c r="AJ209" s="254"/>
      <c r="AK209" s="255"/>
      <c r="AL209" s="257"/>
      <c r="AM209" s="254"/>
      <c r="AN209" s="563"/>
    </row>
    <row r="210" spans="1:41" ht="12.75" customHeight="1">
      <c r="A210" s="239"/>
      <c r="B210" s="239" t="s">
        <v>55</v>
      </c>
      <c r="C210" s="572">
        <f>IF(V210&gt;0,(V210/V213),0)</f>
        <v>0.27309427689384946</v>
      </c>
      <c r="D210" s="572">
        <f t="shared" ref="D210:T210" si="102">IF(W210&gt;0,(W210/W213),0)</f>
        <v>0.234375</v>
      </c>
      <c r="E210" s="572">
        <f t="shared" si="102"/>
        <v>0.25573010558846254</v>
      </c>
      <c r="F210" s="572">
        <f t="shared" si="102"/>
        <v>0</v>
      </c>
      <c r="G210" s="572">
        <f t="shared" si="102"/>
        <v>0</v>
      </c>
      <c r="H210" s="572">
        <f t="shared" si="102"/>
        <v>0</v>
      </c>
      <c r="I210" s="572">
        <f t="shared" si="102"/>
        <v>0</v>
      </c>
      <c r="J210" s="573">
        <f t="shared" si="102"/>
        <v>0.26173526140155728</v>
      </c>
      <c r="K210" s="574">
        <f t="shared" si="102"/>
        <v>0</v>
      </c>
      <c r="L210" s="572">
        <f t="shared" si="102"/>
        <v>0</v>
      </c>
      <c r="M210" s="572">
        <f t="shared" si="102"/>
        <v>0</v>
      </c>
      <c r="N210" s="572">
        <f t="shared" si="102"/>
        <v>0</v>
      </c>
      <c r="O210" s="575">
        <f t="shared" si="102"/>
        <v>0</v>
      </c>
      <c r="P210" s="574">
        <f t="shared" si="102"/>
        <v>0.13925133689839572</v>
      </c>
      <c r="Q210" s="572">
        <f t="shared" si="102"/>
        <v>0</v>
      </c>
      <c r="R210" s="572">
        <f t="shared" si="102"/>
        <v>0</v>
      </c>
      <c r="S210" s="575">
        <f t="shared" si="102"/>
        <v>0</v>
      </c>
      <c r="T210" s="574">
        <f t="shared" si="102"/>
        <v>0</v>
      </c>
      <c r="U210" s="253"/>
      <c r="V210" s="254">
        <v>1150</v>
      </c>
      <c r="W210" s="255">
        <v>210</v>
      </c>
      <c r="X210" s="255">
        <v>993</v>
      </c>
      <c r="Y210" s="255"/>
      <c r="Z210" s="255"/>
      <c r="AA210" s="255"/>
      <c r="AB210" s="251"/>
      <c r="AC210" s="256">
        <v>2353</v>
      </c>
      <c r="AD210" s="254"/>
      <c r="AE210" s="255"/>
      <c r="AF210" s="255"/>
      <c r="AG210" s="255"/>
      <c r="AH210" s="255"/>
      <c r="AI210" s="257">
        <v>651</v>
      </c>
      <c r="AJ210" s="254"/>
      <c r="AK210" s="255"/>
      <c r="AL210" s="257"/>
      <c r="AM210" s="254"/>
      <c r="AN210" s="563"/>
    </row>
    <row r="211" spans="1:41" ht="12.75" customHeight="1">
      <c r="A211" s="239"/>
      <c r="B211" s="239" t="s">
        <v>78</v>
      </c>
      <c r="C211" s="572">
        <f>IF(V211&gt;0,(V211/V213),0)</f>
        <v>3.5620992638328186E-2</v>
      </c>
      <c r="D211" s="572">
        <f t="shared" ref="D211:T211" si="103">IF(W211&gt;0,(W211/W213),0)</f>
        <v>0.171875</v>
      </c>
      <c r="E211" s="572">
        <f t="shared" si="103"/>
        <v>0.15065670873036313</v>
      </c>
      <c r="F211" s="572">
        <f t="shared" si="103"/>
        <v>0</v>
      </c>
      <c r="G211" s="572">
        <f t="shared" si="103"/>
        <v>0</v>
      </c>
      <c r="H211" s="572">
        <f t="shared" si="103"/>
        <v>0</v>
      </c>
      <c r="I211" s="572">
        <f t="shared" si="103"/>
        <v>0</v>
      </c>
      <c r="J211" s="573">
        <f t="shared" si="103"/>
        <v>9.8887652947719687E-2</v>
      </c>
      <c r="K211" s="574">
        <f t="shared" si="103"/>
        <v>0</v>
      </c>
      <c r="L211" s="572">
        <f t="shared" si="103"/>
        <v>0</v>
      </c>
      <c r="M211" s="572">
        <f t="shared" si="103"/>
        <v>0</v>
      </c>
      <c r="N211" s="572">
        <f t="shared" si="103"/>
        <v>0</v>
      </c>
      <c r="O211" s="575">
        <f t="shared" si="103"/>
        <v>0</v>
      </c>
      <c r="P211" s="574">
        <f t="shared" si="103"/>
        <v>0.23508021390374331</v>
      </c>
      <c r="Q211" s="572">
        <f t="shared" si="103"/>
        <v>0</v>
      </c>
      <c r="R211" s="572">
        <f t="shared" si="103"/>
        <v>0</v>
      </c>
      <c r="S211" s="575">
        <f t="shared" si="103"/>
        <v>0</v>
      </c>
      <c r="T211" s="574">
        <f t="shared" si="103"/>
        <v>0</v>
      </c>
      <c r="U211" s="253"/>
      <c r="V211" s="254">
        <v>150</v>
      </c>
      <c r="W211" s="255">
        <v>154</v>
      </c>
      <c r="X211" s="255">
        <v>585</v>
      </c>
      <c r="Y211" s="255"/>
      <c r="Z211" s="255"/>
      <c r="AA211" s="255"/>
      <c r="AB211" s="251"/>
      <c r="AC211" s="256">
        <v>889</v>
      </c>
      <c r="AD211" s="254"/>
      <c r="AE211" s="255"/>
      <c r="AF211" s="255"/>
      <c r="AG211" s="255"/>
      <c r="AH211" s="255"/>
      <c r="AI211" s="257">
        <v>1099</v>
      </c>
      <c r="AJ211" s="254"/>
      <c r="AK211" s="255"/>
      <c r="AL211" s="257"/>
      <c r="AM211" s="254"/>
      <c r="AN211" s="563"/>
    </row>
    <row r="212" spans="1:41" ht="12.75" customHeight="1">
      <c r="A212" s="580"/>
      <c r="B212" s="580" t="s">
        <v>131</v>
      </c>
      <c r="C212" s="581">
        <f>IF(V212&gt;0,(V212/V213),0)</f>
        <v>0.10757539776775113</v>
      </c>
      <c r="D212" s="582">
        <f t="shared" ref="D212:T212" si="104">IF(W212&gt;0,(W212/W213),0)</f>
        <v>0</v>
      </c>
      <c r="E212" s="582">
        <f t="shared" si="104"/>
        <v>8.3955704352304913E-2</v>
      </c>
      <c r="F212" s="582">
        <f t="shared" si="104"/>
        <v>0</v>
      </c>
      <c r="G212" s="582">
        <f t="shared" si="104"/>
        <v>0</v>
      </c>
      <c r="H212" s="582">
        <f t="shared" si="104"/>
        <v>0</v>
      </c>
      <c r="I212" s="583">
        <f t="shared" si="104"/>
        <v>0</v>
      </c>
      <c r="J212" s="584">
        <f t="shared" si="104"/>
        <v>8.6651835372636266E-2</v>
      </c>
      <c r="K212" s="581">
        <f t="shared" si="104"/>
        <v>0</v>
      </c>
      <c r="L212" s="582">
        <f t="shared" si="104"/>
        <v>0</v>
      </c>
      <c r="M212" s="582">
        <f t="shared" si="104"/>
        <v>0</v>
      </c>
      <c r="N212" s="582">
        <f t="shared" si="104"/>
        <v>0</v>
      </c>
      <c r="O212" s="583">
        <f t="shared" si="104"/>
        <v>0</v>
      </c>
      <c r="P212" s="581">
        <f t="shared" si="104"/>
        <v>0.24064171122994651</v>
      </c>
      <c r="Q212" s="581">
        <f t="shared" si="104"/>
        <v>0</v>
      </c>
      <c r="R212" s="582">
        <f t="shared" si="104"/>
        <v>0</v>
      </c>
      <c r="S212" s="583">
        <f t="shared" si="104"/>
        <v>0</v>
      </c>
      <c r="T212" s="581">
        <f t="shared" si="104"/>
        <v>0</v>
      </c>
      <c r="U212" s="253"/>
      <c r="V212" s="254">
        <v>453</v>
      </c>
      <c r="W212" s="255"/>
      <c r="X212" s="255">
        <v>326</v>
      </c>
      <c r="Y212" s="255"/>
      <c r="Z212" s="255"/>
      <c r="AA212" s="255"/>
      <c r="AB212" s="582"/>
      <c r="AC212" s="256">
        <v>779</v>
      </c>
      <c r="AD212" s="254"/>
      <c r="AE212" s="255"/>
      <c r="AF212" s="255"/>
      <c r="AG212" s="255"/>
      <c r="AH212" s="255"/>
      <c r="AI212" s="257">
        <v>1125</v>
      </c>
      <c r="AJ212" s="254"/>
      <c r="AK212" s="255"/>
      <c r="AL212" s="257"/>
      <c r="AM212" s="254"/>
    </row>
    <row r="213" spans="1:41" s="527" customFormat="1" ht="12.75" customHeight="1">
      <c r="A213" s="436"/>
      <c r="B213" s="436" t="s">
        <v>59</v>
      </c>
      <c r="C213" s="456">
        <f>SUM(C208:C212)</f>
        <v>1</v>
      </c>
      <c r="D213" s="456">
        <f t="shared" ref="D213:T213" si="105">SUM(D208:D212)</f>
        <v>1</v>
      </c>
      <c r="E213" s="456">
        <f t="shared" si="105"/>
        <v>1</v>
      </c>
      <c r="F213" s="456">
        <f t="shared" si="105"/>
        <v>0</v>
      </c>
      <c r="G213" s="456">
        <f t="shared" si="105"/>
        <v>0</v>
      </c>
      <c r="H213" s="456">
        <f t="shared" si="105"/>
        <v>0</v>
      </c>
      <c r="I213" s="456">
        <f t="shared" si="105"/>
        <v>0</v>
      </c>
      <c r="J213" s="576">
        <f t="shared" si="105"/>
        <v>1.0000000000000002</v>
      </c>
      <c r="K213" s="577">
        <f t="shared" si="105"/>
        <v>0</v>
      </c>
      <c r="L213" s="578">
        <f t="shared" si="105"/>
        <v>0</v>
      </c>
      <c r="M213" s="578">
        <f t="shared" si="105"/>
        <v>0</v>
      </c>
      <c r="N213" s="578">
        <f t="shared" si="105"/>
        <v>0</v>
      </c>
      <c r="O213" s="579">
        <f t="shared" si="105"/>
        <v>0</v>
      </c>
      <c r="P213" s="577">
        <f t="shared" si="105"/>
        <v>1</v>
      </c>
      <c r="Q213" s="578">
        <f t="shared" si="105"/>
        <v>0</v>
      </c>
      <c r="R213" s="578">
        <f t="shared" si="105"/>
        <v>0</v>
      </c>
      <c r="S213" s="579">
        <f t="shared" si="105"/>
        <v>0</v>
      </c>
      <c r="T213" s="577">
        <f t="shared" si="105"/>
        <v>0</v>
      </c>
      <c r="U213" s="264"/>
      <c r="V213" s="265">
        <v>4211</v>
      </c>
      <c r="W213" s="266">
        <v>896</v>
      </c>
      <c r="X213" s="266">
        <v>3883</v>
      </c>
      <c r="Y213" s="266"/>
      <c r="Z213" s="266"/>
      <c r="AA213" s="266"/>
      <c r="AB213" s="262"/>
      <c r="AC213" s="267">
        <v>8990</v>
      </c>
      <c r="AD213" s="265"/>
      <c r="AE213" s="266"/>
      <c r="AF213" s="266"/>
      <c r="AG213" s="266"/>
      <c r="AH213" s="266"/>
      <c r="AI213" s="268">
        <v>4675</v>
      </c>
      <c r="AJ213" s="265"/>
      <c r="AK213" s="266"/>
      <c r="AL213" s="268"/>
      <c r="AM213" s="265"/>
      <c r="AN213" s="270"/>
      <c r="AO213" s="270"/>
    </row>
    <row r="214" spans="1:41" ht="12.75" customHeight="1">
      <c r="A214" s="240" t="s">
        <v>145</v>
      </c>
      <c r="B214" s="240" t="s">
        <v>53</v>
      </c>
      <c r="C214" s="568">
        <f>IF(V214&gt;0,(V214/V219),0)</f>
        <v>0.35785384802136438</v>
      </c>
      <c r="D214" s="568">
        <f t="shared" ref="D214:T214" si="106">IF(W214&gt;0,(W214/W219),0)</f>
        <v>0.24599908550525834</v>
      </c>
      <c r="E214" s="568">
        <f t="shared" si="106"/>
        <v>0.21958456973293769</v>
      </c>
      <c r="F214" s="568">
        <f t="shared" si="106"/>
        <v>0.13967310549777118</v>
      </c>
      <c r="G214" s="568">
        <f t="shared" si="106"/>
        <v>0.21929824561403508</v>
      </c>
      <c r="H214" s="568">
        <f t="shared" si="106"/>
        <v>0.125</v>
      </c>
      <c r="I214" s="568">
        <f t="shared" si="106"/>
        <v>0</v>
      </c>
      <c r="J214" s="569">
        <f t="shared" si="106"/>
        <v>0.28883999511062219</v>
      </c>
      <c r="K214" s="570">
        <f t="shared" si="106"/>
        <v>0</v>
      </c>
      <c r="L214" s="568">
        <f t="shared" si="106"/>
        <v>0</v>
      </c>
      <c r="M214" s="568">
        <f t="shared" si="106"/>
        <v>0</v>
      </c>
      <c r="N214" s="568">
        <f t="shared" si="106"/>
        <v>0</v>
      </c>
      <c r="O214" s="571">
        <f t="shared" si="106"/>
        <v>0</v>
      </c>
      <c r="P214" s="570">
        <f t="shared" si="106"/>
        <v>0.11881868131868131</v>
      </c>
      <c r="Q214" s="568">
        <f t="shared" si="106"/>
        <v>0</v>
      </c>
      <c r="R214" s="568">
        <f t="shared" si="106"/>
        <v>0</v>
      </c>
      <c r="S214" s="571">
        <f t="shared" si="106"/>
        <v>0</v>
      </c>
      <c r="T214" s="570">
        <f t="shared" si="106"/>
        <v>0</v>
      </c>
      <c r="U214" s="253"/>
      <c r="V214" s="245">
        <v>1474</v>
      </c>
      <c r="W214" s="246">
        <v>538</v>
      </c>
      <c r="X214" s="246">
        <v>148</v>
      </c>
      <c r="Y214" s="246">
        <v>94</v>
      </c>
      <c r="Z214" s="246">
        <v>100</v>
      </c>
      <c r="AA214" s="246">
        <v>9</v>
      </c>
      <c r="AB214" s="242"/>
      <c r="AC214" s="247">
        <v>2363</v>
      </c>
      <c r="AD214" s="245"/>
      <c r="AE214" s="246"/>
      <c r="AF214" s="246"/>
      <c r="AG214" s="246"/>
      <c r="AH214" s="246"/>
      <c r="AI214" s="248">
        <v>173</v>
      </c>
      <c r="AJ214" s="245"/>
      <c r="AK214" s="246"/>
      <c r="AL214" s="248"/>
      <c r="AM214" s="245"/>
      <c r="AN214" s="563"/>
    </row>
    <row r="215" spans="1:41" ht="12.75" customHeight="1">
      <c r="A215" s="239"/>
      <c r="B215" s="239" t="s">
        <v>93</v>
      </c>
      <c r="C215" s="572">
        <f>IF(V215&gt;0,(V215/V219),0)</f>
        <v>0.24981791697013839</v>
      </c>
      <c r="D215" s="572">
        <f t="shared" ref="D215:T215" si="107">IF(W215&gt;0,(W215/W219),0)</f>
        <v>0.28166438042981251</v>
      </c>
      <c r="E215" s="572">
        <f t="shared" si="107"/>
        <v>0.29080118694362017</v>
      </c>
      <c r="F215" s="572">
        <f t="shared" si="107"/>
        <v>0.26597325408618128</v>
      </c>
      <c r="G215" s="572">
        <f t="shared" si="107"/>
        <v>0.29385964912280704</v>
      </c>
      <c r="H215" s="572">
        <f t="shared" si="107"/>
        <v>0.18055555555555555</v>
      </c>
      <c r="I215" s="572">
        <f t="shared" si="107"/>
        <v>0</v>
      </c>
      <c r="J215" s="573">
        <f t="shared" si="107"/>
        <v>0.26488204375993157</v>
      </c>
      <c r="K215" s="574">
        <f t="shared" si="107"/>
        <v>0</v>
      </c>
      <c r="L215" s="572">
        <f t="shared" si="107"/>
        <v>0</v>
      </c>
      <c r="M215" s="572">
        <f t="shared" si="107"/>
        <v>0</v>
      </c>
      <c r="N215" s="572">
        <f t="shared" si="107"/>
        <v>0</v>
      </c>
      <c r="O215" s="575">
        <f t="shared" si="107"/>
        <v>0</v>
      </c>
      <c r="P215" s="574">
        <f t="shared" si="107"/>
        <v>0.19780219780219779</v>
      </c>
      <c r="Q215" s="572">
        <f t="shared" si="107"/>
        <v>0</v>
      </c>
      <c r="R215" s="572">
        <f t="shared" si="107"/>
        <v>0</v>
      </c>
      <c r="S215" s="575">
        <f t="shared" si="107"/>
        <v>0</v>
      </c>
      <c r="T215" s="574">
        <f t="shared" si="107"/>
        <v>0</v>
      </c>
      <c r="U215" s="253"/>
      <c r="V215" s="254">
        <v>1029</v>
      </c>
      <c r="W215" s="255">
        <v>616</v>
      </c>
      <c r="X215" s="255">
        <v>196</v>
      </c>
      <c r="Y215" s="255">
        <v>179</v>
      </c>
      <c r="Z215" s="255">
        <v>134</v>
      </c>
      <c r="AA215" s="255">
        <v>13</v>
      </c>
      <c r="AB215" s="251"/>
      <c r="AC215" s="256">
        <v>2167</v>
      </c>
      <c r="AD215" s="254"/>
      <c r="AE215" s="255"/>
      <c r="AF215" s="255"/>
      <c r="AG215" s="255"/>
      <c r="AH215" s="255"/>
      <c r="AI215" s="257">
        <v>288</v>
      </c>
      <c r="AJ215" s="254"/>
      <c r="AK215" s="255"/>
      <c r="AL215" s="257"/>
      <c r="AM215" s="254"/>
      <c r="AN215" s="563"/>
    </row>
    <row r="216" spans="1:41" ht="12.75" customHeight="1">
      <c r="A216" s="239"/>
      <c r="B216" s="239" t="s">
        <v>55</v>
      </c>
      <c r="C216" s="572">
        <f>IF(V216&gt;0,(V216/V219),0)</f>
        <v>0.2143724204904103</v>
      </c>
      <c r="D216" s="572">
        <f t="shared" ref="D216:T216" si="108">IF(W216&gt;0,(W216/W219),0)</f>
        <v>0.28212162780064015</v>
      </c>
      <c r="E216" s="572">
        <f t="shared" si="108"/>
        <v>0.31454005934718099</v>
      </c>
      <c r="F216" s="572">
        <f t="shared" si="108"/>
        <v>0.32986627043090638</v>
      </c>
      <c r="G216" s="572">
        <f t="shared" si="108"/>
        <v>0.27631578947368424</v>
      </c>
      <c r="H216" s="572">
        <f t="shared" si="108"/>
        <v>0.40277777777777779</v>
      </c>
      <c r="I216" s="572">
        <f t="shared" si="108"/>
        <v>0</v>
      </c>
      <c r="J216" s="573">
        <f t="shared" si="108"/>
        <v>0.255347756997922</v>
      </c>
      <c r="K216" s="574">
        <f t="shared" si="108"/>
        <v>0</v>
      </c>
      <c r="L216" s="572">
        <f t="shared" si="108"/>
        <v>0</v>
      </c>
      <c r="M216" s="572">
        <f t="shared" si="108"/>
        <v>0</v>
      </c>
      <c r="N216" s="572">
        <f t="shared" si="108"/>
        <v>0</v>
      </c>
      <c r="O216" s="575">
        <f t="shared" si="108"/>
        <v>0</v>
      </c>
      <c r="P216" s="574">
        <f t="shared" si="108"/>
        <v>0.4107142857142857</v>
      </c>
      <c r="Q216" s="572">
        <f t="shared" si="108"/>
        <v>0</v>
      </c>
      <c r="R216" s="572">
        <f t="shared" si="108"/>
        <v>0</v>
      </c>
      <c r="S216" s="575">
        <f t="shared" si="108"/>
        <v>0</v>
      </c>
      <c r="T216" s="574">
        <f t="shared" si="108"/>
        <v>0</v>
      </c>
      <c r="U216" s="253"/>
      <c r="V216" s="254">
        <v>883</v>
      </c>
      <c r="W216" s="255">
        <v>617</v>
      </c>
      <c r="X216" s="255">
        <v>212</v>
      </c>
      <c r="Y216" s="255">
        <v>222</v>
      </c>
      <c r="Z216" s="255">
        <v>126</v>
      </c>
      <c r="AA216" s="255">
        <v>29</v>
      </c>
      <c r="AB216" s="251"/>
      <c r="AC216" s="256">
        <v>2089</v>
      </c>
      <c r="AD216" s="254"/>
      <c r="AE216" s="255"/>
      <c r="AF216" s="255"/>
      <c r="AG216" s="255"/>
      <c r="AH216" s="255"/>
      <c r="AI216" s="257">
        <v>598</v>
      </c>
      <c r="AJ216" s="254"/>
      <c r="AK216" s="255"/>
      <c r="AL216" s="257"/>
      <c r="AM216" s="254"/>
      <c r="AN216" s="563"/>
    </row>
    <row r="217" spans="1:41" ht="12.75" customHeight="1">
      <c r="A217" s="239"/>
      <c r="B217" s="239" t="s">
        <v>78</v>
      </c>
      <c r="C217" s="572">
        <f>IF(V217&gt;0,(V217/V219),0)</f>
        <v>1.9422189851905803E-3</v>
      </c>
      <c r="D217" s="572">
        <f t="shared" ref="D217:T217" si="109">IF(W217&gt;0,(W217/W219),0)</f>
        <v>0.10242341106538637</v>
      </c>
      <c r="E217" s="572">
        <f t="shared" si="109"/>
        <v>3.4124629080118693E-2</v>
      </c>
      <c r="F217" s="572">
        <f t="shared" si="109"/>
        <v>0.14858841010401189</v>
      </c>
      <c r="G217" s="572">
        <f t="shared" si="109"/>
        <v>4.3859649122807015E-3</v>
      </c>
      <c r="H217" s="572">
        <f t="shared" si="109"/>
        <v>0</v>
      </c>
      <c r="I217" s="572">
        <f t="shared" si="109"/>
        <v>0</v>
      </c>
      <c r="J217" s="573">
        <f t="shared" si="109"/>
        <v>4.3637697103043639E-2</v>
      </c>
      <c r="K217" s="574">
        <f t="shared" si="109"/>
        <v>0</v>
      </c>
      <c r="L217" s="572">
        <f t="shared" si="109"/>
        <v>0</v>
      </c>
      <c r="M217" s="572">
        <f t="shared" si="109"/>
        <v>0</v>
      </c>
      <c r="N217" s="572">
        <f t="shared" si="109"/>
        <v>0</v>
      </c>
      <c r="O217" s="575">
        <f t="shared" si="109"/>
        <v>0</v>
      </c>
      <c r="P217" s="574">
        <f t="shared" si="109"/>
        <v>0.24038461538461539</v>
      </c>
      <c r="Q217" s="572">
        <f t="shared" si="109"/>
        <v>0</v>
      </c>
      <c r="R217" s="572">
        <f t="shared" si="109"/>
        <v>0</v>
      </c>
      <c r="S217" s="575">
        <f t="shared" si="109"/>
        <v>0</v>
      </c>
      <c r="T217" s="574">
        <f t="shared" si="109"/>
        <v>0</v>
      </c>
      <c r="U217" s="253"/>
      <c r="V217" s="254">
        <v>8</v>
      </c>
      <c r="W217" s="255">
        <v>224</v>
      </c>
      <c r="X217" s="255">
        <v>23</v>
      </c>
      <c r="Y217" s="255">
        <v>100</v>
      </c>
      <c r="Z217" s="255">
        <v>2</v>
      </c>
      <c r="AA217" s="255"/>
      <c r="AB217" s="251"/>
      <c r="AC217" s="256">
        <v>357</v>
      </c>
      <c r="AD217" s="254"/>
      <c r="AE217" s="255"/>
      <c r="AF217" s="255"/>
      <c r="AG217" s="255"/>
      <c r="AH217" s="255"/>
      <c r="AI217" s="257">
        <v>350</v>
      </c>
      <c r="AJ217" s="254"/>
      <c r="AK217" s="255"/>
      <c r="AL217" s="257"/>
      <c r="AM217" s="254"/>
      <c r="AN217" s="563"/>
    </row>
    <row r="218" spans="1:41" ht="12.75" customHeight="1">
      <c r="A218" s="580"/>
      <c r="B218" s="580" t="s">
        <v>131</v>
      </c>
      <c r="C218" s="581">
        <f>IF(V218&gt;0,(V218/V219),0)</f>
        <v>0.17601359553289633</v>
      </c>
      <c r="D218" s="582">
        <f t="shared" ref="D218:T218" si="110">IF(W218&gt;0,(W218/W219),0)</f>
        <v>8.77914951989026E-2</v>
      </c>
      <c r="E218" s="582">
        <f t="shared" si="110"/>
        <v>0.14094955489614244</v>
      </c>
      <c r="F218" s="582">
        <f t="shared" si="110"/>
        <v>0.11589895988112928</v>
      </c>
      <c r="G218" s="582">
        <f t="shared" si="110"/>
        <v>0.20614035087719298</v>
      </c>
      <c r="H218" s="582">
        <f t="shared" si="110"/>
        <v>0.29166666666666669</v>
      </c>
      <c r="I218" s="583">
        <f t="shared" si="110"/>
        <v>0</v>
      </c>
      <c r="J218" s="584">
        <f t="shared" si="110"/>
        <v>0.14729250702848062</v>
      </c>
      <c r="K218" s="581">
        <f t="shared" si="110"/>
        <v>0</v>
      </c>
      <c r="L218" s="582">
        <f t="shared" si="110"/>
        <v>0</v>
      </c>
      <c r="M218" s="582">
        <f t="shared" si="110"/>
        <v>0</v>
      </c>
      <c r="N218" s="582">
        <f t="shared" si="110"/>
        <v>0</v>
      </c>
      <c r="O218" s="583">
        <f t="shared" si="110"/>
        <v>0</v>
      </c>
      <c r="P218" s="581">
        <f t="shared" si="110"/>
        <v>3.2280219780219783E-2</v>
      </c>
      <c r="Q218" s="581">
        <f t="shared" si="110"/>
        <v>0</v>
      </c>
      <c r="R218" s="582">
        <f t="shared" si="110"/>
        <v>0</v>
      </c>
      <c r="S218" s="583">
        <f t="shared" si="110"/>
        <v>0</v>
      </c>
      <c r="T218" s="581">
        <f t="shared" si="110"/>
        <v>0</v>
      </c>
      <c r="U218" s="253"/>
      <c r="V218" s="254">
        <v>725</v>
      </c>
      <c r="W218" s="255">
        <v>192</v>
      </c>
      <c r="X218" s="255">
        <v>95</v>
      </c>
      <c r="Y218" s="255">
        <v>78</v>
      </c>
      <c r="Z218" s="255">
        <v>94</v>
      </c>
      <c r="AA218" s="255">
        <v>21</v>
      </c>
      <c r="AB218" s="582"/>
      <c r="AC218" s="256">
        <v>1205</v>
      </c>
      <c r="AD218" s="254"/>
      <c r="AE218" s="255"/>
      <c r="AF218" s="255"/>
      <c r="AG218" s="255"/>
      <c r="AH218" s="255"/>
      <c r="AI218" s="257">
        <v>47</v>
      </c>
      <c r="AJ218" s="254"/>
      <c r="AK218" s="255"/>
      <c r="AL218" s="257"/>
      <c r="AM218" s="254"/>
    </row>
    <row r="219" spans="1:41" s="527" customFormat="1" ht="12.75" customHeight="1">
      <c r="A219" s="436"/>
      <c r="B219" s="436" t="s">
        <v>59</v>
      </c>
      <c r="C219" s="456">
        <f>SUM(C214:C218)</f>
        <v>0.99999999999999989</v>
      </c>
      <c r="D219" s="456">
        <f t="shared" ref="D219:T219" si="111">SUM(D214:D218)</f>
        <v>0.99999999999999989</v>
      </c>
      <c r="E219" s="456">
        <f t="shared" si="111"/>
        <v>1</v>
      </c>
      <c r="F219" s="456">
        <f t="shared" si="111"/>
        <v>1</v>
      </c>
      <c r="G219" s="456">
        <f t="shared" si="111"/>
        <v>1</v>
      </c>
      <c r="H219" s="456">
        <f t="shared" si="111"/>
        <v>1</v>
      </c>
      <c r="I219" s="456">
        <f t="shared" si="111"/>
        <v>0</v>
      </c>
      <c r="J219" s="576">
        <f t="shared" si="111"/>
        <v>1</v>
      </c>
      <c r="K219" s="577">
        <f t="shared" si="111"/>
        <v>0</v>
      </c>
      <c r="L219" s="578">
        <f t="shared" si="111"/>
        <v>0</v>
      </c>
      <c r="M219" s="578">
        <f t="shared" si="111"/>
        <v>0</v>
      </c>
      <c r="N219" s="578">
        <f t="shared" si="111"/>
        <v>0</v>
      </c>
      <c r="O219" s="579">
        <f t="shared" si="111"/>
        <v>0</v>
      </c>
      <c r="P219" s="577">
        <f t="shared" si="111"/>
        <v>1</v>
      </c>
      <c r="Q219" s="578">
        <f t="shared" si="111"/>
        <v>0</v>
      </c>
      <c r="R219" s="578">
        <f t="shared" si="111"/>
        <v>0</v>
      </c>
      <c r="S219" s="579">
        <f t="shared" si="111"/>
        <v>0</v>
      </c>
      <c r="T219" s="577">
        <f t="shared" si="111"/>
        <v>0</v>
      </c>
      <c r="U219" s="264"/>
      <c r="V219" s="265">
        <v>4119</v>
      </c>
      <c r="W219" s="266">
        <v>2187</v>
      </c>
      <c r="X219" s="266">
        <v>674</v>
      </c>
      <c r="Y219" s="266">
        <v>673</v>
      </c>
      <c r="Z219" s="266">
        <v>456</v>
      </c>
      <c r="AA219" s="266">
        <v>72</v>
      </c>
      <c r="AB219" s="262"/>
      <c r="AC219" s="267">
        <v>8181</v>
      </c>
      <c r="AD219" s="265"/>
      <c r="AE219" s="266"/>
      <c r="AF219" s="266"/>
      <c r="AG219" s="266"/>
      <c r="AH219" s="266"/>
      <c r="AI219" s="268">
        <v>1456</v>
      </c>
      <c r="AJ219" s="265"/>
      <c r="AK219" s="266"/>
      <c r="AL219" s="268"/>
      <c r="AM219" s="265"/>
      <c r="AN219" s="270"/>
      <c r="AO219" s="270"/>
    </row>
    <row r="220" spans="1:41" ht="12.75" customHeight="1">
      <c r="A220" s="240" t="s">
        <v>142</v>
      </c>
      <c r="B220" s="240" t="s">
        <v>53</v>
      </c>
      <c r="C220" s="568">
        <f>IF(V220&gt;0,(V220/V225),0)</f>
        <v>0.36550934757726061</v>
      </c>
      <c r="D220" s="568">
        <f t="shared" ref="D220:T220" si="112">IF(W220&gt;0,(W220/W225),0)</f>
        <v>0</v>
      </c>
      <c r="E220" s="568">
        <f t="shared" si="112"/>
        <v>0.26169844020797228</v>
      </c>
      <c r="F220" s="568">
        <f t="shared" si="112"/>
        <v>0</v>
      </c>
      <c r="G220" s="568">
        <f t="shared" si="112"/>
        <v>0</v>
      </c>
      <c r="H220" s="568">
        <f t="shared" si="112"/>
        <v>0</v>
      </c>
      <c r="I220" s="568">
        <f t="shared" si="112"/>
        <v>0</v>
      </c>
      <c r="J220" s="569">
        <f t="shared" si="112"/>
        <v>0.34677923702313945</v>
      </c>
      <c r="K220" s="570">
        <f t="shared" si="112"/>
        <v>0</v>
      </c>
      <c r="L220" s="568">
        <f t="shared" si="112"/>
        <v>0</v>
      </c>
      <c r="M220" s="568">
        <f t="shared" si="112"/>
        <v>0</v>
      </c>
      <c r="N220" s="568">
        <f t="shared" si="112"/>
        <v>0</v>
      </c>
      <c r="O220" s="571">
        <f t="shared" si="112"/>
        <v>0</v>
      </c>
      <c r="P220" s="570">
        <f t="shared" si="112"/>
        <v>0.22619702806824435</v>
      </c>
      <c r="Q220" s="568">
        <f t="shared" si="112"/>
        <v>0</v>
      </c>
      <c r="R220" s="568">
        <f t="shared" si="112"/>
        <v>0</v>
      </c>
      <c r="S220" s="571">
        <f t="shared" si="112"/>
        <v>0</v>
      </c>
      <c r="T220" s="570">
        <f t="shared" si="112"/>
        <v>0</v>
      </c>
      <c r="U220" s="253"/>
      <c r="V220" s="245">
        <v>958</v>
      </c>
      <c r="W220" s="246"/>
      <c r="X220" s="246">
        <v>151</v>
      </c>
      <c r="Y220" s="246"/>
      <c r="Z220" s="246"/>
      <c r="AA220" s="246"/>
      <c r="AB220" s="242"/>
      <c r="AC220" s="247">
        <v>1109</v>
      </c>
      <c r="AD220" s="245"/>
      <c r="AE220" s="246"/>
      <c r="AF220" s="246"/>
      <c r="AG220" s="246"/>
      <c r="AH220" s="246"/>
      <c r="AI220" s="248">
        <v>411</v>
      </c>
      <c r="AJ220" s="245"/>
      <c r="AK220" s="246"/>
      <c r="AL220" s="248"/>
      <c r="AM220" s="245"/>
      <c r="AN220" s="563"/>
    </row>
    <row r="221" spans="1:41" ht="12.75" customHeight="1">
      <c r="A221" s="239"/>
      <c r="B221" s="239" t="s">
        <v>93</v>
      </c>
      <c r="C221" s="572">
        <f>IF(V221&gt;0,(V221/V225),0)</f>
        <v>0.28691339183517739</v>
      </c>
      <c r="D221" s="572">
        <f t="shared" ref="D221:T221" si="113">IF(W221&gt;0,(W221/W225),0)</f>
        <v>0</v>
      </c>
      <c r="E221" s="572">
        <f t="shared" si="113"/>
        <v>0.32755632582322358</v>
      </c>
      <c r="F221" s="572">
        <f t="shared" si="113"/>
        <v>0</v>
      </c>
      <c r="G221" s="572">
        <f t="shared" si="113"/>
        <v>0</v>
      </c>
      <c r="H221" s="572">
        <f t="shared" si="113"/>
        <v>0</v>
      </c>
      <c r="I221" s="572">
        <f t="shared" si="113"/>
        <v>0</v>
      </c>
      <c r="J221" s="573">
        <f t="shared" si="113"/>
        <v>0.29424640400250157</v>
      </c>
      <c r="K221" s="574">
        <f t="shared" si="113"/>
        <v>0</v>
      </c>
      <c r="L221" s="572">
        <f t="shared" si="113"/>
        <v>0</v>
      </c>
      <c r="M221" s="572">
        <f t="shared" si="113"/>
        <v>0</v>
      </c>
      <c r="N221" s="572">
        <f t="shared" si="113"/>
        <v>0</v>
      </c>
      <c r="O221" s="575">
        <f t="shared" si="113"/>
        <v>0</v>
      </c>
      <c r="P221" s="574">
        <f t="shared" si="113"/>
        <v>0.10897083104017612</v>
      </c>
      <c r="Q221" s="572">
        <f t="shared" si="113"/>
        <v>0</v>
      </c>
      <c r="R221" s="572">
        <f t="shared" si="113"/>
        <v>0</v>
      </c>
      <c r="S221" s="575">
        <f t="shared" si="113"/>
        <v>0</v>
      </c>
      <c r="T221" s="574">
        <f t="shared" si="113"/>
        <v>0</v>
      </c>
      <c r="U221" s="253"/>
      <c r="V221" s="254">
        <v>752</v>
      </c>
      <c r="W221" s="255"/>
      <c r="X221" s="255">
        <v>189</v>
      </c>
      <c r="Y221" s="255"/>
      <c r="Z221" s="255"/>
      <c r="AA221" s="255"/>
      <c r="AB221" s="251"/>
      <c r="AC221" s="256">
        <v>941</v>
      </c>
      <c r="AD221" s="254"/>
      <c r="AE221" s="255"/>
      <c r="AF221" s="255"/>
      <c r="AG221" s="255"/>
      <c r="AH221" s="255"/>
      <c r="AI221" s="257">
        <v>198</v>
      </c>
      <c r="AJ221" s="254"/>
      <c r="AK221" s="255"/>
      <c r="AL221" s="257"/>
      <c r="AM221" s="254"/>
      <c r="AN221" s="563"/>
    </row>
    <row r="222" spans="1:41" ht="12.75" customHeight="1">
      <c r="A222" s="239"/>
      <c r="B222" s="239" t="s">
        <v>55</v>
      </c>
      <c r="C222" s="572">
        <f>IF(V222&gt;0,(V222/V225),0)</f>
        <v>0.22701259061426937</v>
      </c>
      <c r="D222" s="572">
        <f t="shared" ref="D222:T222" si="114">IF(W222&gt;0,(W222/W225),0)</f>
        <v>0</v>
      </c>
      <c r="E222" s="572">
        <f t="shared" si="114"/>
        <v>0.20450606585788561</v>
      </c>
      <c r="F222" s="572">
        <f t="shared" si="114"/>
        <v>0</v>
      </c>
      <c r="G222" s="572">
        <f t="shared" si="114"/>
        <v>0</v>
      </c>
      <c r="H222" s="572">
        <f t="shared" si="114"/>
        <v>0</v>
      </c>
      <c r="I222" s="572">
        <f t="shared" si="114"/>
        <v>0</v>
      </c>
      <c r="J222" s="573">
        <f t="shared" si="114"/>
        <v>0.22295184490306441</v>
      </c>
      <c r="K222" s="574">
        <f t="shared" si="114"/>
        <v>0</v>
      </c>
      <c r="L222" s="572">
        <f t="shared" si="114"/>
        <v>0</v>
      </c>
      <c r="M222" s="572">
        <f t="shared" si="114"/>
        <v>0</v>
      </c>
      <c r="N222" s="572">
        <f t="shared" si="114"/>
        <v>0</v>
      </c>
      <c r="O222" s="575">
        <f t="shared" si="114"/>
        <v>0</v>
      </c>
      <c r="P222" s="574">
        <f t="shared" si="114"/>
        <v>7.9251513483764441E-2</v>
      </c>
      <c r="Q222" s="572">
        <f t="shared" si="114"/>
        <v>0</v>
      </c>
      <c r="R222" s="572">
        <f t="shared" si="114"/>
        <v>0</v>
      </c>
      <c r="S222" s="575">
        <f t="shared" si="114"/>
        <v>0</v>
      </c>
      <c r="T222" s="574">
        <f t="shared" si="114"/>
        <v>0</v>
      </c>
      <c r="U222" s="253"/>
      <c r="V222" s="254">
        <v>595</v>
      </c>
      <c r="W222" s="255"/>
      <c r="X222" s="255">
        <v>118</v>
      </c>
      <c r="Y222" s="255"/>
      <c r="Z222" s="255"/>
      <c r="AA222" s="255"/>
      <c r="AB222" s="251"/>
      <c r="AC222" s="256">
        <v>713</v>
      </c>
      <c r="AD222" s="254"/>
      <c r="AE222" s="255"/>
      <c r="AF222" s="255"/>
      <c r="AG222" s="255"/>
      <c r="AH222" s="255"/>
      <c r="AI222" s="257">
        <v>144</v>
      </c>
      <c r="AJ222" s="254"/>
      <c r="AK222" s="255"/>
      <c r="AL222" s="257"/>
      <c r="AM222" s="254"/>
      <c r="AN222" s="563"/>
    </row>
    <row r="223" spans="1:41" ht="12.75" customHeight="1">
      <c r="A223" s="239"/>
      <c r="B223" s="239" t="s">
        <v>78</v>
      </c>
      <c r="C223" s="572">
        <f>IF(V223&gt;0,(V223/V225),0)</f>
        <v>1.5261350629530714E-2</v>
      </c>
      <c r="D223" s="572">
        <f t="shared" ref="D223:T223" si="115">IF(W223&gt;0,(W223/W225),0)</f>
        <v>0</v>
      </c>
      <c r="E223" s="572">
        <f t="shared" si="115"/>
        <v>0.20623916811091855</v>
      </c>
      <c r="F223" s="572">
        <f t="shared" si="115"/>
        <v>0</v>
      </c>
      <c r="G223" s="572">
        <f t="shared" si="115"/>
        <v>0</v>
      </c>
      <c r="H223" s="572">
        <f t="shared" si="115"/>
        <v>0</v>
      </c>
      <c r="I223" s="572">
        <f t="shared" si="115"/>
        <v>0</v>
      </c>
      <c r="J223" s="573">
        <f t="shared" si="115"/>
        <v>4.9718574108818012E-2</v>
      </c>
      <c r="K223" s="574">
        <f t="shared" si="115"/>
        <v>0</v>
      </c>
      <c r="L223" s="572">
        <f t="shared" si="115"/>
        <v>0</v>
      </c>
      <c r="M223" s="572">
        <f t="shared" si="115"/>
        <v>0</v>
      </c>
      <c r="N223" s="572">
        <f t="shared" si="115"/>
        <v>0</v>
      </c>
      <c r="O223" s="575">
        <f t="shared" si="115"/>
        <v>0</v>
      </c>
      <c r="P223" s="574">
        <f t="shared" si="115"/>
        <v>0.42652724270776005</v>
      </c>
      <c r="Q223" s="572">
        <f t="shared" si="115"/>
        <v>0</v>
      </c>
      <c r="R223" s="572">
        <f t="shared" si="115"/>
        <v>0</v>
      </c>
      <c r="S223" s="575">
        <f t="shared" si="115"/>
        <v>0</v>
      </c>
      <c r="T223" s="574">
        <f t="shared" si="115"/>
        <v>0</v>
      </c>
      <c r="U223" s="253"/>
      <c r="V223" s="254">
        <v>40</v>
      </c>
      <c r="W223" s="255"/>
      <c r="X223" s="255">
        <v>119</v>
      </c>
      <c r="Y223" s="255"/>
      <c r="Z223" s="255"/>
      <c r="AA223" s="255"/>
      <c r="AB223" s="251"/>
      <c r="AC223" s="256">
        <v>159</v>
      </c>
      <c r="AD223" s="254"/>
      <c r="AE223" s="255"/>
      <c r="AF223" s="255"/>
      <c r="AG223" s="255"/>
      <c r="AH223" s="255"/>
      <c r="AI223" s="257">
        <v>775</v>
      </c>
      <c r="AJ223" s="254"/>
      <c r="AK223" s="255"/>
      <c r="AL223" s="257"/>
      <c r="AM223" s="254"/>
      <c r="AN223" s="563"/>
    </row>
    <row r="224" spans="1:41" ht="12.75" customHeight="1">
      <c r="A224" s="580"/>
      <c r="B224" s="580" t="s">
        <v>131</v>
      </c>
      <c r="C224" s="581">
        <f>IF(V224&gt;0,(V224/V225),0)</f>
        <v>0.10530331934376193</v>
      </c>
      <c r="D224" s="582">
        <f t="shared" ref="D224:T224" si="116">IF(W224&gt;0,(W224/W225),0)</f>
        <v>0</v>
      </c>
      <c r="E224" s="582">
        <f t="shared" si="116"/>
        <v>0</v>
      </c>
      <c r="F224" s="582">
        <f t="shared" si="116"/>
        <v>0</v>
      </c>
      <c r="G224" s="582">
        <f t="shared" si="116"/>
        <v>0</v>
      </c>
      <c r="H224" s="582">
        <f t="shared" si="116"/>
        <v>0</v>
      </c>
      <c r="I224" s="583">
        <f t="shared" si="116"/>
        <v>0</v>
      </c>
      <c r="J224" s="584">
        <f t="shared" si="116"/>
        <v>8.6303939962476553E-2</v>
      </c>
      <c r="K224" s="581">
        <f t="shared" si="116"/>
        <v>0</v>
      </c>
      <c r="L224" s="582">
        <f t="shared" si="116"/>
        <v>0</v>
      </c>
      <c r="M224" s="582">
        <f t="shared" si="116"/>
        <v>0</v>
      </c>
      <c r="N224" s="582">
        <f t="shared" si="116"/>
        <v>0</v>
      </c>
      <c r="O224" s="583">
        <f t="shared" si="116"/>
        <v>0</v>
      </c>
      <c r="P224" s="581">
        <f t="shared" si="116"/>
        <v>0.15905338470005503</v>
      </c>
      <c r="Q224" s="581">
        <f t="shared" si="116"/>
        <v>0</v>
      </c>
      <c r="R224" s="582">
        <f t="shared" si="116"/>
        <v>0</v>
      </c>
      <c r="S224" s="583">
        <f t="shared" si="116"/>
        <v>0</v>
      </c>
      <c r="T224" s="581">
        <f t="shared" si="116"/>
        <v>0</v>
      </c>
      <c r="U224" s="253"/>
      <c r="V224" s="254">
        <v>276</v>
      </c>
      <c r="W224" s="255"/>
      <c r="X224" s="255"/>
      <c r="Y224" s="255"/>
      <c r="Z224" s="255"/>
      <c r="AA224" s="255"/>
      <c r="AB224" s="582"/>
      <c r="AC224" s="256">
        <v>276</v>
      </c>
      <c r="AD224" s="254"/>
      <c r="AE224" s="255"/>
      <c r="AF224" s="255"/>
      <c r="AG224" s="255"/>
      <c r="AH224" s="255"/>
      <c r="AI224" s="257">
        <v>289</v>
      </c>
      <c r="AJ224" s="254"/>
      <c r="AK224" s="255"/>
      <c r="AL224" s="257"/>
      <c r="AM224" s="254"/>
    </row>
    <row r="225" spans="1:41" s="527" customFormat="1" ht="12.75" customHeight="1">
      <c r="A225" s="436"/>
      <c r="B225" s="436" t="s">
        <v>59</v>
      </c>
      <c r="C225" s="456">
        <f>SUM(C220:C224)</f>
        <v>1</v>
      </c>
      <c r="D225" s="456">
        <f t="shared" ref="D225:T225" si="117">SUM(D220:D224)</f>
        <v>0</v>
      </c>
      <c r="E225" s="456">
        <f t="shared" si="117"/>
        <v>1</v>
      </c>
      <c r="F225" s="456">
        <f t="shared" si="117"/>
        <v>0</v>
      </c>
      <c r="G225" s="456">
        <f t="shared" si="117"/>
        <v>0</v>
      </c>
      <c r="H225" s="456">
        <f t="shared" si="117"/>
        <v>0</v>
      </c>
      <c r="I225" s="456">
        <f t="shared" si="117"/>
        <v>0</v>
      </c>
      <c r="J225" s="576">
        <f t="shared" si="117"/>
        <v>0.99999999999999989</v>
      </c>
      <c r="K225" s="577">
        <f t="shared" si="117"/>
        <v>0</v>
      </c>
      <c r="L225" s="578">
        <f t="shared" si="117"/>
        <v>0</v>
      </c>
      <c r="M225" s="578">
        <f t="shared" si="117"/>
        <v>0</v>
      </c>
      <c r="N225" s="578">
        <f t="shared" si="117"/>
        <v>0</v>
      </c>
      <c r="O225" s="579">
        <f t="shared" si="117"/>
        <v>0</v>
      </c>
      <c r="P225" s="577">
        <f t="shared" si="117"/>
        <v>1</v>
      </c>
      <c r="Q225" s="578">
        <f t="shared" si="117"/>
        <v>0</v>
      </c>
      <c r="R225" s="578">
        <f t="shared" si="117"/>
        <v>0</v>
      </c>
      <c r="S225" s="579">
        <f t="shared" si="117"/>
        <v>0</v>
      </c>
      <c r="T225" s="577">
        <f t="shared" si="117"/>
        <v>0</v>
      </c>
      <c r="U225" s="264"/>
      <c r="V225" s="265">
        <v>2621</v>
      </c>
      <c r="W225" s="266"/>
      <c r="X225" s="266">
        <v>577</v>
      </c>
      <c r="Y225" s="266"/>
      <c r="Z225" s="266"/>
      <c r="AA225" s="266"/>
      <c r="AB225" s="262"/>
      <c r="AC225" s="267">
        <v>3198</v>
      </c>
      <c r="AD225" s="265"/>
      <c r="AE225" s="266"/>
      <c r="AF225" s="266"/>
      <c r="AG225" s="266"/>
      <c r="AH225" s="266"/>
      <c r="AI225" s="268">
        <v>1817</v>
      </c>
      <c r="AJ225" s="265"/>
      <c r="AK225" s="266"/>
      <c r="AL225" s="268"/>
      <c r="AM225" s="265"/>
      <c r="AN225" s="270"/>
      <c r="AO225" s="270"/>
    </row>
    <row r="226" spans="1:41" ht="12.75" customHeight="1">
      <c r="A226" s="240" t="s">
        <v>146</v>
      </c>
      <c r="B226" s="240" t="s">
        <v>53</v>
      </c>
      <c r="C226" s="568">
        <f>IF(V226&gt;0,(V226/V231),0)</f>
        <v>0.3252496433666191</v>
      </c>
      <c r="D226" s="568">
        <f t="shared" ref="D226:T226" si="118">IF(W226&gt;0,(W226/W231),0)</f>
        <v>0.30184331797235026</v>
      </c>
      <c r="E226" s="568">
        <f t="shared" si="118"/>
        <v>0.26535341830822712</v>
      </c>
      <c r="F226" s="568">
        <f t="shared" si="118"/>
        <v>0.25193798449612403</v>
      </c>
      <c r="G226" s="568">
        <f t="shared" si="118"/>
        <v>0</v>
      </c>
      <c r="H226" s="568">
        <f t="shared" si="118"/>
        <v>0</v>
      </c>
      <c r="I226" s="568">
        <f t="shared" si="118"/>
        <v>0</v>
      </c>
      <c r="J226" s="569">
        <f t="shared" si="118"/>
        <v>0.30317113176599236</v>
      </c>
      <c r="K226" s="570">
        <f t="shared" si="118"/>
        <v>0</v>
      </c>
      <c r="L226" s="568">
        <f t="shared" si="118"/>
        <v>0</v>
      </c>
      <c r="M226" s="568">
        <f t="shared" si="118"/>
        <v>0</v>
      </c>
      <c r="N226" s="568">
        <f t="shared" si="118"/>
        <v>0</v>
      </c>
      <c r="O226" s="571">
        <f t="shared" si="118"/>
        <v>0</v>
      </c>
      <c r="P226" s="570">
        <f t="shared" si="118"/>
        <v>0.17381360777587193</v>
      </c>
      <c r="Q226" s="568">
        <f t="shared" si="118"/>
        <v>0</v>
      </c>
      <c r="R226" s="568">
        <f t="shared" si="118"/>
        <v>0</v>
      </c>
      <c r="S226" s="571">
        <f t="shared" si="118"/>
        <v>0</v>
      </c>
      <c r="T226" s="570">
        <f t="shared" si="118"/>
        <v>0</v>
      </c>
      <c r="U226" s="253"/>
      <c r="V226" s="245">
        <v>684</v>
      </c>
      <c r="W226" s="246">
        <v>131</v>
      </c>
      <c r="X226" s="246">
        <v>229</v>
      </c>
      <c r="Y226" s="246">
        <v>65</v>
      </c>
      <c r="Z226" s="246"/>
      <c r="AA226" s="246"/>
      <c r="AB226" s="242"/>
      <c r="AC226" s="247">
        <v>1109</v>
      </c>
      <c r="AD226" s="245"/>
      <c r="AE226" s="246"/>
      <c r="AF226" s="246"/>
      <c r="AG226" s="246"/>
      <c r="AH226" s="246"/>
      <c r="AI226" s="248">
        <v>304</v>
      </c>
      <c r="AJ226" s="245"/>
      <c r="AK226" s="246"/>
      <c r="AL226" s="248"/>
      <c r="AM226" s="245"/>
      <c r="AN226" s="563"/>
    </row>
    <row r="227" spans="1:41" ht="12.75" customHeight="1">
      <c r="A227" s="239"/>
      <c r="B227" s="239" t="s">
        <v>93</v>
      </c>
      <c r="C227" s="572">
        <f>IF(V227&gt;0,(V227/V231),0)</f>
        <v>0.31906799809795527</v>
      </c>
      <c r="D227" s="572">
        <f t="shared" ref="D227:T227" si="119">IF(W227&gt;0,(W227/W231),0)</f>
        <v>0.29953917050691242</v>
      </c>
      <c r="E227" s="572">
        <f t="shared" si="119"/>
        <v>0.23754345307068367</v>
      </c>
      <c r="F227" s="572">
        <f t="shared" si="119"/>
        <v>0.2558139534883721</v>
      </c>
      <c r="G227" s="572">
        <f t="shared" si="119"/>
        <v>0</v>
      </c>
      <c r="H227" s="572">
        <f t="shared" si="119"/>
        <v>0</v>
      </c>
      <c r="I227" s="572">
        <f t="shared" si="119"/>
        <v>0</v>
      </c>
      <c r="J227" s="573">
        <f t="shared" si="119"/>
        <v>0.29305631492618917</v>
      </c>
      <c r="K227" s="574">
        <f t="shared" si="119"/>
        <v>0</v>
      </c>
      <c r="L227" s="572">
        <f t="shared" si="119"/>
        <v>0</v>
      </c>
      <c r="M227" s="572">
        <f t="shared" si="119"/>
        <v>0</v>
      </c>
      <c r="N227" s="572">
        <f t="shared" si="119"/>
        <v>0</v>
      </c>
      <c r="O227" s="575">
        <f t="shared" si="119"/>
        <v>0</v>
      </c>
      <c r="P227" s="574">
        <f t="shared" si="119"/>
        <v>7.8330474556889657E-2</v>
      </c>
      <c r="Q227" s="572">
        <f t="shared" si="119"/>
        <v>0</v>
      </c>
      <c r="R227" s="572">
        <f t="shared" si="119"/>
        <v>0</v>
      </c>
      <c r="S227" s="575">
        <f t="shared" si="119"/>
        <v>0</v>
      </c>
      <c r="T227" s="574">
        <f t="shared" si="119"/>
        <v>0</v>
      </c>
      <c r="U227" s="253"/>
      <c r="V227" s="254">
        <v>671</v>
      </c>
      <c r="W227" s="255">
        <v>130</v>
      </c>
      <c r="X227" s="255">
        <v>205</v>
      </c>
      <c r="Y227" s="255">
        <v>66</v>
      </c>
      <c r="Z227" s="255"/>
      <c r="AA227" s="255"/>
      <c r="AB227" s="251"/>
      <c r="AC227" s="256">
        <v>1072</v>
      </c>
      <c r="AD227" s="254"/>
      <c r="AE227" s="255"/>
      <c r="AF227" s="255"/>
      <c r="AG227" s="255"/>
      <c r="AH227" s="255"/>
      <c r="AI227" s="257">
        <v>137</v>
      </c>
      <c r="AJ227" s="254"/>
      <c r="AK227" s="255"/>
      <c r="AL227" s="257"/>
      <c r="AM227" s="254"/>
      <c r="AN227" s="563"/>
    </row>
    <row r="228" spans="1:41" ht="12.75" customHeight="1">
      <c r="A228" s="239"/>
      <c r="B228" s="239" t="s">
        <v>55</v>
      </c>
      <c r="C228" s="572">
        <f>IF(V228&gt;0,(V228/V231),0)</f>
        <v>0.23632905373276272</v>
      </c>
      <c r="D228" s="572">
        <f t="shared" ref="D228:T228" si="120">IF(W228&gt;0,(W228/W231),0)</f>
        <v>0.2119815668202765</v>
      </c>
      <c r="E228" s="572">
        <f t="shared" si="120"/>
        <v>0.25955967555040554</v>
      </c>
      <c r="F228" s="572">
        <f t="shared" si="120"/>
        <v>0.2441860465116279</v>
      </c>
      <c r="G228" s="572">
        <f t="shared" si="120"/>
        <v>0</v>
      </c>
      <c r="H228" s="572">
        <f t="shared" si="120"/>
        <v>0</v>
      </c>
      <c r="I228" s="572">
        <f t="shared" si="120"/>
        <v>0</v>
      </c>
      <c r="J228" s="573">
        <f t="shared" si="120"/>
        <v>0.23947512301804263</v>
      </c>
      <c r="K228" s="574">
        <f t="shared" si="120"/>
        <v>0</v>
      </c>
      <c r="L228" s="572">
        <f t="shared" si="120"/>
        <v>0</v>
      </c>
      <c r="M228" s="572">
        <f t="shared" si="120"/>
        <v>0</v>
      </c>
      <c r="N228" s="572">
        <f t="shared" si="120"/>
        <v>0</v>
      </c>
      <c r="O228" s="575">
        <f t="shared" si="120"/>
        <v>0</v>
      </c>
      <c r="P228" s="574">
        <f t="shared" si="120"/>
        <v>6.0606060606060608E-2</v>
      </c>
      <c r="Q228" s="572">
        <f t="shared" si="120"/>
        <v>0</v>
      </c>
      <c r="R228" s="572">
        <f t="shared" si="120"/>
        <v>0</v>
      </c>
      <c r="S228" s="575">
        <f t="shared" si="120"/>
        <v>0</v>
      </c>
      <c r="T228" s="574">
        <f t="shared" si="120"/>
        <v>0</v>
      </c>
      <c r="U228" s="253"/>
      <c r="V228" s="254">
        <v>497</v>
      </c>
      <c r="W228" s="255">
        <v>92</v>
      </c>
      <c r="X228" s="255">
        <v>224</v>
      </c>
      <c r="Y228" s="255">
        <v>63</v>
      </c>
      <c r="Z228" s="255"/>
      <c r="AA228" s="255"/>
      <c r="AB228" s="251"/>
      <c r="AC228" s="256">
        <v>876</v>
      </c>
      <c r="AD228" s="254"/>
      <c r="AE228" s="255"/>
      <c r="AF228" s="255"/>
      <c r="AG228" s="255"/>
      <c r="AH228" s="255"/>
      <c r="AI228" s="257">
        <v>106</v>
      </c>
      <c r="AJ228" s="254"/>
      <c r="AK228" s="255"/>
      <c r="AL228" s="257"/>
      <c r="AM228" s="254"/>
      <c r="AN228" s="563"/>
    </row>
    <row r="229" spans="1:41" ht="12.75" customHeight="1">
      <c r="A229" s="239"/>
      <c r="B229" s="239" t="s">
        <v>78</v>
      </c>
      <c r="C229" s="572">
        <f>IF(V229&gt;0,(V229/V231),0)</f>
        <v>7.798383262006657E-2</v>
      </c>
      <c r="D229" s="572">
        <f t="shared" ref="D229:T229" si="121">IF(W229&gt;0,(W229/W231),0)</f>
        <v>5.9907834101382486E-2</v>
      </c>
      <c r="E229" s="572">
        <f t="shared" si="121"/>
        <v>0.23754345307068367</v>
      </c>
      <c r="F229" s="572">
        <f t="shared" si="121"/>
        <v>1.1627906976744186E-2</v>
      </c>
      <c r="G229" s="572">
        <f t="shared" si="121"/>
        <v>0</v>
      </c>
      <c r="H229" s="572">
        <f t="shared" si="121"/>
        <v>0</v>
      </c>
      <c r="I229" s="572">
        <f t="shared" si="121"/>
        <v>0</v>
      </c>
      <c r="J229" s="573">
        <f t="shared" si="121"/>
        <v>0.10880262438490979</v>
      </c>
      <c r="K229" s="574">
        <f t="shared" si="121"/>
        <v>0</v>
      </c>
      <c r="L229" s="572">
        <f t="shared" si="121"/>
        <v>0</v>
      </c>
      <c r="M229" s="572">
        <f t="shared" si="121"/>
        <v>0</v>
      </c>
      <c r="N229" s="572">
        <f t="shared" si="121"/>
        <v>0</v>
      </c>
      <c r="O229" s="575">
        <f t="shared" si="121"/>
        <v>0</v>
      </c>
      <c r="P229" s="574">
        <f t="shared" si="121"/>
        <v>0.6449399656946827</v>
      </c>
      <c r="Q229" s="572">
        <f t="shared" si="121"/>
        <v>0</v>
      </c>
      <c r="R229" s="572">
        <f t="shared" si="121"/>
        <v>0</v>
      </c>
      <c r="S229" s="575">
        <f t="shared" si="121"/>
        <v>0</v>
      </c>
      <c r="T229" s="574">
        <f t="shared" si="121"/>
        <v>0</v>
      </c>
      <c r="U229" s="253"/>
      <c r="V229" s="254">
        <v>164</v>
      </c>
      <c r="W229" s="255">
        <v>26</v>
      </c>
      <c r="X229" s="255">
        <v>205</v>
      </c>
      <c r="Y229" s="255">
        <v>3</v>
      </c>
      <c r="Z229" s="255"/>
      <c r="AA229" s="255"/>
      <c r="AB229" s="251"/>
      <c r="AC229" s="256">
        <v>398</v>
      </c>
      <c r="AD229" s="254"/>
      <c r="AE229" s="255"/>
      <c r="AF229" s="255"/>
      <c r="AG229" s="255"/>
      <c r="AH229" s="255"/>
      <c r="AI229" s="257">
        <v>1128</v>
      </c>
      <c r="AJ229" s="254"/>
      <c r="AK229" s="255"/>
      <c r="AL229" s="257"/>
      <c r="AM229" s="254"/>
      <c r="AN229" s="563"/>
    </row>
    <row r="230" spans="1:41" ht="12.75" customHeight="1">
      <c r="A230" s="580"/>
      <c r="B230" s="580" t="s">
        <v>131</v>
      </c>
      <c r="C230" s="581">
        <f>IF(V230&gt;0,(V230/V231),0)</f>
        <v>4.136947218259629E-2</v>
      </c>
      <c r="D230" s="582">
        <f t="shared" ref="D230:T230" si="122">IF(W230&gt;0,(W230/W231),0)</f>
        <v>0.12672811059907835</v>
      </c>
      <c r="E230" s="582">
        <f t="shared" si="122"/>
        <v>0</v>
      </c>
      <c r="F230" s="582">
        <f t="shared" si="122"/>
        <v>0.23643410852713179</v>
      </c>
      <c r="G230" s="582">
        <f t="shared" si="122"/>
        <v>0</v>
      </c>
      <c r="H230" s="582">
        <f t="shared" si="122"/>
        <v>0</v>
      </c>
      <c r="I230" s="583">
        <f t="shared" si="122"/>
        <v>0</v>
      </c>
      <c r="J230" s="584">
        <f t="shared" si="122"/>
        <v>5.5494805904866044E-2</v>
      </c>
      <c r="K230" s="581">
        <f t="shared" si="122"/>
        <v>0</v>
      </c>
      <c r="L230" s="582">
        <f t="shared" si="122"/>
        <v>0</v>
      </c>
      <c r="M230" s="582">
        <f t="shared" si="122"/>
        <v>0</v>
      </c>
      <c r="N230" s="582">
        <f t="shared" si="122"/>
        <v>0</v>
      </c>
      <c r="O230" s="583">
        <f t="shared" si="122"/>
        <v>0</v>
      </c>
      <c r="P230" s="581">
        <f t="shared" si="122"/>
        <v>4.2309891366495142E-2</v>
      </c>
      <c r="Q230" s="581">
        <f t="shared" si="122"/>
        <v>0</v>
      </c>
      <c r="R230" s="582">
        <f t="shared" si="122"/>
        <v>0</v>
      </c>
      <c r="S230" s="583">
        <f t="shared" si="122"/>
        <v>0</v>
      </c>
      <c r="T230" s="581">
        <f t="shared" si="122"/>
        <v>0</v>
      </c>
      <c r="U230" s="253"/>
      <c r="V230" s="254">
        <v>87</v>
      </c>
      <c r="W230" s="255">
        <v>55</v>
      </c>
      <c r="X230" s="255"/>
      <c r="Y230" s="255">
        <v>61</v>
      </c>
      <c r="Z230" s="255"/>
      <c r="AA230" s="255"/>
      <c r="AB230" s="582"/>
      <c r="AC230" s="256">
        <v>203</v>
      </c>
      <c r="AD230" s="254"/>
      <c r="AE230" s="255"/>
      <c r="AF230" s="255"/>
      <c r="AG230" s="255"/>
      <c r="AH230" s="255"/>
      <c r="AI230" s="257">
        <v>74</v>
      </c>
      <c r="AJ230" s="254"/>
      <c r="AK230" s="255"/>
      <c r="AL230" s="257"/>
      <c r="AM230" s="254"/>
    </row>
    <row r="231" spans="1:41" s="527" customFormat="1" ht="12.75" customHeight="1">
      <c r="A231" s="436"/>
      <c r="B231" s="436" t="s">
        <v>59</v>
      </c>
      <c r="C231" s="456">
        <f>SUM(C226:C230)</f>
        <v>1</v>
      </c>
      <c r="D231" s="456">
        <f t="shared" ref="D231:T231" si="123">SUM(D226:D230)</f>
        <v>1</v>
      </c>
      <c r="E231" s="456">
        <f t="shared" si="123"/>
        <v>1</v>
      </c>
      <c r="F231" s="456">
        <f t="shared" si="123"/>
        <v>1</v>
      </c>
      <c r="G231" s="456">
        <f t="shared" si="123"/>
        <v>0</v>
      </c>
      <c r="H231" s="456">
        <f t="shared" si="123"/>
        <v>0</v>
      </c>
      <c r="I231" s="456">
        <f t="shared" si="123"/>
        <v>0</v>
      </c>
      <c r="J231" s="576">
        <f t="shared" si="123"/>
        <v>0.99999999999999989</v>
      </c>
      <c r="K231" s="577">
        <f t="shared" si="123"/>
        <v>0</v>
      </c>
      <c r="L231" s="578">
        <f t="shared" si="123"/>
        <v>0</v>
      </c>
      <c r="M231" s="578">
        <f t="shared" si="123"/>
        <v>0</v>
      </c>
      <c r="N231" s="578">
        <f t="shared" si="123"/>
        <v>0</v>
      </c>
      <c r="O231" s="579">
        <f t="shared" si="123"/>
        <v>0</v>
      </c>
      <c r="P231" s="577">
        <f t="shared" si="123"/>
        <v>1</v>
      </c>
      <c r="Q231" s="578">
        <f t="shared" si="123"/>
        <v>0</v>
      </c>
      <c r="R231" s="578">
        <f t="shared" si="123"/>
        <v>0</v>
      </c>
      <c r="S231" s="579">
        <f t="shared" si="123"/>
        <v>0</v>
      </c>
      <c r="T231" s="577">
        <f t="shared" si="123"/>
        <v>0</v>
      </c>
      <c r="U231" s="264"/>
      <c r="V231" s="265">
        <v>2103</v>
      </c>
      <c r="W231" s="266">
        <v>434</v>
      </c>
      <c r="X231" s="266">
        <v>863</v>
      </c>
      <c r="Y231" s="266">
        <v>258</v>
      </c>
      <c r="Z231" s="266"/>
      <c r="AA231" s="266"/>
      <c r="AB231" s="262"/>
      <c r="AC231" s="267">
        <v>3658</v>
      </c>
      <c r="AD231" s="265"/>
      <c r="AE231" s="266"/>
      <c r="AF231" s="266"/>
      <c r="AG231" s="266"/>
      <c r="AH231" s="266"/>
      <c r="AI231" s="268">
        <v>1749</v>
      </c>
      <c r="AJ231" s="265"/>
      <c r="AK231" s="266"/>
      <c r="AL231" s="268"/>
      <c r="AM231" s="265"/>
      <c r="AN231" s="270"/>
      <c r="AO231" s="270"/>
    </row>
    <row r="232" spans="1:41" ht="12.75" customHeight="1">
      <c r="A232" s="240" t="s">
        <v>149</v>
      </c>
      <c r="B232" s="240" t="s">
        <v>53</v>
      </c>
      <c r="C232" s="568">
        <f>IF(V232&gt;0,(V232/V237),0)</f>
        <v>0.34311087190527451</v>
      </c>
      <c r="D232" s="568">
        <f t="shared" ref="D232:T232" si="124">IF(W232&gt;0,(W232/W237),0)</f>
        <v>0.23204419889502761</v>
      </c>
      <c r="E232" s="568">
        <f t="shared" si="124"/>
        <v>0.30948678071539659</v>
      </c>
      <c r="F232" s="568">
        <f t="shared" si="124"/>
        <v>0.32079021636876764</v>
      </c>
      <c r="G232" s="568">
        <f t="shared" si="124"/>
        <v>0</v>
      </c>
      <c r="H232" s="568">
        <f t="shared" si="124"/>
        <v>0.22123893805309736</v>
      </c>
      <c r="I232" s="568">
        <f t="shared" si="124"/>
        <v>0</v>
      </c>
      <c r="J232" s="569">
        <f t="shared" si="124"/>
        <v>0.32377435575109992</v>
      </c>
      <c r="K232" s="570">
        <f t="shared" si="124"/>
        <v>0</v>
      </c>
      <c r="L232" s="568">
        <f t="shared" si="124"/>
        <v>0</v>
      </c>
      <c r="M232" s="568">
        <f t="shared" si="124"/>
        <v>0</v>
      </c>
      <c r="N232" s="568">
        <f t="shared" si="124"/>
        <v>0</v>
      </c>
      <c r="O232" s="571">
        <f t="shared" si="124"/>
        <v>0</v>
      </c>
      <c r="P232" s="570">
        <f t="shared" si="124"/>
        <v>0.20162656726533379</v>
      </c>
      <c r="Q232" s="568">
        <f t="shared" si="124"/>
        <v>0</v>
      </c>
      <c r="R232" s="568">
        <f t="shared" si="124"/>
        <v>0</v>
      </c>
      <c r="S232" s="571">
        <f t="shared" si="124"/>
        <v>0</v>
      </c>
      <c r="T232" s="570">
        <f t="shared" si="124"/>
        <v>0</v>
      </c>
      <c r="U232" s="253"/>
      <c r="V232" s="245">
        <v>2550</v>
      </c>
      <c r="W232" s="246">
        <v>210</v>
      </c>
      <c r="X232" s="246">
        <v>995</v>
      </c>
      <c r="Y232" s="246">
        <v>341</v>
      </c>
      <c r="Z232" s="246"/>
      <c r="AA232" s="246">
        <v>25</v>
      </c>
      <c r="AB232" s="242"/>
      <c r="AC232" s="247">
        <v>4121</v>
      </c>
      <c r="AD232" s="245"/>
      <c r="AE232" s="246"/>
      <c r="AF232" s="246"/>
      <c r="AG232" s="246"/>
      <c r="AH232" s="246"/>
      <c r="AI232" s="248">
        <v>595</v>
      </c>
      <c r="AJ232" s="245"/>
      <c r="AK232" s="246"/>
      <c r="AL232" s="248"/>
      <c r="AM232" s="245"/>
      <c r="AN232" s="563"/>
    </row>
    <row r="233" spans="1:41" ht="12.75" customHeight="1">
      <c r="A233" s="239"/>
      <c r="B233" s="239" t="s">
        <v>93</v>
      </c>
      <c r="C233" s="572">
        <f>IF(V233&gt;0,(V233/V237),0)</f>
        <v>0.23048977395048439</v>
      </c>
      <c r="D233" s="572">
        <f t="shared" ref="D233:T233" si="125">IF(W233&gt;0,(W233/W237),0)</f>
        <v>0.34806629834254144</v>
      </c>
      <c r="E233" s="572">
        <f t="shared" si="125"/>
        <v>0.2693623639191291</v>
      </c>
      <c r="F233" s="572">
        <f t="shared" si="125"/>
        <v>0.257761053621825</v>
      </c>
      <c r="G233" s="572">
        <f t="shared" si="125"/>
        <v>0</v>
      </c>
      <c r="H233" s="572">
        <f t="shared" si="125"/>
        <v>0.24778761061946902</v>
      </c>
      <c r="I233" s="572">
        <f t="shared" si="125"/>
        <v>0</v>
      </c>
      <c r="J233" s="573">
        <f t="shared" si="125"/>
        <v>0.25109993714644879</v>
      </c>
      <c r="K233" s="574">
        <f t="shared" si="125"/>
        <v>0</v>
      </c>
      <c r="L233" s="572">
        <f t="shared" si="125"/>
        <v>0</v>
      </c>
      <c r="M233" s="572">
        <f t="shared" si="125"/>
        <v>0</v>
      </c>
      <c r="N233" s="572">
        <f t="shared" si="125"/>
        <v>0</v>
      </c>
      <c r="O233" s="575">
        <f t="shared" si="125"/>
        <v>0</v>
      </c>
      <c r="P233" s="574">
        <f t="shared" si="125"/>
        <v>4.7441545238902066E-2</v>
      </c>
      <c r="Q233" s="572">
        <f t="shared" si="125"/>
        <v>0</v>
      </c>
      <c r="R233" s="572">
        <f t="shared" si="125"/>
        <v>0</v>
      </c>
      <c r="S233" s="575">
        <f t="shared" si="125"/>
        <v>0</v>
      </c>
      <c r="T233" s="574">
        <f t="shared" si="125"/>
        <v>0</v>
      </c>
      <c r="U233" s="253"/>
      <c r="V233" s="254">
        <v>1713</v>
      </c>
      <c r="W233" s="255">
        <v>315</v>
      </c>
      <c r="X233" s="255">
        <v>866</v>
      </c>
      <c r="Y233" s="255">
        <v>274</v>
      </c>
      <c r="Z233" s="255"/>
      <c r="AA233" s="255">
        <v>28</v>
      </c>
      <c r="AB233" s="251"/>
      <c r="AC233" s="256">
        <v>3196</v>
      </c>
      <c r="AD233" s="254"/>
      <c r="AE233" s="255"/>
      <c r="AF233" s="255"/>
      <c r="AG233" s="255"/>
      <c r="AH233" s="255"/>
      <c r="AI233" s="257">
        <v>140</v>
      </c>
      <c r="AJ233" s="254"/>
      <c r="AK233" s="255"/>
      <c r="AL233" s="257"/>
      <c r="AM233" s="254"/>
      <c r="AN233" s="563"/>
    </row>
    <row r="234" spans="1:41" ht="12.75" customHeight="1">
      <c r="A234" s="239"/>
      <c r="B234" s="239" t="s">
        <v>55</v>
      </c>
      <c r="C234" s="572">
        <f>IF(V234&gt;0,(V234/V237),0)</f>
        <v>0.2201291711517761</v>
      </c>
      <c r="D234" s="572">
        <f t="shared" ref="D234:T234" si="126">IF(W234&gt;0,(W234/W237),0)</f>
        <v>0.29281767955801102</v>
      </c>
      <c r="E234" s="572">
        <f t="shared" si="126"/>
        <v>0.25816485225505442</v>
      </c>
      <c r="F234" s="572">
        <f t="shared" si="126"/>
        <v>0.27187206020696142</v>
      </c>
      <c r="G234" s="572">
        <f t="shared" si="126"/>
        <v>0</v>
      </c>
      <c r="H234" s="572">
        <f t="shared" si="126"/>
        <v>0.39823008849557523</v>
      </c>
      <c r="I234" s="572">
        <f t="shared" si="126"/>
        <v>0</v>
      </c>
      <c r="J234" s="573">
        <f t="shared" si="126"/>
        <v>0.24080766813324953</v>
      </c>
      <c r="K234" s="574">
        <f t="shared" si="126"/>
        <v>0</v>
      </c>
      <c r="L234" s="572">
        <f t="shared" si="126"/>
        <v>0</v>
      </c>
      <c r="M234" s="572">
        <f t="shared" si="126"/>
        <v>0</v>
      </c>
      <c r="N234" s="572">
        <f t="shared" si="126"/>
        <v>0</v>
      </c>
      <c r="O234" s="575">
        <f t="shared" si="126"/>
        <v>0</v>
      </c>
      <c r="P234" s="574">
        <f t="shared" si="126"/>
        <v>5.659098610640461E-2</v>
      </c>
      <c r="Q234" s="572">
        <f t="shared" si="126"/>
        <v>0</v>
      </c>
      <c r="R234" s="572">
        <f t="shared" si="126"/>
        <v>0</v>
      </c>
      <c r="S234" s="575">
        <f t="shared" si="126"/>
        <v>0</v>
      </c>
      <c r="T234" s="574">
        <f t="shared" si="126"/>
        <v>0</v>
      </c>
      <c r="U234" s="253"/>
      <c r="V234" s="254">
        <v>1636</v>
      </c>
      <c r="W234" s="255">
        <v>265</v>
      </c>
      <c r="X234" s="255">
        <v>830</v>
      </c>
      <c r="Y234" s="255">
        <v>289</v>
      </c>
      <c r="Z234" s="255"/>
      <c r="AA234" s="255">
        <v>45</v>
      </c>
      <c r="AB234" s="251"/>
      <c r="AC234" s="256">
        <v>3065</v>
      </c>
      <c r="AD234" s="254"/>
      <c r="AE234" s="255"/>
      <c r="AF234" s="255"/>
      <c r="AG234" s="255"/>
      <c r="AH234" s="255"/>
      <c r="AI234" s="257">
        <v>167</v>
      </c>
      <c r="AJ234" s="254"/>
      <c r="AK234" s="255"/>
      <c r="AL234" s="257"/>
      <c r="AM234" s="254"/>
      <c r="AN234" s="563"/>
    </row>
    <row r="235" spans="1:41" ht="12.75" customHeight="1">
      <c r="A235" s="239"/>
      <c r="B235" s="239" t="s">
        <v>78</v>
      </c>
      <c r="C235" s="572">
        <f>IF(V235&gt;0,(V235/V237),0)</f>
        <v>3.4580193756727662E-2</v>
      </c>
      <c r="D235" s="572">
        <f t="shared" ref="D235:T235" si="127">IF(W235&gt;0,(W235/W237),0)</f>
        <v>8.7292817679558016E-2</v>
      </c>
      <c r="E235" s="572">
        <f t="shared" si="127"/>
        <v>7.4961119751166413E-2</v>
      </c>
      <c r="F235" s="572">
        <f t="shared" si="127"/>
        <v>3.2925682031984947E-2</v>
      </c>
      <c r="G235" s="572">
        <f t="shared" si="127"/>
        <v>0</v>
      </c>
      <c r="H235" s="572">
        <f t="shared" si="127"/>
        <v>0.13274336283185842</v>
      </c>
      <c r="I235" s="572">
        <f t="shared" si="127"/>
        <v>0</v>
      </c>
      <c r="J235" s="573">
        <f t="shared" si="127"/>
        <v>4.9261470773098677E-2</v>
      </c>
      <c r="K235" s="574">
        <f t="shared" si="127"/>
        <v>0</v>
      </c>
      <c r="L235" s="572">
        <f t="shared" si="127"/>
        <v>0</v>
      </c>
      <c r="M235" s="572">
        <f t="shared" si="127"/>
        <v>0</v>
      </c>
      <c r="N235" s="572">
        <f t="shared" si="127"/>
        <v>0</v>
      </c>
      <c r="O235" s="575">
        <f t="shared" si="127"/>
        <v>0</v>
      </c>
      <c r="P235" s="574">
        <f t="shared" si="127"/>
        <v>0.27109454422229751</v>
      </c>
      <c r="Q235" s="572">
        <f t="shared" si="127"/>
        <v>0</v>
      </c>
      <c r="R235" s="572">
        <f t="shared" si="127"/>
        <v>0</v>
      </c>
      <c r="S235" s="575">
        <f t="shared" si="127"/>
        <v>0</v>
      </c>
      <c r="T235" s="574">
        <f t="shared" si="127"/>
        <v>0</v>
      </c>
      <c r="U235" s="253"/>
      <c r="V235" s="254">
        <v>257</v>
      </c>
      <c r="W235" s="255">
        <v>79</v>
      </c>
      <c r="X235" s="255">
        <v>241</v>
      </c>
      <c r="Y235" s="255">
        <v>35</v>
      </c>
      <c r="Z235" s="255"/>
      <c r="AA235" s="255">
        <v>15</v>
      </c>
      <c r="AB235" s="251"/>
      <c r="AC235" s="256">
        <v>627</v>
      </c>
      <c r="AD235" s="254"/>
      <c r="AE235" s="255"/>
      <c r="AF235" s="255"/>
      <c r="AG235" s="255"/>
      <c r="AH235" s="255"/>
      <c r="AI235" s="257">
        <v>800</v>
      </c>
      <c r="AJ235" s="254"/>
      <c r="AK235" s="255"/>
      <c r="AL235" s="257"/>
      <c r="AM235" s="254"/>
      <c r="AN235" s="563"/>
    </row>
    <row r="236" spans="1:41" ht="12.75" customHeight="1">
      <c r="A236" s="580"/>
      <c r="B236" s="580" t="s">
        <v>131</v>
      </c>
      <c r="C236" s="581">
        <f>IF(V236&gt;0,(V236/V237),0)</f>
        <v>0.17168998923573736</v>
      </c>
      <c r="D236" s="582">
        <f t="shared" ref="D236:T236" si="128">IF(W236&gt;0,(W236/W237),0)</f>
        <v>3.9779005524861875E-2</v>
      </c>
      <c r="E236" s="582">
        <f t="shared" si="128"/>
        <v>8.80248833592535E-2</v>
      </c>
      <c r="F236" s="582">
        <f t="shared" si="128"/>
        <v>0.11665098777046096</v>
      </c>
      <c r="G236" s="582">
        <f t="shared" si="128"/>
        <v>0</v>
      </c>
      <c r="H236" s="582">
        <f t="shared" si="128"/>
        <v>0</v>
      </c>
      <c r="I236" s="583">
        <f t="shared" si="128"/>
        <v>0</v>
      </c>
      <c r="J236" s="584">
        <f t="shared" si="128"/>
        <v>0.13505656819610307</v>
      </c>
      <c r="K236" s="581">
        <f t="shared" si="128"/>
        <v>0</v>
      </c>
      <c r="L236" s="582">
        <f t="shared" si="128"/>
        <v>0</v>
      </c>
      <c r="M236" s="582">
        <f t="shared" si="128"/>
        <v>0</v>
      </c>
      <c r="N236" s="582">
        <f t="shared" si="128"/>
        <v>0</v>
      </c>
      <c r="O236" s="583">
        <f t="shared" si="128"/>
        <v>0</v>
      </c>
      <c r="P236" s="581">
        <f t="shared" si="128"/>
        <v>0.42324635716706199</v>
      </c>
      <c r="Q236" s="581">
        <f t="shared" si="128"/>
        <v>0</v>
      </c>
      <c r="R236" s="582">
        <f t="shared" si="128"/>
        <v>0</v>
      </c>
      <c r="S236" s="583">
        <f t="shared" si="128"/>
        <v>0</v>
      </c>
      <c r="T236" s="581">
        <f t="shared" si="128"/>
        <v>0</v>
      </c>
      <c r="U236" s="253"/>
      <c r="V236" s="254">
        <v>1276</v>
      </c>
      <c r="W236" s="255">
        <v>36</v>
      </c>
      <c r="X236" s="255">
        <v>283</v>
      </c>
      <c r="Y236" s="255">
        <v>124</v>
      </c>
      <c r="Z236" s="255"/>
      <c r="AA236" s="255"/>
      <c r="AB236" s="582"/>
      <c r="AC236" s="256">
        <v>1719</v>
      </c>
      <c r="AD236" s="254"/>
      <c r="AE236" s="255"/>
      <c r="AF236" s="255"/>
      <c r="AG236" s="255"/>
      <c r="AH236" s="255"/>
      <c r="AI236" s="257">
        <v>1249</v>
      </c>
      <c r="AJ236" s="254"/>
      <c r="AK236" s="255"/>
      <c r="AL236" s="257"/>
      <c r="AM236" s="254"/>
    </row>
    <row r="237" spans="1:41" s="527" customFormat="1" ht="12.75" customHeight="1">
      <c r="A237" s="436"/>
      <c r="B237" s="436" t="s">
        <v>59</v>
      </c>
      <c r="C237" s="456">
        <f>SUM(C232:C236)</f>
        <v>1</v>
      </c>
      <c r="D237" s="456">
        <f t="shared" ref="D237:T237" si="129">SUM(D232:D236)</f>
        <v>1</v>
      </c>
      <c r="E237" s="456">
        <f t="shared" si="129"/>
        <v>0.99999999999999989</v>
      </c>
      <c r="F237" s="456">
        <f t="shared" si="129"/>
        <v>1</v>
      </c>
      <c r="G237" s="456">
        <f t="shared" si="129"/>
        <v>0</v>
      </c>
      <c r="H237" s="456">
        <f t="shared" si="129"/>
        <v>1</v>
      </c>
      <c r="I237" s="456">
        <f t="shared" si="129"/>
        <v>0</v>
      </c>
      <c r="J237" s="576">
        <f t="shared" si="129"/>
        <v>1</v>
      </c>
      <c r="K237" s="577">
        <f t="shared" si="129"/>
        <v>0</v>
      </c>
      <c r="L237" s="578">
        <f t="shared" si="129"/>
        <v>0</v>
      </c>
      <c r="M237" s="578">
        <f t="shared" si="129"/>
        <v>0</v>
      </c>
      <c r="N237" s="578">
        <f t="shared" si="129"/>
        <v>0</v>
      </c>
      <c r="O237" s="579">
        <f t="shared" si="129"/>
        <v>0</v>
      </c>
      <c r="P237" s="577">
        <f t="shared" si="129"/>
        <v>1</v>
      </c>
      <c r="Q237" s="578">
        <f t="shared" si="129"/>
        <v>0</v>
      </c>
      <c r="R237" s="578">
        <f t="shared" si="129"/>
        <v>0</v>
      </c>
      <c r="S237" s="579">
        <f t="shared" si="129"/>
        <v>0</v>
      </c>
      <c r="T237" s="577">
        <f t="shared" si="129"/>
        <v>0</v>
      </c>
      <c r="U237" s="264"/>
      <c r="V237" s="265">
        <v>7432</v>
      </c>
      <c r="W237" s="266">
        <v>905</v>
      </c>
      <c r="X237" s="266">
        <v>3215</v>
      </c>
      <c r="Y237" s="266">
        <v>1063</v>
      </c>
      <c r="Z237" s="266"/>
      <c r="AA237" s="266">
        <v>113</v>
      </c>
      <c r="AB237" s="262"/>
      <c r="AC237" s="267">
        <v>12728</v>
      </c>
      <c r="AD237" s="265"/>
      <c r="AE237" s="266"/>
      <c r="AF237" s="266"/>
      <c r="AG237" s="266"/>
      <c r="AH237" s="266"/>
      <c r="AI237" s="268">
        <v>2951</v>
      </c>
      <c r="AJ237" s="265"/>
      <c r="AK237" s="266"/>
      <c r="AL237" s="268"/>
      <c r="AM237" s="265"/>
      <c r="AN237" s="270"/>
      <c r="AO237" s="270"/>
    </row>
    <row r="238" spans="1:41" ht="12.75" customHeight="1">
      <c r="A238" s="240" t="s">
        <v>150</v>
      </c>
      <c r="B238" s="240" t="s">
        <v>53</v>
      </c>
      <c r="C238" s="568">
        <f>IF(V238&gt;0,(V238/V243),0)</f>
        <v>0.36890574214517874</v>
      </c>
      <c r="D238" s="568">
        <f t="shared" ref="D238:T238" si="130">IF(W238&gt;0,(W238/W243),0)</f>
        <v>0</v>
      </c>
      <c r="E238" s="568">
        <f t="shared" si="130"/>
        <v>0.33773453787352326</v>
      </c>
      <c r="F238" s="568">
        <f t="shared" si="130"/>
        <v>0.37455830388692579</v>
      </c>
      <c r="G238" s="568">
        <f t="shared" si="130"/>
        <v>0.37527114967462039</v>
      </c>
      <c r="H238" s="568">
        <f t="shared" si="130"/>
        <v>0.18965517241379309</v>
      </c>
      <c r="I238" s="568">
        <f t="shared" si="130"/>
        <v>0</v>
      </c>
      <c r="J238" s="569">
        <f t="shared" si="130"/>
        <v>0.35332144449398128</v>
      </c>
      <c r="K238" s="570">
        <f t="shared" si="130"/>
        <v>0</v>
      </c>
      <c r="L238" s="568">
        <f t="shared" si="130"/>
        <v>0</v>
      </c>
      <c r="M238" s="568">
        <f t="shared" si="130"/>
        <v>0</v>
      </c>
      <c r="N238" s="568">
        <f t="shared" si="130"/>
        <v>0</v>
      </c>
      <c r="O238" s="571">
        <f t="shared" si="130"/>
        <v>0</v>
      </c>
      <c r="P238" s="570">
        <f t="shared" si="130"/>
        <v>0</v>
      </c>
      <c r="Q238" s="568">
        <f t="shared" si="130"/>
        <v>0</v>
      </c>
      <c r="R238" s="568">
        <f t="shared" si="130"/>
        <v>0</v>
      </c>
      <c r="S238" s="571">
        <f t="shared" si="130"/>
        <v>0</v>
      </c>
      <c r="T238" s="570">
        <f t="shared" si="130"/>
        <v>0</v>
      </c>
      <c r="U238" s="253"/>
      <c r="V238" s="245">
        <v>681</v>
      </c>
      <c r="W238" s="246"/>
      <c r="X238" s="246">
        <v>486</v>
      </c>
      <c r="Y238" s="246">
        <v>212</v>
      </c>
      <c r="Z238" s="246">
        <v>173</v>
      </c>
      <c r="AA238" s="246">
        <v>33</v>
      </c>
      <c r="AB238" s="242"/>
      <c r="AC238" s="247">
        <v>1585</v>
      </c>
      <c r="AD238" s="245"/>
      <c r="AE238" s="246"/>
      <c r="AF238" s="246"/>
      <c r="AG238" s="246"/>
      <c r="AH238" s="246"/>
      <c r="AI238" s="248"/>
      <c r="AJ238" s="245"/>
      <c r="AK238" s="246"/>
      <c r="AL238" s="248"/>
      <c r="AM238" s="245"/>
      <c r="AN238" s="563"/>
    </row>
    <row r="239" spans="1:41" ht="12.75" customHeight="1">
      <c r="A239" s="239"/>
      <c r="B239" s="239" t="s">
        <v>93</v>
      </c>
      <c r="C239" s="572">
        <f>IF(V239&gt;0,(V239/V243),0)</f>
        <v>0.27681473456121342</v>
      </c>
      <c r="D239" s="572">
        <f t="shared" ref="D239:T239" si="131">IF(W239&gt;0,(W239/W243),0)</f>
        <v>0</v>
      </c>
      <c r="E239" s="572">
        <f t="shared" si="131"/>
        <v>0.29812369701181374</v>
      </c>
      <c r="F239" s="572">
        <f t="shared" si="131"/>
        <v>0.2756183745583039</v>
      </c>
      <c r="G239" s="572">
        <f t="shared" si="131"/>
        <v>0.24511930585683298</v>
      </c>
      <c r="H239" s="572">
        <f t="shared" si="131"/>
        <v>0.39080459770114945</v>
      </c>
      <c r="I239" s="572">
        <f t="shared" si="131"/>
        <v>0</v>
      </c>
      <c r="J239" s="573">
        <f t="shared" si="131"/>
        <v>0.28466339723584483</v>
      </c>
      <c r="K239" s="574">
        <f t="shared" si="131"/>
        <v>0</v>
      </c>
      <c r="L239" s="572">
        <f t="shared" si="131"/>
        <v>0</v>
      </c>
      <c r="M239" s="572">
        <f t="shared" si="131"/>
        <v>0</v>
      </c>
      <c r="N239" s="572">
        <f t="shared" si="131"/>
        <v>0</v>
      </c>
      <c r="O239" s="575">
        <f t="shared" si="131"/>
        <v>0</v>
      </c>
      <c r="P239" s="574">
        <f t="shared" si="131"/>
        <v>0</v>
      </c>
      <c r="Q239" s="572">
        <f t="shared" si="131"/>
        <v>0</v>
      </c>
      <c r="R239" s="572">
        <f t="shared" si="131"/>
        <v>0</v>
      </c>
      <c r="S239" s="575">
        <f t="shared" si="131"/>
        <v>0</v>
      </c>
      <c r="T239" s="574">
        <f t="shared" si="131"/>
        <v>0</v>
      </c>
      <c r="U239" s="253"/>
      <c r="V239" s="254">
        <v>511</v>
      </c>
      <c r="W239" s="255"/>
      <c r="X239" s="255">
        <v>429</v>
      </c>
      <c r="Y239" s="255">
        <v>156</v>
      </c>
      <c r="Z239" s="255">
        <v>113</v>
      </c>
      <c r="AA239" s="255">
        <v>68</v>
      </c>
      <c r="AB239" s="251"/>
      <c r="AC239" s="256">
        <v>1277</v>
      </c>
      <c r="AD239" s="254"/>
      <c r="AE239" s="255"/>
      <c r="AF239" s="255"/>
      <c r="AG239" s="255"/>
      <c r="AH239" s="255"/>
      <c r="AI239" s="257"/>
      <c r="AJ239" s="254"/>
      <c r="AK239" s="255"/>
      <c r="AL239" s="257"/>
      <c r="AM239" s="254"/>
      <c r="AN239" s="563"/>
    </row>
    <row r="240" spans="1:41" ht="12.75" customHeight="1">
      <c r="A240" s="239"/>
      <c r="B240" s="239" t="s">
        <v>55</v>
      </c>
      <c r="C240" s="572">
        <f>IF(V240&gt;0,(V240/V243),0)</f>
        <v>0.19230769230769232</v>
      </c>
      <c r="D240" s="572">
        <f t="shared" ref="D240:T240" si="132">IF(W240&gt;0,(W240/W243),0)</f>
        <v>0</v>
      </c>
      <c r="E240" s="572">
        <f t="shared" si="132"/>
        <v>0.27866574009728978</v>
      </c>
      <c r="F240" s="572">
        <f t="shared" si="132"/>
        <v>0.29505300353356889</v>
      </c>
      <c r="G240" s="572">
        <f t="shared" si="132"/>
        <v>0.30585683297180044</v>
      </c>
      <c r="H240" s="572">
        <f t="shared" si="132"/>
        <v>0.19540229885057472</v>
      </c>
      <c r="I240" s="572">
        <f t="shared" si="132"/>
        <v>0</v>
      </c>
      <c r="J240" s="573">
        <f t="shared" si="132"/>
        <v>0.24476148016049934</v>
      </c>
      <c r="K240" s="574">
        <f t="shared" si="132"/>
        <v>0</v>
      </c>
      <c r="L240" s="572">
        <f t="shared" si="132"/>
        <v>0</v>
      </c>
      <c r="M240" s="572">
        <f t="shared" si="132"/>
        <v>0</v>
      </c>
      <c r="N240" s="572">
        <f t="shared" si="132"/>
        <v>0</v>
      </c>
      <c r="O240" s="575">
        <f t="shared" si="132"/>
        <v>0</v>
      </c>
      <c r="P240" s="574">
        <f t="shared" si="132"/>
        <v>0</v>
      </c>
      <c r="Q240" s="572">
        <f t="shared" si="132"/>
        <v>0</v>
      </c>
      <c r="R240" s="572">
        <f t="shared" si="132"/>
        <v>0</v>
      </c>
      <c r="S240" s="575">
        <f t="shared" si="132"/>
        <v>0</v>
      </c>
      <c r="T240" s="574">
        <f t="shared" si="132"/>
        <v>0</v>
      </c>
      <c r="U240" s="253"/>
      <c r="V240" s="254">
        <v>355</v>
      </c>
      <c r="W240" s="255"/>
      <c r="X240" s="255">
        <v>401</v>
      </c>
      <c r="Y240" s="255">
        <v>167</v>
      </c>
      <c r="Z240" s="255">
        <v>141</v>
      </c>
      <c r="AA240" s="255">
        <v>34</v>
      </c>
      <c r="AB240" s="251"/>
      <c r="AC240" s="256">
        <v>1098</v>
      </c>
      <c r="AD240" s="254"/>
      <c r="AE240" s="255"/>
      <c r="AF240" s="255"/>
      <c r="AG240" s="255"/>
      <c r="AH240" s="255"/>
      <c r="AI240" s="257"/>
      <c r="AJ240" s="254"/>
      <c r="AK240" s="255"/>
      <c r="AL240" s="257"/>
      <c r="AM240" s="254"/>
      <c r="AN240" s="563"/>
    </row>
    <row r="241" spans="1:41" ht="12.75" customHeight="1">
      <c r="A241" s="239"/>
      <c r="B241" s="239" t="s">
        <v>78</v>
      </c>
      <c r="C241" s="572">
        <f>IF(V241&gt;0,(V241/V243),0)</f>
        <v>8.3423618634886246E-2</v>
      </c>
      <c r="D241" s="572">
        <f t="shared" ref="D241:T241" si="133">IF(W241&gt;0,(W241/W243),0)</f>
        <v>0</v>
      </c>
      <c r="E241" s="572">
        <f t="shared" si="133"/>
        <v>8.4781097984711604E-2</v>
      </c>
      <c r="F241" s="572">
        <f t="shared" si="133"/>
        <v>5.4770318021201414E-2</v>
      </c>
      <c r="G241" s="572">
        <f t="shared" si="133"/>
        <v>7.3752711496746198E-2</v>
      </c>
      <c r="H241" s="572">
        <f t="shared" si="133"/>
        <v>0.14942528735632185</v>
      </c>
      <c r="I241" s="572">
        <f t="shared" si="133"/>
        <v>0</v>
      </c>
      <c r="J241" s="573">
        <f t="shared" si="133"/>
        <v>8.181007579135087E-2</v>
      </c>
      <c r="K241" s="574">
        <f t="shared" si="133"/>
        <v>0</v>
      </c>
      <c r="L241" s="572">
        <f t="shared" si="133"/>
        <v>0</v>
      </c>
      <c r="M241" s="572">
        <f t="shared" si="133"/>
        <v>0</v>
      </c>
      <c r="N241" s="572">
        <f t="shared" si="133"/>
        <v>0</v>
      </c>
      <c r="O241" s="575">
        <f t="shared" si="133"/>
        <v>0</v>
      </c>
      <c r="P241" s="574">
        <f t="shared" si="133"/>
        <v>5.1376146788990823E-3</v>
      </c>
      <c r="Q241" s="572">
        <f t="shared" si="133"/>
        <v>0</v>
      </c>
      <c r="R241" s="572">
        <f t="shared" si="133"/>
        <v>0</v>
      </c>
      <c r="S241" s="575">
        <f t="shared" si="133"/>
        <v>0</v>
      </c>
      <c r="T241" s="574">
        <f t="shared" si="133"/>
        <v>0</v>
      </c>
      <c r="U241" s="253"/>
      <c r="V241" s="254">
        <v>154</v>
      </c>
      <c r="W241" s="255"/>
      <c r="X241" s="255">
        <v>122</v>
      </c>
      <c r="Y241" s="255">
        <v>31</v>
      </c>
      <c r="Z241" s="255">
        <v>34</v>
      </c>
      <c r="AA241" s="255">
        <v>26</v>
      </c>
      <c r="AB241" s="251"/>
      <c r="AC241" s="256">
        <v>367</v>
      </c>
      <c r="AD241" s="254"/>
      <c r="AE241" s="255"/>
      <c r="AF241" s="255"/>
      <c r="AG241" s="255"/>
      <c r="AH241" s="255"/>
      <c r="AI241" s="257">
        <v>14</v>
      </c>
      <c r="AJ241" s="254"/>
      <c r="AK241" s="255"/>
      <c r="AL241" s="257"/>
      <c r="AM241" s="254"/>
      <c r="AN241" s="563"/>
    </row>
    <row r="242" spans="1:41" ht="12.75" customHeight="1">
      <c r="A242" s="580"/>
      <c r="B242" s="580" t="s">
        <v>131</v>
      </c>
      <c r="C242" s="581">
        <f>IF(V242&gt;0,(V242/V243),0)</f>
        <v>7.8548212351029253E-2</v>
      </c>
      <c r="D242" s="582">
        <f t="shared" ref="D242:T242" si="134">IF(W242&gt;0,(W242/W243),0)</f>
        <v>0</v>
      </c>
      <c r="E242" s="582">
        <f t="shared" si="134"/>
        <v>6.9492703266157052E-4</v>
      </c>
      <c r="F242" s="582">
        <f t="shared" si="134"/>
        <v>0</v>
      </c>
      <c r="G242" s="582">
        <f t="shared" si="134"/>
        <v>0</v>
      </c>
      <c r="H242" s="582">
        <f t="shared" si="134"/>
        <v>7.4712643678160925E-2</v>
      </c>
      <c r="I242" s="583">
        <f t="shared" si="134"/>
        <v>0</v>
      </c>
      <c r="J242" s="584">
        <f t="shared" si="134"/>
        <v>3.5443602318323671E-2</v>
      </c>
      <c r="K242" s="581">
        <f t="shared" si="134"/>
        <v>0</v>
      </c>
      <c r="L242" s="582">
        <f t="shared" si="134"/>
        <v>0</v>
      </c>
      <c r="M242" s="582">
        <f t="shared" si="134"/>
        <v>0</v>
      </c>
      <c r="N242" s="582">
        <f t="shared" si="134"/>
        <v>0</v>
      </c>
      <c r="O242" s="583">
        <f t="shared" si="134"/>
        <v>0</v>
      </c>
      <c r="P242" s="581">
        <f t="shared" si="134"/>
        <v>0.99486238532110094</v>
      </c>
      <c r="Q242" s="581">
        <f t="shared" si="134"/>
        <v>0</v>
      </c>
      <c r="R242" s="582">
        <f t="shared" si="134"/>
        <v>0</v>
      </c>
      <c r="S242" s="583">
        <f t="shared" si="134"/>
        <v>0</v>
      </c>
      <c r="T242" s="581">
        <f t="shared" si="134"/>
        <v>0</v>
      </c>
      <c r="U242" s="253"/>
      <c r="V242" s="254">
        <v>145</v>
      </c>
      <c r="W242" s="255"/>
      <c r="X242" s="255">
        <v>1</v>
      </c>
      <c r="Y242" s="255"/>
      <c r="Z242" s="255"/>
      <c r="AA242" s="255">
        <v>13</v>
      </c>
      <c r="AB242" s="582"/>
      <c r="AC242" s="256">
        <v>159</v>
      </c>
      <c r="AD242" s="254"/>
      <c r="AE242" s="255"/>
      <c r="AF242" s="255"/>
      <c r="AG242" s="255"/>
      <c r="AH242" s="255"/>
      <c r="AI242" s="257">
        <v>2711</v>
      </c>
      <c r="AJ242" s="254"/>
      <c r="AK242" s="255"/>
      <c r="AL242" s="257"/>
      <c r="AM242" s="254"/>
    </row>
    <row r="243" spans="1:41" s="527" customFormat="1" ht="12.75" customHeight="1">
      <c r="A243" s="436"/>
      <c r="B243" s="436" t="s">
        <v>59</v>
      </c>
      <c r="C243" s="456">
        <f>SUM(C238:C242)</f>
        <v>1</v>
      </c>
      <c r="D243" s="456">
        <f t="shared" ref="D243:T243" si="135">SUM(D238:D242)</f>
        <v>0</v>
      </c>
      <c r="E243" s="456">
        <f t="shared" si="135"/>
        <v>1</v>
      </c>
      <c r="F243" s="456">
        <f t="shared" si="135"/>
        <v>1</v>
      </c>
      <c r="G243" s="456">
        <f t="shared" si="135"/>
        <v>1</v>
      </c>
      <c r="H243" s="456">
        <f t="shared" si="135"/>
        <v>1</v>
      </c>
      <c r="I243" s="456">
        <f t="shared" si="135"/>
        <v>0</v>
      </c>
      <c r="J243" s="576">
        <f t="shared" si="135"/>
        <v>1.0000000000000002</v>
      </c>
      <c r="K243" s="577">
        <f t="shared" si="135"/>
        <v>0</v>
      </c>
      <c r="L243" s="578">
        <f t="shared" si="135"/>
        <v>0</v>
      </c>
      <c r="M243" s="578">
        <f t="shared" si="135"/>
        <v>0</v>
      </c>
      <c r="N243" s="578">
        <f t="shared" si="135"/>
        <v>0</v>
      </c>
      <c r="O243" s="579">
        <f t="shared" si="135"/>
        <v>0</v>
      </c>
      <c r="P243" s="577">
        <f t="shared" si="135"/>
        <v>1</v>
      </c>
      <c r="Q243" s="578">
        <f t="shared" si="135"/>
        <v>0</v>
      </c>
      <c r="R243" s="578">
        <f t="shared" si="135"/>
        <v>0</v>
      </c>
      <c r="S243" s="579">
        <f t="shared" si="135"/>
        <v>0</v>
      </c>
      <c r="T243" s="577">
        <f t="shared" si="135"/>
        <v>0</v>
      </c>
      <c r="U243" s="264"/>
      <c r="V243" s="265">
        <v>1846</v>
      </c>
      <c r="W243" s="266"/>
      <c r="X243" s="266">
        <v>1439</v>
      </c>
      <c r="Y243" s="266">
        <v>566</v>
      </c>
      <c r="Z243" s="266">
        <v>461</v>
      </c>
      <c r="AA243" s="266">
        <v>174</v>
      </c>
      <c r="AB243" s="262"/>
      <c r="AC243" s="267">
        <v>4486</v>
      </c>
      <c r="AD243" s="265"/>
      <c r="AE243" s="266"/>
      <c r="AF243" s="266"/>
      <c r="AG243" s="266"/>
      <c r="AH243" s="266"/>
      <c r="AI243" s="268">
        <v>2725</v>
      </c>
      <c r="AJ243" s="265"/>
      <c r="AK243" s="266"/>
      <c r="AL243" s="268"/>
      <c r="AM243" s="265"/>
      <c r="AN243" s="270"/>
      <c r="AO243" s="270"/>
    </row>
    <row r="244" spans="1:41" ht="12.75" customHeight="1">
      <c r="A244" s="240" t="s">
        <v>151</v>
      </c>
      <c r="B244" s="240" t="s">
        <v>53</v>
      </c>
      <c r="C244" s="568">
        <f>IF(V244&gt;0,(V244/V249),0)</f>
        <v>0.2693754702784048</v>
      </c>
      <c r="D244" s="568">
        <f t="shared" ref="D244:T244" si="136">IF(W244&gt;0,(W244/W249),0)</f>
        <v>0.23970345963756179</v>
      </c>
      <c r="E244" s="568">
        <f t="shared" si="136"/>
        <v>0.30714285714285716</v>
      </c>
      <c r="F244" s="568">
        <f t="shared" si="136"/>
        <v>0.41161928306551299</v>
      </c>
      <c r="G244" s="568">
        <f t="shared" si="136"/>
        <v>0</v>
      </c>
      <c r="H244" s="568">
        <f t="shared" si="136"/>
        <v>0.27092511013215859</v>
      </c>
      <c r="I244" s="568">
        <f t="shared" si="136"/>
        <v>0</v>
      </c>
      <c r="J244" s="569">
        <f t="shared" si="136"/>
        <v>0.29576964095271951</v>
      </c>
      <c r="K244" s="570">
        <f t="shared" si="136"/>
        <v>0</v>
      </c>
      <c r="L244" s="568">
        <f t="shared" si="136"/>
        <v>0</v>
      </c>
      <c r="M244" s="568">
        <f t="shared" si="136"/>
        <v>0</v>
      </c>
      <c r="N244" s="568">
        <f t="shared" si="136"/>
        <v>0</v>
      </c>
      <c r="O244" s="571">
        <f t="shared" si="136"/>
        <v>0</v>
      </c>
      <c r="P244" s="570">
        <f t="shared" si="136"/>
        <v>0.15514131088394467</v>
      </c>
      <c r="Q244" s="568">
        <f t="shared" si="136"/>
        <v>0</v>
      </c>
      <c r="R244" s="568">
        <f t="shared" si="136"/>
        <v>0</v>
      </c>
      <c r="S244" s="571">
        <f t="shared" si="136"/>
        <v>0</v>
      </c>
      <c r="T244" s="570">
        <f t="shared" si="136"/>
        <v>0</v>
      </c>
      <c r="U244" s="253"/>
      <c r="V244" s="785">
        <v>358</v>
      </c>
      <c r="W244" s="786">
        <v>291</v>
      </c>
      <c r="X244" s="786">
        <v>559</v>
      </c>
      <c r="Y244" s="786">
        <v>333</v>
      </c>
      <c r="Z244" s="786"/>
      <c r="AA244" s="786">
        <v>123</v>
      </c>
      <c r="AB244" s="242"/>
      <c r="AC244" s="247">
        <v>1664</v>
      </c>
      <c r="AD244" s="245"/>
      <c r="AE244" s="246"/>
      <c r="AF244" s="246"/>
      <c r="AG244" s="246"/>
      <c r="AH244" s="246"/>
      <c r="AI244" s="248">
        <v>258</v>
      </c>
      <c r="AJ244" s="245"/>
      <c r="AK244" s="246"/>
      <c r="AL244" s="248"/>
      <c r="AM244" s="245"/>
      <c r="AN244" s="563"/>
    </row>
    <row r="245" spans="1:41" ht="12.75" customHeight="1">
      <c r="A245" s="239"/>
      <c r="B245" s="239" t="s">
        <v>93</v>
      </c>
      <c r="C245" s="572">
        <f>IF(V245&gt;0,(V245/V249),0)</f>
        <v>0.29947328818660646</v>
      </c>
      <c r="D245" s="572">
        <f t="shared" ref="D245:T245" si="137">IF(W245&gt;0,(W245/W249),0)</f>
        <v>0.31795716639209226</v>
      </c>
      <c r="E245" s="572">
        <f t="shared" si="137"/>
        <v>0.22472527472527473</v>
      </c>
      <c r="F245" s="572">
        <f t="shared" si="137"/>
        <v>0.24351050679851668</v>
      </c>
      <c r="G245" s="572">
        <f t="shared" si="137"/>
        <v>0</v>
      </c>
      <c r="H245" s="572">
        <f t="shared" si="137"/>
        <v>0.20264317180616739</v>
      </c>
      <c r="I245" s="572">
        <f t="shared" si="137"/>
        <v>0</v>
      </c>
      <c r="J245" s="573">
        <f t="shared" si="137"/>
        <v>0.2634198364735158</v>
      </c>
      <c r="K245" s="574">
        <f t="shared" si="137"/>
        <v>0</v>
      </c>
      <c r="L245" s="572">
        <f t="shared" si="137"/>
        <v>0</v>
      </c>
      <c r="M245" s="572">
        <f t="shared" si="137"/>
        <v>0</v>
      </c>
      <c r="N245" s="572">
        <f t="shared" si="137"/>
        <v>0</v>
      </c>
      <c r="O245" s="575">
        <f t="shared" si="137"/>
        <v>0</v>
      </c>
      <c r="P245" s="574">
        <f t="shared" si="137"/>
        <v>0.10823812387251955</v>
      </c>
      <c r="Q245" s="572">
        <f t="shared" si="137"/>
        <v>0</v>
      </c>
      <c r="R245" s="572">
        <f t="shared" si="137"/>
        <v>0</v>
      </c>
      <c r="S245" s="575">
        <f t="shared" si="137"/>
        <v>0</v>
      </c>
      <c r="T245" s="574">
        <f t="shared" si="137"/>
        <v>0</v>
      </c>
      <c r="U245" s="253"/>
      <c r="V245" s="785">
        <v>398</v>
      </c>
      <c r="W245" s="786">
        <v>386</v>
      </c>
      <c r="X245" s="786">
        <v>409</v>
      </c>
      <c r="Y245" s="786">
        <v>197</v>
      </c>
      <c r="Z245" s="786"/>
      <c r="AA245" s="786">
        <v>92</v>
      </c>
      <c r="AB245" s="251"/>
      <c r="AC245" s="256">
        <v>1482</v>
      </c>
      <c r="AD245" s="254"/>
      <c r="AE245" s="255"/>
      <c r="AF245" s="255"/>
      <c r="AG245" s="255"/>
      <c r="AH245" s="255"/>
      <c r="AI245" s="257">
        <v>180</v>
      </c>
      <c r="AJ245" s="254"/>
      <c r="AK245" s="255"/>
      <c r="AL245" s="257"/>
      <c r="AM245" s="254"/>
      <c r="AN245" s="563"/>
    </row>
    <row r="246" spans="1:41" ht="12.75" customHeight="1">
      <c r="A246" s="239"/>
      <c r="B246" s="239" t="s">
        <v>55</v>
      </c>
      <c r="C246" s="572">
        <f>IF(V246&gt;0,(V246/V249),0)</f>
        <v>0.2836719337848006</v>
      </c>
      <c r="D246" s="572">
        <f t="shared" ref="D246:T246" si="138">IF(W246&gt;0,(W246/W249),0)</f>
        <v>0.28665568369028005</v>
      </c>
      <c r="E246" s="572">
        <f t="shared" si="138"/>
        <v>0.23956043956043957</v>
      </c>
      <c r="F246" s="572">
        <f t="shared" si="138"/>
        <v>0.24721878862793573</v>
      </c>
      <c r="G246" s="572">
        <f t="shared" si="138"/>
        <v>0</v>
      </c>
      <c r="H246" s="572">
        <f t="shared" si="138"/>
        <v>0.38546255506607929</v>
      </c>
      <c r="I246" s="572">
        <f t="shared" si="138"/>
        <v>0</v>
      </c>
      <c r="J246" s="573">
        <f t="shared" si="138"/>
        <v>0.27301813011020265</v>
      </c>
      <c r="K246" s="574">
        <f t="shared" si="138"/>
        <v>0</v>
      </c>
      <c r="L246" s="572">
        <f t="shared" si="138"/>
        <v>0</v>
      </c>
      <c r="M246" s="572">
        <f t="shared" si="138"/>
        <v>0</v>
      </c>
      <c r="N246" s="572">
        <f t="shared" si="138"/>
        <v>0</v>
      </c>
      <c r="O246" s="575">
        <f t="shared" si="138"/>
        <v>0</v>
      </c>
      <c r="P246" s="574">
        <f t="shared" si="138"/>
        <v>0.12868310282621767</v>
      </c>
      <c r="Q246" s="572">
        <f t="shared" si="138"/>
        <v>0</v>
      </c>
      <c r="R246" s="572">
        <f t="shared" si="138"/>
        <v>0</v>
      </c>
      <c r="S246" s="575">
        <f t="shared" si="138"/>
        <v>0</v>
      </c>
      <c r="T246" s="574">
        <f t="shared" si="138"/>
        <v>0</v>
      </c>
      <c r="U246" s="253"/>
      <c r="V246" s="785">
        <v>377</v>
      </c>
      <c r="W246" s="786">
        <v>348</v>
      </c>
      <c r="X246" s="786">
        <v>436</v>
      </c>
      <c r="Y246" s="786">
        <v>200</v>
      </c>
      <c r="Z246" s="786"/>
      <c r="AA246" s="786">
        <v>175</v>
      </c>
      <c r="AB246" s="251"/>
      <c r="AC246" s="256">
        <v>1536</v>
      </c>
      <c r="AD246" s="254"/>
      <c r="AE246" s="255"/>
      <c r="AF246" s="255"/>
      <c r="AG246" s="255"/>
      <c r="AH246" s="255"/>
      <c r="AI246" s="257">
        <v>214</v>
      </c>
      <c r="AJ246" s="254"/>
      <c r="AK246" s="255"/>
      <c r="AL246" s="257"/>
      <c r="AM246" s="254"/>
      <c r="AN246" s="563"/>
    </row>
    <row r="247" spans="1:41" ht="12.75" customHeight="1">
      <c r="A247" s="239"/>
      <c r="B247" s="239" t="s">
        <v>78</v>
      </c>
      <c r="C247" s="572">
        <f>IF(V247&gt;0,(V247/V249),0)</f>
        <v>6.3957863054928524E-2</v>
      </c>
      <c r="D247" s="572">
        <f t="shared" ref="D247:T247" si="139">IF(W247&gt;0,(W247/W249),0)</f>
        <v>4.2009884678747944E-2</v>
      </c>
      <c r="E247" s="572">
        <f t="shared" si="139"/>
        <v>0.22032967032967032</v>
      </c>
      <c r="F247" s="572">
        <f t="shared" si="139"/>
        <v>6.1804697156983932E-2</v>
      </c>
      <c r="G247" s="572">
        <f t="shared" si="139"/>
        <v>0</v>
      </c>
      <c r="H247" s="572">
        <f t="shared" si="139"/>
        <v>0.14096916299559473</v>
      </c>
      <c r="I247" s="572">
        <f t="shared" si="139"/>
        <v>0</v>
      </c>
      <c r="J247" s="573">
        <f t="shared" si="139"/>
        <v>0.11571276217561323</v>
      </c>
      <c r="K247" s="574">
        <f t="shared" si="139"/>
        <v>0</v>
      </c>
      <c r="L247" s="572">
        <f t="shared" si="139"/>
        <v>0</v>
      </c>
      <c r="M247" s="572">
        <f t="shared" si="139"/>
        <v>0</v>
      </c>
      <c r="N247" s="572">
        <f t="shared" si="139"/>
        <v>0</v>
      </c>
      <c r="O247" s="575">
        <f t="shared" si="139"/>
        <v>0</v>
      </c>
      <c r="P247" s="574">
        <f t="shared" si="139"/>
        <v>0.34034876728803365</v>
      </c>
      <c r="Q247" s="572">
        <f t="shared" si="139"/>
        <v>0</v>
      </c>
      <c r="R247" s="572">
        <f t="shared" si="139"/>
        <v>0</v>
      </c>
      <c r="S247" s="575">
        <f t="shared" si="139"/>
        <v>0</v>
      </c>
      <c r="T247" s="574">
        <f t="shared" si="139"/>
        <v>0</v>
      </c>
      <c r="U247" s="253"/>
      <c r="V247" s="785">
        <v>85</v>
      </c>
      <c r="W247" s="786">
        <v>51</v>
      </c>
      <c r="X247" s="786">
        <v>401</v>
      </c>
      <c r="Y247" s="786">
        <v>50</v>
      </c>
      <c r="Z247" s="786"/>
      <c r="AA247" s="786">
        <v>64</v>
      </c>
      <c r="AB247" s="251"/>
      <c r="AC247" s="256">
        <v>651</v>
      </c>
      <c r="AD247" s="254"/>
      <c r="AE247" s="255"/>
      <c r="AF247" s="255"/>
      <c r="AG247" s="255"/>
      <c r="AH247" s="255"/>
      <c r="AI247" s="257">
        <v>566</v>
      </c>
      <c r="AJ247" s="254"/>
      <c r="AK247" s="255"/>
      <c r="AL247" s="257"/>
      <c r="AM247" s="254"/>
      <c r="AN247" s="563"/>
    </row>
    <row r="248" spans="1:41" ht="12.75" customHeight="1">
      <c r="A248" s="580"/>
      <c r="B248" s="580" t="s">
        <v>131</v>
      </c>
      <c r="C248" s="581">
        <f>IF(V248&gt;0,(V248/V249),0)</f>
        <v>8.35214446952596E-2</v>
      </c>
      <c r="D248" s="582">
        <f t="shared" ref="D248:T248" si="140">IF(W248&gt;0,(W248/W249),0)</f>
        <v>0.11367380560131796</v>
      </c>
      <c r="E248" s="582">
        <f t="shared" si="140"/>
        <v>8.241758241758242E-3</v>
      </c>
      <c r="F248" s="582">
        <f t="shared" si="140"/>
        <v>3.5846724351050678E-2</v>
      </c>
      <c r="G248" s="582">
        <f t="shared" si="140"/>
        <v>0</v>
      </c>
      <c r="H248" s="582">
        <f t="shared" si="140"/>
        <v>0</v>
      </c>
      <c r="I248" s="583">
        <f t="shared" si="140"/>
        <v>0</v>
      </c>
      <c r="J248" s="584">
        <f t="shared" si="140"/>
        <v>5.2079630287948812E-2</v>
      </c>
      <c r="K248" s="581">
        <f t="shared" si="140"/>
        <v>0</v>
      </c>
      <c r="L248" s="582">
        <f t="shared" si="140"/>
        <v>0</v>
      </c>
      <c r="M248" s="582">
        <f t="shared" si="140"/>
        <v>0</v>
      </c>
      <c r="N248" s="582">
        <f t="shared" si="140"/>
        <v>0</v>
      </c>
      <c r="O248" s="583">
        <f t="shared" si="140"/>
        <v>0</v>
      </c>
      <c r="P248" s="581">
        <f t="shared" si="140"/>
        <v>0.2675886951292844</v>
      </c>
      <c r="Q248" s="581">
        <f t="shared" si="140"/>
        <v>0</v>
      </c>
      <c r="R248" s="582">
        <f t="shared" si="140"/>
        <v>0</v>
      </c>
      <c r="S248" s="583">
        <f t="shared" si="140"/>
        <v>0</v>
      </c>
      <c r="T248" s="581">
        <f t="shared" si="140"/>
        <v>0</v>
      </c>
      <c r="U248" s="253"/>
      <c r="V248" s="785">
        <v>111</v>
      </c>
      <c r="W248" s="786">
        <v>138</v>
      </c>
      <c r="X248" s="786">
        <v>15</v>
      </c>
      <c r="Y248" s="786">
        <v>29</v>
      </c>
      <c r="Z248" s="786"/>
      <c r="AA248" s="786"/>
      <c r="AB248" s="582"/>
      <c r="AC248" s="256">
        <v>293</v>
      </c>
      <c r="AD248" s="254"/>
      <c r="AE248" s="255"/>
      <c r="AF248" s="255"/>
      <c r="AG248" s="255"/>
      <c r="AH248" s="255"/>
      <c r="AI248" s="255">
        <v>445</v>
      </c>
      <c r="AJ248" s="254"/>
      <c r="AK248" s="255"/>
      <c r="AL248" s="257"/>
      <c r="AM248" s="254"/>
    </row>
    <row r="249" spans="1:41" s="527" customFormat="1" ht="12.75" customHeight="1">
      <c r="A249" s="436"/>
      <c r="B249" s="436" t="s">
        <v>59</v>
      </c>
      <c r="C249" s="456">
        <f>SUM(C244:C248)</f>
        <v>1</v>
      </c>
      <c r="D249" s="456">
        <f t="shared" ref="D249:T249" si="141">SUM(D244:D248)</f>
        <v>1</v>
      </c>
      <c r="E249" s="456">
        <f t="shared" si="141"/>
        <v>1</v>
      </c>
      <c r="F249" s="456">
        <f t="shared" si="141"/>
        <v>0.99999999999999989</v>
      </c>
      <c r="G249" s="456">
        <f t="shared" si="141"/>
        <v>0</v>
      </c>
      <c r="H249" s="456">
        <f t="shared" si="141"/>
        <v>1</v>
      </c>
      <c r="I249" s="456">
        <f t="shared" si="141"/>
        <v>0</v>
      </c>
      <c r="J249" s="576">
        <f t="shared" si="141"/>
        <v>1</v>
      </c>
      <c r="K249" s="577">
        <f t="shared" si="141"/>
        <v>0</v>
      </c>
      <c r="L249" s="578">
        <f t="shared" si="141"/>
        <v>0</v>
      </c>
      <c r="M249" s="578">
        <f t="shared" si="141"/>
        <v>0</v>
      </c>
      <c r="N249" s="578">
        <f t="shared" si="141"/>
        <v>0</v>
      </c>
      <c r="O249" s="579">
        <f t="shared" si="141"/>
        <v>0</v>
      </c>
      <c r="P249" s="577">
        <f t="shared" si="141"/>
        <v>0.99999999999999989</v>
      </c>
      <c r="Q249" s="578">
        <f t="shared" si="141"/>
        <v>0</v>
      </c>
      <c r="R249" s="578">
        <f t="shared" si="141"/>
        <v>0</v>
      </c>
      <c r="S249" s="579">
        <f t="shared" si="141"/>
        <v>0</v>
      </c>
      <c r="T249" s="577">
        <f t="shared" si="141"/>
        <v>0</v>
      </c>
      <c r="U249" s="264"/>
      <c r="V249" s="265">
        <v>1329</v>
      </c>
      <c r="W249" s="266">
        <v>1214</v>
      </c>
      <c r="X249" s="266">
        <v>1820</v>
      </c>
      <c r="Y249" s="266">
        <v>809</v>
      </c>
      <c r="Z249" s="266"/>
      <c r="AA249" s="266">
        <v>454</v>
      </c>
      <c r="AB249" s="262"/>
      <c r="AC249" s="267">
        <v>5626</v>
      </c>
      <c r="AD249" s="265"/>
      <c r="AE249" s="266"/>
      <c r="AF249" s="266"/>
      <c r="AG249" s="266"/>
      <c r="AH249" s="266"/>
      <c r="AI249" s="268">
        <v>1663</v>
      </c>
      <c r="AJ249" s="265"/>
      <c r="AK249" s="266"/>
      <c r="AL249" s="268"/>
      <c r="AM249" s="265"/>
      <c r="AN249" s="270"/>
      <c r="AO249" s="270"/>
    </row>
    <row r="250" spans="1:41" ht="12.75" customHeight="1">
      <c r="A250" s="240" t="s">
        <v>154</v>
      </c>
      <c r="B250" s="240" t="s">
        <v>53</v>
      </c>
      <c r="C250" s="568">
        <f>IF(V250&gt;0,(V250/V255),0)</f>
        <v>0.4033898305084746</v>
      </c>
      <c r="D250" s="568">
        <f t="shared" ref="D250:T250" si="142">IF(W250&gt;0,(W250/W255),0)</f>
        <v>0</v>
      </c>
      <c r="E250" s="568">
        <f t="shared" si="142"/>
        <v>0.33261802575107297</v>
      </c>
      <c r="F250" s="568">
        <f t="shared" si="142"/>
        <v>0.36486486486486486</v>
      </c>
      <c r="G250" s="568">
        <f t="shared" si="142"/>
        <v>0.32608695652173914</v>
      </c>
      <c r="H250" s="568">
        <f t="shared" si="142"/>
        <v>0</v>
      </c>
      <c r="I250" s="568">
        <f t="shared" si="142"/>
        <v>0</v>
      </c>
      <c r="J250" s="569">
        <f t="shared" si="142"/>
        <v>0.37782805429864252</v>
      </c>
      <c r="K250" s="570">
        <f t="shared" si="142"/>
        <v>0</v>
      </c>
      <c r="L250" s="568">
        <f t="shared" si="142"/>
        <v>0</v>
      </c>
      <c r="M250" s="568">
        <f t="shared" si="142"/>
        <v>0</v>
      </c>
      <c r="N250" s="568">
        <f t="shared" si="142"/>
        <v>0</v>
      </c>
      <c r="O250" s="571">
        <f t="shared" si="142"/>
        <v>0</v>
      </c>
      <c r="P250" s="570">
        <f t="shared" si="142"/>
        <v>2.0222446916076846E-3</v>
      </c>
      <c r="Q250" s="568">
        <f t="shared" si="142"/>
        <v>0</v>
      </c>
      <c r="R250" s="568">
        <f t="shared" si="142"/>
        <v>0</v>
      </c>
      <c r="S250" s="571">
        <f t="shared" si="142"/>
        <v>0</v>
      </c>
      <c r="T250" s="570">
        <f t="shared" si="142"/>
        <v>0</v>
      </c>
      <c r="U250" s="253"/>
      <c r="V250" s="245">
        <v>476</v>
      </c>
      <c r="W250" s="246"/>
      <c r="X250" s="246">
        <v>155</v>
      </c>
      <c r="Y250" s="246">
        <v>189</v>
      </c>
      <c r="Z250" s="246">
        <v>15</v>
      </c>
      <c r="AA250" s="246"/>
      <c r="AB250" s="242"/>
      <c r="AC250" s="247">
        <v>835</v>
      </c>
      <c r="AD250" s="245"/>
      <c r="AE250" s="246"/>
      <c r="AF250" s="246"/>
      <c r="AG250" s="246"/>
      <c r="AH250" s="246"/>
      <c r="AI250" s="248">
        <v>2</v>
      </c>
      <c r="AJ250" s="245"/>
      <c r="AK250" s="246"/>
      <c r="AL250" s="248"/>
      <c r="AM250" s="245"/>
      <c r="AN250" s="563"/>
    </row>
    <row r="251" spans="1:41" ht="12.75" customHeight="1">
      <c r="A251" s="239"/>
      <c r="B251" s="239" t="s">
        <v>93</v>
      </c>
      <c r="C251" s="572">
        <f>IF(V251&gt;0,(V251/V255),0)</f>
        <v>0.26271186440677968</v>
      </c>
      <c r="D251" s="572">
        <f t="shared" ref="D251:T251" si="143">IF(W251&gt;0,(W251/W255),0)</f>
        <v>0</v>
      </c>
      <c r="E251" s="572">
        <f t="shared" si="143"/>
        <v>0.31759656652360513</v>
      </c>
      <c r="F251" s="572">
        <f t="shared" si="143"/>
        <v>0.25289575289575289</v>
      </c>
      <c r="G251" s="572">
        <f t="shared" si="143"/>
        <v>0.15217391304347827</v>
      </c>
      <c r="H251" s="572">
        <f t="shared" si="143"/>
        <v>0</v>
      </c>
      <c r="I251" s="572">
        <f t="shared" si="143"/>
        <v>0</v>
      </c>
      <c r="J251" s="573">
        <f t="shared" si="143"/>
        <v>0.26968325791855202</v>
      </c>
      <c r="K251" s="574">
        <f t="shared" si="143"/>
        <v>0</v>
      </c>
      <c r="L251" s="572">
        <f t="shared" si="143"/>
        <v>0</v>
      </c>
      <c r="M251" s="572">
        <f t="shared" si="143"/>
        <v>0</v>
      </c>
      <c r="N251" s="572">
        <f t="shared" si="143"/>
        <v>0</v>
      </c>
      <c r="O251" s="575">
        <f t="shared" si="143"/>
        <v>0</v>
      </c>
      <c r="P251" s="574">
        <f t="shared" si="143"/>
        <v>2.0222446916076846E-3</v>
      </c>
      <c r="Q251" s="572">
        <f t="shared" si="143"/>
        <v>0</v>
      </c>
      <c r="R251" s="572">
        <f t="shared" si="143"/>
        <v>0</v>
      </c>
      <c r="S251" s="575">
        <f t="shared" si="143"/>
        <v>0</v>
      </c>
      <c r="T251" s="574">
        <f t="shared" si="143"/>
        <v>0</v>
      </c>
      <c r="U251" s="253"/>
      <c r="V251" s="254">
        <v>310</v>
      </c>
      <c r="W251" s="255"/>
      <c r="X251" s="255">
        <v>148</v>
      </c>
      <c r="Y251" s="255">
        <v>131</v>
      </c>
      <c r="Z251" s="255">
        <v>7</v>
      </c>
      <c r="AA251" s="255"/>
      <c r="AB251" s="251"/>
      <c r="AC251" s="256">
        <v>596</v>
      </c>
      <c r="AD251" s="254"/>
      <c r="AE251" s="255"/>
      <c r="AF251" s="255"/>
      <c r="AG251" s="255"/>
      <c r="AH251" s="255"/>
      <c r="AI251" s="257">
        <v>2</v>
      </c>
      <c r="AJ251" s="254"/>
      <c r="AK251" s="255"/>
      <c r="AL251" s="257"/>
      <c r="AM251" s="254"/>
      <c r="AN251" s="563"/>
    </row>
    <row r="252" spans="1:41" ht="12.75" customHeight="1">
      <c r="A252" s="239"/>
      <c r="B252" s="239" t="s">
        <v>55</v>
      </c>
      <c r="C252" s="572">
        <f>IF(V252&gt;0,(V252/V255),0)</f>
        <v>0.20932203389830509</v>
      </c>
      <c r="D252" s="572">
        <f t="shared" ref="D252:T252" si="144">IF(W252&gt;0,(W252/W255),0)</f>
        <v>0</v>
      </c>
      <c r="E252" s="572">
        <f t="shared" si="144"/>
        <v>0.21459227467811159</v>
      </c>
      <c r="F252" s="572">
        <f t="shared" si="144"/>
        <v>0.22393822393822393</v>
      </c>
      <c r="G252" s="572">
        <f t="shared" si="144"/>
        <v>0.32608695652173914</v>
      </c>
      <c r="H252" s="572">
        <f t="shared" si="144"/>
        <v>0</v>
      </c>
      <c r="I252" s="572">
        <f t="shared" si="144"/>
        <v>0</v>
      </c>
      <c r="J252" s="573">
        <f t="shared" si="144"/>
        <v>0.216289592760181</v>
      </c>
      <c r="K252" s="574">
        <f t="shared" si="144"/>
        <v>0</v>
      </c>
      <c r="L252" s="572">
        <f t="shared" si="144"/>
        <v>0</v>
      </c>
      <c r="M252" s="572">
        <f t="shared" si="144"/>
        <v>0</v>
      </c>
      <c r="N252" s="572">
        <f t="shared" si="144"/>
        <v>0</v>
      </c>
      <c r="O252" s="575">
        <f t="shared" si="144"/>
        <v>0</v>
      </c>
      <c r="P252" s="574">
        <f t="shared" si="144"/>
        <v>9.1001011122345803E-3</v>
      </c>
      <c r="Q252" s="572">
        <f t="shared" si="144"/>
        <v>0</v>
      </c>
      <c r="R252" s="572">
        <f t="shared" si="144"/>
        <v>0</v>
      </c>
      <c r="S252" s="575">
        <f t="shared" si="144"/>
        <v>0</v>
      </c>
      <c r="T252" s="574">
        <f t="shared" si="144"/>
        <v>0</v>
      </c>
      <c r="U252" s="253"/>
      <c r="V252" s="254">
        <v>247</v>
      </c>
      <c r="W252" s="255"/>
      <c r="X252" s="255">
        <v>100</v>
      </c>
      <c r="Y252" s="255">
        <v>116</v>
      </c>
      <c r="Z252" s="255">
        <v>15</v>
      </c>
      <c r="AA252" s="255"/>
      <c r="AB252" s="251"/>
      <c r="AC252" s="256">
        <v>478</v>
      </c>
      <c r="AD252" s="254"/>
      <c r="AE252" s="255"/>
      <c r="AF252" s="255"/>
      <c r="AG252" s="255"/>
      <c r="AH252" s="255"/>
      <c r="AI252" s="257">
        <v>9</v>
      </c>
      <c r="AJ252" s="254"/>
      <c r="AK252" s="255"/>
      <c r="AL252" s="257"/>
      <c r="AM252" s="254"/>
      <c r="AN252" s="563"/>
    </row>
    <row r="253" spans="1:41" ht="12.75" customHeight="1">
      <c r="A253" s="239"/>
      <c r="B253" s="239" t="s">
        <v>78</v>
      </c>
      <c r="C253" s="572">
        <f>IF(V253&gt;0,(V253/V255),0)</f>
        <v>0</v>
      </c>
      <c r="D253" s="572">
        <f t="shared" ref="D253:T253" si="145">IF(W253&gt;0,(W253/W255),0)</f>
        <v>0</v>
      </c>
      <c r="E253" s="572">
        <f t="shared" si="145"/>
        <v>8.5836909871244635E-2</v>
      </c>
      <c r="F253" s="572">
        <f t="shared" si="145"/>
        <v>3.6679536679536683E-2</v>
      </c>
      <c r="G253" s="572">
        <f t="shared" si="145"/>
        <v>0.19565217391304349</v>
      </c>
      <c r="H253" s="572">
        <f t="shared" si="145"/>
        <v>0</v>
      </c>
      <c r="I253" s="572">
        <f t="shared" si="145"/>
        <v>0</v>
      </c>
      <c r="J253" s="573">
        <f t="shared" si="145"/>
        <v>3.0769230769230771E-2</v>
      </c>
      <c r="K253" s="574">
        <f t="shared" si="145"/>
        <v>0</v>
      </c>
      <c r="L253" s="572">
        <f t="shared" si="145"/>
        <v>0</v>
      </c>
      <c r="M253" s="572">
        <f t="shared" si="145"/>
        <v>0</v>
      </c>
      <c r="N253" s="572">
        <f t="shared" si="145"/>
        <v>0</v>
      </c>
      <c r="O253" s="575">
        <f t="shared" si="145"/>
        <v>0</v>
      </c>
      <c r="P253" s="574">
        <f t="shared" si="145"/>
        <v>0.24772497472194135</v>
      </c>
      <c r="Q253" s="572">
        <f t="shared" si="145"/>
        <v>0</v>
      </c>
      <c r="R253" s="572">
        <f t="shared" si="145"/>
        <v>0</v>
      </c>
      <c r="S253" s="575">
        <f t="shared" si="145"/>
        <v>0</v>
      </c>
      <c r="T253" s="574">
        <f t="shared" si="145"/>
        <v>0</v>
      </c>
      <c r="U253" s="253"/>
      <c r="V253" s="254"/>
      <c r="W253" s="255"/>
      <c r="X253" s="255">
        <v>40</v>
      </c>
      <c r="Y253" s="255">
        <v>19</v>
      </c>
      <c r="Z253" s="255">
        <v>9</v>
      </c>
      <c r="AA253" s="255"/>
      <c r="AB253" s="251"/>
      <c r="AC253" s="256">
        <v>68</v>
      </c>
      <c r="AD253" s="254"/>
      <c r="AE253" s="255"/>
      <c r="AF253" s="255"/>
      <c r="AG253" s="255"/>
      <c r="AH253" s="255"/>
      <c r="AI253" s="257">
        <v>245</v>
      </c>
      <c r="AJ253" s="254"/>
      <c r="AK253" s="255"/>
      <c r="AL253" s="257"/>
      <c r="AM253" s="254"/>
      <c r="AN253" s="563"/>
    </row>
    <row r="254" spans="1:41" ht="12.75" customHeight="1">
      <c r="A254" s="580"/>
      <c r="B254" s="580" t="s">
        <v>131</v>
      </c>
      <c r="C254" s="581">
        <f>IF(V254&gt;0,(V254/V255),0)</f>
        <v>0.12457627118644068</v>
      </c>
      <c r="D254" s="582">
        <f t="shared" ref="D254:T254" si="146">IF(W254&gt;0,(W254/W255),0)</f>
        <v>0</v>
      </c>
      <c r="E254" s="582">
        <f t="shared" si="146"/>
        <v>4.9356223175965663E-2</v>
      </c>
      <c r="F254" s="582">
        <f t="shared" si="146"/>
        <v>0.12162162162162163</v>
      </c>
      <c r="G254" s="582">
        <f t="shared" si="146"/>
        <v>0</v>
      </c>
      <c r="H254" s="582">
        <f t="shared" si="146"/>
        <v>0</v>
      </c>
      <c r="I254" s="583">
        <f t="shared" si="146"/>
        <v>0</v>
      </c>
      <c r="J254" s="584">
        <f t="shared" si="146"/>
        <v>0.10542986425339367</v>
      </c>
      <c r="K254" s="581">
        <f t="shared" si="146"/>
        <v>0</v>
      </c>
      <c r="L254" s="582">
        <f t="shared" si="146"/>
        <v>0</v>
      </c>
      <c r="M254" s="582">
        <f t="shared" si="146"/>
        <v>0</v>
      </c>
      <c r="N254" s="582">
        <f t="shared" si="146"/>
        <v>0</v>
      </c>
      <c r="O254" s="583">
        <f t="shared" si="146"/>
        <v>0</v>
      </c>
      <c r="P254" s="581">
        <f t="shared" si="146"/>
        <v>0.73913043478260865</v>
      </c>
      <c r="Q254" s="581">
        <f t="shared" si="146"/>
        <v>0</v>
      </c>
      <c r="R254" s="582">
        <f t="shared" si="146"/>
        <v>0</v>
      </c>
      <c r="S254" s="583">
        <f t="shared" si="146"/>
        <v>0</v>
      </c>
      <c r="T254" s="581">
        <f t="shared" si="146"/>
        <v>1</v>
      </c>
      <c r="U254" s="253"/>
      <c r="V254" s="254">
        <v>147</v>
      </c>
      <c r="W254" s="255"/>
      <c r="X254" s="255">
        <v>23</v>
      </c>
      <c r="Y254" s="255">
        <v>63</v>
      </c>
      <c r="Z254" s="255"/>
      <c r="AA254" s="255"/>
      <c r="AB254" s="582"/>
      <c r="AC254" s="256">
        <v>233</v>
      </c>
      <c r="AD254" s="254"/>
      <c r="AE254" s="255"/>
      <c r="AF254" s="255"/>
      <c r="AG254" s="255"/>
      <c r="AH254" s="255"/>
      <c r="AI254" s="257">
        <v>731</v>
      </c>
      <c r="AJ254" s="254"/>
      <c r="AK254" s="255"/>
      <c r="AL254" s="257"/>
      <c r="AM254" s="254">
        <v>15</v>
      </c>
      <c r="AN254" s="563"/>
    </row>
    <row r="255" spans="1:41" s="527" customFormat="1" ht="12.75" customHeight="1">
      <c r="A255" s="436"/>
      <c r="B255" s="436" t="s">
        <v>59</v>
      </c>
      <c r="C255" s="456">
        <f>SUM(C250:C254)</f>
        <v>1</v>
      </c>
      <c r="D255" s="456">
        <f t="shared" ref="D255:T255" si="147">SUM(D250:D254)</f>
        <v>0</v>
      </c>
      <c r="E255" s="456">
        <f t="shared" si="147"/>
        <v>0.99999999999999989</v>
      </c>
      <c r="F255" s="456">
        <f t="shared" si="147"/>
        <v>1</v>
      </c>
      <c r="G255" s="456">
        <f t="shared" si="147"/>
        <v>1</v>
      </c>
      <c r="H255" s="456">
        <f t="shared" si="147"/>
        <v>0</v>
      </c>
      <c r="I255" s="456">
        <f t="shared" si="147"/>
        <v>0</v>
      </c>
      <c r="J255" s="576">
        <f t="shared" si="147"/>
        <v>0.99999999999999989</v>
      </c>
      <c r="K255" s="577">
        <f t="shared" si="147"/>
        <v>0</v>
      </c>
      <c r="L255" s="578">
        <f t="shared" si="147"/>
        <v>0</v>
      </c>
      <c r="M255" s="578">
        <f t="shared" si="147"/>
        <v>0</v>
      </c>
      <c r="N255" s="578">
        <f t="shared" si="147"/>
        <v>0</v>
      </c>
      <c r="O255" s="579">
        <f t="shared" si="147"/>
        <v>0</v>
      </c>
      <c r="P255" s="577">
        <f t="shared" si="147"/>
        <v>1</v>
      </c>
      <c r="Q255" s="578">
        <f t="shared" si="147"/>
        <v>0</v>
      </c>
      <c r="R255" s="578">
        <f t="shared" si="147"/>
        <v>0</v>
      </c>
      <c r="S255" s="579">
        <f t="shared" si="147"/>
        <v>0</v>
      </c>
      <c r="T255" s="577">
        <f t="shared" si="147"/>
        <v>1</v>
      </c>
      <c r="U255" s="264"/>
      <c r="V255" s="265">
        <v>1180</v>
      </c>
      <c r="W255" s="266"/>
      <c r="X255" s="266">
        <v>466</v>
      </c>
      <c r="Y255" s="266">
        <v>518</v>
      </c>
      <c r="Z255" s="266">
        <v>46</v>
      </c>
      <c r="AA255" s="266"/>
      <c r="AB255" s="262"/>
      <c r="AC255" s="267">
        <v>2210</v>
      </c>
      <c r="AD255" s="265"/>
      <c r="AE255" s="266"/>
      <c r="AF255" s="266"/>
      <c r="AG255" s="266"/>
      <c r="AH255" s="266"/>
      <c r="AI255" s="268">
        <v>989</v>
      </c>
      <c r="AJ255" s="265"/>
      <c r="AK255" s="266"/>
      <c r="AL255" s="268"/>
      <c r="AM255" s="265">
        <v>15</v>
      </c>
      <c r="AN255" s="563"/>
      <c r="AO255" s="270"/>
    </row>
    <row r="256" spans="1:41" ht="12.75" customHeight="1">
      <c r="A256" s="240" t="s">
        <v>153</v>
      </c>
      <c r="B256" s="240" t="s">
        <v>53</v>
      </c>
      <c r="C256" s="568">
        <f>IF(V256&gt;0,(V256/V261),0)</f>
        <v>0</v>
      </c>
      <c r="D256" s="568">
        <f t="shared" ref="D256:T256" si="148">IF(W256&gt;0,(W256/W261),0)</f>
        <v>0.19856887298747763</v>
      </c>
      <c r="E256" s="568">
        <f t="shared" si="148"/>
        <v>0</v>
      </c>
      <c r="F256" s="568">
        <f t="shared" si="148"/>
        <v>0.17647058823529413</v>
      </c>
      <c r="G256" s="568">
        <f t="shared" si="148"/>
        <v>0</v>
      </c>
      <c r="H256" s="568">
        <f t="shared" si="148"/>
        <v>0.14213197969543148</v>
      </c>
      <c r="I256" s="568">
        <f t="shared" si="148"/>
        <v>0</v>
      </c>
      <c r="J256" s="569">
        <f t="shared" si="148"/>
        <v>0.18841544607190414</v>
      </c>
      <c r="K256" s="570">
        <f t="shared" si="148"/>
        <v>0</v>
      </c>
      <c r="L256" s="568">
        <f t="shared" si="148"/>
        <v>0</v>
      </c>
      <c r="M256" s="568">
        <f t="shared" si="148"/>
        <v>0</v>
      </c>
      <c r="N256" s="568">
        <f t="shared" si="148"/>
        <v>0</v>
      </c>
      <c r="O256" s="571">
        <f t="shared" si="148"/>
        <v>0</v>
      </c>
      <c r="P256" s="570">
        <f t="shared" si="148"/>
        <v>4.065040650406504E-2</v>
      </c>
      <c r="Q256" s="568">
        <f t="shared" si="148"/>
        <v>0</v>
      </c>
      <c r="R256" s="568">
        <f t="shared" si="148"/>
        <v>0</v>
      </c>
      <c r="S256" s="571">
        <f t="shared" si="148"/>
        <v>0</v>
      </c>
      <c r="T256" s="570">
        <f t="shared" si="148"/>
        <v>0</v>
      </c>
      <c r="U256" s="253"/>
      <c r="V256" s="245"/>
      <c r="W256" s="246">
        <v>222</v>
      </c>
      <c r="X256" s="246"/>
      <c r="Y256" s="246">
        <v>33</v>
      </c>
      <c r="Z256" s="246"/>
      <c r="AA256" s="246">
        <v>28</v>
      </c>
      <c r="AB256" s="242"/>
      <c r="AC256" s="247">
        <v>283</v>
      </c>
      <c r="AD256" s="245"/>
      <c r="AE256" s="246"/>
      <c r="AF256" s="246"/>
      <c r="AG256" s="246"/>
      <c r="AH256" s="246"/>
      <c r="AI256" s="248">
        <v>15</v>
      </c>
      <c r="AJ256" s="245"/>
      <c r="AK256" s="246"/>
      <c r="AL256" s="248"/>
      <c r="AM256" s="245"/>
      <c r="AN256" s="563"/>
    </row>
    <row r="257" spans="1:41" ht="12.75" customHeight="1">
      <c r="A257" s="239"/>
      <c r="B257" s="239" t="s">
        <v>93</v>
      </c>
      <c r="C257" s="572">
        <f>IF(V257&gt;0,(V257/V261),0)</f>
        <v>0</v>
      </c>
      <c r="D257" s="572">
        <f t="shared" ref="D257:T257" si="149">IF(W257&gt;0,(W257/W261),0)</f>
        <v>0.26386404293381038</v>
      </c>
      <c r="E257" s="572">
        <f t="shared" si="149"/>
        <v>0</v>
      </c>
      <c r="F257" s="572">
        <f t="shared" si="149"/>
        <v>0.22994652406417113</v>
      </c>
      <c r="G257" s="572">
        <f t="shared" si="149"/>
        <v>0</v>
      </c>
      <c r="H257" s="572">
        <f t="shared" si="149"/>
        <v>0.25380710659898476</v>
      </c>
      <c r="I257" s="572">
        <f t="shared" si="149"/>
        <v>0</v>
      </c>
      <c r="J257" s="573">
        <f t="shared" si="149"/>
        <v>0.25832223701731027</v>
      </c>
      <c r="K257" s="574">
        <f t="shared" si="149"/>
        <v>0</v>
      </c>
      <c r="L257" s="572">
        <f t="shared" si="149"/>
        <v>0</v>
      </c>
      <c r="M257" s="572">
        <f t="shared" si="149"/>
        <v>0</v>
      </c>
      <c r="N257" s="572">
        <f t="shared" si="149"/>
        <v>0</v>
      </c>
      <c r="O257" s="575">
        <f t="shared" si="149"/>
        <v>0</v>
      </c>
      <c r="P257" s="574">
        <f t="shared" si="149"/>
        <v>0.34146341463414637</v>
      </c>
      <c r="Q257" s="572">
        <f t="shared" si="149"/>
        <v>0</v>
      </c>
      <c r="R257" s="572">
        <f t="shared" si="149"/>
        <v>0</v>
      </c>
      <c r="S257" s="575">
        <f t="shared" si="149"/>
        <v>0</v>
      </c>
      <c r="T257" s="574">
        <f t="shared" si="149"/>
        <v>0</v>
      </c>
      <c r="U257" s="253"/>
      <c r="V257" s="254"/>
      <c r="W257" s="255">
        <v>295</v>
      </c>
      <c r="X257" s="255"/>
      <c r="Y257" s="255">
        <v>43</v>
      </c>
      <c r="Z257" s="255"/>
      <c r="AA257" s="255">
        <v>50</v>
      </c>
      <c r="AB257" s="251"/>
      <c r="AC257" s="256">
        <v>388</v>
      </c>
      <c r="AD257" s="254"/>
      <c r="AE257" s="255"/>
      <c r="AF257" s="255"/>
      <c r="AG257" s="255"/>
      <c r="AH257" s="255"/>
      <c r="AI257" s="257">
        <v>126</v>
      </c>
      <c r="AJ257" s="254"/>
      <c r="AK257" s="255"/>
      <c r="AL257" s="257"/>
      <c r="AM257" s="254"/>
      <c r="AN257" s="563"/>
    </row>
    <row r="258" spans="1:41" ht="12.75" customHeight="1">
      <c r="A258" s="239"/>
      <c r="B258" s="239" t="s">
        <v>55</v>
      </c>
      <c r="C258" s="572">
        <f>IF(V258&gt;0,(V258/V261),0)</f>
        <v>0</v>
      </c>
      <c r="D258" s="572">
        <f t="shared" ref="D258:T258" si="150">IF(W258&gt;0,(W258/W261),0)</f>
        <v>0.36225402504472271</v>
      </c>
      <c r="E258" s="572">
        <f t="shared" si="150"/>
        <v>0</v>
      </c>
      <c r="F258" s="572">
        <f t="shared" si="150"/>
        <v>0.33155080213903743</v>
      </c>
      <c r="G258" s="572">
        <f t="shared" si="150"/>
        <v>0</v>
      </c>
      <c r="H258" s="572">
        <f t="shared" si="150"/>
        <v>0.39086294416243655</v>
      </c>
      <c r="I258" s="572">
        <f t="shared" si="150"/>
        <v>0</v>
      </c>
      <c r="J258" s="573">
        <f t="shared" si="150"/>
        <v>0.36218375499334221</v>
      </c>
      <c r="K258" s="574">
        <f t="shared" si="150"/>
        <v>0</v>
      </c>
      <c r="L258" s="572">
        <f t="shared" si="150"/>
        <v>0</v>
      </c>
      <c r="M258" s="572">
        <f t="shared" si="150"/>
        <v>0</v>
      </c>
      <c r="N258" s="572">
        <f t="shared" si="150"/>
        <v>0</v>
      </c>
      <c r="O258" s="575">
        <f t="shared" si="150"/>
        <v>0</v>
      </c>
      <c r="P258" s="574">
        <f t="shared" si="150"/>
        <v>0.29268292682926828</v>
      </c>
      <c r="Q258" s="572">
        <f t="shared" si="150"/>
        <v>0</v>
      </c>
      <c r="R258" s="572">
        <f t="shared" si="150"/>
        <v>0</v>
      </c>
      <c r="S258" s="575">
        <f t="shared" si="150"/>
        <v>0</v>
      </c>
      <c r="T258" s="574">
        <f t="shared" si="150"/>
        <v>0</v>
      </c>
      <c r="U258" s="253"/>
      <c r="V258" s="254"/>
      <c r="W258" s="255">
        <v>405</v>
      </c>
      <c r="X258" s="255"/>
      <c r="Y258" s="255">
        <v>62</v>
      </c>
      <c r="Z258" s="255"/>
      <c r="AA258" s="255">
        <v>77</v>
      </c>
      <c r="AB258" s="251"/>
      <c r="AC258" s="256">
        <v>544</v>
      </c>
      <c r="AD258" s="254"/>
      <c r="AE258" s="255"/>
      <c r="AF258" s="255"/>
      <c r="AG258" s="255"/>
      <c r="AH258" s="255"/>
      <c r="AI258" s="257">
        <v>108</v>
      </c>
      <c r="AJ258" s="254"/>
      <c r="AK258" s="255"/>
      <c r="AL258" s="257"/>
      <c r="AM258" s="254"/>
      <c r="AN258" s="563"/>
    </row>
    <row r="259" spans="1:41" ht="12.75" customHeight="1">
      <c r="A259" s="239"/>
      <c r="B259" s="239" t="s">
        <v>78</v>
      </c>
      <c r="C259" s="572">
        <f>IF(V259&gt;0,(V259/V261),0)</f>
        <v>0</v>
      </c>
      <c r="D259" s="572">
        <f t="shared" ref="D259:T259" si="151">IF(W259&gt;0,(W259/W261),0)</f>
        <v>2.2361359570661897E-2</v>
      </c>
      <c r="E259" s="572">
        <f t="shared" si="151"/>
        <v>0</v>
      </c>
      <c r="F259" s="572">
        <f t="shared" si="151"/>
        <v>0.18181818181818182</v>
      </c>
      <c r="G259" s="572">
        <f t="shared" si="151"/>
        <v>0</v>
      </c>
      <c r="H259" s="572">
        <f t="shared" si="151"/>
        <v>0.15736040609137056</v>
      </c>
      <c r="I259" s="572">
        <f t="shared" si="151"/>
        <v>0</v>
      </c>
      <c r="J259" s="573">
        <f t="shared" si="151"/>
        <v>5.9920106524633823E-2</v>
      </c>
      <c r="K259" s="574">
        <f t="shared" si="151"/>
        <v>0</v>
      </c>
      <c r="L259" s="572">
        <f t="shared" si="151"/>
        <v>0</v>
      </c>
      <c r="M259" s="572">
        <f t="shared" si="151"/>
        <v>0</v>
      </c>
      <c r="N259" s="572">
        <f t="shared" si="151"/>
        <v>0</v>
      </c>
      <c r="O259" s="575">
        <f t="shared" si="151"/>
        <v>0</v>
      </c>
      <c r="P259" s="574">
        <f t="shared" si="151"/>
        <v>0.22493224932249323</v>
      </c>
      <c r="Q259" s="572">
        <f t="shared" si="151"/>
        <v>0</v>
      </c>
      <c r="R259" s="572">
        <f t="shared" si="151"/>
        <v>0</v>
      </c>
      <c r="S259" s="575">
        <f t="shared" si="151"/>
        <v>0</v>
      </c>
      <c r="T259" s="574">
        <f t="shared" si="151"/>
        <v>0</v>
      </c>
      <c r="U259" s="253"/>
      <c r="V259" s="254"/>
      <c r="W259" s="255">
        <v>25</v>
      </c>
      <c r="X259" s="255"/>
      <c r="Y259" s="255">
        <v>34</v>
      </c>
      <c r="Z259" s="255"/>
      <c r="AA259" s="255">
        <v>31</v>
      </c>
      <c r="AB259" s="251"/>
      <c r="AC259" s="256">
        <v>90</v>
      </c>
      <c r="AD259" s="254"/>
      <c r="AE259" s="255"/>
      <c r="AF259" s="255"/>
      <c r="AG259" s="255"/>
      <c r="AH259" s="255"/>
      <c r="AI259" s="257">
        <v>83</v>
      </c>
      <c r="AJ259" s="254"/>
      <c r="AK259" s="255"/>
      <c r="AL259" s="257"/>
      <c r="AM259" s="254"/>
      <c r="AN259" s="563"/>
    </row>
    <row r="260" spans="1:41" ht="12.75" customHeight="1">
      <c r="A260" s="580"/>
      <c r="B260" s="580" t="s">
        <v>131</v>
      </c>
      <c r="C260" s="581">
        <f>IF(V260&gt;0,(V260/V261),0)</f>
        <v>0</v>
      </c>
      <c r="D260" s="582">
        <f t="shared" ref="D260:T260" si="152">IF(W260&gt;0,(W260/W261),0)</f>
        <v>0.15295169946332737</v>
      </c>
      <c r="E260" s="582">
        <f t="shared" si="152"/>
        <v>0</v>
      </c>
      <c r="F260" s="582">
        <f t="shared" si="152"/>
        <v>8.0213903743315509E-2</v>
      </c>
      <c r="G260" s="582">
        <f t="shared" si="152"/>
        <v>0</v>
      </c>
      <c r="H260" s="582">
        <f t="shared" si="152"/>
        <v>5.5837563451776651E-2</v>
      </c>
      <c r="I260" s="583">
        <f t="shared" si="152"/>
        <v>0</v>
      </c>
      <c r="J260" s="584">
        <f t="shared" si="152"/>
        <v>0.1311584553928096</v>
      </c>
      <c r="K260" s="581">
        <f t="shared" si="152"/>
        <v>0</v>
      </c>
      <c r="L260" s="582">
        <f t="shared" si="152"/>
        <v>0</v>
      </c>
      <c r="M260" s="582">
        <f t="shared" si="152"/>
        <v>0</v>
      </c>
      <c r="N260" s="582">
        <f t="shared" si="152"/>
        <v>0</v>
      </c>
      <c r="O260" s="583">
        <f t="shared" si="152"/>
        <v>0</v>
      </c>
      <c r="P260" s="581">
        <f t="shared" si="152"/>
        <v>0.1002710027100271</v>
      </c>
      <c r="Q260" s="581">
        <f t="shared" si="152"/>
        <v>0</v>
      </c>
      <c r="R260" s="582">
        <f t="shared" si="152"/>
        <v>0</v>
      </c>
      <c r="S260" s="583">
        <f t="shared" si="152"/>
        <v>0</v>
      </c>
      <c r="T260" s="581">
        <f t="shared" si="152"/>
        <v>0</v>
      </c>
      <c r="U260" s="253"/>
      <c r="V260" s="254"/>
      <c r="W260" s="255">
        <v>171</v>
      </c>
      <c r="X260" s="255"/>
      <c r="Y260" s="255">
        <v>15</v>
      </c>
      <c r="Z260" s="255"/>
      <c r="AA260" s="255">
        <v>11</v>
      </c>
      <c r="AB260" s="582"/>
      <c r="AC260" s="256">
        <v>197</v>
      </c>
      <c r="AD260" s="254"/>
      <c r="AE260" s="255"/>
      <c r="AF260" s="255"/>
      <c r="AG260" s="255"/>
      <c r="AH260" s="255"/>
      <c r="AI260" s="257">
        <v>37</v>
      </c>
      <c r="AJ260" s="254"/>
      <c r="AK260" s="255"/>
      <c r="AL260" s="257"/>
      <c r="AM260" s="254"/>
    </row>
    <row r="261" spans="1:41" s="527" customFormat="1" ht="12.75" customHeight="1">
      <c r="A261" s="436"/>
      <c r="B261" s="436" t="s">
        <v>59</v>
      </c>
      <c r="C261" s="456">
        <f>SUM(C256:C260)</f>
        <v>0</v>
      </c>
      <c r="D261" s="456">
        <f t="shared" ref="D261:T261" si="153">SUM(D256:D260)</f>
        <v>1</v>
      </c>
      <c r="E261" s="456">
        <f t="shared" si="153"/>
        <v>0</v>
      </c>
      <c r="F261" s="456">
        <f t="shared" si="153"/>
        <v>1.0000000000000002</v>
      </c>
      <c r="G261" s="456">
        <f t="shared" si="153"/>
        <v>0</v>
      </c>
      <c r="H261" s="456">
        <f t="shared" si="153"/>
        <v>1</v>
      </c>
      <c r="I261" s="456">
        <f t="shared" si="153"/>
        <v>0</v>
      </c>
      <c r="J261" s="576">
        <f t="shared" si="153"/>
        <v>1.0000000000000002</v>
      </c>
      <c r="K261" s="577">
        <f t="shared" si="153"/>
        <v>0</v>
      </c>
      <c r="L261" s="578">
        <f t="shared" si="153"/>
        <v>0</v>
      </c>
      <c r="M261" s="578">
        <f t="shared" si="153"/>
        <v>0</v>
      </c>
      <c r="N261" s="578">
        <f t="shared" si="153"/>
        <v>0</v>
      </c>
      <c r="O261" s="579">
        <f t="shared" si="153"/>
        <v>0</v>
      </c>
      <c r="P261" s="577">
        <f t="shared" si="153"/>
        <v>1</v>
      </c>
      <c r="Q261" s="578">
        <f t="shared" si="153"/>
        <v>0</v>
      </c>
      <c r="R261" s="578">
        <f t="shared" si="153"/>
        <v>0</v>
      </c>
      <c r="S261" s="579">
        <f t="shared" si="153"/>
        <v>0</v>
      </c>
      <c r="T261" s="577">
        <f t="shared" si="153"/>
        <v>0</v>
      </c>
      <c r="U261" s="264"/>
      <c r="V261" s="265"/>
      <c r="W261" s="266">
        <v>1118</v>
      </c>
      <c r="X261" s="266"/>
      <c r="Y261" s="266">
        <v>187</v>
      </c>
      <c r="Z261" s="266"/>
      <c r="AA261" s="266">
        <v>197</v>
      </c>
      <c r="AB261" s="262"/>
      <c r="AC261" s="267">
        <v>1502</v>
      </c>
      <c r="AD261" s="265"/>
      <c r="AE261" s="266"/>
      <c r="AF261" s="266"/>
      <c r="AG261" s="266"/>
      <c r="AH261" s="266"/>
      <c r="AI261" s="268">
        <v>369</v>
      </c>
      <c r="AJ261" s="265"/>
      <c r="AK261" s="266"/>
      <c r="AL261" s="268"/>
      <c r="AM261" s="265"/>
      <c r="AN261" s="270"/>
      <c r="AO261" s="270"/>
    </row>
    <row r="262" spans="1:41" ht="12.75" customHeight="1">
      <c r="A262" s="240" t="s">
        <v>160</v>
      </c>
      <c r="B262" s="240" t="s">
        <v>53</v>
      </c>
      <c r="C262" s="568">
        <f>IF(V262&gt;0,(V262/V267),0)</f>
        <v>0.32794457274826788</v>
      </c>
      <c r="D262" s="568">
        <f t="shared" ref="D262:T262" si="154">IF(W262&gt;0,(W262/W267),0)</f>
        <v>0.27413909520594193</v>
      </c>
      <c r="E262" s="568">
        <f t="shared" si="154"/>
        <v>0.3081761006289308</v>
      </c>
      <c r="F262" s="568">
        <f t="shared" si="154"/>
        <v>0</v>
      </c>
      <c r="G262" s="568">
        <f t="shared" si="154"/>
        <v>0</v>
      </c>
      <c r="H262" s="568">
        <f t="shared" si="154"/>
        <v>0.16268980477223427</v>
      </c>
      <c r="I262" s="568">
        <f t="shared" si="154"/>
        <v>0</v>
      </c>
      <c r="J262" s="569">
        <f t="shared" si="154"/>
        <v>0.30364219664087566</v>
      </c>
      <c r="K262" s="570">
        <f t="shared" si="154"/>
        <v>0</v>
      </c>
      <c r="L262" s="568">
        <f t="shared" si="154"/>
        <v>0</v>
      </c>
      <c r="M262" s="568">
        <f t="shared" si="154"/>
        <v>0</v>
      </c>
      <c r="N262" s="568">
        <f t="shared" si="154"/>
        <v>0</v>
      </c>
      <c r="O262" s="571">
        <f t="shared" si="154"/>
        <v>0</v>
      </c>
      <c r="P262" s="570">
        <f t="shared" si="154"/>
        <v>0.19952556668423826</v>
      </c>
      <c r="Q262" s="568">
        <f t="shared" si="154"/>
        <v>0</v>
      </c>
      <c r="R262" s="568">
        <f t="shared" si="154"/>
        <v>0</v>
      </c>
      <c r="S262" s="571">
        <f t="shared" si="154"/>
        <v>0</v>
      </c>
      <c r="T262" s="570">
        <f t="shared" si="154"/>
        <v>0</v>
      </c>
      <c r="U262" s="253"/>
      <c r="V262" s="245">
        <v>1988</v>
      </c>
      <c r="W262" s="246">
        <v>812</v>
      </c>
      <c r="X262" s="246">
        <v>343</v>
      </c>
      <c r="Y262" s="246"/>
      <c r="Z262" s="246"/>
      <c r="AA262" s="246">
        <v>75</v>
      </c>
      <c r="AB262" s="242"/>
      <c r="AC262" s="247">
        <v>3218</v>
      </c>
      <c r="AD262" s="245"/>
      <c r="AE262" s="246"/>
      <c r="AF262" s="246"/>
      <c r="AG262" s="246"/>
      <c r="AH262" s="246"/>
      <c r="AI262" s="248">
        <v>757</v>
      </c>
      <c r="AJ262" s="245"/>
      <c r="AK262" s="246"/>
      <c r="AL262" s="248"/>
      <c r="AM262" s="245"/>
      <c r="AN262" s="563"/>
    </row>
    <row r="263" spans="1:41" ht="12.75" customHeight="1">
      <c r="A263" s="239"/>
      <c r="B263" s="239" t="s">
        <v>93</v>
      </c>
      <c r="C263" s="572">
        <f>IF(V263&gt;0,(V263/V267),0)</f>
        <v>0.31986143187066973</v>
      </c>
      <c r="D263" s="572">
        <f t="shared" ref="D263:T263" si="155">IF(W263&gt;0,(W263/W267),0)</f>
        <v>0.31060094530722487</v>
      </c>
      <c r="E263" s="572">
        <f t="shared" si="155"/>
        <v>0.27672955974842767</v>
      </c>
      <c r="F263" s="572">
        <f t="shared" si="155"/>
        <v>0</v>
      </c>
      <c r="G263" s="572">
        <f t="shared" si="155"/>
        <v>0</v>
      </c>
      <c r="H263" s="572">
        <f t="shared" si="155"/>
        <v>0.32754880694143168</v>
      </c>
      <c r="I263" s="572">
        <f t="shared" si="155"/>
        <v>0</v>
      </c>
      <c r="J263" s="573">
        <f t="shared" si="155"/>
        <v>0.31307793923381771</v>
      </c>
      <c r="K263" s="574">
        <f t="shared" si="155"/>
        <v>0</v>
      </c>
      <c r="L263" s="572">
        <f t="shared" si="155"/>
        <v>0</v>
      </c>
      <c r="M263" s="572">
        <f t="shared" si="155"/>
        <v>0</v>
      </c>
      <c r="N263" s="572">
        <f t="shared" si="155"/>
        <v>0</v>
      </c>
      <c r="O263" s="575">
        <f t="shared" si="155"/>
        <v>0</v>
      </c>
      <c r="P263" s="574">
        <f t="shared" si="155"/>
        <v>0.22667369530838166</v>
      </c>
      <c r="Q263" s="572">
        <f t="shared" si="155"/>
        <v>0</v>
      </c>
      <c r="R263" s="572">
        <f t="shared" si="155"/>
        <v>0</v>
      </c>
      <c r="S263" s="575">
        <f t="shared" si="155"/>
        <v>0</v>
      </c>
      <c r="T263" s="574">
        <f t="shared" si="155"/>
        <v>0</v>
      </c>
      <c r="U263" s="253"/>
      <c r="V263" s="254">
        <v>1939</v>
      </c>
      <c r="W263" s="255">
        <v>920</v>
      </c>
      <c r="X263" s="255">
        <v>308</v>
      </c>
      <c r="Y263" s="255"/>
      <c r="Z263" s="255"/>
      <c r="AA263" s="255">
        <v>151</v>
      </c>
      <c r="AB263" s="251"/>
      <c r="AC263" s="256">
        <v>3318</v>
      </c>
      <c r="AD263" s="254"/>
      <c r="AE263" s="255"/>
      <c r="AF263" s="255"/>
      <c r="AG263" s="255"/>
      <c r="AH263" s="255"/>
      <c r="AI263" s="257">
        <v>860</v>
      </c>
      <c r="AJ263" s="254"/>
      <c r="AK263" s="255"/>
      <c r="AL263" s="257"/>
      <c r="AM263" s="254"/>
      <c r="AN263" s="563"/>
    </row>
    <row r="264" spans="1:41" ht="12.75" customHeight="1">
      <c r="A264" s="239"/>
      <c r="B264" s="239" t="s">
        <v>55</v>
      </c>
      <c r="C264" s="572">
        <f>IF(V264&gt;0,(V264/V267),0)</f>
        <v>0.26129990102276479</v>
      </c>
      <c r="D264" s="572">
        <f t="shared" ref="D264:T264" si="156">IF(W264&gt;0,(W264/W267),0)</f>
        <v>0.20087778528021608</v>
      </c>
      <c r="E264" s="572">
        <f t="shared" si="156"/>
        <v>0.23360287511230907</v>
      </c>
      <c r="F264" s="572">
        <f t="shared" si="156"/>
        <v>0</v>
      </c>
      <c r="G264" s="572">
        <f t="shared" si="156"/>
        <v>0</v>
      </c>
      <c r="H264" s="572">
        <f t="shared" si="156"/>
        <v>0.31236442516268981</v>
      </c>
      <c r="I264" s="572">
        <f t="shared" si="156"/>
        <v>0</v>
      </c>
      <c r="J264" s="573">
        <f t="shared" si="156"/>
        <v>0.24372523117569353</v>
      </c>
      <c r="K264" s="574">
        <f t="shared" si="156"/>
        <v>0</v>
      </c>
      <c r="L264" s="572">
        <f t="shared" si="156"/>
        <v>0</v>
      </c>
      <c r="M264" s="572">
        <f t="shared" si="156"/>
        <v>0</v>
      </c>
      <c r="N264" s="572">
        <f t="shared" si="156"/>
        <v>0</v>
      </c>
      <c r="O264" s="575">
        <f t="shared" si="156"/>
        <v>0</v>
      </c>
      <c r="P264" s="574">
        <f t="shared" si="156"/>
        <v>0.28993147074327885</v>
      </c>
      <c r="Q264" s="572">
        <f t="shared" si="156"/>
        <v>0</v>
      </c>
      <c r="R264" s="572">
        <f t="shared" si="156"/>
        <v>0</v>
      </c>
      <c r="S264" s="575">
        <f t="shared" si="156"/>
        <v>0</v>
      </c>
      <c r="T264" s="574">
        <f t="shared" si="156"/>
        <v>0</v>
      </c>
      <c r="U264" s="253"/>
      <c r="V264" s="254">
        <v>1584</v>
      </c>
      <c r="W264" s="255">
        <v>595</v>
      </c>
      <c r="X264" s="255">
        <v>260</v>
      </c>
      <c r="Y264" s="255"/>
      <c r="Z264" s="255"/>
      <c r="AA264" s="255">
        <v>144</v>
      </c>
      <c r="AB264" s="251"/>
      <c r="AC264" s="256">
        <v>2583</v>
      </c>
      <c r="AD264" s="254"/>
      <c r="AE264" s="255"/>
      <c r="AF264" s="255"/>
      <c r="AG264" s="255"/>
      <c r="AH264" s="255"/>
      <c r="AI264" s="257">
        <v>1100</v>
      </c>
      <c r="AJ264" s="254"/>
      <c r="AK264" s="255"/>
      <c r="AL264" s="257"/>
      <c r="AM264" s="254"/>
      <c r="AN264" s="563"/>
    </row>
    <row r="265" spans="1:41" ht="12.75" customHeight="1">
      <c r="A265" s="239"/>
      <c r="B265" s="239" t="s">
        <v>78</v>
      </c>
      <c r="C265" s="572">
        <f>IF(V265&gt;0,(V265/V267),0)</f>
        <v>2.6723853513691852E-2</v>
      </c>
      <c r="D265" s="572">
        <f t="shared" ref="D265:T265" si="157">IF(W265&gt;0,(W265/W267),0)</f>
        <v>0.12727886563133017</v>
      </c>
      <c r="E265" s="572">
        <f t="shared" si="157"/>
        <v>9.9730458221024262E-2</v>
      </c>
      <c r="F265" s="572">
        <f t="shared" si="157"/>
        <v>0</v>
      </c>
      <c r="G265" s="572">
        <f t="shared" si="157"/>
        <v>0</v>
      </c>
      <c r="H265" s="572">
        <f t="shared" si="157"/>
        <v>0.13882863340563992</v>
      </c>
      <c r="I265" s="572">
        <f t="shared" si="157"/>
        <v>0</v>
      </c>
      <c r="J265" s="573">
        <f t="shared" si="157"/>
        <v>6.7371202113606338E-2</v>
      </c>
      <c r="K265" s="574">
        <f t="shared" si="157"/>
        <v>0</v>
      </c>
      <c r="L265" s="572">
        <f t="shared" si="157"/>
        <v>0</v>
      </c>
      <c r="M265" s="572">
        <f t="shared" si="157"/>
        <v>0</v>
      </c>
      <c r="N265" s="572">
        <f t="shared" si="157"/>
        <v>0</v>
      </c>
      <c r="O265" s="575">
        <f t="shared" si="157"/>
        <v>0</v>
      </c>
      <c r="P265" s="574">
        <f t="shared" si="157"/>
        <v>0.16842382709541381</v>
      </c>
      <c r="Q265" s="572">
        <f t="shared" si="157"/>
        <v>0</v>
      </c>
      <c r="R265" s="572">
        <f t="shared" si="157"/>
        <v>0</v>
      </c>
      <c r="S265" s="575">
        <f t="shared" si="157"/>
        <v>0</v>
      </c>
      <c r="T265" s="574">
        <f t="shared" si="157"/>
        <v>0</v>
      </c>
      <c r="U265" s="253"/>
      <c r="V265" s="254">
        <v>162</v>
      </c>
      <c r="W265" s="255">
        <v>377</v>
      </c>
      <c r="X265" s="255">
        <v>111</v>
      </c>
      <c r="Y265" s="255"/>
      <c r="Z265" s="255"/>
      <c r="AA265" s="255">
        <v>64</v>
      </c>
      <c r="AB265" s="251"/>
      <c r="AC265" s="256">
        <v>714</v>
      </c>
      <c r="AD265" s="254"/>
      <c r="AE265" s="255"/>
      <c r="AF265" s="255"/>
      <c r="AG265" s="255"/>
      <c r="AH265" s="255"/>
      <c r="AI265" s="257">
        <v>639</v>
      </c>
      <c r="AJ265" s="254"/>
      <c r="AK265" s="255"/>
      <c r="AL265" s="257"/>
      <c r="AM265" s="254"/>
      <c r="AN265" s="563"/>
    </row>
    <row r="266" spans="1:41" ht="12.75" customHeight="1">
      <c r="A266" s="580"/>
      <c r="B266" s="580" t="s">
        <v>131</v>
      </c>
      <c r="C266" s="581">
        <f>IF(V266&gt;0,(V266/V267),0)</f>
        <v>6.4170240844605736E-2</v>
      </c>
      <c r="D266" s="582">
        <f t="shared" ref="D266:T266" si="158">IF(W266&gt;0,(W266/W267),0)</f>
        <v>8.7103308575286975E-2</v>
      </c>
      <c r="E266" s="582">
        <f t="shared" si="158"/>
        <v>8.1761006289308172E-2</v>
      </c>
      <c r="F266" s="582">
        <f t="shared" si="158"/>
        <v>0</v>
      </c>
      <c r="G266" s="582">
        <f t="shared" si="158"/>
        <v>0</v>
      </c>
      <c r="H266" s="582">
        <f t="shared" si="158"/>
        <v>5.8568329718004339E-2</v>
      </c>
      <c r="I266" s="583">
        <f t="shared" si="158"/>
        <v>0</v>
      </c>
      <c r="J266" s="584">
        <f t="shared" si="158"/>
        <v>7.2183430836006798E-2</v>
      </c>
      <c r="K266" s="581">
        <f t="shared" si="158"/>
        <v>0</v>
      </c>
      <c r="L266" s="582">
        <f t="shared" si="158"/>
        <v>0</v>
      </c>
      <c r="M266" s="582">
        <f t="shared" si="158"/>
        <v>0</v>
      </c>
      <c r="N266" s="582">
        <f t="shared" si="158"/>
        <v>0</v>
      </c>
      <c r="O266" s="583">
        <f t="shared" si="158"/>
        <v>0</v>
      </c>
      <c r="P266" s="581">
        <f t="shared" si="158"/>
        <v>0.11544544016868741</v>
      </c>
      <c r="Q266" s="581">
        <f t="shared" si="158"/>
        <v>0</v>
      </c>
      <c r="R266" s="582">
        <f t="shared" si="158"/>
        <v>0</v>
      </c>
      <c r="S266" s="583">
        <f t="shared" si="158"/>
        <v>0</v>
      </c>
      <c r="T266" s="581">
        <f t="shared" si="158"/>
        <v>0</v>
      </c>
      <c r="U266" s="253"/>
      <c r="V266" s="254">
        <v>389</v>
      </c>
      <c r="W266" s="255">
        <v>258</v>
      </c>
      <c r="X266" s="255">
        <v>91</v>
      </c>
      <c r="Y266" s="255"/>
      <c r="Z266" s="255"/>
      <c r="AA266" s="255">
        <v>27</v>
      </c>
      <c r="AB266" s="582"/>
      <c r="AC266" s="256">
        <v>765</v>
      </c>
      <c r="AD266" s="254"/>
      <c r="AE266" s="255"/>
      <c r="AF266" s="255"/>
      <c r="AG266" s="255"/>
      <c r="AH266" s="255"/>
      <c r="AI266" s="257">
        <v>438</v>
      </c>
      <c r="AJ266" s="254"/>
      <c r="AK266" s="255"/>
      <c r="AL266" s="257"/>
      <c r="AM266" s="254"/>
    </row>
    <row r="267" spans="1:41" s="527" customFormat="1" ht="12.75" customHeight="1">
      <c r="A267" s="436"/>
      <c r="B267" s="436" t="s">
        <v>59</v>
      </c>
      <c r="C267" s="456">
        <f>SUM(C262:C266)</f>
        <v>1</v>
      </c>
      <c r="D267" s="456">
        <f t="shared" ref="D267:T267" si="159">SUM(D262:D266)</f>
        <v>1</v>
      </c>
      <c r="E267" s="456">
        <f t="shared" si="159"/>
        <v>0.99999999999999989</v>
      </c>
      <c r="F267" s="456">
        <f t="shared" si="159"/>
        <v>0</v>
      </c>
      <c r="G267" s="456">
        <f t="shared" si="159"/>
        <v>0</v>
      </c>
      <c r="H267" s="456">
        <f t="shared" si="159"/>
        <v>0.99999999999999989</v>
      </c>
      <c r="I267" s="456">
        <f t="shared" si="159"/>
        <v>0</v>
      </c>
      <c r="J267" s="576">
        <f t="shared" si="159"/>
        <v>1.0000000000000002</v>
      </c>
      <c r="K267" s="577">
        <f t="shared" si="159"/>
        <v>0</v>
      </c>
      <c r="L267" s="578">
        <f t="shared" si="159"/>
        <v>0</v>
      </c>
      <c r="M267" s="578">
        <f t="shared" si="159"/>
        <v>0</v>
      </c>
      <c r="N267" s="578">
        <f t="shared" si="159"/>
        <v>0</v>
      </c>
      <c r="O267" s="579">
        <f t="shared" si="159"/>
        <v>0</v>
      </c>
      <c r="P267" s="577">
        <f t="shared" si="159"/>
        <v>1</v>
      </c>
      <c r="Q267" s="578">
        <f t="shared" si="159"/>
        <v>0</v>
      </c>
      <c r="R267" s="578">
        <f t="shared" si="159"/>
        <v>0</v>
      </c>
      <c r="S267" s="579">
        <f t="shared" si="159"/>
        <v>0</v>
      </c>
      <c r="T267" s="577">
        <f t="shared" si="159"/>
        <v>0</v>
      </c>
      <c r="U267" s="264"/>
      <c r="V267" s="265">
        <v>6062</v>
      </c>
      <c r="W267" s="266">
        <v>2962</v>
      </c>
      <c r="X267" s="266">
        <v>1113</v>
      </c>
      <c r="Y267" s="266"/>
      <c r="Z267" s="266"/>
      <c r="AA267" s="266">
        <v>461</v>
      </c>
      <c r="AB267" s="262"/>
      <c r="AC267" s="267">
        <v>10598</v>
      </c>
      <c r="AD267" s="265"/>
      <c r="AE267" s="266"/>
      <c r="AF267" s="266"/>
      <c r="AG267" s="266"/>
      <c r="AH267" s="266"/>
      <c r="AI267" s="268">
        <v>3794</v>
      </c>
      <c r="AJ267" s="265"/>
      <c r="AK267" s="266"/>
      <c r="AL267" s="268"/>
      <c r="AM267" s="265"/>
      <c r="AN267" s="270"/>
      <c r="AO267" s="270"/>
    </row>
    <row r="268" spans="1:41" ht="12.75" customHeight="1">
      <c r="A268" s="240" t="s">
        <v>164</v>
      </c>
      <c r="B268" s="240" t="s">
        <v>53</v>
      </c>
      <c r="C268" s="568">
        <f>IF(V268&gt;0,(V268/V273),0)</f>
        <v>0</v>
      </c>
      <c r="D268" s="568">
        <f t="shared" ref="D268:T268" si="160">IF(W268&gt;0,(W268/W273),0)</f>
        <v>0.2608695652173913</v>
      </c>
      <c r="E268" s="568">
        <f t="shared" si="160"/>
        <v>0.29853862212943633</v>
      </c>
      <c r="F268" s="568">
        <f t="shared" si="160"/>
        <v>0</v>
      </c>
      <c r="G268" s="568">
        <f t="shared" si="160"/>
        <v>0.18975903614457831</v>
      </c>
      <c r="H268" s="568">
        <f t="shared" si="160"/>
        <v>0</v>
      </c>
      <c r="I268" s="568">
        <f t="shared" si="160"/>
        <v>0</v>
      </c>
      <c r="J268" s="569">
        <f t="shared" si="160"/>
        <v>0.25585585585585585</v>
      </c>
      <c r="K268" s="570">
        <f t="shared" si="160"/>
        <v>0</v>
      </c>
      <c r="L268" s="568">
        <f t="shared" si="160"/>
        <v>0</v>
      </c>
      <c r="M268" s="568">
        <f t="shared" si="160"/>
        <v>0</v>
      </c>
      <c r="N268" s="568">
        <f t="shared" si="160"/>
        <v>0</v>
      </c>
      <c r="O268" s="571">
        <f t="shared" si="160"/>
        <v>0</v>
      </c>
      <c r="P268" s="570">
        <f t="shared" si="160"/>
        <v>0</v>
      </c>
      <c r="Q268" s="568">
        <f t="shared" si="160"/>
        <v>0</v>
      </c>
      <c r="R268" s="568">
        <f t="shared" si="160"/>
        <v>0</v>
      </c>
      <c r="S268" s="571">
        <f t="shared" si="160"/>
        <v>0</v>
      </c>
      <c r="T268" s="570">
        <f t="shared" si="160"/>
        <v>0</v>
      </c>
      <c r="U268" s="253"/>
      <c r="V268" s="245"/>
      <c r="W268" s="246">
        <v>78</v>
      </c>
      <c r="X268" s="246">
        <v>143</v>
      </c>
      <c r="Y268" s="246"/>
      <c r="Z268" s="246">
        <v>63</v>
      </c>
      <c r="AA268" s="246"/>
      <c r="AB268" s="242"/>
      <c r="AC268" s="247">
        <v>284</v>
      </c>
      <c r="AD268" s="245"/>
      <c r="AE268" s="246"/>
      <c r="AF268" s="246"/>
      <c r="AG268" s="246"/>
      <c r="AH268" s="246"/>
      <c r="AI268" s="248"/>
      <c r="AJ268" s="245"/>
      <c r="AK268" s="246"/>
      <c r="AL268" s="248"/>
      <c r="AM268" s="245"/>
      <c r="AN268" s="563"/>
    </row>
    <row r="269" spans="1:41" ht="12.75" customHeight="1">
      <c r="A269" s="239"/>
      <c r="B269" s="239" t="s">
        <v>93</v>
      </c>
      <c r="C269" s="572">
        <f>IF(V269&gt;0,(V269/V273),0)</f>
        <v>0</v>
      </c>
      <c r="D269" s="572">
        <f t="shared" ref="D269:T269" si="161">IF(W269&gt;0,(W269/W273),0)</f>
        <v>0.23745819397993312</v>
      </c>
      <c r="E269" s="572">
        <f t="shared" si="161"/>
        <v>0.18997912317327767</v>
      </c>
      <c r="F269" s="572">
        <f t="shared" si="161"/>
        <v>0</v>
      </c>
      <c r="G269" s="572">
        <f t="shared" si="161"/>
        <v>0.26807228915662651</v>
      </c>
      <c r="H269" s="572">
        <f t="shared" si="161"/>
        <v>0</v>
      </c>
      <c r="I269" s="572">
        <f t="shared" si="161"/>
        <v>0</v>
      </c>
      <c r="J269" s="573">
        <f t="shared" si="161"/>
        <v>0.22612612612612612</v>
      </c>
      <c r="K269" s="574">
        <f t="shared" si="161"/>
        <v>0</v>
      </c>
      <c r="L269" s="572">
        <f t="shared" si="161"/>
        <v>0</v>
      </c>
      <c r="M269" s="572">
        <f t="shared" si="161"/>
        <v>0</v>
      </c>
      <c r="N269" s="572">
        <f t="shared" si="161"/>
        <v>0</v>
      </c>
      <c r="O269" s="575">
        <f t="shared" si="161"/>
        <v>0</v>
      </c>
      <c r="P269" s="574">
        <f t="shared" si="161"/>
        <v>0</v>
      </c>
      <c r="Q269" s="572">
        <f t="shared" si="161"/>
        <v>0</v>
      </c>
      <c r="R269" s="572">
        <f t="shared" si="161"/>
        <v>0</v>
      </c>
      <c r="S269" s="575">
        <f t="shared" si="161"/>
        <v>0</v>
      </c>
      <c r="T269" s="574">
        <f t="shared" si="161"/>
        <v>0</v>
      </c>
      <c r="U269" s="253"/>
      <c r="V269" s="254"/>
      <c r="W269" s="255">
        <v>71</v>
      </c>
      <c r="X269" s="255">
        <v>91</v>
      </c>
      <c r="Y269" s="255"/>
      <c r="Z269" s="255">
        <v>89</v>
      </c>
      <c r="AA269" s="255"/>
      <c r="AB269" s="251"/>
      <c r="AC269" s="256">
        <v>251</v>
      </c>
      <c r="AD269" s="254"/>
      <c r="AE269" s="255"/>
      <c r="AF269" s="255"/>
      <c r="AG269" s="255"/>
      <c r="AH269" s="255"/>
      <c r="AI269" s="257"/>
      <c r="AJ269" s="254"/>
      <c r="AK269" s="255"/>
      <c r="AL269" s="257"/>
      <c r="AM269" s="254"/>
      <c r="AN269" s="563"/>
    </row>
    <row r="270" spans="1:41" ht="12.75" customHeight="1">
      <c r="A270" s="239"/>
      <c r="B270" s="239" t="s">
        <v>55</v>
      </c>
      <c r="C270" s="572">
        <f>IF(V270&gt;0,(V270/V273),0)</f>
        <v>0</v>
      </c>
      <c r="D270" s="572">
        <f t="shared" ref="D270:T270" si="162">IF(W270&gt;0,(W270/W273),0)</f>
        <v>0.33444816053511706</v>
      </c>
      <c r="E270" s="572">
        <f t="shared" si="162"/>
        <v>0.29018789144050106</v>
      </c>
      <c r="F270" s="572">
        <f t="shared" si="162"/>
        <v>0</v>
      </c>
      <c r="G270" s="572">
        <f t="shared" si="162"/>
        <v>0.34337349397590361</v>
      </c>
      <c r="H270" s="572">
        <f t="shared" si="162"/>
        <v>0</v>
      </c>
      <c r="I270" s="572">
        <f t="shared" si="162"/>
        <v>0</v>
      </c>
      <c r="J270" s="573">
        <f t="shared" si="162"/>
        <v>0.31801801801801804</v>
      </c>
      <c r="K270" s="574">
        <f t="shared" si="162"/>
        <v>0</v>
      </c>
      <c r="L270" s="572">
        <f t="shared" si="162"/>
        <v>0</v>
      </c>
      <c r="M270" s="572">
        <f t="shared" si="162"/>
        <v>0</v>
      </c>
      <c r="N270" s="572">
        <f t="shared" si="162"/>
        <v>0</v>
      </c>
      <c r="O270" s="575">
        <f t="shared" si="162"/>
        <v>0</v>
      </c>
      <c r="P270" s="574">
        <f t="shared" si="162"/>
        <v>0</v>
      </c>
      <c r="Q270" s="572">
        <f t="shared" si="162"/>
        <v>0</v>
      </c>
      <c r="R270" s="572">
        <f t="shared" si="162"/>
        <v>0</v>
      </c>
      <c r="S270" s="575">
        <f t="shared" si="162"/>
        <v>0</v>
      </c>
      <c r="T270" s="574">
        <f t="shared" si="162"/>
        <v>0</v>
      </c>
      <c r="U270" s="253"/>
      <c r="V270" s="254"/>
      <c r="W270" s="255">
        <v>100</v>
      </c>
      <c r="X270" s="255">
        <v>139</v>
      </c>
      <c r="Y270" s="255"/>
      <c r="Z270" s="255">
        <v>114</v>
      </c>
      <c r="AA270" s="255"/>
      <c r="AB270" s="251"/>
      <c r="AC270" s="256">
        <v>353</v>
      </c>
      <c r="AD270" s="254"/>
      <c r="AE270" s="255"/>
      <c r="AF270" s="255"/>
      <c r="AG270" s="255"/>
      <c r="AH270" s="255"/>
      <c r="AI270" s="257"/>
      <c r="AJ270" s="254"/>
      <c r="AK270" s="255"/>
      <c r="AL270" s="257"/>
      <c r="AM270" s="254"/>
      <c r="AN270" s="563"/>
    </row>
    <row r="271" spans="1:41" ht="12.75" customHeight="1">
      <c r="A271" s="239"/>
      <c r="B271" s="239" t="s">
        <v>78</v>
      </c>
      <c r="C271" s="572">
        <f>IF(V271&gt;0,(V271/V273),0)</f>
        <v>0</v>
      </c>
      <c r="D271" s="572">
        <f t="shared" ref="D271:T271" si="163">IF(W271&gt;0,(W271/W273),0)</f>
        <v>0.16722408026755853</v>
      </c>
      <c r="E271" s="572">
        <f t="shared" si="163"/>
        <v>0.21503131524008351</v>
      </c>
      <c r="F271" s="572">
        <f t="shared" si="163"/>
        <v>0</v>
      </c>
      <c r="G271" s="572">
        <f t="shared" si="163"/>
        <v>0.19879518072289157</v>
      </c>
      <c r="H271" s="572">
        <f t="shared" si="163"/>
        <v>0</v>
      </c>
      <c r="I271" s="572">
        <f t="shared" si="163"/>
        <v>0</v>
      </c>
      <c r="J271" s="573">
        <f t="shared" si="163"/>
        <v>0.19729729729729731</v>
      </c>
      <c r="K271" s="574">
        <f t="shared" si="163"/>
        <v>0</v>
      </c>
      <c r="L271" s="572">
        <f t="shared" si="163"/>
        <v>0</v>
      </c>
      <c r="M271" s="572">
        <f t="shared" si="163"/>
        <v>0</v>
      </c>
      <c r="N271" s="572">
        <f t="shared" si="163"/>
        <v>0</v>
      </c>
      <c r="O271" s="575">
        <f t="shared" si="163"/>
        <v>0</v>
      </c>
      <c r="P271" s="574">
        <f t="shared" si="163"/>
        <v>0.83522727272727271</v>
      </c>
      <c r="Q271" s="572">
        <f t="shared" si="163"/>
        <v>0</v>
      </c>
      <c r="R271" s="572">
        <f t="shared" si="163"/>
        <v>0</v>
      </c>
      <c r="S271" s="575">
        <f t="shared" si="163"/>
        <v>0</v>
      </c>
      <c r="T271" s="574">
        <f t="shared" si="163"/>
        <v>0</v>
      </c>
      <c r="U271" s="253"/>
      <c r="V271" s="254"/>
      <c r="W271" s="255">
        <v>50</v>
      </c>
      <c r="X271" s="255">
        <v>103</v>
      </c>
      <c r="Y271" s="255"/>
      <c r="Z271" s="255">
        <v>66</v>
      </c>
      <c r="AA271" s="255"/>
      <c r="AB271" s="251"/>
      <c r="AC271" s="256">
        <v>219</v>
      </c>
      <c r="AD271" s="254"/>
      <c r="AE271" s="255"/>
      <c r="AF271" s="255"/>
      <c r="AG271" s="255"/>
      <c r="AH271" s="255"/>
      <c r="AI271" s="257">
        <v>294</v>
      </c>
      <c r="AJ271" s="254"/>
      <c r="AK271" s="255"/>
      <c r="AL271" s="257"/>
      <c r="AM271" s="254"/>
      <c r="AN271" s="563"/>
    </row>
    <row r="272" spans="1:41" ht="12.75" customHeight="1">
      <c r="A272" s="580"/>
      <c r="B272" s="580" t="s">
        <v>131</v>
      </c>
      <c r="C272" s="581">
        <f>IF(V272&gt;0,(V272/V273),0)</f>
        <v>0</v>
      </c>
      <c r="D272" s="582">
        <f t="shared" ref="D272:T272" si="164">IF(W272&gt;0,(W272/W273),0)</f>
        <v>0</v>
      </c>
      <c r="E272" s="582">
        <f t="shared" si="164"/>
        <v>6.2630480167014616E-3</v>
      </c>
      <c r="F272" s="582">
        <f t="shared" si="164"/>
        <v>0</v>
      </c>
      <c r="G272" s="582">
        <f t="shared" si="164"/>
        <v>0</v>
      </c>
      <c r="H272" s="582">
        <f t="shared" si="164"/>
        <v>0</v>
      </c>
      <c r="I272" s="583">
        <f t="shared" si="164"/>
        <v>0</v>
      </c>
      <c r="J272" s="584">
        <f t="shared" si="164"/>
        <v>2.7027027027027029E-3</v>
      </c>
      <c r="K272" s="581">
        <f t="shared" si="164"/>
        <v>0</v>
      </c>
      <c r="L272" s="582">
        <f t="shared" si="164"/>
        <v>0</v>
      </c>
      <c r="M272" s="582">
        <f t="shared" si="164"/>
        <v>0</v>
      </c>
      <c r="N272" s="582">
        <f t="shared" si="164"/>
        <v>0</v>
      </c>
      <c r="O272" s="583">
        <f t="shared" si="164"/>
        <v>0</v>
      </c>
      <c r="P272" s="581">
        <f t="shared" si="164"/>
        <v>0.16477272727272727</v>
      </c>
      <c r="Q272" s="581">
        <f t="shared" si="164"/>
        <v>0</v>
      </c>
      <c r="R272" s="582">
        <f t="shared" si="164"/>
        <v>0</v>
      </c>
      <c r="S272" s="583">
        <f t="shared" si="164"/>
        <v>0</v>
      </c>
      <c r="T272" s="581">
        <f t="shared" si="164"/>
        <v>0</v>
      </c>
      <c r="U272" s="253"/>
      <c r="V272" s="254"/>
      <c r="W272" s="255"/>
      <c r="X272" s="255">
        <v>3</v>
      </c>
      <c r="Y272" s="255"/>
      <c r="Z272" s="255"/>
      <c r="AA272" s="255"/>
      <c r="AB272" s="582"/>
      <c r="AC272" s="256">
        <v>3</v>
      </c>
      <c r="AD272" s="254"/>
      <c r="AE272" s="255"/>
      <c r="AF272" s="255"/>
      <c r="AG272" s="255"/>
      <c r="AH272" s="255"/>
      <c r="AI272" s="257">
        <v>58</v>
      </c>
      <c r="AJ272" s="254"/>
      <c r="AK272" s="255"/>
      <c r="AL272" s="257"/>
      <c r="AM272" s="254"/>
    </row>
    <row r="273" spans="1:41" s="527" customFormat="1" ht="12.75" customHeight="1">
      <c r="A273" s="436"/>
      <c r="B273" s="436" t="s">
        <v>59</v>
      </c>
      <c r="C273" s="456">
        <f>SUM(C268:C272)</f>
        <v>0</v>
      </c>
      <c r="D273" s="456">
        <f t="shared" ref="D273:T273" si="165">SUM(D268:D272)</f>
        <v>1</v>
      </c>
      <c r="E273" s="456">
        <f t="shared" si="165"/>
        <v>1</v>
      </c>
      <c r="F273" s="456">
        <f t="shared" si="165"/>
        <v>0</v>
      </c>
      <c r="G273" s="456">
        <f t="shared" si="165"/>
        <v>1</v>
      </c>
      <c r="H273" s="456">
        <f t="shared" si="165"/>
        <v>0</v>
      </c>
      <c r="I273" s="456">
        <f t="shared" si="165"/>
        <v>0</v>
      </c>
      <c r="J273" s="576">
        <f t="shared" si="165"/>
        <v>1</v>
      </c>
      <c r="K273" s="577">
        <f t="shared" si="165"/>
        <v>0</v>
      </c>
      <c r="L273" s="578">
        <f t="shared" si="165"/>
        <v>0</v>
      </c>
      <c r="M273" s="578">
        <f t="shared" si="165"/>
        <v>0</v>
      </c>
      <c r="N273" s="578">
        <f t="shared" si="165"/>
        <v>0</v>
      </c>
      <c r="O273" s="579">
        <f t="shared" si="165"/>
        <v>0</v>
      </c>
      <c r="P273" s="577">
        <f t="shared" si="165"/>
        <v>1</v>
      </c>
      <c r="Q273" s="578">
        <f t="shared" si="165"/>
        <v>0</v>
      </c>
      <c r="R273" s="578">
        <f t="shared" si="165"/>
        <v>0</v>
      </c>
      <c r="S273" s="579">
        <f t="shared" si="165"/>
        <v>0</v>
      </c>
      <c r="T273" s="577">
        <f t="shared" si="165"/>
        <v>0</v>
      </c>
      <c r="U273" s="264"/>
      <c r="V273" s="265"/>
      <c r="W273" s="266">
        <v>299</v>
      </c>
      <c r="X273" s="266">
        <v>479</v>
      </c>
      <c r="Y273" s="266"/>
      <c r="Z273" s="266">
        <v>332</v>
      </c>
      <c r="AA273" s="266"/>
      <c r="AB273" s="262"/>
      <c r="AC273" s="267">
        <v>1110</v>
      </c>
      <c r="AD273" s="265"/>
      <c r="AE273" s="266"/>
      <c r="AF273" s="266"/>
      <c r="AG273" s="266"/>
      <c r="AH273" s="266"/>
      <c r="AI273" s="268">
        <v>352</v>
      </c>
      <c r="AJ273" s="265"/>
      <c r="AK273" s="266"/>
      <c r="AL273" s="268"/>
      <c r="AM273" s="265"/>
      <c r="AN273" s="270"/>
      <c r="AO273" s="270"/>
    </row>
    <row r="274" spans="1:41" ht="12.75" customHeight="1">
      <c r="A274" s="240" t="s">
        <v>168</v>
      </c>
      <c r="B274" s="240" t="s">
        <v>53</v>
      </c>
      <c r="C274" s="568">
        <f>IF(V274&gt;0,(V274/V279),0)</f>
        <v>0.41204379562043797</v>
      </c>
      <c r="D274" s="568">
        <f t="shared" ref="D274:T274" si="166">IF(W274&gt;0,(W274/W279),0)</f>
        <v>0</v>
      </c>
      <c r="E274" s="568">
        <f t="shared" si="166"/>
        <v>0</v>
      </c>
      <c r="F274" s="568">
        <f t="shared" si="166"/>
        <v>0.27074074074074073</v>
      </c>
      <c r="G274" s="568">
        <f t="shared" si="166"/>
        <v>0.29579375848032563</v>
      </c>
      <c r="H274" s="568">
        <f t="shared" si="166"/>
        <v>0</v>
      </c>
      <c r="I274" s="568">
        <f t="shared" si="166"/>
        <v>0</v>
      </c>
      <c r="J274" s="569">
        <f t="shared" si="166"/>
        <v>0.33640926015865308</v>
      </c>
      <c r="K274" s="570">
        <f t="shared" si="166"/>
        <v>0</v>
      </c>
      <c r="L274" s="568">
        <f t="shared" si="166"/>
        <v>0</v>
      </c>
      <c r="M274" s="568">
        <f t="shared" si="166"/>
        <v>0</v>
      </c>
      <c r="N274" s="568">
        <f t="shared" si="166"/>
        <v>0</v>
      </c>
      <c r="O274" s="571">
        <f t="shared" si="166"/>
        <v>0</v>
      </c>
      <c r="P274" s="570">
        <f t="shared" si="166"/>
        <v>1.5256588072122053E-2</v>
      </c>
      <c r="Q274" s="568">
        <f t="shared" si="166"/>
        <v>0</v>
      </c>
      <c r="R274" s="568">
        <f t="shared" si="166"/>
        <v>0</v>
      </c>
      <c r="S274" s="571">
        <f t="shared" si="166"/>
        <v>0</v>
      </c>
      <c r="T274" s="570">
        <f t="shared" si="166"/>
        <v>0</v>
      </c>
      <c r="U274" s="253"/>
      <c r="V274" s="245">
        <v>1129</v>
      </c>
      <c r="W274" s="246"/>
      <c r="X274" s="246"/>
      <c r="Y274" s="246">
        <v>731</v>
      </c>
      <c r="Z274" s="246">
        <v>218</v>
      </c>
      <c r="AA274" s="246"/>
      <c r="AB274" s="242"/>
      <c r="AC274" s="247">
        <v>2078</v>
      </c>
      <c r="AD274" s="245"/>
      <c r="AE274" s="246"/>
      <c r="AF274" s="246"/>
      <c r="AG274" s="246"/>
      <c r="AH274" s="246"/>
      <c r="AI274" s="248">
        <v>55</v>
      </c>
      <c r="AJ274" s="245"/>
      <c r="AK274" s="246"/>
      <c r="AL274" s="248"/>
      <c r="AM274" s="245"/>
      <c r="AN274" s="563"/>
    </row>
    <row r="275" spans="1:41" ht="12.75" customHeight="1">
      <c r="A275" s="239"/>
      <c r="B275" s="239" t="s">
        <v>93</v>
      </c>
      <c r="C275" s="572">
        <f>IF(V275&gt;0,(V275/V279),0)</f>
        <v>0.25109489051094891</v>
      </c>
      <c r="D275" s="572">
        <f t="shared" ref="D275:T275" si="167">IF(W275&gt;0,(W275/W279),0)</f>
        <v>0</v>
      </c>
      <c r="E275" s="572">
        <f t="shared" si="167"/>
        <v>0</v>
      </c>
      <c r="F275" s="572">
        <f t="shared" si="167"/>
        <v>0.25111111111111112</v>
      </c>
      <c r="G275" s="572">
        <f t="shared" si="167"/>
        <v>0.26594301221166894</v>
      </c>
      <c r="H275" s="572">
        <f t="shared" si="167"/>
        <v>0</v>
      </c>
      <c r="I275" s="572">
        <f t="shared" si="167"/>
        <v>0</v>
      </c>
      <c r="J275" s="573">
        <f t="shared" si="167"/>
        <v>0.25287356321839083</v>
      </c>
      <c r="K275" s="574">
        <f t="shared" si="167"/>
        <v>0</v>
      </c>
      <c r="L275" s="572">
        <f t="shared" si="167"/>
        <v>0</v>
      </c>
      <c r="M275" s="572">
        <f t="shared" si="167"/>
        <v>0</v>
      </c>
      <c r="N275" s="572">
        <f t="shared" si="167"/>
        <v>0</v>
      </c>
      <c r="O275" s="575">
        <f t="shared" si="167"/>
        <v>0</v>
      </c>
      <c r="P275" s="574">
        <f t="shared" si="167"/>
        <v>3.3564493758668518E-2</v>
      </c>
      <c r="Q275" s="572">
        <f t="shared" si="167"/>
        <v>0</v>
      </c>
      <c r="R275" s="572">
        <f t="shared" si="167"/>
        <v>0</v>
      </c>
      <c r="S275" s="575">
        <f t="shared" si="167"/>
        <v>0</v>
      </c>
      <c r="T275" s="574">
        <f t="shared" si="167"/>
        <v>0</v>
      </c>
      <c r="U275" s="253"/>
      <c r="V275" s="254">
        <v>688</v>
      </c>
      <c r="W275" s="255"/>
      <c r="X275" s="255"/>
      <c r="Y275" s="255">
        <v>678</v>
      </c>
      <c r="Z275" s="255">
        <v>196</v>
      </c>
      <c r="AA275" s="255"/>
      <c r="AB275" s="251"/>
      <c r="AC275" s="256">
        <v>1562</v>
      </c>
      <c r="AD275" s="254"/>
      <c r="AE275" s="255"/>
      <c r="AF275" s="255"/>
      <c r="AG275" s="255"/>
      <c r="AH275" s="255"/>
      <c r="AI275" s="257">
        <v>121</v>
      </c>
      <c r="AJ275" s="254"/>
      <c r="AK275" s="255"/>
      <c r="AL275" s="257"/>
      <c r="AM275" s="254"/>
      <c r="AN275" s="563"/>
    </row>
    <row r="276" spans="1:41" ht="12.75" customHeight="1">
      <c r="A276" s="239"/>
      <c r="B276" s="239" t="s">
        <v>55</v>
      </c>
      <c r="C276" s="572">
        <f>IF(V276&gt;0,(V276/V279),0)</f>
        <v>0.222992700729927</v>
      </c>
      <c r="D276" s="572">
        <f t="shared" ref="D276:T276" si="168">IF(W276&gt;0,(W276/W279),0)</f>
        <v>0</v>
      </c>
      <c r="E276" s="572">
        <f t="shared" si="168"/>
        <v>0</v>
      </c>
      <c r="F276" s="572">
        <f t="shared" si="168"/>
        <v>0.28000000000000003</v>
      </c>
      <c r="G276" s="572">
        <f t="shared" si="168"/>
        <v>0.25780189959294436</v>
      </c>
      <c r="H276" s="572">
        <f t="shared" si="168"/>
        <v>0</v>
      </c>
      <c r="I276" s="572">
        <f t="shared" si="168"/>
        <v>0</v>
      </c>
      <c r="J276" s="573">
        <f t="shared" si="168"/>
        <v>0.25206410879067509</v>
      </c>
      <c r="K276" s="574">
        <f t="shared" si="168"/>
        <v>0</v>
      </c>
      <c r="L276" s="572">
        <f t="shared" si="168"/>
        <v>0</v>
      </c>
      <c r="M276" s="572">
        <f t="shared" si="168"/>
        <v>0</v>
      </c>
      <c r="N276" s="572">
        <f t="shared" si="168"/>
        <v>0</v>
      </c>
      <c r="O276" s="575">
        <f t="shared" si="168"/>
        <v>0</v>
      </c>
      <c r="P276" s="574">
        <f t="shared" si="168"/>
        <v>3.2454923717059637E-2</v>
      </c>
      <c r="Q276" s="572">
        <f t="shared" si="168"/>
        <v>0</v>
      </c>
      <c r="R276" s="572">
        <f t="shared" si="168"/>
        <v>0</v>
      </c>
      <c r="S276" s="575">
        <f t="shared" si="168"/>
        <v>0</v>
      </c>
      <c r="T276" s="574">
        <f t="shared" si="168"/>
        <v>0</v>
      </c>
      <c r="U276" s="253"/>
      <c r="V276" s="254">
        <v>611</v>
      </c>
      <c r="W276" s="255"/>
      <c r="X276" s="255"/>
      <c r="Y276" s="255">
        <v>756</v>
      </c>
      <c r="Z276" s="255">
        <v>190</v>
      </c>
      <c r="AA276" s="255"/>
      <c r="AB276" s="251"/>
      <c r="AC276" s="256">
        <v>1557</v>
      </c>
      <c r="AD276" s="254"/>
      <c r="AE276" s="255"/>
      <c r="AF276" s="255"/>
      <c r="AG276" s="255"/>
      <c r="AH276" s="255"/>
      <c r="AI276" s="257">
        <v>117</v>
      </c>
      <c r="AJ276" s="254"/>
      <c r="AK276" s="255"/>
      <c r="AL276" s="257"/>
      <c r="AM276" s="254"/>
      <c r="AN276" s="563"/>
    </row>
    <row r="277" spans="1:41" ht="12.75" customHeight="1">
      <c r="A277" s="239"/>
      <c r="B277" s="239" t="s">
        <v>78</v>
      </c>
      <c r="C277" s="572">
        <f>IF(V277&gt;0,(V277/V279),0)</f>
        <v>9.8540145985401457E-3</v>
      </c>
      <c r="D277" s="572">
        <f t="shared" ref="D277:T277" si="169">IF(W277&gt;0,(W277/W279),0)</f>
        <v>0</v>
      </c>
      <c r="E277" s="572">
        <f t="shared" si="169"/>
        <v>0</v>
      </c>
      <c r="F277" s="572">
        <f t="shared" si="169"/>
        <v>1.037037037037037E-2</v>
      </c>
      <c r="G277" s="572">
        <f t="shared" si="169"/>
        <v>1.3568521031207597E-3</v>
      </c>
      <c r="H277" s="572">
        <f t="shared" si="169"/>
        <v>0</v>
      </c>
      <c r="I277" s="572">
        <f t="shared" si="169"/>
        <v>0</v>
      </c>
      <c r="J277" s="573">
        <f t="shared" si="169"/>
        <v>9.0658895904160604E-3</v>
      </c>
      <c r="K277" s="574">
        <f t="shared" si="169"/>
        <v>0</v>
      </c>
      <c r="L277" s="572">
        <f t="shared" si="169"/>
        <v>0</v>
      </c>
      <c r="M277" s="572">
        <f t="shared" si="169"/>
        <v>0</v>
      </c>
      <c r="N277" s="572">
        <f t="shared" si="169"/>
        <v>0</v>
      </c>
      <c r="O277" s="575">
        <f t="shared" si="169"/>
        <v>0</v>
      </c>
      <c r="P277" s="574">
        <f t="shared" si="169"/>
        <v>0.85076282940360615</v>
      </c>
      <c r="Q277" s="572">
        <f t="shared" si="169"/>
        <v>0</v>
      </c>
      <c r="R277" s="572">
        <f t="shared" si="169"/>
        <v>0</v>
      </c>
      <c r="S277" s="575">
        <f t="shared" si="169"/>
        <v>0</v>
      </c>
      <c r="T277" s="574">
        <f t="shared" si="169"/>
        <v>0</v>
      </c>
      <c r="U277" s="253"/>
      <c r="V277" s="254">
        <v>27</v>
      </c>
      <c r="W277" s="255"/>
      <c r="X277" s="255"/>
      <c r="Y277" s="255">
        <v>28</v>
      </c>
      <c r="Z277" s="255">
        <v>1</v>
      </c>
      <c r="AA277" s="255"/>
      <c r="AB277" s="251"/>
      <c r="AC277" s="256">
        <v>56</v>
      </c>
      <c r="AD277" s="254"/>
      <c r="AE277" s="255"/>
      <c r="AF277" s="255"/>
      <c r="AG277" s="255"/>
      <c r="AH277" s="255"/>
      <c r="AI277" s="257">
        <v>3067</v>
      </c>
      <c r="AJ277" s="254"/>
      <c r="AK277" s="255"/>
      <c r="AL277" s="257"/>
      <c r="AM277" s="254"/>
      <c r="AN277" s="563"/>
    </row>
    <row r="278" spans="1:41" ht="12.75" customHeight="1">
      <c r="A278" s="580"/>
      <c r="B278" s="580" t="s">
        <v>131</v>
      </c>
      <c r="C278" s="581">
        <f>IF(V278&gt;0,(V278/V279),0)</f>
        <v>0.10401459854014598</v>
      </c>
      <c r="D278" s="582">
        <f t="shared" ref="D278:T278" si="170">IF(W278&gt;0,(W278/W279),0)</f>
        <v>0</v>
      </c>
      <c r="E278" s="582">
        <f t="shared" si="170"/>
        <v>0</v>
      </c>
      <c r="F278" s="582">
        <f t="shared" si="170"/>
        <v>0.18777777777777777</v>
      </c>
      <c r="G278" s="582">
        <f t="shared" si="170"/>
        <v>0.17910447761194029</v>
      </c>
      <c r="H278" s="582">
        <f t="shared" si="170"/>
        <v>0</v>
      </c>
      <c r="I278" s="583">
        <f t="shared" si="170"/>
        <v>0</v>
      </c>
      <c r="J278" s="584">
        <f t="shared" si="170"/>
        <v>0.14958717824186499</v>
      </c>
      <c r="K278" s="581">
        <f t="shared" si="170"/>
        <v>0</v>
      </c>
      <c r="L278" s="582">
        <f t="shared" si="170"/>
        <v>0</v>
      </c>
      <c r="M278" s="582">
        <f t="shared" si="170"/>
        <v>0</v>
      </c>
      <c r="N278" s="582">
        <f t="shared" si="170"/>
        <v>0</v>
      </c>
      <c r="O278" s="583">
        <f t="shared" si="170"/>
        <v>0</v>
      </c>
      <c r="P278" s="581">
        <f t="shared" si="170"/>
        <v>6.7961165048543687E-2</v>
      </c>
      <c r="Q278" s="581">
        <f t="shared" si="170"/>
        <v>0</v>
      </c>
      <c r="R278" s="582">
        <f t="shared" si="170"/>
        <v>0</v>
      </c>
      <c r="S278" s="583">
        <f t="shared" si="170"/>
        <v>0</v>
      </c>
      <c r="T278" s="581">
        <f t="shared" si="170"/>
        <v>0</v>
      </c>
      <c r="U278" s="253"/>
      <c r="V278" s="254">
        <v>285</v>
      </c>
      <c r="W278" s="255"/>
      <c r="X278" s="255"/>
      <c r="Y278" s="255">
        <v>507</v>
      </c>
      <c r="Z278" s="255">
        <v>132</v>
      </c>
      <c r="AA278" s="255"/>
      <c r="AB278" s="582"/>
      <c r="AC278" s="256">
        <v>924</v>
      </c>
      <c r="AD278" s="254"/>
      <c r="AE278" s="255"/>
      <c r="AF278" s="255"/>
      <c r="AG278" s="255"/>
      <c r="AH278" s="255"/>
      <c r="AI278" s="257">
        <v>245</v>
      </c>
      <c r="AJ278" s="254"/>
      <c r="AK278" s="255"/>
      <c r="AL278" s="257"/>
      <c r="AM278" s="254"/>
    </row>
    <row r="279" spans="1:41" s="527" customFormat="1" ht="12.75" customHeight="1">
      <c r="A279" s="436"/>
      <c r="B279" s="436" t="s">
        <v>59</v>
      </c>
      <c r="C279" s="456">
        <f>SUM(C274:C278)</f>
        <v>1</v>
      </c>
      <c r="D279" s="456">
        <f t="shared" ref="D279:T279" si="171">SUM(D274:D278)</f>
        <v>0</v>
      </c>
      <c r="E279" s="456">
        <f t="shared" si="171"/>
        <v>0</v>
      </c>
      <c r="F279" s="456">
        <f t="shared" si="171"/>
        <v>1</v>
      </c>
      <c r="G279" s="456">
        <f t="shared" si="171"/>
        <v>1</v>
      </c>
      <c r="H279" s="456">
        <f t="shared" si="171"/>
        <v>0</v>
      </c>
      <c r="I279" s="456">
        <f t="shared" si="171"/>
        <v>0</v>
      </c>
      <c r="J279" s="576">
        <f t="shared" si="171"/>
        <v>1.0000000000000002</v>
      </c>
      <c r="K279" s="577">
        <f t="shared" si="171"/>
        <v>0</v>
      </c>
      <c r="L279" s="578">
        <f t="shared" si="171"/>
        <v>0</v>
      </c>
      <c r="M279" s="578">
        <f t="shared" si="171"/>
        <v>0</v>
      </c>
      <c r="N279" s="578">
        <f t="shared" si="171"/>
        <v>0</v>
      </c>
      <c r="O279" s="579">
        <f t="shared" si="171"/>
        <v>0</v>
      </c>
      <c r="P279" s="577">
        <f t="shared" si="171"/>
        <v>1</v>
      </c>
      <c r="Q279" s="578">
        <f t="shared" si="171"/>
        <v>0</v>
      </c>
      <c r="R279" s="578">
        <f t="shared" si="171"/>
        <v>0</v>
      </c>
      <c r="S279" s="579">
        <f t="shared" si="171"/>
        <v>0</v>
      </c>
      <c r="T279" s="577">
        <f t="shared" si="171"/>
        <v>0</v>
      </c>
      <c r="U279" s="264"/>
      <c r="V279" s="265">
        <v>2740</v>
      </c>
      <c r="W279" s="266"/>
      <c r="X279" s="266"/>
      <c r="Y279" s="266">
        <v>2700</v>
      </c>
      <c r="Z279" s="266">
        <v>737</v>
      </c>
      <c r="AA279" s="266"/>
      <c r="AB279" s="262"/>
      <c r="AC279" s="267">
        <v>6177</v>
      </c>
      <c r="AD279" s="265"/>
      <c r="AE279" s="266"/>
      <c r="AF279" s="266"/>
      <c r="AG279" s="266"/>
      <c r="AH279" s="266"/>
      <c r="AI279" s="268">
        <v>3605</v>
      </c>
      <c r="AJ279" s="265"/>
      <c r="AK279" s="266"/>
      <c r="AL279" s="268"/>
      <c r="AM279" s="265"/>
      <c r="AN279" s="270"/>
      <c r="AO279" s="270"/>
    </row>
    <row r="280" spans="1:41" ht="12.75" customHeight="1">
      <c r="A280" s="240" t="s">
        <v>173</v>
      </c>
      <c r="B280" s="240" t="s">
        <v>53</v>
      </c>
      <c r="C280" s="568">
        <f>IF(V280&gt;0,(V280/V285),0)</f>
        <v>0.3445243193637198</v>
      </c>
      <c r="D280" s="568">
        <f t="shared" ref="D280:T280" si="172">IF(W280&gt;0,(W280/W285),0)</f>
        <v>0.34775922671353249</v>
      </c>
      <c r="E280" s="568">
        <f t="shared" si="172"/>
        <v>0.32677587262706675</v>
      </c>
      <c r="F280" s="568">
        <f t="shared" si="172"/>
        <v>0.28875305623471881</v>
      </c>
      <c r="G280" s="568">
        <f t="shared" si="172"/>
        <v>0.26927333087421618</v>
      </c>
      <c r="H280" s="568">
        <f t="shared" si="172"/>
        <v>0.19314205738278517</v>
      </c>
      <c r="I280" s="568">
        <f t="shared" si="172"/>
        <v>0</v>
      </c>
      <c r="J280" s="569">
        <f t="shared" si="172"/>
        <v>0.31771207652846273</v>
      </c>
      <c r="K280" s="570">
        <f t="shared" si="172"/>
        <v>0</v>
      </c>
      <c r="L280" s="568">
        <f t="shared" si="172"/>
        <v>0</v>
      </c>
      <c r="M280" s="568">
        <f t="shared" si="172"/>
        <v>0</v>
      </c>
      <c r="N280" s="568">
        <f t="shared" si="172"/>
        <v>0</v>
      </c>
      <c r="O280" s="571">
        <f t="shared" si="172"/>
        <v>0</v>
      </c>
      <c r="P280" s="570">
        <f t="shared" si="172"/>
        <v>0.31912366371915007</v>
      </c>
      <c r="Q280" s="568">
        <f t="shared" si="172"/>
        <v>0</v>
      </c>
      <c r="R280" s="568">
        <f t="shared" si="172"/>
        <v>0</v>
      </c>
      <c r="S280" s="571">
        <f t="shared" si="172"/>
        <v>0</v>
      </c>
      <c r="T280" s="570">
        <f t="shared" si="172"/>
        <v>0</v>
      </c>
      <c r="U280" s="244"/>
      <c r="V280" s="590">
        <f t="shared" ref="V280:AI280" si="173">+V286+V292+V298+V304+V310+V316+V322+V328+V334</f>
        <v>4505</v>
      </c>
      <c r="W280" s="591">
        <f t="shared" si="173"/>
        <v>1583</v>
      </c>
      <c r="X280" s="591">
        <f t="shared" si="173"/>
        <v>4269</v>
      </c>
      <c r="Y280" s="591">
        <f t="shared" si="173"/>
        <v>1181</v>
      </c>
      <c r="Z280" s="591">
        <f t="shared" si="173"/>
        <v>730</v>
      </c>
      <c r="AA280" s="591">
        <f t="shared" si="173"/>
        <v>552</v>
      </c>
      <c r="AB280" s="591">
        <f t="shared" si="173"/>
        <v>0</v>
      </c>
      <c r="AC280" s="592">
        <f t="shared" si="173"/>
        <v>12820</v>
      </c>
      <c r="AD280" s="590">
        <f t="shared" si="173"/>
        <v>0</v>
      </c>
      <c r="AE280" s="591">
        <f t="shared" si="173"/>
        <v>0</v>
      </c>
      <c r="AF280" s="591">
        <f t="shared" si="173"/>
        <v>0</v>
      </c>
      <c r="AG280" s="591">
        <f t="shared" si="173"/>
        <v>0</v>
      </c>
      <c r="AH280" s="593">
        <f t="shared" si="173"/>
        <v>0</v>
      </c>
      <c r="AI280" s="593">
        <f t="shared" si="173"/>
        <v>4836</v>
      </c>
      <c r="AJ280" s="590">
        <f t="shared" ref="W280:AM285" si="174">+AJ286+AJ292+AJ298+AJ304+AJ310+AJ316+AJ322+AJ328+AJ334</f>
        <v>0</v>
      </c>
      <c r="AK280" s="591">
        <f t="shared" si="174"/>
        <v>0</v>
      </c>
      <c r="AL280" s="593">
        <f t="shared" si="174"/>
        <v>0</v>
      </c>
      <c r="AM280" s="590">
        <f t="shared" si="174"/>
        <v>0</v>
      </c>
    </row>
    <row r="281" spans="1:41" ht="12.75" customHeight="1">
      <c r="A281" s="239"/>
      <c r="B281" s="239" t="s">
        <v>93</v>
      </c>
      <c r="C281" s="572">
        <f>IF(V281&gt;0,(V281/V285),0)</f>
        <v>0.26766595289079231</v>
      </c>
      <c r="D281" s="572">
        <f t="shared" ref="D281:T281" si="175">IF(W281&gt;0,(W281/W285),0)</f>
        <v>0.29657293497363796</v>
      </c>
      <c r="E281" s="572">
        <f t="shared" si="175"/>
        <v>0.29860685854255969</v>
      </c>
      <c r="F281" s="572">
        <f t="shared" si="175"/>
        <v>0.32127139364303181</v>
      </c>
      <c r="G281" s="572">
        <f t="shared" si="175"/>
        <v>0.29804500184433791</v>
      </c>
      <c r="H281" s="572">
        <f t="shared" si="175"/>
        <v>0.27536738978306508</v>
      </c>
      <c r="I281" s="572">
        <f t="shared" si="175"/>
        <v>0</v>
      </c>
      <c r="J281" s="573">
        <f t="shared" si="175"/>
        <v>0.28896433793462367</v>
      </c>
      <c r="K281" s="574">
        <f t="shared" si="175"/>
        <v>0</v>
      </c>
      <c r="L281" s="572">
        <f t="shared" si="175"/>
        <v>0</v>
      </c>
      <c r="M281" s="572">
        <f t="shared" si="175"/>
        <v>0</v>
      </c>
      <c r="N281" s="572">
        <f t="shared" si="175"/>
        <v>0</v>
      </c>
      <c r="O281" s="575">
        <f t="shared" si="175"/>
        <v>0</v>
      </c>
      <c r="P281" s="574">
        <f t="shared" si="175"/>
        <v>0.21453081694602086</v>
      </c>
      <c r="Q281" s="572">
        <f t="shared" si="175"/>
        <v>0</v>
      </c>
      <c r="R281" s="572">
        <f t="shared" si="175"/>
        <v>0</v>
      </c>
      <c r="S281" s="575">
        <f t="shared" si="175"/>
        <v>0</v>
      </c>
      <c r="T281" s="574">
        <f t="shared" si="175"/>
        <v>0</v>
      </c>
      <c r="U281" s="253"/>
      <c r="V281" s="594">
        <f t="shared" ref="V281:AK281" si="176">+V287+V293+V299+V305+V311+V317+V323+V329+V335</f>
        <v>3500</v>
      </c>
      <c r="W281" s="595">
        <f t="shared" si="176"/>
        <v>1350</v>
      </c>
      <c r="X281" s="595">
        <f t="shared" si="176"/>
        <v>3901</v>
      </c>
      <c r="Y281" s="595">
        <f t="shared" si="176"/>
        <v>1314</v>
      </c>
      <c r="Z281" s="595">
        <f t="shared" si="176"/>
        <v>808</v>
      </c>
      <c r="AA281" s="595">
        <f t="shared" si="176"/>
        <v>787</v>
      </c>
      <c r="AB281" s="595">
        <f t="shared" si="176"/>
        <v>0</v>
      </c>
      <c r="AC281" s="596">
        <f t="shared" si="176"/>
        <v>11660</v>
      </c>
      <c r="AD281" s="594">
        <f t="shared" si="176"/>
        <v>0</v>
      </c>
      <c r="AE281" s="595">
        <f t="shared" si="176"/>
        <v>0</v>
      </c>
      <c r="AF281" s="595">
        <f t="shared" si="176"/>
        <v>0</v>
      </c>
      <c r="AG281" s="595">
        <f t="shared" si="176"/>
        <v>0</v>
      </c>
      <c r="AH281" s="597">
        <f t="shared" si="176"/>
        <v>0</v>
      </c>
      <c r="AI281" s="597">
        <f t="shared" si="176"/>
        <v>3251</v>
      </c>
      <c r="AJ281" s="594">
        <f t="shared" si="176"/>
        <v>0</v>
      </c>
      <c r="AK281" s="595">
        <f t="shared" si="176"/>
        <v>0</v>
      </c>
      <c r="AL281" s="597">
        <f t="shared" si="174"/>
        <v>0</v>
      </c>
      <c r="AM281" s="594">
        <f t="shared" si="174"/>
        <v>0</v>
      </c>
    </row>
    <row r="282" spans="1:41" ht="12.75" customHeight="1">
      <c r="A282" s="239"/>
      <c r="B282" s="239" t="s">
        <v>55</v>
      </c>
      <c r="C282" s="572">
        <f>IF(V282&gt;0,(V282/V285),0)</f>
        <v>0.25267665952890794</v>
      </c>
      <c r="D282" s="572">
        <f t="shared" ref="D282:T282" si="177">IF(W282&gt;0,(W282/W285),0)</f>
        <v>0.22451669595782073</v>
      </c>
      <c r="E282" s="572">
        <f t="shared" si="177"/>
        <v>0.28329761175750151</v>
      </c>
      <c r="F282" s="572">
        <f t="shared" si="177"/>
        <v>0.29315403422982883</v>
      </c>
      <c r="G282" s="572">
        <f t="shared" si="177"/>
        <v>0.33419402434526008</v>
      </c>
      <c r="H282" s="572">
        <f t="shared" si="177"/>
        <v>0.3271518544436669</v>
      </c>
      <c r="I282" s="572">
        <f t="shared" si="177"/>
        <v>0</v>
      </c>
      <c r="J282" s="573">
        <f t="shared" si="177"/>
        <v>0.27426829570518696</v>
      </c>
      <c r="K282" s="574">
        <f t="shared" si="177"/>
        <v>0</v>
      </c>
      <c r="L282" s="572">
        <f t="shared" si="177"/>
        <v>0</v>
      </c>
      <c r="M282" s="572">
        <f t="shared" si="177"/>
        <v>0</v>
      </c>
      <c r="N282" s="572">
        <f t="shared" si="177"/>
        <v>0</v>
      </c>
      <c r="O282" s="575">
        <f t="shared" si="177"/>
        <v>0</v>
      </c>
      <c r="P282" s="574">
        <f t="shared" si="177"/>
        <v>0.26916985614359246</v>
      </c>
      <c r="Q282" s="572">
        <f t="shared" si="177"/>
        <v>0</v>
      </c>
      <c r="R282" s="572">
        <f t="shared" si="177"/>
        <v>0</v>
      </c>
      <c r="S282" s="575">
        <f t="shared" si="177"/>
        <v>0</v>
      </c>
      <c r="T282" s="574">
        <f t="shared" si="177"/>
        <v>0</v>
      </c>
      <c r="U282" s="253"/>
      <c r="V282" s="594">
        <f>+V288+V294+V300+V306+V312+V318+V324+V330+V336</f>
        <v>3304</v>
      </c>
      <c r="W282" s="595">
        <f t="shared" si="174"/>
        <v>1022</v>
      </c>
      <c r="X282" s="595">
        <f t="shared" si="174"/>
        <v>3701</v>
      </c>
      <c r="Y282" s="595">
        <f t="shared" si="174"/>
        <v>1199</v>
      </c>
      <c r="Z282" s="595">
        <f t="shared" si="174"/>
        <v>906</v>
      </c>
      <c r="AA282" s="595">
        <f t="shared" si="174"/>
        <v>935</v>
      </c>
      <c r="AB282" s="595">
        <f t="shared" si="174"/>
        <v>0</v>
      </c>
      <c r="AC282" s="596">
        <f t="shared" si="174"/>
        <v>11067</v>
      </c>
      <c r="AD282" s="594">
        <f t="shared" si="174"/>
        <v>0</v>
      </c>
      <c r="AE282" s="595">
        <f t="shared" si="174"/>
        <v>0</v>
      </c>
      <c r="AF282" s="595">
        <f t="shared" si="174"/>
        <v>0</v>
      </c>
      <c r="AG282" s="595">
        <f t="shared" si="174"/>
        <v>0</v>
      </c>
      <c r="AH282" s="597">
        <f t="shared" si="174"/>
        <v>0</v>
      </c>
      <c r="AI282" s="597">
        <f t="shared" si="174"/>
        <v>4079</v>
      </c>
      <c r="AJ282" s="594">
        <f t="shared" si="174"/>
        <v>0</v>
      </c>
      <c r="AK282" s="595">
        <f t="shared" si="174"/>
        <v>0</v>
      </c>
      <c r="AL282" s="597">
        <f t="shared" si="174"/>
        <v>0</v>
      </c>
      <c r="AM282" s="594">
        <f t="shared" si="174"/>
        <v>0</v>
      </c>
    </row>
    <row r="283" spans="1:41" ht="12.75" customHeight="1">
      <c r="A283" s="239"/>
      <c r="B283" s="239" t="s">
        <v>78</v>
      </c>
      <c r="C283" s="572">
        <f>IF(V283&gt;0,(V283/V285),0)</f>
        <v>5.1009483022330986E-2</v>
      </c>
      <c r="D283" s="572">
        <f t="shared" ref="D283:T283" si="178">IF(W283&gt;0,(W283/W285),0)</f>
        <v>3.3831282952548329E-2</v>
      </c>
      <c r="E283" s="572">
        <f t="shared" si="178"/>
        <v>3.9268218003674221E-2</v>
      </c>
      <c r="F283" s="572">
        <f t="shared" si="178"/>
        <v>5.6479217603911981E-2</v>
      </c>
      <c r="G283" s="572">
        <f t="shared" si="178"/>
        <v>3.4304684618222059E-2</v>
      </c>
      <c r="H283" s="572">
        <f t="shared" si="178"/>
        <v>0.11686494051784464</v>
      </c>
      <c r="I283" s="572">
        <f t="shared" si="178"/>
        <v>0</v>
      </c>
      <c r="J283" s="573">
        <f t="shared" si="178"/>
        <v>4.9366806274937426E-2</v>
      </c>
      <c r="K283" s="574">
        <f t="shared" si="178"/>
        <v>0</v>
      </c>
      <c r="L283" s="572">
        <f t="shared" si="178"/>
        <v>0</v>
      </c>
      <c r="M283" s="572">
        <f t="shared" si="178"/>
        <v>0</v>
      </c>
      <c r="N283" s="572">
        <f t="shared" si="178"/>
        <v>0</v>
      </c>
      <c r="O283" s="575">
        <f t="shared" si="178"/>
        <v>0</v>
      </c>
      <c r="P283" s="574">
        <f t="shared" si="178"/>
        <v>0.14794773657120233</v>
      </c>
      <c r="Q283" s="572">
        <f t="shared" si="178"/>
        <v>0</v>
      </c>
      <c r="R283" s="572">
        <f t="shared" si="178"/>
        <v>0</v>
      </c>
      <c r="S283" s="575">
        <f t="shared" si="178"/>
        <v>0</v>
      </c>
      <c r="T283" s="574">
        <f t="shared" si="178"/>
        <v>0</v>
      </c>
      <c r="U283" s="253"/>
      <c r="V283" s="594">
        <f>+V289+V295+V301+V307+V313+V319+V325+V331+V337</f>
        <v>667</v>
      </c>
      <c r="W283" s="595">
        <f t="shared" si="174"/>
        <v>154</v>
      </c>
      <c r="X283" s="595">
        <f t="shared" si="174"/>
        <v>513</v>
      </c>
      <c r="Y283" s="595">
        <f t="shared" si="174"/>
        <v>231</v>
      </c>
      <c r="Z283" s="595">
        <f t="shared" si="174"/>
        <v>93</v>
      </c>
      <c r="AA283" s="595">
        <f t="shared" si="174"/>
        <v>334</v>
      </c>
      <c r="AB283" s="595">
        <f t="shared" si="174"/>
        <v>0</v>
      </c>
      <c r="AC283" s="596">
        <f t="shared" si="174"/>
        <v>1992</v>
      </c>
      <c r="AD283" s="594">
        <f t="shared" si="174"/>
        <v>0</v>
      </c>
      <c r="AE283" s="595">
        <f t="shared" si="174"/>
        <v>0</v>
      </c>
      <c r="AF283" s="595">
        <f t="shared" si="174"/>
        <v>0</v>
      </c>
      <c r="AG283" s="595">
        <f t="shared" si="174"/>
        <v>0</v>
      </c>
      <c r="AH283" s="597">
        <f t="shared" si="174"/>
        <v>0</v>
      </c>
      <c r="AI283" s="597">
        <f t="shared" si="174"/>
        <v>2242</v>
      </c>
      <c r="AJ283" s="594">
        <f t="shared" si="174"/>
        <v>0</v>
      </c>
      <c r="AK283" s="595">
        <f t="shared" si="174"/>
        <v>0</v>
      </c>
      <c r="AL283" s="597">
        <f t="shared" si="174"/>
        <v>0</v>
      </c>
      <c r="AM283" s="594">
        <f t="shared" si="174"/>
        <v>0</v>
      </c>
    </row>
    <row r="284" spans="1:41" ht="12.75" customHeight="1">
      <c r="A284" s="580"/>
      <c r="B284" s="580" t="s">
        <v>131</v>
      </c>
      <c r="C284" s="581">
        <f>IF(V284&gt;0,(V284/V285),0)</f>
        <v>8.4123585194249006E-2</v>
      </c>
      <c r="D284" s="582">
        <f t="shared" ref="D284:T284" si="179">IF(W284&gt;0,(W284/W285),0)</f>
        <v>9.7319859402460462E-2</v>
      </c>
      <c r="E284" s="582">
        <f t="shared" si="179"/>
        <v>5.2051439069197798E-2</v>
      </c>
      <c r="F284" s="582">
        <f t="shared" si="179"/>
        <v>4.0342298288508556E-2</v>
      </c>
      <c r="G284" s="582">
        <f t="shared" si="179"/>
        <v>6.4182958317963848E-2</v>
      </c>
      <c r="H284" s="582">
        <f t="shared" si="179"/>
        <v>8.7473757872638211E-2</v>
      </c>
      <c r="I284" s="583">
        <f t="shared" si="179"/>
        <v>0</v>
      </c>
      <c r="J284" s="584">
        <f t="shared" si="179"/>
        <v>6.968848355678918E-2</v>
      </c>
      <c r="K284" s="581">
        <f t="shared" si="179"/>
        <v>0</v>
      </c>
      <c r="L284" s="582">
        <f t="shared" si="179"/>
        <v>0</v>
      </c>
      <c r="M284" s="582">
        <f t="shared" si="179"/>
        <v>0</v>
      </c>
      <c r="N284" s="582">
        <f t="shared" si="179"/>
        <v>0</v>
      </c>
      <c r="O284" s="583">
        <f t="shared" si="179"/>
        <v>0</v>
      </c>
      <c r="P284" s="581">
        <f t="shared" si="179"/>
        <v>4.9227926620034314E-2</v>
      </c>
      <c r="Q284" s="581">
        <f t="shared" si="179"/>
        <v>0</v>
      </c>
      <c r="R284" s="582">
        <f t="shared" si="179"/>
        <v>0</v>
      </c>
      <c r="S284" s="583">
        <f t="shared" si="179"/>
        <v>0</v>
      </c>
      <c r="T284" s="581">
        <f t="shared" si="179"/>
        <v>0</v>
      </c>
      <c r="U284" s="253"/>
      <c r="V284" s="585">
        <f>+V290+V296+V302+V308+V314+V320+V326+V332+V338</f>
        <v>1100</v>
      </c>
      <c r="W284" s="586">
        <f t="shared" si="174"/>
        <v>443</v>
      </c>
      <c r="X284" s="586">
        <f t="shared" si="174"/>
        <v>680</v>
      </c>
      <c r="Y284" s="586">
        <f t="shared" si="174"/>
        <v>165</v>
      </c>
      <c r="Z284" s="586">
        <f t="shared" si="174"/>
        <v>174</v>
      </c>
      <c r="AA284" s="586">
        <f t="shared" si="174"/>
        <v>250</v>
      </c>
      <c r="AB284" s="586">
        <f t="shared" si="174"/>
        <v>0</v>
      </c>
      <c r="AC284" s="587">
        <f t="shared" si="174"/>
        <v>2812</v>
      </c>
      <c r="AD284" s="585">
        <f t="shared" si="174"/>
        <v>0</v>
      </c>
      <c r="AE284" s="586">
        <f t="shared" si="174"/>
        <v>0</v>
      </c>
      <c r="AF284" s="586">
        <f t="shared" si="174"/>
        <v>0</v>
      </c>
      <c r="AG284" s="586">
        <f t="shared" si="174"/>
        <v>0</v>
      </c>
      <c r="AH284" s="588">
        <f t="shared" si="174"/>
        <v>0</v>
      </c>
      <c r="AI284" s="588">
        <f t="shared" si="174"/>
        <v>746</v>
      </c>
      <c r="AJ284" s="585">
        <f t="shared" si="174"/>
        <v>0</v>
      </c>
      <c r="AK284" s="586">
        <f t="shared" si="174"/>
        <v>0</v>
      </c>
      <c r="AL284" s="588">
        <f t="shared" si="174"/>
        <v>0</v>
      </c>
      <c r="AM284" s="585">
        <f t="shared" si="174"/>
        <v>0</v>
      </c>
    </row>
    <row r="285" spans="1:41" s="527" customFormat="1" ht="12.75" customHeight="1">
      <c r="A285" s="436" t="s">
        <v>86</v>
      </c>
      <c r="B285" s="436" t="s">
        <v>59</v>
      </c>
      <c r="C285" s="456">
        <f>SUM(C280:C284)</f>
        <v>1</v>
      </c>
      <c r="D285" s="456">
        <f t="shared" ref="D285:T285" si="180">SUM(D280:D284)</f>
        <v>1</v>
      </c>
      <c r="E285" s="456">
        <f t="shared" si="180"/>
        <v>1</v>
      </c>
      <c r="F285" s="456">
        <f t="shared" si="180"/>
        <v>0.99999999999999989</v>
      </c>
      <c r="G285" s="456">
        <f t="shared" si="180"/>
        <v>1</v>
      </c>
      <c r="H285" s="456">
        <f t="shared" si="180"/>
        <v>1</v>
      </c>
      <c r="I285" s="456">
        <f t="shared" si="180"/>
        <v>0</v>
      </c>
      <c r="J285" s="576">
        <f t="shared" si="180"/>
        <v>0.99999999999999989</v>
      </c>
      <c r="K285" s="577">
        <f t="shared" si="180"/>
        <v>0</v>
      </c>
      <c r="L285" s="578">
        <f t="shared" si="180"/>
        <v>0</v>
      </c>
      <c r="M285" s="578">
        <f t="shared" si="180"/>
        <v>0</v>
      </c>
      <c r="N285" s="578">
        <f t="shared" si="180"/>
        <v>0</v>
      </c>
      <c r="O285" s="579">
        <f t="shared" si="180"/>
        <v>0</v>
      </c>
      <c r="P285" s="577">
        <f t="shared" si="180"/>
        <v>1</v>
      </c>
      <c r="Q285" s="578">
        <f t="shared" si="180"/>
        <v>0</v>
      </c>
      <c r="R285" s="578">
        <f t="shared" si="180"/>
        <v>0</v>
      </c>
      <c r="S285" s="579">
        <f t="shared" si="180"/>
        <v>0</v>
      </c>
      <c r="T285" s="577">
        <f t="shared" si="180"/>
        <v>0</v>
      </c>
      <c r="U285" s="264"/>
      <c r="V285" s="598">
        <f t="shared" ref="V285:AI285" si="181">+V291+V297+V303+V309+V315+V321+V327+V333+V339</f>
        <v>13076</v>
      </c>
      <c r="W285" s="599">
        <f t="shared" si="181"/>
        <v>4552</v>
      </c>
      <c r="X285" s="599">
        <f t="shared" si="181"/>
        <v>13064</v>
      </c>
      <c r="Y285" s="599">
        <f t="shared" si="181"/>
        <v>4090</v>
      </c>
      <c r="Z285" s="599">
        <f t="shared" si="181"/>
        <v>2711</v>
      </c>
      <c r="AA285" s="599">
        <f t="shared" si="181"/>
        <v>2858</v>
      </c>
      <c r="AB285" s="599">
        <f t="shared" si="181"/>
        <v>0</v>
      </c>
      <c r="AC285" s="600">
        <f t="shared" si="181"/>
        <v>40351</v>
      </c>
      <c r="AD285" s="598">
        <f t="shared" si="181"/>
        <v>0</v>
      </c>
      <c r="AE285" s="599">
        <f t="shared" si="181"/>
        <v>0</v>
      </c>
      <c r="AF285" s="599">
        <f t="shared" si="181"/>
        <v>0</v>
      </c>
      <c r="AG285" s="599">
        <f t="shared" si="181"/>
        <v>0</v>
      </c>
      <c r="AH285" s="601">
        <f t="shared" si="181"/>
        <v>0</v>
      </c>
      <c r="AI285" s="601">
        <f t="shared" si="181"/>
        <v>15154</v>
      </c>
      <c r="AJ285" s="598">
        <f t="shared" si="174"/>
        <v>0</v>
      </c>
      <c r="AK285" s="599">
        <f t="shared" si="174"/>
        <v>0</v>
      </c>
      <c r="AL285" s="601">
        <f t="shared" si="174"/>
        <v>0</v>
      </c>
      <c r="AM285" s="598">
        <f t="shared" si="174"/>
        <v>0</v>
      </c>
      <c r="AN285" s="270"/>
      <c r="AO285" s="270"/>
    </row>
    <row r="286" spans="1:41" ht="12.75" customHeight="1">
      <c r="A286" s="240" t="s">
        <v>140</v>
      </c>
      <c r="B286" s="240" t="s">
        <v>53</v>
      </c>
      <c r="C286" s="568">
        <f t="shared" ref="C286:P286" si="182">IF(V286&gt;0,(V286/V291),0)</f>
        <v>0.34908536585365851</v>
      </c>
      <c r="D286" s="568">
        <f t="shared" si="182"/>
        <v>0</v>
      </c>
      <c r="E286" s="568">
        <f t="shared" si="182"/>
        <v>0.41666666666666669</v>
      </c>
      <c r="F286" s="568">
        <f t="shared" si="182"/>
        <v>0</v>
      </c>
      <c r="G286" s="568">
        <f t="shared" si="182"/>
        <v>0.37373737373737376</v>
      </c>
      <c r="H286" s="568">
        <f t="shared" si="182"/>
        <v>0</v>
      </c>
      <c r="I286" s="568">
        <f t="shared" si="182"/>
        <v>0</v>
      </c>
      <c r="J286" s="569">
        <f t="shared" si="182"/>
        <v>0.37932359723289777</v>
      </c>
      <c r="K286" s="570">
        <f t="shared" si="182"/>
        <v>0</v>
      </c>
      <c r="L286" s="568">
        <f t="shared" si="182"/>
        <v>0</v>
      </c>
      <c r="M286" s="568">
        <f t="shared" si="182"/>
        <v>0</v>
      </c>
      <c r="N286" s="568">
        <f t="shared" si="182"/>
        <v>0</v>
      </c>
      <c r="O286" s="571">
        <f t="shared" si="182"/>
        <v>0</v>
      </c>
      <c r="P286" s="570">
        <f t="shared" si="182"/>
        <v>0.45926800472255019</v>
      </c>
      <c r="Q286" s="568">
        <f>IF(AJ286&gt;0,(AJ286/AJ291),0)</f>
        <v>0</v>
      </c>
      <c r="R286" s="568">
        <f>IF(AK286&gt;0,(AK286/AK291),0)</f>
        <v>0</v>
      </c>
      <c r="S286" s="571">
        <f>IF(AL286&gt;0,(AL286/AL291),0)</f>
        <v>0</v>
      </c>
      <c r="T286" s="570">
        <f>IF(AM286&gt;0,(AM286/AM291),0)</f>
        <v>0</v>
      </c>
      <c r="U286" s="253"/>
      <c r="V286" s="245">
        <v>458</v>
      </c>
      <c r="W286" s="246"/>
      <c r="X286" s="246">
        <v>455</v>
      </c>
      <c r="Y286" s="246"/>
      <c r="Z286" s="246">
        <v>74</v>
      </c>
      <c r="AA286" s="246"/>
      <c r="AB286" s="242"/>
      <c r="AC286" s="247">
        <v>987</v>
      </c>
      <c r="AD286" s="245"/>
      <c r="AE286" s="246"/>
      <c r="AF286" s="246"/>
      <c r="AG286" s="246"/>
      <c r="AH286" s="246"/>
      <c r="AI286" s="248">
        <v>389</v>
      </c>
      <c r="AJ286" s="245"/>
      <c r="AK286" s="246"/>
      <c r="AL286" s="248"/>
      <c r="AM286" s="245"/>
      <c r="AN286" s="563"/>
    </row>
    <row r="287" spans="1:41" ht="12.75" customHeight="1">
      <c r="A287" s="239"/>
      <c r="B287" s="239" t="s">
        <v>93</v>
      </c>
      <c r="C287" s="572">
        <f t="shared" ref="C287:P287" si="183">IF(V287&gt;0,(V287/V291),0)</f>
        <v>0.31402439024390244</v>
      </c>
      <c r="D287" s="572">
        <f t="shared" si="183"/>
        <v>0</v>
      </c>
      <c r="E287" s="572">
        <f t="shared" si="183"/>
        <v>0.27289377289377287</v>
      </c>
      <c r="F287" s="572">
        <f t="shared" si="183"/>
        <v>0</v>
      </c>
      <c r="G287" s="572">
        <f t="shared" si="183"/>
        <v>0.35353535353535354</v>
      </c>
      <c r="H287" s="572">
        <f t="shared" si="183"/>
        <v>0</v>
      </c>
      <c r="I287" s="572">
        <f t="shared" si="183"/>
        <v>0</v>
      </c>
      <c r="J287" s="573">
        <f t="shared" si="183"/>
        <v>0.2997694081475788</v>
      </c>
      <c r="K287" s="574">
        <f t="shared" si="183"/>
        <v>0</v>
      </c>
      <c r="L287" s="572">
        <f t="shared" si="183"/>
        <v>0</v>
      </c>
      <c r="M287" s="572">
        <f t="shared" si="183"/>
        <v>0</v>
      </c>
      <c r="N287" s="572">
        <f t="shared" si="183"/>
        <v>0</v>
      </c>
      <c r="O287" s="575">
        <f t="shared" si="183"/>
        <v>0</v>
      </c>
      <c r="P287" s="574">
        <f t="shared" si="183"/>
        <v>0.1782762691853601</v>
      </c>
      <c r="Q287" s="572">
        <f>IF(AJ287&gt;0,(AJ287/AJ291),0)</f>
        <v>0</v>
      </c>
      <c r="R287" s="572">
        <f>IF(AK287&gt;0,(AK287/AK291),0)</f>
        <v>0</v>
      </c>
      <c r="S287" s="575">
        <f>IF(AL287&gt;0,(AL287/AL291),0)</f>
        <v>0</v>
      </c>
      <c r="T287" s="574">
        <f>IF(AM287&gt;0,(AM287/AM291),0)</f>
        <v>0</v>
      </c>
      <c r="U287" s="253"/>
      <c r="V287" s="254">
        <v>412</v>
      </c>
      <c r="W287" s="255"/>
      <c r="X287" s="255">
        <v>298</v>
      </c>
      <c r="Y287" s="255"/>
      <c r="Z287" s="255">
        <v>70</v>
      </c>
      <c r="AA287" s="255"/>
      <c r="AB287" s="251"/>
      <c r="AC287" s="256">
        <v>780</v>
      </c>
      <c r="AD287" s="254"/>
      <c r="AE287" s="255"/>
      <c r="AF287" s="255"/>
      <c r="AG287" s="255"/>
      <c r="AH287" s="255"/>
      <c r="AI287" s="257">
        <v>151</v>
      </c>
      <c r="AJ287" s="254"/>
      <c r="AK287" s="255"/>
      <c r="AL287" s="257"/>
      <c r="AM287" s="254"/>
      <c r="AN287" s="563"/>
    </row>
    <row r="288" spans="1:41" ht="12.75" customHeight="1">
      <c r="A288" s="239"/>
      <c r="B288" s="239" t="s">
        <v>55</v>
      </c>
      <c r="C288" s="572">
        <f t="shared" ref="C288:P288" si="184">IF(V288&gt;0,(V288/V291),0)</f>
        <v>0.26295731707317072</v>
      </c>
      <c r="D288" s="572">
        <f t="shared" si="184"/>
        <v>0</v>
      </c>
      <c r="E288" s="572">
        <f t="shared" si="184"/>
        <v>0.26923076923076922</v>
      </c>
      <c r="F288" s="572">
        <f t="shared" si="184"/>
        <v>0</v>
      </c>
      <c r="G288" s="572">
        <f t="shared" si="184"/>
        <v>0.25252525252525254</v>
      </c>
      <c r="H288" s="572">
        <f t="shared" si="184"/>
        <v>0</v>
      </c>
      <c r="I288" s="572">
        <f t="shared" si="184"/>
        <v>0</v>
      </c>
      <c r="J288" s="573">
        <f t="shared" si="184"/>
        <v>0.26479631053036123</v>
      </c>
      <c r="K288" s="574">
        <f t="shared" si="184"/>
        <v>0</v>
      </c>
      <c r="L288" s="572">
        <f t="shared" si="184"/>
        <v>0</v>
      </c>
      <c r="M288" s="572">
        <f t="shared" si="184"/>
        <v>0</v>
      </c>
      <c r="N288" s="572">
        <f t="shared" si="184"/>
        <v>0</v>
      </c>
      <c r="O288" s="575">
        <f t="shared" si="184"/>
        <v>0</v>
      </c>
      <c r="P288" s="574">
        <f t="shared" si="184"/>
        <v>0.16765053128689492</v>
      </c>
      <c r="Q288" s="572">
        <f>IF(AJ288&gt;0,(AJ288/AJ291),0)</f>
        <v>0</v>
      </c>
      <c r="R288" s="572">
        <f>IF(AK288&gt;0,(AK288/AK291),0)</f>
        <v>0</v>
      </c>
      <c r="S288" s="575">
        <f>IF(AL288&gt;0,(AL288/AL291),0)</f>
        <v>0</v>
      </c>
      <c r="T288" s="574">
        <f>IF(AM288&gt;0,(AM288/AM291),0)</f>
        <v>0</v>
      </c>
      <c r="U288" s="253"/>
      <c r="V288" s="254">
        <v>345</v>
      </c>
      <c r="W288" s="255"/>
      <c r="X288" s="255">
        <v>294</v>
      </c>
      <c r="Y288" s="255"/>
      <c r="Z288" s="255">
        <v>50</v>
      </c>
      <c r="AA288" s="255"/>
      <c r="AB288" s="251"/>
      <c r="AC288" s="256">
        <v>689</v>
      </c>
      <c r="AD288" s="254"/>
      <c r="AE288" s="255"/>
      <c r="AF288" s="255"/>
      <c r="AG288" s="255"/>
      <c r="AH288" s="255"/>
      <c r="AI288" s="257">
        <v>142</v>
      </c>
      <c r="AJ288" s="254"/>
      <c r="AK288" s="255"/>
      <c r="AL288" s="257"/>
      <c r="AM288" s="254"/>
      <c r="AN288" s="563"/>
    </row>
    <row r="289" spans="1:41" ht="12.75" customHeight="1">
      <c r="A289" s="239"/>
      <c r="B289" s="239" t="s">
        <v>78</v>
      </c>
      <c r="C289" s="572">
        <f t="shared" ref="C289:P289" si="185">IF(V289&gt;0,(V289/V291),0)</f>
        <v>3.277439024390244E-2</v>
      </c>
      <c r="D289" s="572">
        <f t="shared" si="185"/>
        <v>0</v>
      </c>
      <c r="E289" s="572">
        <f t="shared" si="185"/>
        <v>4.1208791208791208E-2</v>
      </c>
      <c r="F289" s="572">
        <f t="shared" si="185"/>
        <v>0</v>
      </c>
      <c r="G289" s="572">
        <f t="shared" si="185"/>
        <v>2.0202020202020204E-2</v>
      </c>
      <c r="H289" s="572">
        <f t="shared" si="185"/>
        <v>0</v>
      </c>
      <c r="I289" s="572">
        <f t="shared" si="185"/>
        <v>0</v>
      </c>
      <c r="J289" s="573">
        <f t="shared" si="185"/>
        <v>3.5357417371252885E-2</v>
      </c>
      <c r="K289" s="574">
        <f t="shared" si="185"/>
        <v>0</v>
      </c>
      <c r="L289" s="572">
        <f t="shared" si="185"/>
        <v>0</v>
      </c>
      <c r="M289" s="572">
        <f t="shared" si="185"/>
        <v>0</v>
      </c>
      <c r="N289" s="572">
        <f t="shared" si="185"/>
        <v>0</v>
      </c>
      <c r="O289" s="575">
        <f t="shared" si="185"/>
        <v>0</v>
      </c>
      <c r="P289" s="574">
        <f t="shared" si="185"/>
        <v>0.1204250295159386</v>
      </c>
      <c r="Q289" s="572">
        <f>IF(AJ289&gt;0,(AJ289/AJ291),0)</f>
        <v>0</v>
      </c>
      <c r="R289" s="572">
        <f>IF(AK289&gt;0,(AK289/AK291),0)</f>
        <v>0</v>
      </c>
      <c r="S289" s="575">
        <f>IF(AL289&gt;0,(AL289/AL291),0)</f>
        <v>0</v>
      </c>
      <c r="T289" s="574">
        <f>IF(AM289&gt;0,(AM289/AM291),0)</f>
        <v>0</v>
      </c>
      <c r="U289" s="253"/>
      <c r="V289" s="254">
        <v>43</v>
      </c>
      <c r="W289" s="255"/>
      <c r="X289" s="255">
        <v>45</v>
      </c>
      <c r="Y289" s="255"/>
      <c r="Z289" s="255">
        <v>4</v>
      </c>
      <c r="AA289" s="255"/>
      <c r="AB289" s="251"/>
      <c r="AC289" s="256">
        <v>92</v>
      </c>
      <c r="AD289" s="254"/>
      <c r="AE289" s="255"/>
      <c r="AF289" s="255"/>
      <c r="AG289" s="255"/>
      <c r="AH289" s="255"/>
      <c r="AI289" s="257">
        <v>102</v>
      </c>
      <c r="AJ289" s="254"/>
      <c r="AK289" s="255"/>
      <c r="AL289" s="257"/>
      <c r="AM289" s="254"/>
      <c r="AN289" s="563"/>
    </row>
    <row r="290" spans="1:41" ht="12.75" customHeight="1">
      <c r="A290" s="580"/>
      <c r="B290" s="580" t="s">
        <v>131</v>
      </c>
      <c r="C290" s="581">
        <f t="shared" ref="C290:P290" si="186">IF(V290&gt;0,(V290/V291),0)</f>
        <v>4.1158536585365856E-2</v>
      </c>
      <c r="D290" s="582">
        <f t="shared" si="186"/>
        <v>0</v>
      </c>
      <c r="E290" s="582">
        <f t="shared" si="186"/>
        <v>0</v>
      </c>
      <c r="F290" s="582">
        <f t="shared" si="186"/>
        <v>0</v>
      </c>
      <c r="G290" s="582">
        <f t="shared" si="186"/>
        <v>0</v>
      </c>
      <c r="H290" s="582">
        <f t="shared" si="186"/>
        <v>0</v>
      </c>
      <c r="I290" s="583">
        <f t="shared" si="186"/>
        <v>0</v>
      </c>
      <c r="J290" s="584">
        <f t="shared" si="186"/>
        <v>2.0753266717909301E-2</v>
      </c>
      <c r="K290" s="581">
        <f t="shared" si="186"/>
        <v>0</v>
      </c>
      <c r="L290" s="582">
        <f t="shared" si="186"/>
        <v>0</v>
      </c>
      <c r="M290" s="582">
        <f t="shared" si="186"/>
        <v>0</v>
      </c>
      <c r="N290" s="582">
        <f t="shared" si="186"/>
        <v>0</v>
      </c>
      <c r="O290" s="583">
        <f t="shared" si="186"/>
        <v>0</v>
      </c>
      <c r="P290" s="581">
        <f t="shared" si="186"/>
        <v>7.43801652892562E-2</v>
      </c>
      <c r="Q290" s="581">
        <f>IF(AJ290&gt;0,(AJ290/AJ291),0)</f>
        <v>0</v>
      </c>
      <c r="R290" s="582">
        <f>IF(AK290&gt;0,(AK290/AK291),0)</f>
        <v>0</v>
      </c>
      <c r="S290" s="583">
        <f>IF(AL290&gt;0,(AL290/AL291),0)</f>
        <v>0</v>
      </c>
      <c r="T290" s="581">
        <f>IF(AM290&gt;0,(AM290/AM291),0)</f>
        <v>0</v>
      </c>
      <c r="U290" s="253"/>
      <c r="V290" s="254">
        <v>54</v>
      </c>
      <c r="W290" s="255"/>
      <c r="X290" s="255"/>
      <c r="Y290" s="255"/>
      <c r="Z290" s="255"/>
      <c r="AA290" s="255"/>
      <c r="AB290" s="582"/>
      <c r="AC290" s="256">
        <v>54</v>
      </c>
      <c r="AD290" s="254"/>
      <c r="AE290" s="255"/>
      <c r="AF290" s="255"/>
      <c r="AG290" s="255"/>
      <c r="AH290" s="255"/>
      <c r="AI290" s="257">
        <v>63</v>
      </c>
      <c r="AJ290" s="254"/>
      <c r="AK290" s="255"/>
      <c r="AL290" s="257"/>
      <c r="AM290" s="254"/>
    </row>
    <row r="291" spans="1:41" s="527" customFormat="1" ht="12.75" customHeight="1">
      <c r="A291" s="436"/>
      <c r="B291" s="436" t="s">
        <v>59</v>
      </c>
      <c r="C291" s="456">
        <f>SUM(C286:C290)</f>
        <v>0.99999999999999989</v>
      </c>
      <c r="D291" s="456">
        <f t="shared" ref="D291:T291" si="187">SUM(D286:D290)</f>
        <v>0</v>
      </c>
      <c r="E291" s="456">
        <f t="shared" si="187"/>
        <v>0.99999999999999989</v>
      </c>
      <c r="F291" s="456">
        <f t="shared" si="187"/>
        <v>0</v>
      </c>
      <c r="G291" s="456">
        <f t="shared" si="187"/>
        <v>1</v>
      </c>
      <c r="H291" s="456">
        <f t="shared" si="187"/>
        <v>0</v>
      </c>
      <c r="I291" s="456">
        <f t="shared" si="187"/>
        <v>0</v>
      </c>
      <c r="J291" s="576">
        <f t="shared" si="187"/>
        <v>1</v>
      </c>
      <c r="K291" s="577">
        <f t="shared" si="187"/>
        <v>0</v>
      </c>
      <c r="L291" s="578">
        <f t="shared" si="187"/>
        <v>0</v>
      </c>
      <c r="M291" s="578">
        <f t="shared" si="187"/>
        <v>0</v>
      </c>
      <c r="N291" s="578">
        <f t="shared" si="187"/>
        <v>0</v>
      </c>
      <c r="O291" s="579">
        <f t="shared" si="187"/>
        <v>0</v>
      </c>
      <c r="P291" s="577">
        <f t="shared" si="187"/>
        <v>0.99999999999999989</v>
      </c>
      <c r="Q291" s="578">
        <f t="shared" si="187"/>
        <v>0</v>
      </c>
      <c r="R291" s="578">
        <f t="shared" si="187"/>
        <v>0</v>
      </c>
      <c r="S291" s="579">
        <f t="shared" si="187"/>
        <v>0</v>
      </c>
      <c r="T291" s="577">
        <f t="shared" si="187"/>
        <v>0</v>
      </c>
      <c r="U291" s="264"/>
      <c r="V291" s="265">
        <v>1312</v>
      </c>
      <c r="W291" s="266"/>
      <c r="X291" s="266">
        <v>1092</v>
      </c>
      <c r="Y291" s="266"/>
      <c r="Z291" s="266">
        <v>198</v>
      </c>
      <c r="AA291" s="266"/>
      <c r="AB291" s="262"/>
      <c r="AC291" s="267">
        <v>2602</v>
      </c>
      <c r="AD291" s="265"/>
      <c r="AE291" s="266"/>
      <c r="AF291" s="266"/>
      <c r="AG291" s="266"/>
      <c r="AH291" s="266"/>
      <c r="AI291" s="268">
        <v>847</v>
      </c>
      <c r="AJ291" s="265"/>
      <c r="AK291" s="266"/>
      <c r="AL291" s="268"/>
      <c r="AM291" s="265"/>
      <c r="AN291" s="270"/>
      <c r="AO291" s="270"/>
    </row>
    <row r="292" spans="1:41" ht="12.75" customHeight="1">
      <c r="A292" s="240" t="s">
        <v>148</v>
      </c>
      <c r="B292" s="240" t="s">
        <v>53</v>
      </c>
      <c r="C292" s="568">
        <f>IF(V292&gt;0,(V292/V297),0)</f>
        <v>0</v>
      </c>
      <c r="D292" s="568">
        <f t="shared" ref="D292:T292" si="188">IF(W292&gt;0,(W292/W297),0)</f>
        <v>0.36162988115449918</v>
      </c>
      <c r="E292" s="568">
        <f t="shared" si="188"/>
        <v>0.3154929577464789</v>
      </c>
      <c r="F292" s="568">
        <f t="shared" si="188"/>
        <v>0</v>
      </c>
      <c r="G292" s="568">
        <f t="shared" si="188"/>
        <v>0</v>
      </c>
      <c r="H292" s="568">
        <f t="shared" si="188"/>
        <v>0.30169491525423731</v>
      </c>
      <c r="I292" s="568">
        <f t="shared" si="188"/>
        <v>0</v>
      </c>
      <c r="J292" s="569">
        <f t="shared" si="188"/>
        <v>0.33414043583535108</v>
      </c>
      <c r="K292" s="570">
        <f t="shared" si="188"/>
        <v>0</v>
      </c>
      <c r="L292" s="568">
        <f t="shared" si="188"/>
        <v>0</v>
      </c>
      <c r="M292" s="568">
        <f t="shared" si="188"/>
        <v>0</v>
      </c>
      <c r="N292" s="568">
        <f t="shared" si="188"/>
        <v>0</v>
      </c>
      <c r="O292" s="571">
        <f t="shared" si="188"/>
        <v>0</v>
      </c>
      <c r="P292" s="570">
        <f t="shared" si="188"/>
        <v>0.1220159151193634</v>
      </c>
      <c r="Q292" s="568">
        <f t="shared" si="188"/>
        <v>0</v>
      </c>
      <c r="R292" s="568">
        <f t="shared" si="188"/>
        <v>0</v>
      </c>
      <c r="S292" s="571">
        <f t="shared" si="188"/>
        <v>0</v>
      </c>
      <c r="T292" s="570">
        <f t="shared" si="188"/>
        <v>0</v>
      </c>
      <c r="U292" s="253"/>
      <c r="V292" s="245"/>
      <c r="W292" s="246">
        <v>213</v>
      </c>
      <c r="X292" s="246">
        <v>112</v>
      </c>
      <c r="Y292" s="246"/>
      <c r="Z292" s="246"/>
      <c r="AA292" s="246">
        <v>89</v>
      </c>
      <c r="AB292" s="242"/>
      <c r="AC292" s="247">
        <v>414</v>
      </c>
      <c r="AD292" s="245"/>
      <c r="AE292" s="246"/>
      <c r="AF292" s="246"/>
      <c r="AG292" s="246"/>
      <c r="AH292" s="246"/>
      <c r="AI292" s="248">
        <v>46</v>
      </c>
      <c r="AJ292" s="245"/>
      <c r="AK292" s="246"/>
      <c r="AL292" s="248"/>
      <c r="AM292" s="245"/>
      <c r="AN292" s="563"/>
    </row>
    <row r="293" spans="1:41" ht="12.75" customHeight="1">
      <c r="A293" s="239"/>
      <c r="B293" s="239" t="s">
        <v>93</v>
      </c>
      <c r="C293" s="572">
        <f>IF(V293&gt;0,(V293/V297),0)</f>
        <v>0</v>
      </c>
      <c r="D293" s="572">
        <f t="shared" ref="D293:T293" si="189">IF(W293&gt;0,(W293/W297),0)</f>
        <v>0.33616298811544992</v>
      </c>
      <c r="E293" s="572">
        <f t="shared" si="189"/>
        <v>0.43380281690140843</v>
      </c>
      <c r="F293" s="572">
        <f t="shared" si="189"/>
        <v>0</v>
      </c>
      <c r="G293" s="572">
        <f t="shared" si="189"/>
        <v>0</v>
      </c>
      <c r="H293" s="572">
        <f t="shared" si="189"/>
        <v>0.3254237288135593</v>
      </c>
      <c r="I293" s="572">
        <f t="shared" si="189"/>
        <v>0</v>
      </c>
      <c r="J293" s="573">
        <f t="shared" si="189"/>
        <v>0.3615819209039548</v>
      </c>
      <c r="K293" s="574">
        <f t="shared" si="189"/>
        <v>0</v>
      </c>
      <c r="L293" s="572">
        <f t="shared" si="189"/>
        <v>0</v>
      </c>
      <c r="M293" s="572">
        <f t="shared" si="189"/>
        <v>0</v>
      </c>
      <c r="N293" s="572">
        <f t="shared" si="189"/>
        <v>0</v>
      </c>
      <c r="O293" s="575">
        <f t="shared" si="189"/>
        <v>0</v>
      </c>
      <c r="P293" s="574">
        <f t="shared" si="189"/>
        <v>7.9575596816976124E-2</v>
      </c>
      <c r="Q293" s="572">
        <f t="shared" si="189"/>
        <v>0</v>
      </c>
      <c r="R293" s="572">
        <f t="shared" si="189"/>
        <v>0</v>
      </c>
      <c r="S293" s="575">
        <f t="shared" si="189"/>
        <v>0</v>
      </c>
      <c r="T293" s="574">
        <f t="shared" si="189"/>
        <v>0</v>
      </c>
      <c r="U293" s="253"/>
      <c r="V293" s="254"/>
      <c r="W293" s="255">
        <v>198</v>
      </c>
      <c r="X293" s="255">
        <v>154</v>
      </c>
      <c r="Y293" s="255"/>
      <c r="Z293" s="255"/>
      <c r="AA293" s="255">
        <v>96</v>
      </c>
      <c r="AB293" s="251"/>
      <c r="AC293" s="256">
        <v>448</v>
      </c>
      <c r="AD293" s="254"/>
      <c r="AE293" s="255"/>
      <c r="AF293" s="255"/>
      <c r="AG293" s="255"/>
      <c r="AH293" s="255"/>
      <c r="AI293" s="257">
        <v>30</v>
      </c>
      <c r="AJ293" s="254"/>
      <c r="AK293" s="255"/>
      <c r="AL293" s="257"/>
      <c r="AM293" s="254"/>
      <c r="AN293" s="563"/>
    </row>
    <row r="294" spans="1:41" ht="12.75" customHeight="1">
      <c r="A294" s="239"/>
      <c r="B294" s="239" t="s">
        <v>55</v>
      </c>
      <c r="C294" s="572">
        <f>IF(V294&gt;0,(V294/V297),0)</f>
        <v>0</v>
      </c>
      <c r="D294" s="572">
        <f t="shared" ref="D294:T294" si="190">IF(W294&gt;0,(W294/W297),0)</f>
        <v>0.13752122241086587</v>
      </c>
      <c r="E294" s="572">
        <f t="shared" si="190"/>
        <v>0.11830985915492957</v>
      </c>
      <c r="F294" s="572">
        <f t="shared" si="190"/>
        <v>0</v>
      </c>
      <c r="G294" s="572">
        <f t="shared" si="190"/>
        <v>0</v>
      </c>
      <c r="H294" s="572">
        <f t="shared" si="190"/>
        <v>0.24745762711864408</v>
      </c>
      <c r="I294" s="572">
        <f t="shared" si="190"/>
        <v>0</v>
      </c>
      <c r="J294" s="573">
        <f t="shared" si="190"/>
        <v>0.15819209039548024</v>
      </c>
      <c r="K294" s="574">
        <f t="shared" si="190"/>
        <v>0</v>
      </c>
      <c r="L294" s="572">
        <f t="shared" si="190"/>
        <v>0</v>
      </c>
      <c r="M294" s="572">
        <f t="shared" si="190"/>
        <v>0</v>
      </c>
      <c r="N294" s="572">
        <f t="shared" si="190"/>
        <v>0</v>
      </c>
      <c r="O294" s="575">
        <f t="shared" si="190"/>
        <v>0</v>
      </c>
      <c r="P294" s="574">
        <f t="shared" si="190"/>
        <v>9.5490716180371346E-2</v>
      </c>
      <c r="Q294" s="572">
        <f t="shared" si="190"/>
        <v>0</v>
      </c>
      <c r="R294" s="572">
        <f t="shared" si="190"/>
        <v>0</v>
      </c>
      <c r="S294" s="575">
        <f t="shared" si="190"/>
        <v>0</v>
      </c>
      <c r="T294" s="574">
        <f t="shared" si="190"/>
        <v>0</v>
      </c>
      <c r="U294" s="253"/>
      <c r="V294" s="254"/>
      <c r="W294" s="255">
        <v>81</v>
      </c>
      <c r="X294" s="255">
        <v>42</v>
      </c>
      <c r="Y294" s="255"/>
      <c r="Z294" s="255"/>
      <c r="AA294" s="255">
        <v>73</v>
      </c>
      <c r="AB294" s="251"/>
      <c r="AC294" s="256">
        <v>196</v>
      </c>
      <c r="AD294" s="254"/>
      <c r="AE294" s="255"/>
      <c r="AF294" s="255"/>
      <c r="AG294" s="255"/>
      <c r="AH294" s="255"/>
      <c r="AI294" s="257">
        <v>36</v>
      </c>
      <c r="AJ294" s="254"/>
      <c r="AK294" s="255"/>
      <c r="AL294" s="257"/>
      <c r="AM294" s="254"/>
      <c r="AN294" s="563"/>
    </row>
    <row r="295" spans="1:41" ht="12.75" customHeight="1">
      <c r="A295" s="239"/>
      <c r="B295" s="239" t="s">
        <v>78</v>
      </c>
      <c r="C295" s="572">
        <f>IF(V295&gt;0,(V295/V297),0)</f>
        <v>0</v>
      </c>
      <c r="D295" s="572">
        <f t="shared" ref="D295:T295" si="191">IF(W295&gt;0,(W295/W297),0)</f>
        <v>2.037351443123939E-2</v>
      </c>
      <c r="E295" s="572">
        <f t="shared" si="191"/>
        <v>2.5352112676056339E-2</v>
      </c>
      <c r="F295" s="572">
        <f t="shared" si="191"/>
        <v>0</v>
      </c>
      <c r="G295" s="572">
        <f t="shared" si="191"/>
        <v>0</v>
      </c>
      <c r="H295" s="572">
        <f t="shared" si="191"/>
        <v>4.4067796610169491E-2</v>
      </c>
      <c r="I295" s="572">
        <f t="shared" si="191"/>
        <v>0</v>
      </c>
      <c r="J295" s="573">
        <f t="shared" si="191"/>
        <v>2.7441485068603711E-2</v>
      </c>
      <c r="K295" s="574">
        <f t="shared" si="191"/>
        <v>0</v>
      </c>
      <c r="L295" s="572">
        <f t="shared" si="191"/>
        <v>0</v>
      </c>
      <c r="M295" s="572">
        <f t="shared" si="191"/>
        <v>0</v>
      </c>
      <c r="N295" s="572">
        <f t="shared" si="191"/>
        <v>0</v>
      </c>
      <c r="O295" s="575">
        <f t="shared" si="191"/>
        <v>0</v>
      </c>
      <c r="P295" s="574">
        <f t="shared" si="191"/>
        <v>0.40318302387267907</v>
      </c>
      <c r="Q295" s="572">
        <f t="shared" si="191"/>
        <v>0</v>
      </c>
      <c r="R295" s="572">
        <f t="shared" si="191"/>
        <v>0</v>
      </c>
      <c r="S295" s="575">
        <f t="shared" si="191"/>
        <v>0</v>
      </c>
      <c r="T295" s="574">
        <f t="shared" si="191"/>
        <v>0</v>
      </c>
      <c r="U295" s="253"/>
      <c r="V295" s="254"/>
      <c r="W295" s="255">
        <v>12</v>
      </c>
      <c r="X295" s="255">
        <v>9</v>
      </c>
      <c r="Y295" s="255"/>
      <c r="Z295" s="255"/>
      <c r="AA295" s="255">
        <v>13</v>
      </c>
      <c r="AB295" s="251"/>
      <c r="AC295" s="256">
        <v>34</v>
      </c>
      <c r="AD295" s="254"/>
      <c r="AE295" s="255"/>
      <c r="AF295" s="255"/>
      <c r="AG295" s="255"/>
      <c r="AH295" s="255"/>
      <c r="AI295" s="257">
        <v>152</v>
      </c>
      <c r="AJ295" s="254"/>
      <c r="AK295" s="255"/>
      <c r="AL295" s="257"/>
      <c r="AM295" s="254"/>
      <c r="AN295" s="563"/>
    </row>
    <row r="296" spans="1:41" ht="12.75" customHeight="1">
      <c r="A296" s="580"/>
      <c r="B296" s="580" t="s">
        <v>131</v>
      </c>
      <c r="C296" s="581">
        <f>IF(V296&gt;0,(V296/V297),0)</f>
        <v>0</v>
      </c>
      <c r="D296" s="582">
        <f t="shared" ref="D296:T296" si="192">IF(W296&gt;0,(W296/W297),0)</f>
        <v>0.14431239388794567</v>
      </c>
      <c r="E296" s="582">
        <f t="shared" si="192"/>
        <v>0.10704225352112676</v>
      </c>
      <c r="F296" s="582">
        <f t="shared" si="192"/>
        <v>0</v>
      </c>
      <c r="G296" s="582">
        <f t="shared" si="192"/>
        <v>0</v>
      </c>
      <c r="H296" s="582">
        <f t="shared" si="192"/>
        <v>8.1355932203389825E-2</v>
      </c>
      <c r="I296" s="583">
        <f t="shared" si="192"/>
        <v>0</v>
      </c>
      <c r="J296" s="584">
        <f t="shared" si="192"/>
        <v>0.11864406779661017</v>
      </c>
      <c r="K296" s="581">
        <f t="shared" si="192"/>
        <v>0</v>
      </c>
      <c r="L296" s="582">
        <f t="shared" si="192"/>
        <v>0</v>
      </c>
      <c r="M296" s="582">
        <f t="shared" si="192"/>
        <v>0</v>
      </c>
      <c r="N296" s="582">
        <f t="shared" si="192"/>
        <v>0</v>
      </c>
      <c r="O296" s="583">
        <f t="shared" si="192"/>
        <v>0</v>
      </c>
      <c r="P296" s="581">
        <f t="shared" si="192"/>
        <v>0.29973474801061006</v>
      </c>
      <c r="Q296" s="581">
        <f t="shared" si="192"/>
        <v>0</v>
      </c>
      <c r="R296" s="582">
        <f t="shared" si="192"/>
        <v>0</v>
      </c>
      <c r="S296" s="583">
        <f t="shared" si="192"/>
        <v>0</v>
      </c>
      <c r="T296" s="581">
        <f t="shared" si="192"/>
        <v>0</v>
      </c>
      <c r="U296" s="253"/>
      <c r="V296" s="254"/>
      <c r="W296" s="255">
        <v>85</v>
      </c>
      <c r="X296" s="255">
        <v>38</v>
      </c>
      <c r="Y296" s="255"/>
      <c r="Z296" s="255"/>
      <c r="AA296" s="255">
        <v>24</v>
      </c>
      <c r="AB296" s="582"/>
      <c r="AC296" s="256">
        <v>147</v>
      </c>
      <c r="AD296" s="254"/>
      <c r="AE296" s="255"/>
      <c r="AF296" s="255"/>
      <c r="AG296" s="255"/>
      <c r="AH296" s="255"/>
      <c r="AI296" s="257">
        <v>113</v>
      </c>
      <c r="AJ296" s="254"/>
      <c r="AK296" s="255"/>
      <c r="AL296" s="257"/>
      <c r="AM296" s="254"/>
    </row>
    <row r="297" spans="1:41" s="527" customFormat="1" ht="12.75" customHeight="1">
      <c r="A297" s="436"/>
      <c r="B297" s="436" t="s">
        <v>59</v>
      </c>
      <c r="C297" s="456">
        <f>SUM(C292:C296)</f>
        <v>0</v>
      </c>
      <c r="D297" s="456">
        <f t="shared" ref="D297:T297" si="193">SUM(D292:D296)</f>
        <v>1</v>
      </c>
      <c r="E297" s="456">
        <f t="shared" si="193"/>
        <v>0.99999999999999989</v>
      </c>
      <c r="F297" s="456">
        <f t="shared" si="193"/>
        <v>0</v>
      </c>
      <c r="G297" s="456">
        <f t="shared" si="193"/>
        <v>0</v>
      </c>
      <c r="H297" s="456">
        <f t="shared" si="193"/>
        <v>1</v>
      </c>
      <c r="I297" s="456">
        <f t="shared" si="193"/>
        <v>0</v>
      </c>
      <c r="J297" s="576">
        <f t="shared" si="193"/>
        <v>0.99999999999999989</v>
      </c>
      <c r="K297" s="577">
        <f t="shared" si="193"/>
        <v>0</v>
      </c>
      <c r="L297" s="578">
        <f t="shared" si="193"/>
        <v>0</v>
      </c>
      <c r="M297" s="578">
        <f t="shared" si="193"/>
        <v>0</v>
      </c>
      <c r="N297" s="578">
        <f t="shared" si="193"/>
        <v>0</v>
      </c>
      <c r="O297" s="579">
        <f t="shared" si="193"/>
        <v>0</v>
      </c>
      <c r="P297" s="577">
        <f t="shared" si="193"/>
        <v>1</v>
      </c>
      <c r="Q297" s="578">
        <f t="shared" si="193"/>
        <v>0</v>
      </c>
      <c r="R297" s="578">
        <f t="shared" si="193"/>
        <v>0</v>
      </c>
      <c r="S297" s="579">
        <f t="shared" si="193"/>
        <v>0</v>
      </c>
      <c r="T297" s="577">
        <f t="shared" si="193"/>
        <v>0</v>
      </c>
      <c r="U297" s="264"/>
      <c r="V297" s="265"/>
      <c r="W297" s="266">
        <v>589</v>
      </c>
      <c r="X297" s="266">
        <v>355</v>
      </c>
      <c r="Y297" s="266"/>
      <c r="Z297" s="266"/>
      <c r="AA297" s="266">
        <v>295</v>
      </c>
      <c r="AB297" s="262"/>
      <c r="AC297" s="267">
        <v>1239</v>
      </c>
      <c r="AD297" s="265"/>
      <c r="AE297" s="266"/>
      <c r="AF297" s="266"/>
      <c r="AG297" s="266"/>
      <c r="AH297" s="266"/>
      <c r="AI297" s="268">
        <v>377</v>
      </c>
      <c r="AJ297" s="265"/>
      <c r="AK297" s="266"/>
      <c r="AL297" s="268"/>
      <c r="AM297" s="265"/>
      <c r="AN297" s="270"/>
      <c r="AO297" s="270"/>
    </row>
    <row r="298" spans="1:41" ht="12.75" customHeight="1">
      <c r="A298" s="240" t="s">
        <v>147</v>
      </c>
      <c r="B298" s="240" t="s">
        <v>53</v>
      </c>
      <c r="C298" s="568">
        <f>IF(V298&gt;0,(V298/V303),0)</f>
        <v>0.38277919863597615</v>
      </c>
      <c r="D298" s="568">
        <f t="shared" ref="D298:T298" si="194">IF(W298&gt;0,(W298/W303),0)</f>
        <v>0.32116788321167883</v>
      </c>
      <c r="E298" s="568">
        <f t="shared" si="194"/>
        <v>0.36344238975817922</v>
      </c>
      <c r="F298" s="568">
        <f t="shared" si="194"/>
        <v>0.33720930232558138</v>
      </c>
      <c r="G298" s="568">
        <f t="shared" si="194"/>
        <v>0.48314606741573035</v>
      </c>
      <c r="H298" s="568">
        <f t="shared" si="194"/>
        <v>0</v>
      </c>
      <c r="I298" s="568">
        <f t="shared" si="194"/>
        <v>0</v>
      </c>
      <c r="J298" s="569">
        <f t="shared" si="194"/>
        <v>0.35935532611432891</v>
      </c>
      <c r="K298" s="570">
        <f t="shared" si="194"/>
        <v>0</v>
      </c>
      <c r="L298" s="568">
        <f t="shared" si="194"/>
        <v>0</v>
      </c>
      <c r="M298" s="568">
        <f t="shared" si="194"/>
        <v>0</v>
      </c>
      <c r="N298" s="568">
        <f t="shared" si="194"/>
        <v>0</v>
      </c>
      <c r="O298" s="571">
        <f t="shared" si="194"/>
        <v>0</v>
      </c>
      <c r="P298" s="570">
        <f t="shared" si="194"/>
        <v>0.59197963080840232</v>
      </c>
      <c r="Q298" s="568">
        <f t="shared" si="194"/>
        <v>0</v>
      </c>
      <c r="R298" s="568">
        <f t="shared" si="194"/>
        <v>0</v>
      </c>
      <c r="S298" s="571">
        <f t="shared" si="194"/>
        <v>0</v>
      </c>
      <c r="T298" s="570">
        <f t="shared" si="194"/>
        <v>0</v>
      </c>
      <c r="U298" s="253"/>
      <c r="V298" s="245">
        <v>449</v>
      </c>
      <c r="W298" s="246">
        <v>308</v>
      </c>
      <c r="X298" s="246">
        <v>511</v>
      </c>
      <c r="Y298" s="246">
        <v>116</v>
      </c>
      <c r="Z298" s="246">
        <v>43</v>
      </c>
      <c r="AA298" s="246"/>
      <c r="AB298" s="242"/>
      <c r="AC298" s="247">
        <v>1427</v>
      </c>
      <c r="AD298" s="245"/>
      <c r="AE298" s="246"/>
      <c r="AF298" s="246"/>
      <c r="AG298" s="246"/>
      <c r="AH298" s="246"/>
      <c r="AI298" s="248">
        <v>930</v>
      </c>
      <c r="AJ298" s="245"/>
      <c r="AK298" s="246"/>
      <c r="AL298" s="248"/>
      <c r="AM298" s="245"/>
      <c r="AN298" s="563"/>
    </row>
    <row r="299" spans="1:41" ht="12.75" customHeight="1">
      <c r="A299" s="239"/>
      <c r="B299" s="239" t="s">
        <v>93</v>
      </c>
      <c r="C299" s="572">
        <f>IF(V299&gt;0,(V299/V303),0)</f>
        <v>0.23870417732310314</v>
      </c>
      <c r="D299" s="572">
        <f t="shared" ref="D299:T299" si="195">IF(W299&gt;0,(W299/W303),0)</f>
        <v>0.26173096976016685</v>
      </c>
      <c r="E299" s="572">
        <f t="shared" si="195"/>
        <v>0.27098150782361308</v>
      </c>
      <c r="F299" s="572">
        <f t="shared" si="195"/>
        <v>0.30813953488372092</v>
      </c>
      <c r="G299" s="572">
        <f t="shared" si="195"/>
        <v>0.20224719101123595</v>
      </c>
      <c r="H299" s="572">
        <f t="shared" si="195"/>
        <v>0</v>
      </c>
      <c r="I299" s="572">
        <f t="shared" si="195"/>
        <v>0</v>
      </c>
      <c r="J299" s="573">
        <f t="shared" si="195"/>
        <v>0.26089146310752959</v>
      </c>
      <c r="K299" s="574">
        <f t="shared" si="195"/>
        <v>0</v>
      </c>
      <c r="L299" s="572">
        <f t="shared" si="195"/>
        <v>0</v>
      </c>
      <c r="M299" s="572">
        <f t="shared" si="195"/>
        <v>0</v>
      </c>
      <c r="N299" s="572">
        <f t="shared" si="195"/>
        <v>0</v>
      </c>
      <c r="O299" s="575">
        <f t="shared" si="195"/>
        <v>0</v>
      </c>
      <c r="P299" s="574">
        <f t="shared" si="195"/>
        <v>0.16995544239338001</v>
      </c>
      <c r="Q299" s="572">
        <f t="shared" si="195"/>
        <v>0</v>
      </c>
      <c r="R299" s="572">
        <f t="shared" si="195"/>
        <v>0</v>
      </c>
      <c r="S299" s="575">
        <f t="shared" si="195"/>
        <v>0</v>
      </c>
      <c r="T299" s="574">
        <f t="shared" si="195"/>
        <v>0</v>
      </c>
      <c r="U299" s="253"/>
      <c r="V299" s="254">
        <v>280</v>
      </c>
      <c r="W299" s="255">
        <v>251</v>
      </c>
      <c r="X299" s="255">
        <v>381</v>
      </c>
      <c r="Y299" s="255">
        <v>106</v>
      </c>
      <c r="Z299" s="255">
        <v>18</v>
      </c>
      <c r="AA299" s="255"/>
      <c r="AB299" s="251"/>
      <c r="AC299" s="256">
        <v>1036</v>
      </c>
      <c r="AD299" s="254"/>
      <c r="AE299" s="255"/>
      <c r="AF299" s="255"/>
      <c r="AG299" s="255"/>
      <c r="AH299" s="255"/>
      <c r="AI299" s="257">
        <v>267</v>
      </c>
      <c r="AJ299" s="254"/>
      <c r="AK299" s="255"/>
      <c r="AL299" s="257"/>
      <c r="AM299" s="254"/>
      <c r="AN299" s="563"/>
    </row>
    <row r="300" spans="1:41" ht="12.75" customHeight="1">
      <c r="A300" s="239"/>
      <c r="B300" s="239" t="s">
        <v>55</v>
      </c>
      <c r="C300" s="572">
        <f>IF(V300&gt;0,(V300/V303),0)</f>
        <v>0.22335890878090367</v>
      </c>
      <c r="D300" s="572">
        <f t="shared" ref="D300:T300" si="196">IF(W300&gt;0,(W300/W303),0)</f>
        <v>0.27841501564129301</v>
      </c>
      <c r="E300" s="572">
        <f t="shared" si="196"/>
        <v>0.30085348506401138</v>
      </c>
      <c r="F300" s="572">
        <f t="shared" si="196"/>
        <v>0.30232558139534882</v>
      </c>
      <c r="G300" s="572">
        <f t="shared" si="196"/>
        <v>0.24719101123595505</v>
      </c>
      <c r="H300" s="572">
        <f t="shared" si="196"/>
        <v>0</v>
      </c>
      <c r="I300" s="572">
        <f t="shared" si="196"/>
        <v>0</v>
      </c>
      <c r="J300" s="573">
        <f t="shared" si="196"/>
        <v>0.27146814404432135</v>
      </c>
      <c r="K300" s="574">
        <f t="shared" si="196"/>
        <v>0</v>
      </c>
      <c r="L300" s="572">
        <f t="shared" si="196"/>
        <v>0</v>
      </c>
      <c r="M300" s="572">
        <f t="shared" si="196"/>
        <v>0</v>
      </c>
      <c r="N300" s="572">
        <f t="shared" si="196"/>
        <v>0</v>
      </c>
      <c r="O300" s="575">
        <f t="shared" si="196"/>
        <v>0</v>
      </c>
      <c r="P300" s="574">
        <f t="shared" si="196"/>
        <v>0.15913430935709738</v>
      </c>
      <c r="Q300" s="572">
        <f t="shared" si="196"/>
        <v>0</v>
      </c>
      <c r="R300" s="572">
        <f t="shared" si="196"/>
        <v>0</v>
      </c>
      <c r="S300" s="575">
        <f t="shared" si="196"/>
        <v>0</v>
      </c>
      <c r="T300" s="574">
        <f t="shared" si="196"/>
        <v>0</v>
      </c>
      <c r="U300" s="253"/>
      <c r="V300" s="254">
        <v>262</v>
      </c>
      <c r="W300" s="255">
        <v>267</v>
      </c>
      <c r="X300" s="255">
        <v>423</v>
      </c>
      <c r="Y300" s="255">
        <v>104</v>
      </c>
      <c r="Z300" s="255">
        <v>22</v>
      </c>
      <c r="AA300" s="255"/>
      <c r="AB300" s="251"/>
      <c r="AC300" s="256">
        <v>1078</v>
      </c>
      <c r="AD300" s="254"/>
      <c r="AE300" s="255"/>
      <c r="AF300" s="255"/>
      <c r="AG300" s="255"/>
      <c r="AH300" s="255"/>
      <c r="AI300" s="257">
        <v>250</v>
      </c>
      <c r="AJ300" s="254"/>
      <c r="AK300" s="255"/>
      <c r="AL300" s="257"/>
      <c r="AM300" s="254"/>
      <c r="AN300" s="563"/>
    </row>
    <row r="301" spans="1:41" ht="12.75" customHeight="1">
      <c r="A301" s="239"/>
      <c r="B301" s="239" t="s">
        <v>78</v>
      </c>
      <c r="C301" s="572">
        <f>IF(V301&gt;0,(V301/V303),0)</f>
        <v>0</v>
      </c>
      <c r="D301" s="572">
        <f t="shared" ref="D301:T301" si="197">IF(W301&gt;0,(W301/W303),0)</f>
        <v>6.2565172054223151E-3</v>
      </c>
      <c r="E301" s="572">
        <f t="shared" si="197"/>
        <v>2.5604551920341393E-2</v>
      </c>
      <c r="F301" s="572">
        <f t="shared" si="197"/>
        <v>4.6511627906976744E-2</v>
      </c>
      <c r="G301" s="572">
        <f t="shared" si="197"/>
        <v>6.741573033707865E-2</v>
      </c>
      <c r="H301" s="572">
        <f t="shared" si="197"/>
        <v>0</v>
      </c>
      <c r="I301" s="572">
        <f t="shared" si="197"/>
        <v>0</v>
      </c>
      <c r="J301" s="573">
        <f t="shared" si="197"/>
        <v>1.6116847141777888E-2</v>
      </c>
      <c r="K301" s="574">
        <f t="shared" si="197"/>
        <v>0</v>
      </c>
      <c r="L301" s="572">
        <f t="shared" si="197"/>
        <v>0</v>
      </c>
      <c r="M301" s="572">
        <f t="shared" si="197"/>
        <v>0</v>
      </c>
      <c r="N301" s="572">
        <f t="shared" si="197"/>
        <v>0</v>
      </c>
      <c r="O301" s="575">
        <f t="shared" si="197"/>
        <v>0</v>
      </c>
      <c r="P301" s="574">
        <f t="shared" si="197"/>
        <v>7.0655633354551245E-2</v>
      </c>
      <c r="Q301" s="572">
        <f t="shared" si="197"/>
        <v>0</v>
      </c>
      <c r="R301" s="572">
        <f t="shared" si="197"/>
        <v>0</v>
      </c>
      <c r="S301" s="575">
        <f t="shared" si="197"/>
        <v>0</v>
      </c>
      <c r="T301" s="574">
        <f t="shared" si="197"/>
        <v>0</v>
      </c>
      <c r="U301" s="253"/>
      <c r="V301" s="254"/>
      <c r="W301" s="255">
        <v>6</v>
      </c>
      <c r="X301" s="255">
        <v>36</v>
      </c>
      <c r="Y301" s="255">
        <v>16</v>
      </c>
      <c r="Z301" s="255">
        <v>6</v>
      </c>
      <c r="AA301" s="255"/>
      <c r="AB301" s="251"/>
      <c r="AC301" s="256">
        <v>64</v>
      </c>
      <c r="AD301" s="254"/>
      <c r="AE301" s="255"/>
      <c r="AF301" s="255"/>
      <c r="AG301" s="255"/>
      <c r="AH301" s="255"/>
      <c r="AI301" s="257">
        <v>111</v>
      </c>
      <c r="AJ301" s="254"/>
      <c r="AK301" s="255"/>
      <c r="AL301" s="257"/>
      <c r="AM301" s="254"/>
      <c r="AN301" s="563"/>
    </row>
    <row r="302" spans="1:41" ht="12.75" customHeight="1">
      <c r="A302" s="580"/>
      <c r="B302" s="580" t="s">
        <v>131</v>
      </c>
      <c r="C302" s="581">
        <f>IF(V302&gt;0,(V302/V303),0)</f>
        <v>0.15515771526001704</v>
      </c>
      <c r="D302" s="582">
        <f t="shared" ref="D302:T302" si="198">IF(W302&gt;0,(W302/W303),0)</f>
        <v>0.132429614181439</v>
      </c>
      <c r="E302" s="582">
        <f t="shared" si="198"/>
        <v>3.9118065433854911E-2</v>
      </c>
      <c r="F302" s="582">
        <f t="shared" si="198"/>
        <v>5.8139534883720929E-3</v>
      </c>
      <c r="G302" s="582">
        <f t="shared" si="198"/>
        <v>0</v>
      </c>
      <c r="H302" s="582">
        <f t="shared" si="198"/>
        <v>0</v>
      </c>
      <c r="I302" s="583">
        <f t="shared" si="198"/>
        <v>0</v>
      </c>
      <c r="J302" s="584">
        <f t="shared" si="198"/>
        <v>9.2168219592042314E-2</v>
      </c>
      <c r="K302" s="581">
        <f t="shared" si="198"/>
        <v>0</v>
      </c>
      <c r="L302" s="582">
        <f t="shared" si="198"/>
        <v>0</v>
      </c>
      <c r="M302" s="582">
        <f t="shared" si="198"/>
        <v>0</v>
      </c>
      <c r="N302" s="582">
        <f t="shared" si="198"/>
        <v>0</v>
      </c>
      <c r="O302" s="583">
        <f t="shared" si="198"/>
        <v>0</v>
      </c>
      <c r="P302" s="581">
        <f t="shared" si="198"/>
        <v>8.2749840865690635E-3</v>
      </c>
      <c r="Q302" s="581">
        <f t="shared" si="198"/>
        <v>0</v>
      </c>
      <c r="R302" s="582">
        <f t="shared" si="198"/>
        <v>0</v>
      </c>
      <c r="S302" s="583">
        <f t="shared" si="198"/>
        <v>0</v>
      </c>
      <c r="T302" s="581">
        <f t="shared" si="198"/>
        <v>0</v>
      </c>
      <c r="U302" s="253"/>
      <c r="V302" s="254">
        <v>182</v>
      </c>
      <c r="W302" s="255">
        <v>127</v>
      </c>
      <c r="X302" s="255">
        <v>55</v>
      </c>
      <c r="Y302" s="255">
        <v>2</v>
      </c>
      <c r="Z302" s="255"/>
      <c r="AA302" s="255"/>
      <c r="AB302" s="582"/>
      <c r="AC302" s="256">
        <v>366</v>
      </c>
      <c r="AD302" s="254"/>
      <c r="AE302" s="255"/>
      <c r="AF302" s="255"/>
      <c r="AG302" s="255"/>
      <c r="AH302" s="255"/>
      <c r="AI302" s="257">
        <v>13</v>
      </c>
      <c r="AJ302" s="254"/>
      <c r="AK302" s="255"/>
      <c r="AL302" s="257"/>
      <c r="AM302" s="254"/>
    </row>
    <row r="303" spans="1:41" s="527" customFormat="1" ht="12.75" customHeight="1">
      <c r="A303" s="436"/>
      <c r="B303" s="436" t="s">
        <v>59</v>
      </c>
      <c r="C303" s="456">
        <f>SUM(C298:C302)</f>
        <v>1</v>
      </c>
      <c r="D303" s="456">
        <f t="shared" ref="D303:T303" si="199">SUM(D298:D302)</f>
        <v>1</v>
      </c>
      <c r="E303" s="456">
        <f t="shared" si="199"/>
        <v>0.99999999999999989</v>
      </c>
      <c r="F303" s="456">
        <f t="shared" si="199"/>
        <v>1</v>
      </c>
      <c r="G303" s="456">
        <f t="shared" si="199"/>
        <v>1</v>
      </c>
      <c r="H303" s="456">
        <f t="shared" si="199"/>
        <v>0</v>
      </c>
      <c r="I303" s="456">
        <f t="shared" si="199"/>
        <v>0</v>
      </c>
      <c r="J303" s="576">
        <f t="shared" si="199"/>
        <v>1</v>
      </c>
      <c r="K303" s="577">
        <f t="shared" si="199"/>
        <v>0</v>
      </c>
      <c r="L303" s="578">
        <f t="shared" si="199"/>
        <v>0</v>
      </c>
      <c r="M303" s="578">
        <f t="shared" si="199"/>
        <v>0</v>
      </c>
      <c r="N303" s="578">
        <f t="shared" si="199"/>
        <v>0</v>
      </c>
      <c r="O303" s="579">
        <f t="shared" si="199"/>
        <v>0</v>
      </c>
      <c r="P303" s="577">
        <f t="shared" si="199"/>
        <v>1</v>
      </c>
      <c r="Q303" s="578">
        <f t="shared" si="199"/>
        <v>0</v>
      </c>
      <c r="R303" s="578">
        <f t="shared" si="199"/>
        <v>0</v>
      </c>
      <c r="S303" s="579">
        <f t="shared" si="199"/>
        <v>0</v>
      </c>
      <c r="T303" s="577">
        <f t="shared" si="199"/>
        <v>0</v>
      </c>
      <c r="U303" s="264"/>
      <c r="V303" s="265">
        <v>1173</v>
      </c>
      <c r="W303" s="266">
        <v>959</v>
      </c>
      <c r="X303" s="266">
        <v>1406</v>
      </c>
      <c r="Y303" s="266">
        <v>344</v>
      </c>
      <c r="Z303" s="266">
        <v>89</v>
      </c>
      <c r="AA303" s="266"/>
      <c r="AB303" s="262"/>
      <c r="AC303" s="267">
        <v>3971</v>
      </c>
      <c r="AD303" s="265"/>
      <c r="AE303" s="266"/>
      <c r="AF303" s="266"/>
      <c r="AG303" s="266"/>
      <c r="AH303" s="266"/>
      <c r="AI303" s="268">
        <v>1571</v>
      </c>
      <c r="AJ303" s="265"/>
      <c r="AK303" s="266"/>
      <c r="AL303" s="268"/>
      <c r="AM303" s="265"/>
      <c r="AN303" s="270"/>
      <c r="AO303" s="270"/>
    </row>
    <row r="304" spans="1:41" ht="12.75" customHeight="1">
      <c r="A304" s="240" t="s">
        <v>155</v>
      </c>
      <c r="B304" s="240" t="s">
        <v>53</v>
      </c>
      <c r="C304" s="568">
        <f>IF(V304&gt;0,(V304/V309),0)</f>
        <v>0</v>
      </c>
      <c r="D304" s="568">
        <f t="shared" ref="D304:T304" si="200">IF(W304&gt;0,(W304/W309),0)</f>
        <v>0.36231884057971014</v>
      </c>
      <c r="E304" s="568">
        <f t="shared" si="200"/>
        <v>0</v>
      </c>
      <c r="F304" s="568">
        <f t="shared" si="200"/>
        <v>0.43850267379679142</v>
      </c>
      <c r="G304" s="568">
        <f t="shared" si="200"/>
        <v>0.37563451776649748</v>
      </c>
      <c r="H304" s="568">
        <f t="shared" si="200"/>
        <v>0.19354838709677419</v>
      </c>
      <c r="I304" s="568">
        <f t="shared" si="200"/>
        <v>0</v>
      </c>
      <c r="J304" s="569">
        <f t="shared" si="200"/>
        <v>0.37355212355212353</v>
      </c>
      <c r="K304" s="570">
        <f t="shared" si="200"/>
        <v>0</v>
      </c>
      <c r="L304" s="568">
        <f t="shared" si="200"/>
        <v>0</v>
      </c>
      <c r="M304" s="568">
        <f t="shared" si="200"/>
        <v>0</v>
      </c>
      <c r="N304" s="568">
        <f t="shared" si="200"/>
        <v>0</v>
      </c>
      <c r="O304" s="571">
        <f t="shared" si="200"/>
        <v>0</v>
      </c>
      <c r="P304" s="570">
        <f t="shared" si="200"/>
        <v>0.73700305810397548</v>
      </c>
      <c r="Q304" s="568">
        <f t="shared" si="200"/>
        <v>0</v>
      </c>
      <c r="R304" s="568">
        <f t="shared" si="200"/>
        <v>0</v>
      </c>
      <c r="S304" s="571">
        <f t="shared" si="200"/>
        <v>0</v>
      </c>
      <c r="T304" s="570">
        <f t="shared" si="200"/>
        <v>0</v>
      </c>
      <c r="U304" s="253"/>
      <c r="V304" s="245"/>
      <c r="W304" s="246">
        <v>225</v>
      </c>
      <c r="X304" s="246"/>
      <c r="Y304" s="246">
        <v>82</v>
      </c>
      <c r="Z304" s="246">
        <v>74</v>
      </c>
      <c r="AA304" s="246">
        <v>6</v>
      </c>
      <c r="AB304" s="242"/>
      <c r="AC304" s="247">
        <v>387</v>
      </c>
      <c r="AD304" s="245"/>
      <c r="AE304" s="246"/>
      <c r="AF304" s="246"/>
      <c r="AG304" s="246"/>
      <c r="AH304" s="246"/>
      <c r="AI304" s="248">
        <v>241</v>
      </c>
      <c r="AJ304" s="245"/>
      <c r="AK304" s="246"/>
      <c r="AL304" s="248"/>
      <c r="AM304" s="245"/>
      <c r="AN304" s="563"/>
    </row>
    <row r="305" spans="1:41" ht="12.75" customHeight="1">
      <c r="A305" s="239"/>
      <c r="B305" s="239" t="s">
        <v>93</v>
      </c>
      <c r="C305" s="572">
        <f>IF(V305&gt;0,(V305/V309),0)</f>
        <v>0</v>
      </c>
      <c r="D305" s="572">
        <f t="shared" ref="D305:T305" si="201">IF(W305&gt;0,(W305/W309),0)</f>
        <v>0.40096618357487923</v>
      </c>
      <c r="E305" s="572">
        <f t="shared" si="201"/>
        <v>0</v>
      </c>
      <c r="F305" s="572">
        <f t="shared" si="201"/>
        <v>0.25133689839572193</v>
      </c>
      <c r="G305" s="572">
        <f t="shared" si="201"/>
        <v>0.24873096446700507</v>
      </c>
      <c r="H305" s="572">
        <f t="shared" si="201"/>
        <v>0.58064516129032262</v>
      </c>
      <c r="I305" s="572">
        <f t="shared" si="201"/>
        <v>0</v>
      </c>
      <c r="J305" s="573">
        <f t="shared" si="201"/>
        <v>0.35038610038610041</v>
      </c>
      <c r="K305" s="574">
        <f t="shared" si="201"/>
        <v>0</v>
      </c>
      <c r="L305" s="572">
        <f t="shared" si="201"/>
        <v>0</v>
      </c>
      <c r="M305" s="572">
        <f t="shared" si="201"/>
        <v>0</v>
      </c>
      <c r="N305" s="572">
        <f t="shared" si="201"/>
        <v>0</v>
      </c>
      <c r="O305" s="575">
        <f t="shared" si="201"/>
        <v>0</v>
      </c>
      <c r="P305" s="574">
        <f t="shared" si="201"/>
        <v>0.18654434250764526</v>
      </c>
      <c r="Q305" s="572">
        <f t="shared" si="201"/>
        <v>0</v>
      </c>
      <c r="R305" s="572">
        <f t="shared" si="201"/>
        <v>0</v>
      </c>
      <c r="S305" s="575">
        <f t="shared" si="201"/>
        <v>0</v>
      </c>
      <c r="T305" s="574">
        <f t="shared" si="201"/>
        <v>0</v>
      </c>
      <c r="U305" s="253"/>
      <c r="V305" s="254"/>
      <c r="W305" s="255">
        <v>249</v>
      </c>
      <c r="X305" s="255"/>
      <c r="Y305" s="255">
        <v>47</v>
      </c>
      <c r="Z305" s="255">
        <v>49</v>
      </c>
      <c r="AA305" s="255">
        <v>18</v>
      </c>
      <c r="AB305" s="251"/>
      <c r="AC305" s="256">
        <v>363</v>
      </c>
      <c r="AD305" s="254"/>
      <c r="AE305" s="255"/>
      <c r="AF305" s="255"/>
      <c r="AG305" s="255"/>
      <c r="AH305" s="255"/>
      <c r="AI305" s="257">
        <v>61</v>
      </c>
      <c r="AJ305" s="254"/>
      <c r="AK305" s="255"/>
      <c r="AL305" s="257"/>
      <c r="AM305" s="254"/>
      <c r="AN305" s="563"/>
    </row>
    <row r="306" spans="1:41" ht="12.75" customHeight="1">
      <c r="A306" s="239"/>
      <c r="B306" s="239" t="s">
        <v>55</v>
      </c>
      <c r="C306" s="572">
        <f>IF(V306&gt;0,(V306/V309),0)</f>
        <v>0</v>
      </c>
      <c r="D306" s="572">
        <f t="shared" ref="D306:T306" si="202">IF(W306&gt;0,(W306/W309),0)</f>
        <v>0.22544283413848631</v>
      </c>
      <c r="E306" s="572">
        <f t="shared" si="202"/>
        <v>0</v>
      </c>
      <c r="F306" s="572">
        <f t="shared" si="202"/>
        <v>0.17647058823529413</v>
      </c>
      <c r="G306" s="572">
        <f t="shared" si="202"/>
        <v>0.27918781725888325</v>
      </c>
      <c r="H306" s="572">
        <f t="shared" si="202"/>
        <v>0.12903225806451613</v>
      </c>
      <c r="I306" s="572">
        <f t="shared" si="202"/>
        <v>0</v>
      </c>
      <c r="J306" s="573">
        <f t="shared" si="202"/>
        <v>0.22393822393822393</v>
      </c>
      <c r="K306" s="574">
        <f t="shared" si="202"/>
        <v>0</v>
      </c>
      <c r="L306" s="572">
        <f t="shared" si="202"/>
        <v>0</v>
      </c>
      <c r="M306" s="572">
        <f t="shared" si="202"/>
        <v>0</v>
      </c>
      <c r="N306" s="572">
        <f t="shared" si="202"/>
        <v>0</v>
      </c>
      <c r="O306" s="575">
        <f t="shared" si="202"/>
        <v>0</v>
      </c>
      <c r="P306" s="574">
        <f t="shared" si="202"/>
        <v>6.4220183486238536E-2</v>
      </c>
      <c r="Q306" s="572">
        <f t="shared" si="202"/>
        <v>0</v>
      </c>
      <c r="R306" s="572">
        <f t="shared" si="202"/>
        <v>0</v>
      </c>
      <c r="S306" s="575">
        <f t="shared" si="202"/>
        <v>0</v>
      </c>
      <c r="T306" s="574">
        <f t="shared" si="202"/>
        <v>0</v>
      </c>
      <c r="U306" s="253"/>
      <c r="V306" s="254"/>
      <c r="W306" s="255">
        <v>140</v>
      </c>
      <c r="X306" s="255"/>
      <c r="Y306" s="255">
        <v>33</v>
      </c>
      <c r="Z306" s="255">
        <v>55</v>
      </c>
      <c r="AA306" s="255">
        <v>4</v>
      </c>
      <c r="AB306" s="251"/>
      <c r="AC306" s="256">
        <v>232</v>
      </c>
      <c r="AD306" s="254"/>
      <c r="AE306" s="255"/>
      <c r="AF306" s="255"/>
      <c r="AG306" s="255"/>
      <c r="AH306" s="255"/>
      <c r="AI306" s="257">
        <v>21</v>
      </c>
      <c r="AJ306" s="254"/>
      <c r="AK306" s="255"/>
      <c r="AL306" s="257"/>
      <c r="AM306" s="254"/>
      <c r="AN306" s="563"/>
    </row>
    <row r="307" spans="1:41" ht="12.75" customHeight="1">
      <c r="A307" s="239"/>
      <c r="B307" s="239" t="s">
        <v>78</v>
      </c>
      <c r="C307" s="572">
        <f>IF(V307&gt;0,(V307/V309),0)</f>
        <v>0</v>
      </c>
      <c r="D307" s="572">
        <f t="shared" ref="D307:T307" si="203">IF(W307&gt;0,(W307/W309),0)</f>
        <v>3.2206119162640902E-3</v>
      </c>
      <c r="E307" s="572">
        <f t="shared" si="203"/>
        <v>0</v>
      </c>
      <c r="F307" s="572">
        <f t="shared" si="203"/>
        <v>1.06951871657754E-2</v>
      </c>
      <c r="G307" s="572">
        <f t="shared" si="203"/>
        <v>3.0456852791878174E-2</v>
      </c>
      <c r="H307" s="572">
        <f t="shared" si="203"/>
        <v>6.4516129032258063E-2</v>
      </c>
      <c r="I307" s="572">
        <f t="shared" si="203"/>
        <v>0</v>
      </c>
      <c r="J307" s="573">
        <f t="shared" si="203"/>
        <v>1.1583011583011582E-2</v>
      </c>
      <c r="K307" s="574">
        <f t="shared" si="203"/>
        <v>0</v>
      </c>
      <c r="L307" s="572">
        <f t="shared" si="203"/>
        <v>0</v>
      </c>
      <c r="M307" s="572">
        <f t="shared" si="203"/>
        <v>0</v>
      </c>
      <c r="N307" s="572">
        <f t="shared" si="203"/>
        <v>0</v>
      </c>
      <c r="O307" s="575">
        <f t="shared" si="203"/>
        <v>0</v>
      </c>
      <c r="P307" s="574">
        <f t="shared" si="203"/>
        <v>1.2232415902140673E-2</v>
      </c>
      <c r="Q307" s="572">
        <f t="shared" si="203"/>
        <v>0</v>
      </c>
      <c r="R307" s="572">
        <f t="shared" si="203"/>
        <v>0</v>
      </c>
      <c r="S307" s="575">
        <f t="shared" si="203"/>
        <v>0</v>
      </c>
      <c r="T307" s="574">
        <f t="shared" si="203"/>
        <v>0</v>
      </c>
      <c r="U307" s="253"/>
      <c r="V307" s="254"/>
      <c r="W307" s="255">
        <v>2</v>
      </c>
      <c r="X307" s="255"/>
      <c r="Y307" s="255">
        <v>2</v>
      </c>
      <c r="Z307" s="255">
        <v>6</v>
      </c>
      <c r="AA307" s="255">
        <v>2</v>
      </c>
      <c r="AB307" s="251"/>
      <c r="AC307" s="256">
        <v>12</v>
      </c>
      <c r="AD307" s="254"/>
      <c r="AE307" s="255"/>
      <c r="AF307" s="255"/>
      <c r="AG307" s="255"/>
      <c r="AH307" s="255"/>
      <c r="AI307" s="257">
        <v>4</v>
      </c>
      <c r="AJ307" s="254"/>
      <c r="AK307" s="255"/>
      <c r="AL307" s="257"/>
      <c r="AM307" s="254"/>
      <c r="AN307" s="563"/>
    </row>
    <row r="308" spans="1:41" ht="12.75" customHeight="1">
      <c r="A308" s="580"/>
      <c r="B308" s="580" t="s">
        <v>131</v>
      </c>
      <c r="C308" s="581">
        <f>IF(V308&gt;0,(V308/V309),0)</f>
        <v>0</v>
      </c>
      <c r="D308" s="582">
        <f t="shared" ref="D308:T308" si="204">IF(W308&gt;0,(W308/W309),0)</f>
        <v>8.0515297906602248E-3</v>
      </c>
      <c r="E308" s="582">
        <f t="shared" si="204"/>
        <v>0</v>
      </c>
      <c r="F308" s="582">
        <f t="shared" si="204"/>
        <v>0.12299465240641712</v>
      </c>
      <c r="G308" s="582">
        <f t="shared" si="204"/>
        <v>6.5989847715736044E-2</v>
      </c>
      <c r="H308" s="582">
        <f t="shared" si="204"/>
        <v>3.2258064516129031E-2</v>
      </c>
      <c r="I308" s="583">
        <f t="shared" si="204"/>
        <v>0</v>
      </c>
      <c r="J308" s="584">
        <f t="shared" si="204"/>
        <v>4.0540540540540543E-2</v>
      </c>
      <c r="K308" s="581">
        <f t="shared" si="204"/>
        <v>0</v>
      </c>
      <c r="L308" s="582">
        <f t="shared" si="204"/>
        <v>0</v>
      </c>
      <c r="M308" s="582">
        <f t="shared" si="204"/>
        <v>0</v>
      </c>
      <c r="N308" s="582">
        <f t="shared" si="204"/>
        <v>0</v>
      </c>
      <c r="O308" s="583">
        <f t="shared" si="204"/>
        <v>0</v>
      </c>
      <c r="P308" s="581">
        <f t="shared" si="204"/>
        <v>0</v>
      </c>
      <c r="Q308" s="581">
        <f t="shared" si="204"/>
        <v>0</v>
      </c>
      <c r="R308" s="582">
        <f t="shared" si="204"/>
        <v>0</v>
      </c>
      <c r="S308" s="583">
        <f t="shared" si="204"/>
        <v>0</v>
      </c>
      <c r="T308" s="581">
        <f t="shared" si="204"/>
        <v>0</v>
      </c>
      <c r="U308" s="253"/>
      <c r="V308" s="254"/>
      <c r="W308" s="255">
        <v>5</v>
      </c>
      <c r="X308" s="255"/>
      <c r="Y308" s="255">
        <v>23</v>
      </c>
      <c r="Z308" s="255">
        <v>13</v>
      </c>
      <c r="AA308" s="255">
        <v>1</v>
      </c>
      <c r="AB308" s="582"/>
      <c r="AC308" s="256">
        <v>42</v>
      </c>
      <c r="AD308" s="254"/>
      <c r="AE308" s="255"/>
      <c r="AF308" s="255"/>
      <c r="AG308" s="255"/>
      <c r="AH308" s="255"/>
      <c r="AI308" s="257"/>
      <c r="AJ308" s="254"/>
      <c r="AK308" s="255"/>
      <c r="AL308" s="257"/>
      <c r="AM308" s="254"/>
    </row>
    <row r="309" spans="1:41" s="527" customFormat="1" ht="12.75" customHeight="1">
      <c r="A309" s="436"/>
      <c r="B309" s="436" t="s">
        <v>59</v>
      </c>
      <c r="C309" s="456">
        <f>SUM(C304:C308)</f>
        <v>0</v>
      </c>
      <c r="D309" s="456">
        <f t="shared" ref="D309:T309" si="205">SUM(D304:D308)</f>
        <v>1</v>
      </c>
      <c r="E309" s="456">
        <f t="shared" si="205"/>
        <v>0</v>
      </c>
      <c r="F309" s="456">
        <f t="shared" si="205"/>
        <v>1</v>
      </c>
      <c r="G309" s="456">
        <f t="shared" si="205"/>
        <v>1</v>
      </c>
      <c r="H309" s="456">
        <f t="shared" si="205"/>
        <v>1</v>
      </c>
      <c r="I309" s="456">
        <f t="shared" si="205"/>
        <v>0</v>
      </c>
      <c r="J309" s="576">
        <f t="shared" si="205"/>
        <v>1</v>
      </c>
      <c r="K309" s="577">
        <f t="shared" si="205"/>
        <v>0</v>
      </c>
      <c r="L309" s="578">
        <f t="shared" si="205"/>
        <v>0</v>
      </c>
      <c r="M309" s="578">
        <f t="shared" si="205"/>
        <v>0</v>
      </c>
      <c r="N309" s="578">
        <f t="shared" si="205"/>
        <v>0</v>
      </c>
      <c r="O309" s="579">
        <f t="shared" si="205"/>
        <v>0</v>
      </c>
      <c r="P309" s="577">
        <f t="shared" si="205"/>
        <v>0.99999999999999989</v>
      </c>
      <c r="Q309" s="578">
        <f t="shared" si="205"/>
        <v>0</v>
      </c>
      <c r="R309" s="578">
        <f t="shared" si="205"/>
        <v>0</v>
      </c>
      <c r="S309" s="579">
        <f t="shared" si="205"/>
        <v>0</v>
      </c>
      <c r="T309" s="577">
        <f t="shared" si="205"/>
        <v>0</v>
      </c>
      <c r="U309" s="264"/>
      <c r="V309" s="265"/>
      <c r="W309" s="266">
        <v>621</v>
      </c>
      <c r="X309" s="266"/>
      <c r="Y309" s="266">
        <v>187</v>
      </c>
      <c r="Z309" s="266">
        <v>197</v>
      </c>
      <c r="AA309" s="266">
        <v>31</v>
      </c>
      <c r="AB309" s="262"/>
      <c r="AC309" s="267">
        <v>1036</v>
      </c>
      <c r="AD309" s="265"/>
      <c r="AE309" s="266"/>
      <c r="AF309" s="266"/>
      <c r="AG309" s="266"/>
      <c r="AH309" s="266"/>
      <c r="AI309" s="268">
        <v>327</v>
      </c>
      <c r="AJ309" s="265"/>
      <c r="AK309" s="266"/>
      <c r="AL309" s="268"/>
      <c r="AM309" s="265"/>
      <c r="AN309" s="270"/>
      <c r="AO309" s="270"/>
    </row>
    <row r="310" spans="1:41" ht="12.75" customHeight="1">
      <c r="A310" s="240" t="s">
        <v>156</v>
      </c>
      <c r="B310" s="240" t="s">
        <v>53</v>
      </c>
      <c r="C310" s="568">
        <f>IF(V310&gt;0,(V310/V315),0)</f>
        <v>0.43641791044776118</v>
      </c>
      <c r="D310" s="568">
        <f t="shared" ref="D310:T310" si="206">IF(W310&gt;0,(W310/W315),0)</f>
        <v>0.38622129436325681</v>
      </c>
      <c r="E310" s="568">
        <f t="shared" si="206"/>
        <v>0.34260051325919588</v>
      </c>
      <c r="F310" s="568">
        <f t="shared" si="206"/>
        <v>0.26480836236933797</v>
      </c>
      <c r="G310" s="568">
        <f t="shared" si="206"/>
        <v>0.32407407407407407</v>
      </c>
      <c r="H310" s="568">
        <f t="shared" si="206"/>
        <v>0</v>
      </c>
      <c r="I310" s="568">
        <f t="shared" si="206"/>
        <v>0</v>
      </c>
      <c r="J310" s="569">
        <f t="shared" si="206"/>
        <v>0.36182438498832825</v>
      </c>
      <c r="K310" s="570">
        <f t="shared" si="206"/>
        <v>0</v>
      </c>
      <c r="L310" s="568">
        <f t="shared" si="206"/>
        <v>0</v>
      </c>
      <c r="M310" s="568">
        <f t="shared" si="206"/>
        <v>0</v>
      </c>
      <c r="N310" s="568">
        <f t="shared" si="206"/>
        <v>0</v>
      </c>
      <c r="O310" s="571">
        <f t="shared" si="206"/>
        <v>0</v>
      </c>
      <c r="P310" s="570">
        <f t="shared" si="206"/>
        <v>0.24058102587380845</v>
      </c>
      <c r="Q310" s="568">
        <f t="shared" si="206"/>
        <v>0</v>
      </c>
      <c r="R310" s="568">
        <f t="shared" si="206"/>
        <v>0</v>
      </c>
      <c r="S310" s="571">
        <f t="shared" si="206"/>
        <v>0</v>
      </c>
      <c r="T310" s="570">
        <f t="shared" si="206"/>
        <v>0</v>
      </c>
      <c r="U310" s="253"/>
      <c r="V310" s="245">
        <v>731</v>
      </c>
      <c r="W310" s="246">
        <v>185</v>
      </c>
      <c r="X310" s="246">
        <v>801</v>
      </c>
      <c r="Y310" s="246">
        <v>228</v>
      </c>
      <c r="Z310" s="246">
        <v>70</v>
      </c>
      <c r="AA310" s="246"/>
      <c r="AB310" s="242"/>
      <c r="AC310" s="247">
        <v>2015</v>
      </c>
      <c r="AD310" s="245"/>
      <c r="AE310" s="246"/>
      <c r="AF310" s="246"/>
      <c r="AG310" s="246"/>
      <c r="AH310" s="246"/>
      <c r="AI310" s="248">
        <v>530</v>
      </c>
      <c r="AJ310" s="245"/>
      <c r="AK310" s="246"/>
      <c r="AL310" s="248"/>
      <c r="AM310" s="245"/>
      <c r="AN310" s="563"/>
    </row>
    <row r="311" spans="1:41" ht="12.75" customHeight="1">
      <c r="A311" s="239"/>
      <c r="B311" s="239" t="s">
        <v>93</v>
      </c>
      <c r="C311" s="572">
        <f>IF(V311&gt;0,(V311/V315),0)</f>
        <v>0.27104477611940297</v>
      </c>
      <c r="D311" s="572">
        <f t="shared" ref="D311:T311" si="207">IF(W311&gt;0,(W311/W315),0)</f>
        <v>0.23173277661795408</v>
      </c>
      <c r="E311" s="572">
        <f t="shared" si="207"/>
        <v>0.30795551753635586</v>
      </c>
      <c r="F311" s="572">
        <f t="shared" si="207"/>
        <v>0.39605110336817656</v>
      </c>
      <c r="G311" s="572">
        <f t="shared" si="207"/>
        <v>0.30555555555555558</v>
      </c>
      <c r="H311" s="572">
        <f t="shared" si="207"/>
        <v>0</v>
      </c>
      <c r="I311" s="572">
        <f t="shared" si="207"/>
        <v>0</v>
      </c>
      <c r="J311" s="573">
        <f t="shared" si="207"/>
        <v>0.30382474411923144</v>
      </c>
      <c r="K311" s="574">
        <f t="shared" si="207"/>
        <v>0</v>
      </c>
      <c r="L311" s="572">
        <f t="shared" si="207"/>
        <v>0</v>
      </c>
      <c r="M311" s="572">
        <f t="shared" si="207"/>
        <v>0</v>
      </c>
      <c r="N311" s="572">
        <f t="shared" si="207"/>
        <v>0</v>
      </c>
      <c r="O311" s="575">
        <f t="shared" si="207"/>
        <v>0</v>
      </c>
      <c r="P311" s="574">
        <f t="shared" si="207"/>
        <v>0.24421243758511121</v>
      </c>
      <c r="Q311" s="572">
        <f t="shared" si="207"/>
        <v>0</v>
      </c>
      <c r="R311" s="572">
        <f t="shared" si="207"/>
        <v>0</v>
      </c>
      <c r="S311" s="575">
        <f t="shared" si="207"/>
        <v>0</v>
      </c>
      <c r="T311" s="574">
        <f t="shared" si="207"/>
        <v>0</v>
      </c>
      <c r="U311" s="253"/>
      <c r="V311" s="254">
        <v>454</v>
      </c>
      <c r="W311" s="255">
        <v>111</v>
      </c>
      <c r="X311" s="255">
        <v>720</v>
      </c>
      <c r="Y311" s="255">
        <v>341</v>
      </c>
      <c r="Z311" s="255">
        <v>66</v>
      </c>
      <c r="AA311" s="255"/>
      <c r="AB311" s="251"/>
      <c r="AC311" s="256">
        <v>1692</v>
      </c>
      <c r="AD311" s="254"/>
      <c r="AE311" s="255"/>
      <c r="AF311" s="255"/>
      <c r="AG311" s="255"/>
      <c r="AH311" s="255"/>
      <c r="AI311" s="257">
        <v>538</v>
      </c>
      <c r="AJ311" s="254"/>
      <c r="AK311" s="255"/>
      <c r="AL311" s="257"/>
      <c r="AM311" s="254"/>
      <c r="AN311" s="563"/>
    </row>
    <row r="312" spans="1:41" ht="12.75" customHeight="1">
      <c r="A312" s="239"/>
      <c r="B312" s="239" t="s">
        <v>55</v>
      </c>
      <c r="C312" s="572">
        <f>IF(V312&gt;0,(V312/V315),0)</f>
        <v>0.17373134328358208</v>
      </c>
      <c r="D312" s="572">
        <f t="shared" ref="D312:T312" si="208">IF(W312&gt;0,(W312/W315),0)</f>
        <v>0.23382045929018788</v>
      </c>
      <c r="E312" s="572">
        <f t="shared" si="208"/>
        <v>0.26903336184773313</v>
      </c>
      <c r="F312" s="572">
        <f t="shared" si="208"/>
        <v>0.33101045296167247</v>
      </c>
      <c r="G312" s="572">
        <f t="shared" si="208"/>
        <v>0.37037037037037035</v>
      </c>
      <c r="H312" s="572">
        <f t="shared" si="208"/>
        <v>0</v>
      </c>
      <c r="I312" s="572">
        <f t="shared" si="208"/>
        <v>0</v>
      </c>
      <c r="J312" s="573">
        <f t="shared" si="208"/>
        <v>0.2508529358951338</v>
      </c>
      <c r="K312" s="574">
        <f t="shared" si="208"/>
        <v>0</v>
      </c>
      <c r="L312" s="572">
        <f t="shared" si="208"/>
        <v>0</v>
      </c>
      <c r="M312" s="572">
        <f t="shared" si="208"/>
        <v>0</v>
      </c>
      <c r="N312" s="572">
        <f t="shared" si="208"/>
        <v>0</v>
      </c>
      <c r="O312" s="575">
        <f t="shared" si="208"/>
        <v>0</v>
      </c>
      <c r="P312" s="574">
        <f t="shared" si="208"/>
        <v>0.32228778937812075</v>
      </c>
      <c r="Q312" s="572">
        <f t="shared" si="208"/>
        <v>0</v>
      </c>
      <c r="R312" s="572">
        <f t="shared" si="208"/>
        <v>0</v>
      </c>
      <c r="S312" s="575">
        <f t="shared" si="208"/>
        <v>0</v>
      </c>
      <c r="T312" s="574">
        <f t="shared" si="208"/>
        <v>0</v>
      </c>
      <c r="U312" s="253"/>
      <c r="V312" s="254">
        <v>291</v>
      </c>
      <c r="W312" s="255">
        <v>112</v>
      </c>
      <c r="X312" s="255">
        <v>629</v>
      </c>
      <c r="Y312" s="255">
        <v>285</v>
      </c>
      <c r="Z312" s="255">
        <v>80</v>
      </c>
      <c r="AA312" s="255"/>
      <c r="AB312" s="251"/>
      <c r="AC312" s="256">
        <v>1397</v>
      </c>
      <c r="AD312" s="254"/>
      <c r="AE312" s="255"/>
      <c r="AF312" s="255"/>
      <c r="AG312" s="255"/>
      <c r="AH312" s="255"/>
      <c r="AI312" s="257">
        <v>710</v>
      </c>
      <c r="AJ312" s="254"/>
      <c r="AK312" s="255"/>
      <c r="AL312" s="257"/>
      <c r="AM312" s="254"/>
      <c r="AN312" s="563"/>
    </row>
    <row r="313" spans="1:41" ht="12.75" customHeight="1">
      <c r="A313" s="239"/>
      <c r="B313" s="239" t="s">
        <v>78</v>
      </c>
      <c r="C313" s="572">
        <f>IF(V313&gt;0,(V313/V315),0)</f>
        <v>8.5373134328358205E-2</v>
      </c>
      <c r="D313" s="572">
        <f t="shared" ref="D313:T313" si="209">IF(W313&gt;0,(W313/W315),0)</f>
        <v>0.13987473903966596</v>
      </c>
      <c r="E313" s="572">
        <f t="shared" si="209"/>
        <v>3.0367835757057315E-2</v>
      </c>
      <c r="F313" s="572">
        <f t="shared" si="209"/>
        <v>8.130081300813009E-3</v>
      </c>
      <c r="G313" s="572">
        <f t="shared" si="209"/>
        <v>0</v>
      </c>
      <c r="H313" s="572">
        <f t="shared" si="209"/>
        <v>0</v>
      </c>
      <c r="I313" s="572">
        <f t="shared" si="209"/>
        <v>0</v>
      </c>
      <c r="J313" s="573">
        <f t="shared" si="209"/>
        <v>5.1714850062847907E-2</v>
      </c>
      <c r="K313" s="574">
        <f t="shared" si="209"/>
        <v>0</v>
      </c>
      <c r="L313" s="572">
        <f t="shared" si="209"/>
        <v>0</v>
      </c>
      <c r="M313" s="572">
        <f t="shared" si="209"/>
        <v>0</v>
      </c>
      <c r="N313" s="572">
        <f t="shared" si="209"/>
        <v>0</v>
      </c>
      <c r="O313" s="575">
        <f t="shared" si="209"/>
        <v>0</v>
      </c>
      <c r="P313" s="574">
        <f t="shared" si="209"/>
        <v>0.16068996822514753</v>
      </c>
      <c r="Q313" s="572">
        <f t="shared" si="209"/>
        <v>0</v>
      </c>
      <c r="R313" s="572">
        <f t="shared" si="209"/>
        <v>0</v>
      </c>
      <c r="S313" s="575">
        <f t="shared" si="209"/>
        <v>0</v>
      </c>
      <c r="T313" s="574">
        <f t="shared" si="209"/>
        <v>0</v>
      </c>
      <c r="U313" s="253"/>
      <c r="V313" s="254">
        <v>143</v>
      </c>
      <c r="W313" s="255">
        <v>67</v>
      </c>
      <c r="X313" s="255">
        <v>71</v>
      </c>
      <c r="Y313" s="255">
        <v>7</v>
      </c>
      <c r="Z313" s="255"/>
      <c r="AA313" s="255"/>
      <c r="AB313" s="251"/>
      <c r="AC313" s="256">
        <v>288</v>
      </c>
      <c r="AD313" s="254"/>
      <c r="AE313" s="255"/>
      <c r="AF313" s="255"/>
      <c r="AG313" s="255"/>
      <c r="AH313" s="255"/>
      <c r="AI313" s="257">
        <v>354</v>
      </c>
      <c r="AJ313" s="254"/>
      <c r="AK313" s="255"/>
      <c r="AL313" s="257"/>
      <c r="AM313" s="254"/>
      <c r="AN313" s="563"/>
    </row>
    <row r="314" spans="1:41" ht="12.75" customHeight="1">
      <c r="A314" s="580"/>
      <c r="B314" s="580" t="s">
        <v>131</v>
      </c>
      <c r="C314" s="581">
        <f>IF(V314&gt;0,(V314/V315),0)</f>
        <v>3.3432835820895519E-2</v>
      </c>
      <c r="D314" s="582">
        <f t="shared" ref="D314:T314" si="210">IF(W314&gt;0,(W314/W315),0)</f>
        <v>8.350730688935281E-3</v>
      </c>
      <c r="E314" s="582">
        <f t="shared" si="210"/>
        <v>5.004277159965783E-2</v>
      </c>
      <c r="F314" s="582">
        <f t="shared" si="210"/>
        <v>0</v>
      </c>
      <c r="G314" s="582">
        <f t="shared" si="210"/>
        <v>0</v>
      </c>
      <c r="H314" s="582">
        <f t="shared" si="210"/>
        <v>0</v>
      </c>
      <c r="I314" s="583">
        <f t="shared" si="210"/>
        <v>0</v>
      </c>
      <c r="J314" s="584">
        <f t="shared" si="210"/>
        <v>3.1783084934458611E-2</v>
      </c>
      <c r="K314" s="581">
        <f t="shared" si="210"/>
        <v>0</v>
      </c>
      <c r="L314" s="582">
        <f t="shared" si="210"/>
        <v>0</v>
      </c>
      <c r="M314" s="582">
        <f t="shared" si="210"/>
        <v>0</v>
      </c>
      <c r="N314" s="582">
        <f t="shared" si="210"/>
        <v>0</v>
      </c>
      <c r="O314" s="583">
        <f t="shared" si="210"/>
        <v>0</v>
      </c>
      <c r="P314" s="581">
        <f t="shared" si="210"/>
        <v>3.2228778937812078E-2</v>
      </c>
      <c r="Q314" s="581">
        <f t="shared" si="210"/>
        <v>0</v>
      </c>
      <c r="R314" s="582">
        <f t="shared" si="210"/>
        <v>0</v>
      </c>
      <c r="S314" s="583">
        <f t="shared" si="210"/>
        <v>0</v>
      </c>
      <c r="T314" s="581">
        <f t="shared" si="210"/>
        <v>0</v>
      </c>
      <c r="U314" s="253"/>
      <c r="V314" s="254">
        <v>56</v>
      </c>
      <c r="W314" s="255">
        <v>4</v>
      </c>
      <c r="X314" s="255">
        <v>117</v>
      </c>
      <c r="Y314" s="255"/>
      <c r="Z314" s="255"/>
      <c r="AA314" s="255"/>
      <c r="AB314" s="582"/>
      <c r="AC314" s="256">
        <v>177</v>
      </c>
      <c r="AD314" s="254"/>
      <c r="AE314" s="255"/>
      <c r="AF314" s="255"/>
      <c r="AG314" s="255"/>
      <c r="AH314" s="255"/>
      <c r="AI314" s="257">
        <v>71</v>
      </c>
      <c r="AJ314" s="254"/>
      <c r="AK314" s="255"/>
      <c r="AL314" s="257"/>
      <c r="AM314" s="254"/>
    </row>
    <row r="315" spans="1:41" s="527" customFormat="1" ht="12.75" customHeight="1">
      <c r="A315" s="436"/>
      <c r="B315" s="436" t="s">
        <v>59</v>
      </c>
      <c r="C315" s="456">
        <f>SUM(C310:C314)</f>
        <v>1</v>
      </c>
      <c r="D315" s="456">
        <f t="shared" ref="D315:T315" si="211">SUM(D310:D314)</f>
        <v>1</v>
      </c>
      <c r="E315" s="456">
        <f t="shared" si="211"/>
        <v>1.0000000000000002</v>
      </c>
      <c r="F315" s="456">
        <f t="shared" si="211"/>
        <v>1</v>
      </c>
      <c r="G315" s="456">
        <f t="shared" si="211"/>
        <v>1</v>
      </c>
      <c r="H315" s="456">
        <f t="shared" si="211"/>
        <v>0</v>
      </c>
      <c r="I315" s="456">
        <f t="shared" si="211"/>
        <v>0</v>
      </c>
      <c r="J315" s="576">
        <f t="shared" si="211"/>
        <v>1</v>
      </c>
      <c r="K315" s="577">
        <f t="shared" si="211"/>
        <v>0</v>
      </c>
      <c r="L315" s="578">
        <f t="shared" si="211"/>
        <v>0</v>
      </c>
      <c r="M315" s="578">
        <f t="shared" si="211"/>
        <v>0</v>
      </c>
      <c r="N315" s="578">
        <f t="shared" si="211"/>
        <v>0</v>
      </c>
      <c r="O315" s="579">
        <f t="shared" si="211"/>
        <v>0</v>
      </c>
      <c r="P315" s="577">
        <f t="shared" si="211"/>
        <v>0.99999999999999989</v>
      </c>
      <c r="Q315" s="578">
        <f t="shared" si="211"/>
        <v>0</v>
      </c>
      <c r="R315" s="578">
        <f t="shared" si="211"/>
        <v>0</v>
      </c>
      <c r="S315" s="579">
        <f t="shared" si="211"/>
        <v>0</v>
      </c>
      <c r="T315" s="577">
        <f t="shared" si="211"/>
        <v>0</v>
      </c>
      <c r="U315" s="264"/>
      <c r="V315" s="265">
        <v>1675</v>
      </c>
      <c r="W315" s="266">
        <v>479</v>
      </c>
      <c r="X315" s="266">
        <v>2338</v>
      </c>
      <c r="Y315" s="266">
        <v>861</v>
      </c>
      <c r="Z315" s="266">
        <v>216</v>
      </c>
      <c r="AA315" s="266"/>
      <c r="AB315" s="262"/>
      <c r="AC315" s="267">
        <v>5569</v>
      </c>
      <c r="AD315" s="265"/>
      <c r="AE315" s="266"/>
      <c r="AF315" s="266"/>
      <c r="AG315" s="266"/>
      <c r="AH315" s="266"/>
      <c r="AI315" s="268">
        <v>2203</v>
      </c>
      <c r="AJ315" s="265"/>
      <c r="AK315" s="266"/>
      <c r="AL315" s="268"/>
      <c r="AM315" s="265"/>
      <c r="AN315" s="270"/>
      <c r="AO315" s="270"/>
    </row>
    <row r="316" spans="1:41" ht="12.75" customHeight="1">
      <c r="A316" s="240" t="s">
        <v>159</v>
      </c>
      <c r="B316" s="240" t="s">
        <v>53</v>
      </c>
      <c r="C316" s="568">
        <f>IF(V316&gt;0,(V316/V321),0)</f>
        <v>0.37118695258230144</v>
      </c>
      <c r="D316" s="568">
        <f t="shared" ref="D316:T316" si="212">IF(W316&gt;0,(W316/W321),0)</f>
        <v>0</v>
      </c>
      <c r="E316" s="568">
        <f t="shared" si="212"/>
        <v>0.31241446725317695</v>
      </c>
      <c r="F316" s="568">
        <f t="shared" si="212"/>
        <v>0.26353790613718414</v>
      </c>
      <c r="G316" s="568">
        <f t="shared" si="212"/>
        <v>0.22439893143365983</v>
      </c>
      <c r="H316" s="568">
        <f t="shared" si="212"/>
        <v>0.24088748019017434</v>
      </c>
      <c r="I316" s="568">
        <f t="shared" si="212"/>
        <v>0</v>
      </c>
      <c r="J316" s="569">
        <f t="shared" si="212"/>
        <v>0.3073138734011151</v>
      </c>
      <c r="K316" s="570">
        <f t="shared" si="212"/>
        <v>0</v>
      </c>
      <c r="L316" s="568">
        <f t="shared" si="212"/>
        <v>0</v>
      </c>
      <c r="M316" s="568">
        <f t="shared" si="212"/>
        <v>0</v>
      </c>
      <c r="N316" s="568">
        <f t="shared" si="212"/>
        <v>0</v>
      </c>
      <c r="O316" s="571">
        <f t="shared" si="212"/>
        <v>0</v>
      </c>
      <c r="P316" s="570">
        <f t="shared" si="212"/>
        <v>0.2788808664259928</v>
      </c>
      <c r="Q316" s="568">
        <f t="shared" si="212"/>
        <v>0</v>
      </c>
      <c r="R316" s="568">
        <f t="shared" si="212"/>
        <v>0</v>
      </c>
      <c r="S316" s="571">
        <f t="shared" si="212"/>
        <v>0</v>
      </c>
      <c r="T316" s="570">
        <f t="shared" si="212"/>
        <v>0</v>
      </c>
      <c r="U316" s="253"/>
      <c r="V316" s="245">
        <v>1229</v>
      </c>
      <c r="W316" s="246"/>
      <c r="X316" s="246">
        <v>1598</v>
      </c>
      <c r="Y316" s="246">
        <v>365</v>
      </c>
      <c r="Z316" s="246">
        <v>252</v>
      </c>
      <c r="AA316" s="246">
        <v>304</v>
      </c>
      <c r="AB316" s="242"/>
      <c r="AC316" s="247">
        <v>3748</v>
      </c>
      <c r="AD316" s="245"/>
      <c r="AE316" s="246"/>
      <c r="AF316" s="246"/>
      <c r="AG316" s="246"/>
      <c r="AH316" s="246"/>
      <c r="AI316" s="248">
        <v>1854</v>
      </c>
      <c r="AJ316" s="245"/>
      <c r="AK316" s="246"/>
      <c r="AL316" s="248"/>
      <c r="AM316" s="245"/>
      <c r="AN316" s="563"/>
    </row>
    <row r="317" spans="1:41" ht="12.75" customHeight="1">
      <c r="A317" s="239"/>
      <c r="B317" s="239" t="s">
        <v>93</v>
      </c>
      <c r="C317" s="572">
        <f>IF(V317&gt;0,(V317/V321),0)</f>
        <v>0.3038356991845364</v>
      </c>
      <c r="D317" s="572">
        <f t="shared" ref="D317:T317" si="213">IF(W317&gt;0,(W317/W321),0)</f>
        <v>0</v>
      </c>
      <c r="E317" s="572">
        <f t="shared" si="213"/>
        <v>0.30263929618768326</v>
      </c>
      <c r="F317" s="572">
        <f t="shared" si="213"/>
        <v>0.33501805054151623</v>
      </c>
      <c r="G317" s="572">
        <f t="shared" si="213"/>
        <v>0.29741763134461263</v>
      </c>
      <c r="H317" s="572">
        <f t="shared" si="213"/>
        <v>0.24088748019017434</v>
      </c>
      <c r="I317" s="572">
        <f t="shared" si="213"/>
        <v>0</v>
      </c>
      <c r="J317" s="573">
        <f t="shared" si="213"/>
        <v>0.29977041653000985</v>
      </c>
      <c r="K317" s="574">
        <f t="shared" si="213"/>
        <v>0</v>
      </c>
      <c r="L317" s="572">
        <f t="shared" si="213"/>
        <v>0</v>
      </c>
      <c r="M317" s="572">
        <f t="shared" si="213"/>
        <v>0</v>
      </c>
      <c r="N317" s="572">
        <f t="shared" si="213"/>
        <v>0</v>
      </c>
      <c r="O317" s="575">
        <f t="shared" si="213"/>
        <v>0</v>
      </c>
      <c r="P317" s="574">
        <f t="shared" si="213"/>
        <v>0.22141997593261131</v>
      </c>
      <c r="Q317" s="572">
        <f t="shared" si="213"/>
        <v>0</v>
      </c>
      <c r="R317" s="572">
        <f t="shared" si="213"/>
        <v>0</v>
      </c>
      <c r="S317" s="575">
        <f t="shared" si="213"/>
        <v>0</v>
      </c>
      <c r="T317" s="574">
        <f t="shared" si="213"/>
        <v>0</v>
      </c>
      <c r="U317" s="253"/>
      <c r="V317" s="254">
        <v>1006</v>
      </c>
      <c r="W317" s="255"/>
      <c r="X317" s="255">
        <v>1548</v>
      </c>
      <c r="Y317" s="255">
        <v>464</v>
      </c>
      <c r="Z317" s="255">
        <v>334</v>
      </c>
      <c r="AA317" s="255">
        <v>304</v>
      </c>
      <c r="AB317" s="251"/>
      <c r="AC317" s="256">
        <v>3656</v>
      </c>
      <c r="AD317" s="254"/>
      <c r="AE317" s="255"/>
      <c r="AF317" s="255"/>
      <c r="AG317" s="255"/>
      <c r="AH317" s="255"/>
      <c r="AI317" s="257">
        <v>1472</v>
      </c>
      <c r="AJ317" s="254"/>
      <c r="AK317" s="255"/>
      <c r="AL317" s="257"/>
      <c r="AM317" s="254"/>
      <c r="AN317" s="563"/>
    </row>
    <row r="318" spans="1:41" ht="12.75" customHeight="1">
      <c r="A318" s="239"/>
      <c r="B318" s="239" t="s">
        <v>55</v>
      </c>
      <c r="C318" s="572">
        <f>IF(V318&gt;0,(V318/V321),0)</f>
        <v>0.24161884627000907</v>
      </c>
      <c r="D318" s="572">
        <f t="shared" ref="D318:T318" si="214">IF(W318&gt;0,(W318/W321),0)</f>
        <v>0</v>
      </c>
      <c r="E318" s="572">
        <f t="shared" si="214"/>
        <v>0.28074291300097753</v>
      </c>
      <c r="F318" s="572">
        <f t="shared" si="214"/>
        <v>0.27653429602888085</v>
      </c>
      <c r="G318" s="572">
        <f t="shared" si="214"/>
        <v>0.40071237756010686</v>
      </c>
      <c r="H318" s="572">
        <f t="shared" si="214"/>
        <v>0.37083993660855785</v>
      </c>
      <c r="I318" s="572">
        <f t="shared" si="214"/>
        <v>0</v>
      </c>
      <c r="J318" s="573">
        <f t="shared" si="214"/>
        <v>0.29001311905542804</v>
      </c>
      <c r="K318" s="574">
        <f t="shared" si="214"/>
        <v>0</v>
      </c>
      <c r="L318" s="572">
        <f t="shared" si="214"/>
        <v>0</v>
      </c>
      <c r="M318" s="572">
        <f t="shared" si="214"/>
        <v>0</v>
      </c>
      <c r="N318" s="572">
        <f t="shared" si="214"/>
        <v>0</v>
      </c>
      <c r="O318" s="575">
        <f t="shared" si="214"/>
        <v>0</v>
      </c>
      <c r="P318" s="574">
        <f t="shared" si="214"/>
        <v>0.28880866425992779</v>
      </c>
      <c r="Q318" s="572">
        <f t="shared" si="214"/>
        <v>0</v>
      </c>
      <c r="R318" s="572">
        <f t="shared" si="214"/>
        <v>0</v>
      </c>
      <c r="S318" s="575">
        <f t="shared" si="214"/>
        <v>0</v>
      </c>
      <c r="T318" s="574">
        <f t="shared" si="214"/>
        <v>0</v>
      </c>
      <c r="U318" s="253"/>
      <c r="V318" s="254">
        <v>800</v>
      </c>
      <c r="W318" s="255"/>
      <c r="X318" s="255">
        <v>1436</v>
      </c>
      <c r="Y318" s="255">
        <v>383</v>
      </c>
      <c r="Z318" s="255">
        <v>450</v>
      </c>
      <c r="AA318" s="255">
        <v>468</v>
      </c>
      <c r="AB318" s="251"/>
      <c r="AC318" s="256">
        <v>3537</v>
      </c>
      <c r="AD318" s="254"/>
      <c r="AE318" s="255"/>
      <c r="AF318" s="255"/>
      <c r="AG318" s="255"/>
      <c r="AH318" s="255"/>
      <c r="AI318" s="257">
        <v>1920</v>
      </c>
      <c r="AJ318" s="254"/>
      <c r="AK318" s="255"/>
      <c r="AL318" s="257"/>
      <c r="AM318" s="254"/>
      <c r="AN318" s="563"/>
    </row>
    <row r="319" spans="1:41" ht="12.75" customHeight="1">
      <c r="A319" s="239"/>
      <c r="B319" s="239" t="s">
        <v>78</v>
      </c>
      <c r="C319" s="572">
        <f>IF(V319&gt;0,(V319/V321),0)</f>
        <v>9.3627302929628516E-3</v>
      </c>
      <c r="D319" s="572">
        <f t="shared" ref="D319:T319" si="215">IF(W319&gt;0,(W319/W321),0)</f>
        <v>0</v>
      </c>
      <c r="E319" s="572">
        <f t="shared" si="215"/>
        <v>1.2707722385141741E-2</v>
      </c>
      <c r="F319" s="572">
        <f t="shared" si="215"/>
        <v>2.3826714801444042E-2</v>
      </c>
      <c r="G319" s="572">
        <f t="shared" si="215"/>
        <v>2.1371326803205699E-2</v>
      </c>
      <c r="H319" s="572">
        <f t="shared" si="215"/>
        <v>3.0110935023771792E-2</v>
      </c>
      <c r="I319" s="572">
        <f t="shared" si="215"/>
        <v>0</v>
      </c>
      <c r="J319" s="573">
        <f t="shared" si="215"/>
        <v>1.5660872417185962E-2</v>
      </c>
      <c r="K319" s="574">
        <f t="shared" si="215"/>
        <v>0</v>
      </c>
      <c r="L319" s="572">
        <f t="shared" si="215"/>
        <v>0</v>
      </c>
      <c r="M319" s="572">
        <f t="shared" si="215"/>
        <v>0</v>
      </c>
      <c r="N319" s="572">
        <f t="shared" si="215"/>
        <v>0</v>
      </c>
      <c r="O319" s="575">
        <f t="shared" si="215"/>
        <v>0</v>
      </c>
      <c r="P319" s="574">
        <f t="shared" si="215"/>
        <v>0.14244885679903729</v>
      </c>
      <c r="Q319" s="572">
        <f t="shared" si="215"/>
        <v>0</v>
      </c>
      <c r="R319" s="572">
        <f t="shared" si="215"/>
        <v>0</v>
      </c>
      <c r="S319" s="575">
        <f t="shared" si="215"/>
        <v>0</v>
      </c>
      <c r="T319" s="574">
        <f t="shared" si="215"/>
        <v>0</v>
      </c>
      <c r="U319" s="253"/>
      <c r="V319" s="254">
        <v>31</v>
      </c>
      <c r="W319" s="255"/>
      <c r="X319" s="255">
        <v>65</v>
      </c>
      <c r="Y319" s="255">
        <v>33</v>
      </c>
      <c r="Z319" s="255">
        <v>24</v>
      </c>
      <c r="AA319" s="255">
        <v>38</v>
      </c>
      <c r="AB319" s="251"/>
      <c r="AC319" s="256">
        <v>191</v>
      </c>
      <c r="AD319" s="254"/>
      <c r="AE319" s="255"/>
      <c r="AF319" s="255"/>
      <c r="AG319" s="255"/>
      <c r="AH319" s="255"/>
      <c r="AI319" s="257">
        <v>947</v>
      </c>
      <c r="AJ319" s="254"/>
      <c r="AK319" s="255"/>
      <c r="AL319" s="257"/>
      <c r="AM319" s="254"/>
      <c r="AN319" s="563"/>
    </row>
    <row r="320" spans="1:41" ht="12.75" customHeight="1">
      <c r="A320" s="580"/>
      <c r="B320" s="580" t="s">
        <v>131</v>
      </c>
      <c r="C320" s="581">
        <f>IF(V320&gt;0,(V320/V321),0)</f>
        <v>7.399577167019028E-2</v>
      </c>
      <c r="D320" s="582">
        <f t="shared" ref="D320:T320" si="216">IF(W320&gt;0,(W320/W321),0)</f>
        <v>0</v>
      </c>
      <c r="E320" s="582">
        <f t="shared" si="216"/>
        <v>9.1495601173020524E-2</v>
      </c>
      <c r="F320" s="582">
        <f t="shared" si="216"/>
        <v>0.10108303249097472</v>
      </c>
      <c r="G320" s="582">
        <f t="shared" si="216"/>
        <v>5.6099732858414957E-2</v>
      </c>
      <c r="H320" s="582">
        <f t="shared" si="216"/>
        <v>0.11727416798732171</v>
      </c>
      <c r="I320" s="583">
        <f t="shared" si="216"/>
        <v>0</v>
      </c>
      <c r="J320" s="584">
        <f t="shared" si="216"/>
        <v>8.7241718596261064E-2</v>
      </c>
      <c r="K320" s="581">
        <f t="shared" si="216"/>
        <v>0</v>
      </c>
      <c r="L320" s="582">
        <f t="shared" si="216"/>
        <v>0</v>
      </c>
      <c r="M320" s="582">
        <f t="shared" si="216"/>
        <v>0</v>
      </c>
      <c r="N320" s="582">
        <f t="shared" si="216"/>
        <v>0</v>
      </c>
      <c r="O320" s="583">
        <f t="shared" si="216"/>
        <v>0</v>
      </c>
      <c r="P320" s="581">
        <f t="shared" si="216"/>
        <v>6.8441636582430812E-2</v>
      </c>
      <c r="Q320" s="581">
        <f t="shared" si="216"/>
        <v>0</v>
      </c>
      <c r="R320" s="582">
        <f t="shared" si="216"/>
        <v>0</v>
      </c>
      <c r="S320" s="583">
        <f t="shared" si="216"/>
        <v>0</v>
      </c>
      <c r="T320" s="581">
        <f t="shared" si="216"/>
        <v>0</v>
      </c>
      <c r="U320" s="253"/>
      <c r="V320" s="254">
        <v>245</v>
      </c>
      <c r="W320" s="255"/>
      <c r="X320" s="255">
        <v>468</v>
      </c>
      <c r="Y320" s="255">
        <v>140</v>
      </c>
      <c r="Z320" s="255">
        <v>63</v>
      </c>
      <c r="AA320" s="255">
        <v>148</v>
      </c>
      <c r="AB320" s="582"/>
      <c r="AC320" s="256">
        <v>1064</v>
      </c>
      <c r="AD320" s="254"/>
      <c r="AE320" s="255"/>
      <c r="AF320" s="255"/>
      <c r="AG320" s="255"/>
      <c r="AH320" s="255"/>
      <c r="AI320" s="257">
        <v>455</v>
      </c>
      <c r="AJ320" s="254"/>
      <c r="AK320" s="255"/>
      <c r="AL320" s="257"/>
      <c r="AM320" s="254"/>
    </row>
    <row r="321" spans="1:41" s="527" customFormat="1" ht="12.75" customHeight="1">
      <c r="A321" s="436"/>
      <c r="B321" s="436" t="s">
        <v>59</v>
      </c>
      <c r="C321" s="456">
        <f>SUM(C316:C320)</f>
        <v>1</v>
      </c>
      <c r="D321" s="456">
        <f t="shared" ref="D321:T321" si="217">SUM(D316:D320)</f>
        <v>0</v>
      </c>
      <c r="E321" s="456">
        <f t="shared" si="217"/>
        <v>1</v>
      </c>
      <c r="F321" s="456">
        <f t="shared" si="217"/>
        <v>1</v>
      </c>
      <c r="G321" s="456">
        <f t="shared" si="217"/>
        <v>1</v>
      </c>
      <c r="H321" s="456">
        <f t="shared" si="217"/>
        <v>1</v>
      </c>
      <c r="I321" s="456">
        <f t="shared" si="217"/>
        <v>0</v>
      </c>
      <c r="J321" s="576">
        <f t="shared" si="217"/>
        <v>1</v>
      </c>
      <c r="K321" s="577">
        <f t="shared" si="217"/>
        <v>0</v>
      </c>
      <c r="L321" s="578">
        <f t="shared" si="217"/>
        <v>0</v>
      </c>
      <c r="M321" s="578">
        <f t="shared" si="217"/>
        <v>0</v>
      </c>
      <c r="N321" s="578">
        <f t="shared" si="217"/>
        <v>0</v>
      </c>
      <c r="O321" s="579">
        <f t="shared" si="217"/>
        <v>0</v>
      </c>
      <c r="P321" s="577">
        <f t="shared" si="217"/>
        <v>1</v>
      </c>
      <c r="Q321" s="578">
        <f t="shared" si="217"/>
        <v>0</v>
      </c>
      <c r="R321" s="578">
        <f t="shared" si="217"/>
        <v>0</v>
      </c>
      <c r="S321" s="579">
        <f t="shared" si="217"/>
        <v>0</v>
      </c>
      <c r="T321" s="577">
        <f t="shared" si="217"/>
        <v>0</v>
      </c>
      <c r="U321" s="264"/>
      <c r="V321" s="265">
        <v>3311</v>
      </c>
      <c r="W321" s="266"/>
      <c r="X321" s="266">
        <v>5115</v>
      </c>
      <c r="Y321" s="266">
        <v>1385</v>
      </c>
      <c r="Z321" s="266">
        <v>1123</v>
      </c>
      <c r="AA321" s="266">
        <v>1262</v>
      </c>
      <c r="AB321" s="262"/>
      <c r="AC321" s="267">
        <v>12196</v>
      </c>
      <c r="AD321" s="265"/>
      <c r="AE321" s="266"/>
      <c r="AF321" s="266"/>
      <c r="AG321" s="266"/>
      <c r="AH321" s="266"/>
      <c r="AI321" s="268">
        <v>6648</v>
      </c>
      <c r="AJ321" s="265"/>
      <c r="AK321" s="266"/>
      <c r="AL321" s="268"/>
      <c r="AM321" s="265"/>
      <c r="AN321" s="270"/>
      <c r="AO321" s="270"/>
    </row>
    <row r="322" spans="1:41" ht="12.75" customHeight="1">
      <c r="A322" s="240" t="s">
        <v>162</v>
      </c>
      <c r="B322" s="240" t="s">
        <v>53</v>
      </c>
      <c r="C322" s="568">
        <f>IF(V322&gt;0,(V322/V327),0)</f>
        <v>0.29223907225691348</v>
      </c>
      <c r="D322" s="568">
        <f t="shared" ref="D322:T322" si="218">IF(W322&gt;0,(W322/W327),0)</f>
        <v>0.31840000000000002</v>
      </c>
      <c r="E322" s="568">
        <f t="shared" si="218"/>
        <v>0.27773178807947019</v>
      </c>
      <c r="F322" s="568">
        <f t="shared" si="218"/>
        <v>0.29702970297029702</v>
      </c>
      <c r="G322" s="568">
        <f t="shared" si="218"/>
        <v>0.22553699284009546</v>
      </c>
      <c r="H322" s="568">
        <f t="shared" si="218"/>
        <v>8.1032947462154947E-2</v>
      </c>
      <c r="I322" s="568">
        <f t="shared" si="218"/>
        <v>0</v>
      </c>
      <c r="J322" s="569">
        <f t="shared" si="218"/>
        <v>0.26661073825503356</v>
      </c>
      <c r="K322" s="570">
        <f t="shared" si="218"/>
        <v>0</v>
      </c>
      <c r="L322" s="568">
        <f t="shared" si="218"/>
        <v>0</v>
      </c>
      <c r="M322" s="568">
        <f t="shared" si="218"/>
        <v>0</v>
      </c>
      <c r="N322" s="568">
        <f t="shared" si="218"/>
        <v>0</v>
      </c>
      <c r="O322" s="571">
        <f t="shared" si="218"/>
        <v>0</v>
      </c>
      <c r="P322" s="570">
        <f t="shared" si="218"/>
        <v>0.24450846236946344</v>
      </c>
      <c r="Q322" s="568">
        <f t="shared" si="218"/>
        <v>0</v>
      </c>
      <c r="R322" s="568">
        <f t="shared" si="218"/>
        <v>0</v>
      </c>
      <c r="S322" s="571">
        <f t="shared" si="218"/>
        <v>0</v>
      </c>
      <c r="T322" s="570">
        <f t="shared" si="218"/>
        <v>0</v>
      </c>
      <c r="U322" s="253"/>
      <c r="V322" s="245">
        <v>1638</v>
      </c>
      <c r="W322" s="246">
        <v>199</v>
      </c>
      <c r="X322" s="246">
        <v>671</v>
      </c>
      <c r="Y322" s="246">
        <v>390</v>
      </c>
      <c r="Z322" s="246">
        <v>189</v>
      </c>
      <c r="AA322" s="246">
        <v>91</v>
      </c>
      <c r="AB322" s="242"/>
      <c r="AC322" s="247">
        <v>3178</v>
      </c>
      <c r="AD322" s="245"/>
      <c r="AE322" s="246"/>
      <c r="AF322" s="246"/>
      <c r="AG322" s="246"/>
      <c r="AH322" s="246"/>
      <c r="AI322" s="248">
        <v>679</v>
      </c>
      <c r="AJ322" s="245"/>
      <c r="AK322" s="246"/>
      <c r="AL322" s="248"/>
      <c r="AM322" s="245"/>
      <c r="AN322" s="563"/>
    </row>
    <row r="323" spans="1:41" ht="12.75" customHeight="1">
      <c r="A323" s="239"/>
      <c r="B323" s="239" t="s">
        <v>93</v>
      </c>
      <c r="C323" s="572">
        <f>IF(V323&gt;0,(V323/V327),0)</f>
        <v>0.24049955396966993</v>
      </c>
      <c r="D323" s="572">
        <f t="shared" ref="D323:T323" si="219">IF(W323&gt;0,(W323/W327),0)</f>
        <v>0.2944</v>
      </c>
      <c r="E323" s="572">
        <f t="shared" si="219"/>
        <v>0.29097682119205298</v>
      </c>
      <c r="F323" s="572">
        <f t="shared" si="219"/>
        <v>0.27113480578827115</v>
      </c>
      <c r="G323" s="572">
        <f t="shared" si="219"/>
        <v>0.31264916467780429</v>
      </c>
      <c r="H323" s="572">
        <f t="shared" si="219"/>
        <v>0.30632235084594833</v>
      </c>
      <c r="I323" s="572">
        <f t="shared" si="219"/>
        <v>0</v>
      </c>
      <c r="J323" s="573">
        <f t="shared" si="219"/>
        <v>0.2682046979865772</v>
      </c>
      <c r="K323" s="574">
        <f t="shared" si="219"/>
        <v>0</v>
      </c>
      <c r="L323" s="572">
        <f t="shared" si="219"/>
        <v>0</v>
      </c>
      <c r="M323" s="572">
        <f t="shared" si="219"/>
        <v>0</v>
      </c>
      <c r="N323" s="572">
        <f t="shared" si="219"/>
        <v>0</v>
      </c>
      <c r="O323" s="575">
        <f t="shared" si="219"/>
        <v>0</v>
      </c>
      <c r="P323" s="574">
        <f t="shared" si="219"/>
        <v>0.23910694994598489</v>
      </c>
      <c r="Q323" s="572">
        <f t="shared" si="219"/>
        <v>0</v>
      </c>
      <c r="R323" s="572">
        <f t="shared" si="219"/>
        <v>0</v>
      </c>
      <c r="S323" s="575">
        <f t="shared" si="219"/>
        <v>0</v>
      </c>
      <c r="T323" s="574">
        <f t="shared" si="219"/>
        <v>0</v>
      </c>
      <c r="U323" s="253"/>
      <c r="V323" s="254">
        <v>1348</v>
      </c>
      <c r="W323" s="255">
        <v>184</v>
      </c>
      <c r="X323" s="255">
        <v>703</v>
      </c>
      <c r="Y323" s="255">
        <v>356</v>
      </c>
      <c r="Z323" s="255">
        <v>262</v>
      </c>
      <c r="AA323" s="255">
        <v>344</v>
      </c>
      <c r="AB323" s="251"/>
      <c r="AC323" s="256">
        <v>3197</v>
      </c>
      <c r="AD323" s="254"/>
      <c r="AE323" s="255"/>
      <c r="AF323" s="255"/>
      <c r="AG323" s="255"/>
      <c r="AH323" s="255"/>
      <c r="AI323" s="257">
        <v>664</v>
      </c>
      <c r="AJ323" s="254"/>
      <c r="AK323" s="255"/>
      <c r="AL323" s="257"/>
      <c r="AM323" s="254"/>
      <c r="AN323" s="563"/>
    </row>
    <row r="324" spans="1:41" ht="12.75" customHeight="1">
      <c r="A324" s="239"/>
      <c r="B324" s="239" t="s">
        <v>55</v>
      </c>
      <c r="C324" s="572">
        <f>IF(V324&gt;0,(V324/V327),0)</f>
        <v>0.28652988403211416</v>
      </c>
      <c r="D324" s="572">
        <f t="shared" ref="D324:T324" si="220">IF(W324&gt;0,(W324/W327),0)</f>
        <v>0.29120000000000001</v>
      </c>
      <c r="E324" s="572">
        <f t="shared" si="220"/>
        <v>0.3133278145695364</v>
      </c>
      <c r="F324" s="572">
        <f t="shared" si="220"/>
        <v>0.3000761614623001</v>
      </c>
      <c r="G324" s="572">
        <f t="shared" si="220"/>
        <v>0.28162291169451076</v>
      </c>
      <c r="H324" s="572">
        <f t="shared" si="220"/>
        <v>0.2965271593944791</v>
      </c>
      <c r="I324" s="572">
        <f t="shared" si="220"/>
        <v>0</v>
      </c>
      <c r="J324" s="573">
        <f t="shared" si="220"/>
        <v>0.2942953020134228</v>
      </c>
      <c r="K324" s="574">
        <f t="shared" si="220"/>
        <v>0</v>
      </c>
      <c r="L324" s="572">
        <f t="shared" si="220"/>
        <v>0</v>
      </c>
      <c r="M324" s="572">
        <f t="shared" si="220"/>
        <v>0</v>
      </c>
      <c r="N324" s="572">
        <f t="shared" si="220"/>
        <v>0</v>
      </c>
      <c r="O324" s="575">
        <f t="shared" si="220"/>
        <v>0</v>
      </c>
      <c r="P324" s="574">
        <f t="shared" si="220"/>
        <v>0.29924378826071302</v>
      </c>
      <c r="Q324" s="572">
        <f t="shared" si="220"/>
        <v>0</v>
      </c>
      <c r="R324" s="572">
        <f t="shared" si="220"/>
        <v>0</v>
      </c>
      <c r="S324" s="575">
        <f t="shared" si="220"/>
        <v>0</v>
      </c>
      <c r="T324" s="574">
        <f t="shared" si="220"/>
        <v>0</v>
      </c>
      <c r="U324" s="253"/>
      <c r="V324" s="254">
        <v>1606</v>
      </c>
      <c r="W324" s="255">
        <v>182</v>
      </c>
      <c r="X324" s="255">
        <v>757</v>
      </c>
      <c r="Y324" s="255">
        <v>394</v>
      </c>
      <c r="Z324" s="255">
        <v>236</v>
      </c>
      <c r="AA324" s="255">
        <v>333</v>
      </c>
      <c r="AB324" s="251"/>
      <c r="AC324" s="256">
        <v>3508</v>
      </c>
      <c r="AD324" s="254"/>
      <c r="AE324" s="255"/>
      <c r="AF324" s="255"/>
      <c r="AG324" s="255"/>
      <c r="AH324" s="255"/>
      <c r="AI324" s="257">
        <v>831</v>
      </c>
      <c r="AJ324" s="254"/>
      <c r="AK324" s="255"/>
      <c r="AL324" s="257"/>
      <c r="AM324" s="254"/>
      <c r="AN324" s="563"/>
    </row>
    <row r="325" spans="1:41" ht="12.75" customHeight="1">
      <c r="A325" s="239"/>
      <c r="B325" s="239" t="s">
        <v>78</v>
      </c>
      <c r="C325" s="572">
        <f>IF(V325&gt;0,(V325/V327),0)</f>
        <v>8.0285459411239962E-2</v>
      </c>
      <c r="D325" s="572">
        <f t="shared" ref="D325:T325" si="221">IF(W325&gt;0,(W325/W327),0)</f>
        <v>9.6000000000000002E-2</v>
      </c>
      <c r="E325" s="572">
        <f t="shared" si="221"/>
        <v>0.11713576158940397</v>
      </c>
      <c r="F325" s="572">
        <f t="shared" si="221"/>
        <v>0.13175932977913177</v>
      </c>
      <c r="G325" s="572">
        <f t="shared" si="221"/>
        <v>6.3245823389021474E-2</v>
      </c>
      <c r="H325" s="572">
        <f t="shared" si="221"/>
        <v>0.24755120213713269</v>
      </c>
      <c r="I325" s="572">
        <f t="shared" si="221"/>
        <v>0</v>
      </c>
      <c r="J325" s="573">
        <f t="shared" si="221"/>
        <v>0.10880872483221476</v>
      </c>
      <c r="K325" s="574">
        <f t="shared" si="221"/>
        <v>0</v>
      </c>
      <c r="L325" s="572">
        <f t="shared" si="221"/>
        <v>0</v>
      </c>
      <c r="M325" s="572">
        <f t="shared" si="221"/>
        <v>0</v>
      </c>
      <c r="N325" s="572">
        <f t="shared" si="221"/>
        <v>0</v>
      </c>
      <c r="O325" s="575">
        <f t="shared" si="221"/>
        <v>0</v>
      </c>
      <c r="P325" s="574">
        <f t="shared" si="221"/>
        <v>0.20597767374864961</v>
      </c>
      <c r="Q325" s="572">
        <f t="shared" si="221"/>
        <v>0</v>
      </c>
      <c r="R325" s="572">
        <f t="shared" si="221"/>
        <v>0</v>
      </c>
      <c r="S325" s="575">
        <f t="shared" si="221"/>
        <v>0</v>
      </c>
      <c r="T325" s="574">
        <f t="shared" si="221"/>
        <v>0</v>
      </c>
      <c r="U325" s="253"/>
      <c r="V325" s="254">
        <v>450</v>
      </c>
      <c r="W325" s="255">
        <v>60</v>
      </c>
      <c r="X325" s="255">
        <v>283</v>
      </c>
      <c r="Y325" s="255">
        <v>173</v>
      </c>
      <c r="Z325" s="255">
        <v>53</v>
      </c>
      <c r="AA325" s="255">
        <v>278</v>
      </c>
      <c r="AB325" s="251"/>
      <c r="AC325" s="256">
        <v>1297</v>
      </c>
      <c r="AD325" s="254"/>
      <c r="AE325" s="255"/>
      <c r="AF325" s="255"/>
      <c r="AG325" s="255"/>
      <c r="AH325" s="255"/>
      <c r="AI325" s="257">
        <v>572</v>
      </c>
      <c r="AJ325" s="254"/>
      <c r="AK325" s="255"/>
      <c r="AL325" s="257"/>
      <c r="AM325" s="254"/>
      <c r="AN325" s="563"/>
    </row>
    <row r="326" spans="1:41" ht="12.75" customHeight="1">
      <c r="A326" s="580"/>
      <c r="B326" s="580" t="s">
        <v>131</v>
      </c>
      <c r="C326" s="581">
        <f>IF(V326&gt;0,(V326/V327),0)</f>
        <v>0.10044603033006244</v>
      </c>
      <c r="D326" s="582">
        <f t="shared" ref="D326:T326" si="222">IF(W326&gt;0,(W326/W327),0)</f>
        <v>0</v>
      </c>
      <c r="E326" s="582">
        <f t="shared" si="222"/>
        <v>8.2781456953642384E-4</v>
      </c>
      <c r="F326" s="582">
        <f t="shared" si="222"/>
        <v>0</v>
      </c>
      <c r="G326" s="582">
        <f t="shared" si="222"/>
        <v>0.11694510739856802</v>
      </c>
      <c r="H326" s="582">
        <f t="shared" si="222"/>
        <v>6.8566340160284955E-2</v>
      </c>
      <c r="I326" s="583">
        <f t="shared" si="222"/>
        <v>0</v>
      </c>
      <c r="J326" s="584">
        <f t="shared" si="222"/>
        <v>6.2080536912751678E-2</v>
      </c>
      <c r="K326" s="581">
        <f t="shared" si="222"/>
        <v>0</v>
      </c>
      <c r="L326" s="582">
        <f t="shared" si="222"/>
        <v>0</v>
      </c>
      <c r="M326" s="582">
        <f t="shared" si="222"/>
        <v>0</v>
      </c>
      <c r="N326" s="582">
        <f t="shared" si="222"/>
        <v>0</v>
      </c>
      <c r="O326" s="583">
        <f t="shared" si="222"/>
        <v>0</v>
      </c>
      <c r="P326" s="581">
        <f t="shared" si="222"/>
        <v>1.1163125675189053E-2</v>
      </c>
      <c r="Q326" s="581">
        <f t="shared" si="222"/>
        <v>0</v>
      </c>
      <c r="R326" s="582">
        <f t="shared" si="222"/>
        <v>0</v>
      </c>
      <c r="S326" s="583">
        <f t="shared" si="222"/>
        <v>0</v>
      </c>
      <c r="T326" s="581">
        <f t="shared" si="222"/>
        <v>0</v>
      </c>
      <c r="U326" s="253"/>
      <c r="V326" s="254">
        <v>563</v>
      </c>
      <c r="W326" s="255"/>
      <c r="X326" s="255">
        <v>2</v>
      </c>
      <c r="Y326" s="255"/>
      <c r="Z326" s="255">
        <v>98</v>
      </c>
      <c r="AA326" s="255">
        <v>77</v>
      </c>
      <c r="AB326" s="582"/>
      <c r="AC326" s="256">
        <v>740</v>
      </c>
      <c r="AD326" s="254"/>
      <c r="AE326" s="255"/>
      <c r="AF326" s="255"/>
      <c r="AG326" s="255"/>
      <c r="AH326" s="255"/>
      <c r="AI326" s="257">
        <v>31</v>
      </c>
      <c r="AJ326" s="254"/>
      <c r="AK326" s="255"/>
      <c r="AL326" s="257"/>
      <c r="AM326" s="254"/>
    </row>
    <row r="327" spans="1:41" s="527" customFormat="1" ht="12.75" customHeight="1">
      <c r="A327" s="436"/>
      <c r="B327" s="436" t="s">
        <v>59</v>
      </c>
      <c r="C327" s="456">
        <f>SUM(C322:C326)</f>
        <v>1</v>
      </c>
      <c r="D327" s="456">
        <f t="shared" ref="D327:T327" si="223">SUM(D322:D326)</f>
        <v>1</v>
      </c>
      <c r="E327" s="456">
        <f t="shared" si="223"/>
        <v>1</v>
      </c>
      <c r="F327" s="456">
        <f t="shared" si="223"/>
        <v>1</v>
      </c>
      <c r="G327" s="456">
        <f t="shared" si="223"/>
        <v>1</v>
      </c>
      <c r="H327" s="456">
        <f t="shared" si="223"/>
        <v>1</v>
      </c>
      <c r="I327" s="456">
        <f t="shared" si="223"/>
        <v>0</v>
      </c>
      <c r="J327" s="576">
        <f t="shared" si="223"/>
        <v>1</v>
      </c>
      <c r="K327" s="577">
        <f t="shared" si="223"/>
        <v>0</v>
      </c>
      <c r="L327" s="578">
        <f t="shared" si="223"/>
        <v>0</v>
      </c>
      <c r="M327" s="578">
        <f t="shared" si="223"/>
        <v>0</v>
      </c>
      <c r="N327" s="578">
        <f t="shared" si="223"/>
        <v>0</v>
      </c>
      <c r="O327" s="579">
        <f t="shared" si="223"/>
        <v>0</v>
      </c>
      <c r="P327" s="577">
        <f t="shared" si="223"/>
        <v>1</v>
      </c>
      <c r="Q327" s="578">
        <f t="shared" si="223"/>
        <v>0</v>
      </c>
      <c r="R327" s="578">
        <f t="shared" si="223"/>
        <v>0</v>
      </c>
      <c r="S327" s="579">
        <f t="shared" si="223"/>
        <v>0</v>
      </c>
      <c r="T327" s="577">
        <f t="shared" si="223"/>
        <v>0</v>
      </c>
      <c r="U327" s="264"/>
      <c r="V327" s="265">
        <v>5605</v>
      </c>
      <c r="W327" s="266">
        <v>625</v>
      </c>
      <c r="X327" s="266">
        <v>2416</v>
      </c>
      <c r="Y327" s="266">
        <v>1313</v>
      </c>
      <c r="Z327" s="266">
        <v>838</v>
      </c>
      <c r="AA327" s="266">
        <v>1123</v>
      </c>
      <c r="AB327" s="262"/>
      <c r="AC327" s="267">
        <v>11920</v>
      </c>
      <c r="AD327" s="265"/>
      <c r="AE327" s="266"/>
      <c r="AF327" s="266"/>
      <c r="AG327" s="266"/>
      <c r="AH327" s="266"/>
      <c r="AI327" s="268">
        <v>2777</v>
      </c>
      <c r="AJ327" s="265"/>
      <c r="AK327" s="266"/>
      <c r="AL327" s="268"/>
      <c r="AM327" s="265"/>
      <c r="AN327" s="270"/>
      <c r="AO327" s="270"/>
    </row>
    <row r="328" spans="1:41" ht="12.75" customHeight="1">
      <c r="A328" s="240" t="s">
        <v>163</v>
      </c>
      <c r="B328" s="240" t="s">
        <v>53</v>
      </c>
      <c r="C328" s="568">
        <f>IF(V328&gt;0,(V328/V333),0)</f>
        <v>0</v>
      </c>
      <c r="D328" s="568">
        <f t="shared" ref="D328:T328" si="224">IF(W328&gt;0,(W328/W333),0)</f>
        <v>0.45359281437125748</v>
      </c>
      <c r="E328" s="568">
        <f t="shared" si="224"/>
        <v>0.35380116959064328</v>
      </c>
      <c r="F328" s="568">
        <f t="shared" si="224"/>
        <v>0</v>
      </c>
      <c r="G328" s="568">
        <f t="shared" si="224"/>
        <v>0</v>
      </c>
      <c r="H328" s="568">
        <f t="shared" si="224"/>
        <v>0</v>
      </c>
      <c r="I328" s="568">
        <f t="shared" si="224"/>
        <v>0</v>
      </c>
      <c r="J328" s="569">
        <f t="shared" si="224"/>
        <v>0.41980198019801979</v>
      </c>
      <c r="K328" s="570">
        <f t="shared" si="224"/>
        <v>0</v>
      </c>
      <c r="L328" s="568">
        <f t="shared" si="224"/>
        <v>0</v>
      </c>
      <c r="M328" s="568">
        <f t="shared" si="224"/>
        <v>0</v>
      </c>
      <c r="N328" s="568">
        <f t="shared" si="224"/>
        <v>0</v>
      </c>
      <c r="O328" s="571">
        <f t="shared" si="224"/>
        <v>0</v>
      </c>
      <c r="P328" s="570">
        <f t="shared" si="224"/>
        <v>0.41614906832298137</v>
      </c>
      <c r="Q328" s="568">
        <f t="shared" si="224"/>
        <v>0</v>
      </c>
      <c r="R328" s="568">
        <f t="shared" si="224"/>
        <v>0</v>
      </c>
      <c r="S328" s="571">
        <f t="shared" si="224"/>
        <v>0</v>
      </c>
      <c r="T328" s="570">
        <f t="shared" si="224"/>
        <v>0</v>
      </c>
      <c r="U328" s="253"/>
      <c r="V328" s="245"/>
      <c r="W328" s="246">
        <v>303</v>
      </c>
      <c r="X328" s="246">
        <v>121</v>
      </c>
      <c r="Y328" s="246"/>
      <c r="Z328" s="246"/>
      <c r="AA328" s="246"/>
      <c r="AB328" s="242"/>
      <c r="AC328" s="247">
        <v>424</v>
      </c>
      <c r="AD328" s="245"/>
      <c r="AE328" s="246"/>
      <c r="AF328" s="246"/>
      <c r="AG328" s="246"/>
      <c r="AH328" s="246"/>
      <c r="AI328" s="248">
        <v>134</v>
      </c>
      <c r="AJ328" s="245"/>
      <c r="AK328" s="246"/>
      <c r="AL328" s="248"/>
      <c r="AM328" s="245"/>
      <c r="AN328" s="563"/>
    </row>
    <row r="329" spans="1:41" ht="12.75" customHeight="1">
      <c r="A329" s="239"/>
      <c r="B329" s="239" t="s">
        <v>93</v>
      </c>
      <c r="C329" s="572">
        <f>IF(V329&gt;0,(V329/V333),0)</f>
        <v>0</v>
      </c>
      <c r="D329" s="572">
        <f t="shared" ref="D329:T329" si="225">IF(W329&gt;0,(W329/W333),0)</f>
        <v>0.23652694610778444</v>
      </c>
      <c r="E329" s="572">
        <f t="shared" si="225"/>
        <v>0.28362573099415206</v>
      </c>
      <c r="F329" s="572">
        <f t="shared" si="225"/>
        <v>0</v>
      </c>
      <c r="G329" s="572">
        <f t="shared" si="225"/>
        <v>0</v>
      </c>
      <c r="H329" s="572">
        <f t="shared" si="225"/>
        <v>0</v>
      </c>
      <c r="I329" s="572">
        <f t="shared" si="225"/>
        <v>0</v>
      </c>
      <c r="J329" s="573">
        <f t="shared" si="225"/>
        <v>0.25247524752475248</v>
      </c>
      <c r="K329" s="574">
        <f t="shared" si="225"/>
        <v>0</v>
      </c>
      <c r="L329" s="572">
        <f t="shared" si="225"/>
        <v>0</v>
      </c>
      <c r="M329" s="572">
        <f t="shared" si="225"/>
        <v>0</v>
      </c>
      <c r="N329" s="572">
        <f t="shared" si="225"/>
        <v>0</v>
      </c>
      <c r="O329" s="575">
        <f t="shared" si="225"/>
        <v>0</v>
      </c>
      <c r="P329" s="574">
        <f t="shared" si="225"/>
        <v>0.16149068322981366</v>
      </c>
      <c r="Q329" s="572">
        <f t="shared" si="225"/>
        <v>0</v>
      </c>
      <c r="R329" s="572">
        <f t="shared" si="225"/>
        <v>0</v>
      </c>
      <c r="S329" s="575">
        <f t="shared" si="225"/>
        <v>0</v>
      </c>
      <c r="T329" s="574">
        <f t="shared" si="225"/>
        <v>0</v>
      </c>
      <c r="U329" s="253"/>
      <c r="V329" s="254"/>
      <c r="W329" s="255">
        <v>158</v>
      </c>
      <c r="X329" s="255">
        <v>97</v>
      </c>
      <c r="Y329" s="255"/>
      <c r="Z329" s="255"/>
      <c r="AA329" s="255"/>
      <c r="AB329" s="251"/>
      <c r="AC329" s="256">
        <v>255</v>
      </c>
      <c r="AD329" s="254"/>
      <c r="AE329" s="255"/>
      <c r="AF329" s="255"/>
      <c r="AG329" s="255"/>
      <c r="AH329" s="255"/>
      <c r="AI329" s="257">
        <v>52</v>
      </c>
      <c r="AJ329" s="254"/>
      <c r="AK329" s="255"/>
      <c r="AL329" s="257"/>
      <c r="AM329" s="254"/>
      <c r="AN329" s="563"/>
    </row>
    <row r="330" spans="1:41" ht="12.75" customHeight="1">
      <c r="A330" s="239"/>
      <c r="B330" s="239" t="s">
        <v>55</v>
      </c>
      <c r="C330" s="572">
        <f>IF(V330&gt;0,(V330/V333),0)</f>
        <v>0</v>
      </c>
      <c r="D330" s="572">
        <f t="shared" ref="D330:T330" si="226">IF(W330&gt;0,(W330/W333),0)</f>
        <v>0.17964071856287425</v>
      </c>
      <c r="E330" s="572">
        <f t="shared" si="226"/>
        <v>0.35087719298245612</v>
      </c>
      <c r="F330" s="572">
        <f t="shared" si="226"/>
        <v>0</v>
      </c>
      <c r="G330" s="572">
        <f t="shared" si="226"/>
        <v>0</v>
      </c>
      <c r="H330" s="572">
        <f t="shared" si="226"/>
        <v>0</v>
      </c>
      <c r="I330" s="572">
        <f t="shared" si="226"/>
        <v>0</v>
      </c>
      <c r="J330" s="573">
        <f t="shared" si="226"/>
        <v>0.23762376237623761</v>
      </c>
      <c r="K330" s="574">
        <f t="shared" si="226"/>
        <v>0</v>
      </c>
      <c r="L330" s="572">
        <f t="shared" si="226"/>
        <v>0</v>
      </c>
      <c r="M330" s="572">
        <f t="shared" si="226"/>
        <v>0</v>
      </c>
      <c r="N330" s="572">
        <f t="shared" si="226"/>
        <v>0</v>
      </c>
      <c r="O330" s="575">
        <f t="shared" si="226"/>
        <v>0</v>
      </c>
      <c r="P330" s="574">
        <f t="shared" si="226"/>
        <v>0.42236024844720499</v>
      </c>
      <c r="Q330" s="572">
        <f t="shared" si="226"/>
        <v>0</v>
      </c>
      <c r="R330" s="572">
        <f t="shared" si="226"/>
        <v>0</v>
      </c>
      <c r="S330" s="575">
        <f t="shared" si="226"/>
        <v>0</v>
      </c>
      <c r="T330" s="574">
        <f t="shared" si="226"/>
        <v>0</v>
      </c>
      <c r="U330" s="253"/>
      <c r="V330" s="254"/>
      <c r="W330" s="255">
        <v>120</v>
      </c>
      <c r="X330" s="255">
        <v>120</v>
      </c>
      <c r="Y330" s="255"/>
      <c r="Z330" s="255"/>
      <c r="AA330" s="255"/>
      <c r="AB330" s="251"/>
      <c r="AC330" s="256">
        <v>240</v>
      </c>
      <c r="AD330" s="254"/>
      <c r="AE330" s="255"/>
      <c r="AF330" s="255"/>
      <c r="AG330" s="255"/>
      <c r="AH330" s="255"/>
      <c r="AI330" s="257">
        <v>136</v>
      </c>
      <c r="AJ330" s="254"/>
      <c r="AK330" s="255"/>
      <c r="AL330" s="257"/>
      <c r="AM330" s="254"/>
      <c r="AN330" s="563"/>
    </row>
    <row r="331" spans="1:41" ht="12.75" customHeight="1">
      <c r="A331" s="239"/>
      <c r="B331" s="239" t="s">
        <v>78</v>
      </c>
      <c r="C331" s="572">
        <f>IF(V331&gt;0,(V331/V333),0)</f>
        <v>0</v>
      </c>
      <c r="D331" s="572">
        <f t="shared" ref="D331:T331" si="227">IF(W331&gt;0,(W331/W333),0)</f>
        <v>1.0479041916167664E-2</v>
      </c>
      <c r="E331" s="572">
        <f t="shared" si="227"/>
        <v>1.1695906432748537E-2</v>
      </c>
      <c r="F331" s="572">
        <f t="shared" si="227"/>
        <v>0</v>
      </c>
      <c r="G331" s="572">
        <f t="shared" si="227"/>
        <v>0</v>
      </c>
      <c r="H331" s="572">
        <f t="shared" si="227"/>
        <v>0</v>
      </c>
      <c r="I331" s="572">
        <f t="shared" si="227"/>
        <v>0</v>
      </c>
      <c r="J331" s="573">
        <f t="shared" si="227"/>
        <v>1.089108910891089E-2</v>
      </c>
      <c r="K331" s="574">
        <f t="shared" si="227"/>
        <v>0</v>
      </c>
      <c r="L331" s="572">
        <f t="shared" si="227"/>
        <v>0</v>
      </c>
      <c r="M331" s="572">
        <f t="shared" si="227"/>
        <v>0</v>
      </c>
      <c r="N331" s="572">
        <f t="shared" si="227"/>
        <v>0</v>
      </c>
      <c r="O331" s="575">
        <f t="shared" si="227"/>
        <v>0</v>
      </c>
      <c r="P331" s="574">
        <f t="shared" si="227"/>
        <v>0</v>
      </c>
      <c r="Q331" s="572">
        <f t="shared" si="227"/>
        <v>0</v>
      </c>
      <c r="R331" s="572">
        <f t="shared" si="227"/>
        <v>0</v>
      </c>
      <c r="S331" s="575">
        <f t="shared" si="227"/>
        <v>0</v>
      </c>
      <c r="T331" s="574">
        <f t="shared" si="227"/>
        <v>0</v>
      </c>
      <c r="U331" s="253"/>
      <c r="V331" s="254"/>
      <c r="W331" s="255">
        <v>7</v>
      </c>
      <c r="X331" s="255">
        <v>4</v>
      </c>
      <c r="Y331" s="255"/>
      <c r="Z331" s="255"/>
      <c r="AA331" s="255"/>
      <c r="AB331" s="251"/>
      <c r="AC331" s="256">
        <v>11</v>
      </c>
      <c r="AD331" s="254"/>
      <c r="AE331" s="255"/>
      <c r="AF331" s="255"/>
      <c r="AG331" s="255"/>
      <c r="AH331" s="255"/>
      <c r="AI331" s="257"/>
      <c r="AJ331" s="254"/>
      <c r="AK331" s="255"/>
      <c r="AL331" s="257"/>
      <c r="AM331" s="254"/>
      <c r="AN331" s="563"/>
    </row>
    <row r="332" spans="1:41" ht="12.75" customHeight="1">
      <c r="A332" s="580"/>
      <c r="B332" s="580" t="s">
        <v>131</v>
      </c>
      <c r="C332" s="581">
        <f>IF(V332&gt;0,(V332/V333),0)</f>
        <v>0</v>
      </c>
      <c r="D332" s="582">
        <f t="shared" ref="D332:T332" si="228">IF(W332&gt;0,(W332/W333),0)</f>
        <v>0.11976047904191617</v>
      </c>
      <c r="E332" s="582">
        <f t="shared" si="228"/>
        <v>0</v>
      </c>
      <c r="F332" s="582">
        <f t="shared" si="228"/>
        <v>0</v>
      </c>
      <c r="G332" s="582">
        <f t="shared" si="228"/>
        <v>0</v>
      </c>
      <c r="H332" s="582">
        <f t="shared" si="228"/>
        <v>0</v>
      </c>
      <c r="I332" s="583">
        <f t="shared" si="228"/>
        <v>0</v>
      </c>
      <c r="J332" s="584">
        <f t="shared" si="228"/>
        <v>7.9207920792079209E-2</v>
      </c>
      <c r="K332" s="581">
        <f t="shared" si="228"/>
        <v>0</v>
      </c>
      <c r="L332" s="582">
        <f t="shared" si="228"/>
        <v>0</v>
      </c>
      <c r="M332" s="582">
        <f t="shared" si="228"/>
        <v>0</v>
      </c>
      <c r="N332" s="582">
        <f t="shared" si="228"/>
        <v>0</v>
      </c>
      <c r="O332" s="583">
        <f t="shared" si="228"/>
        <v>0</v>
      </c>
      <c r="P332" s="581">
        <f t="shared" si="228"/>
        <v>0</v>
      </c>
      <c r="Q332" s="581">
        <f t="shared" si="228"/>
        <v>0</v>
      </c>
      <c r="R332" s="582">
        <f t="shared" si="228"/>
        <v>0</v>
      </c>
      <c r="S332" s="583">
        <f t="shared" si="228"/>
        <v>0</v>
      </c>
      <c r="T332" s="581">
        <f t="shared" si="228"/>
        <v>0</v>
      </c>
      <c r="U332" s="253"/>
      <c r="V332" s="254"/>
      <c r="W332" s="255">
        <v>80</v>
      </c>
      <c r="X332" s="255"/>
      <c r="Y332" s="255"/>
      <c r="Z332" s="255"/>
      <c r="AA332" s="255"/>
      <c r="AB332" s="582"/>
      <c r="AC332" s="256">
        <v>80</v>
      </c>
      <c r="AD332" s="254"/>
      <c r="AE332" s="255"/>
      <c r="AF332" s="255"/>
      <c r="AG332" s="255"/>
      <c r="AH332" s="255"/>
      <c r="AI332" s="257"/>
      <c r="AJ332" s="254"/>
      <c r="AK332" s="255"/>
      <c r="AL332" s="257"/>
      <c r="AM332" s="254"/>
    </row>
    <row r="333" spans="1:41" s="527" customFormat="1" ht="12.75" customHeight="1">
      <c r="A333" s="436"/>
      <c r="B333" s="436" t="s">
        <v>59</v>
      </c>
      <c r="C333" s="456">
        <f>SUM(C328:C332)</f>
        <v>0</v>
      </c>
      <c r="D333" s="456">
        <f t="shared" ref="D333:T333" si="229">SUM(D328:D332)</f>
        <v>1</v>
      </c>
      <c r="E333" s="456">
        <f t="shared" si="229"/>
        <v>1</v>
      </c>
      <c r="F333" s="456">
        <f t="shared" si="229"/>
        <v>0</v>
      </c>
      <c r="G333" s="456">
        <f t="shared" si="229"/>
        <v>0</v>
      </c>
      <c r="H333" s="456">
        <f t="shared" si="229"/>
        <v>0</v>
      </c>
      <c r="I333" s="456">
        <f t="shared" si="229"/>
        <v>0</v>
      </c>
      <c r="J333" s="576">
        <f t="shared" si="229"/>
        <v>0.99999999999999989</v>
      </c>
      <c r="K333" s="577">
        <f t="shared" si="229"/>
        <v>0</v>
      </c>
      <c r="L333" s="578">
        <f t="shared" si="229"/>
        <v>0</v>
      </c>
      <c r="M333" s="578">
        <f t="shared" si="229"/>
        <v>0</v>
      </c>
      <c r="N333" s="578">
        <f t="shared" si="229"/>
        <v>0</v>
      </c>
      <c r="O333" s="579">
        <f t="shared" si="229"/>
        <v>0</v>
      </c>
      <c r="P333" s="577">
        <f t="shared" si="229"/>
        <v>1</v>
      </c>
      <c r="Q333" s="578">
        <f t="shared" si="229"/>
        <v>0</v>
      </c>
      <c r="R333" s="578">
        <f t="shared" si="229"/>
        <v>0</v>
      </c>
      <c r="S333" s="579">
        <f t="shared" si="229"/>
        <v>0</v>
      </c>
      <c r="T333" s="577">
        <f t="shared" si="229"/>
        <v>0</v>
      </c>
      <c r="U333" s="264"/>
      <c r="V333" s="265"/>
      <c r="W333" s="266">
        <v>668</v>
      </c>
      <c r="X333" s="266">
        <v>342</v>
      </c>
      <c r="Y333" s="266"/>
      <c r="Z333" s="266"/>
      <c r="AA333" s="266"/>
      <c r="AB333" s="262"/>
      <c r="AC333" s="267">
        <v>1010</v>
      </c>
      <c r="AD333" s="265"/>
      <c r="AE333" s="266"/>
      <c r="AF333" s="266"/>
      <c r="AG333" s="266"/>
      <c r="AH333" s="266"/>
      <c r="AI333" s="268">
        <v>322</v>
      </c>
      <c r="AJ333" s="265"/>
      <c r="AK333" s="266"/>
      <c r="AL333" s="268"/>
      <c r="AM333" s="265"/>
      <c r="AN333" s="270"/>
      <c r="AO333" s="270"/>
    </row>
    <row r="334" spans="1:41" ht="12.75" customHeight="1">
      <c r="A334" s="240" t="s">
        <v>166</v>
      </c>
      <c r="B334" s="240" t="s">
        <v>53</v>
      </c>
      <c r="C334" s="568">
        <f>IF(V334&gt;0,(V334/V339),0)</f>
        <v>0</v>
      </c>
      <c r="D334" s="568">
        <f t="shared" ref="D334:T334" si="230">IF(W334&gt;0,(W334/W339),0)</f>
        <v>0.24549918166939444</v>
      </c>
      <c r="E334" s="568">
        <f t="shared" si="230"/>
        <v>0</v>
      </c>
      <c r="F334" s="568">
        <f t="shared" si="230"/>
        <v>0</v>
      </c>
      <c r="G334" s="568">
        <f t="shared" si="230"/>
        <v>0.56000000000000005</v>
      </c>
      <c r="H334" s="568">
        <f t="shared" si="230"/>
        <v>0.42176870748299322</v>
      </c>
      <c r="I334" s="568">
        <f t="shared" si="230"/>
        <v>0</v>
      </c>
      <c r="J334" s="569">
        <f t="shared" si="230"/>
        <v>0.29702970297029702</v>
      </c>
      <c r="K334" s="570">
        <f t="shared" si="230"/>
        <v>0</v>
      </c>
      <c r="L334" s="568">
        <f t="shared" si="230"/>
        <v>0</v>
      </c>
      <c r="M334" s="568">
        <f t="shared" si="230"/>
        <v>0</v>
      </c>
      <c r="N334" s="568">
        <f t="shared" si="230"/>
        <v>0</v>
      </c>
      <c r="O334" s="571">
        <f t="shared" si="230"/>
        <v>0</v>
      </c>
      <c r="P334" s="570">
        <f t="shared" si="230"/>
        <v>0.40243902439024393</v>
      </c>
      <c r="Q334" s="568">
        <f t="shared" si="230"/>
        <v>0</v>
      </c>
      <c r="R334" s="568">
        <f t="shared" si="230"/>
        <v>0</v>
      </c>
      <c r="S334" s="571">
        <f t="shared" si="230"/>
        <v>0</v>
      </c>
      <c r="T334" s="570">
        <f t="shared" si="230"/>
        <v>0</v>
      </c>
      <c r="U334" s="253"/>
      <c r="V334" s="785"/>
      <c r="W334" s="786">
        <v>150</v>
      </c>
      <c r="X334" s="786"/>
      <c r="Y334" s="786"/>
      <c r="Z334" s="786">
        <v>28</v>
      </c>
      <c r="AA334" s="786">
        <v>62</v>
      </c>
      <c r="AB334" s="242"/>
      <c r="AC334" s="247">
        <v>240</v>
      </c>
      <c r="AD334" s="245"/>
      <c r="AE334" s="246"/>
      <c r="AF334" s="246"/>
      <c r="AG334" s="246"/>
      <c r="AH334" s="246"/>
      <c r="AI334" s="248">
        <v>33</v>
      </c>
      <c r="AJ334" s="245"/>
      <c r="AK334" s="246"/>
      <c r="AL334" s="248"/>
      <c r="AM334" s="245"/>
      <c r="AN334" s="563"/>
    </row>
    <row r="335" spans="1:41" ht="12.75" customHeight="1">
      <c r="A335" s="239"/>
      <c r="B335" s="239" t="s">
        <v>93</v>
      </c>
      <c r="C335" s="572">
        <f>IF(V335&gt;0,(V335/V339),0)</f>
        <v>0</v>
      </c>
      <c r="D335" s="572">
        <f t="shared" ref="D335:T335" si="231">IF(W335&gt;0,(W335/W339),0)</f>
        <v>0.32569558101472995</v>
      </c>
      <c r="E335" s="572">
        <f t="shared" si="231"/>
        <v>0</v>
      </c>
      <c r="F335" s="572">
        <f t="shared" si="231"/>
        <v>0</v>
      </c>
      <c r="G335" s="572">
        <f t="shared" si="231"/>
        <v>0.18</v>
      </c>
      <c r="H335" s="572">
        <f t="shared" si="231"/>
        <v>0.17006802721088435</v>
      </c>
      <c r="I335" s="572">
        <f t="shared" si="231"/>
        <v>0</v>
      </c>
      <c r="J335" s="573">
        <f t="shared" si="231"/>
        <v>0.28836633663366334</v>
      </c>
      <c r="K335" s="574">
        <f t="shared" si="231"/>
        <v>0</v>
      </c>
      <c r="L335" s="572">
        <f t="shared" si="231"/>
        <v>0</v>
      </c>
      <c r="M335" s="572">
        <f t="shared" si="231"/>
        <v>0</v>
      </c>
      <c r="N335" s="572">
        <f t="shared" si="231"/>
        <v>0</v>
      </c>
      <c r="O335" s="575">
        <f t="shared" si="231"/>
        <v>0</v>
      </c>
      <c r="P335" s="574">
        <f t="shared" si="231"/>
        <v>0.1951219512195122</v>
      </c>
      <c r="Q335" s="572">
        <f t="shared" si="231"/>
        <v>0</v>
      </c>
      <c r="R335" s="572">
        <f t="shared" si="231"/>
        <v>0</v>
      </c>
      <c r="S335" s="575">
        <f t="shared" si="231"/>
        <v>0</v>
      </c>
      <c r="T335" s="574">
        <f t="shared" si="231"/>
        <v>0</v>
      </c>
      <c r="U335" s="253"/>
      <c r="V335" s="785"/>
      <c r="W335" s="786">
        <v>199</v>
      </c>
      <c r="X335" s="786"/>
      <c r="Y335" s="786"/>
      <c r="Z335" s="786">
        <v>9</v>
      </c>
      <c r="AA335" s="786">
        <v>25</v>
      </c>
      <c r="AB335" s="251"/>
      <c r="AC335" s="256">
        <v>233</v>
      </c>
      <c r="AD335" s="254"/>
      <c r="AE335" s="255"/>
      <c r="AF335" s="255"/>
      <c r="AG335" s="255"/>
      <c r="AH335" s="255"/>
      <c r="AI335" s="257">
        <v>16</v>
      </c>
      <c r="AJ335" s="254"/>
      <c r="AK335" s="255"/>
      <c r="AL335" s="257"/>
      <c r="AM335" s="254"/>
      <c r="AN335" s="563"/>
    </row>
    <row r="336" spans="1:41" ht="12.75" customHeight="1">
      <c r="A336" s="239"/>
      <c r="B336" s="239" t="s">
        <v>55</v>
      </c>
      <c r="C336" s="572">
        <f>IF(V336&gt;0,(V336/V339),0)</f>
        <v>0</v>
      </c>
      <c r="D336" s="572">
        <f t="shared" ref="D336:T336" si="232">IF(W336&gt;0,(W336/W339),0)</f>
        <v>0.19639934533551553</v>
      </c>
      <c r="E336" s="572">
        <f t="shared" si="232"/>
        <v>0</v>
      </c>
      <c r="F336" s="572">
        <f t="shared" si="232"/>
        <v>0</v>
      </c>
      <c r="G336" s="572">
        <f t="shared" si="232"/>
        <v>0.26</v>
      </c>
      <c r="H336" s="572">
        <f t="shared" si="232"/>
        <v>0.38775510204081631</v>
      </c>
      <c r="I336" s="572">
        <f t="shared" si="232"/>
        <v>0</v>
      </c>
      <c r="J336" s="573">
        <f t="shared" si="232"/>
        <v>0.23514851485148514</v>
      </c>
      <c r="K336" s="574">
        <f t="shared" si="232"/>
        <v>0</v>
      </c>
      <c r="L336" s="572">
        <f t="shared" si="232"/>
        <v>0</v>
      </c>
      <c r="M336" s="572">
        <f t="shared" si="232"/>
        <v>0</v>
      </c>
      <c r="N336" s="572">
        <f t="shared" si="232"/>
        <v>0</v>
      </c>
      <c r="O336" s="575">
        <f t="shared" si="232"/>
        <v>0</v>
      </c>
      <c r="P336" s="574">
        <f t="shared" si="232"/>
        <v>0.40243902439024393</v>
      </c>
      <c r="Q336" s="572">
        <f t="shared" si="232"/>
        <v>0</v>
      </c>
      <c r="R336" s="572">
        <f t="shared" si="232"/>
        <v>0</v>
      </c>
      <c r="S336" s="575">
        <f t="shared" si="232"/>
        <v>0</v>
      </c>
      <c r="T336" s="574">
        <f t="shared" si="232"/>
        <v>0</v>
      </c>
      <c r="U336" s="253"/>
      <c r="V336" s="785"/>
      <c r="W336" s="786">
        <v>120</v>
      </c>
      <c r="X336" s="786"/>
      <c r="Y336" s="786"/>
      <c r="Z336" s="786">
        <v>13</v>
      </c>
      <c r="AA336" s="786">
        <v>57</v>
      </c>
      <c r="AB336" s="251"/>
      <c r="AC336" s="256">
        <v>190</v>
      </c>
      <c r="AD336" s="254"/>
      <c r="AE336" s="255"/>
      <c r="AF336" s="255"/>
      <c r="AG336" s="255"/>
      <c r="AH336" s="255"/>
      <c r="AI336" s="257">
        <v>33</v>
      </c>
      <c r="AJ336" s="254"/>
      <c r="AK336" s="255"/>
      <c r="AL336" s="257"/>
      <c r="AM336" s="254"/>
      <c r="AN336" s="563"/>
    </row>
    <row r="337" spans="1:41" ht="12.75" customHeight="1">
      <c r="A337" s="239"/>
      <c r="B337" s="239" t="s">
        <v>78</v>
      </c>
      <c r="C337" s="572">
        <f>IF(V337&gt;0,(V337/V339),0)</f>
        <v>0</v>
      </c>
      <c r="D337" s="572">
        <f t="shared" ref="D337:T337" si="233">IF(W337&gt;0,(W337/W339),0)</f>
        <v>0</v>
      </c>
      <c r="E337" s="572">
        <f t="shared" si="233"/>
        <v>0</v>
      </c>
      <c r="F337" s="572">
        <f t="shared" si="233"/>
        <v>0</v>
      </c>
      <c r="G337" s="572">
        <f t="shared" si="233"/>
        <v>0</v>
      </c>
      <c r="H337" s="572">
        <f t="shared" si="233"/>
        <v>2.0408163265306121E-2</v>
      </c>
      <c r="I337" s="572">
        <f t="shared" si="233"/>
        <v>0</v>
      </c>
      <c r="J337" s="573">
        <f t="shared" si="233"/>
        <v>3.7128712871287127E-3</v>
      </c>
      <c r="K337" s="574">
        <f t="shared" si="233"/>
        <v>0</v>
      </c>
      <c r="L337" s="572">
        <f t="shared" si="233"/>
        <v>0</v>
      </c>
      <c r="M337" s="572">
        <f t="shared" si="233"/>
        <v>0</v>
      </c>
      <c r="N337" s="572">
        <f t="shared" si="233"/>
        <v>0</v>
      </c>
      <c r="O337" s="575">
        <f t="shared" si="233"/>
        <v>0</v>
      </c>
      <c r="P337" s="574">
        <f t="shared" si="233"/>
        <v>0</v>
      </c>
      <c r="Q337" s="572">
        <f t="shared" si="233"/>
        <v>0</v>
      </c>
      <c r="R337" s="572">
        <f t="shared" si="233"/>
        <v>0</v>
      </c>
      <c r="S337" s="575">
        <f t="shared" si="233"/>
        <v>0</v>
      </c>
      <c r="T337" s="574">
        <f t="shared" si="233"/>
        <v>0</v>
      </c>
      <c r="U337" s="253"/>
      <c r="V337" s="785"/>
      <c r="W337" s="786"/>
      <c r="X337" s="786"/>
      <c r="Y337" s="786"/>
      <c r="Z337" s="786"/>
      <c r="AA337" s="786">
        <v>3</v>
      </c>
      <c r="AB337" s="251"/>
      <c r="AC337" s="256">
        <v>3</v>
      </c>
      <c r="AD337" s="254"/>
      <c r="AE337" s="255"/>
      <c r="AF337" s="255"/>
      <c r="AG337" s="255"/>
      <c r="AH337" s="255"/>
      <c r="AI337" s="257"/>
      <c r="AJ337" s="254"/>
      <c r="AK337" s="255"/>
      <c r="AL337" s="257"/>
      <c r="AM337" s="254"/>
      <c r="AN337" s="563"/>
    </row>
    <row r="338" spans="1:41" ht="12.75" customHeight="1">
      <c r="A338" s="580"/>
      <c r="B338" s="580" t="s">
        <v>131</v>
      </c>
      <c r="C338" s="581">
        <f>IF(V338&gt;0,(V338/V339),0)</f>
        <v>0</v>
      </c>
      <c r="D338" s="582">
        <f t="shared" ref="D338:T338" si="234">IF(W338&gt;0,(W338/W339),0)</f>
        <v>0.23240589198036007</v>
      </c>
      <c r="E338" s="582">
        <f t="shared" si="234"/>
        <v>0</v>
      </c>
      <c r="F338" s="582">
        <f t="shared" si="234"/>
        <v>0</v>
      </c>
      <c r="G338" s="582">
        <f t="shared" si="234"/>
        <v>0</v>
      </c>
      <c r="H338" s="582">
        <f t="shared" si="234"/>
        <v>0</v>
      </c>
      <c r="I338" s="583">
        <f t="shared" si="234"/>
        <v>0</v>
      </c>
      <c r="J338" s="584">
        <f t="shared" si="234"/>
        <v>0.17574257425742573</v>
      </c>
      <c r="K338" s="581">
        <f t="shared" si="234"/>
        <v>0</v>
      </c>
      <c r="L338" s="582">
        <f t="shared" si="234"/>
        <v>0</v>
      </c>
      <c r="M338" s="582">
        <f t="shared" si="234"/>
        <v>0</v>
      </c>
      <c r="N338" s="582">
        <f t="shared" si="234"/>
        <v>0</v>
      </c>
      <c r="O338" s="583">
        <f t="shared" si="234"/>
        <v>0</v>
      </c>
      <c r="P338" s="581">
        <f t="shared" si="234"/>
        <v>0</v>
      </c>
      <c r="Q338" s="581">
        <f t="shared" si="234"/>
        <v>0</v>
      </c>
      <c r="R338" s="582">
        <f t="shared" si="234"/>
        <v>0</v>
      </c>
      <c r="S338" s="583">
        <f t="shared" si="234"/>
        <v>0</v>
      </c>
      <c r="T338" s="581">
        <f t="shared" si="234"/>
        <v>0</v>
      </c>
      <c r="U338" s="253"/>
      <c r="V338" s="785"/>
      <c r="W338" s="786">
        <v>142</v>
      </c>
      <c r="X338" s="786"/>
      <c r="Y338" s="786"/>
      <c r="Z338" s="786"/>
      <c r="AA338" s="786"/>
      <c r="AB338" s="582"/>
      <c r="AC338" s="256">
        <v>142</v>
      </c>
      <c r="AD338" s="254"/>
      <c r="AE338" s="255"/>
      <c r="AF338" s="255"/>
      <c r="AG338" s="255"/>
      <c r="AH338" s="255"/>
      <c r="AI338" s="257"/>
      <c r="AJ338" s="254"/>
      <c r="AK338" s="255"/>
      <c r="AL338" s="257"/>
      <c r="AM338" s="254"/>
    </row>
    <row r="339" spans="1:41" s="527" customFormat="1" ht="12.75" customHeight="1">
      <c r="A339" s="436"/>
      <c r="B339" s="436" t="s">
        <v>59</v>
      </c>
      <c r="C339" s="456">
        <f>SUM(C334:C338)</f>
        <v>0</v>
      </c>
      <c r="D339" s="456">
        <f t="shared" ref="D339:T339" si="235">SUM(D334:D338)</f>
        <v>1</v>
      </c>
      <c r="E339" s="456">
        <f t="shared" si="235"/>
        <v>0</v>
      </c>
      <c r="F339" s="456">
        <f t="shared" si="235"/>
        <v>0</v>
      </c>
      <c r="G339" s="456">
        <f t="shared" si="235"/>
        <v>1</v>
      </c>
      <c r="H339" s="456">
        <f t="shared" si="235"/>
        <v>1</v>
      </c>
      <c r="I339" s="456">
        <f t="shared" si="235"/>
        <v>0</v>
      </c>
      <c r="J339" s="576">
        <f t="shared" si="235"/>
        <v>1</v>
      </c>
      <c r="K339" s="577">
        <f t="shared" si="235"/>
        <v>0</v>
      </c>
      <c r="L339" s="578">
        <f t="shared" si="235"/>
        <v>0</v>
      </c>
      <c r="M339" s="578">
        <f t="shared" si="235"/>
        <v>0</v>
      </c>
      <c r="N339" s="578">
        <f t="shared" si="235"/>
        <v>0</v>
      </c>
      <c r="O339" s="579">
        <f t="shared" si="235"/>
        <v>0</v>
      </c>
      <c r="P339" s="577">
        <f t="shared" si="235"/>
        <v>1</v>
      </c>
      <c r="Q339" s="578">
        <f t="shared" si="235"/>
        <v>0</v>
      </c>
      <c r="R339" s="578">
        <f t="shared" si="235"/>
        <v>0</v>
      </c>
      <c r="S339" s="579">
        <f t="shared" si="235"/>
        <v>0</v>
      </c>
      <c r="T339" s="577">
        <f t="shared" si="235"/>
        <v>0</v>
      </c>
      <c r="U339" s="264"/>
      <c r="V339" s="265"/>
      <c r="W339" s="266">
        <v>611</v>
      </c>
      <c r="X339" s="266"/>
      <c r="Y339" s="266"/>
      <c r="Z339" s="266">
        <v>50</v>
      </c>
      <c r="AA339" s="266">
        <v>147</v>
      </c>
      <c r="AB339" s="262"/>
      <c r="AC339" s="267">
        <v>808</v>
      </c>
      <c r="AD339" s="265"/>
      <c r="AE339" s="266"/>
      <c r="AF339" s="266"/>
      <c r="AG339" s="266"/>
      <c r="AH339" s="266"/>
      <c r="AI339" s="268">
        <v>82</v>
      </c>
      <c r="AJ339" s="265"/>
      <c r="AK339" s="266"/>
      <c r="AL339" s="268"/>
      <c r="AM339" s="265"/>
      <c r="AN339" s="270"/>
      <c r="AO339" s="270"/>
    </row>
    <row r="340" spans="1:41" ht="12.75" customHeight="1">
      <c r="A340" s="240" t="s">
        <v>170</v>
      </c>
      <c r="B340" s="240" t="s">
        <v>53</v>
      </c>
      <c r="C340" s="568">
        <f>IF(V340&gt;0,(V340/V345),0)</f>
        <v>0</v>
      </c>
      <c r="D340" s="568">
        <f t="shared" ref="D340:T340" si="236">IF(W340&gt;0,(W340/W345),0)</f>
        <v>0</v>
      </c>
      <c r="E340" s="568">
        <f t="shared" si="236"/>
        <v>0</v>
      </c>
      <c r="F340" s="568">
        <f t="shared" si="236"/>
        <v>0.35064935064935066</v>
      </c>
      <c r="G340" s="568">
        <f t="shared" si="236"/>
        <v>0</v>
      </c>
      <c r="H340" s="568">
        <f t="shared" si="236"/>
        <v>0</v>
      </c>
      <c r="I340" s="568">
        <f t="shared" si="236"/>
        <v>0</v>
      </c>
      <c r="J340" s="569">
        <f t="shared" si="236"/>
        <v>0.35064935064935066</v>
      </c>
      <c r="K340" s="570">
        <f t="shared" si="236"/>
        <v>0</v>
      </c>
      <c r="L340" s="568">
        <f t="shared" si="236"/>
        <v>0</v>
      </c>
      <c r="M340" s="568">
        <f t="shared" si="236"/>
        <v>0</v>
      </c>
      <c r="N340" s="568">
        <f t="shared" si="236"/>
        <v>0</v>
      </c>
      <c r="O340" s="571">
        <f t="shared" si="236"/>
        <v>0</v>
      </c>
      <c r="P340" s="570">
        <f t="shared" si="236"/>
        <v>0</v>
      </c>
      <c r="Q340" s="568">
        <f t="shared" si="236"/>
        <v>0</v>
      </c>
      <c r="R340" s="568">
        <f t="shared" si="236"/>
        <v>0</v>
      </c>
      <c r="S340" s="571">
        <f t="shared" si="236"/>
        <v>0</v>
      </c>
      <c r="T340" s="570">
        <f t="shared" si="236"/>
        <v>0</v>
      </c>
      <c r="U340" s="253"/>
      <c r="V340" s="245"/>
      <c r="W340" s="246"/>
      <c r="X340" s="246"/>
      <c r="Y340" s="246">
        <v>81</v>
      </c>
      <c r="Z340" s="246"/>
      <c r="AA340" s="246"/>
      <c r="AB340" s="242"/>
      <c r="AC340" s="247">
        <v>81</v>
      </c>
      <c r="AD340" s="245"/>
      <c r="AE340" s="246"/>
      <c r="AF340" s="246"/>
      <c r="AG340" s="246"/>
      <c r="AH340" s="246"/>
      <c r="AI340" s="248"/>
      <c r="AJ340" s="245"/>
      <c r="AK340" s="246"/>
      <c r="AL340" s="248"/>
      <c r="AM340" s="245"/>
      <c r="AN340" s="563"/>
    </row>
    <row r="341" spans="1:41" ht="12.75" customHeight="1">
      <c r="A341" s="239"/>
      <c r="B341" s="239" t="s">
        <v>93</v>
      </c>
      <c r="C341" s="572">
        <f>IF(V341&gt;0,(V341/V345),0)</f>
        <v>0</v>
      </c>
      <c r="D341" s="572">
        <f t="shared" ref="D341:T341" si="237">IF(W341&gt;0,(W341/W345),0)</f>
        <v>0</v>
      </c>
      <c r="E341" s="572">
        <f t="shared" si="237"/>
        <v>0</v>
      </c>
      <c r="F341" s="572">
        <f t="shared" si="237"/>
        <v>0.38095238095238093</v>
      </c>
      <c r="G341" s="572">
        <f t="shared" si="237"/>
        <v>0</v>
      </c>
      <c r="H341" s="572">
        <f t="shared" si="237"/>
        <v>0</v>
      </c>
      <c r="I341" s="572">
        <f t="shared" si="237"/>
        <v>0</v>
      </c>
      <c r="J341" s="573">
        <f t="shared" si="237"/>
        <v>0.38095238095238093</v>
      </c>
      <c r="K341" s="574">
        <f t="shared" si="237"/>
        <v>0</v>
      </c>
      <c r="L341" s="572">
        <f t="shared" si="237"/>
        <v>0</v>
      </c>
      <c r="M341" s="572">
        <f t="shared" si="237"/>
        <v>0</v>
      </c>
      <c r="N341" s="572">
        <f t="shared" si="237"/>
        <v>0</v>
      </c>
      <c r="O341" s="575">
        <f t="shared" si="237"/>
        <v>0</v>
      </c>
      <c r="P341" s="574">
        <f t="shared" si="237"/>
        <v>0</v>
      </c>
      <c r="Q341" s="572">
        <f t="shared" si="237"/>
        <v>0</v>
      </c>
      <c r="R341" s="572">
        <f t="shared" si="237"/>
        <v>0</v>
      </c>
      <c r="S341" s="575">
        <f t="shared" si="237"/>
        <v>0</v>
      </c>
      <c r="T341" s="574">
        <f t="shared" si="237"/>
        <v>0</v>
      </c>
      <c r="U341" s="253"/>
      <c r="V341" s="254"/>
      <c r="W341" s="255"/>
      <c r="X341" s="255"/>
      <c r="Y341" s="255">
        <v>88</v>
      </c>
      <c r="Z341" s="255"/>
      <c r="AA341" s="255"/>
      <c r="AB341" s="251"/>
      <c r="AC341" s="256">
        <v>88</v>
      </c>
      <c r="AD341" s="254"/>
      <c r="AE341" s="255"/>
      <c r="AF341" s="255"/>
      <c r="AG341" s="255"/>
      <c r="AH341" s="255"/>
      <c r="AI341" s="257"/>
      <c r="AJ341" s="254"/>
      <c r="AK341" s="255"/>
      <c r="AL341" s="257"/>
      <c r="AM341" s="254"/>
      <c r="AN341" s="563"/>
    </row>
    <row r="342" spans="1:41" ht="12.75" customHeight="1">
      <c r="A342" s="239"/>
      <c r="B342" s="239" t="s">
        <v>55</v>
      </c>
      <c r="C342" s="572">
        <f>IF(V342&gt;0,(V342/V345),0)</f>
        <v>0</v>
      </c>
      <c r="D342" s="572">
        <f t="shared" ref="D342:T342" si="238">IF(W342&gt;0,(W342/W345),0)</f>
        <v>0</v>
      </c>
      <c r="E342" s="572">
        <f t="shared" si="238"/>
        <v>0</v>
      </c>
      <c r="F342" s="572">
        <f t="shared" si="238"/>
        <v>0.23376623376623376</v>
      </c>
      <c r="G342" s="572">
        <f t="shared" si="238"/>
        <v>0</v>
      </c>
      <c r="H342" s="572">
        <f t="shared" si="238"/>
        <v>0</v>
      </c>
      <c r="I342" s="572">
        <f t="shared" si="238"/>
        <v>0</v>
      </c>
      <c r="J342" s="573">
        <f t="shared" si="238"/>
        <v>0.23376623376623376</v>
      </c>
      <c r="K342" s="574">
        <f t="shared" si="238"/>
        <v>0</v>
      </c>
      <c r="L342" s="572">
        <f t="shared" si="238"/>
        <v>0</v>
      </c>
      <c r="M342" s="572">
        <f t="shared" si="238"/>
        <v>0</v>
      </c>
      <c r="N342" s="572">
        <f t="shared" si="238"/>
        <v>0</v>
      </c>
      <c r="O342" s="575">
        <f t="shared" si="238"/>
        <v>0</v>
      </c>
      <c r="P342" s="574">
        <f t="shared" si="238"/>
        <v>0</v>
      </c>
      <c r="Q342" s="572">
        <f t="shared" si="238"/>
        <v>0</v>
      </c>
      <c r="R342" s="572">
        <f t="shared" si="238"/>
        <v>0</v>
      </c>
      <c r="S342" s="575">
        <f t="shared" si="238"/>
        <v>0</v>
      </c>
      <c r="T342" s="574">
        <f t="shared" si="238"/>
        <v>0</v>
      </c>
      <c r="U342" s="253"/>
      <c r="V342" s="254"/>
      <c r="W342" s="255"/>
      <c r="X342" s="255"/>
      <c r="Y342" s="255">
        <v>54</v>
      </c>
      <c r="Z342" s="255"/>
      <c r="AA342" s="255"/>
      <c r="AB342" s="251"/>
      <c r="AC342" s="256">
        <v>54</v>
      </c>
      <c r="AD342" s="254"/>
      <c r="AE342" s="255"/>
      <c r="AF342" s="255"/>
      <c r="AG342" s="255"/>
      <c r="AH342" s="255"/>
      <c r="AI342" s="257"/>
      <c r="AJ342" s="254"/>
      <c r="AK342" s="255"/>
      <c r="AL342" s="257"/>
      <c r="AM342" s="254"/>
      <c r="AN342" s="563"/>
    </row>
    <row r="343" spans="1:41" ht="12.75" customHeight="1">
      <c r="A343" s="239"/>
      <c r="B343" s="239" t="s">
        <v>78</v>
      </c>
      <c r="C343" s="572">
        <f>IF(V343&gt;0,(V343/V345),0)</f>
        <v>0</v>
      </c>
      <c r="D343" s="572">
        <f t="shared" ref="D343:T343" si="239">IF(W343&gt;0,(W343/W345),0)</f>
        <v>0</v>
      </c>
      <c r="E343" s="572">
        <f t="shared" si="239"/>
        <v>0</v>
      </c>
      <c r="F343" s="572">
        <f t="shared" si="239"/>
        <v>3.4632034632034632E-2</v>
      </c>
      <c r="G343" s="572">
        <f t="shared" si="239"/>
        <v>0</v>
      </c>
      <c r="H343" s="572">
        <f t="shared" si="239"/>
        <v>0</v>
      </c>
      <c r="I343" s="572">
        <f t="shared" si="239"/>
        <v>0</v>
      </c>
      <c r="J343" s="573">
        <f t="shared" si="239"/>
        <v>3.4632034632034632E-2</v>
      </c>
      <c r="K343" s="574">
        <f t="shared" si="239"/>
        <v>0</v>
      </c>
      <c r="L343" s="572">
        <f t="shared" si="239"/>
        <v>0</v>
      </c>
      <c r="M343" s="572">
        <f t="shared" si="239"/>
        <v>0</v>
      </c>
      <c r="N343" s="572">
        <f t="shared" si="239"/>
        <v>0</v>
      </c>
      <c r="O343" s="575">
        <f t="shared" si="239"/>
        <v>0</v>
      </c>
      <c r="P343" s="574">
        <f t="shared" si="239"/>
        <v>0</v>
      </c>
      <c r="Q343" s="572">
        <f t="shared" si="239"/>
        <v>0</v>
      </c>
      <c r="R343" s="572">
        <f t="shared" si="239"/>
        <v>0</v>
      </c>
      <c r="S343" s="575">
        <f t="shared" si="239"/>
        <v>0</v>
      </c>
      <c r="T343" s="574">
        <f t="shared" si="239"/>
        <v>0</v>
      </c>
      <c r="U343" s="253"/>
      <c r="V343" s="254"/>
      <c r="W343" s="255"/>
      <c r="X343" s="255"/>
      <c r="Y343" s="255">
        <v>8</v>
      </c>
      <c r="Z343" s="255"/>
      <c r="AA343" s="255"/>
      <c r="AB343" s="251"/>
      <c r="AC343" s="256">
        <v>8</v>
      </c>
      <c r="AD343" s="254"/>
      <c r="AE343" s="255"/>
      <c r="AF343" s="255"/>
      <c r="AG343" s="255"/>
      <c r="AH343" s="255"/>
      <c r="AI343" s="257"/>
      <c r="AJ343" s="254"/>
      <c r="AK343" s="255"/>
      <c r="AL343" s="257"/>
      <c r="AM343" s="254"/>
      <c r="AN343" s="563"/>
    </row>
    <row r="344" spans="1:41" ht="12.75" customHeight="1">
      <c r="A344" s="580"/>
      <c r="B344" s="580" t="s">
        <v>131</v>
      </c>
      <c r="C344" s="581">
        <f>IF(V344&gt;0,(V344/V345),0)</f>
        <v>0</v>
      </c>
      <c r="D344" s="582">
        <f t="shared" ref="D344:T344" si="240">IF(W344&gt;0,(W344/W345),0)</f>
        <v>0</v>
      </c>
      <c r="E344" s="582">
        <f t="shared" si="240"/>
        <v>0</v>
      </c>
      <c r="F344" s="582">
        <f t="shared" si="240"/>
        <v>0</v>
      </c>
      <c r="G344" s="582">
        <f t="shared" si="240"/>
        <v>0</v>
      </c>
      <c r="H344" s="582">
        <f t="shared" si="240"/>
        <v>0</v>
      </c>
      <c r="I344" s="583">
        <f t="shared" si="240"/>
        <v>0</v>
      </c>
      <c r="J344" s="584">
        <f t="shared" si="240"/>
        <v>0</v>
      </c>
      <c r="K344" s="581">
        <f t="shared" si="240"/>
        <v>0</v>
      </c>
      <c r="L344" s="582">
        <f t="shared" si="240"/>
        <v>0</v>
      </c>
      <c r="M344" s="582">
        <f t="shared" si="240"/>
        <v>0</v>
      </c>
      <c r="N344" s="582">
        <f t="shared" si="240"/>
        <v>0</v>
      </c>
      <c r="O344" s="583">
        <f t="shared" si="240"/>
        <v>0</v>
      </c>
      <c r="P344" s="581">
        <f t="shared" si="240"/>
        <v>0</v>
      </c>
      <c r="Q344" s="581">
        <f t="shared" si="240"/>
        <v>0</v>
      </c>
      <c r="R344" s="582">
        <f t="shared" si="240"/>
        <v>0</v>
      </c>
      <c r="S344" s="583">
        <f t="shared" si="240"/>
        <v>0</v>
      </c>
      <c r="T344" s="581">
        <f t="shared" si="240"/>
        <v>0</v>
      </c>
      <c r="U344" s="253"/>
      <c r="V344" s="254"/>
      <c r="W344" s="255"/>
      <c r="X344" s="255"/>
      <c r="Y344" s="255"/>
      <c r="Z344" s="255"/>
      <c r="AA344" s="255"/>
      <c r="AB344" s="582"/>
      <c r="AC344" s="256"/>
      <c r="AD344" s="254"/>
      <c r="AE344" s="255"/>
      <c r="AF344" s="255"/>
      <c r="AG344" s="255"/>
      <c r="AH344" s="255"/>
      <c r="AI344" s="257"/>
      <c r="AJ344" s="254"/>
      <c r="AK344" s="255"/>
      <c r="AL344" s="257"/>
      <c r="AM344" s="254"/>
    </row>
    <row r="345" spans="1:41" s="527" customFormat="1" ht="12.75" customHeight="1">
      <c r="A345" s="436"/>
      <c r="B345" s="436" t="s">
        <v>59</v>
      </c>
      <c r="C345" s="456">
        <f>SUM(C340:C344)</f>
        <v>0</v>
      </c>
      <c r="D345" s="456">
        <f t="shared" ref="D345:T345" si="241">SUM(D340:D344)</f>
        <v>0</v>
      </c>
      <c r="E345" s="456">
        <f t="shared" si="241"/>
        <v>0</v>
      </c>
      <c r="F345" s="456">
        <f t="shared" si="241"/>
        <v>1</v>
      </c>
      <c r="G345" s="456">
        <f t="shared" si="241"/>
        <v>0</v>
      </c>
      <c r="H345" s="456">
        <f t="shared" si="241"/>
        <v>0</v>
      </c>
      <c r="I345" s="456">
        <f t="shared" si="241"/>
        <v>0</v>
      </c>
      <c r="J345" s="576">
        <f t="shared" si="241"/>
        <v>1</v>
      </c>
      <c r="K345" s="577">
        <f t="shared" si="241"/>
        <v>0</v>
      </c>
      <c r="L345" s="578">
        <f t="shared" si="241"/>
        <v>0</v>
      </c>
      <c r="M345" s="578">
        <f t="shared" si="241"/>
        <v>0</v>
      </c>
      <c r="N345" s="578">
        <f t="shared" si="241"/>
        <v>0</v>
      </c>
      <c r="O345" s="579">
        <f t="shared" si="241"/>
        <v>0</v>
      </c>
      <c r="P345" s="577">
        <f t="shared" si="241"/>
        <v>0</v>
      </c>
      <c r="Q345" s="578">
        <f t="shared" si="241"/>
        <v>0</v>
      </c>
      <c r="R345" s="578">
        <f t="shared" si="241"/>
        <v>0</v>
      </c>
      <c r="S345" s="579">
        <f t="shared" si="241"/>
        <v>0</v>
      </c>
      <c r="T345" s="577">
        <f t="shared" si="241"/>
        <v>0</v>
      </c>
      <c r="U345" s="264"/>
      <c r="V345" s="265"/>
      <c r="W345" s="266"/>
      <c r="X345" s="266"/>
      <c r="Y345" s="266">
        <v>231</v>
      </c>
      <c r="Z345" s="266"/>
      <c r="AA345" s="266"/>
      <c r="AB345" s="262"/>
      <c r="AC345" s="267">
        <v>231</v>
      </c>
      <c r="AD345" s="265"/>
      <c r="AE345" s="266"/>
      <c r="AF345" s="266"/>
      <c r="AG345" s="266"/>
      <c r="AH345" s="266"/>
      <c r="AI345" s="268"/>
      <c r="AJ345" s="265"/>
      <c r="AK345" s="266"/>
      <c r="AL345" s="268"/>
      <c r="AM345" s="265"/>
      <c r="AN345" s="270"/>
      <c r="AO345" s="270"/>
    </row>
  </sheetData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83</vt:i4>
      </vt:variant>
    </vt:vector>
  </HeadingPairs>
  <TitlesOfParts>
    <vt:vector size="110" baseType="lpstr">
      <vt:lpstr>TABLE 80 (81)</vt:lpstr>
      <vt:lpstr>FB 15 TABLE 80 (81)</vt:lpstr>
      <vt:lpstr>2015-16</vt:lpstr>
      <vt:lpstr>2014-15</vt:lpstr>
      <vt:lpstr>2013-14</vt:lpstr>
      <vt:lpstr>2012-13</vt:lpstr>
      <vt:lpstr>2011-12</vt:lpstr>
      <vt:lpstr>2010-11 IPEDS ONLY</vt:lpstr>
      <vt:lpstr>2010-11</vt:lpstr>
      <vt:lpstr>2009-10</vt:lpstr>
      <vt:lpstr>2008-09</vt:lpstr>
      <vt:lpstr>2007-08</vt:lpstr>
      <vt:lpstr>2006-07</vt:lpstr>
      <vt:lpstr>2005-06</vt:lpstr>
      <vt:lpstr>2004-05</vt:lpstr>
      <vt:lpstr>2003-04</vt:lpstr>
      <vt:lpstr>2002-03</vt:lpstr>
      <vt:lpstr>2001-02</vt:lpstr>
      <vt:lpstr>2000-01</vt:lpstr>
      <vt:lpstr>1999-00</vt:lpstr>
      <vt:lpstr>1998-99</vt:lpstr>
      <vt:lpstr>1997-98</vt:lpstr>
      <vt:lpstr>1996-97</vt:lpstr>
      <vt:lpstr>1995-96</vt:lpstr>
      <vt:lpstr>1994-95</vt:lpstr>
      <vt:lpstr>1993-94</vt:lpstr>
      <vt:lpstr>1992-93</vt:lpstr>
      <vt:lpstr>\E</vt:lpstr>
      <vt:lpstr>_BOB10</vt:lpstr>
      <vt:lpstr>_BOB11</vt:lpstr>
      <vt:lpstr>_BOB12</vt:lpstr>
      <vt:lpstr>_BOB13</vt:lpstr>
      <vt:lpstr>_BOB14</vt:lpstr>
      <vt:lpstr>_BOB15</vt:lpstr>
      <vt:lpstr>_BOB2</vt:lpstr>
      <vt:lpstr>_BOB3</vt:lpstr>
      <vt:lpstr>_BOB4</vt:lpstr>
      <vt:lpstr>_BOB5</vt:lpstr>
      <vt:lpstr>_BOB6</vt:lpstr>
      <vt:lpstr>_BOB7</vt:lpstr>
      <vt:lpstr>_BOB8</vt:lpstr>
      <vt:lpstr>_BOB9</vt:lpstr>
      <vt:lpstr>'1996-97'!A</vt:lpstr>
      <vt:lpstr>A</vt:lpstr>
      <vt:lpstr>ARBAC</vt:lpstr>
      <vt:lpstr>ARDI</vt:lpstr>
      <vt:lpstr>ARDII</vt:lpstr>
      <vt:lpstr>ARDIII</vt:lpstr>
      <vt:lpstr>ARMI</vt:lpstr>
      <vt:lpstr>ARMII</vt:lpstr>
      <vt:lpstr>ARTI</vt:lpstr>
      <vt:lpstr>ARTII</vt:lpstr>
      <vt:lpstr>B</vt:lpstr>
      <vt:lpstr>BAC</vt:lpstr>
      <vt:lpstr>BOB</vt:lpstr>
      <vt:lpstr>COMBSALS</vt:lpstr>
      <vt:lpstr>DATA</vt:lpstr>
      <vt:lpstr>DOCI</vt:lpstr>
      <vt:lpstr>G_1</vt:lpstr>
      <vt:lpstr>MASTII</vt:lpstr>
      <vt:lpstr>N_19</vt:lpstr>
      <vt:lpstr>N_20</vt:lpstr>
      <vt:lpstr>N_21</vt:lpstr>
      <vt:lpstr>N_22</vt:lpstr>
      <vt:lpstr>N_23</vt:lpstr>
      <vt:lpstr>N_24</vt:lpstr>
      <vt:lpstr>N_25</vt:lpstr>
      <vt:lpstr>N_26</vt:lpstr>
      <vt:lpstr>N_27</vt:lpstr>
      <vt:lpstr>N_28</vt:lpstr>
      <vt:lpstr>N_29</vt:lpstr>
      <vt:lpstr>N_30</vt:lpstr>
      <vt:lpstr>PETE1</vt:lpstr>
      <vt:lpstr>PETE11</vt:lpstr>
      <vt:lpstr>PETE12</vt:lpstr>
      <vt:lpstr>PETE13</vt:lpstr>
      <vt:lpstr>PETE17</vt:lpstr>
      <vt:lpstr>PETE19</vt:lpstr>
      <vt:lpstr>PETE20</vt:lpstr>
      <vt:lpstr>PETE21</vt:lpstr>
      <vt:lpstr>PETE25</vt:lpstr>
      <vt:lpstr>PETE26</vt:lpstr>
      <vt:lpstr>PETE5</vt:lpstr>
      <vt:lpstr>PETE6</vt:lpstr>
      <vt:lpstr>PETE7</vt:lpstr>
      <vt:lpstr>'FB 15 TABLE 80 (81)'!Print</vt:lpstr>
      <vt:lpstr>Print</vt:lpstr>
      <vt:lpstr>'1996-97'!Print_Area</vt:lpstr>
      <vt:lpstr>'2000-01'!Print_Area</vt:lpstr>
      <vt:lpstr>'FB 15 TABLE 80 (81)'!Print_Area</vt:lpstr>
      <vt:lpstr>'TABLE 80 (81)'!Print_Area</vt:lpstr>
      <vt:lpstr>'1996-97'!Print_Area_MI</vt:lpstr>
      <vt:lpstr>'1996-97'!Print_Titles</vt:lpstr>
      <vt:lpstr>'1996-97'!Print_Titles_MI</vt:lpstr>
      <vt:lpstr>TAB_19</vt:lpstr>
      <vt:lpstr>TAB_20</vt:lpstr>
      <vt:lpstr>TAB_21</vt:lpstr>
      <vt:lpstr>TAB_25</vt:lpstr>
      <vt:lpstr>TAB_27</vt:lpstr>
      <vt:lpstr>TAB_28</vt:lpstr>
      <vt:lpstr>TAB_29</vt:lpstr>
      <vt:lpstr>TAB_30</vt:lpstr>
      <vt:lpstr>TAB_31</vt:lpstr>
      <vt:lpstr>TAB_32</vt:lpstr>
      <vt:lpstr>TAB_33</vt:lpstr>
      <vt:lpstr>TAB_34</vt:lpstr>
      <vt:lpstr>'FB 15 TABLE 80 (81)'!TABLE</vt:lpstr>
      <vt:lpstr>'TABLE 80 (81)'!TABLE</vt:lpstr>
      <vt:lpstr>TABLES</vt:lpstr>
      <vt:lpstr>TI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Cowan</dc:creator>
  <cp:lastModifiedBy>Christiana Datubo-Brown</cp:lastModifiedBy>
  <cp:lastPrinted>2015-01-06T17:27:15Z</cp:lastPrinted>
  <dcterms:created xsi:type="dcterms:W3CDTF">2001-01-18T19:25:32Z</dcterms:created>
  <dcterms:modified xsi:type="dcterms:W3CDTF">2017-11-03T22:56:36Z</dcterms:modified>
</cp:coreProperties>
</file>